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Ex3.xml" ContentType="application/vnd.ms-office.chartex+xml"/>
  <Override PartName="/xl/charts/style23.xml" ContentType="application/vnd.ms-office.chartstyle+xml"/>
  <Override PartName="/xl/charts/colors23.xml" ContentType="application/vnd.ms-office.chartcolorstyle+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charts/chart22.xml" ContentType="application/vnd.openxmlformats-officedocument.drawingml.chart+xml"/>
  <Override PartName="/xl/charts/style25.xml" ContentType="application/vnd.ms-office.chartstyle+xml"/>
  <Override PartName="/xl/charts/colors25.xml" ContentType="application/vnd.ms-office.chartcolorstyle+xml"/>
  <Override PartName="/xl/charts/chart23.xml" ContentType="application/vnd.openxmlformats-officedocument.drawingml.chart+xml"/>
  <Override PartName="/xl/charts/style26.xml" ContentType="application/vnd.ms-office.chartstyle+xml"/>
  <Override PartName="/xl/charts/colors26.xml" ContentType="application/vnd.ms-office.chartcolorstyle+xml"/>
  <Override PartName="/xl/charts/chart24.xml" ContentType="application/vnd.openxmlformats-officedocument.drawingml.chart+xml"/>
  <Override PartName="/xl/charts/style27.xml" ContentType="application/vnd.ms-office.chartstyle+xml"/>
  <Override PartName="/xl/charts/colors27.xml" ContentType="application/vnd.ms-office.chartcolorstyle+xml"/>
  <Override PartName="/xl/charts/chartEx4.xml" ContentType="application/vnd.ms-office.chartex+xml"/>
  <Override PartName="/xl/charts/style28.xml" ContentType="application/vnd.ms-office.chartstyle+xml"/>
  <Override PartName="/xl/charts/colors28.xml" ContentType="application/vnd.ms-office.chartcolorstyle+xml"/>
  <Override PartName="/xl/charts/chart25.xml" ContentType="application/vnd.openxmlformats-officedocument.drawingml.chart+xml"/>
  <Override PartName="/xl/charts/style29.xml" ContentType="application/vnd.ms-office.chartstyle+xml"/>
  <Override PartName="/xl/charts/colors29.xml" ContentType="application/vnd.ms-office.chartcolorstyle+xml"/>
  <Override PartName="/xl/charts/chart26.xml" ContentType="application/vnd.openxmlformats-officedocument.drawingml.chart+xml"/>
  <Override PartName="/xl/charts/style30.xml" ContentType="application/vnd.ms-office.chartstyle+xml"/>
  <Override PartName="/xl/charts/colors30.xml" ContentType="application/vnd.ms-office.chartcolorstyle+xml"/>
  <Override PartName="/xl/charts/chart27.xml" ContentType="application/vnd.openxmlformats-officedocument.drawingml.chart+xml"/>
  <Override PartName="/xl/charts/style31.xml" ContentType="application/vnd.ms-office.chartstyle+xml"/>
  <Override PartName="/xl/charts/colors31.xml" ContentType="application/vnd.ms-office.chartcolorstyle+xml"/>
  <Override PartName="/xl/charts/chart28.xml" ContentType="application/vnd.openxmlformats-officedocument.drawingml.chart+xml"/>
  <Override PartName="/xl/charts/style32.xml" ContentType="application/vnd.ms-office.chartstyle+xml"/>
  <Override PartName="/xl/charts/colors32.xml" ContentType="application/vnd.ms-office.chartcolorstyle+xml"/>
  <Override PartName="/xl/charts/chart29.xml" ContentType="application/vnd.openxmlformats-officedocument.drawingml.chart+xml"/>
  <Override PartName="/xl/charts/style33.xml" ContentType="application/vnd.ms-office.chartstyle+xml"/>
  <Override PartName="/xl/charts/colors33.xml" ContentType="application/vnd.ms-office.chartcolorstyle+xml"/>
  <Override PartName="/xl/charts/chart30.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2.xml" ContentType="application/vnd.openxmlformats-officedocument.drawing+xml"/>
  <Override PartName="/xl/charts/chartEx5.xml" ContentType="application/vnd.ms-office.chartex+xml"/>
  <Override PartName="/xl/charts/style35.xml" ContentType="application/vnd.ms-office.chartstyle+xml"/>
  <Override PartName="/xl/charts/colors35.xml" ContentType="application/vnd.ms-office.chartcolorstyle+xml"/>
  <Override PartName="/xl/drawings/drawing3.xml" ContentType="application/vnd.openxmlformats-officedocument.drawing+xml"/>
  <Override PartName="/xl/charts/chartEx6.xml" ContentType="application/vnd.ms-office.chartex+xml"/>
  <Override PartName="/xl/charts/style36.xml" ContentType="application/vnd.ms-office.chartstyle+xml"/>
  <Override PartName="/xl/charts/colors36.xml" ContentType="application/vnd.ms-office.chartcolorstyle+xml"/>
  <Override PartName="/xl/charts/chartEx7.xml" ContentType="application/vnd.ms-office.chartex+xml"/>
  <Override PartName="/xl/charts/style37.xml" ContentType="application/vnd.ms-office.chartstyle+xml"/>
  <Override PartName="/xl/charts/colors37.xml" ContentType="application/vnd.ms-office.chartcolorstyle+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31.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Ex8.xml" ContentType="application/vnd.ms-office.chartex+xml"/>
  <Override PartName="/xl/charts/style39.xml" ContentType="application/vnd.ms-office.chartstyle+xml"/>
  <Override PartName="/xl/charts/colors39.xml" ContentType="application/vnd.ms-office.chartcolorstyle+xml"/>
  <Override PartName="/xl/charts/chartEx9.xml" ContentType="application/vnd.ms-office.chartex+xml"/>
  <Override PartName="/xl/charts/style40.xml" ContentType="application/vnd.ms-office.chartstyle+xml"/>
  <Override PartName="/xl/charts/colors40.xml" ContentType="application/vnd.ms-office.chartcolorstyle+xml"/>
  <Override PartName="/xl/charts/chart32.xml" ContentType="application/vnd.openxmlformats-officedocument.drawingml.chart+xml"/>
  <Override PartName="/xl/charts/style41.xml" ContentType="application/vnd.ms-office.chartstyle+xml"/>
  <Override PartName="/xl/charts/colors41.xml" ContentType="application/vnd.ms-office.chartcolorstyle+xml"/>
  <Override PartName="/xl/charts/chart33.xml" ContentType="application/vnd.openxmlformats-officedocument.drawingml.chart+xml"/>
  <Override PartName="/xl/charts/style42.xml" ContentType="application/vnd.ms-office.chartstyle+xml"/>
  <Override PartName="/xl/charts/colors42.xml" ContentType="application/vnd.ms-office.chartcolorstyle+xml"/>
  <Override PartName="/xl/charts/chart34.xml" ContentType="application/vnd.openxmlformats-officedocument.drawingml.chart+xml"/>
  <Override PartName="/xl/charts/style43.xml" ContentType="application/vnd.ms-office.chartstyle+xml"/>
  <Override PartName="/xl/charts/colors43.xml" ContentType="application/vnd.ms-office.chartcolorstyle+xml"/>
  <Override PartName="/xl/charts/chart35.xml" ContentType="application/vnd.openxmlformats-officedocument.drawingml.chart+xml"/>
  <Override PartName="/xl/charts/style44.xml" ContentType="application/vnd.ms-office.chartstyle+xml"/>
  <Override PartName="/xl/charts/colors44.xml" ContentType="application/vnd.ms-office.chartcolorstyle+xml"/>
  <Override PartName="/xl/charts/chart36.xml" ContentType="application/vnd.openxmlformats-officedocument.drawingml.chart+xml"/>
  <Override PartName="/xl/charts/style45.xml" ContentType="application/vnd.ms-office.chartstyle+xml"/>
  <Override PartName="/xl/charts/colors45.xml" ContentType="application/vnd.ms-office.chartcolorstyle+xml"/>
  <Override PartName="/xl/charts/chart37.xml" ContentType="application/vnd.openxmlformats-officedocument.drawingml.chart+xml"/>
  <Override PartName="/xl/charts/style46.xml" ContentType="application/vnd.ms-office.chartstyle+xml"/>
  <Override PartName="/xl/charts/colors46.xml" ContentType="application/vnd.ms-office.chartcolorstyle+xml"/>
  <Override PartName="/xl/charts/chart38.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39.xml" ContentType="application/vnd.openxmlformats-officedocument.drawingml.chart+xml"/>
  <Override PartName="/xl/charts/style48.xml" ContentType="application/vnd.ms-office.chartstyle+xml"/>
  <Override PartName="/xl/charts/colors48.xml" ContentType="application/vnd.ms-office.chartcolorstyle+xml"/>
  <Override PartName="/xl/charts/chart40.xml" ContentType="application/vnd.openxmlformats-officedocument.drawingml.chart+xml"/>
  <Override PartName="/xl/charts/style49.xml" ContentType="application/vnd.ms-office.chartstyle+xml"/>
  <Override PartName="/xl/charts/colors49.xml" ContentType="application/vnd.ms-office.chartcolorstyle+xml"/>
  <Override PartName="/xl/charts/chart41.xml" ContentType="application/vnd.openxmlformats-officedocument.drawingml.chart+xml"/>
  <Override PartName="/xl/charts/style50.xml" ContentType="application/vnd.ms-office.chartstyle+xml"/>
  <Override PartName="/xl/charts/colors50.xml" ContentType="application/vnd.ms-office.chartcolorstyle+xml"/>
  <Override PartName="/xl/comments5.xml" ContentType="application/vnd.openxmlformats-officedocument.spreadsheetml.comments+xml"/>
  <Override PartName="/xl/threadedComments/threadedComment5.xml" ContentType="application/vnd.ms-excel.threadedcomments+xml"/>
  <Override PartName="/xl/drawings/drawing7.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harts/chart42.xml" ContentType="application/vnd.openxmlformats-officedocument.drawingml.chart+xml"/>
  <Override PartName="/xl/charts/style51.xml" ContentType="application/vnd.ms-office.chartstyle+xml"/>
  <Override PartName="/xl/charts/colors51.xml" ContentType="application/vnd.ms-office.chartcolorstyle+xml"/>
  <Override PartName="/xl/charts/chart43.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8.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charts/chart44.xml" ContentType="application/vnd.openxmlformats-officedocument.drawingml.chart+xml"/>
  <Override PartName="/xl/charts/style53.xml" ContentType="application/vnd.ms-office.chartstyle+xml"/>
  <Override PartName="/xl/charts/colors53.xml" ContentType="application/vnd.ms-office.chartcolorstyle+xml"/>
  <Override PartName="/xl/charts/chart45.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9.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charts/chart46.xml" ContentType="application/vnd.openxmlformats-officedocument.drawingml.chart+xml"/>
  <Override PartName="/xl/charts/style55.xml" ContentType="application/vnd.ms-office.chartstyle+xml"/>
  <Override PartName="/xl/charts/colors55.xml" ContentType="application/vnd.ms-office.chartcolorstyle+xml"/>
  <Override PartName="/xl/drawings/drawing10.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charts/chart47.xml" ContentType="application/vnd.openxmlformats-officedocument.drawingml.chart+xml"/>
  <Override PartName="/xl/charts/style56.xml" ContentType="application/vnd.ms-office.chartstyle+xml"/>
  <Override PartName="/xl/charts/colors56.xml" ContentType="application/vnd.ms-office.chartcolorstyle+xml"/>
  <Override PartName="/xl/charts/chart48.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11.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charts/chart49.xml" ContentType="application/vnd.openxmlformats-officedocument.drawingml.chart+xml"/>
  <Override PartName="/xl/charts/style58.xml" ContentType="application/vnd.ms-office.chartstyle+xml"/>
  <Override PartName="/xl/charts/colors58.xml" ContentType="application/vnd.ms-office.chartcolorstyle+xml"/>
  <Override PartName="/xl/drawings/drawing12.xml" ContentType="application/vnd.openxmlformats-officedocument.drawing+xml"/>
  <Override PartName="/xl/charts/chartEx10.xml" ContentType="application/vnd.ms-office.chartex+xml"/>
  <Override PartName="/xl/charts/style59.xml" ContentType="application/vnd.ms-office.chartstyle+xml"/>
  <Override PartName="/xl/charts/colors59.xml" ContentType="application/vnd.ms-office.chartcolorstyle+xml"/>
  <Override PartName="/xl/comments11.xml" ContentType="application/vnd.openxmlformats-officedocument.spreadsheetml.comments+xml"/>
  <Override PartName="/xl/threadedComments/threadedComment11.xml" ContentType="application/vnd.ms-excel.threadedcomments+xml"/>
  <Override PartName="/xl/drawings/drawing13.xml" ContentType="application/vnd.openxmlformats-officedocument.drawing+xml"/>
  <Override PartName="/xl/charts/chart50.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14.xml" ContentType="application/vnd.openxmlformats-officedocument.drawing+xml"/>
  <Override PartName="/xl/charts/chart51.xml" ContentType="application/vnd.openxmlformats-officedocument.drawingml.chart+xml"/>
  <Override PartName="/xl/charts/style61.xml" ContentType="application/vnd.ms-office.chartstyle+xml"/>
  <Override PartName="/xl/charts/colors61.xml" ContentType="application/vnd.ms-office.chartcolorstyle+xml"/>
  <Override PartName="/xl/drawings/drawing15.xml" ContentType="application/vnd.openxmlformats-officedocument.drawing+xml"/>
  <Override PartName="/xl/charts/chart52.xml" ContentType="application/vnd.openxmlformats-officedocument.drawingml.chart+xml"/>
  <Override PartName="/xl/charts/style62.xml" ContentType="application/vnd.ms-office.chartstyle+xml"/>
  <Override PartName="/xl/charts/colors62.xml" ContentType="application/vnd.ms-office.chartcolorstyle+xml"/>
  <Override PartName="/xl/drawings/drawing16.xml" ContentType="application/vnd.openxmlformats-officedocument.drawing+xml"/>
  <Override PartName="/xl/charts/chart53.xml" ContentType="application/vnd.openxmlformats-officedocument.drawingml.chart+xml"/>
  <Override PartName="/xl/charts/style63.xml" ContentType="application/vnd.ms-office.chartstyle+xml"/>
  <Override PartName="/xl/charts/colors63.xml" ContentType="application/vnd.ms-office.chartcolorstyle+xml"/>
  <Override PartName="/xl/comments12.xml" ContentType="application/vnd.openxmlformats-officedocument.spreadsheetml.comments+xml"/>
  <Override PartName="/xl/threadedComments/threadedComment12.xml" ContentType="application/vnd.ms-excel.threadedcomments+xml"/>
  <Override PartName="/xl/drawings/drawing17.xml" ContentType="application/vnd.openxmlformats-officedocument.drawing+xml"/>
  <Override PartName="/xl/charts/chart54.xml" ContentType="application/vnd.openxmlformats-officedocument.drawingml.chart+xml"/>
  <Override PartName="/xl/charts/style64.xml" ContentType="application/vnd.ms-office.chartstyle+xml"/>
  <Override PartName="/xl/charts/colors64.xml" ContentType="application/vnd.ms-office.chartcolorstyle+xml"/>
  <Override PartName="/xl/charts/chart55.xml" ContentType="application/vnd.openxmlformats-officedocument.drawingml.chart+xml"/>
  <Override PartName="/xl/charts/style65.xml" ContentType="application/vnd.ms-office.chartstyle+xml"/>
  <Override PartName="/xl/charts/colors65.xml" ContentType="application/vnd.ms-office.chartcolorstyle+xml"/>
  <Override PartName="/xl/charts/chart56.xml" ContentType="application/vnd.openxmlformats-officedocument.drawingml.chart+xml"/>
  <Override PartName="/xl/charts/style66.xml" ContentType="application/vnd.ms-office.chartstyle+xml"/>
  <Override PartName="/xl/charts/colors66.xml" ContentType="application/vnd.ms-office.chartcolorstyle+xml"/>
  <Override PartName="/xl/charts/chart57.xml" ContentType="application/vnd.openxmlformats-officedocument.drawingml.chart+xml"/>
  <Override PartName="/xl/charts/style67.xml" ContentType="application/vnd.ms-office.chartstyle+xml"/>
  <Override PartName="/xl/charts/colors67.xml" ContentType="application/vnd.ms-office.chartcolorstyle+xml"/>
  <Override PartName="/xl/charts/chart58.xml" ContentType="application/vnd.openxmlformats-officedocument.drawingml.chart+xml"/>
  <Override PartName="/xl/charts/style68.xml" ContentType="application/vnd.ms-office.chartstyle+xml"/>
  <Override PartName="/xl/charts/colors68.xml" ContentType="application/vnd.ms-office.chartcolorstyle+xml"/>
  <Override PartName="/xl/charts/chart59.xml" ContentType="application/vnd.openxmlformats-officedocument.drawingml.chart+xml"/>
  <Override PartName="/xl/charts/style69.xml" ContentType="application/vnd.ms-office.chartstyle+xml"/>
  <Override PartName="/xl/charts/colors69.xml" ContentType="application/vnd.ms-office.chartcolorstyle+xml"/>
  <Override PartName="/xl/charts/chart60.xml" ContentType="application/vnd.openxmlformats-officedocument.drawingml.chart+xml"/>
  <Override PartName="/xl/charts/style70.xml" ContentType="application/vnd.ms-office.chartstyle+xml"/>
  <Override PartName="/xl/charts/colors70.xml" ContentType="application/vnd.ms-office.chartcolorstyle+xml"/>
  <Override PartName="/xl/charts/chart61.xml" ContentType="application/vnd.openxmlformats-officedocument.drawingml.chart+xml"/>
  <Override PartName="/xl/charts/style71.xml" ContentType="application/vnd.ms-office.chartstyle+xml"/>
  <Override PartName="/xl/charts/colors71.xml" ContentType="application/vnd.ms-office.chartcolorstyle+xml"/>
  <Override PartName="/xl/charts/chart62.xml" ContentType="application/vnd.openxmlformats-officedocument.drawingml.chart+xml"/>
  <Override PartName="/xl/charts/style72.xml" ContentType="application/vnd.ms-office.chartstyle+xml"/>
  <Override PartName="/xl/charts/colors72.xml" ContentType="application/vnd.ms-office.chartcolorstyle+xml"/>
  <Override PartName="/xl/charts/chart63.xml" ContentType="application/vnd.openxmlformats-officedocument.drawingml.chart+xml"/>
  <Override PartName="/xl/charts/style73.xml" ContentType="application/vnd.ms-office.chartstyle+xml"/>
  <Override PartName="/xl/charts/colors73.xml" ContentType="application/vnd.ms-office.chartcolorstyle+xml"/>
  <Override PartName="/xl/charts/chart64.xml" ContentType="application/vnd.openxmlformats-officedocument.drawingml.chart+xml"/>
  <Override PartName="/xl/charts/style74.xml" ContentType="application/vnd.ms-office.chartstyle+xml"/>
  <Override PartName="/xl/charts/colors74.xml" ContentType="application/vnd.ms-office.chartcolorstyle+xml"/>
  <Override PartName="/xl/charts/chart65.xml" ContentType="application/vnd.openxmlformats-officedocument.drawingml.chart+xml"/>
  <Override PartName="/xl/charts/style75.xml" ContentType="application/vnd.ms-office.chartstyle+xml"/>
  <Override PartName="/xl/charts/colors75.xml" ContentType="application/vnd.ms-office.chartcolorstyle+xml"/>
  <Override PartName="/xl/charts/chart66.xml" ContentType="application/vnd.openxmlformats-officedocument.drawingml.chart+xml"/>
  <Override PartName="/xl/charts/style76.xml" ContentType="application/vnd.ms-office.chartstyle+xml"/>
  <Override PartName="/xl/charts/colors76.xml" ContentType="application/vnd.ms-office.chartcolorstyle+xml"/>
  <Override PartName="/xl/charts/chart67.xml" ContentType="application/vnd.openxmlformats-officedocument.drawingml.chart+xml"/>
  <Override PartName="/xl/charts/style77.xml" ContentType="application/vnd.ms-office.chartstyle+xml"/>
  <Override PartName="/xl/charts/colors77.xml" ContentType="application/vnd.ms-office.chartcolorstyle+xml"/>
  <Override PartName="/xl/charts/chart68.xml" ContentType="application/vnd.openxmlformats-officedocument.drawingml.chart+xml"/>
  <Override PartName="/xl/charts/style78.xml" ContentType="application/vnd.ms-office.chartstyle+xml"/>
  <Override PartName="/xl/charts/colors78.xml" ContentType="application/vnd.ms-office.chartcolorstyle+xml"/>
  <Override PartName="/xl/drawings/drawing18.xml" ContentType="application/vnd.openxmlformats-officedocument.drawing+xml"/>
  <Override PartName="/xl/charts/chart69.xml" ContentType="application/vnd.openxmlformats-officedocument.drawingml.chart+xml"/>
  <Override PartName="/xl/charts/style79.xml" ContentType="application/vnd.ms-office.chartstyle+xml"/>
  <Override PartName="/xl/charts/colors79.xml" ContentType="application/vnd.ms-office.chartcolorstyle+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comments15.xml" ContentType="application/vnd.openxmlformats-officedocument.spreadsheetml.comments+xml"/>
  <Override PartName="/xl/threadedComments/threadedComment15.xml" ContentType="application/vnd.ms-excel.threadedcomments+xml"/>
  <Override PartName="/xl/comments16.xml" ContentType="application/vnd.openxmlformats-officedocument.spreadsheetml.comments+xml"/>
  <Override PartName="/xl/threadedComments/threadedComment1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areteresearch.sharepoint.com/sites/telecoms/Models/"/>
    </mc:Choice>
  </mc:AlternateContent>
  <xr:revisionPtr revIDLastSave="5739" documentId="8_{9D98DB8E-E15C-4133-8EFD-421540611B0F}" xr6:coauthVersionLast="47" xr6:coauthVersionMax="47" xr10:uidLastSave="{60136421-347A-46C1-9004-E5E1AC750A3C}"/>
  <bookViews>
    <workbookView xWindow="-120" yWindow="-120" windowWidth="29040" windowHeight="15720" tabRatio="736" firstSheet="2" activeTab="4" xr2:uid="{83565BD3-9A1C-4A22-9CE3-99DAC6919112}"/>
  </bookViews>
  <sheets>
    <sheet name="Charts" sheetId="42" r:id="rId1"/>
    <sheet name="New SBG Valuation" sheetId="53" r:id="rId2"/>
    <sheet name="Alt. SoftBank Valuation" sheetId="52" r:id="rId3"/>
    <sheet name="Valuation table summary" sheetId="39" r:id="rId4"/>
    <sheet name="FP" sheetId="3" r:id="rId5"/>
    <sheet name="P.F. NAV Table" sheetId="56" r:id="rId6"/>
    <sheet name="Quarterly NAV Table" sheetId="46" r:id="rId7"/>
    <sheet name="OpenAI SBG &quot;rough&quot;" sheetId="62" r:id="rId8"/>
    <sheet name="OpenAI Valuation table" sheetId="63" r:id="rId9"/>
    <sheet name="Valuation &amp; SBG NAV" sheetId="20" r:id="rId10"/>
    <sheet name="AI Computing" sheetId="66" r:id="rId11"/>
    <sheet name="Investment Business Of HoldCo" sheetId="14" r:id="rId12"/>
    <sheet name="SVF Segment" sheetId="7" r:id="rId13"/>
    <sheet name="SVF1" sheetId="12" r:id="rId14"/>
    <sheet name="SVF2" sheetId="13" r:id="rId15"/>
    <sheet name="SoftBank Other (13F)" sheetId="43" r:id="rId16"/>
    <sheet name="LatAm Funds" sheetId="45" r:id="rId17"/>
    <sheet name="Net debt &amp; LTV" sheetId="11" r:id="rId18"/>
    <sheet name="TopCo Gross cash table" sheetId="47" r:id="rId19"/>
    <sheet name="TopCo Net debt waterfall" sheetId="44" r:id="rId20"/>
    <sheet name="SBG Corp. Bonds Dec. '25" sheetId="65" r:id="rId21"/>
    <sheet name="SBG Corp. Bonds Sep. '25" sheetId="61" r:id="rId22"/>
    <sheet name="SBG Corp. Bonds Jun. '25" sheetId="55" r:id="rId23"/>
    <sheet name="SBG Corporate Bonds OLD" sheetId="38" r:id="rId24"/>
    <sheet name="Financial statements (OLD)" sheetId="1" r:id="rId25"/>
    <sheet name="Consolidated (OLD)" sheetId="15" r:id="rId26"/>
    <sheet name="Arm (OLD)" sheetId="35" r:id="rId27"/>
    <sheet name="Links (Arm OLD Model)" sheetId="36" r:id="rId28"/>
    <sheet name="Financial statements KK" sheetId="27" r:id="rId29"/>
    <sheet name="Consolidated KK" sheetId="28" r:id="rId30"/>
    <sheet name="Thomson Reuters VC Index" sheetId="16" r:id="rId31"/>
    <sheet name="SVF Indexes" sheetId="17" r:id="rId32"/>
    <sheet name="SBG Discount to NAV Workings" sheetId="18" r:id="rId33"/>
    <sheet name="QoQ Discount to NAV Workings" sheetId="48" r:id="rId34"/>
    <sheet name="FX" sheetId="9" r:id="rId35"/>
    <sheet name="SBG investee share prices" sheetId="24" r:id="rId36"/>
    <sheet name="FP SoftBank Corp." sheetId="25" r:id="rId37"/>
    <sheet name="Valuation SoftBank Corp." sheetId="26" r:id="rId38"/>
    <sheet name="Business segments KK" sheetId="30" r:id="rId39"/>
    <sheet name="Mobile" sheetId="31" r:id="rId40"/>
    <sheet name="Broadband" sheetId="32" r:id="rId41"/>
    <sheet name="Media &amp; EC" sheetId="33" r:id="rId42"/>
    <sheet name="Financial" sheetId="34" r:id="rId43"/>
  </sheets>
  <externalReferences>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s>
  <definedNames>
    <definedName name="__________a121">{"'ICo.'!$J$12:$K$20"}</definedName>
    <definedName name="__________ｍｔｂ2" hidden="1">{"ｹﾝﾄ（M)",#N/A,FALSE,"収支・日割";"ｹﾝﾄ（RD)",#N/A,FALSE,"収支・日割";"ｹﾝﾄ（PMC)",#N/A,FALSE,"収支・日割"}</definedName>
    <definedName name="__________mtb3" hidden="1">{#N/A,#N/A,FALSE,"１";#N/A,#N/A,FALSE,"２";#N/A,#N/A,FALSE,"３";#N/A,#N/A,FALSE,"４"}</definedName>
    <definedName name="_________a121">{"'ICo.'!$J$12:$K$20"}</definedName>
    <definedName name="________a1">{"mgmt forecast",#N/A,FALSE,"Mgmt Forecast";"dcf table",#N/A,FALSE,"Mgmt Forecast";"sensitivity",#N/A,FALSE,"Mgmt Forecast";"table inputs",#N/A,FALSE,"Mgmt Forecast";"calculations",#N/A,FALSE,"Mgmt Forecast"}</definedName>
    <definedName name="________a121">{"'ICo.'!$J$12:$K$20"}</definedName>
    <definedName name="________a2">{"mgmt forecast",#N/A,FALSE,"Mgmt Forecast";"dcf table",#N/A,FALSE,"Mgmt Forecast";"sensitivity",#N/A,FALSE,"Mgmt Forecast";"table inputs",#N/A,FALSE,"Mgmt Forecast";"calculations",#N/A,FALSE,"Mgmt Forecast"}</definedName>
    <definedName name="________ｍｔｂ2" hidden="1">{"ｹﾝﾄ（M)",#N/A,FALSE,"収支・日割";"ｹﾝﾄ（RD)",#N/A,FALSE,"収支・日割";"ｹﾝﾄ（PMC)",#N/A,FALSE,"収支・日割"}</definedName>
    <definedName name="________mtb3" hidden="1">{#N/A,#N/A,FALSE,"１";#N/A,#N/A,FALSE,"２";#N/A,#N/A,FALSE,"３";#N/A,#N/A,FALSE,"４"}</definedName>
    <definedName name="_______a121">{"'ICo.'!$J$12:$K$20"}</definedName>
    <definedName name="_______DCF1">{#N/A,#N/A,FALSE,"DCF Summary";#N/A,#N/A,FALSE,"Casema";#N/A,#N/A,FALSE,"Casema NoTel";#N/A,#N/A,FALSE,"UK";#N/A,#N/A,FALSE,"RCF";#N/A,#N/A,FALSE,"Intercable CZ";#N/A,#N/A,FALSE,"Interkabel P"}</definedName>
    <definedName name="_______ｍｔｂ2" hidden="1">{"ｹﾝﾄ（M)",#N/A,FALSE,"収支・日割";"ｹﾝﾄ（RD)",#N/A,FALSE,"収支・日割";"ｹﾝﾄ（PMC)",#N/A,FALSE,"収支・日割"}</definedName>
    <definedName name="_______mtb3" hidden="1">{#N/A,#N/A,FALSE,"１";#N/A,#N/A,FALSE,"２";#N/A,#N/A,FALSE,"３";#N/A,#N/A,FALSE,"４"}</definedName>
    <definedName name="_______wr1">{"hist_bs",#N/A,FALSE,"Exhibit D,E1,E2";#N/A,#N/A,FALSE,"Exhibit E3";#N/A,#N/A,FALSE,"Mgmt. Projtn";#N/A,#N/A,FALSE,"Exhibit B-1";#N/A,#N/A,FALSE,"Exhibit A";#N/A,#N/A,FALSE,"WACC";#N/A,#N/A,FALSE,"Control";"hist_inc",#N/A,FALSE,"Exhibit D,E1,E2"}</definedName>
    <definedName name="______a1">{"mgmt forecast",#N/A,FALSE,"Mgmt Forecast";"dcf table",#N/A,FALSE,"Mgmt Forecast";"sensitivity",#N/A,FALSE,"Mgmt Forecast";"table inputs",#N/A,FALSE,"Mgmt Forecast";"calculations",#N/A,FALSE,"Mgmt Forecast"}</definedName>
    <definedName name="______a121">{"'ICo.'!$J$12:$K$20"}</definedName>
    <definedName name="______a2">{"mgmt forecast",#N/A,FALSE,"Mgmt Forecast";"dcf table",#N/A,FALSE,"Mgmt Forecast";"sensitivity",#N/A,FALSE,"Mgmt Forecast";"table inputs",#N/A,FALSE,"Mgmt Forecast";"calculations",#N/A,FALSE,"Mgmt Forecast"}</definedName>
    <definedName name="______DCF1">{#N/A,#N/A,FALSE,"DCF Summary";#N/A,#N/A,FALSE,"Casema";#N/A,#N/A,FALSE,"Casema NoTel";#N/A,#N/A,FALSE,"UK";#N/A,#N/A,FALSE,"RCF";#N/A,#N/A,FALSE,"Intercable CZ";#N/A,#N/A,FALSE,"Interkabel P"}</definedName>
    <definedName name="______fdv2">{"quarterly",#N/A,FALSE,"Income Statement";#N/A,#N/A,FALSE,"print segment";#N/A,#N/A,FALSE,"Balance Sheet";#N/A,#N/A,FALSE,"Annl Inc";#N/A,#N/A,FALSE,"Cash Flow"}</definedName>
    <definedName name="______mtb3" hidden="1">{#N/A,#N/A,FALSE,"１";#N/A,#N/A,FALSE,"２";#N/A,#N/A,FALSE,"３";#N/A,#N/A,FALSE,"４"}</definedName>
    <definedName name="______OCT334">#REF!</definedName>
    <definedName name="______wr1">{"hist_bs",#N/A,FALSE,"Exhibit D,E1,E2";#N/A,#N/A,FALSE,"Exhibit E3";#N/A,#N/A,FALSE,"Mgmt. Projtn";#N/A,#N/A,FALSE,"Exhibit B-1";#N/A,#N/A,FALSE,"Exhibit A";#N/A,#N/A,FALSE,"WACC";#N/A,#N/A,FALSE,"Control";"hist_inc",#N/A,FALSE,"Exhibit D,E1,E2"}</definedName>
    <definedName name="______z1">{#N/A,#N/A,TRUE,"Cover sheet";#N/A,#N/A,TRUE,"Summary";#N/A,#N/A,TRUE,"Key Assumptions";#N/A,#N/A,TRUE,"Profit &amp; Loss";#N/A,#N/A,TRUE,"Balance Sheet";#N/A,#N/A,TRUE,"Cashflow";#N/A,#N/A,TRUE,"IRR";#N/A,#N/A,TRUE,"Ratios";#N/A,#N/A,TRUE,"Debt analysis"}</definedName>
    <definedName name="_____a121">{"'ICo.'!$J$12:$K$20"}</definedName>
    <definedName name="_____c">{#N/A,#N/A,FALSE,"Layout Cash Flow"}</definedName>
    <definedName name="_____DCF1">{#N/A,#N/A,FALSE,"DCF Summary";#N/A,#N/A,FALSE,"Casema";#N/A,#N/A,FALSE,"Casema NoTel";#N/A,#N/A,FALSE,"UK";#N/A,#N/A,FALSE,"RCF";#N/A,#N/A,FALSE,"Intercable CZ";#N/A,#N/A,FALSE,"Interkabel P"}</definedName>
    <definedName name="_____dcf2">{#N/A,#N/A,FALSE,"DCF Summary";#N/A,#N/A,FALSE,"Casema";#N/A,#N/A,FALSE,"Casema NoTel";#N/A,#N/A,FALSE,"UK";#N/A,#N/A,FALSE,"RCF";#N/A,#N/A,FALSE,"Intercable CZ";#N/A,#N/A,FALSE,"Interkabel P"}</definedName>
    <definedName name="_____erz6" hidden="1">{"Page1",#N/A,FALSE,"Segment Overview";"Page2",#N/A,FALSE,"Segment Overview";"Page3",#N/A,FALSE,"Summary";"Page4",#N/A,FALSE,"Summary";"Page5",#N/A,FALSE,"US Pubs Rev";"Page6",#N/A,FALSE,"US Pubs Rev";"Page7",#N/A,FALSE,"US Pubs EBITDA";"Page8",#N/A,FALSE,"US Pubs EBITDA"}</definedName>
    <definedName name="_____fdv2">{"quarterly",#N/A,FALSE,"Income Statement";#N/A,#N/A,FALSE,"print segment";#N/A,#N/A,FALSE,"Balance Sheet";#N/A,#N/A,FALSE,"Annl Inc";#N/A,#N/A,FALSE,"Cash Flow"}</definedName>
    <definedName name="_____key2">#REF!</definedName>
    <definedName name="_____ｍｔｂ2" hidden="1">{"ｹﾝﾄ（M)",#N/A,FALSE,"収支・日割";"ｹﾝﾄ（RD)",#N/A,FALSE,"収支・日割";"ｹﾝﾄ（PMC)",#N/A,FALSE,"収支・日割"}</definedName>
    <definedName name="_____mtb3" hidden="1">{#N/A,#N/A,FALSE,"１";#N/A,#N/A,FALSE,"２";#N/A,#N/A,FALSE,"３";#N/A,#N/A,FALSE,"４"}</definedName>
    <definedName name="_____OCT334">#REF!</definedName>
    <definedName name="_____z1">{#N/A,#N/A,TRUE,"Cover sheet";#N/A,#N/A,TRUE,"Summary";#N/A,#N/A,TRUE,"Key Assumptions";#N/A,#N/A,TRUE,"Profit &amp; Loss";#N/A,#N/A,TRUE,"Balance Sheet";#N/A,#N/A,TRUE,"Cashflow";#N/A,#N/A,TRUE,"IRR";#N/A,#N/A,TRUE,"Ratios";#N/A,#N/A,TRUE,"Debt analysis"}</definedName>
    <definedName name="____a1">{"mgmt forecast",#N/A,FALSE,"Mgmt Forecast";"dcf table",#N/A,FALSE,"Mgmt Forecast";"sensitivity",#N/A,FALSE,"Mgmt Forecast";"table inputs",#N/A,FALSE,"Mgmt Forecast";"calculations",#N/A,FALSE,"Mgmt Forecast"}</definedName>
    <definedName name="____a121">{"'ICo.'!$J$12:$K$20"}</definedName>
    <definedName name="____a2">{"mgmt forecast",#N/A,FALSE,"Mgmt Forecast";"dcf table",#N/A,FALSE,"Mgmt Forecast";"sensitivity",#N/A,FALSE,"Mgmt Forecast";"table inputs",#N/A,FALSE,"Mgmt Forecast";"calculations",#N/A,FALSE,"Mgmt Forecast"}</definedName>
    <definedName name="____AAA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bg1">{#N/A,#N/A,TRUE,"Summary - 1";#N/A,#N/A,TRUE,"Summary - 2";#N/A,#N/A,TRUE,"Group Analysis";#N/A,#N/A,TRUE,"FM Analysis";#N/A,#N/A,TRUE,"T&amp;M-Onsite";#N/A,#N/A,TRUE,"FP-Onsite";#N/A,#N/A,TRUE,"NB-Onsite";#N/A,#N/A,TRUE,"T&amp;M-Offshore";#N/A,#N/A,TRUE,"FP-Offshore";#N/A,#N/A,TRUE,"Appendix-A";#N/A,#N/A,TRUE,"Appendix-B"}</definedName>
    <definedName name="____bg2">{#N/A,#N/A,TRUE,"Summary - 1";#N/A,#N/A,TRUE,"Summary - 2";#N/A,#N/A,TRUE,"Group Analysis";#N/A,#N/A,TRUE,"FM Analysis";#N/A,#N/A,TRUE,"T&amp;M-Onsite";#N/A,#N/A,TRUE,"FP-Onsite";#N/A,#N/A,TRUE,"NB-Onsite";#N/A,#N/A,TRUE,"T&amp;M-Offshore";#N/A,#N/A,TRUE,"FP-Offshore";#N/A,#N/A,TRUE,"Appendix-A";#N/A,#N/A,TRUE,"Appendix-B"}</definedName>
    <definedName name="____bg3">{#N/A,#N/A,TRUE,"Summary - 1";#N/A,#N/A,TRUE,"Summary - 2";#N/A,#N/A,TRUE,"Group Analysis";#N/A,#N/A,TRUE,"FM Analysis";#N/A,#N/A,TRUE,"T&amp;M-Onsite";#N/A,#N/A,TRUE,"FP-Onsite";#N/A,#N/A,TRUE,"NB-Onsite";#N/A,#N/A,TRUE,"T&amp;M-Offshore";#N/A,#N/A,TRUE,"FP-Offshore";#N/A,#N/A,TRUE,"Appendix-A";#N/A,#N/A,TRUE,"Appendix-B"}</definedName>
    <definedName name="____bg4">{#N/A,#N/A,TRUE,"Summary - 1";#N/A,#N/A,TRUE,"Summary - 2";#N/A,#N/A,TRUE,"Group Analysis";#N/A,#N/A,TRUE,"FM Analysis";#N/A,#N/A,TRUE,"T&amp;M-Onsite";#N/A,#N/A,TRUE,"FP-Onsite";#N/A,#N/A,TRUE,"NB-Onsite";#N/A,#N/A,TRUE,"T&amp;M-Offshore";#N/A,#N/A,TRUE,"FP-Offshore";#N/A,#N/A,TRUE,"Appendix-A";#N/A,#N/A,TRUE,"Appendix-B"}</definedName>
    <definedName name="____c">{#N/A,#N/A,FALSE,"Layout Cash Flow"}</definedName>
    <definedName name="____cc1">{"'I-1 and I-2'!$A$1:$G$190"}</definedName>
    <definedName name="____DAT1">#REF!</definedName>
    <definedName name="____DAT2">#REF!</definedName>
    <definedName name="____DAT3">#REF!</definedName>
    <definedName name="____DAT4">#REF!</definedName>
    <definedName name="____DAT5">#REF!</definedName>
    <definedName name="____DAT6">#REF!</definedName>
    <definedName name="____DAT7">#REF!</definedName>
    <definedName name="____DCF1">{#N/A,#N/A,FALSE,"DCF Summary";#N/A,#N/A,FALSE,"Casema";#N/A,#N/A,FALSE,"Casema NoTel";#N/A,#N/A,FALSE,"UK";#N/A,#N/A,FALSE,"RCF";#N/A,#N/A,FALSE,"Intercable CZ";#N/A,#N/A,FALSE,"Interkabel P"}</definedName>
    <definedName name="____dcf2">{#N/A,#N/A,FALSE,"DCF Summary";#N/A,#N/A,FALSE,"Casema";#N/A,#N/A,FALSE,"Casema NoTel";#N/A,#N/A,FALSE,"UK";#N/A,#N/A,FALSE,"RCF";#N/A,#N/A,FALSE,"Intercable CZ";#N/A,#N/A,FALSE,"Interkabel P"}</definedName>
    <definedName name="____dd1">{"'I-1 and I-2'!$A$1:$G$190"}</definedName>
    <definedName name="____erz6" hidden="1">{"Page1",#N/A,FALSE,"Segment Overview";"Page2",#N/A,FALSE,"Segment Overview";"Page3",#N/A,FALSE,"Summary";"Page4",#N/A,FALSE,"Summary";"Page5",#N/A,FALSE,"US Pubs Rev";"Page6",#N/A,FALSE,"US Pubs Rev";"Page7",#N/A,FALSE,"US Pubs EBITDA";"Page8",#N/A,FALSE,"US Pubs EBITDA"}</definedName>
    <definedName name="____fdv2">{"quarterly",#N/A,FALSE,"Income Statement";#N/A,#N/A,FALSE,"print segment";#N/A,#N/A,FALSE,"Balance Sheet";#N/A,#N/A,FALSE,"Annl Inc";#N/A,#N/A,FALSE,"Cash Flow"}</definedName>
    <definedName name="____Grp16">{#N/A,#N/A,FALSE,"PMTABB";#N/A,#N/A,FALSE,"PMTABB"}</definedName>
    <definedName name="____key1">'[1]#REF'!#REF!</definedName>
    <definedName name="____key2">#REF!</definedName>
    <definedName name="____ｍｔｂ2" hidden="1">{"ｹﾝﾄ（M)",#N/A,FALSE,"収支・日割";"ｹﾝﾄ（RD)",#N/A,FALSE,"収支・日割";"ｹﾝﾄ（PMC)",#N/A,FALSE,"収支・日割"}</definedName>
    <definedName name="____mtb3" hidden="1">{#N/A,#N/A,FALSE,"１";#N/A,#N/A,FALSE,"２";#N/A,#N/A,FALSE,"３";#N/A,#N/A,FALSE,"４"}</definedName>
    <definedName name="____OCT334">#REF!</definedName>
    <definedName name="____raj1234">{"","","'Curves'!$V$3","'Curves'!$W$3","","","","","",""}</definedName>
    <definedName name="____sm1">{"'I-1 and I-2'!$A$1:$G$190"}</definedName>
    <definedName name="____wr1">{"hist_bs",#N/A,FALSE,"Exhibit D,E1,E2";#N/A,#N/A,FALSE,"Exhibit E3";#N/A,#N/A,FALSE,"Mgmt. Projtn";#N/A,#N/A,FALSE,"Exhibit B-1";#N/A,#N/A,FALSE,"Exhibit A";#N/A,#N/A,FALSE,"WACC";#N/A,#N/A,FALSE,"Control";"hist_inc",#N/A,FALSE,"Exhibit D,E1,E2"}</definedName>
    <definedName name="____z1">{#N/A,#N/A,TRUE,"Cover sheet";#N/A,#N/A,TRUE,"Summary";#N/A,#N/A,TRUE,"Key Assumptions";#N/A,#N/A,TRUE,"Profit &amp; Loss";#N/A,#N/A,TRUE,"Balance Sheet";#N/A,#N/A,TRUE,"Cashflow";#N/A,#N/A,TRUE,"IRR";#N/A,#N/A,TRUE,"Ratios";#N/A,#N/A,TRUE,"Debt analysis"}</definedName>
    <definedName name="___a121">{"'ICo.'!$J$12:$K$20"}</definedName>
    <definedName name="___bg1">{#N/A,#N/A,TRUE,"Summary - 1";#N/A,#N/A,TRUE,"Summary - 2";#N/A,#N/A,TRUE,"Group Analysis";#N/A,#N/A,TRUE,"FM Analysis";#N/A,#N/A,TRUE,"T&amp;M-Onsite";#N/A,#N/A,TRUE,"FP-Onsite";#N/A,#N/A,TRUE,"NB-Onsite";#N/A,#N/A,TRUE,"T&amp;M-Offshore";#N/A,#N/A,TRUE,"FP-Offshore";#N/A,#N/A,TRUE,"Appendix-A";#N/A,#N/A,TRUE,"Appendix-B"}</definedName>
    <definedName name="___bg2">{#N/A,#N/A,TRUE,"Summary - 1";#N/A,#N/A,TRUE,"Summary - 2";#N/A,#N/A,TRUE,"Group Analysis";#N/A,#N/A,TRUE,"FM Analysis";#N/A,#N/A,TRUE,"T&amp;M-Onsite";#N/A,#N/A,TRUE,"FP-Onsite";#N/A,#N/A,TRUE,"NB-Onsite";#N/A,#N/A,TRUE,"T&amp;M-Offshore";#N/A,#N/A,TRUE,"FP-Offshore";#N/A,#N/A,TRUE,"Appendix-A";#N/A,#N/A,TRUE,"Appendix-B"}</definedName>
    <definedName name="___bg3">{#N/A,#N/A,TRUE,"Summary - 1";#N/A,#N/A,TRUE,"Summary - 2";#N/A,#N/A,TRUE,"Group Analysis";#N/A,#N/A,TRUE,"FM Analysis";#N/A,#N/A,TRUE,"T&amp;M-Onsite";#N/A,#N/A,TRUE,"FP-Onsite";#N/A,#N/A,TRUE,"NB-Onsite";#N/A,#N/A,TRUE,"T&amp;M-Offshore";#N/A,#N/A,TRUE,"FP-Offshore";#N/A,#N/A,TRUE,"Appendix-A";#N/A,#N/A,TRUE,"Appendix-B"}</definedName>
    <definedName name="___bg4">{#N/A,#N/A,TRUE,"Summary - 1";#N/A,#N/A,TRUE,"Summary - 2";#N/A,#N/A,TRUE,"Group Analysis";#N/A,#N/A,TRUE,"FM Analysis";#N/A,#N/A,TRUE,"T&amp;M-Onsite";#N/A,#N/A,TRUE,"FP-Onsite";#N/A,#N/A,TRUE,"NB-Onsite";#N/A,#N/A,TRUE,"T&amp;M-Offshore";#N/A,#N/A,TRUE,"FP-Offshore";#N/A,#N/A,TRUE,"Appendix-A";#N/A,#N/A,TRUE,"Appendix-B"}</definedName>
    <definedName name="___c">{#N/A,#N/A,FALSE,"Layout Cash Flow"}</definedName>
    <definedName name="___cc1">{"'I-1 and I-2'!$A$1:$G$190"}</definedName>
    <definedName name="___DAT1">#REF!</definedName>
    <definedName name="___DAT2">#REF!</definedName>
    <definedName name="___DAT3">#REF!</definedName>
    <definedName name="___DAT4">#REF!</definedName>
    <definedName name="___DAT5">#REF!</definedName>
    <definedName name="___DAT6">#REF!</definedName>
    <definedName name="___DAT7">#REF!</definedName>
    <definedName name="___DCF1">{#N/A,#N/A,FALSE,"DCF Summary";#N/A,#N/A,FALSE,"Casema";#N/A,#N/A,FALSE,"Casema NoTel";#N/A,#N/A,FALSE,"UK";#N/A,#N/A,FALSE,"RCF";#N/A,#N/A,FALSE,"Intercable CZ";#N/A,#N/A,FALSE,"Interkabel P"}</definedName>
    <definedName name="___dcf2">{#N/A,#N/A,FALSE,"DCF Summary";#N/A,#N/A,FALSE,"Casema";#N/A,#N/A,FALSE,"Casema NoTel";#N/A,#N/A,FALSE,"UK";#N/A,#N/A,FALSE,"RCF";#N/A,#N/A,FALSE,"Intercable CZ";#N/A,#N/A,FALSE,"Interkabel P"}</definedName>
    <definedName name="___dd1">{"'I-1 and I-2'!$A$1:$G$190"}</definedName>
    <definedName name="___erz6" hidden="1">{"Page1",#N/A,FALSE,"Segment Overview";"Page2",#N/A,FALSE,"Segment Overview";"Page3",#N/A,FALSE,"Summary";"Page4",#N/A,FALSE,"Summary";"Page5",#N/A,FALSE,"US Pubs Rev";"Page6",#N/A,FALSE,"US Pubs Rev";"Page7",#N/A,FALSE,"US Pubs EBITDA";"Page8",#N/A,FALSE,"US Pubs EBITDA"}</definedName>
    <definedName name="___fdv2">{"quarterly",#N/A,FALSE,"Income Statement";#N/A,#N/A,FALSE,"print segment";#N/A,#N/A,FALSE,"Balance Sheet";#N/A,#N/A,FALSE,"Annl Inc";#N/A,#N/A,FALSE,"Cash Flow"}</definedName>
    <definedName name="___fy97">{#N/A,#N/A,FALSE,"FY97";#N/A,#N/A,FALSE,"FY98";#N/A,#N/A,FALSE,"FY99";#N/A,#N/A,FALSE,"FY00";#N/A,#N/A,FALSE,"FY01"}</definedName>
    <definedName name="___Grp16">{#N/A,#N/A,FALSE,"PMTABB";#N/A,#N/A,FALSE,"PMTABB"}</definedName>
    <definedName name="___key1">'[1]#REF'!#REF!</definedName>
    <definedName name="___key2">#REF!</definedName>
    <definedName name="___ｍｔｂ2" hidden="1">{"ｹﾝﾄ（M)",#N/A,FALSE,"収支・日割";"ｹﾝﾄ（RD)",#N/A,FALSE,"収支・日割";"ｹﾝﾄ（PMC)",#N/A,FALSE,"収支・日割"}</definedName>
    <definedName name="___mtb3" hidden="1">{#N/A,#N/A,FALSE,"１";#N/A,#N/A,FALSE,"２";#N/A,#N/A,FALSE,"３";#N/A,#N/A,FALSE,"４"}</definedName>
    <definedName name="___OCT334">#REF!</definedName>
    <definedName name="___r">{"consolidated",#N/A,FALSE,"Sheet1";"cms",#N/A,FALSE,"Sheet1";"fse",#N/A,FALSE,"Sheet1"}</definedName>
    <definedName name="___raj1234">{"","","'Curves'!$V$3","'Curves'!$W$3","","","","","",""}</definedName>
    <definedName name="___sm1">{"'I-1 and I-2'!$A$1:$G$190"}</definedName>
    <definedName name="___thinkcell11wvTEL6W0W2zDrq5o.quA">#REF!</definedName>
    <definedName name="___wr1">{"hist_bs",#N/A,FALSE,"Exhibit D,E1,E2";#N/A,#N/A,FALSE,"Exhibit E3";#N/A,#N/A,FALSE,"Mgmt. Projtn";#N/A,#N/A,FALSE,"Exhibit B-1";#N/A,#N/A,FALSE,"Exhibit A";#N/A,#N/A,FALSE,"WACC";#N/A,#N/A,FALSE,"Control";"hist_inc",#N/A,FALSE,"Exhibit D,E1,E2"}</definedName>
    <definedName name="___wrn1">{#N/A,#N/A,FALSE,"DCF";#N/A,#N/A,FALSE,"WACC";#N/A,#N/A,FALSE,"Sales_EBIT";#N/A,#N/A,FALSE,"Capex_Depreciation";#N/A,#N/A,FALSE,"WC";#N/A,#N/A,FALSE,"Interest";#N/A,#N/A,FALSE,"Assumptions"}</definedName>
    <definedName name="___z1">{#N/A,#N/A,TRUE,"Cover sheet";#N/A,#N/A,TRUE,"Summary";#N/A,#N/A,TRUE,"Key Assumptions";#N/A,#N/A,TRUE,"Profit &amp; Loss";#N/A,#N/A,TRUE,"Balance Sheet";#N/A,#N/A,TRUE,"Cashflow";#N/A,#N/A,TRUE,"IRR";#N/A,#N/A,TRUE,"Ratios";#N/A,#N/A,TRUE,"Debt analysis"}</definedName>
    <definedName name="__1__123Graph_AChart_1A">'[2]Q2 YTD OG Sales Analysis'!$C$134:$J$134</definedName>
    <definedName name="__1_154.87" hidden="1">#NAME?</definedName>
    <definedName name="__123">[3]JAN!$B$46:$B$50</definedName>
    <definedName name="__123Graph_A">#REF!</definedName>
    <definedName name="__123Graph_ABUD">[4]EXP!#REF!</definedName>
    <definedName name="__123Graph_ACHART1">[5]BSHEET!#REF!</definedName>
    <definedName name="__123Graph_ACHART2">'[6]Power &amp; Fuel (S)'!#REF!</definedName>
    <definedName name="__123Graph_ACURRENT">[5]BSHEET!#REF!</definedName>
    <definedName name="__123Graph_ADM">[3]JAN!$C$46:$C$50</definedName>
    <definedName name="__123Graph_ADY">[3]JAN!$H$46:$H$50</definedName>
    <definedName name="__123Graph_AFLOW">[7]PROGRAM!$E$124:$E$177</definedName>
    <definedName name="__123Graph_AKNS">[8]Antrag!$E$78:$X$78</definedName>
    <definedName name="__123Graph_AKVS">[8]Antrag!$E$77:$X$77</definedName>
    <definedName name="__123Graph_AMONTH">[9]SALES!#REF!</definedName>
    <definedName name="__123Graph_ATREND">[9]SALES!#REF!</definedName>
    <definedName name="__123Graph_AYEAR">[9]SALES!#REF!</definedName>
    <definedName name="__123Graph_AYTD">[4]EXP!#REF!</definedName>
    <definedName name="__123Graph_B">#REF!</definedName>
    <definedName name="__123Graph_BCHART1">'[6]Power &amp; Fuel (S)'!#REF!</definedName>
    <definedName name="__123Graph_BCHART2">'[6]Power &amp; Fuel (S)'!#REF!</definedName>
    <definedName name="__123Graph_BCURRENT">'[6]Power &amp; Fuel (S)'!#REF!</definedName>
    <definedName name="__123Graph_BDM">[3]JAN!$C$46:$C$50</definedName>
    <definedName name="__123Graph_BMONTH">[9]SALES!#REF!</definedName>
    <definedName name="__123Graph_BTREND">[9]SALES!#REF!</definedName>
    <definedName name="__123Graph_BYEAR">[9]SALES!#REF!</definedName>
    <definedName name="__123Graph_C">[10]Summary!#REF!</definedName>
    <definedName name="__123Graph_CCHART1">'[6]Power &amp; Fuel (S)'!#REF!</definedName>
    <definedName name="__123Graph_CCHART2">'[6]Power &amp; Fuel (S)'!#REF!</definedName>
    <definedName name="__123Graph_CCURRENT">'[6]Power &amp; Fuel (S)'!#REF!</definedName>
    <definedName name="__123Graph_D">[10]Summary!#REF!</definedName>
    <definedName name="__123Graph_DCHART1">'[6]Power &amp; Fuel (S)'!#REF!</definedName>
    <definedName name="__123Graph_DCHART2">'[6]Power &amp; Fuel (S)'!#REF!</definedName>
    <definedName name="__123Graph_DCURRENT">'[6]Power &amp; Fuel (S)'!#REF!</definedName>
    <definedName name="__123Graph_E">[10]Summary!#REF!</definedName>
    <definedName name="__123Graph_ECHART1">'[6]Power &amp; Fuel (S)'!#REF!</definedName>
    <definedName name="__123Graph_ECHART2">'[6]Power &amp; Fuel (S)'!#REF!</definedName>
    <definedName name="__123Graph_ECURRENT">'[6]Power &amp; Fuel (S)'!#REF!</definedName>
    <definedName name="__123Graph_F">[11]ER10_Old!#REF!</definedName>
    <definedName name="__123Graph_FCHART1">'[6]Power &amp; Fuel (S)'!#REF!</definedName>
    <definedName name="__123Graph_FCHART2">'[6]Power &amp; Fuel (S)'!#REF!</definedName>
    <definedName name="__123Graph_FCURRENT">'[6]Power &amp; Fuel (S)'!#REF!</definedName>
    <definedName name="__123Graph_LBL_A">[9]SALES!#REF!</definedName>
    <definedName name="__123Graph_LBL_AMONTH">[9]SALES!#REF!</definedName>
    <definedName name="__123Graph_LBL_ATREND">[9]SALES!#REF!</definedName>
    <definedName name="__123Graph_LBL_AYEAR">[9]SALES!#REF!</definedName>
    <definedName name="__123Graph_LBL_B">[9]SALES!#REF!</definedName>
    <definedName name="__123Graph_LBL_BMONTH">[9]SALES!#REF!</definedName>
    <definedName name="__123Graph_LBL_BTREND">[9]SALES!#REF!</definedName>
    <definedName name="__123Graph_LBL_BYEAR">[9]SALES!#REF!</definedName>
    <definedName name="__123Graph_X">#REF!</definedName>
    <definedName name="__123Graph_XBUD">[4]EXP!#REF!</definedName>
    <definedName name="__123Graph_XCHART1">'[6]Power &amp; Fuel (S)'!#REF!</definedName>
    <definedName name="__123Graph_XCHART2">'[6]Power &amp; Fuel (S)'!#REF!</definedName>
    <definedName name="__123Graph_XCURRENT">'[6]Power &amp; Fuel (S)'!#REF!</definedName>
    <definedName name="__123Graph_XDM">[3]JAN!$B$46:$B$50</definedName>
    <definedName name="__123Graph_XDY">[3]JAN!$B$46:$B$50</definedName>
    <definedName name="__123Graph_XKNS">[8]Antrag!$E$32:$X$32</definedName>
    <definedName name="__123Graph_XKVS">[8]Antrag!$E$32:$X$32</definedName>
    <definedName name="__123Graph_XMONTH">[9]SALES!#REF!</definedName>
    <definedName name="__123Graph_XTREND">[9]SALES!#REF!</definedName>
    <definedName name="__123Graph_XYEAR">[9]SALES!#REF!</definedName>
    <definedName name="__123Graph_XYTD">[4]EXP!#REF!</definedName>
    <definedName name="__2__123Graph_BChart_1A">'[2]Q2 YTD OG Sales Analysis'!$C$135:$J$135</definedName>
    <definedName name="__3__123Graph_CChart_1A">'[2]Q2 YTD OG Sales Analysis'!$C$136:$J$136</definedName>
    <definedName name="__4__123Graph_DChart_1A">'[2]Q2 YTD OG Sales Analysis'!$C$137:$J$137</definedName>
    <definedName name="__5__123Graph_EChart_1A">'[2]Q2 YTD OG Sales Analysis'!$C$138:$J$138</definedName>
    <definedName name="__6__123Graph_XChart_1A">'[2]Q2 YTD OG Sales Analysis'!$C$131:$J$131</definedName>
    <definedName name="__a1">{#N/A,#N/A,FALSE,"Pharm";#N/A,#N/A,FALSE,"WWCM"}</definedName>
    <definedName name="__A11">{#N/A,#N/A,FALSE,"Umsatz 99";#N/A,#N/A,FALSE,"ER 99 "}</definedName>
    <definedName name="__a121">{"'ICo.'!$J$12:$K$20"}</definedName>
    <definedName name="__a2">{#N/A,#N/A,FALSE,"Hip.Bas";#N/A,#N/A,FALSE,"ventas";#N/A,#N/A,FALSE,"ingre-Año";#N/A,#N/A,FALSE,"ventas-Año";#N/A,#N/A,FALSE,"Costepro";#N/A,#N/A,FALSE,"inversion";#N/A,#N/A,FALSE,"personal";#N/A,#N/A,FALSE,"Gastos-V";#N/A,#N/A,FALSE,"Circulante";#N/A,#N/A,FALSE,"CONSOLI";#N/A,#N/A,FALSE,"Es-Fin";#N/A,#N/A,FALSE,"Margen-P"}</definedName>
    <definedName name="__a3">{#N/A,#N/A,TRUE,"A-site";#N/A,#N/A,TRUE,"B-Buildings";#N/A,#N/A,TRUE,"c-out-of-fence";#N/A,#N/A,TRUE,"d-proj.infr.";#N/A,#N/A,TRUE,"e- land"}</definedName>
    <definedName name="__a4">{#N/A,#N/A,TRUE,"A-site";#N/A,#N/A,TRUE,"B-Buildings";#N/A,#N/A,TRUE,"c-out-of-fence";#N/A,#N/A,TRUE,"d-proj.infr.";#N/A,#N/A,TRUE,"e- land"}</definedName>
    <definedName name="__a5">{#N/A,#N/A,TRUE,"A-site";#N/A,#N/A,TRUE,"B-Buildings";#N/A,#N/A,TRUE,"c-out-of-fence";#N/A,#N/A,TRUE,"d-proj.infr.";#N/A,#N/A,TRUE,"e- land"}</definedName>
    <definedName name="__a6">{#N/A,#N/A,TRUE,"A-site";#N/A,#N/A,TRUE,"B-Buildings";#N/A,#N/A,TRUE,"c-out-of-fence";#N/A,#N/A,TRUE,"d-proj.infr.";#N/A,#N/A,TRUE,"e- land"}</definedName>
    <definedName name="__a7">{#N/A,#N/A,TRUE,"A-site";#N/A,#N/A,TRUE,"B-Buildings";#N/A,#N/A,TRUE,"c-out-of-fence";#N/A,#N/A,TRUE,"d-proj.infr.";#N/A,#N/A,TRUE,"e- land"}</definedName>
    <definedName name="__aaa1">{#N/A,#N/A,FALSE,"REPORT"}</definedName>
    <definedName name="__aas1">{#N/A,#N/A,FALSE,"REPORT"}</definedName>
    <definedName name="__ACS2000">{#N/A,#N/A,FALSE,"REPORT"}</definedName>
    <definedName name="__APW_RESTORE_DATA6043__">#N/A</definedName>
    <definedName name="__b111">{#N/A,#N/A,FALSE,"Pharm";#N/A,#N/A,FALSE,"WWCM"}</definedName>
    <definedName name="__c">{#N/A,#N/A,FALSE,"Layout Cash Flow"}</definedName>
    <definedName name="__cc3">{"'I-1 and I-2'!$A$1:$G$190"}</definedName>
    <definedName name="__cxx23">{"'I-1 and I-2'!$A$1:$G$190"}</definedName>
    <definedName name="__DAT1">#REF!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CF1">{#N/A,#N/A,FALSE,"DCF Summary";#N/A,#N/A,FALSE,"Casema";#N/A,#N/A,FALSE,"Casema NoTel";#N/A,#N/A,FALSE,"UK";#N/A,#N/A,FALSE,"RCF";#N/A,#N/A,FALSE,"Intercable CZ";#N/A,#N/A,FALSE,"Interkabel P"}</definedName>
    <definedName name="__dcf2">{#N/A,#N/A,FALSE,"DCF Summary";#N/A,#N/A,FALSE,"Casema";#N/A,#N/A,FALSE,"Casema NoTel";#N/A,#N/A,FALSE,"UK";#N/A,#N/A,FALSE,"RCF";#N/A,#N/A,FALSE,"Intercable CZ";#N/A,#N/A,FALSE,"Interkabel P"}</definedName>
    <definedName name="__FDS_HYPERLINK_TOGGLE_STATE__" hidden="1">"ON"</definedName>
    <definedName name="__FDS_UNIQUE_RANGE_ID_GENERATOR_COUNTER">1</definedName>
    <definedName name="__FDS_USED_FOR_REUSING_RANGE_IDS_RECYCLE">{152,168,338,189,173,195,158,390,7,11,232,378,159,175,261,183,177,129,8,155,265,394,57}</definedName>
    <definedName name="__fdv2">{"quarterly",#N/A,FALSE,"Income Statement";#N/A,#N/A,FALSE,"print segment";#N/A,#N/A,FALSE,"Balance Sheet";#N/A,#N/A,FALSE,"Annl Inc";#N/A,#N/A,FALSE,"Cash Flow"}</definedName>
    <definedName name="__fy97">{#N/A,#N/A,FALSE,"FY97";#N/A,#N/A,FALSE,"FY98";#N/A,#N/A,FALSE,"FY99";#N/A,#N/A,FALSE,"FY00";#N/A,#N/A,FALSE,"FY01"}</definedName>
    <definedName name="__Grp16">{#N/A,#N/A,FALSE,"PMTABB";#N/A,#N/A,FALSE,"PMTABB"}</definedName>
    <definedName name="__ii8">{"'I-1 and I-2'!$A$1:$G$190"}</definedName>
    <definedName name="__IntlFixup">TRUE</definedName>
    <definedName name="__key1">[12]sheet6!#REF!</definedName>
    <definedName name="__key2">#REF!</definedName>
    <definedName name="__kn1">{#N/A,#N/A,TRUE,"A-site";#N/A,#N/A,TRUE,"B-Buildings";#N/A,#N/A,TRUE,"c-out-of-fence";#N/A,#N/A,TRUE,"d-proj.infr.";#N/A,#N/A,TRUE,"e- land"}</definedName>
    <definedName name="__mmk8">{"'I-1 and I-2'!$A$1:$G$190"}</definedName>
    <definedName name="__ｍｔｂ2" hidden="1">{"ｹﾝﾄ（M)",#N/A,FALSE,"収支・日割";"ｹﾝﾄ（RD)",#N/A,FALSE,"収支・日割";"ｹﾝﾄ（PMC)",#N/A,FALSE,"収支・日割"}</definedName>
    <definedName name="__mtb3" hidden="1">{#N/A,#N/A,FALSE,"１";#N/A,#N/A,FALSE,"２";#N/A,#N/A,FALSE,"３";#N/A,#N/A,FALSE,"４"}</definedName>
    <definedName name="__new1">{#N/A,#N/A,FALSE,"Pharm";#N/A,#N/A,FALSE,"WWCM"}</definedName>
    <definedName name="__nn5">{"'I-1 and I-2'!$A$1:$G$190"}</definedName>
    <definedName name="__nn6">{"'I-1 and I-2'!$A$1:$G$190"}</definedName>
    <definedName name="__OCT334">#REF!</definedName>
    <definedName name="__ok1">{"","","'Curves'!$W$10","'Curves'!$X$10","","","","","",""}</definedName>
    <definedName name="__ok1234">{"Curves","Chart 1","Curves Graphique 1"}</definedName>
    <definedName name="__PRN2">{"adj95mult",#N/A,FALSE,"COMPCO";"adj95est",#N/A,FALSE,"COMPCO"}</definedName>
    <definedName name="__r">{#N/A,#N/A,FALSE,"Pharm";#N/A,#N/A,FALSE,"WWCM"}</definedName>
    <definedName name="__raj1234">{"","","'Curves'!$V$3","'Curves'!$W$3","","","","","",""}</definedName>
    <definedName name="__rr1">{"'I-1 and I-2'!$A$1:$G$190"}</definedName>
    <definedName name="__SP５２２" hidden="1">{"ｹﾝﾄ（M)",#N/A,FALSE,"収支・日割";"ｹﾝﾄ（RD)",#N/A,FALSE,"収支・日割";"ｹﾝﾄ（PMC)",#N/A,FALSE,"収支・日割"}</definedName>
    <definedName name="__tm1">{#N/A,#N/A,FALSE,"Pharm";#N/A,#N/A,FALSE,"WWCM"}</definedName>
    <definedName name="__uu7">{"'I-1 and I-2'!$A$1:$G$190"}</definedName>
    <definedName name="__vbv5">{"'I-1 and I-2'!$A$1:$G$190"}</definedName>
    <definedName name="__vv4">{"'I-1 and I-2'!$A$1:$G$190"}</definedName>
    <definedName name="__wr1">{"hist_bs",#N/A,FALSE,"Exhibit D,E1,E2";#N/A,#N/A,FALSE,"Exhibit E3";#N/A,#N/A,FALSE,"Mgmt. Projtn";#N/A,#N/A,FALSE,"Exhibit B-1";#N/A,#N/A,FALSE,"Exhibit A";#N/A,#N/A,FALSE,"WACC";#N/A,#N/A,FALSE,"Control";"hist_inc",#N/A,FALSE,"Exhibit D,E1,E2"}</definedName>
    <definedName name="__wrn1">{#N/A,#N/A,FALSE,"DCF";#N/A,#N/A,FALSE,"WACC";#N/A,#N/A,FALSE,"Sales_EBIT";#N/A,#N/A,FALSE,"Capex_Depreciation";#N/A,#N/A,FALSE,"WC";#N/A,#N/A,FALSE,"Interest";#N/A,#N/A,FALSE,"Assumptions"}</definedName>
    <definedName name="__X2">{#N/A,#N/A,FALSE,"Other";#N/A,#N/A,FALSE,"Ace";#N/A,#N/A,FALSE,"Derm"}</definedName>
    <definedName name="__xlfn.BAHTTEXT">#NAME?</definedName>
    <definedName name="__xx1">{#N/A,#N/A,TRUE,"A-site";#N/A,#N/A,TRUE,"B-Buildings";#N/A,#N/A,TRUE,"c-out-of-fence";#N/A,#N/A,TRUE,"d-proj.infr.";#N/A,#N/A,TRUE,"e- land"}</definedName>
    <definedName name="__xx6">{"'I-1 and I-2'!$A$1:$G$190"}</definedName>
    <definedName name="__yy6">{"'I-1 and I-2'!$A$1:$G$190"}</definedName>
    <definedName name="__z1">{#N/A,#N/A,TRUE,"Cover sheet";#N/A,#N/A,TRUE,"Summary";#N/A,#N/A,TRUE,"Key Assumptions";#N/A,#N/A,TRUE,"Profit &amp; Loss";#N/A,#N/A,TRUE,"Balance Sheet";#N/A,#N/A,TRUE,"Cashflow";#N/A,#N/A,TRUE,"IRR";#N/A,#N/A,TRUE,"Ratios";#N/A,#N/A,TRUE,"Debt analysis"}</definedName>
    <definedName name="_1__123Graph_ACHART_1">[13]synthgraph!#REF!</definedName>
    <definedName name="_1__123Graph_ACHART_12">#REF!</definedName>
    <definedName name="_1__123Graph_AChart_1A">'[14]Q2 YTD OG Sales Analysis'!$C$134:$J$134</definedName>
    <definedName name="_1__123Graph_ACHART_2">[15]tables_graphs!$H$12:$H$22</definedName>
    <definedName name="_1__123Graph_AMKT_MONTH">[9]SALES!#REF!</definedName>
    <definedName name="_1__FDSAUDITLINK__">{"fdsup://directions/FAT Viewer?action=UPDATE&amp;creator=factset&amp;DYN_ARGS=TRUE&amp;DOC_NAME=FAT:FQL_AUDITING_CLIENT_TEMPLATE.FAT&amp;display_string=Audit&amp;VAR:KEY=QDWBINOJIH&amp;VAR:QUERY=UkdGX1BCS19UQU5HKFFUUiwwLCwsLCwsTk9BVURJVCk=&amp;WINDOW=FIRST_POPUP&amp;HEIGHT=450&amp;WIDTH=450&amp;","START_MAXIMIZED=FALSE&amp;VAR:CALENDAR=US&amp;VAR:SYMBOL=PACW&amp;VAR:INDEX=0"}</definedName>
    <definedName name="_1_154.87" hidden="1">#NAME?</definedName>
    <definedName name="_10__123Graph_ACHART_18">[16]Demand!#REF!</definedName>
    <definedName name="_10__123Graph_BCHART_15">#REF!</definedName>
    <definedName name="_10__123Graph_BCHART_16">#REF!</definedName>
    <definedName name="_10__123Graph_BCHART_3">#REF!</definedName>
    <definedName name="_10__123Graph_XMKT_YTD">[9]SALES!#REF!</definedName>
    <definedName name="_102__123Graph_XCHART_19">#REF!</definedName>
    <definedName name="_105__123Graph_LBL_BMKT_MONTH">[9]SALES!#REF!</definedName>
    <definedName name="_105__123Graph_XCHART_22">#REF!</definedName>
    <definedName name="_108__123Graph_XSEG_PIE">#REF!</definedName>
    <definedName name="_11__123Graph_ACHART_1">#REF!</definedName>
    <definedName name="_11__123Graph_BCHART_16">#REF!</definedName>
    <definedName name="_11__123Graph_BCHART_17">#REF!</definedName>
    <definedName name="_11__123Graph_DCHART_1">[13]synthgraph!#REF!</definedName>
    <definedName name="_112__FDSAUDITLINK__">{"fdsup://directions/FAT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2__123Graph_ACHART_17">[16]Occ!#REF!</definedName>
    <definedName name="_12__123Graph_ACHART_19">[16]Demand!#REF!</definedName>
    <definedName name="_12__123Graph_ACHART_2">#REF!</definedName>
    <definedName name="_12__123Graph_BCHART_17">#REF!</definedName>
    <definedName name="_12__123Graph_BCHART_22">#REF!</definedName>
    <definedName name="_12__123Graph_LBL_ACHART_1">[13]synthgraph!#REF!</definedName>
    <definedName name="_120__123Graph_LBL_BMKT_YTD">[9]SALES!#REF!</definedName>
    <definedName name="_120__FDSAUDITLINK__">{"fdsup://directions/FAT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3__123Graph_ACHART_1">[17]Sum!#REF!</definedName>
    <definedName name="_13__123Graph_ACHART_3">#REF!</definedName>
    <definedName name="_13__123Graph_BCHART_22">#REF!</definedName>
    <definedName name="_13__123Graph_CCHART_15">#REF!</definedName>
    <definedName name="_13__123Graph_LBL_ACHART_3">#REF!</definedName>
    <definedName name="_135__123Graph_XMKT_MONTH">[9]SALES!#REF!</definedName>
    <definedName name="_14__123Graph_ACHART_2">[17]Sum!#REF!</definedName>
    <definedName name="_14__123Graph_ACHART_21">[16]Occ!#REF!</definedName>
    <definedName name="_14__123Graph_BCHART_1">#REF!</definedName>
    <definedName name="_14__123Graph_CCHART_15">#REF!</definedName>
    <definedName name="_14__123Graph_CCHART_16">#REF!</definedName>
    <definedName name="_14__123Graph_LBL_DCHART_1">[13]synthgraph!#REF!</definedName>
    <definedName name="_144__FDSAUDITLINK__">{"fdsup://directions/FAT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5__123Graph_ACHART_18">[16]Demand!#REF!</definedName>
    <definedName name="_15__123Graph_ACHART_3">#REF!</definedName>
    <definedName name="_15__123Graph_AMKT_MONTH">[9]SALES!#REF!</definedName>
    <definedName name="_15__123Graph_BCHART_2">#REF!</definedName>
    <definedName name="_15__123Graph_CCHART_16">#REF!</definedName>
    <definedName name="_15__123Graph_CCHART_17">#REF!</definedName>
    <definedName name="_150__123Graph_XMKT_YTD">[9]SALES!#REF!</definedName>
    <definedName name="_16__123Graph_ASEG_PIE">[16]Demand!#REF!</definedName>
    <definedName name="_16__123Graph_BCHART_1">'[18]synthgraph COMPS'!#REF!</definedName>
    <definedName name="_16__123Graph_BCHART_3">#REF!</definedName>
    <definedName name="_16__123Graph_CCHART_17">#REF!</definedName>
    <definedName name="_16__123Graph_CCHART_22">#REF!</definedName>
    <definedName name="_160__FDSAUDITLINK__">{"fdsup://directions/FAT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7__123Graph_BCHART_3">#REF!</definedName>
    <definedName name="_17__123Graph_CCHART_22">#REF!</definedName>
    <definedName name="_17__123Graph_CSEG_PIE">#REF!</definedName>
    <definedName name="_17__123Graph_DCHART_1">#REF!</definedName>
    <definedName name="_17_0_0Cwvu.GREY_A">[19]TargIS!#REF!</definedName>
    <definedName name="_18__123Graph_ACHART_19">[16]Demand!#REF!</definedName>
    <definedName name="_18__123Graph_BCHART_15">[16]Occ!#REF!</definedName>
    <definedName name="_18__123Graph_BCHART_4">[20]Graph!$C$69:$C$80</definedName>
    <definedName name="_18__123Graph_CSEG_PIE">#REF!</definedName>
    <definedName name="_18__123Graph_DCHART_15">#REF!</definedName>
    <definedName name="_18__123Graph_DCHART_2">#REF!</definedName>
    <definedName name="_19__123Graph_DCHART_1">'[18]synthgraph COMPS'!#REF!</definedName>
    <definedName name="_19__123Graph_DCHART_15">#REF!</definedName>
    <definedName name="_19__123Graph_DCHART_16">#REF!</definedName>
    <definedName name="_19__123Graph_LBL_ACHART_1">#REF!</definedName>
    <definedName name="_2__123Graph_ACHART_12">#REF!</definedName>
    <definedName name="_2__123Graph_ACHART_15">#REF!</definedName>
    <definedName name="_2__123Graph_ACHART_3">#REF!</definedName>
    <definedName name="_2__123Graph_AMKT_YTD">[9]SALES!#REF!</definedName>
    <definedName name="_2__123Graph_BChart_1A">'[14]Q2 YTD OG Sales Analysis'!$C$135:$J$135</definedName>
    <definedName name="_2__123Graph_BCHART_2">[15]tables_graphs!$K$12:$K$22</definedName>
    <definedName name="_2__FDSAUDITLINK__">{"fdsup://directions/FAT Viewer?action=UPDATE&amp;creator=factset&amp;DYN_ARGS=TRUE&amp;DOC_NAME=FAT:FQL_AUDITING_CLIENT_TEMPLATE.FAT&amp;display_string=Audit&amp;VAR:KEY=UJYLERKLUR&amp;VAR:QUERY=SlVMSUFOKElDX0VTVElNQVRFKEVQUygpLE1FRCxBTk4sMjAxMSw0MDgxNCwwKS5kYXRlcyk=&amp;WINDOW=FIRST","_POPUP&amp;HEIGHT=450&amp;WIDTH=450&amp;START_MAXIMIZED=FALSE&amp;VAR:CALENDAR=US&amp;VAR:SYMBOL=CYN&amp;VAR:INDEX=0"}</definedName>
    <definedName name="_20__123Graph_BCHART_16">[16]Occ!#REF!</definedName>
    <definedName name="_20__123Graph_DCHART_16">#REF!</definedName>
    <definedName name="_20__123Graph_DCHART_17">#REF!</definedName>
    <definedName name="_20__123Graph_LBL_ACHART_1">[17]Sum!#REF!</definedName>
    <definedName name="_20__123Graph_LBL_ACHART_2">#REF!</definedName>
    <definedName name="_206__FDSAUDITLINK__">{"fdsup://directions/FAT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1__123Graph_ACHART_21">[16]Occ!#REF!</definedName>
    <definedName name="_21__123Graph_DCHART_17">#REF!</definedName>
    <definedName name="_21__123Graph_DCHART_22">#REF!</definedName>
    <definedName name="_21__123Graph_LBL_ACHART_2">[17]Sum!#REF!</definedName>
    <definedName name="_21__123Graph_LBL_ACHART_3">#REF!</definedName>
    <definedName name="_22__123Graph_BCHART_17">[16]Occ!#REF!</definedName>
    <definedName name="_22__123Graph_DCHART_22">#REF!</definedName>
    <definedName name="_22__123Graph_ECHART_15">#REF!</definedName>
    <definedName name="_22__123Graph_LBL_ACHART_3">#REF!</definedName>
    <definedName name="_22__123Graph_LBL_DCHART_1">#REF!</definedName>
    <definedName name="_22fr2_"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_23__123Graph_ECHART_15">#REF!</definedName>
    <definedName name="_23__123Graph_ECHART_16">#REF!</definedName>
    <definedName name="_23__123Graph_LBL_ACHART_5">[20]Sales!$C$164:$C$173</definedName>
    <definedName name="_23__123Graph_LBL_DCHART_2">#REF!</definedName>
    <definedName name="_24__123Graph_ASEG_PIE">[16]Demand!#REF!</definedName>
    <definedName name="_24__123Graph_BCHART_22">[16]Occ!#REF!</definedName>
    <definedName name="_24__123Graph_ECHART_16">#REF!</definedName>
    <definedName name="_24__123Graph_ECHART_17">#REF!</definedName>
    <definedName name="_24__123Graph_LBL_BCHART_4">[20]Graph!$D$69:$D$80</definedName>
    <definedName name="_24__123Graph_XCHART_2">#REF!</definedName>
    <definedName name="_25__123Graph_ECHART_17">#REF!</definedName>
    <definedName name="_25__123Graph_ECHART_22">#REF!</definedName>
    <definedName name="_25__123Graph_LBL_DCHART_1">'[18]synthgraph COMPS'!#REF!</definedName>
    <definedName name="_26__123Graph_CCHART_15">[16]Occ!#REF!</definedName>
    <definedName name="_26__123Graph_ECHART_22">#REF!</definedName>
    <definedName name="_26__123Graph_FCHART_15">#REF!</definedName>
    <definedName name="_26__123Graph_XCHART_1">[17]Sum!#REF!</definedName>
    <definedName name="_27__123Graph_BCHART_15">[16]Occ!#REF!</definedName>
    <definedName name="_27__123Graph_FCHART_15">#REF!</definedName>
    <definedName name="_27__123Graph_FCHART_16">#REF!</definedName>
    <definedName name="_27__123Graph_XCHART_2">[17]Sum!#REF!</definedName>
    <definedName name="_28__123Graph_CCHART_16">[16]Occ!#REF!</definedName>
    <definedName name="_28__123Graph_FCHART_16">#REF!</definedName>
    <definedName name="_28__123Graph_FCHART_17">#REF!</definedName>
    <definedName name="_28_0_0_K">[21]useless!#REF!</definedName>
    <definedName name="_29__123Graph_FCHART_17">#REF!</definedName>
    <definedName name="_29__123Graph_FCHART_22">#REF!</definedName>
    <definedName name="_29_0_0_S">[21]useless!#REF!</definedName>
    <definedName name="_3__123Graph_ACHART_12">[16]Demand!#REF!</definedName>
    <definedName name="_3__123Graph_ACHART_15">#REF!</definedName>
    <definedName name="_3__123Graph_ACHART_16">#REF!</definedName>
    <definedName name="_3__123Graph_BCHART_1">[13]synthgraph!#REF!</definedName>
    <definedName name="_3__123Graph_BMKT_MONTH">[9]SALES!#REF!</definedName>
    <definedName name="_3__123Graph_CChart_1A">'[14]Q2 YTD OG Sales Analysis'!$C$136:$J$136</definedName>
    <definedName name="_3__123Graph_CCHART_2">[15]tables_graphs!$L$12:$L$22</definedName>
    <definedName name="_3__FDSAUDITLINK__">{"fdsup://directions/FAT Viewer?action=UPDATE&amp;creator=factset&amp;DYN_ARGS=TRUE&amp;DOC_NAME=FAT:FQL_AUDITING_CLIENT_TEMPLATE.FAT&amp;display_string=Audit&amp;VAR:KEY=OJEJONYJWR&amp;VAR:QUERY=SlVMSUFOKElDX0VTVElNQVRFKEVQUygpLE1FRCxBTk4sMjAxMSwwLDApLmRhdGVzKQ==&amp;WINDOW=FIRST_POP","UP&amp;HEIGHT=450&amp;WIDTH=450&amp;START_MAXIMIZED=FALSE&amp;VAR:CALENDAR=US&amp;VAR:SYMBOL=CYN&amp;VAR:INDEX=0"}</definedName>
    <definedName name="_30__123Graph_AMKT_YTD">[9]SALES!#REF!</definedName>
    <definedName name="_30__123Graph_BCHART_16">[16]Occ!#REF!</definedName>
    <definedName name="_30__123Graph_CCHART_17">[16]Occ!#REF!</definedName>
    <definedName name="_30__123Graph_FCHART_22">#REF!</definedName>
    <definedName name="_30__123Graph_XCHART_15">#REF!</definedName>
    <definedName name="_31__123Graph_XCHART_15">#REF!</definedName>
    <definedName name="_31__123Graph_XCHART_16">#REF!</definedName>
    <definedName name="_32__123Graph_CCHART_22">[16]Occ!#REF!</definedName>
    <definedName name="_32__123Graph_XCHART_16">#REF!</definedName>
    <definedName name="_32__123Graph_XCHART_17">#REF!</definedName>
    <definedName name="_33__123Graph_BCHART_17">[16]Occ!#REF!</definedName>
    <definedName name="_33__123Graph_XCHART_17">#REF!</definedName>
    <definedName name="_33__123Graph_XCHART_18">#REF!</definedName>
    <definedName name="_34__123Graph_CSEG_PIE">[16]Demand!#REF!</definedName>
    <definedName name="_34__123Graph_XCHART_18">#REF!</definedName>
    <definedName name="_34__123Graph_XCHART_19">#REF!</definedName>
    <definedName name="_35__123Graph_XCHART_19">#REF!</definedName>
    <definedName name="_35__123Graph_XCHART_22">#REF!</definedName>
    <definedName name="_353__FDSAUDITLINK__">{"fdsup://directions/FAT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123Graph_BCHART_22">[16]Occ!#REF!</definedName>
    <definedName name="_36__123Graph_DCHART_15">[16]Occ!#REF!</definedName>
    <definedName name="_36__123Graph_XCHART_22">#REF!</definedName>
    <definedName name="_36__123Graph_XSEG_PIE">#REF!</definedName>
    <definedName name="_37__123Graph_XSEG_PIE">#REF!</definedName>
    <definedName name="_371__FDSAUDITLINK__">{"fdsup://directions/FAT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8__123Graph_DCHART_16">[16]Occ!#REF!</definedName>
    <definedName name="_39__123Graph_CCHART_15">[16]Occ!#REF!</definedName>
    <definedName name="_4__123Graph_ACHART_15">[16]Occ!#REF!</definedName>
    <definedName name="_4__123Graph_ACHART_16">#REF!</definedName>
    <definedName name="_4__123Graph_ACHART_17">#REF!</definedName>
    <definedName name="_4__123Graph_BCHART_3">#REF!</definedName>
    <definedName name="_4__123Graph_BMKT_YTD">[9]SALES!#REF!</definedName>
    <definedName name="_4__123Graph_DChart_1A">'[14]Q2 YTD OG Sales Analysis'!$C$137:$J$137</definedName>
    <definedName name="_4__123Graph_XCHART_2">[15]tables_graphs!$G$12:$G$22</definedName>
    <definedName name="_4__FDSAUDITLINK__">{"fdsup://directions/FAT Viewer?action=UPDATE&amp;creator=factset&amp;DYN_ARGS=TRUE&amp;DOC_NAME=FAT:FQL_AUDITING_CLIENT_TEMPLATE.FAT&amp;display_string=Audit&amp;VAR:KEY=OJEJONYJWR&amp;VAR:QUERY=SlVMSUFOKElDX0VTVElNQVRFKEVQUygpLE1FRCxBTk4sMjAxMSwwLDApLmRhdGVzKQ==&amp;WINDOW=FIRST_POP","UP&amp;HEIGHT=450&amp;WIDTH=450&amp;START_MAXIMIZED=FALSE&amp;VAR:CALENDAR=US&amp;VAR:SYMBOL=CYN&amp;VAR:INDEX=0"}</definedName>
    <definedName name="_40__123Graph_DCHART_17">[16]Occ!#REF!</definedName>
    <definedName name="_42__123Graph_CCHART_16">[16]Occ!#REF!</definedName>
    <definedName name="_42__123Graph_DCHART_22">[16]Occ!#REF!</definedName>
    <definedName name="_42wrn.²Ä1­Ó¤ë1_Ü20¤H.">{#N/A,#N/A,FALSE,"²Ä1­Ó¤ë"}</definedName>
    <definedName name="_44__123Graph_ECHART_15">[16]Occ!#REF!</definedName>
    <definedName name="_45__123Graph_BMKT_MONTH">[9]SALES!#REF!</definedName>
    <definedName name="_45__123Graph_CCHART_17">[16]Occ!#REF!</definedName>
    <definedName name="_46__123Graph_ECHART_16">[16]Occ!#REF!</definedName>
    <definedName name="_48__123Graph_CCHART_22">[16]Occ!#REF!</definedName>
    <definedName name="_48__123Graph_ECHART_17">[16]Occ!#REF!</definedName>
    <definedName name="_49__123Graph_ACHART_6">[22]geography!$C$3:$C$7</definedName>
    <definedName name="_5__123Graph_ACHART_17">#REF!</definedName>
    <definedName name="_5__123Graph_ACHART_18">#REF!</definedName>
    <definedName name="_5__123Graph_DCHART_1">[13]synthgraph!#REF!</definedName>
    <definedName name="_5__123Graph_EChart_1A">'[14]Q2 YTD OG Sales Analysis'!$C$138:$J$138</definedName>
    <definedName name="_5__123Graph_LBL_AMKT_MONTH">[9]SALES!#REF!</definedName>
    <definedName name="_5__FDSAUDITLINK__">{"fdsup://directions/FAT Viewer?action=UPDATE&amp;creator=factset&amp;DYN_ARGS=TRUE&amp;DOC_NAME=FAT:FQL_AUDITING_CLIENT_TEMPLATE.FAT&amp;display_string=Audit&amp;VAR:KEY=UJYLERKLUR&amp;VAR:QUERY=SlVMSUFOKElDX0VTVElNQVRFKEVQUygpLE1FRCxBTk4sMjAxMSw0MDgxNCwwKS5kYXRlcyk=&amp;WINDOW=FIRST","_POPUP&amp;HEIGHT=450&amp;WIDTH=450&amp;START_MAXIMIZED=FALSE&amp;VAR:CALENDAR=US&amp;VAR:SYMBOL=CYN&amp;VAR:INDEX=0"}</definedName>
    <definedName name="_50__123Graph_ECHART_22">[16]Occ!#REF!</definedName>
    <definedName name="_51__123Graph_CSEG_PIE">[16]Demand!#REF!</definedName>
    <definedName name="_52__123Graph_FCHART_15">[16]Occ!#REF!</definedName>
    <definedName name="_54__123Graph_DCHART_15">[16]Occ!#REF!</definedName>
    <definedName name="_54__123Graph_FCHART_16">[16]Occ!#REF!</definedName>
    <definedName name="_56__123Graph_FCHART_17">[16]Occ!#REF!</definedName>
    <definedName name="_57__123Graph_DCHART_16">[16]Occ!#REF!</definedName>
    <definedName name="_58__123Graph_FCHART_22">[16]Occ!#REF!</definedName>
    <definedName name="_6__123Graph_ACHART_15">[16]Occ!#REF!</definedName>
    <definedName name="_6__123Graph_ACHART_16">[16]Occ!#REF!</definedName>
    <definedName name="_6__123Graph_ACHART_18">#REF!</definedName>
    <definedName name="_6__123Graph_ACHART_19">#REF!</definedName>
    <definedName name="_6__123Graph_LBL_ACHART_1">[13]synthgraph!#REF!</definedName>
    <definedName name="_6__123Graph_LBL_AMKT_YTD">[9]SALES!#REF!</definedName>
    <definedName name="_6__123Graph_XChart_1A">'[14]Q2 YTD OG Sales Analysis'!$C$131:$J$131</definedName>
    <definedName name="_60__123Graph_BMKT_YTD">[9]SALES!#REF!</definedName>
    <definedName name="_60__123Graph_DCHART_17">[16]Occ!#REF!</definedName>
    <definedName name="_60__123Graph_XCHART_15">[16]Occ!#REF!</definedName>
    <definedName name="_62__123Graph_XCHART_16">[16]Occ!#REF!</definedName>
    <definedName name="_63__123Graph_DCHART_22">[16]Occ!#REF!</definedName>
    <definedName name="_64__123Graph_XCHART_17">#REF!</definedName>
    <definedName name="_66__123Graph_ECHART_15">[16]Occ!#REF!</definedName>
    <definedName name="_66__123Graph_XCHART_18">#REF!</definedName>
    <definedName name="_68__123Graph_XCHART_19">#REF!</definedName>
    <definedName name="_68__FDSAUDITLINK__">{"fdsup://directions/FAT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9__123Graph_ECHART_16">[16]Occ!#REF!</definedName>
    <definedName name="_7__123Graph_ACHART_1">[13]synthgraph!#REF!</definedName>
    <definedName name="_7__123Graph_ACHART_19">#REF!</definedName>
    <definedName name="_7__123Graph_ACHART_21">#REF!</definedName>
    <definedName name="_7__123Graph_LBL_ACHART_3">#REF!</definedName>
    <definedName name="_7__123Graph_LBL_BMKT_MONTH">[9]SALES!#REF!</definedName>
    <definedName name="_70__123Graph_XCHART_22">#REF!</definedName>
    <definedName name="_72__123Graph_ECHART_17">[16]Occ!#REF!</definedName>
    <definedName name="_72__123Graph_XSEG_PIE">#REF!</definedName>
    <definedName name="_75__123Graph_ECHART_22">[16]Occ!#REF!</definedName>
    <definedName name="_75__123Graph_LBL_AMKT_MONTH">[9]SALES!#REF!</definedName>
    <definedName name="_78__123Graph_FCHART_15">[16]Occ!#REF!</definedName>
    <definedName name="_8__123Graph_ACHART_17">[16]Occ!#REF!</definedName>
    <definedName name="_8__123Graph_ACHART_21">#REF!</definedName>
    <definedName name="_8__123Graph_ACHART_3">#REF!</definedName>
    <definedName name="_8__123Graph_ASEG_PIE">#REF!</definedName>
    <definedName name="_8__123Graph_LBL_BMKT_YTD">[9]SALES!#REF!</definedName>
    <definedName name="_8__123Graph_LBL_DCHART_1">[13]synthgraph!#REF!</definedName>
    <definedName name="_81__123Graph_FCHART_16">[16]Occ!#REF!</definedName>
    <definedName name="_84__123Graph_FCHART_17">[16]Occ!#REF!</definedName>
    <definedName name="_87__123Graph_FCHART_22">[16]Occ!#REF!</definedName>
    <definedName name="_9__123Graph_ACHART_16">[16]Occ!#REF!</definedName>
    <definedName name="_9__123Graph_ASEG_PIE">#REF!</definedName>
    <definedName name="_9__123Graph_BCHART_1">[13]synthgraph!#REF!</definedName>
    <definedName name="_9__123Graph_BCHART_15">#REF!</definedName>
    <definedName name="_9__123Graph_XMKT_MONTH">[9]SALES!#REF!</definedName>
    <definedName name="_9_0_0Cwvu.GREY_A">[19]TargIS!#REF!</definedName>
    <definedName name="_90__123Graph_LBL_AMKT_YTD">[9]SALES!#REF!</definedName>
    <definedName name="_90__123Graph_XCHART_15">[16]Occ!#REF!</definedName>
    <definedName name="_93__123Graph_XCHART_16">[16]Occ!#REF!</definedName>
    <definedName name="_96__123Graph_XCHART_17">#REF!</definedName>
    <definedName name="_99__123Graph_XCHART_18">#REF!</definedName>
    <definedName name="_a1">{#N/A,#N/A,FALSE,"Pharm";#N/A,#N/A,FALSE,"WWCM"}</definedName>
    <definedName name="_A11">{#N/A,#N/A,FALSE,"Umsatz 99";#N/A,#N/A,FALSE,"ER 99 "}</definedName>
    <definedName name="_a121">{"'ICo.'!$J$12:$K$20"}</definedName>
    <definedName name="_a2">{#N/A,#N/A,TRUE,"A-site";#N/A,#N/A,TRUE,"B-Buildings";#N/A,#N/A,TRUE,"c-out-of-fence";#N/A,#N/A,TRUE,"d-proj.infr.";#N/A,#N/A,TRUE,"e- land"}</definedName>
    <definedName name="_a3">{#N/A,#N/A,TRUE,"A-site";#N/A,#N/A,TRUE,"B-Buildings";#N/A,#N/A,TRUE,"c-out-of-fence";#N/A,#N/A,TRUE,"d-proj.infr.";#N/A,#N/A,TRUE,"e- land"}</definedName>
    <definedName name="_a4">{#N/A,#N/A,TRUE,"A-site";#N/A,#N/A,TRUE,"B-Buildings";#N/A,#N/A,TRUE,"c-out-of-fence";#N/A,#N/A,TRUE,"d-proj.infr.";#N/A,#N/A,TRUE,"e- land"}</definedName>
    <definedName name="_a5">{#N/A,#N/A,TRUE,"A-site";#N/A,#N/A,TRUE,"B-Buildings";#N/A,#N/A,TRUE,"c-out-of-fence";#N/A,#N/A,TRUE,"d-proj.infr.";#N/A,#N/A,TRUE,"e- land"}</definedName>
    <definedName name="_a6">{#N/A,#N/A,TRUE,"A-site";#N/A,#N/A,TRUE,"B-Buildings";#N/A,#N/A,TRUE,"c-out-of-fence";#N/A,#N/A,TRUE,"d-proj.infr.";#N/A,#N/A,TRUE,"e- land"}</definedName>
    <definedName name="_a7">{#N/A,#N/A,TRUE,"A-site";#N/A,#N/A,TRUE,"B-Buildings";#N/A,#N/A,TRUE,"c-out-of-fence";#N/A,#N/A,TRUE,"d-proj.infr.";#N/A,#N/A,TRUE,"e- land"}</definedName>
    <definedName name="_aa2">{#N/A,#N/A,FALSE,"Hip.Bas";#N/A,#N/A,FALSE,"ventas";#N/A,#N/A,FALSE,"ingre-Año";#N/A,#N/A,FALSE,"ventas-Año";#N/A,#N/A,FALSE,"Costepro";#N/A,#N/A,FALSE,"inversion";#N/A,#N/A,FALSE,"personal";#N/A,#N/A,FALSE,"Gastos-V";#N/A,#N/A,FALSE,"Circulante";#N/A,#N/A,FALSE,"CONSOLI";#N/A,#N/A,FALSE,"Es-Fin";#N/A,#N/A,FALSE,"Margen-P"}</definedName>
    <definedName name="_aa3">{#N/A,#N/A,FALSE,"Hip.Bas";#N/A,#N/A,FALSE,"ventas";#N/A,#N/A,FALSE,"ingre-Año";#N/A,#N/A,FALSE,"ventas-Año";#N/A,#N/A,FALSE,"Costepro";#N/A,#N/A,FALSE,"inversion";#N/A,#N/A,FALSE,"personal";#N/A,#N/A,FALSE,"Gastos-V";#N/A,#N/A,FALSE,"Circulante";#N/A,#N/A,FALSE,"CONSOLI";#N/A,#N/A,FALSE,"Es-Fin";#N/A,#N/A,FALSE,"Margen-P"}</definedName>
    <definedName name="_aaa1">{#N/A,#N/A,FALSE,"REPORT"}</definedName>
    <definedName name="_aas1">{#N/A,#N/A,FALSE,"REPORT"}</definedName>
    <definedName name="_ACS2000">{#N/A,#N/A,FALSE,"REPORT"}</definedName>
    <definedName name="_AtRisk_SimSetting_AutomaticallyGenerateReports">FALSE</definedName>
    <definedName name="_AtRisk_SimSetting_AutomaticResultsDisplayMode">2</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0</definedName>
    <definedName name="_AtRisk_SimSetting_ReportsList">0</definedName>
    <definedName name="_AtRisk_SimSetting_SimNameCount">0</definedName>
    <definedName name="_AtRisk_SimSetting_SmartSensitivityAnalysisEnabled">FALSE</definedName>
    <definedName name="_AtRisk_SimSetting_StatisticFunctionUpdating">1</definedName>
    <definedName name="_AtRisk_SimSetting_StdRecalcBehavior">1</definedName>
    <definedName name="_AtRisk_SimSetting_StdRecalcWithoutRiskStatic">0</definedName>
    <definedName name="_AtRisk_SimSetting_StdRecalcWithoutRiskStaticPercentile">0.5</definedName>
    <definedName name="_b111">{#N/A,#N/A,FALSE,"Pharm";#N/A,#N/A,FALSE,"WWCM"}</definedName>
    <definedName name="_bdm.0CF828A1AC8F4209AF9204D7C9E5A8B1.edm" hidden="1">#REF!</definedName>
    <definedName name="_bdm.0EBA5D72C3384CB19EFDCD1C185CA820.edm" hidden="1">#REF!</definedName>
    <definedName name="_bdm.12628CBF98134CB38D5908FBC880DF9A.edm">#REF!</definedName>
    <definedName name="_bdm.1CA3A5FC9C274BDC9037EFEBA80108E0.edm" hidden="1">#REF!</definedName>
    <definedName name="_bdm.1E55C224DB81434591BC84497AEE6DBC.edm" hidden="1">#REF!</definedName>
    <definedName name="_bdm.20C40B20A58A411BA99FA91235E9742A.edm" hidden="1">#REF!</definedName>
    <definedName name="_bdm.2FA18C54DC30470D82855A54FE40B4FE.edm" hidden="1">#REF!</definedName>
    <definedName name="_bdm.375BAE9D8E2644CC9117C57362792B7F.edm" hidden="1">#REF!</definedName>
    <definedName name="_bdm.3A8A40DCF7CB44FB944AF5AE87D091BA.edm" hidden="1">#REF!</definedName>
    <definedName name="_bdm.42134932ff584fe2974bef798dccaddb.edm">#REF!</definedName>
    <definedName name="_bdm.504056D8D269498EA46C8B7688F487E5.edm" hidden="1">#REF!</definedName>
    <definedName name="_bdm.548A3CE1567C4D6880434B6D268BD6B2.edm" hidden="1">#REF!</definedName>
    <definedName name="_bdm.55D035A2BF204907BDE3CFC6E0CC8FBA.edm" hidden="1">#REF!</definedName>
    <definedName name="_bdm.5D3245D402EA4CD3BB3F4A2A403078B5.edm" hidden="1">#REF!</definedName>
    <definedName name="_bdm.5D9976F738B949E89EAB56A92627DFDA.edm" hidden="1">#REF!</definedName>
    <definedName name="_bdm.5ED5F7B9993D4928B1CB0A02D6F49FA3.edm" hidden="1">#REF!</definedName>
    <definedName name="_bdm.5FCDBF288A93415ABCA2A8B79A09C88F.edm" hidden="1">#REF!</definedName>
    <definedName name="_bdm.682445BB091C47C796526ECEBE959CB3.edm" hidden="1">#REF!</definedName>
    <definedName name="_bdm.68464015892B4215AA87E0851EA5A99C.edm" hidden="1">#REF!</definedName>
    <definedName name="_bdm.69a4995ee54244e3acfd53c167e1d1fe.edm">#REF!</definedName>
    <definedName name="_bdm.6AACD128A9B44902ABDF1063A546C724.edm" hidden="1">#REF!</definedName>
    <definedName name="_bdm.75A506C7D7734224BD1791136B3DB7CB.edm" hidden="1">#REF!</definedName>
    <definedName name="_bdm.84428503DD1947FB8FFE08CD59984351.edm" hidden="1">#REF!</definedName>
    <definedName name="_bdm.84F41A6864454937BB992EA1608FD350.edm" hidden="1">#REF!</definedName>
    <definedName name="_bdm.8B2BD472A9B847D8BA24FCD75F246D92.edm">#REF!</definedName>
    <definedName name="_bdm.8EED69C958F24DEA851407D0C3DE9D75.edm" hidden="1">#REF!</definedName>
    <definedName name="_bdm.91CD4DEC29C049BD929A8110F777B566.edm">#REF!</definedName>
    <definedName name="_bdm.96A20FD307424AC6BE3AA4A307B7C4DE.edm" hidden="1">#REF!</definedName>
    <definedName name="_bdm.99FD94730A6E4722B29933E62841A25A.edm" hidden="1">#REF!</definedName>
    <definedName name="_bdm.9BDFD1F6E2FE42A2AA89001579C225BD.edm" hidden="1">#REF!</definedName>
    <definedName name="_bdm.9D576385AB334E0F91FC7FB7CEA21807.edm">#REF!</definedName>
    <definedName name="_bdm.9D9DEFBB70E243EE839648FFBCE2FBB3.edm">#REF!</definedName>
    <definedName name="_bdm.9EEBA27C152444379179E8EB5EABFA08.edm" hidden="1">#REF!</definedName>
    <definedName name="_bdm.A2512AA74A5A400B884FABD69947490E.edm" hidden="1">#REF!</definedName>
    <definedName name="_bdm.A3C74649B5F34AA383569D0C79E5DABA.edm">#REF!</definedName>
    <definedName name="_bdm.A57C9A75A79F4D929CA132D38F62391D.edm" hidden="1">#REF!</definedName>
    <definedName name="_bdm.AB2026446CF34894A83E47D408515D52.edm" hidden="1">#REF!</definedName>
    <definedName name="_bdm.B35E5D501A8F49D3AA60940AF8DDD258.edm" hidden="1">#REF!</definedName>
    <definedName name="_bdm.BAAD53B1EEAC489EB4516C2BF717B2C8.edm">#REF!</definedName>
    <definedName name="_bdm.BB8CD8AF17DF419C81EB46AD68F7F790.edm" hidden="1">#REF!</definedName>
    <definedName name="_bdm.BF1A982DB8384470BAD6577AF19F9A5E.edm" hidden="1">#REF!</definedName>
    <definedName name="_bdm.C0862A09612C4F5A8BB4247A1EAA6B7A.edm" hidden="1">#REF!</definedName>
    <definedName name="_bdm.CA2B39353E4A49A69B352925B9B220DD.edm">#REF!</definedName>
    <definedName name="_bdm.CE2E621C7F7C47AB8A13587D02CF45AA.edm">#REF!</definedName>
    <definedName name="_bdm.DD21863E688B4F2E917E461F119C70E6.edm" hidden="1">#REF!</definedName>
    <definedName name="_bdm.E8ECFA48A19A4647A2B3B897933A1EA0.edm" hidden="1">#REF!</definedName>
    <definedName name="_bdm.EAA5CB7C09994E378F937CFD7D118F1D.edm" hidden="1">#REF!</definedName>
    <definedName name="_bdm.F8A8DCEB4DD84118B520FF6070B6FAA2.edm">#REF!</definedName>
    <definedName name="_bdm.FastTrackBookmark.1_17_2024_3_40_07_PM.edm" localSheetId="10" hidden="1">'AI Computing'!#REF!</definedName>
    <definedName name="_bdm.FastTrackBookmark.1_17_2024_3_40_07_PM.edm" localSheetId="26" hidden="1">'Arm (OLD)'!#REF!</definedName>
    <definedName name="_bdm.FastTrackBookmark.1_17_2024_3_40_07_PM.edm" localSheetId="0" hidden="1">Charts!#REF!</definedName>
    <definedName name="_bdm.FastTrackBookmark.1_17_2024_3_40_07_PM.edm" localSheetId="25" hidden="1">'Consolidated (OLD)'!#REF!</definedName>
    <definedName name="_bdm.FastTrackBookmark.1_17_2024_3_40_07_PM.edm" localSheetId="34" hidden="1">FX!#REF!</definedName>
    <definedName name="_bdm.FastTrackBookmark.1_17_2024_3_40_07_PM.edm" localSheetId="11" hidden="1">'Investment Business Of HoldCo'!#REF!</definedName>
    <definedName name="_bdm.FastTrackBookmark.1_17_2024_3_40_07_PM.edm" localSheetId="16" hidden="1">'LatAm Funds'!#REF!</definedName>
    <definedName name="_bdm.FastTrackBookmark.1_17_2024_3_40_07_PM.edm" localSheetId="27" hidden="1">'Links (Arm OLD Model)'!#REF!</definedName>
    <definedName name="_bdm.FastTrackBookmark.1_17_2024_3_40_07_PM.edm" localSheetId="17" hidden="1">'Net debt &amp; LTV'!#REF!</definedName>
    <definedName name="_bdm.FastTrackBookmark.1_17_2024_3_40_07_PM.edm" localSheetId="5" hidden="1">'P.F. NAV Table'!#REF!</definedName>
    <definedName name="_bdm.FastTrackBookmark.1_17_2024_3_40_07_PM.edm" localSheetId="6" hidden="1">'Quarterly NAV Table'!#REF!</definedName>
    <definedName name="_bdm.FastTrackBookmark.1_17_2024_3_40_07_PM.edm" localSheetId="15" hidden="1">'SoftBank Other (13F)'!#REF!</definedName>
    <definedName name="_bdm.FastTrackBookmark.1_17_2024_3_40_07_PM.edm" localSheetId="12" hidden="1">'SVF Segment'!#REF!</definedName>
    <definedName name="_bdm.FastTrackBookmark.1_17_2024_3_40_07_PM.edm" localSheetId="13" hidden="1">'SVF1'!#REF!</definedName>
    <definedName name="_bdm.FastTrackBookmark.1_17_2024_3_40_07_PM.edm" localSheetId="14" hidden="1">'SVF2'!#REF!</definedName>
    <definedName name="_bdm.FastTrackBookmark.1_17_2024_3_40_07_PM.edm" localSheetId="18" hidden="1">'TopCo Gross cash table'!#REF!</definedName>
    <definedName name="_bdm.FastTrackBookmark.1_17_2024_3_40_07_PM.edm" localSheetId="19" hidden="1">'TopCo Net debt waterfall'!#REF!</definedName>
    <definedName name="_bdm.FastTrackBookmark.1_17_2024_3_40_07_PM.edm" localSheetId="9" hidden="1">'Valuation &amp; SBG NAV'!#REF!</definedName>
    <definedName name="_bdm.FastTrackBookmark.1_17_2024_3_40_07_PM.edm" hidden="1">'Financial statements (OLD)'!$A$34:$A$35</definedName>
    <definedName name="_bdm.FastTrackBookmark.1_25_2024_2_40_30_PM.edm" localSheetId="38" hidden="1">'Business segments KK'!$J$57:$M$57</definedName>
    <definedName name="_bdm.FastTrackBookmark.1_25_2024_2_40_30_PM.edm" localSheetId="29" hidden="1">'Consolidated KK'!#REF!</definedName>
    <definedName name="_bdm.FastTrackBookmark.1_25_2024_2_40_30_PM.edm" localSheetId="28" hidden="1">'Financial statements KK'!#REF!</definedName>
    <definedName name="_bdm.FastTrackBookmark.1_25_2024_2_40_30_PM.edm" localSheetId="37" hidden="1">'Valuation SoftBank Corp.'!#REF!</definedName>
    <definedName name="_bdm.FastTrackBookmark.1_25_2024_2_40_30_PM.edm" hidden="1">#REF!</definedName>
    <definedName name="_bdm.FastTrackBookmark.1_25_2024_4_50_45_PM.edm" localSheetId="38" hidden="1">'Business segments KK'!$106:$106</definedName>
    <definedName name="_bdm.FastTrackBookmark.1_25_2024_4_50_45_PM.edm" localSheetId="29" hidden="1">'Consolidated KK'!#REF!</definedName>
    <definedName name="_bdm.FastTrackBookmark.1_25_2024_4_50_45_PM.edm" localSheetId="28" hidden="1">'Financial statements KK'!#REF!</definedName>
    <definedName name="_bdm.FastTrackBookmark.1_25_2024_4_50_45_PM.edm" localSheetId="37" hidden="1">'Valuation SoftBank Corp.'!#REF!</definedName>
    <definedName name="_bdm.FastTrackBookmark.1_25_2024_4_50_45_PM.edm" hidden="1">#REF!</definedName>
    <definedName name="_bdm.FastTrackBookmark.1_25_2024_5_20_08_PM.edm" localSheetId="38" hidden="1">'Business segments KK'!$AD$108</definedName>
    <definedName name="_bdm.FastTrackBookmark.1_25_2024_5_20_08_PM.edm" localSheetId="29" hidden="1">'Consolidated KK'!#REF!</definedName>
    <definedName name="_bdm.FastTrackBookmark.1_25_2024_5_20_08_PM.edm" localSheetId="28" hidden="1">'Financial statements KK'!#REF!</definedName>
    <definedName name="_bdm.FastTrackBookmark.1_25_2024_5_20_08_PM.edm" localSheetId="37" hidden="1">'Valuation SoftBank Corp.'!#REF!</definedName>
    <definedName name="_bdm.FastTrackBookmark.1_25_2024_5_20_08_PM.edm" hidden="1">#REF!</definedName>
    <definedName name="_bdm.FastTrackBookmark.1_28_2024_1_14_54_PM.edm" localSheetId="42" hidden="1">Financial!#REF!</definedName>
    <definedName name="_bdm.FastTrackBookmark.1_28_2024_1_14_54_PM.edm" hidden="1">'Media &amp; EC'!$O$42</definedName>
    <definedName name="_bdm.FastTrackBookmark.1_29_2024_10_46_33_AM.edm" localSheetId="42" hidden="1">Financial!#REF!</definedName>
    <definedName name="_bdm.FastTrackBookmark.1_29_2024_10_46_33_AM.edm" hidden="1">'Media &amp; EC'!$Y$114:$AB$114</definedName>
    <definedName name="_bdm.FastTrackBookmark.2_1_2024_4_30_39_PM.edm" hidden="1">Financial!$T$41</definedName>
    <definedName name="_bdm.FastTrackBookmark.2_20_2024_11_43_41_AM.edm" localSheetId="10" hidden="1">'AI Computing'!#REF!</definedName>
    <definedName name="_bdm.FastTrackBookmark.2_20_2024_11_43_41_AM.edm" localSheetId="26" hidden="1">'Arm (OLD)'!#REF!</definedName>
    <definedName name="_bdm.FastTrackBookmark.2_20_2024_11_43_41_AM.edm" localSheetId="11" hidden="1">'Investment Business Of HoldCo'!#REF!</definedName>
    <definedName name="_bdm.FastTrackBookmark.2_20_2024_11_43_41_AM.edm" localSheetId="16" hidden="1">'LatAm Funds'!#REF!</definedName>
    <definedName name="_bdm.FastTrackBookmark.2_20_2024_11_43_41_AM.edm" localSheetId="27" hidden="1">'Links (Arm OLD Model)'!#REF!</definedName>
    <definedName name="_bdm.FastTrackBookmark.2_20_2024_11_43_41_AM.edm" localSheetId="5" hidden="1">'P.F. NAV Table'!#REF!</definedName>
    <definedName name="_bdm.FastTrackBookmark.2_20_2024_11_43_41_AM.edm" localSheetId="6" hidden="1">'Quarterly NAV Table'!#REF!</definedName>
    <definedName name="_bdm.FastTrackBookmark.2_20_2024_11_43_41_AM.edm" localSheetId="15" hidden="1">'SoftBank Other (13F)'!#REF!</definedName>
    <definedName name="_bdm.FastTrackBookmark.2_20_2024_11_43_41_AM.edm" localSheetId="13" hidden="1">'SVF1'!#REF!</definedName>
    <definedName name="_bdm.FastTrackBookmark.2_20_2024_11_43_41_AM.edm" localSheetId="14" hidden="1">'SVF2'!#REF!</definedName>
    <definedName name="_bdm.FastTrackBookmark.2_20_2024_11_43_41_AM.edm" localSheetId="9" hidden="1">'Valuation &amp; SBG NAV'!#REF!</definedName>
    <definedName name="_bdm.FastTrackBookmark.2_20_2024_11_43_41_AM.edm" hidden="1">'SVF Segment'!$W$6</definedName>
    <definedName name="_bdm.FEF5AC4AF4ED40EAA00A6FC3DE67F006.edm">#REF!</definedName>
    <definedName name="_bg1">{#N/A,#N/A,TRUE,"Summary - 1";#N/A,#N/A,TRUE,"Summary - 2";#N/A,#N/A,TRUE,"Group Analysis";#N/A,#N/A,TRUE,"FM Analysis";#N/A,#N/A,TRUE,"T&amp;M-Onsite";#N/A,#N/A,TRUE,"FP-Onsite";#N/A,#N/A,TRUE,"NB-Onsite";#N/A,#N/A,TRUE,"T&amp;M-Offshore";#N/A,#N/A,TRUE,"FP-Offshore";#N/A,#N/A,TRUE,"Appendix-A";#N/A,#N/A,TRUE,"Appendix-B"}</definedName>
    <definedName name="_bg2">{#N/A,#N/A,TRUE,"Summary - 1";#N/A,#N/A,TRUE,"Summary - 2";#N/A,#N/A,TRUE,"Group Analysis";#N/A,#N/A,TRUE,"FM Analysis";#N/A,#N/A,TRUE,"T&amp;M-Onsite";#N/A,#N/A,TRUE,"FP-Onsite";#N/A,#N/A,TRUE,"NB-Onsite";#N/A,#N/A,TRUE,"T&amp;M-Offshore";#N/A,#N/A,TRUE,"FP-Offshore";#N/A,#N/A,TRUE,"Appendix-A";#N/A,#N/A,TRUE,"Appendix-B"}</definedName>
    <definedName name="_bg3">{#N/A,#N/A,TRUE,"Summary - 1";#N/A,#N/A,TRUE,"Summary - 2";#N/A,#N/A,TRUE,"Group Analysis";#N/A,#N/A,TRUE,"FM Analysis";#N/A,#N/A,TRUE,"T&amp;M-Onsite";#N/A,#N/A,TRUE,"FP-Onsite";#N/A,#N/A,TRUE,"NB-Onsite";#N/A,#N/A,TRUE,"T&amp;M-Offshore";#N/A,#N/A,TRUE,"FP-Offshore";#N/A,#N/A,TRUE,"Appendix-A";#N/A,#N/A,TRUE,"Appendix-B"}</definedName>
    <definedName name="_bg4">{#N/A,#N/A,TRUE,"Summary - 1";#N/A,#N/A,TRUE,"Summary - 2";#N/A,#N/A,TRUE,"Group Analysis";#N/A,#N/A,TRUE,"FM Analysis";#N/A,#N/A,TRUE,"T&amp;M-Onsite";#N/A,#N/A,TRUE,"FP-Onsite";#N/A,#N/A,TRUE,"NB-Onsite";#N/A,#N/A,TRUE,"T&amp;M-Offshore";#N/A,#N/A,TRUE,"FP-Offshore";#N/A,#N/A,TRUE,"Appendix-A";#N/A,#N/A,TRUE,"Appendix-B"}</definedName>
    <definedName name="_c">{#N/A,#N/A,FALSE,"Layout Cash Flow"}</definedName>
    <definedName name="_DAT1">#REF!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CF1">{#N/A,#N/A,FALSE,"DCF Summary";#N/A,#N/A,FALSE,"Casema";#N/A,#N/A,FALSE,"Casema NoTel";#N/A,#N/A,FALSE,"UK";#N/A,#N/A,FALSE,"RCF";#N/A,#N/A,FALSE,"Intercable CZ";#N/A,#N/A,FALSE,"Interkabel P"}</definedName>
    <definedName name="_dcf2">{#N/A,#N/A,FALSE,"DCF Summary";#N/A,#N/A,FALSE,"Casema";#N/A,#N/A,FALSE,"Casema NoTel";#N/A,#N/A,FALSE,"UK";#N/A,#N/A,FALSE,"RCF";#N/A,#N/A,FALSE,"Intercable CZ";#N/A,#N/A,FALSE,"Interkabel P"}</definedName>
    <definedName name="_DCFROIV">{#N/A,#N/A,FALSE,"DCF Summary";#N/A,#N/A,FALSE,"Casema";#N/A,#N/A,FALSE,"Casema NoTel";#N/A,#N/A,FALSE,"UK";#N/A,#N/A,FALSE,"RCF";#N/A,#N/A,FALSE,"Intercable CZ";#N/A,#N/A,FALSE,"Interkabel P"}</definedName>
    <definedName name="_dir" hidden="1">{#N/A,#N/A,FALSE,"BS";#N/A,#N/A,FALSE,"PL";#N/A,#N/A,FALSE,"Schdl 1,2,3";#N/A,#N/A,FALSE,"Schd 4";#N/A,#N/A,FALSE,"Sch -5,6 (2)";#N/A,#N/A,FALSE,"Schd 7,8,9,10";#N/A,#N/A,FALSE,"Schd 11";#N/A,#N/A,FALSE,"schd 12, 13,14"}</definedName>
    <definedName name="_Dist_Bin">#REF!</definedName>
    <definedName name="_Dist_Values">#REF!</definedName>
    <definedName name="_EPO1">{"ww",#N/A,FALSE,"Hospital Products";"us",#N/A,FALSE,"Hospital Products";"in",#N/A,FALSE,"Hospital Products"}</definedName>
    <definedName name="_EPO2">{"ww",#N/A,FALSE,"Hospital Products";"us",#N/A,FALSE,"Hospital Products";"in",#N/A,FALSE,"Hospital Products"}</definedName>
    <definedName name="_EPO3">{"ww",#N/A,FALSE,"Hospital Products";"us",#N/A,FALSE,"Hospital Products";"in",#N/A,FALSE,"Hospital Products"}</definedName>
    <definedName name="_EPO4">{"ww",#N/A,FALSE,"Hospital Products";"us",#N/A,FALSE,"Hospital Products";"in",#N/A,FALSE,"Hospital Products"}</definedName>
    <definedName name="_erz6" hidden="1">{"Page1",#N/A,FALSE,"Segment Overview";"Page2",#N/A,FALSE,"Segment Overview";"Page3",#N/A,FALSE,"Summary";"Page4",#N/A,FALSE,"Summary";"Page5",#N/A,FALSE,"US Pubs Rev";"Page6",#N/A,FALSE,"US Pubs Rev";"Page7",#N/A,FALSE,"US Pubs EBITDA";"Page8",#N/A,FALSE,"US Pubs EBITDA"}</definedName>
    <definedName name="_fdv2">{"quarterly",#N/A,FALSE,"Income Statement";#N/A,#N/A,FALSE,"print segment";#N/A,#N/A,FALSE,"Balance Sheet";#N/A,#N/A,FALSE,"Annl Inc";#N/A,#N/A,FALSE,"Cash Flow"}</definedName>
    <definedName name="_Fill" hidden="1">#REF!</definedName>
    <definedName name="_Fill2" hidden="1">#REF!</definedName>
    <definedName name="_Fill4">#REF!</definedName>
    <definedName name="_xlnm._FilterDatabase" localSheetId="20" hidden="1">'SBG Corp. Bonds Dec. ''25'!$A$1:$Z$54</definedName>
    <definedName name="_xlnm._FilterDatabase" localSheetId="22" hidden="1">'SBG Corp. Bonds Jun. ''25'!$A$1:$Z$45</definedName>
    <definedName name="_xlnm._FilterDatabase" localSheetId="21" hidden="1">'SBG Corp. Bonds Sep. ''25'!$A$1:$Z$53</definedName>
    <definedName name="_xlnm._FilterDatabase" localSheetId="23" hidden="1">'SBG Corporate Bonds OLD'!$A$1:$Z$45</definedName>
    <definedName name="_xlnm._FilterDatabase" hidden="1">#REF!</definedName>
    <definedName name="_fy97">{#N/A,#N/A,FALSE,"FY97";#N/A,#N/A,FALSE,"FY98";#N/A,#N/A,FALSE,"FY99";#N/A,#N/A,FALSE,"FY00";#N/A,#N/A,FALSE,"FY01"}</definedName>
    <definedName name="_Grp16">{#N/A,#N/A,FALSE,"PMTABB";#N/A,#N/A,FALSE,"PMTABB"}</definedName>
    <definedName name="_GSRATES_1">"CT30000120021231        "</definedName>
    <definedName name="_GSRATES_10">"CF3000012002123120020331"</definedName>
    <definedName name="_GSRATES_2">"CT30000120031231        "</definedName>
    <definedName name="_GSRATES_3">"CT30000120040331        "</definedName>
    <definedName name="_GSRATES_4">"CF3000012004033120030331"</definedName>
    <definedName name="_GSRATES_5">"CF3000012002093020020331"</definedName>
    <definedName name="_GSRATES_6">"CF3000012003123120030331"</definedName>
    <definedName name="_GSRATES_7">"CT300001Latest          "</definedName>
    <definedName name="_GSRATES_8">"CT300001Latest          "</definedName>
    <definedName name="_GSRATES_9">"CF3000012002123120020331"</definedName>
    <definedName name="_GSRATES_COUNT">10</definedName>
    <definedName name="_GSRATESR_1">[23]Financials!#REF!</definedName>
    <definedName name="_k13">{0,0,FALSE,0}</definedName>
    <definedName name="_k2">#REF!</definedName>
    <definedName name="_ke">#REF!</definedName>
    <definedName name="_Key1" hidden="1">#REF!</definedName>
    <definedName name="_Key2" hidden="1">#REF!</definedName>
    <definedName name="_key8">#REF!</definedName>
    <definedName name="_kn1">{#N/A,#N/A,TRUE,"A-site";#N/A,#N/A,TRUE,"B-Buildings";#N/A,#N/A,TRUE,"c-out-of-fence";#N/A,#N/A,TRUE,"d-proj.infr.";#N/A,#N/A,TRUE,"e- land"}</definedName>
    <definedName name="_MC1">{#N/A,#N/A,FALSE,"CONTENTS";#N/A,#N/A,FALSE,"M2";#N/A,#N/A,FALSE,"M2a";#N/A,#N/A,FALSE,"M2b";#N/A,#N/A,FALSE,"M3";#N/A,#N/A,FALSE,"M3a";#N/A,#N/A,FALSE,"M4-H";#N/A,#N/A,FALSE,"M4a";#N/A,#N/A,FALSE,"M4b";#N/A,#N/A,FALSE,"M4c";#N/A,#N/A,FALSE,"M5";#N/A,#N/A,FALSE,"M6";#N/A,#N/A,FALSE,"M7";#N/A,#N/A,FALSE,"M8";#N/A,#N/A,FALSE,"M9";#N/A,#N/A,FALSE,"M10";#N/A,#N/A,FALSE,"M11";#N/A,#N/A,FALSE,"M13";#N/A,#N/A,FALSE,"M14";#N/A,#N/A,FALSE,"M15";#N/A,#N/A,FALSE,"K1"}</definedName>
    <definedName name="_ｍｔｂ2" hidden="1">{"ｹﾝﾄ（M)",#N/A,FALSE,"収支・日割";"ｹﾝﾄ（RD)",#N/A,FALSE,"収支・日割";"ｹﾝﾄ（PMC)",#N/A,FALSE,"収支・日割"}</definedName>
    <definedName name="_mtb3" hidden="1">{#N/A,#N/A,FALSE,"１";#N/A,#N/A,FALSE,"２";#N/A,#N/A,FALSE,"３";#N/A,#N/A,FALSE,"４"}</definedName>
    <definedName name="_new1">{#N/A,#N/A,FALSE,"Pharm";#N/A,#N/A,FALSE,"WWCM"}</definedName>
    <definedName name="_OCT334">#REF!</definedName>
    <definedName name="_ok1">{"","","'Curves'!$W$10","'Curves'!$X$10","","","","","",""}</definedName>
    <definedName name="_ok1234">{"Curves","Chart 1","Curves Graphique 1"}</definedName>
    <definedName name="_OMG2">{"'I-1 and I-2'!$A$1:$G$190"}</definedName>
    <definedName name="_Order1" hidden="1">1</definedName>
    <definedName name="_Order1_1">255</definedName>
    <definedName name="_Order2" hidden="1">1</definedName>
    <definedName name="_Order2_1">255</definedName>
    <definedName name="_Parse_In" hidden="1">#REF!</definedName>
    <definedName name="_Parse_Out" hidden="1">#REF!</definedName>
    <definedName name="_PRN2">{"adj95mult",#N/A,FALSE,"COMPCO";"adj95est",#N/A,FALSE,"COMPCO"}</definedName>
    <definedName name="_r">{#N/A,#N/A,FALSE,"Pharm";#N/A,#N/A,FALSE,"WWCM"}</definedName>
    <definedName name="_raj1234">{"","","'Curves'!$V$3","'Curves'!$W$3","","","","","",""}</definedName>
    <definedName name="_Regression_Int" hidden="1">1</definedName>
    <definedName name="_Regression_Out">#REF!</definedName>
    <definedName name="_Regression_X">#REF!</definedName>
    <definedName name="_Regression_Y">#REF!</definedName>
    <definedName name="_S4">{#N/A,#N/A,FALSE,"F-1";#N/A,#N/A,FALSE,"F-2";#N/A,#N/A,FALSE,"f-3";#N/A,#N/A,FALSE,"H-1";#N/A,#N/A,FALSE,"h-2";#N/A,#N/A,FALSE,"J-1";#N/A,#N/A,FALSE,"K-1";#N/A,#N/A,FALSE,"K-2";#N/A,#N/A,FALSE,"QA1";#N/A,#N/A,FALSE,"Sheet2";#N/A,#N/A,FALSE,"S-1";#N/A,#N/A,FALSE,"S-2";#N/A,#N/A,FALSE,"t-4";#N/A,#N/A,FALSE,"t-3";#N/A,#N/A,FALSE,"t-2";#N/A,#N/A,FALSE,"T-1";#N/A,#N/A,FALSE,"JNL";#N/A,#N/A,FALSE,"valuation";#N/A,#N/A,FALSE,"RATIOS";#N/A,#N/A,FALSE,"SCH CAPITAL ";#N/A,#N/A,FALSE,"ETB";#N/A,#N/A,FALSE,"PROFORMA"}</definedName>
    <definedName name="_SBB0606" hidden="1">{"Page1",#N/A,FALSE,"Segment Overview";"Page2",#N/A,FALSE,"Segment Overview";"Page3",#N/A,FALSE,"Summary";"Page4",#N/A,FALSE,"Summary";"Page5",#N/A,FALSE,"US Pubs Rev";"Page6",#N/A,FALSE,"US Pubs Rev";"Page7",#N/A,FALSE,"US Pubs EBITDA";"Page8",#N/A,FALSE,"US Pubs EBITDA"}</definedName>
    <definedName name="_Sort" hidden="1">#REF!</definedName>
    <definedName name="_sort1">#REF!</definedName>
    <definedName name="_sort9">#REF!</definedName>
    <definedName name="_SP５２２" hidden="1">{"ｹﾝﾄ（M)",#N/A,FALSE,"収支・日割";"ｹﾝﾄ（RD)",#N/A,FALSE,"収支・日割";"ｹﾝﾄ（PMC)",#N/A,FALSE,"収支・日割"}</definedName>
    <definedName name="_st">#REF!</definedName>
    <definedName name="_st9">#REF!</definedName>
    <definedName name="_Table1_In1">[24]BUDGET!#REF!</definedName>
    <definedName name="_Table1_Out">[24]BUDGET!#REF!</definedName>
    <definedName name="_Table2_In1">'[25]#REF'!#REF!</definedName>
    <definedName name="_Table2_In2">'[25]#REF'!$M$14</definedName>
    <definedName name="_Table2_Out">#REF!</definedName>
    <definedName name="_Table3_In2">#REF!</definedName>
    <definedName name="_tm1">{#N/A,#N/A,FALSE,"Pharm";#N/A,#N/A,FALSE,"WWCM"}</definedName>
    <definedName name="_TMAutoChart10Names">{"GraphLocal","Chart 16","GraphLocal Graphique 16"}</definedName>
    <definedName name="_TMAutoChart10Refs">{"","","'GraphLocal'!$C$71","'GraphLocal'!$C$70","","","","","",""}</definedName>
    <definedName name="_TMAutoChart11Name">{"Curves","Chart 4","Curves Graphique 4"}</definedName>
    <definedName name="_TMAutoChart11Names">{"Curves","Chart 4","Curves Graphique 4"}</definedName>
    <definedName name="_TMAutoChart11Refs">{"","","'Curves'!$V$3","'Curves'!$W$3","","","","","",""}</definedName>
    <definedName name="_TMAutoChart12Names">{"Curves","Chart 3","Curves Graphique 3"}</definedName>
    <definedName name="_TMAutoChart12Refs">{"","","'Curves'!$C$55","'Curves'!$D$55","","","","","",""}</definedName>
    <definedName name="_TMAutoChart13Names">{"Curves","Chart 2","Curves Graphique 2"}</definedName>
    <definedName name="_TMAutoChart13Refs">{"","","'Curves'!$V$3","'Curves'!$W$3","","","","","",""}</definedName>
    <definedName name="_TMAutoChart14Names">{"Curves","Chart 1","Curves Graphique 1"}</definedName>
    <definedName name="_TMAutoChart14Refs">{"","","'Curves'!$C$55","'Curves'!$D$55","","","","","",""}</definedName>
    <definedName name="_TMAutoChart15Names">{"Curves","Chart 4","Curves Graphique 4"}</definedName>
    <definedName name="_TMAutoChart15Refs">{"","","'Curves'!$V$3","'Curves'!$W$3","","","","","",""}</definedName>
    <definedName name="_TMAutoChart16Names">{"Curves","Chart 3","Curves Graphique 3"}</definedName>
    <definedName name="_TMAutoChart16Refs">{"","","'Curves'!$V$4","'Curves'!$W$4","","","","","",""}</definedName>
    <definedName name="_TMAutoChart17Names">{"Curves","Chart 2","Curves Graphique 2"}</definedName>
    <definedName name="_TMAutoChart17Refs">{"","","'Curves'!$V$3","'Curves'!$W$3","","","","","",""}</definedName>
    <definedName name="_TMAutoChart18Names">{"Curves","Chart 1","Curves Graphique 1"}</definedName>
    <definedName name="_TMAutoChart18Refs">{"","","'Curves'!$V$4","'Curves'!$W$4","","","","","",""}</definedName>
    <definedName name="_TMAutoChart19Names">{"Curves","Chart 3","Curves Graphique 3"}</definedName>
    <definedName name="_TMAutoChart19Refs">{"","","'Curves'!$W$8","'Curves'!$X$8","","","","","",""}</definedName>
    <definedName name="_TMAutoChart1Names">{"GM%","Chart 1","GM% Graphique 1"}</definedName>
    <definedName name="_TMAutoChart1Refs">{"","","'GM%'!$B$30","'GM%'!$B$31","","","","","",""}</definedName>
    <definedName name="_TMAutoChart20Names">{"Curves","Chart 4","Curves Graphique 4"}</definedName>
    <definedName name="_TMAutoChart20Names1">{"Curves","Chart 4","Curves Graphique 4"}</definedName>
    <definedName name="_TMAutoChart20Refs">{"","","'Curves'!$W$11","'Curves'!$X$11","","","","","",""}</definedName>
    <definedName name="_TMAutoChart21Names">{"Curves","Chart 2","Curves Graphique 2"}</definedName>
    <definedName name="_TMAutoChart21Refs">{"","","'Curves'!$W$10","'Curves'!$X$10","","","","","",""}</definedName>
    <definedName name="_TMAutoChart22Names">{"Curves","Chart 1","Curves Graphique 1"}</definedName>
    <definedName name="_TMAutoChart22Refs">{"","","'Curves'!$W$7","'Curves'!$X$7","","","","","",""}</definedName>
    <definedName name="_TMAutoChart22RefsV2">{"","","'Curves'!$W$7","'Curves'!$X$7","","","","","",""}</definedName>
    <definedName name="_TMAutoChart23Names">{"Curves","Chart 3","Curves Graphique 3"}</definedName>
    <definedName name="_TMAutoChart23Refs">{"","","'Curves'!$W$8","'Curves'!$X$8","","","","","",""}</definedName>
    <definedName name="_TMAutoChart24Names">{"Curves","Chart 4","Curves Graphique 4"}</definedName>
    <definedName name="_TMAutoChart24Refs">{"","","'Curves'!$W$12","'Curves'!$X$12","","","","","",""}</definedName>
    <definedName name="_TMAutoChart25Names">{"Curves","Chart 2","Curves Graphique 2"}</definedName>
    <definedName name="_TMAutoChart25Refs">{"","","'Curves'!$W$11","'Curves'!$X$11","","","","","",""}</definedName>
    <definedName name="_TMAutoChart26Names">{"Curves","Chart 1","Curves Graphique 1"}</definedName>
    <definedName name="_TMAutoChart26Refs">{"","","'Curves'!$W$7","'Curves'!$X$7","","","","","",""}</definedName>
    <definedName name="_TMAutoChart2Names">{"SFC","Chart 1","SFC Graphique 1"}</definedName>
    <definedName name="_TMAutoChart2Refs">{"","","'SFC'!$B$30","'SFC'!$B$31","","","","","",""}</definedName>
    <definedName name="_TMAutoChart3Names">{"SFC","Chart 1","SFC Graphique 1"}</definedName>
    <definedName name="_TMAutoChart3Refs">{"","","'SFC'!$B$30","'SFC'!$B$31","","","","","",""}</definedName>
    <definedName name="_TMAutoChart4Names">{"SFC","Chart 1","SFC Graphique 1"}</definedName>
    <definedName name="_TMAutoChart4Refs">{"","","'SFC'!$B$30","'SFC'!$B$31","","","","","",""}</definedName>
    <definedName name="_TMAutoChart5Names">{"GM%","Chart 1","GM% Graphique 1"}</definedName>
    <definedName name="_TMAutoChart5Refs">{"","","'GM%'!$B$30","'GM%'!$B$31","","","","","",""}</definedName>
    <definedName name="_TMAutoChart6Names">{"PNL Local","Chart 48","PNL Local Graphique 48"}</definedName>
    <definedName name="_TMAutoChart6Refs">{"","","'PNL Local'!$X$10","'PNL Local'!$X$11","","","","","",""}</definedName>
    <definedName name="_TMAutoChart7Names">{"Curves","Chart 4","Curves Graphique 4"}</definedName>
    <definedName name="_TMAutoChart7Refs">{"","","'Curves'!$E$55","'Curves'!$F$55","","","","","",""}</definedName>
    <definedName name="_TMAutoChart8Names">{"Curves","Chart 2","Curves Graphique 2"}</definedName>
    <definedName name="_TMAutoChart8Refs">{"","","'Curves'!$E$55","'Curves'!$F$55","","","","","",""}</definedName>
    <definedName name="_TMAutoChartCount">26</definedName>
    <definedName name="_wr1">{"hist_bs",#N/A,FALSE,"Exhibit D,E1,E2";#N/A,#N/A,FALSE,"Exhibit E3";#N/A,#N/A,FALSE,"Mgmt. Projtn";#N/A,#N/A,FALSE,"Exhibit B-1";#N/A,#N/A,FALSE,"Exhibit A";#N/A,#N/A,FALSE,"WACC";#N/A,#N/A,FALSE,"Control";"hist_inc",#N/A,FALSE,"Exhibit D,E1,E2"}</definedName>
    <definedName name="_wrn1">{#N/A,#N/A,FALSE,"DCF";#N/A,#N/A,FALSE,"WACC";#N/A,#N/A,FALSE,"Sales_EBIT";#N/A,#N/A,FALSE,"Capex_Depreciation";#N/A,#N/A,FALSE,"WC";#N/A,#N/A,FALSE,"Interest";#N/A,#N/A,FALSE,"Assumptions"}</definedName>
    <definedName name="_X2">{#N/A,#N/A,FALSE,"Other";#N/A,#N/A,FALSE,"Ace";#N/A,#N/A,FALSE,"Derm"}</definedName>
    <definedName name="_xlchart.v1.0" hidden="1">Charts!$J$577:$J$589</definedName>
    <definedName name="_xlchart.v1.1" hidden="1">Charts!$L$577:$L$589</definedName>
    <definedName name="_xlchart.v1.10" hidden="1">'Valuation table summary'!$N$6:$N$9</definedName>
    <definedName name="_xlchart.v1.11" hidden="1">'Valuation table summary'!$S$6:$S$11</definedName>
    <definedName name="_xlchart.v1.12" hidden="1">'Valuation table summary'!$V$6:$V$11</definedName>
    <definedName name="_xlchart.v1.13" hidden="1">('Valuation &amp; SBG NAV'!$BM$306:$BM$308,'Valuation &amp; SBG NAV'!$BM$310:$BM$312,'Valuation &amp; SBG NAV'!$BM$314:$BM$315)</definedName>
    <definedName name="_xlchart.v1.14" hidden="1">('Valuation &amp; SBG NAV'!$BM$287:$BM$289,'Valuation &amp; SBG NAV'!$BM$291:$BM$293,'Valuation &amp; SBG NAV'!$BM$295:$BM$296)</definedName>
    <definedName name="_xlchart.v1.15" hidden="1">'TopCo Gross cash table'!$U$6:$U$21</definedName>
    <definedName name="_xlchart.v1.16" hidden="1">'TopCo Gross cash table'!$X$6:$X$21</definedName>
    <definedName name="_xlchart.v1.2" hidden="1">Charts!$J$476:$J$482</definedName>
    <definedName name="_xlchart.v1.3" hidden="1">Charts!$L$476:$L$482</definedName>
    <definedName name="_xlchart.v1.4" hidden="1">Charts!$M$108:$M$116</definedName>
    <definedName name="_xlchart.v1.5" hidden="1">Charts!$J$298:$J$308</definedName>
    <definedName name="_xlchart.v1.6" hidden="1">Charts!$L$298:$L$308</definedName>
    <definedName name="_xlchart.v1.7" hidden="1">'Alt. SoftBank Valuation'!$B$85:$B$89</definedName>
    <definedName name="_xlchart.v1.8" hidden="1">'Alt. SoftBank Valuation'!$F$85:$F$89</definedName>
    <definedName name="_xlchart.v1.9" hidden="1">'Valuation table summary'!$K$6:$K$9</definedName>
    <definedName name="_xx1">{#N/A,#N/A,TRUE,"A-site";#N/A,#N/A,TRUE,"B-Buildings";#N/A,#N/A,TRUE,"c-out-of-fence";#N/A,#N/A,TRUE,"d-proj.infr.";#N/A,#N/A,TRUE,"e- land"}</definedName>
    <definedName name="_z1">{#N/A,#N/A,TRUE,"Cover sheet";#N/A,#N/A,TRUE,"Summary";#N/A,#N/A,TRUE,"Key Assumptions";#N/A,#N/A,TRUE,"Profit &amp; Loss";#N/A,#N/A,TRUE,"Balance Sheet";#N/A,#N/A,TRUE,"Cashflow";#N/A,#N/A,TRUE,"IRR";#N/A,#N/A,TRUE,"Ratios";#N/A,#N/A,TRUE,"Debt analysis"}</definedName>
    <definedName name="a">#REF!</definedName>
    <definedName name="A\">#REF!</definedName>
    <definedName name="A244GP">'[26]BS-WORK'!#REF!</definedName>
    <definedName name="AA">#REF!</definedName>
    <definedName name="aaa">#REF!</definedName>
    <definedName name="aaa_1" hidden="1">{"Page1",#N/A,FALSE,"Segment Overview";"Page2",#N/A,FALSE,"Segment Overview";"Page3",#N/A,FALSE,"Summary";"Page4",#N/A,FALSE,"Summary";"Page5",#N/A,FALSE,"US Pubs Rev";"Page6",#N/A,FALSE,"US Pubs Rev";"Page7",#N/A,FALSE,"US Pubs EBITDA";"Page8",#N/A,FALSE,"US Pubs EBITDA"}</definedName>
    <definedName name="AAA_DOCTOPS" hidden="1">"AAA_SET"</definedName>
    <definedName name="AAA_duser" hidden="1">"OFF"</definedName>
    <definedName name="aaaa">{#N/A,#N/A,FALSE,"REPORT"}</definedName>
    <definedName name="aaaaa">{#N/A,#N/A,FALSE,"REPORT"}</definedName>
    <definedName name="aaaaaa">{#N/A,#N/A,FALSE,"REPORT"}</definedName>
    <definedName name="aaaaaaa" hidden="1">#REF!</definedName>
    <definedName name="aaaaaaaa" hidden="1">{"Actual",#N/A,FALSE,"(価格)";"Market",#N/A,FALSE,"(価格)";"Plan",#N/A,FALSE,"(価格)"}</definedName>
    <definedName name="aaaaaaaaaaa">{#N/A,#N/A,FALSE,"REPORT"}</definedName>
    <definedName name="aaaaaaaaaaaaaaa">{#N/A,#N/A,FALSE,"Pharm";#N/A,#N/A,FALSE,"WWCM"}</definedName>
    <definedName name="aaaaab">{#N/A,#N/A,FALSE,"Model";#N/A,#N/A,FALSE,"Division"}</definedName>
    <definedName name="aaasb">{#N/A,#N/A,FALSE,"Pharm";#N/A,#N/A,FALSE,"WWCM"}</definedName>
    <definedName name="aab" hidden="1">{"Page1",#N/A,FALSE,"Segment Overview";"Page2",#N/A,FALSE,"Segment Overview";"Page3",#N/A,FALSE,"Summary";"Page4",#N/A,FALSE,"Summary";"Page5",#N/A,FALSE,"US Pubs Rev";"Page6",#N/A,FALSE,"US Pubs Rev";"Page7",#N/A,FALSE,"US Pubs EBITDA";"Page8",#N/A,FALSE,"US Pubs EBITDA"}</definedName>
    <definedName name="aab_1" hidden="1">{"Page1",#N/A,FALSE,"Segment Overview";"Page2",#N/A,FALSE,"Segment Overview";"Page3",#N/A,FALSE,"Summary";"Page4",#N/A,FALSE,"Summary";"Page5",#N/A,FALSE,"US Pubs Rev";"Page6",#N/A,FALSE,"US Pubs Rev";"Page7",#N/A,FALSE,"US Pubs EBITDA";"Page8",#N/A,FALSE,"US Pubs EBITDA"}</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bbb">{#N/A,#N/A,FALSE,"Hip.Bas";#N/A,#N/A,FALSE,"ventas";#N/A,#N/A,FALSE,"ingre-Año";#N/A,#N/A,FALSE,"ventas-Año";#N/A,#N/A,FALSE,"Costepro";#N/A,#N/A,FALSE,"inversion";#N/A,#N/A,FALSE,"personal";#N/A,#N/A,FALSE,"Gastos-V";#N/A,#N/A,FALSE,"Circulante";#N/A,#N/A,FALSE,"CONSOLI";#N/A,#N/A,FALSE,"Es-Fin";#N/A,#N/A,FALSE,"Margen-P"}</definedName>
    <definedName name="aac" hidden="1">{"Page1",#N/A,FALSE,"Segment Overview";"Page2",#N/A,FALSE,"Segment Overview";"Page3",#N/A,FALSE,"Summary";"Page4",#N/A,FALSE,"Summary";"Page5",#N/A,FALSE,"US Pubs Rev";"Page6",#N/A,FALSE,"US Pubs Rev";"Page7",#N/A,FALSE,"US Pubs EBITDA";"Page8",#N/A,FALSE,"US Pubs EBITDA"}</definedName>
    <definedName name="aac_1" hidden="1">{"Page1",#N/A,FALSE,"Segment Overview";"Page2",#N/A,FALSE,"Segment Overview";"Page3",#N/A,FALSE,"Summary";"Page4",#N/A,FALSE,"Summary";"Page5",#N/A,FALSE,"US Pubs Rev";"Page6",#N/A,FALSE,"US Pubs Rev";"Page7",#N/A,FALSE,"US Pubs EBITDA";"Page8",#N/A,FALSE,"US Pubs EBITDA"}</definedName>
    <definedName name="aaddd">{#N/A,#N/A,FALSE,"REPORT"}</definedName>
    <definedName name="aai" hidden="1">{"Page1",#N/A,FALSE,"Segment Overview";"Page2",#N/A,FALSE,"Segment Overview";"Page3",#N/A,FALSE,"Summary";"Page4",#N/A,FALSE,"Summary";"Page5",#N/A,FALSE,"US Pubs Rev";"Page6",#N/A,FALSE,"US Pubs Rev";"Page7",#N/A,FALSE,"US Pubs EBITDA";"Page8",#N/A,FALSE,"US Pubs EBITDA"}</definedName>
    <definedName name="aai_1" hidden="1">{"Page1",#N/A,FALSE,"Segment Overview";"Page2",#N/A,FALSE,"Segment Overview";"Page3",#N/A,FALSE,"Summary";"Page4",#N/A,FALSE,"Summary";"Page5",#N/A,FALSE,"US Pubs Rev";"Page6",#N/A,FALSE,"US Pubs Rev";"Page7",#N/A,FALSE,"US Pubs EBITDA";"Page8",#N/A,FALSE,"US Pubs EBITDA"}</definedName>
    <definedName name="aas">{#N/A,#N/A,FALSE,"1";#N/A,#N/A,FALSE,"2";#N/A,#N/A,FALSE,"16 - 17";#N/A,#N/A,FALSE,"18 - 19";#N/A,#N/A,FALSE,"26";#N/A,#N/A,FALSE,"27";#N/A,#N/A,FALSE,"28"}</definedName>
    <definedName name="aav" hidden="1">{"Page1",#N/A,FALSE,"Segment Overview";"Page2",#N/A,FALSE,"Segment Overview";"Page3",#N/A,FALSE,"Summary";"Page4",#N/A,FALSE,"Summary";"Page5",#N/A,FALSE,"US Pubs Rev";"Page6",#N/A,FALSE,"US Pubs Rev";"Page7",#N/A,FALSE,"US Pubs EBITDA";"Page8",#N/A,FALSE,"US Pubs EBITDA"}</definedName>
    <definedName name="aav_1" hidden="1">{"Page1",#N/A,FALSE,"Segment Overview";"Page2",#N/A,FALSE,"Segment Overview";"Page3",#N/A,FALSE,"Summary";"Page4",#N/A,FALSE,"Summary";"Page5",#N/A,FALSE,"US Pubs Rev";"Page6",#N/A,FALSE,"US Pubs Rev";"Page7",#N/A,FALSE,"US Pubs EBITDA";"Page8",#N/A,FALSE,"US Pubs EBITDA"}</definedName>
    <definedName name="abc" hidden="1">{"Page1",#N/A,FALSE,"Segment Overview";"Page2",#N/A,FALSE,"Segment Overview";"Page3",#N/A,FALSE,"Summary";"Page4",#N/A,FALSE,"Summary";"Page5",#N/A,FALSE,"US Pubs Rev";"Page6",#N/A,FALSE,"US Pubs Rev";"Page7",#N/A,FALSE,"US Pubs EBITDA";"Page8",#N/A,FALSE,"US Pubs EBITDA"}</definedName>
    <definedName name="abcd">{#N/A,#N/A,FALSE,"Cashflow Analysis";#N/A,#N/A,FALSE,"Sensitivity Analysis";#N/A,#N/A,FALSE,"PV";#N/A,#N/A,FALSE,"Pro Forma"}</definedName>
    <definedName name="abcde">{#N/A,#N/A,FALSE,"Title Page";#N/A,#N/A,FALSE,"Conclusions";#N/A,#N/A,FALSE,"Assum.";#N/A,#N/A,FALSE,"Sun  DCF-WC-Dep";#N/A,#N/A,FALSE,"MarketValue";#N/A,#N/A,FALSE,"BalSheet";#N/A,#N/A,FALSE,"WACC";#N/A,#N/A,FALSE,"PC+ Info.";#N/A,#N/A,FALSE,"PC+Info_2"}</definedName>
    <definedName name="abcs">{#N/A,#N/A,TRUE,"Cover sheet";#N/A,#N/A,TRUE,"Summary";#N/A,#N/A,TRUE,"Key Assumptions";#N/A,#N/A,TRUE,"Profit &amp; Loss";#N/A,#N/A,TRUE,"Balance Sheet";#N/A,#N/A,TRUE,"Cashflow";#N/A,#N/A,TRUE,"IRR";#N/A,#N/A,TRUE,"Ratios";#N/A,#N/A,TRUE,"Debt analysis"}</definedName>
    <definedName name="ab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ac">{#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acc" hidden="1">{"Page1",#N/A,FALSE,"Segment Overview";"Page2",#N/A,FALSE,"Segment Overview";"Page3",#N/A,FALSE,"Summary";"Page4",#N/A,FALSE,"Summary";"Page5",#N/A,FALSE,"US Pubs Rev";"Page6",#N/A,FALSE,"US Pubs Rev";"Page7",#N/A,FALSE,"US Pubs EBITDA";"Page8",#N/A,FALSE,"US Pubs EBITDA"}</definedName>
    <definedName name="ACC_ENG13">OFFSET(#REF!,0,0,COUNTA(#REF!)-1,1)</definedName>
    <definedName name="ACC_JAP13">OFFSET(#REF!,0,0,COUNTA(#REF!)-1,1)</definedName>
    <definedName name="Access_Button" hidden="1">"종합사번1999년_99년02월_퇴사__List"</definedName>
    <definedName name="AccessDatabase" hidden="1">"C:\My Documents\사번\종합사번1999년.mdb"</definedName>
    <definedName name="acdasdf">{"'I-1 and I-2'!$A$1:$G$190"}</definedName>
    <definedName name="aclskn">{#N/A,#N/A,FALSE,"FY97";#N/A,#N/A,FALSE,"FY98";#N/A,#N/A,FALSE,"FY99";#N/A,#N/A,FALSE,"FY00";#N/A,#N/A,FALSE,"FY01"}</definedName>
    <definedName name="Acti">{"Curves","Chart 4","Curves Graphique 4"}</definedName>
    <definedName name="ad">{"'Leading KPI'!$A$1:$P$33","'Leading KPI'!$A$1:$P$33"}</definedName>
    <definedName name="adasd" hidden="1">{"ｹﾝﾄ（M)",#N/A,FALSE,"収支・日割";"ｹﾝﾄ（RD)",#N/A,FALSE,"収支・日割";"ｹﾝﾄ（PMC)",#N/A,FALSE,"収支・日割"}</definedName>
    <definedName name="adasdwqwqa" hidden="1">{"Page1",#N/A,FALSE,"Segment Overview";"Page2",#N/A,FALSE,"Segment Overview";"Page3",#N/A,FALSE,"Summary";"Page4",#N/A,FALSE,"Summary";"Page5",#N/A,FALSE,"US Pubs Rev";"Page6",#N/A,FALSE,"US Pubs Rev";"Page7",#N/A,FALSE,"US Pubs EBITDA";"Page8",#N/A,FALSE,"US Pubs EBITDA"}</definedName>
    <definedName name="adf">{"'I-1 and I-2'!$A$1:$G$190"}</definedName>
    <definedName name="adfacvasv">{"'I-1 and I-2'!$A$1:$G$190"}</definedName>
    <definedName name="adfadf">{#N/A,#N/A,FALSE,"Hip.Bas";#N/A,#N/A,FALSE,"ventas";#N/A,#N/A,FALSE,"ingre-Año";#N/A,#N/A,FALSE,"ventas-Año";#N/A,#N/A,FALSE,"Costepro";#N/A,#N/A,FALSE,"inversion";#N/A,#N/A,FALSE,"personal";#N/A,#N/A,FALSE,"Gastos-V";#N/A,#N/A,FALSE,"Circulante";#N/A,#N/A,FALSE,"CONSOLI";#N/A,#N/A,FALSE,"Es-Fin";#N/A,#N/A,FALSE,"Margen-P"}</definedName>
    <definedName name="adfgasdysty">{#N/A,#N/A,FALSE,"REPORT"}</definedName>
    <definedName name="adfhhqer">[27]Occ!#REF!</definedName>
    <definedName name="adfhqer">[27]Demand!#REF!</definedName>
    <definedName name="adfs">{#N/A,#N/A,FALSE,"PMTABB";#N/A,#N/A,FALSE,"PMTABB"}</definedName>
    <definedName name="adfsfjfjky">{#N/A,#N/A,FALSE,"REPORT"}</definedName>
    <definedName name="adherh">[27]Demand!#REF!</definedName>
    <definedName name="aer">{#N/A,#N/A,FALSE,"EW"}</definedName>
    <definedName name="aerf">{"'I-1 and I-2'!$A$1:$G$190"}</definedName>
    <definedName name="aey">#REF!</definedName>
    <definedName name="afafa" hidden="1">{"Page1",#N/A,FALSE,"Segment Overview";"Page2",#N/A,FALSE,"Segment Overview";"Page3",#N/A,FALSE,"Summary";"Page4",#N/A,FALSE,"Summary";"Page5",#N/A,FALSE,"US Pubs Rev";"Page6",#N/A,FALSE,"US Pubs Rev";"Page7",#N/A,FALSE,"US Pubs EBITDA";"Page8",#N/A,FALSE,"US Pubs EBITDA"}</definedName>
    <definedName name="afasdf">{"'I-1 and I-2'!$A$1:$G$190"}</definedName>
    <definedName name="afdadfasdfsd">{#N/A,#N/A,FALSE,"Hip.Bas";#N/A,#N/A,FALSE,"ventas";#N/A,#N/A,FALSE,"ingre-Año";#N/A,#N/A,FALSE,"ventas-Año";#N/A,#N/A,FALSE,"Costepro";#N/A,#N/A,FALSE,"inversion";#N/A,#N/A,FALSE,"personal";#N/A,#N/A,FALSE,"Gastos-V";#N/A,#N/A,FALSE,"Circulante";#N/A,#N/A,FALSE,"CONSOLI";#N/A,#N/A,FALSE,"Es-Fin";#N/A,#N/A,FALSE,"Margen-P"}</definedName>
    <definedName name="AFDADSFDAS">{#N/A,#N/A,FALSE,"REPORT"}</definedName>
    <definedName name="afdsasd">{#N/A,#N/A,FALSE,"Hip.Bas";#N/A,#N/A,FALSE,"ventas";#N/A,#N/A,FALSE,"ingre-Año";#N/A,#N/A,FALSE,"ventas-Año";#N/A,#N/A,FALSE,"Costepro";#N/A,#N/A,FALSE,"inversion";#N/A,#N/A,FALSE,"personal";#N/A,#N/A,FALSE,"Gastos-V";#N/A,#N/A,FALSE,"Circulante";#N/A,#N/A,FALSE,"CONSOLI";#N/A,#N/A,FALSE,"Es-Fin";#N/A,#N/A,FALSE,"Margen-P"}</definedName>
    <definedName name="africa">{#N/A,#N/A,FALSE,"CNS";#N/A,#N/A,FALSE,"Serz";#N/A,#N/A,FALSE,"Ace"}</definedName>
    <definedName name="AFSDF">{#N/A,#N/A,FALSE,"PMTABB";#N/A,#N/A,FALSE,"PMTABB"}</definedName>
    <definedName name="afsdrt">{#N/A,#N/A,FALSE,"Aging Summary";#N/A,#N/A,FALSE,"Ratio Analysis";#N/A,#N/A,FALSE,"Test 120 Day Accts";#N/A,#N/A,FALSE,"Tickmarks"}</definedName>
    <definedName name="afssdrt">{#N/A,#N/A,FALSE,"EW"}</definedName>
    <definedName name="ag">{TRUE,TRUE,-1.25,-15.5,456.75,279.75,FALSE,FALSE,TRUE,TRUE,0,1,8,1,4,6,3,4,TRUE,TRUE,3,TRUE,1,TRUE,100,"Swvu.turnover.","ACwvu.turnover.",1,FALSE,FALSE,0.511811023622047,0.511811023622047,0.511811023622047,0.511811023622047,1,"","",FALSE,FALSE,FALSE,FALSE,1,#N/A,1,1,#DIV/0!,FALSE,"Rwvu.turnover.",#N/A,FALSE,FALSE}</definedName>
    <definedName name="agafdhsdh">{#N/A,#N/A,FALSE,"REPORT"}</definedName>
    <definedName name="agagher">#REF!</definedName>
    <definedName name="agfds">{TRUE,TRUE,-1.25,-15.5,456.75,279.75,FALSE,FALSE,TRUE,TRUE,0,1,8,1,4,6,3,4,TRUE,TRUE,3,TRUE,1,TRUE,100,"Swvu.turnover.","ACwvu.turnover.",1,FALSE,FALSE,0.511811023622047,0.511811023622047,0.511811023622047,0.511811023622047,1,"","",FALSE,FALSE,FALSE,FALSE,1,#N/A,1,1,#DIV/0!,FALSE,"Rwvu.turnover.",#N/A,FALSE,FALSE}</definedName>
    <definedName name="agsgaghgfj">{#N/A,#N/A,FALSE,"Pharm";#N/A,#N/A,FALSE,"WWCM"}</definedName>
    <definedName name="ahadhhqe">[27]Occ!#REF!</definedName>
    <definedName name="ahareh">#REF!</definedName>
    <definedName name="ahsdahqe">[27]Occ!#REF!</definedName>
    <definedName name="alex">{#N/A,#N/A,FALSE,"REPORT"}</definedName>
    <definedName name="alexan">{#N/A,#N/A,FALSE,"REPORT"}</definedName>
    <definedName name="All">{#N/A,#N/A,TRUE,"Cover";#N/A,#N/A,TRUE,"Macro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GROUPS">[28]SALES!#REF!</definedName>
    <definedName name="alskdn">{"'I-1 and I-2'!$A$1:$G$190"}</definedName>
    <definedName name="an">{#N/A,#N/A,TRUE,"Overall";#N/A,#N/A,TRUE,"Region Wise ";#N/A,#N/A,TRUE,"Client Wise"}</definedName>
    <definedName name="anagha">[29]A!$I$6:$I$105</definedName>
    <definedName name="Andheri_Capex">{"'ICo.'!$J$12:$K$20"}</definedName>
    <definedName name="andy">{#N/A,#N/A,FALSE,"REPORT"}</definedName>
    <definedName name="annie">#REF!</definedName>
    <definedName name="anre">#REF!</definedName>
    <definedName name="anscount" hidden="1">2</definedName>
    <definedName name="ANU">'[30]1999-00'!#REF!</definedName>
    <definedName name="AOC">{"","","'Curves'!$E$55","'Curves'!$F$55","","","","","",""}</definedName>
    <definedName name="appendix4">{#N/A,#N/A,TRUE,"Cover sheet";#N/A,#N/A,TRUE,"Summary";#N/A,#N/A,TRUE,"Key Assumptions";#N/A,#N/A,TRUE,"Profit &amp; Loss";#N/A,#N/A,TRUE,"Balance Sheet";#N/A,#N/A,TRUE,"Cashflow";#N/A,#N/A,TRUE,"IRR";#N/A,#N/A,TRUE,"Ratios";#N/A,#N/A,TRUE,"Debt analysis"}</definedName>
    <definedName name="aqrqa" hidden="1">{"Page1",#N/A,FALSE,"Segment Overview";"Page2",#N/A,FALSE,"Segment Overview";"Page3",#N/A,FALSE,"Summary";"Page4",#N/A,FALSE,"Summary";"Page5",#N/A,FALSE,"US Pubs Rev";"Page6",#N/A,FALSE,"US Pubs Rev";"Page7",#N/A,FALSE,"US Pubs EBITDA";"Page8",#N/A,FALSE,"US Pubs EBITDA"}</definedName>
    <definedName name="aqw">{#N/A,#N/A,FALSE,"Profit &amp; Loss";#N/A,#N/A,FALSE,"Cash Management";#N/A,#N/A,FALSE,"Conversion Cost";#N/A,#N/A,FALSE,"Operating KPI's";#N/A,#N/A,FALSE,"Major Projects";#N/A,#N/A,FALSE,"Capital Project Status";#N/A,#N/A,FALSE,"Early Warn &amp; Risk ";#N/A,#N/A,FALSE,"Marketplace Gaps";#N/A,#N/A,FALSE,"Scrap Process";#N/A,#N/A,FALSE,"Gross Margin Chain";#N/A,#N/A,FALSE,"Performance Indicators";#N/A,#N/A,FALSE,"GM Analysis - Mill"}</definedName>
    <definedName name="ar">{"'ICo.'!$J$12:$K$20"}</definedName>
    <definedName name="arabehr">[27]Occ!#REF!</definedName>
    <definedName name="arbft">#REF!</definedName>
    <definedName name="arl">{#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as" hidden="1">{#N/A,#N/A,FALSE,"5YRASSPl - consol'd";#N/A,#N/A,FALSE,"5YRASSPl - hotel";#N/A,#N/A,FALSE,"5YRASSPl - excl htl";#N/A,#N/A,FALSE,"VarReport";#N/A,#N/A,FALSE,"Sensitivity";#N/A,#N/A,FALSE,"House View ";#N/A,#N/A,FALSE,"KPI"}</definedName>
    <definedName name="AS2DocOpenMode" hidden="1">"AS2DocumentEdit"</definedName>
    <definedName name="AS2HasNoAutoHeaderFooter">" "</definedName>
    <definedName name="AS2NamedRange" hidden="1">9</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s">{#N/A,#N/A,FALSE,"Pharm";#N/A,#N/A,FALSE,"WWCM"}</definedName>
    <definedName name="asd">{#N/A,#N/A,FALSE,"Pharm";#N/A,#N/A,FALSE,"WWCM"}</definedName>
    <definedName name="asda" hidden="1">{"Actual",#N/A,FALSE,"(価格)";"Market",#N/A,FALSE,"(価格)";"Plan",#N/A,FALSE,"(価格)"}</definedName>
    <definedName name="asdasdsae" hidden="1">{"Page1",#N/A,FALSE,"Segment Overview";"Page2",#N/A,FALSE,"Segment Overview";"Page3",#N/A,FALSE,"Summary";"Page4",#N/A,FALSE,"Summary";"Page5",#N/A,FALSE,"US Pubs Rev";"Page6",#N/A,FALSE,"US Pubs Rev";"Page7",#N/A,FALSE,"US Pubs EBITDA";"Page8",#N/A,FALSE,"US Pubs EBITDA"}</definedName>
    <definedName name="ASDASF">'[30]1999-00'!#REF!</definedName>
    <definedName name="asdcvasdvasdv">{"'I-1 and I-2'!$A$1:$G$190"}</definedName>
    <definedName name="asdf">{"'I-1 and I-2'!$A$1:$G$190"}</definedName>
    <definedName name="asdfafasdf">{#N/A,#N/A,FALSE,"Feuil";#N/A,#N/A,FALSE,"Feuil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dfasd">{"'I-1 and I-2'!$A$1:$G$190"}</definedName>
    <definedName name="asdfasdf">{"'I-1 and I-2'!$A$1:$G$190"}</definedName>
    <definedName name="asdfasdfasdf">{"SUMMARY",#N/A,TRUE,"SUMMARY";"compare",#N/A,TRUE,"Vs. Bus Plan";"ratios",#N/A,TRUE,"Ratios";"REVENUE",#N/A,TRUE,"Revenue";"expenses",#N/A,TRUE,"1996 budget";"payroll",#N/A,TRUE,"Payroll"}</definedName>
    <definedName name="asdfasdfggbhg">{"'I-1 and I-2'!$A$1:$G$190"}</definedName>
    <definedName name="asdfasf">{"'I-1 and I-2'!$A$1:$G$190"}</definedName>
    <definedName name="asdfdfdjf">{#N/A,#N/A,FALSE,"Budget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g">{#N/A,#N/A,FALSE,"Pharm";#N/A,#N/A,FALSE,"WWCM"}</definedName>
    <definedName name="asdfnm">{"'I-1 and I-2'!$A$1:$G$190"}</definedName>
    <definedName name="asdgahdfhth">{#N/A,#N/A,FALSE,"REPORT"}</definedName>
    <definedName name="asdgayery">{#N/A,#N/A,FALSE,"Pharm";#N/A,#N/A,FALSE,"WWCM"}</definedName>
    <definedName name="asdgfdytyet">{#N/A,#N/A,FALSE,"REPORT"}</definedName>
    <definedName name="asdgtryukuio">{#N/A,#N/A,FALSE,"REPORT"}</definedName>
    <definedName name="asdjasldkfj">{#N/A,#N/A,FALSE,"PMTABB";#N/A,#N/A,FALSE,"PMTABB"}</definedName>
    <definedName name="asdjgkl">{#N/A,#N/A,FALSE,"Pharm";#N/A,#N/A,FALSE,"WWCM"}</definedName>
    <definedName name="asdsar">{#N/A,#N/A,FALSE,"ISBL"}</definedName>
    <definedName name="asdse">{#N/A,#N/A,FALSE,"Model";#N/A,#N/A,FALSE,"Division"}</definedName>
    <definedName name="ase">{#N/A,#N/A,TRUE,"Total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asffghujyki">{#N/A,#N/A,FALSE,"Pharm";#N/A,#N/A,FALSE,"WWCM"}</definedName>
    <definedName name="asfg">{#N/A,#N/A,FALSE,"Balance Sheet";#N/A,#N/A,FALSE,"Income Statement";#N/A,#N/A,FALSE,"Changes in Financial Position"}</definedName>
    <definedName name="asfqadf">{"Curves","Chart 4","Curves Graphique 4"}</definedName>
    <definedName name="asfweqw33" hidden="1">{"Page1",#N/A,FALSE,"Segment Overview";"Page2",#N/A,FALSE,"Segment Overview";"Page3",#N/A,FALSE,"Summary";"Page4",#N/A,FALSE,"Summary";"Page5",#N/A,FALSE,"US Pubs Rev";"Page6",#N/A,FALSE,"US Pubs Rev";"Page7",#N/A,FALSE,"US Pubs EBITDA";"Page8",#N/A,FALSE,"US Pubs EBITDA"}</definedName>
    <definedName name="ASP_Target">#REF!</definedName>
    <definedName name="ass">{#N/A,#N/A,FALSE,"Balance Sheet";#N/A,#N/A,FALSE,"Income Statement";#N/A,#N/A,FALSE,"Changes in Financial Position"}</definedName>
    <definedName name="ASSA">{#N/A,#N/A,FALSE,"1";#N/A,#N/A,FALSE,"2";#N/A,#N/A,FALSE,"16 - 17";#N/A,#N/A,FALSE,"18 - 19";#N/A,#N/A,FALSE,"26";#N/A,#N/A,FALSE,"27";#N/A,#N/A,FALSE,"28"}</definedName>
    <definedName name="atish">{#N/A,#N/A,FALSE,"cash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las" hidden="1">{#N/A,#N/A,FALSE,"１";#N/A,#N/A,FALSE,"２";#N/A,#N/A,FALSE,"３";#N/A,#N/A,FALSE,"４"}</definedName>
    <definedName name="aw">{"'ICo.'!$J$12:$K$20"}</definedName>
    <definedName name="aw4wb">{#N/A,#N/A,FALSE,"ISBL"}</definedName>
    <definedName name="awe">{#N/A,#N/A,FALSE,"PGW"}</definedName>
    <definedName name="aweaw3">{#N/A,#N/A,FALSE,"OSBL"}</definedName>
    <definedName name="awqy" hidden="1">{"Page1",#N/A,FALSE,"Segment Overview";"Page2",#N/A,FALSE,"Segment Overview";"Page3",#N/A,FALSE,"Summary";"Page4",#N/A,FALSE,"Summary";"Page5",#N/A,FALSE,"US Pubs Rev";"Page6",#N/A,FALSE,"US Pubs Rev";"Page7",#N/A,FALSE,"US Pubs EBITDA";"Page8",#N/A,FALSE,"US Pubs EBITDA"}</definedName>
    <definedName name="awryu" hidden="1">{"Page1",#N/A,FALSE,"Segment Overview";"Page2",#N/A,FALSE,"Segment Overview";"Page3",#N/A,FALSE,"Summary";"Page4",#N/A,FALSE,"Summary";"Page5",#N/A,FALSE,"US Pubs Rev";"Page6",#N/A,FALSE,"US Pubs Rev";"Page7",#N/A,FALSE,"US Pubs EBITDA";"Page8",#N/A,FALSE,"US Pubs EBITDA"}</definedName>
    <definedName name="AX">{#N/A,#N/A,FALSE,"Pharm";#N/A,#N/A,FALSE,"WWCM"}</definedName>
    <definedName name="axcxas">#REF!</definedName>
    <definedName name="ayman">{#N/A,#N/A,FALSE,"1";#N/A,#N/A,FALSE,"2";#N/A,#N/A,FALSE,"16 - 17";#N/A,#N/A,FALSE,"18 - 19";#N/A,#N/A,FALSE,"26";#N/A,#N/A,FALSE,"27";#N/A,#N/A,FALSE,"28"}</definedName>
    <definedName name="ayman1">{#N/A,#N/A,FALSE,"Pharm";#N/A,#N/A,FALSE,"WWCM"}</definedName>
    <definedName name="ayman2">{#N/A,#N/A,FALSE,"Pharm";#N/A,#N/A,FALSE,"WWCM"}</definedName>
    <definedName name="ayman7">{#N/A,#N/A,FALSE,"REPORT"}</definedName>
    <definedName name="ayman8">{#N/A,#N/A,FALSE,"REPORT"}</definedName>
    <definedName name="az">{#N/A,#N/A,FALSE,"Pharm";#N/A,#N/A,FALSE,"WWCM"}</definedName>
    <definedName name="azeazr">{#N/A,#N/A,FALSE,"Sales Graph";#N/A,#N/A,FALSE,"BUC Graph";#N/A,#N/A,FALSE,"P&amp;L - YTD"}</definedName>
    <definedName name="azerety">{#N/A,#N/A,FALSE,"Pharm";#N/A,#N/A,FALSE,"WWCM"}</definedName>
    <definedName name="azgaghadh">[27]Demand!#REF!</definedName>
    <definedName name="b">#REF!</definedName>
    <definedName name="B6ser" hidden="1">#REF!</definedName>
    <definedName name="Backlog">{"","","'Curves'!$V$4","'Curves'!$W$4","","","","","",""}</definedName>
    <definedName name="Bank">{TRUE,TRUE,-1.25,-15.5,456.75,279.75,FALSE,FALSE,TRUE,TRUE,0,1,21,1,127,6,3,4,TRUE,TRUE,3,TRUE,1,TRUE,100,"Swvu.profits.","ACwvu.profits.",1,FALSE,FALSE,0.511811023622047,0.511811023622047,0.511811023622047,0.511811023622047,1,"","",FALSE,FALSE,FALSE,FALSE,1,#N/A,1,1,#DIV/0!,FALSE,"Rwvu.profits.",#N/A,FALSE,FALSE}</definedName>
    <definedName name="bank1">{TRUE,TRUE,-1.25,-15.5,456.75,279.75,FALSE,FALSE,TRUE,TRUE,0,1,21,1,127,6,3,4,TRUE,TRUE,3,TRUE,1,TRUE,100,"Swvu.profits.","ACwvu.profits.",1,FALSE,FALSE,0.511811023622047,0.511811023622047,0.511811023622047,0.511811023622047,1,"","",FALSE,FALSE,FALSE,FALSE,1,#N/A,1,1,#DIV/0!,FALSE,"Rwvu.profits.",#N/A,FALSE,FALSE}</definedName>
    <definedName name="base1">'[31]Power &amp; Fuel(SMS)'!#REF!</definedName>
    <definedName name="bbb" hidden="1">{"Page1",#N/A,FALSE,"Segment Overview";"Page2",#N/A,FALSE,"Segment Overview";"Page3",#N/A,FALSE,"Summary";"Page4",#N/A,FALSE,"Summary";"Page5",#N/A,FALSE,"US Pubs Rev";"Page6",#N/A,FALSE,"US Pubs Rev";"Page7",#N/A,FALSE,"US Pubs EBITDA";"Page8",#N/A,FALSE,"US Pubs EBITDA"}</definedName>
    <definedName name="bbbb">{#N/A,#N/A,FALSE,"REPORT"}</definedName>
    <definedName name="bbbbb">{#N/A,#N/A,FALSE,"Pharm";#N/A,#N/A,FALSE,"WWCM"}</definedName>
    <definedName name="BBBBBB">{#N/A,#N/A,FALSE,"REPORT"}</definedName>
    <definedName name="BBBBBBBBB">{#N/A,#N/A,FALSE,"REPORT"}</definedName>
    <definedName name="bbbbbbbbbbbbb">{#N/A,#N/A,FALSE,"Pharm";#N/A,#N/A,FALSE,"WWCM"}</definedName>
    <definedName name="bbs">{#N/A,#N/A,FALSE,"Balance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eachwood" hidden="1">{"p",#N/A,FALSE,"Sheet1";"p 2",#N/A,FALSE,"Sheet1";"p 3",#N/A,FALSE,"Sheet1"}</definedName>
    <definedName name="bf">{"'Leading KPI'!$A$1:$P$33","'Leading KPI'!$A$1:$P$33"}</definedName>
    <definedName name="bg">{#N/A,#N/A,TRUE,"Summary - 1";#N/A,#N/A,TRUE,"Summary - 2";#N/A,#N/A,TRUE,"Group Analysis";#N/A,#N/A,TRUE,"FM Analysis";#N/A,#N/A,TRUE,"T&amp;M-Onsite";#N/A,#N/A,TRUE,"FP-Onsite";#N/A,#N/A,TRUE,"NB-Onsite";#N/A,#N/A,TRUE,"T&amp;M-Offshore";#N/A,#N/A,TRUE,"FP-Offshore";#N/A,#N/A,TRUE,"Appendix-A";#N/A,#N/A,TRUE,"Appendix-B"}</definedName>
    <definedName name="BG_Del" hidden="1">15</definedName>
    <definedName name="BG_Ins" hidden="1">4</definedName>
    <definedName name="BG_Mod" hidden="1">6</definedName>
    <definedName name="bg3sheet">{#N/A,#N/A,TRUE,"Summary - 1";#N/A,#N/A,TRUE,"Summary - 2";#N/A,#N/A,TRUE,"Group Analysis";#N/A,#N/A,TRUE,"FM Analysis";#N/A,#N/A,TRUE,"T&amp;M-Onsite";#N/A,#N/A,TRUE,"FP-Onsite";#N/A,#N/A,TRUE,"NB-Onsite";#N/A,#N/A,TRUE,"T&amp;M-Offshore";#N/A,#N/A,TRUE,"FP-Offshore";#N/A,#N/A,TRUE,"Appendix-A";#N/A,#N/A,TRUE,"Appendix-B"}</definedName>
    <definedName name="bgh">{"histincome",#N/A,FALSE,"hyfins";"closing balance",#N/A,FALSE,"hyfins"}</definedName>
    <definedName name="bgisheet">{#N/A,#N/A,TRUE,"Summary - 1";#N/A,#N/A,TRUE,"Summary - 2";#N/A,#N/A,TRUE,"Group Analysis";#N/A,#N/A,TRUE,"FM Analysis";#N/A,#N/A,TRUE,"T&amp;M-Onsite";#N/A,#N/A,TRUE,"FP-Onsite";#N/A,#N/A,TRUE,"NB-Onsite";#N/A,#N/A,TRUE,"T&amp;M-Offshore";#N/A,#N/A,TRUE,"FP-Offshore";#N/A,#N/A,TRUE,"Appendix-A";#N/A,#N/A,TRUE,"Appendix-B"}</definedName>
    <definedName name="BLPH1">'[32]Share Prices'!$I$3</definedName>
    <definedName name="BLPH10">#REF!</definedName>
    <definedName name="BLPH100">#REF!</definedName>
    <definedName name="BLPH101">#REF!</definedName>
    <definedName name="BLPH102">#REF!</definedName>
    <definedName name="BLPH103">#REF!</definedName>
    <definedName name="BLPH104">#REF!</definedName>
    <definedName name="BLPH105">#REF!</definedName>
    <definedName name="BLPH106">#REF!</definedName>
    <definedName name="BLPH107">#REF!</definedName>
    <definedName name="BLPH108">#REF!</definedName>
    <definedName name="BLPH109">#REF!</definedName>
    <definedName name="BLPH11">#REF!</definedName>
    <definedName name="BLPH110">#REF!</definedName>
    <definedName name="BLPH111">#REF!</definedName>
    <definedName name="BLPH112">#REF!</definedName>
    <definedName name="BLPH113">#REF!</definedName>
    <definedName name="BLPH114">#REF!</definedName>
    <definedName name="BLPH115">#REF!</definedName>
    <definedName name="BLPH116">#REF!</definedName>
    <definedName name="BLPH117">#REF!</definedName>
    <definedName name="BLPH118">#REF!</definedName>
    <definedName name="BLPH119">#REF!</definedName>
    <definedName name="BLPH12" hidden="1">#REF!</definedName>
    <definedName name="BLPH120">#REF!</definedName>
    <definedName name="BLPH121">#REF!</definedName>
    <definedName name="BLPH122">#REF!</definedName>
    <definedName name="BLPH123">#REF!</definedName>
    <definedName name="BLPH124">#REF!</definedName>
    <definedName name="BLPH125">#REF!</definedName>
    <definedName name="BLPH126">#REF!</definedName>
    <definedName name="BLPH127">#REF!</definedName>
    <definedName name="BLPH128">#REF!</definedName>
    <definedName name="BLPH129">#REF!</definedName>
    <definedName name="BLPH13" hidden="1">#REF!</definedName>
    <definedName name="BLPH130">#REF!</definedName>
    <definedName name="BLPH131">#REF!</definedName>
    <definedName name="BLPH132">#REF!</definedName>
    <definedName name="BLPH133">#REF!</definedName>
    <definedName name="BLPH134">#REF!</definedName>
    <definedName name="BLPH135">#REF!</definedName>
    <definedName name="BLPH136">#REF!</definedName>
    <definedName name="BLPH14" hidden="1">#REF!</definedName>
    <definedName name="BLPH15" hidden="1">#REF!</definedName>
    <definedName name="BLPH16" hidden="1">#REF!</definedName>
    <definedName name="BLPH17">#REF!</definedName>
    <definedName name="BLPH18">#REF!</definedName>
    <definedName name="BLPH19">#REF!</definedName>
    <definedName name="BLPH2">'[33]Share Prices'!#REF!</definedName>
    <definedName name="BLPH20">#REF!</definedName>
    <definedName name="BLPH21">#REF!</definedName>
    <definedName name="BLPH22">#REF!</definedName>
    <definedName name="BLPH23">#REF!</definedName>
    <definedName name="BLPH24">#REF!</definedName>
    <definedName name="BLPH25">#REF!</definedName>
    <definedName name="BLPH26">#REF!</definedName>
    <definedName name="BLPH27">#REF!</definedName>
    <definedName name="BLPH28">#REF!</definedName>
    <definedName name="BLPH29">#REF!</definedName>
    <definedName name="BLPH3" hidden="1">#REF!</definedName>
    <definedName name="BLPH30">#REF!</definedName>
    <definedName name="BLPH31">#REF!</definedName>
    <definedName name="BLPH32">#REF!</definedName>
    <definedName name="BLPH33">#REF!</definedName>
    <definedName name="BLPH34">#REF!</definedName>
    <definedName name="BLPH35">#REF!</definedName>
    <definedName name="BLPH36">#REF!</definedName>
    <definedName name="BLPH37">#REF!</definedName>
    <definedName name="BLPH39">#REF!</definedName>
    <definedName name="BLPH4" hidden="1">#REF!</definedName>
    <definedName name="BLPH40">#REF!</definedName>
    <definedName name="BLPH41">#REF!</definedName>
    <definedName name="BLPH42">#REF!</definedName>
    <definedName name="BLPH43">#REF!</definedName>
    <definedName name="BLPH44">#REF!</definedName>
    <definedName name="BLPH45">#REF!</definedName>
    <definedName name="BLPH46">#REF!</definedName>
    <definedName name="BLPH47">#REF!</definedName>
    <definedName name="BLPH48">#REF!</definedName>
    <definedName name="BLPH49">#REF!</definedName>
    <definedName name="BLPH5" hidden="1">#REF!</definedName>
    <definedName name="BLPH50">#REF!</definedName>
    <definedName name="BLPH51">#REF!</definedName>
    <definedName name="BLPH52">#REF!</definedName>
    <definedName name="BLPH53">#REF!</definedName>
    <definedName name="BLPH54">#REF!</definedName>
    <definedName name="BLPH55">#REF!</definedName>
    <definedName name="BLPH56">#REF!</definedName>
    <definedName name="BLPH57">#REF!</definedName>
    <definedName name="BLPH58">#REF!</definedName>
    <definedName name="BLPH59">#REF!</definedName>
    <definedName name="BLPH6">'[33]Share Prices'!#REF!</definedName>
    <definedName name="BLPH60">#REF!</definedName>
    <definedName name="BLPH61">#REF!</definedName>
    <definedName name="BLPH62">#REF!</definedName>
    <definedName name="BLPH63">#REF!</definedName>
    <definedName name="BLPH64">#REF!</definedName>
    <definedName name="BLPH65">#REF!</definedName>
    <definedName name="BLPH66">#REF!</definedName>
    <definedName name="BLPH67">#REF!</definedName>
    <definedName name="BLPH68">#REF!</definedName>
    <definedName name="BLPH69">#REF!</definedName>
    <definedName name="BLPH7">#REF!</definedName>
    <definedName name="BLPH70">#REF!</definedName>
    <definedName name="BLPH71">#REF!</definedName>
    <definedName name="BLPH72">#REF!</definedName>
    <definedName name="BLPH73">#REF!</definedName>
    <definedName name="BLPH74">#REF!</definedName>
    <definedName name="BLPH75">#REF!</definedName>
    <definedName name="BLPH76">#REF!</definedName>
    <definedName name="BLPH77">#REF!</definedName>
    <definedName name="BLPH78">#REF!</definedName>
    <definedName name="BLPH79">#REF!</definedName>
    <definedName name="BLPH8">#REF!</definedName>
    <definedName name="BLPH80">#REF!</definedName>
    <definedName name="BLPH81">#REF!</definedName>
    <definedName name="BLPH82">#REF!</definedName>
    <definedName name="BLPH83">#REF!</definedName>
    <definedName name="BLPH84">#REF!</definedName>
    <definedName name="BLPH85">#REF!</definedName>
    <definedName name="BLPH86">#REF!</definedName>
    <definedName name="BLPH87">#REF!</definedName>
    <definedName name="BLPH88">#REF!</definedName>
    <definedName name="BLPH89">#REF!</definedName>
    <definedName name="BLPH9">#REF!</definedName>
    <definedName name="BLPH90">#REF!</definedName>
    <definedName name="BLPH91">#REF!</definedName>
    <definedName name="BLPH92">#REF!</definedName>
    <definedName name="BLPH93">#REF!</definedName>
    <definedName name="BLPH94">#REF!</definedName>
    <definedName name="BLPH95">#REF!</definedName>
    <definedName name="BLPH96">#REF!</definedName>
    <definedName name="BLPH97">#REF!</definedName>
    <definedName name="BLPH98">#REF!</definedName>
    <definedName name="BLPH99">#REF!</definedName>
    <definedName name="bm">{"'ID(2)'!$E$1:$N$4"}</definedName>
    <definedName name="bmj">[27]Occ!#REF!</definedName>
    <definedName name="bnm">{#N/A,#N/A,FALSE,"REPORT"}</definedName>
    <definedName name="bnnn">{"consolidated",#N/A,FALSE,"Sheet1";"cms",#N/A,FALSE,"Sheet1";"fse",#N/A,FALSE,"Sheet1"}</definedName>
    <definedName name="bnuyyg">{TRUE,TRUE,-1.25,-15.5,484.5,255,FALSE,FALSE,TRUE,FALSE,0,2,16,1,6,13,5,4,TRUE,TRUE,3,TRUE,1,TRUE,75,"Swvu.A.","ACwvu.A.",#N/A,FALSE,FALSE,0.2,0.22,1,0.641,2,"&amp;L&amp;""Arial,Bold""&amp;11Essar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T">{"all",#N/A,FALSE,"Compco";"summary",#N/A,FALSE,"Compco"}</definedName>
    <definedName name="bty">{#N/A,#N/A,FALSE,"PGW"}</definedName>
    <definedName name="bv">{"'ID(2)'!$E$1:$N$4"}</definedName>
    <definedName name="bx">{"'ID(2)'!$E$1:$N$4"}</definedName>
    <definedName name="c.LTMYear">#REF!</definedName>
    <definedName name="cancel">#REF!</definedName>
    <definedName name="capex2" hidden="1">{#N/A,#N/A,TRUE,"Capex Summ";#N/A,#N/A,TRUE,"Essential Works.tw";#N/A,#N/A,TRUE,"Desirable Works.tw";#N/A,#N/A,TRUE,"Essential Works.rt";#N/A,#N/A,TRUE,"Desirable Works.rt";#N/A,#N/A,TRUE,"Mthly";#N/A,#N/A,TRUE,"Essential Works.ht";#N/A,#N/A,TRUE,"Desirable Works.ht";#N/A,#N/A,TRUE,"Incentives"}</definedName>
    <definedName name="Capital2">{"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capitalized">{#N/A,#N/A,FALSE,"Title Page";#N/A,#N/A,FALSE,"Conclusions";#N/A,#N/A,FALSE,"Assum.";#N/A,#N/A,FALSE,"Sun  DCF-WC-Dep";#N/A,#N/A,FALSE,"MarketValue";#N/A,#N/A,FALSE,"BalSheet";#N/A,#N/A,FALSE,"WACC";#N/A,#N/A,FALSE,"PC+ Info.";#N/A,#N/A,FALSE,"PC+Info_2"}</definedName>
    <definedName name="CapitalStructure">[21]MAIN!$V$49</definedName>
    <definedName name="CASCSAC">{#N/A,#N/A,FALSE,"TOWNSHIP"}</definedName>
    <definedName name="casds">{"DCF1",#N/A,FALSE,"SIERRA DCF";"MATRIX1",#N/A,FALSE,"SIERRA DCF"}</definedName>
    <definedName name="case">#REF!</definedName>
    <definedName name="cash" hidden="1">#REF!</definedName>
    <definedName name="cb_sChart10D6460A_opts">"1, 1, 1, False, 2, True, False, , 0, False, False, 1, 1"</definedName>
    <definedName name="cb_sChart10D65256_opts">"1, 1, 1, False, 2, True, False, , 0, False, False, 1, 1"</definedName>
    <definedName name="cb_sChart10D653EB_opts">"1, 1, 1, False, 2, True, False, , 0, False, False, 1, 1"</definedName>
    <definedName name="cb_sChart10D65893_opts">"1, 1, 1, False, 2, True, False, , 0, False, False, 1, 1"</definedName>
    <definedName name="cb_sChart155F5559_opts">"1, 1, 1, False, 2, False, False, , 0, False, False, 1, 1"</definedName>
    <definedName name="cb_sChart155F5734_opts">"1, 1, 1, False, 2, False, False, , 0, False, False, 2, 1"</definedName>
    <definedName name="cb_sChart155F57B3_opts">"1, 1, 1, False, 2, False, False, , 0, False, False, 1, 1"</definedName>
    <definedName name="cb_sChart16EBA7BA_opts">"1, 1, 1, False, 2, True, False, , 0, False, True, 1, 2"</definedName>
    <definedName name="cb_sChart1AC0211C_opts">"1, 1, 1, False, 2, False, False, , 0, False, False, 2, 2"</definedName>
    <definedName name="cb_sChart1AC021B3_opts">"1, 1, 1, False, 2, False, False, , 0, False, False, 2, 2"</definedName>
    <definedName name="cb_sChart1AC02226_opts">"1, 1, 1, False, 2, False, False, , 0, False, False, 2, 2"</definedName>
    <definedName name="cb_sChart1AC02446_opts">"1, 1, 1, False, 2, True, False, , 0, False, True, 2, 2"</definedName>
    <definedName name="cb_sChart1AC02765_opts">"1, 1, 1, False, 2, True, False, , 0, False, True, 2, 2"</definedName>
    <definedName name="cb_sChart1AC027D9_opts">"1, 1, 1, False, 2, True, False, , 0, False, True, 2, 2"</definedName>
    <definedName name="cb_sChartEE4CE1B_opts">"1, 4, 1, False, 2, False, False, , 0, False, False, 1, 1"</definedName>
    <definedName name="cb_sChartEE4CF99_opts">"1, 1, 1, False, 2, False, False, , 0, False, False, 1, 1"</definedName>
    <definedName name="cb_sChartEE4DD06_opts">"1, 1, 1, False, 2, False, False, , 0, False, False, 1, 2"</definedName>
    <definedName name="cb_sChartEE4E93B_opts">"1, 1, 1, False, 2, False, False, , 0, False, False, 1, 1"</definedName>
    <definedName name="cb_sChartEE51E95_opts">"1, 1, 1, False, 2, False, False, , 0, False, False, 1, 1"</definedName>
    <definedName name="cb_sChartEED7645_opts">"1, 1, 1, False, 2, False, False, , 0, False, False, 1, 1"</definedName>
    <definedName name="cb_sChartEEDA195_opts">"1, 1, 1, False, 2, False, False, , 0, False, False, 1, 1"</definedName>
    <definedName name="cb_sChartEEDC338_opts">"1, 1, 1, False, 2, False, False, , 0, False, False, 1, 1"</definedName>
    <definedName name="cb_sChartEEDEDB8_opts">"1, 1, 1, False, 2, False, False, , 0, False, True, 1, 1"</definedName>
    <definedName name="cb_sChartEEDEE5A_opts">"1, 3, 1, False, 2, True, False, , 0, False, True, 1, 1"</definedName>
    <definedName name="cb_sChartEEDF178_opts">"1, 3, 1, False, 2, False, False, , 0, False, True, 1, 1"</definedName>
    <definedName name="cb_sChartF6A6B11_opts">"1, 1, 1, False, 2, True, False, , 0, False, False, 1, 1"</definedName>
    <definedName name="cb_sChartFD191DC_opts">"1, 3, 1, False, 2, True, False, , 0, False, True, 1, 1"</definedName>
    <definedName name="cb_sChartFD1A245_opts">"1, 3, 1, False, 2, True, False, , 0, False, True, 1, 1"</definedName>
    <definedName name="cb_sChartFD3F0E9_opts">"1, 3, 1, False, 2, True, False, , 0, False, False, 1, 1"</definedName>
    <definedName name="cb_sChartFD3F27E_opts">"1, 3, 1, False, 2, True, False, , 0, False, True, 1, 1"</definedName>
    <definedName name="cb_sChartFD58483_opts">"1, 1, 1, False, 2, True, False, , 0, False, False, 1, 1"</definedName>
    <definedName name="cb_sChartFD5C4CD_opts">"1, 1, 1, False, 2, True, False, , 0, False, False, 1, 1"</definedName>
    <definedName name="cb_sChartFD5D4CE_opts">"1, 1, 1, False, 2, True, False, , 0, False, False, 1, 1"</definedName>
    <definedName name="cb_sChartFD5DF34_opts">"1, 1, 1, False, 2, True, False, , 0, False, False, 1, 1"</definedName>
    <definedName name="cb_sChartFD5EFC0_opts">"1, 1, 1, False, 2, True, False, , 0, False, False, 1, 1"</definedName>
    <definedName name="cb_sChartFD5FDB9_opts">"1, 1, 1, False, 2, True, False, , 0, False, False, 1, 1"</definedName>
    <definedName name="cb_sChartFE54712_opts">"1, 3, 1, False, 2, True, False, , 0, False, True, 1, 1"</definedName>
    <definedName name="cbef" hidden="1">#REF!</definedName>
    <definedName name="CBWorkbookPriority">-1103212323</definedName>
    <definedName name="CC">{"'I-1 and I-2'!$A$1:$G$190"}</definedName>
    <definedName name="cccc">{#N/A,#N/A,TRUE,"Total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ccccc">{#N/A,#N/A,FALSE,"Layout Cash Flow"}</definedName>
    <definedName name="ccccccc">{#N/A,#N/A,TRUE,"Cover sheet";#N/A,#N/A,TRUE,"Summary";#N/A,#N/A,TRUE,"Key Assumptions";#N/A,#N/A,TRUE,"Profit &amp; Loss";#N/A,#N/A,TRUE,"Balance Sheet";#N/A,#N/A,TRUE,"Cashflow";#N/A,#N/A,TRUE,"IRR";#N/A,#N/A,TRUE,"Ratios";#N/A,#N/A,TRUE,"Debt analysis"}</definedName>
    <definedName name="CCO">{"'Leading KPI'!$A$1:$P$33","'Leading KPI'!$A$1:$P$33"}</definedName>
    <definedName name="CF" hidden="1">#REF!</definedName>
    <definedName name="cghfy">{TRUE,TRUE,-1.25,-15.5,484.5,255,FALSE,FALSE,TRUE,FALSE,0,2,16,1,6,13,5,4,TRUE,TRUE,3,TRUE,1,TRUE,75,"Swvu.A.","ACwvu.A.",#N/A,FALSE,FALSE,0.2,0.22,1,0.641,2,"&amp;L&amp;""Arial,Bold""&amp;11Essar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vg">{#N/A,#N/A,FALSE,"FREE"}</definedName>
    <definedName name="Chart">{#N/A,#N/A,FALSE,"Pharm";#N/A,#N/A,FALSE,"WWCM"}</definedName>
    <definedName name="Chauffeur">#REF!</definedName>
    <definedName name="chgcvhgvvg">#REF!</definedName>
    <definedName name="Chiara">#REF!</definedName>
    <definedName name="chosie">{#N/A,#N/A,FALSE,"Pharm";#N/A,#N/A,FALSE,"WWCM"}</definedName>
    <definedName name="ciao">{#N/A,#N/A,FALSE,"Valuation";#N/A,#N/A,FALSE,"MLP Impact"}</definedName>
    <definedName name="CIQANR_11c1394d5f314eb7ac158b9d2f9b0733" hidden="1">#REF!</definedName>
    <definedName name="CIQANR_1f51b656e3d74a4b9726d57d0ef75e14" hidden="1">#REF!</definedName>
    <definedName name="CIQANR_368effc72b9943d2840bb1f9b92ee6d8" hidden="1">#REF!</definedName>
    <definedName name="CIQANR_4163c6b1d4f24df3a2193edcc0f13541" hidden="1">#REF!</definedName>
    <definedName name="CIQANR_4698e03516bd406db079365661735d94" hidden="1">#REF!</definedName>
    <definedName name="CIQANR_47edc7331e32498a95e05f93dc37e18e" hidden="1">#REF!</definedName>
    <definedName name="CIQANR_4eacf728fcd54922af53cb4ce7cbf8d8" hidden="1">#REF!</definedName>
    <definedName name="CIQANR_5a7ae6c52785419ebc207852304076d4" hidden="1">#REF!</definedName>
    <definedName name="CIQANR_5ae7bb404f09492f916fbe89fd3f89b8" hidden="1">#REF!</definedName>
    <definedName name="CIQANR_5d336447a6d441498b9167e6418ac471" hidden="1">#REF!</definedName>
    <definedName name="CIQANR_6316a543743d49a98b26aaf6749effd2" hidden="1">#REF!</definedName>
    <definedName name="CIQANR_6445ead789804d318c06c1fceaf68ee7" hidden="1">#REF!</definedName>
    <definedName name="CIQANR_73aeb343b0cc4db691754dd9183c5873">'[34]For Aztec'!#REF!</definedName>
    <definedName name="CIQANR_78e0ad5838264febb42a09e5f7d16b5e" hidden="1">#REF!</definedName>
    <definedName name="CIQANR_80794b117a3c488fa1cbba27efefb48e" hidden="1">#REF!</definedName>
    <definedName name="CIQANR_821f53d9a5ab4c9aabc2b4b5e3f4ce0f" hidden="1">#REF!</definedName>
    <definedName name="CIQANR_82e3a2018fe941e896f0c6ccf71ee471" hidden="1">#REF!</definedName>
    <definedName name="CIQANR_87767205d85c4520981a06d54e0fc3c7" hidden="1">#REF!</definedName>
    <definedName name="CIQANR_9db4e5d9cac64200b3b39da4289896cb" hidden="1">#REF!</definedName>
    <definedName name="CIQANR_9fd233709caa4ebeb982cf29cf0e13d7" hidden="1">#REF!</definedName>
    <definedName name="CIQANR_a50e310a1fff4d6a944dc122ed07568d" hidden="1">#REF!</definedName>
    <definedName name="CIQANR_a5fd9ed494c64913b85767ad966dc21d" hidden="1">#REF!</definedName>
    <definedName name="CIQANR_ab1295efdd644422b2f4723742e6a1be" hidden="1">#REF!</definedName>
    <definedName name="CIQANR_af951ac85fb647afa3cdc0c5583d86ad" hidden="1">#REF!</definedName>
    <definedName name="CIQANR_b2e3946f87c84d62b512e59d515efcf7" hidden="1">#REF!</definedName>
    <definedName name="CIQANR_b44b2e123a7449f0a7b8d8135b59c0de" hidden="1">#REF!</definedName>
    <definedName name="CIQANR_b6b2820de9594d1a90dfa2e3ec68dd37" hidden="1">#REF!</definedName>
    <definedName name="CIQANR_c03697d251734aeb927023d4f16ddb40" hidden="1">#REF!</definedName>
    <definedName name="CIQANR_c0fa53ff04f24808b7d27ee8db0b60bb" hidden="1">#REF!</definedName>
    <definedName name="CIQANR_c9e7cd56aaff4b4187d5d37e103f7c50" hidden="1">#REF!</definedName>
    <definedName name="CIQANR_cd1d9d69b25e4709ae509137e0700ae4" hidden="1">#REF!</definedName>
    <definedName name="CIQANR_cf85bbc31f5e49748ac5e196ace995d9" hidden="1">#REF!</definedName>
    <definedName name="CIQANR_d47c1896203149daaa06dc3e6329e85d" hidden="1">#REF!</definedName>
    <definedName name="CIQANR_d6fdbf9019784a428ebbc971f14dbf77" hidden="1">#REF!</definedName>
    <definedName name="CIQANR_d7bc2b9f8b9e4701987c08692084e59a" hidden="1">#REF!</definedName>
    <definedName name="CIQANR_d8d2c073f894488fa327d3376ccdb48f" hidden="1">#REF!</definedName>
    <definedName name="CIQANR_d95645ffae884f6a86419baab5f92074" hidden="1">#REF!</definedName>
    <definedName name="CIQANR_db81656e2bb94c8883ef49f1a292be5a" hidden="1">#REF!</definedName>
    <definedName name="CIQANR_dd29d5cff97c42308d7f005f99b0ac8c" hidden="1">#REF!</definedName>
    <definedName name="CIQANR_e0bfdeae0e4b4bc89edbdd04b2a99621" hidden="1">#REF!</definedName>
    <definedName name="CIQANR_e74627044f7549188b7be6c845f67189" hidden="1">#REF!</definedName>
    <definedName name="CIQANR_e8b78c44a33f47a1815a09f67952fba7" hidden="1">#REF!</definedName>
    <definedName name="CIQANR_eb5662c3a29f42ebb9ed1eb3ce1b3cf1" hidden="1">#REF!</definedName>
    <definedName name="CIQANR_ed3e23b55b3348b89c8529a1be9a83dc" hidden="1">#REF!</definedName>
    <definedName name="CIQANR_f49ac52dcd2642b68b5577a1ab5bbc3f" hidden="1">#REF!</definedName>
    <definedName name="CIQANR_f5e0ba16d41248a59f1d5a5ebf8a745d" hidden="1">#REF!</definedName>
    <definedName name="CIQANR_f74d121badc94a4fbd50bb5799f98667" hidden="1">#REF!</definedName>
    <definedName name="CIQWBGuid" hidden="1">"d76e27ed-11f7-4eb6-adb4-279870f016a1"</definedName>
    <definedName name="CIQWBInfo" hidden="1">"{ ""CIQVersion"":""9.45.614.5792"" }"</definedName>
    <definedName name="circ">#REF!</definedName>
    <definedName name="Client">#REF!</definedName>
    <definedName name="cma">'[35]Power &amp; Fuel (S)'!#REF!</definedName>
    <definedName name="cogs">[29]A!$G$6:$G$105</definedName>
    <definedName name="COGstandard">{#N/A,#N/A,FALSE,"Pharm";#N/A,#N/A,FALSE,"WWCM"}</definedName>
    <definedName name="competition">#REF!</definedName>
    <definedName name="conf_balamended">{#N/A,#N/A,FALSE,"PMTABB";#N/A,#N/A,FALSE,"PMTABB"}</definedName>
    <definedName name="control1">{#N/A,#N/A,TRUE,"Summary - 1";#N/A,#N/A,TRUE,"Summary - 2";#N/A,#N/A,TRUE,"Group Analysis";#N/A,#N/A,TRUE,"FM Analysis";#N/A,#N/A,TRUE,"T&amp;M-Onsite";#N/A,#N/A,TRUE,"FP-Onsite";#N/A,#N/A,TRUE,"NB-Onsite";#N/A,#N/A,TRUE,"T&amp;M-Offshore";#N/A,#N/A,TRUE,"FP-Offshore";#N/A,#N/A,TRUE,"Appendix-A";#N/A,#N/A,TRUE,"Appendix-B"}</definedName>
    <definedName name="Conversionrate">#REF!</definedName>
    <definedName name="copy" hidden="1">#REF!</definedName>
    <definedName name="copy1">{#N/A,#N/A,FALSE,"Pharm";#N/A,#N/A,FALSE,"WWCM"}</definedName>
    <definedName name="COPY2">{#N/A,#N/A,FALSE,"Pharm";#N/A,#N/A,FALSE,"WWCM"}</definedName>
    <definedName name="copy233">{#N/A,#N/A,FALSE,"Pharm";#N/A,#N/A,FALSE,"WWCM"}</definedName>
    <definedName name="copy33">{#N/A,#N/A,FALSE,"Pharm";#N/A,#N/A,FALSE,"WWCM"}</definedName>
    <definedName name="copy38">{#N/A,#N/A,FALSE,"Pharm";#N/A,#N/A,FALSE,"WWCM"}</definedName>
    <definedName name="cost">#REF!</definedName>
    <definedName name="coucou">{#N/A,#N/A,TRUE,"Cover sheet";#N/A,#N/A,TRUE,"INPUTS";#N/A,#N/A,TRUE,"OUTPUTS";#N/A,#N/A,TRUE,"VALUATION"}</definedName>
    <definedName name="Count1">(OFFSET(#REF!,0,0,COUNT(#REF!),1))-1</definedName>
    <definedName name="CreditStats">#REF!</definedName>
    <definedName name="cu102.ShareScalingFactor" hidden="1">1000000</definedName>
    <definedName name="cu103.EmployeeScalingFactor" hidden="1">1000</definedName>
    <definedName name="cu107.DPSSymbol" hidden="1">"P"</definedName>
    <definedName name="cu107.EPSSymbol" hidden="1">"P"</definedName>
    <definedName name="cu71.ScalingFactor" hidden="1">1000000</definedName>
    <definedName name="Customers">{#N/A,#N/A,FALSE,"1996";#N/A,#N/A,FALSE,"1995";#N/A,#N/A,FALSE,"1994"}</definedName>
    <definedName name="cvcvcvcv">{#N/A,#N/A,FALSE,"Hip.Bas";#N/A,#N/A,FALSE,"ventas";#N/A,#N/A,FALSE,"ingre-Año";#N/A,#N/A,FALSE,"ventas-Año";#N/A,#N/A,FALSE,"Costepro";#N/A,#N/A,FALSE,"inversion";#N/A,#N/A,FALSE,"personal";#N/A,#N/A,FALSE,"Gastos-V";#N/A,#N/A,FALSE,"Circulante";#N/A,#N/A,FALSE,"CONSOLI";#N/A,#N/A,FALSE,"Es-Fin";#N/A,#N/A,FALSE,"Margen-P"}</definedName>
    <definedName name="cvh">{#N/A,#N/A,FALSE,"TOWNSHIP"}</definedName>
    <definedName name="cvy">{TRUE,TRUE,-1.25,-15.5,484.5,255,FALSE,FALSE,TRUE,FALSE,0,2,16,1,6,13,5,4,TRUE,TRUE,3,TRUE,1,TRUE,75,"Swvu.A.","ACwvu.A.",#N/A,FALSE,FALSE,0.2,0.22,1,0.641,2,"&amp;L&amp;""Arial,Bold""&amp;11Essar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wvu.GREY_ALL.">#REF!</definedName>
    <definedName name="d" hidden="1">#REF!</definedName>
    <definedName name="DA" hidden="1">{"Actual",#N/A,FALSE,"(価格)";"Market",#N/A,FALSE,"(価格)";"Plan",#N/A,FALSE,"(価格)"}</definedName>
    <definedName name="DAD">{#N/A,#N/A,FALSE,"REPORT"}</definedName>
    <definedName name="dadasd" hidden="1">{"Page1",#N/A,FALSE,"Segment Overview";"Page2",#N/A,FALSE,"Segment Overview";"Page3",#N/A,FALSE,"Summary";"Page4",#N/A,FALSE,"Summary";"Page5",#N/A,FALSE,"US Pubs Rev";"Page6",#N/A,FALSE,"US Pubs Rev";"Page7",#N/A,FALSE,"US Pubs EBITDA";"Page8",#N/A,FALSE,"US Pubs EBITDA"}</definedName>
    <definedName name="DADF">{#N/A,#N/A,FALSE,"REPORT"}</definedName>
    <definedName name="dadqwwa" hidden="1">{"Page1",#N/A,FALSE,"Segment Overview";"Page2",#N/A,FALSE,"Segment Overview";"Page3",#N/A,FALSE,"Summary";"Page4",#N/A,FALSE,"Summary";"Page5",#N/A,FALSE,"US Pubs Rev";"Page6",#N/A,FALSE,"US Pubs Rev";"Page7",#N/A,FALSE,"US Pubs EBITDA";"Page8",#N/A,FALSE,"US Pubs EBITDA"}</definedName>
    <definedName name="daf" hidden="1">#REF!</definedName>
    <definedName name="dafdsf">{"qchm_dcf",#N/A,FALSE,"QCHMDCF2";"qchm_terminal",#N/A,FALSE,"QCHMDCF2"}</definedName>
    <definedName name="dakfkjafgkeaj">{#N/A,#N/A,FALSE,"Pharm";#N/A,#N/A,FALSE,"WWCM"}</definedName>
    <definedName name="Dat">{#N/A,#N/A,TRUE,"Total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#REF!</definedName>
    <definedName name="Data_summary">{#N/A,#N/A,TRUE,"Total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bed">{"histincome",#N/A,FALSE,"hyfins";"closing balance",#N/A,FALSE,"hyfins"}</definedName>
    <definedName name="DCF">{#N/A,#N/A,FALSE,"DCF Summary";#N/A,#N/A,FALSE,"Casema";#N/A,#N/A,FALSE,"Casema NoTel";#N/A,#N/A,FALSE,"UK";#N/A,#N/A,FALSE,"RCF";#N/A,#N/A,FALSE,"Intercable CZ";#N/A,#N/A,FALSE,"Interkabel P"}</definedName>
    <definedName name="DCF_">{"rawdata",#N/A,TRUE,"HKT";"in",#N/A,TRUE,"HKT";"rawdata",#N/A,TRUE,"PTInd";"in",#N/A,TRUE,"PTInd";"rawdata",#N/A,TRUE,"NTT";"in",#N/A,TRUE,"NTT";"rawdata",#N/A,TRUE,"PLD";"in",#N/A,TRUE,"PLD";"rawdata",#N/A,TRUE,"PTTelk";"in",#N/A,TRUE,"PTTelk";"rawdata",#N/A,TRUE,"ST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{#N/A,#N/A,FALSE,"Pharm";#N/A,#N/A,FALSE,"WWCM"}</definedName>
    <definedName name="ddd">{"by departments",#N/A,TRUE,"FORECAST";"cap_headcount",#N/A,TRUE,"FORECAST";"summary",#N/A,TRUE,"FORECAST"}</definedName>
    <definedName name="dddaz">{#N/A,#N/A,FALSE,"Pharm";#N/A,#N/A,FALSE,"WWCM"}</definedName>
    <definedName name="ddddd">{"10yp tariffs",#N/A,FALSE,"Celtel alternative 6"}</definedName>
    <definedName name="dddddd">{#N/A,#N/A,FALSE,"Pharm";#N/A,#N/A,FALSE,"WWCM"}</definedName>
    <definedName name="ddde">{#N/A,#N/A,FALSE,"A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ee">{#N/A,#N/A,FALSE,"Finanzbedarsrechnung"}</definedName>
    <definedName name="DE">{#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btr">{#N/A,#N/A,FALSE,"FREE"}</definedName>
    <definedName name="dec">{"Curves","Chart 2","Curves Graphique 2"}</definedName>
    <definedName name="dede">{#N/A,#N/A,FALSE,"Pharm";#N/A,#N/A,FALSE,"WWCM"}</definedName>
    <definedName name="DEDED">{#N/A,#N/A,FALSE,"Card";#N/A,#N/A,FALSE,"Prav";#N/A,#N/A,FALSE,"Irbe";#N/A,#N/A,FALSE,"Plavix";#N/A,#N/A,FALSE,"Capt";#N/A,#N/A,FALSE,"Fosi"}</definedName>
    <definedName name="DEDEDZE">{#N/A,#N/A,FALSE,"Pharm";#N/A,#N/A,FALSE,"WWCM"}</definedName>
    <definedName name="deds">{#N/A,#N/A,FALSE,"Layout GuV"}</definedName>
    <definedName name="DEDZD">{#N/A,#N/A,FALSE,"Pharm";#N/A,#N/A,FALSE,"WWCM"}</definedName>
    <definedName name="DEE">{#N/A,#N/A,FALSE,"Pharm";#N/A,#N/A,FALSE,"WWCM"}</definedName>
    <definedName name="DEEC2" hidden="1">{"Page1",#N/A,FALSE,"Segment Overview";"Page2",#N/A,FALSE,"Segment Overview";"Page3",#N/A,FALSE,"Summary";"Page4",#N/A,FALSE,"Summary";"Page5",#N/A,FALSE,"US Pubs Rev";"Page6",#N/A,FALSE,"US Pubs Rev";"Page7",#N/A,FALSE,"US Pubs EBITDA";"Page8",#N/A,FALSE,"US Pubs EBITDA"}</definedName>
    <definedName name="DEEC元" hidden="1">{"Page1",#N/A,FALSE,"Segment Overview";"Page2",#N/A,FALSE,"Segment Overview";"Page3",#N/A,FALSE,"Summary";"Page4",#N/A,FALSE,"Summary";"Page5",#N/A,FALSE,"US Pubs Rev";"Page6",#N/A,FALSE,"US Pubs Rev";"Page7",#N/A,FALSE,"US Pubs EBITDA";"Page8",#N/A,FALSE,"US Pubs EBITDA"}</definedName>
    <definedName name="def">[36]YTD!$A$2653:$A$2715</definedName>
    <definedName name="delete2">[37]Matrix!#REF!</definedName>
    <definedName name="DEP_Work">#REF!</definedName>
    <definedName name="Depereciation">{"'Furniture&amp; O.E'!$A$4:$D$27"}</definedName>
    <definedName name="Deshpande">{"Index",#N/A,FALSE,"Index"}</definedName>
    <definedName name="DEZLFEZKLHF">{#N/A,#N/A,FALSE,"Pharm";#N/A,#N/A,FALSE,"WWCM"}</definedName>
    <definedName name="df" hidden="1">#REF!</definedName>
    <definedName name="dfa">{"Acq_matrix",#N/A,FALSE,"Acquisition Matrix"}</definedName>
    <definedName name="dfafa" hidden="1">{"Page1",#N/A,FALSE,"Segment Overview";"Page2",#N/A,FALSE,"Segment Overview";"Page3",#N/A,FALSE,"Summary";"Page4",#N/A,FALSE,"Summary";"Page5",#N/A,FALSE,"US Pubs Rev";"Page6",#N/A,FALSE,"US Pubs Rev";"Page7",#N/A,FALSE,"US Pubs EBITDA";"Page8",#N/A,FALSE,"US Pubs EBITDA"}</definedName>
    <definedName name="dfafaf" hidden="1">#REF!</definedName>
    <definedName name="DFDD">{#N/A,#N/A,FALSE,"REPORT"}</definedName>
    <definedName name="dfdsf">#REF!</definedName>
    <definedName name="dfer" hidden="1">{"Page1",#N/A,FALSE,"Segment Overview";"Page2",#N/A,FALSE,"Segment Overview";"Page3",#N/A,FALSE,"Summary";"Page4",#N/A,FALSE,"Summary";"Page5",#N/A,FALSE,"US Pubs Rev";"Page6",#N/A,FALSE,"US Pubs Rev";"Page7",#N/A,FALSE,"US Pubs EBITDA";"Page8",#N/A,FALSE,"US Pubs EBITDA"}</definedName>
    <definedName name="dfeyt" hidden="1">{"Page1",#N/A,FALSE,"Segment Overview";"Page2",#N/A,FALSE,"Segment Overview";"Page3",#N/A,FALSE,"Summary";"Page4",#N/A,FALSE,"Summary";"Page5",#N/A,FALSE,"US Pubs Rev";"Page6",#N/A,FALSE,"US Pubs Rev";"Page7",#N/A,FALSE,"US Pubs EBITDA";"Page8",#N/A,FALSE,"US Pubs EBITDA"}</definedName>
    <definedName name="dfftrt5" hidden="1">{"Page1",#N/A,FALSE,"Segment Overview";"Page2",#N/A,FALSE,"Segment Overview";"Page3",#N/A,FALSE,"Summary";"Page4",#N/A,FALSE,"Summary";"Page5",#N/A,FALSE,"US Pubs Rev";"Page6",#N/A,FALSE,"US Pubs Rev";"Page7",#N/A,FALSE,"US Pubs EBITDA";"Page8",#N/A,FALSE,"US Pubs EBITDA"}</definedName>
    <definedName name="dfgdfg">{#N/A,#N/A,TRUE,"Cover sheet";#N/A,#N/A,TRUE,"Summary";#N/A,#N/A,TRUE,"Key Assumptions";#N/A,#N/A,TRUE,"Profit &amp; Loss";#N/A,#N/A,TRUE,"Balance Sheet";#N/A,#N/A,TRUE,"Cashflow";#N/A,#N/A,TRUE,"IRR";#N/A,#N/A,TRUE,"Ratios";#N/A,#N/A,TRUE,"Debt analysis"}</definedName>
    <definedName name="dfgdgrbg">{"'I-1 and I-2'!$A$1:$G$190"}</definedName>
    <definedName name="dfghfd">{#N/A,#N/A,FALSE,"PMTABB";#N/A,#N/A,FALSE,"PMTABB"}</definedName>
    <definedName name="ｄｆｇｓｇｓ" hidden="1">{"Page1",#N/A,FALSE,"Segment Overview";"Page2",#N/A,FALSE,"Segment Overview";"Page3",#N/A,FALSE,"Summary";"Page4",#N/A,FALSE,"Summary";"Page5",#N/A,FALSE,"US Pubs Rev";"Page6",#N/A,FALSE,"US Pubs Rev";"Page7",#N/A,FALSE,"US Pubs EBITDA";"Page8",#N/A,FALSE,"US Pubs EBITDA"}</definedName>
    <definedName name="dfgt" hidden="1">{"Page1",#N/A,FALSE,"Segment Overview";"Page2",#N/A,FALSE,"Segment Overview";"Page3",#N/A,FALSE,"Summary";"Page4",#N/A,FALSE,"Summary";"Page5",#N/A,FALSE,"US Pubs Rev";"Page6",#N/A,FALSE,"US Pubs Rev";"Page7",#N/A,FALSE,"US Pubs EBITDA";"Page8",#N/A,FALSE,"US Pubs EBITDA"}</definedName>
    <definedName name="dfhgfgdjgd">{"Matrix",#N/A,FALSE,"ACQMTRX";"Fees",#N/A,FALSE,"ACQMTRX"}</definedName>
    <definedName name="dfr">{#N/A,#N/A,FALSE,"Pharm";#N/A,#N/A,FALSE,"WWCM"}</definedName>
    <definedName name="dfsdfasdf">{#N/A,#N/A,FALSE,"Hip.Bas";#N/A,#N/A,FALSE,"ventas";#N/A,#N/A,FALSE,"ingre-Año";#N/A,#N/A,FALSE,"ventas-Año";#N/A,#N/A,FALSE,"Costepro";#N/A,#N/A,FALSE,"inversion";#N/A,#N/A,FALSE,"personal";#N/A,#N/A,FALSE,"Gastos-V";#N/A,#N/A,FALSE,"Circulante";#N/A,#N/A,FALSE,"CONSOLI";#N/A,#N/A,FALSE,"Es-Fin";#N/A,#N/A,FALSE,"Margen-P"}</definedName>
    <definedName name="dfsfertweta" hidden="1">{"Page1",#N/A,FALSE,"Segment Overview";"Page2",#N/A,FALSE,"Segment Overview";"Page3",#N/A,FALSE,"Summary";"Page4",#N/A,FALSE,"Summary";"Page5",#N/A,FALSE,"US Pubs Rev";"Page6",#N/A,FALSE,"US Pubs Rev";"Page7",#N/A,FALSE,"US Pubs EBITDA";"Page8",#N/A,FALSE,"US Pubs EBITDA"}</definedName>
    <definedName name="dgdg">{#N/A,#N/A,FALSE,"Calc";#N/A,#N/A,FALSE,"Sensitivity";#N/A,#N/A,FALSE,"LT Earn.Dil.";#N/A,#N/A,FALSE,"Dil. AVP"}</definedName>
    <definedName name="dgdgss">{"consolidated",#N/A,FALSE,"Sheet1";"cms",#N/A,FALSE,"Sheet1";"fse",#N/A,FALSE,"Sheet1"}</definedName>
    <definedName name="dghmketymyn">[27]Occ!#REF!</definedName>
    <definedName name="dgkn">#REF!</definedName>
    <definedName name="dgtyw" hidden="1">{"Page1",#N/A,FALSE,"Segment Overview";"Page2",#N/A,FALSE,"Segment Overview";"Page3",#N/A,FALSE,"Summary";"Page4",#N/A,FALSE,"Summary";"Page5",#N/A,FALSE,"US Pubs Rev";"Page6",#N/A,FALSE,"US Pubs Rev";"Page7",#N/A,FALSE,"US Pubs EBITDA";"Page8",#N/A,FALSE,"US Pubs EBITDA"}</definedName>
    <definedName name="dir" hidden="1">{"bs",#N/A,FALSE,"BS";"pl",#N/A,FALSE,"PL";"res",#N/A,FALSE,"S.CAP,RES";"loans",#N/A,FALSE,"Loans";"inv",#N/A,FALSE,"C.Assets";"fa",#N/A,FALSE,"F.Assets";"ca",#N/A,FALSE,"C.Assets";"cl",#N/A,FALSE,"CL,Sales,Income";"ovh",#N/A,FALSE,"OVH"}</definedName>
    <definedName name="display_area_2">#REF!</definedName>
    <definedName name="Distri">{"","","'Curves'!$V$3","'Curves'!$W$3","","","","","",""}</definedName>
    <definedName name="Div_Industrial">{"adj95mult",#N/A,FALSE,"COMPCO";"adj95est",#N/A,FALSE,"COMPCO"}</definedName>
    <definedName name="DivFpb">'[38]DIV INC'!#REF!</definedName>
    <definedName name="dj">#REF!</definedName>
    <definedName name="djsrhgs" hidden="1">{"Page1",#N/A,FALSE,"Segment Overview";"Page2",#N/A,FALSE,"Segment Overview";"Page3",#N/A,FALSE,"Summary";"Page4",#N/A,FALSE,"Summary";"Page5",#N/A,FALSE,"US Pubs Rev";"Page6",#N/A,FALSE,"US Pubs Rev";"Page7",#N/A,FALSE,"US Pubs EBITDA";"Page8",#N/A,FALSE,"US Pubs EBITDA"}</definedName>
    <definedName name="dkgahirghigf">{#N/A,#N/A,FALSE,"Pharm";#N/A,#N/A,FALSE,"WWCM"}</definedName>
    <definedName name="DME_BeforeCloseCompleted">"True"</definedName>
    <definedName name="DME_Dirty">"False"</definedName>
    <definedName name="DME_DocumentFlags">"1"</definedName>
    <definedName name="DME_DocumentID">"::ODMA\DME-MSE\London-24631"</definedName>
    <definedName name="DME_DocumentOpened">"True"</definedName>
    <definedName name="DME_DocumentTitle">"London-24631 - Standard Model"</definedName>
    <definedName name="DME_LocalFile">"False"</definedName>
    <definedName name="DME_NextWindowNumber">"2"</definedName>
    <definedName name="doel">38455.4876388889</definedName>
    <definedName name="DP">{"'Leading KPI'!$A$1:$P$33","'Leading KPI'!$A$1:$P$33"}</definedName>
    <definedName name="drew" hidden="1">{"Page1",#N/A,FALSE,"Segment Overview";"Page2",#N/A,FALSE,"Segment Overview";"Page3",#N/A,FALSE,"Summary";"Page4",#N/A,FALSE,"Summary";"Page5",#N/A,FALSE,"US Pubs Rev";"Page6",#N/A,FALSE,"US Pubs Rev";"Page7",#N/A,FALSE,"US Pubs EBITDA";"Page8",#N/A,FALSE,"US Pubs EBITDA"}</definedName>
    <definedName name="dsd" hidden="1">{"Actual",#N/A,FALSE,"(価格)";"Market",#N/A,FALSE,"(価格)";"Plan",#N/A,FALSE,"(価格)"}</definedName>
    <definedName name="dsfsffss">{#N/A,#N/A,FALSE,"Pharm";#N/A,#N/A,FALSE,"WWCM"}</definedName>
    <definedName name="dsfvacvav">{"'I-1 and I-2'!$A$1:$G$190"}</definedName>
    <definedName name="dsg">{#N/A,#N/A,FALSE,"Calc";#N/A,#N/A,FALSE,"Sensitivity";#N/A,#N/A,FALSE,"LT Earn.Dil.";#N/A,#N/A,FALSE,"Dil. AVP"}</definedName>
    <definedName name="dss">{#N/A,#N/A,FALSE,"ACQ_GRAPHS";#N/A,#N/A,FALSE,"T_1 GRAPHS";#N/A,#N/A,FALSE,"T_2 GRAPHS";#N/A,#N/A,FALSE,"COMB_GRAPHS"}</definedName>
    <definedName name="dtdm">#REF!</definedName>
    <definedName name="DWAX">{TRUE,TRUE,-1.25,-15.5,484.5,255,FALSE,FALSE,TRUE,FALSE,0,2,16,1,6,13,5,4,TRUE,TRUE,3,TRUE,1,TRUE,75,"Swvu.A.","ACwvu.A.",#N/A,FALSE,FALSE,0.2,0.22,1,0.641,2,"&amp;L&amp;""Arial,Bold""&amp;11Essar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PRICE">[39]Quantity!#REF!</definedName>
    <definedName name="dymdt">#REF!</definedName>
    <definedName name="DynamicsData">OFFSET(#REF!,0,0,COUNTA(#REF!),COUNTA(#REF!))</definedName>
    <definedName name="DZ.IndSpec_Left">#REF!</definedName>
    <definedName name="DZ.IndSpec_Right">#REF!</definedName>
    <definedName name="DZ.LTM">#REF!</definedName>
    <definedName name="DZ.LTMPlus">#REF!</definedName>
    <definedName name="e">{#N/A,#N/A,FALSE,"Layout GuV"}</definedName>
    <definedName name="e23e23">{"'I-1 and I-2'!$A$1:$G$190"}</definedName>
    <definedName name="eaaga" hidden="1">{"Page1",#N/A,FALSE,"Segment Overview";"Page2",#N/A,FALSE,"Segment Overview";"Page3",#N/A,FALSE,"Summary";"Page4",#N/A,FALSE,"Summary";"Page5",#N/A,FALSE,"US Pubs Rev";"Page6",#N/A,FALSE,"US Pubs Rev";"Page7",#N/A,FALSE,"US Pubs EBITDA";"Page8",#N/A,FALSE,"US Pubs EBITDA"}</definedName>
    <definedName name="eaf">#REF!</definedName>
    <definedName name="EBITDTAM">{#N/A,#N/A,FALSE,"Sensitivity"}</definedName>
    <definedName name="edqw">{#N/A,#N/A,FALSE,"BANNERS";#N/A,#N/A,FALSE,"Market";#N/A,#N/A,FALSE,"Tel Rev";#N/A,#N/A,FALSE,"Revenues IOL";#N/A,#N/A,FALSE,"Invest";#N/A,#N/A,FALSE,"Op Cost1";#N/A,#N/A,FALSE,"Op Cost2";#N/A,#N/A,FALSE,"Oth_&amp;_Tot_Revenues";#N/A,#N/A,FALSE,"Fin Mod";#N/A,#N/A,FALSE,"FinMod_RoW";#N/A,#N/A,FALSE,"P&amp;E Burocrat";#N/A,#N/A,FALSE,"cash flow"}</definedName>
    <definedName name="ee">{#N/A,#N/A,FALSE,"Hip.Bas";#N/A,#N/A,FALSE,"ventas";#N/A,#N/A,FALSE,"ingre-Año";#N/A,#N/A,FALSE,"ventas-Año";#N/A,#N/A,FALSE,"Costepro";#N/A,#N/A,FALSE,"inversion";#N/A,#N/A,FALSE,"personal";#N/A,#N/A,FALSE,"Gastos-V";#N/A,#N/A,FALSE,"Circulante";#N/A,#N/A,FALSE,"CONSOLI";#N/A,#N/A,FALSE,"Es-Fin";#N/A,#N/A,FALSE,"Margen-P"}</definedName>
    <definedName name="EEE">{#N/A,#N/A,FALSE,"Pharm";#N/A,#N/A,FALSE,"WWCM"}</definedName>
    <definedName name="eeeee">{#N/A,#N/A,FALSE,"Pharm";#N/A,#N/A,FALSE,"WWCM"}</definedName>
    <definedName name="eeeeeeeeeeee">[40]Proforma!#REF!</definedName>
    <definedName name="eer">{#N/A,#N/A,TRUE,"Cover sheet";#N/A,#N/A,TRUE,"Summary";#N/A,#N/A,TRUE,"Key Assumptions";#N/A,#N/A,TRUE,"Profit &amp; Loss";#N/A,#N/A,TRUE,"Balance Sheet";#N/A,#N/A,TRUE,"Cashflow";#N/A,#N/A,TRUE,"IRR";#N/A,#N/A,TRUE,"Ratios";#N/A,#N/A,TRUE,"Debt analysis"}</definedName>
    <definedName name="eererer">{"mgmt forecast",#N/A,FALSE,"Mgmt Forecast";"dcf table",#N/A,FALSE,"Mgmt Forecast";"sensitivity",#N/A,FALSE,"Mgmt Forecast";"table inputs",#N/A,FALSE,"Mgmt Forecast";"calculations",#N/A,FALSE,"Mgmt Forecast"}</definedName>
    <definedName name="efefe">{"'ID(2)'!$E$1:$N$4"}</definedName>
    <definedName name="ejkfgkjze">{#N/A,#N/A,FALSE,"Pharm";#N/A,#N/A,FALSE,"WWCM"}</definedName>
    <definedName name="Electricity">{#N/A,#N/A,FALSE,"cash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mily">{#N/A,#N/A,FALSE,"Calc";#N/A,#N/A,FALSE,"Sensitivity";#N/A,#N/A,FALSE,"LT Earn.Dil.";#N/A,#N/A,FALSE,"Dil. AVP"}</definedName>
    <definedName name="Empty" hidden="1">#REF!</definedName>
    <definedName name="Empty1" hidden="1">#REF!</definedName>
    <definedName name="Empty2" hidden="1">#REF!</definedName>
    <definedName name="ends" hidden="1">{#N/A,#N/A,FALSE,"BS";#N/A,#N/A,FALSE,"PL";#N/A,#N/A,FALSE,"Schdl 1,2,3";#N/A,#N/A,FALSE,"Schd 4";#N/A,#N/A,FALSE,"Sch -5,6 (2)";#N/A,#N/A,FALSE,"Schd 7,8,9,10";#N/A,#N/A,FALSE,"Schd 11";#N/A,#N/A,FALSE,"schd 12, 13,14"}</definedName>
    <definedName name="Enter">{#N/A,#N/A,FALSE,"Sensitivity"}</definedName>
    <definedName name="ENTITA">{#N/A,#N/A,FALSE,"Sensitivity"}</definedName>
    <definedName name="er" hidden="1">{"Actual",#N/A,FALSE,"(価格)";"Market",#N/A,FALSE,"(価格)";"Plan",#N/A,FALSE,"(価格)"}</definedName>
    <definedName name="erd">{#N/A,#N/A,FALSE,"Pharm";#N/A,#N/A,FALSE,"WWCM"}</definedName>
    <definedName name="erf" hidden="1">{"Page1",#N/A,FALSE,"Segment Overview";"Page2",#N/A,FALSE,"Segment Overview";"Page3",#N/A,FALSE,"Summary";"Page4",#N/A,FALSE,"Summary";"Page5",#N/A,FALSE,"US Pubs Rev";"Page6",#N/A,FALSE,"US Pubs Rev";"Page7",#N/A,FALSE,"US Pubs EBITDA";"Page8",#N/A,FALSE,"US Pubs EBITDA"}</definedName>
    <definedName name="erhn">#REF!</definedName>
    <definedName name="erqw">{#N/A,#N/A,TRUE,"Total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ryeyetyuu">{#N/A,#N/A,FALSE,"Pharm";#N/A,#N/A,FALSE,"WWCM"}</definedName>
    <definedName name="eryb">#REF!</definedName>
    <definedName name="erynju">#REF!</definedName>
    <definedName name="ESSAI">{#N/A,#N/A,FALSE,"Pharm";#N/A,#N/A,FALSE,"WWCM"}</definedName>
    <definedName name="etc" hidden="1">#REF!</definedName>
    <definedName name="etet">{#N/A,#N/A,FALSE,"Calc";#N/A,#N/A,FALSE,"Sensitivity";#N/A,#N/A,FALSE,"LT Earn.Dil.";#N/A,#N/A,FALSE,"Dil. AVP"}</definedName>
    <definedName name="etrtufd" hidden="1">{"Page1",#N/A,FALSE,"Segment Overview";"Page2",#N/A,FALSE,"Segment Overview";"Page3",#N/A,FALSE,"Summary";"Page4",#N/A,FALSE,"Summary";"Page5",#N/A,FALSE,"US Pubs Rev";"Page6",#N/A,FALSE,"US Pubs Rev";"Page7",#N/A,FALSE,"US Pubs EBITDA";"Page8",#N/A,FALSE,"US Pubs EBITDA"}</definedName>
    <definedName name="ev.Calculation" hidden="1">-4135</definedName>
    <definedName name="ev.Initialized" hidden="1">FALSE</definedName>
    <definedName name="EV__CVPARAMS__">"Any by Any!$B$17:$C$38;"</definedName>
    <definedName name="EV__EXPOPTIONS__">0</definedName>
    <definedName name="EV__LASTREFTIME__" hidden="1">38292.6227083333</definedName>
    <definedName name="EV__MAXEXPCOLS__">100</definedName>
    <definedName name="EV__MAXEXPROWS__">1000</definedName>
    <definedName name="EV__MEMORYCVW__">0</definedName>
    <definedName name="EV__WBEVMODE__">0</definedName>
    <definedName name="EV__WBREFOPTIONS__">134217783</definedName>
    <definedName name="EV__WBVERSION__">0</definedName>
    <definedName name="ewrqwr" hidden="1">{"Page1",#N/A,FALSE,"Segment Overview";"Page2",#N/A,FALSE,"Segment Overview";"Page3",#N/A,FALSE,"Summary";"Page4",#N/A,FALSE,"Summary";"Page5",#N/A,FALSE,"US Pubs Rev";"Page6",#N/A,FALSE,"US Pubs Rev";"Page7",#N/A,FALSE,"US Pubs EBITDA";"Page8",#N/A,FALSE,"US Pubs EBITDA"}</definedName>
    <definedName name="ewwe">{#N/A,#N/A,FALSE,"REPORT"}</definedName>
    <definedName name="Exchange_Rates">#REF!</definedName>
    <definedName name="exit">#REF!</definedName>
    <definedName name="ExRate_Yr1">#REF!</definedName>
    <definedName name="ExRate_Yr2">#REF!</definedName>
    <definedName name="ExRate_Yr3">#REF!</definedName>
    <definedName name="ExRate_Yr4">#REF!</definedName>
    <definedName name="ExRate_Yr5">#REF!</definedName>
    <definedName name="ExRate_Yr6">#REF!</definedName>
    <definedName name="ExRate_Yr7">#REF!</definedName>
    <definedName name="ExRateLTM_Yr1">#REF!</definedName>
    <definedName name="ExRateLTM_Yr2">#REF!</definedName>
    <definedName name="ExRateLTM_Yr3">#REF!</definedName>
    <definedName name="f" hidden="1">#REF!</definedName>
    <definedName name="fa.xls">{#N/A,#N/A,FALSE,"Full";#N/A,#N/A,FALSE,"Half";#N/A,#N/A,FALSE,"Op Expenses";#N/A,#N/A,FALSE,"Cap Charge";#N/A,#N/A,FALSE,"Cost C";#N/A,#N/A,FALSE,"PP&amp;E";#N/A,#N/A,FALSE,"R&amp;D"}</definedName>
    <definedName name="FA_SCHEDUL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ab">{#N/A,#N/A,FALSE,"Full";#N/A,#N/A,FALSE,"Half";#N/A,#N/A,FALSE,"Op Expenses";#N/A,#N/A,FALSE,"Cap Charge";#N/A,#N/A,FALSE,"Cost C";#N/A,#N/A,FALSE,"PP&amp;E";#N/A,#N/A,FALSE,"R&amp;D"}</definedName>
    <definedName name="fasdffsd">{#N/A,#N/A,FALSE,"Bestfoods";#N/A,#N/A,FALSE,"Campbell";#N/A,#N/A,FALSE,"ConAgra";#N/A,#N/A,FALSE,"Healthy Choice";#N/A,#N/A,FALSE,"Int'l Home Foods";#N/A,#N/A,FALSE,"General Mills";#N/A,#N/A,FALSE,"Heinz";#N/A,#N/A,FALSE,"Kellogg";#N/A,#N/A,FALSE,"Kraft";#N/A,#N/A,FALSE,"Nabisco";#N/A,#N/A,FALSE,"Quaker Oats";#N/A,#N/A,FALSE,"Sara Lee";#N/A,#N/A,FALSE,"print summary"}</definedName>
    <definedName name="fasfafe" hidden="1">{"Page1",#N/A,FALSE,"Segment Overview";"Page2",#N/A,FALSE,"Segment Overview";"Page3",#N/A,FALSE,"Summary";"Page4",#N/A,FALSE,"Summary";"Page5",#N/A,FALSE,"US Pubs Rev";"Page6",#N/A,FALSE,"US Pubs Rev";"Page7",#N/A,FALSE,"US Pubs EBITDA";"Page8",#N/A,FALSE,"US Pubs EBITDA"}</definedName>
    <definedName name="fcd">{"rawdata",#N/A,TRUE,"HKT";"in",#N/A,TRUE,"HKT";"rawdata",#N/A,TRUE,"PTInd";"in",#N/A,TRUE,"PTInd";"rawdata",#N/A,TRUE,"NTT";"in",#N/A,TRUE,"NTT";"rawdata",#N/A,TRUE,"PLD";"in",#N/A,TRUE,"PLD";"rawdata",#N/A,TRUE,"PTTelk";"in",#N/A,TRUE,"PTTelk";"rawdata",#N/A,TRUE,"ST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ode">#REF!</definedName>
    <definedName name="fcuk">{"by departments",#N/A,TRUE,"FORECAST";"cap_headcount",#N/A,TRUE,"FORECAST";"summary",#N/A,TRUE,"FORECAST"}</definedName>
    <definedName name="fd" hidden="1">#REF!</definedName>
    <definedName name="fddgfd">#REF!</definedName>
    <definedName name="fdf">#REF!</definedName>
    <definedName name="FDFD">{#N/A,#N/A,FALSE,"Pharm";#N/A,#N/A,FALSE,"WWCM"}</definedName>
    <definedName name="fdfds">{#N/A,#N/A,FALSE,"Bestfoods";#N/A,#N/A,FALSE,"Campbell";#N/A,#N/A,FALSE,"ConAgra";#N/A,#N/A,FALSE,"Healthy Choice";#N/A,#N/A,FALSE,"Int'l Home Foods";#N/A,#N/A,FALSE,"General Mills";#N/A,#N/A,FALSE,"Heinz";#N/A,#N/A,FALSE,"Kellogg";#N/A,#N/A,FALSE,"Kraft";#N/A,#N/A,FALSE,"Nabisco";#N/A,#N/A,FALSE,"Quaker Oats";#N/A,#N/A,FALSE,"Sara Lee";#N/A,#N/A,FALSE,"print summary"}</definedName>
    <definedName name="fdfg">{"quarterly",#N/A,FALSE,"Income Statement";#N/A,#N/A,FALSE,"print segment";#N/A,#N/A,FALSE,"Balance Sheet";#N/A,#N/A,FALSE,"Annl Inc";#N/A,#N/A,FALSE,"Cash Flow"}</definedName>
    <definedName name="fdfggbf">{"'I-1 and I-2'!$A$1:$G$190"}</definedName>
    <definedName name="fdfsd">#REF!</definedName>
    <definedName name="FDP_1_1_aDrv" hidden="1">#REF!</definedName>
    <definedName name="FDP_10_1_aUrv" hidden="1">#REF!</definedName>
    <definedName name="FDP_12_1_aUrv" hidden="1">#REF!</definedName>
    <definedName name="FDP_13_1_aUrv" hidden="1">#REF!</definedName>
    <definedName name="FDP_165_1_aUrv">#REF!</definedName>
    <definedName name="FDP_166_1_aUrv">#REF!</definedName>
    <definedName name="FDP_167_1_aUrv">#REF!</definedName>
    <definedName name="FDP_168_1_aSrv">#REF!</definedName>
    <definedName name="FDP_169_1_aUrv">#REF!</definedName>
    <definedName name="FDP_170_1_aSrv">#REF!</definedName>
    <definedName name="FDP_171_1_aUrv">#REF!</definedName>
    <definedName name="FDP_172_1_aUrv">#REF!</definedName>
    <definedName name="FDP_173_1_aUrv">#REF!</definedName>
    <definedName name="FDP_174_1_aSrv">#REF!</definedName>
    <definedName name="FDP_175_1_aUrv">#REF!</definedName>
    <definedName name="FDP_176_1_aUrv">#REF!</definedName>
    <definedName name="FDP_177_1_aSrv">#REF!</definedName>
    <definedName name="FDP_178_1_aSrv">#REF!</definedName>
    <definedName name="FDP_179_1_aSrv">#REF!</definedName>
    <definedName name="FDP_180_1_aSrv">#REF!</definedName>
    <definedName name="FDP_181_1_aUrv">#REF!</definedName>
    <definedName name="FDP_182_1_aSrv">#REF!</definedName>
    <definedName name="FDP_183_1_aSrv">#REF!</definedName>
    <definedName name="FDP_184_1_aUrv">#REF!</definedName>
    <definedName name="FDP_185_1_aSrv">#REF!</definedName>
    <definedName name="FDP_186_1_aUrv">#REF!</definedName>
    <definedName name="FDP_187_1_aSrv">#REF!</definedName>
    <definedName name="FDP_188_1_aUrv">#REF!</definedName>
    <definedName name="FDP_189_1_aUrv">#REF!</definedName>
    <definedName name="FDP_190_1_aUrv">#REF!</definedName>
    <definedName name="FDP_191_1_aUrv">#REF!</definedName>
    <definedName name="FDP_192_1_aSrv">#REF!</definedName>
    <definedName name="FDP_193_1_aUrv">#REF!</definedName>
    <definedName name="FDP_194_1_aUrv">#REF!</definedName>
    <definedName name="FDP_195_1_aUrv">#REF!</definedName>
    <definedName name="FDP_196_1_aSrv">#REF!</definedName>
    <definedName name="FDP_197_1_aUrv">#REF!</definedName>
    <definedName name="FDP_198_1_aSrv">#REF!</definedName>
    <definedName name="FDP_199_1_aUrv">#REF!</definedName>
    <definedName name="FDP_2_1_aUrv" hidden="1">#REF!</definedName>
    <definedName name="FDP_20_1_aUrv" hidden="1">#REF!</definedName>
    <definedName name="FDP_200_1_aUrv">#REF!</definedName>
    <definedName name="FDP_201_1_aUrv">#REF!</definedName>
    <definedName name="FDP_202_1_aUrv">#REF!</definedName>
    <definedName name="FDP_203_1_aSrv">#REF!</definedName>
    <definedName name="FDP_204_1_aUrv">#REF!</definedName>
    <definedName name="FDP_205_1_aUrv">#REF!</definedName>
    <definedName name="FDP_206_1_aUrv">#REF!</definedName>
    <definedName name="FDP_207_1_aUrv">#REF!</definedName>
    <definedName name="FDP_208_1_aSrv">#REF!</definedName>
    <definedName name="FDP_209_1_aUrv">#REF!</definedName>
    <definedName name="FDP_21_1_aUrv" hidden="1">#REF!</definedName>
    <definedName name="FDP_210_1_aUrv">#REF!</definedName>
    <definedName name="FDP_211_1_aUrv">#REF!</definedName>
    <definedName name="FDP_212_1_aUrv">#REF!</definedName>
    <definedName name="FDP_213_1_aSrv">#REF!</definedName>
    <definedName name="FDP_214_1_aUrv">#REF!</definedName>
    <definedName name="FDP_215_1_aUrv">#REF!</definedName>
    <definedName name="FDP_216_1_aUrv">#REF!</definedName>
    <definedName name="FDP_217_1_aUrv">#REF!</definedName>
    <definedName name="FDP_218_1_aSrv">#REF!</definedName>
    <definedName name="FDP_219_1_aSrv">#REF!</definedName>
    <definedName name="FDP_220_1_aSrv">#REF!</definedName>
    <definedName name="FDP_221_1_aSrv">#REF!</definedName>
    <definedName name="FDP_222_1_aSrv">#REF!</definedName>
    <definedName name="FDP_223_1_aSrv">#REF!</definedName>
    <definedName name="FDP_224_1_aUrv">#REF!</definedName>
    <definedName name="FDP_225_1_aUrv">#REF!</definedName>
    <definedName name="FDP_226_1_aUrv">#REF!</definedName>
    <definedName name="FDP_227_1_aUrv">#REF!</definedName>
    <definedName name="FDP_228_1_aSrv">#REF!</definedName>
    <definedName name="FDP_229_1_aSrv">#REF!</definedName>
    <definedName name="FDP_230_1_aSrv">#REF!</definedName>
    <definedName name="FDP_231_1_aSrv">#REF!</definedName>
    <definedName name="FDP_232_1_aSrv">#REF!</definedName>
    <definedName name="FDP_233_1_aSrv">#REF!</definedName>
    <definedName name="FDP_234_1_aUrv">#REF!</definedName>
    <definedName name="FDP_235_1_aUrv">#REF!</definedName>
    <definedName name="FDP_236_1_aUrv">#REF!</definedName>
    <definedName name="FDP_237_1_aUrv">#REF!</definedName>
    <definedName name="FDP_238_1_aSrv">#REF!</definedName>
    <definedName name="FDP_24_1_aSrv" hidden="1">#REF!</definedName>
    <definedName name="FDP_243_1_aSrv">#REF!</definedName>
    <definedName name="FDP_244_1_aSrv">#REF!</definedName>
    <definedName name="FDP_245_1_aSrv">#REF!</definedName>
    <definedName name="FDP_246_1_aSrv">#REF!</definedName>
    <definedName name="FDP_247_1_aSrv">#REF!</definedName>
    <definedName name="FDP_248_1_aSrv">#REF!</definedName>
    <definedName name="FDP_249_1_aSrv">#REF!</definedName>
    <definedName name="FDP_25_1_aUrv" hidden="1">#REF!</definedName>
    <definedName name="FDP_250_1_aSrv">#REF!</definedName>
    <definedName name="FDP_251_1_aSrv">#REF!</definedName>
    <definedName name="FDP_252_1_aSrv">#REF!</definedName>
    <definedName name="FDP_253_1_aSrv">#REF!</definedName>
    <definedName name="FDP_254_1_aSrv">#REF!</definedName>
    <definedName name="FDP_255_1_aSrv">#REF!</definedName>
    <definedName name="FDP_256_1_aSrv">#REF!</definedName>
    <definedName name="FDP_257_1_aSrv">#REF!</definedName>
    <definedName name="FDP_258_1_aSrv">#REF!</definedName>
    <definedName name="FDP_259_1_aSrv">#REF!</definedName>
    <definedName name="FDP_26_1_aUrv" hidden="1">#REF!</definedName>
    <definedName name="FDP_260_1_aSrv">#REF!</definedName>
    <definedName name="FDP_261_1_aSrv">#REF!</definedName>
    <definedName name="FDP_264_1_aUrv">#REF!</definedName>
    <definedName name="FDP_265_1_aUrv">#REF!</definedName>
    <definedName name="FDP_266_1_aUrv">#REF!</definedName>
    <definedName name="FDP_267_1_aUrv">#REF!</definedName>
    <definedName name="FDP_268_1_aUrv">#REF!</definedName>
    <definedName name="FDP_269_1_aUrv">#REF!</definedName>
    <definedName name="FDP_270_1_aUrv">#REF!</definedName>
    <definedName name="FDP_271_1_aUrv">#REF!</definedName>
    <definedName name="FDP_272_1_aUrv">#REF!</definedName>
    <definedName name="FDP_273_1_aUrv">#REF!</definedName>
    <definedName name="FDP_274_1_aSrv" hidden="1">#REF!</definedName>
    <definedName name="FDP_274_1_aUrv">#REF!</definedName>
    <definedName name="FDP_275_1_aSrv" hidden="1">#REF!</definedName>
    <definedName name="FDP_275_1_aUrv">#REF!</definedName>
    <definedName name="FDP_276_1_aSrv" hidden="1">#REF!</definedName>
    <definedName name="FDP_276_1_aUrv">#REF!</definedName>
    <definedName name="FDP_277_1_aSrv" hidden="1">#REF!</definedName>
    <definedName name="FDP_277_1_aUrv">#REF!</definedName>
    <definedName name="FDP_278_1_aSrv" hidden="1">#REF!</definedName>
    <definedName name="FDP_278_1_aUrv">#REF!</definedName>
    <definedName name="FDP_279_1_aSrv" hidden="1">#REF!</definedName>
    <definedName name="FDP_28_1_aUrv" hidden="1">#REF!</definedName>
    <definedName name="FDP_280_1_aSrv">#REF!</definedName>
    <definedName name="FDP_281_1_aSrv">#REF!</definedName>
    <definedName name="FDP_282_1_aSrv">#REF!</definedName>
    <definedName name="FDP_283_1_aSrv">#REF!</definedName>
    <definedName name="FDP_285_1_aSrv" hidden="1">#REF!</definedName>
    <definedName name="FDP_286_1_aSrv" hidden="1">#REF!</definedName>
    <definedName name="FDP_287_1_aSrv" hidden="1">#REF!</definedName>
    <definedName name="FDP_29_1_aUrv" hidden="1">#REF!</definedName>
    <definedName name="FDP_30_1_aSrv" hidden="1">#REF!</definedName>
    <definedName name="FDP_31_1_aSrv" hidden="1">#REF!</definedName>
    <definedName name="FDP_318_1_aUrv" hidden="1">#REF!</definedName>
    <definedName name="FDP_319_1_aUrv" hidden="1">#REF!</definedName>
    <definedName name="FDP_32_1_aUrv" hidden="1">#REF!</definedName>
    <definedName name="FDP_320_1_aUrv" hidden="1">#REF!</definedName>
    <definedName name="FDP_321_1_aUrv" hidden="1">#REF!</definedName>
    <definedName name="FDP_322_1_aUrv" hidden="1">#REF!</definedName>
    <definedName name="FDP_323_1_aUrv" hidden="1">#REF!</definedName>
    <definedName name="FDP_324_1_aUrv" hidden="1">#REF!</definedName>
    <definedName name="FDP_325_1_aUrv" hidden="1">#REF!</definedName>
    <definedName name="FDP_326_1_aUrv" hidden="1">#REF!</definedName>
    <definedName name="FDP_327_1_aUrv" hidden="1">#REF!</definedName>
    <definedName name="FDP_328_1_aUrv" hidden="1">#REF!</definedName>
    <definedName name="FDP_329_1_aUrv" hidden="1">#REF!</definedName>
    <definedName name="FDP_330_1_aUrv" hidden="1">#REF!</definedName>
    <definedName name="FDP_331_1_aUrv" hidden="1">#REF!</definedName>
    <definedName name="FDP_332_1_aUrv" hidden="1">#REF!</definedName>
    <definedName name="FDP_333_1_aUrv" hidden="1">#REF!</definedName>
    <definedName name="FDP_334_1_aSrv" hidden="1">#REF!</definedName>
    <definedName name="FDP_335_1_aSrv" hidden="1">#REF!</definedName>
    <definedName name="FDP_336_1_aUrv" hidden="1">#REF!</definedName>
    <definedName name="FDP_337_1_aUrv" hidden="1">#REF!</definedName>
    <definedName name="FDP_338_1_aUrv" hidden="1">#REF!</definedName>
    <definedName name="FDP_339_1_aSrv" hidden="1">#REF!</definedName>
    <definedName name="FDP_34_1_aUrv" hidden="1">#REF!</definedName>
    <definedName name="FDP_342_1_aUrv" hidden="1">#REF!</definedName>
    <definedName name="FDP_343_1_aUrv" hidden="1">#REF!</definedName>
    <definedName name="FDP_344_1_aUrv" hidden="1">#REF!</definedName>
    <definedName name="FDP_345_1_aUrv" hidden="1">#REF!</definedName>
    <definedName name="FDP_346_1_aUrv" hidden="1">#REF!</definedName>
    <definedName name="FDP_347_1_aSrv" hidden="1">#REF!</definedName>
    <definedName name="FDP_348_1_aUrv" hidden="1">#REF!</definedName>
    <definedName name="FDP_349_1_aUrv" hidden="1">#REF!</definedName>
    <definedName name="FDP_35_1_aUrv" hidden="1">#REF!</definedName>
    <definedName name="FDP_350_1_aUrv" hidden="1">#REF!</definedName>
    <definedName name="FDP_351_1_aUrv" hidden="1">#REF!</definedName>
    <definedName name="FDP_352_1_aUrv" hidden="1">#REF!</definedName>
    <definedName name="FDP_353_1_aSrv" hidden="1">#REF!</definedName>
    <definedName name="FDP_354_1_aSrv" hidden="1">#REF!</definedName>
    <definedName name="FDP_355_1_aUrv" hidden="1">#REF!</definedName>
    <definedName name="FDP_356_1_aUrv" hidden="1">#REF!</definedName>
    <definedName name="FDP_357_1_aUrv" hidden="1">#REF!</definedName>
    <definedName name="FDP_358_1_aUrv" hidden="1">#REF!</definedName>
    <definedName name="FDP_359_1_aUrv" hidden="1">#REF!</definedName>
    <definedName name="FDP_36_1_aUrv" hidden="1">#REF!</definedName>
    <definedName name="FDP_360_1_aSrv" hidden="1">#REF!</definedName>
    <definedName name="FDP_361_1_aUrv" hidden="1">#REF!</definedName>
    <definedName name="FDP_362_1_aUrv" hidden="1">#REF!</definedName>
    <definedName name="FDP_363_1_aUrv" hidden="1">#REF!</definedName>
    <definedName name="FDP_364_1_aUrv" hidden="1">#REF!</definedName>
    <definedName name="FDP_365_1_aUrv" hidden="1">#REF!</definedName>
    <definedName name="FDP_366_1_aUrv" hidden="1">#REF!</definedName>
    <definedName name="FDP_367_1_aUrv" hidden="1">#REF!</definedName>
    <definedName name="FDP_368_1_aUrv" hidden="1">#REF!</definedName>
    <definedName name="FDP_369_1_aUrv" hidden="1">#REF!</definedName>
    <definedName name="FDP_37_1_aSrv" hidden="1">#REF!</definedName>
    <definedName name="FDP_370_1_aUrv" hidden="1">#REF!</definedName>
    <definedName name="FDP_371_1_aUrv" hidden="1">#REF!</definedName>
    <definedName name="FDP_372_1_aUrv" hidden="1">#REF!</definedName>
    <definedName name="FDP_373_1_aSrv" hidden="1">#REF!</definedName>
    <definedName name="FDP_374_1_aSrv" hidden="1">#REF!</definedName>
    <definedName name="FDP_375_1_aSrv" hidden="1">#REF!</definedName>
    <definedName name="FDP_376_1_aSrv" hidden="1">#REF!</definedName>
    <definedName name="FDP_377_1_aUrv" hidden="1">#REF!</definedName>
    <definedName name="FDP_378_1_aUrv" hidden="1">#REF!</definedName>
    <definedName name="FDP_379_1_aSrv" hidden="1">#REF!</definedName>
    <definedName name="FDP_38_1_aUrv" hidden="1">#REF!</definedName>
    <definedName name="FDP_380_1_aUrv" hidden="1">#REF!</definedName>
    <definedName name="FDP_381_1_aUrv" hidden="1">#REF!</definedName>
    <definedName name="FDP_382_1_aSrv" hidden="1">#REF!</definedName>
    <definedName name="FDP_383_1_aUrv" hidden="1">#REF!</definedName>
    <definedName name="FDP_384_1_aUrv" hidden="1">#REF!</definedName>
    <definedName name="FDP_385_1_aUrv" hidden="1">#REF!</definedName>
    <definedName name="FDP_386_1_aUrv" hidden="1">#REF!</definedName>
    <definedName name="FDP_387_1_aUrv" hidden="1">#REF!</definedName>
    <definedName name="FDP_388_1_aSrv" hidden="1">#REF!</definedName>
    <definedName name="FDP_389_1_aUrv" hidden="1">#REF!</definedName>
    <definedName name="FDP_39_1_aUrv" hidden="1">#REF!</definedName>
    <definedName name="FDP_390_1_aSrv" hidden="1">#REF!</definedName>
    <definedName name="FDP_391_1_aUrv" hidden="1">#REF!</definedName>
    <definedName name="FDP_392_1_aUrv" hidden="1">#REF!</definedName>
    <definedName name="FDP_393_1_aUrv" hidden="1">#REF!</definedName>
    <definedName name="FDP_394_1_aSrv" hidden="1">#REF!</definedName>
    <definedName name="FDP_395_1_aSrv" hidden="1">#REF!</definedName>
    <definedName name="FDP_396_1_aSrv" hidden="1">#REF!</definedName>
    <definedName name="FDP_397_1_aUrv" hidden="1">#REF!</definedName>
    <definedName name="FDP_398_1_aSrv" hidden="1">#REF!</definedName>
    <definedName name="FDP_399_1_aUrv" hidden="1">#REF!</definedName>
    <definedName name="FDP_4_1_aUrv" hidden="1">#REF!</definedName>
    <definedName name="FDP_40_1_aUrv" hidden="1">#REF!</definedName>
    <definedName name="FDP_400_1_aUrv" hidden="1">#REF!</definedName>
    <definedName name="FDP_401_1_aUrv" hidden="1">#REF!</definedName>
    <definedName name="FDP_407_1_aUrv" hidden="1">#REF!</definedName>
    <definedName name="FDP_41_1_aUrv" hidden="1">#REF!</definedName>
    <definedName name="FDP_413_1_aUrv" hidden="1">#REF!</definedName>
    <definedName name="FDP_414_1_aUrv" hidden="1">#REF!</definedName>
    <definedName name="FDP_415_1_aUrv" hidden="1">#REF!</definedName>
    <definedName name="FDP_416_1_aUrv" hidden="1">#REF!</definedName>
    <definedName name="FDP_417_1_aUrv" hidden="1">#REF!</definedName>
    <definedName name="FDP_418_1_aUrv" hidden="1">#REF!</definedName>
    <definedName name="FDP_419_1_aUrv" hidden="1">#REF!</definedName>
    <definedName name="FDP_42_1_aUrv" hidden="1">#REF!</definedName>
    <definedName name="FDP_420_1_aUrv" hidden="1">#REF!</definedName>
    <definedName name="FDP_421_1_aUrv" hidden="1">#REF!</definedName>
    <definedName name="FDP_422_1_aUrv" hidden="1">#REF!</definedName>
    <definedName name="FDP_423_1_aUrv" hidden="1">#REF!</definedName>
    <definedName name="FDP_424_1_aUrv" hidden="1">#REF!</definedName>
    <definedName name="FDP_425_1_aUrv" hidden="1">#REF!</definedName>
    <definedName name="FDP_426_1_aUrv" hidden="1">#REF!</definedName>
    <definedName name="FDP_427_1_aUrv" hidden="1">#REF!</definedName>
    <definedName name="FDP_428_1_aUrv" hidden="1">#REF!</definedName>
    <definedName name="FDP_429_1_aUrv" hidden="1">#REF!</definedName>
    <definedName name="FDP_43_1_aUrv" hidden="1">#REF!</definedName>
    <definedName name="FDP_430_1_aUrv" hidden="1">#REF!</definedName>
    <definedName name="FDP_431_1_aUrv" hidden="1">#REF!</definedName>
    <definedName name="FDP_432_1_aUrv" hidden="1">#REF!</definedName>
    <definedName name="FDP_433_1_aUrv" hidden="1">#REF!</definedName>
    <definedName name="FDP_434_1_aUrv" hidden="1">#REF!</definedName>
    <definedName name="FDP_435_1_aUrv" hidden="1">#REF!</definedName>
    <definedName name="FDP_436_1_aUrv" hidden="1">#REF!</definedName>
    <definedName name="FDP_437_1_aUrv" hidden="1">#REF!</definedName>
    <definedName name="FDP_438_1_aUrv" hidden="1">#REF!</definedName>
    <definedName name="FDP_439_1_aUrv" hidden="1">#REF!</definedName>
    <definedName name="FDP_440_1_aSrv" hidden="1">#REF!</definedName>
    <definedName name="FDP_441_1_aUrv" hidden="1">#REF!</definedName>
    <definedName name="FDP_442_1_aUrv" hidden="1">#REF!</definedName>
    <definedName name="FDP_443_1_aUrv" hidden="1">#REF!</definedName>
    <definedName name="FDP_444_1_aSrv" hidden="1">#REF!</definedName>
    <definedName name="FDP_448_1_aSrv" hidden="1">#REF!</definedName>
    <definedName name="FDP_449_1_aUrv" hidden="1">#REF!</definedName>
    <definedName name="FDP_450_1_aUrv" hidden="1">#REF!</definedName>
    <definedName name="FDP_451_1_aUrv" hidden="1">#REF!</definedName>
    <definedName name="FDP_452_1_aSrv" hidden="1">#REF!</definedName>
    <definedName name="FDP_453_1_aSrv" hidden="1">#REF!</definedName>
    <definedName name="FDP_454_1_aSrv" hidden="1">#REF!</definedName>
    <definedName name="FDP_455_1_aSrv" hidden="1">#REF!</definedName>
    <definedName name="FDP_457_1_aSrv" hidden="1">#REF!</definedName>
    <definedName name="FDP_459_1_aSrv" hidden="1">#REF!</definedName>
    <definedName name="FDP_460_1_aSrv" hidden="1">#REF!</definedName>
    <definedName name="FDP_461_1_aSrv" hidden="1">#REF!</definedName>
    <definedName name="FDP_462_1_aSrv" hidden="1">#REF!</definedName>
    <definedName name="FDP_463_1_aSrv" hidden="1">#REF!</definedName>
    <definedName name="FDP_464_1_aSrv" hidden="1">#REF!</definedName>
    <definedName name="FDP_465_1_aSrv" hidden="1">#REF!</definedName>
    <definedName name="FDP_466_1_aSrv" hidden="1">#REF!</definedName>
    <definedName name="FDP_467_1_aSrv" hidden="1">#REF!</definedName>
    <definedName name="FDP_473_1_aSrv" hidden="1">#REF!</definedName>
    <definedName name="FDP_474_1_aSrv" hidden="1">#REF!</definedName>
    <definedName name="FDP_475_1_aSrv" hidden="1">#REF!</definedName>
    <definedName name="FDP_476_1_aSrv" hidden="1">#REF!</definedName>
    <definedName name="FDP_5_1_aUrv" hidden="1">#REF!</definedName>
    <definedName name="FDP_50_1_aSrv" hidden="1">#REF!</definedName>
    <definedName name="FDP_51_1_aSrv" hidden="1">#REF!</definedName>
    <definedName name="FDP_52_1_aUrv" hidden="1">#REF!</definedName>
    <definedName name="FDP_53_1_aUrv" hidden="1">#REF!</definedName>
    <definedName name="FDP_54_1_aUrv" hidden="1">#REF!</definedName>
    <definedName name="FDP_55_1_aUrv" hidden="1">#REF!</definedName>
    <definedName name="FDP_555_1_aUrv" hidden="1">#REF!</definedName>
    <definedName name="FDP_556_1_aUrv" hidden="1">#REF!</definedName>
    <definedName name="FDP_557_1_aSrv" hidden="1">#REF!</definedName>
    <definedName name="FDP_558_1_aSrv" hidden="1">#REF!</definedName>
    <definedName name="FDP_559_1_aSrv" hidden="1">#REF!</definedName>
    <definedName name="FDP_560_1_aSrv" hidden="1">#REF!</definedName>
    <definedName name="FDP_561_1_aSrv" hidden="1">#REF!</definedName>
    <definedName name="FDP_562_1_aSrv" hidden="1">#REF!</definedName>
    <definedName name="FDP_563_1_aSrv" hidden="1">#REF!</definedName>
    <definedName name="FDP_564_1_aSrv" hidden="1">#REF!</definedName>
    <definedName name="FDP_565_1_aSrv" hidden="1">#REF!</definedName>
    <definedName name="FDP_566_1_aSrv" hidden="1">#REF!</definedName>
    <definedName name="FDP_567_1_aSrv" hidden="1">#REF!</definedName>
    <definedName name="FDP_568_1_aSrv" hidden="1">#REF!</definedName>
    <definedName name="FDP_569_1_aSrv" hidden="1">#REF!</definedName>
    <definedName name="FDP_570_1_aSrv" hidden="1">#REF!</definedName>
    <definedName name="FDP_571_1_aSrv" hidden="1">#REF!</definedName>
    <definedName name="FDP_572_1_aSrv" hidden="1">#REF!</definedName>
    <definedName name="FDP_573_1_aSrv" hidden="1">#REF!</definedName>
    <definedName name="FDP_574_1_aSrv" hidden="1">#REF!</definedName>
    <definedName name="FDP_575_1_aSrv" hidden="1">#REF!</definedName>
    <definedName name="FDP_576_1_aSrv" hidden="1">#REF!</definedName>
    <definedName name="FDP_577_1_aSrv" hidden="1">#REF!</definedName>
    <definedName name="FDP_578_1_aSrv" hidden="1">#REF!</definedName>
    <definedName name="FDP_579_1_aSrv" hidden="1">#REF!</definedName>
    <definedName name="FDP_580_1_aSrv" hidden="1">#REF!</definedName>
    <definedName name="FDP_581_1_aSrv" hidden="1">#REF!</definedName>
    <definedName name="FDP_582_1_aSrv" hidden="1">#REF!</definedName>
    <definedName name="FDP_583_1_aSrv" hidden="1">#REF!</definedName>
    <definedName name="FDP_584_1_aSrv" hidden="1">#REF!</definedName>
    <definedName name="FDP_585_1_aUrv" hidden="1">#REF!</definedName>
    <definedName name="FDP_586_1_aUrv" hidden="1">#REF!</definedName>
    <definedName name="FDP_587_1_aUrv" hidden="1">#REF!</definedName>
    <definedName name="FDP_588_1_aUdv" hidden="1">#REF!</definedName>
    <definedName name="FDP_589_1_aUdv" hidden="1">#REF!</definedName>
    <definedName name="FDP_590_1_aUdv" hidden="1">#REF!</definedName>
    <definedName name="FDP_591_1_aUdv" hidden="1">#REF!</definedName>
    <definedName name="FDP_592_1_aUdv" hidden="1">#REF!</definedName>
    <definedName name="FDP_593_1_aUdv" hidden="1">#REF!</definedName>
    <definedName name="FDP_594_1_aUdv" hidden="1">#REF!</definedName>
    <definedName name="FDP_595_1_aUdv" hidden="1">#REF!</definedName>
    <definedName name="FDP_596_1_aUdv" hidden="1">#REF!</definedName>
    <definedName name="FDP_597_1_aUdv" hidden="1">#REF!</definedName>
    <definedName name="FDP_598_1_aUdv" hidden="1">#REF!</definedName>
    <definedName name="FDP_599_1_aUdv" hidden="1">#REF!</definedName>
    <definedName name="FDP_6_1_aUrv" hidden="1">#REF!</definedName>
    <definedName name="FDP_600_1_aUdv" hidden="1">#REF!</definedName>
    <definedName name="FDP_601_1_aUdv" hidden="1">#REF!</definedName>
    <definedName name="FDP_602_1_aUdv" hidden="1">#REF!</definedName>
    <definedName name="FDP_603_1_aUdv" hidden="1">#REF!</definedName>
    <definedName name="FDP_604_1_aUdv" hidden="1">#REF!</definedName>
    <definedName name="FDP_605_1_aUdv" hidden="1">#REF!</definedName>
    <definedName name="FDP_606_1_aUdv" hidden="1">#REF!</definedName>
    <definedName name="FDP_607_1_aUdv" hidden="1">#REF!</definedName>
    <definedName name="FDP_608_1_aUrv" hidden="1">#REF!</definedName>
    <definedName name="FDP_611_1_aSrv" hidden="1">#REF!</definedName>
    <definedName name="FDP_621_1_aUrv" hidden="1">#REF!</definedName>
    <definedName name="FDP_622_1_aUrv" hidden="1">#REF!</definedName>
    <definedName name="FDP_623_1_aSrv" hidden="1">#REF!</definedName>
    <definedName name="FDP_8_1_aUrv" hidden="1">#REF!</definedName>
    <definedName name="FDP_9_1_aUrv" hidden="1">#REF!</definedName>
    <definedName name="fds">{#N/A,#N/A,FALSE,"Pharm";#N/A,#N/A,FALSE,"WWCM"}</definedName>
    <definedName name="fdskj">{#N/A,#N/A,FALSE,"Model";#N/A,#N/A,FALSE,"Division"}</definedName>
    <definedName name="fdv">{"quarterly",#N/A,FALSE,"Income Statement";#N/A,#N/A,FALSE,"print segment";#N/A,#N/A,FALSE,"Balance Sheet";#N/A,#N/A,FALSE,"Annl Inc";#N/A,#N/A,FALSE,"Cash Flow"}</definedName>
    <definedName name="fdwedwqa" hidden="1">{"Page1",#N/A,FALSE,"Segment Overview";"Page2",#N/A,FALSE,"Segment Overview";"Page3",#N/A,FALSE,"Summary";"Page4",#N/A,FALSE,"Summary";"Page5",#N/A,FALSE,"US Pubs Rev";"Page6",#N/A,FALSE,"US Pubs Rev";"Page7",#N/A,FALSE,"US Pubs EBITDA";"Page8",#N/A,FALSE,"US Pubs EBITDA"}</definedName>
    <definedName name="ｆｄふぁふぁ" hidden="1">{"Page1",#N/A,FALSE,"Segment Overview";"Page2",#N/A,FALSE,"Segment Overview";"Page3",#N/A,FALSE,"Summary";"Page4",#N/A,FALSE,"Summary";"Page5",#N/A,FALSE,"US Pubs Rev";"Page6",#N/A,FALSE,"US Pubs Rev";"Page7",#N/A,FALSE,"US Pubs EBITDA";"Page8",#N/A,FALSE,"US Pubs EBITDA"}</definedName>
    <definedName name="fe">{#N/A,#N/A,FALSE,"Layout GuV"}</definedName>
    <definedName name="fewrferf">{"'I-1 and I-2'!$A$1:$G$190"}</definedName>
    <definedName name="ff">{#N/A,#N/A,FALSE,"Pharm";#N/A,#N/A,FALSE,"WWCM"}</definedName>
    <definedName name="fff">{#N/A,#N/A,FALSE,"Pharm";#N/A,#N/A,FALSE,"WWCM"}</definedName>
    <definedName name="ffffff">{"budget992000 capex",#N/A,FALSE,"Celtel alternative 6"}</definedName>
    <definedName name="fffffff">{#N/A,#N/A,FALSE,"Pharm";#N/A,#N/A,FALSE,"WWCM"}</definedName>
    <definedName name="ffnew">{"'Leading KPI'!$A$1:$P$33","'Leading KPI'!$A$1:$P$33"}</definedName>
    <definedName name="ffy">{#N/A,#N/A,FALSE,"FY97";#N/A,#N/A,FALSE,"FY98";#N/A,#N/A,FALSE,"FY99";#N/A,#N/A,FALSE,"FY00";#N/A,#N/A,FALSE,"FY01"}</definedName>
    <definedName name="fg">{#N/A,#N/A,FALSE,"REPORT"}</definedName>
    <definedName name="fgafasas" hidden="1">{"Page1",#N/A,FALSE,"Segment Overview";"Page2",#N/A,FALSE,"Segment Overview";"Page3",#N/A,FALSE,"Summary";"Page4",#N/A,FALSE,"Summary";"Page5",#N/A,FALSE,"US Pubs Rev";"Page6",#N/A,FALSE,"US Pubs Rev";"Page7",#N/A,FALSE,"US Pubs EBITDA";"Page8",#N/A,FALSE,"US Pubs EBITDA"}</definedName>
    <definedName name="fgefgef">{"qchm_dcf",#N/A,FALSE,"QCHMDCF2";"qchm_terminal",#N/A,FALSE,"QCHMDCF2"}</definedName>
    <definedName name="fgerrt" hidden="1">{"Page1",#N/A,FALSE,"Segment Overview";"Page2",#N/A,FALSE,"Segment Overview";"Page3",#N/A,FALSE,"Summary";"Page4",#N/A,FALSE,"Summary";"Page5",#N/A,FALSE,"US Pubs Rev";"Page6",#N/A,FALSE,"US Pubs Rev";"Page7",#N/A,FALSE,"US Pubs EBITDA";"Page8",#N/A,FALSE,"US Pubs EBITDA"}</definedName>
    <definedName name="fgfgfgf">{"mgmt forecast",#N/A,FALSE,"Mgmt Forecast";"dcf table",#N/A,FALSE,"Mgmt Forecast";"sensitivity",#N/A,FALSE,"Mgmt Forecast";"table inputs",#N/A,FALSE,"Mgmt Forecast";"calculations",#N/A,FALSE,"Mgmt Forecast"}</definedName>
    <definedName name="fgkjkh">{#N/A,#N/A,FALSE,"REPORT"}</definedName>
    <definedName name="fgrey" hidden="1">{"Page1",#N/A,FALSE,"Segment Overview";"Page2",#N/A,FALSE,"Segment Overview";"Page3",#N/A,FALSE,"Summary";"Page4",#N/A,FALSE,"Summary";"Page5",#N/A,FALSE,"US Pubs Rev";"Page6",#N/A,FALSE,"US Pubs Rev";"Page7",#N/A,FALSE,"US Pubs EBITDA";"Page8",#N/A,FALSE,"US Pubs EBITDA"}</definedName>
    <definedName name="fgsg">{"consolidated",#N/A,FALSE,"Sheet1";"cms",#N/A,FALSE,"Sheet1";"fse",#N/A,FALSE,"Sheet1"}</definedName>
    <definedName name="fgsss">{"'Leading KPI'!$A$1:$P$33","'Leading KPI'!$A$1:$P$33"}</definedName>
    <definedName name="FGVDFG">{#N/A,#N/A,FALSE,"Staffnos &amp; cost"}</definedName>
    <definedName name="fhdshfjdj">{"Curves","Chart 2","Curves Graphique 2"}</definedName>
    <definedName name="fhrghgrd">{"DCF1",#N/A,FALSE,"SIERRA DCF";"MATRIX1",#N/A,FALSE,"SIERRA DCF"}</definedName>
    <definedName name="fill">'[1]#REF'!$A$60:$A$76</definedName>
    <definedName name="FinSeries">#REF!</definedName>
    <definedName name="FJEZK">{#N/A,#N/A,FALSE,"Pharm";#N/A,#N/A,FALSE,"WWCM"}</definedName>
    <definedName name="fjrty6" hidden="1">{"Page1",#N/A,FALSE,"Segment Overview";"Page2",#N/A,FALSE,"Segment Overview";"Page3",#N/A,FALSE,"Summary";"Page4",#N/A,FALSE,"Summary";"Page5",#N/A,FALSE,"US Pubs Rev";"Page6",#N/A,FALSE,"US Pubs Rev";"Page7",#N/A,FALSE,"US Pubs EBITDA";"Page8",#N/A,FALSE,"US Pubs EBITDA"}</definedName>
    <definedName name="fldfjlsd">#REF!</definedName>
    <definedName name="ForecastPeriod">[41]Reference!$C$26:$F$40</definedName>
    <definedName name="FP">{#N/A,#N/A,TRUE,"Summary - 1";#N/A,#N/A,TRUE,"Summary - 2";#N/A,#N/A,TRUE,"Group Analysis";#N/A,#N/A,TRUE,"FM Analysis";#N/A,#N/A,TRUE,"T&amp;M-Onsite";#N/A,#N/A,TRUE,"FP-Onsite";#N/A,#N/A,TRUE,"NB-Onsite";#N/A,#N/A,TRUE,"T&amp;M-Offshore";#N/A,#N/A,TRUE,"FP-Offshore";#N/A,#N/A,TRUE,"Appendix-A";#N/A,#N/A,TRUE,"Appendix-B"}</definedName>
    <definedName name="fr"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Frank">{#N/A,#N/A,TRUE,"Cover sheet";#N/A,#N/A,TRUE,"DCF analysis";#N/A,#N/A,TRUE,"WACC calculation"}</definedName>
    <definedName name="FRF">{#N/A,#N/A,FALSE,"1";#N/A,#N/A,FALSE,"2";#N/A,#N/A,FALSE,"16 - 17";#N/A,#N/A,FALSE,"18 - 19";#N/A,#N/A,FALSE,"26";#N/A,#N/A,FALSE,"27";#N/A,#N/A,FALSE,"28"}</definedName>
    <definedName name="FRFERFE">{#N/A,#N/A,FALSE,"Pharm";#N/A,#N/A,FALSE,"WWCM"}</definedName>
    <definedName name="fsd">{#N/A,#N/A,FALSE,"Distbn Ntwrk";#N/A,#N/A,FALSE,"Workforce";#N/A,#N/A,FALSE,"cur-prod1";#N/A,#N/A,FALSE,"in-proc"}</definedName>
    <definedName name="fsdfasdfa">{#N/A,#N/A,FALSE,"Hip.Bas";#N/A,#N/A,FALSE,"ventas";#N/A,#N/A,FALSE,"ingre-Año";#N/A,#N/A,FALSE,"ventas-Año";#N/A,#N/A,FALSE,"Costepro";#N/A,#N/A,FALSE,"inversion";#N/A,#N/A,FALSE,"personal";#N/A,#N/A,FALSE,"Gastos-V";#N/A,#N/A,FALSE,"Circulante";#N/A,#N/A,FALSE,"CONSOLI";#N/A,#N/A,FALSE,"Es-Fin";#N/A,#N/A,FALSE,"Margen-P"}</definedName>
    <definedName name="fsdfdfa">{"page1",#N/A,FALSE,"BHCOMPC5";"page2",#N/A,FALSE,"BHCOMPC5";"page3",#N/A,FALSE,"BHCOMPC5";"page4",#N/A,FALSE,"BHCOMPC5"}</definedName>
    <definedName name="fsfs">{#N/A,#N/A,FALSE,"Calc";#N/A,#N/A,FALSE,"Sensitivity";#N/A,#N/A,FALSE,"LT Earn.Dil.";#N/A,#N/A,FALSE,"Dil. AVP"}</definedName>
    <definedName name="fsj">#REF!</definedName>
    <definedName name="fty" hidden="1">{"Page1",#N/A,FALSE,"Segment Overview";"Page2",#N/A,FALSE,"Segment Overview";"Page3",#N/A,FALSE,"Summary";"Page4",#N/A,FALSE,"Summary";"Page5",#N/A,FALSE,"US Pubs Rev";"Page6",#N/A,FALSE,"US Pubs Rev";"Page7",#N/A,FALSE,"US Pubs EBITDA";"Page8",#N/A,FALSE,"US Pubs EBITDA"}</definedName>
    <definedName name="fuck">{"by departments",#N/A,TRUE,"FORECAST";"cap_headcount",#N/A,TRUE,"FORECAST";"summary",#N/A,TRUE,"FORECAST"}</definedName>
    <definedName name="fuckme">{"SUMMARY",#N/A,TRUE,"SUMMARY";"compare",#N/A,TRUE,"Vs. Bus Plan";"ratios",#N/A,TRUE,"Ratios";"REVENUE",#N/A,TRUE,"Revenue";"expenses",#N/A,TRUE,"1996 budget";"payroll",#N/A,TRUE,"Payroll"}</definedName>
    <definedName name="fuel">#REF!</definedName>
    <definedName name="Fui0" hidden="1">#REF!</definedName>
    <definedName name="FVG">{#N/A,#N/A,FALSE,"Pharm";#N/A,#N/A,FALSE,"WWCM"}</definedName>
    <definedName name="g">{#N/A,#N/A,FALSE,"BANNERS";#N/A,#N/A,FALSE,"Market";#N/A,#N/A,FALSE,"# of POP MAN";#N/A,#N/A,FALSE,"Penet Input";#N/A,#N/A,FALSE,"Tel Rev";#N/A,#N/A,FALSE,"Invest";#N/A,#N/A,FALSE,"Op Cost1";#N/A,#N/A,FALSE,"Op Cost2";#N/A,#N/A,FALSE,"Oth_&amp;_Tot_Revenues";#N/A,#N/A,FALSE,"Fin Mod";#N/A,#N/A,FALSE,"P&amp;E Burocrat";#N/A,#N/A,FALSE,"cash flow"}</definedName>
    <definedName name="G_C">#REF!</definedName>
    <definedName name="gafafafwqw" hidden="1">{"Page1",#N/A,FALSE,"Segment Overview";"Page2",#N/A,FALSE,"Segment Overview";"Page3",#N/A,FALSE,"Summary";"Page4",#N/A,FALSE,"Summary";"Page5",#N/A,FALSE,"US Pubs Rev";"Page6",#N/A,FALSE,"US Pubs Rev";"Page7",#N/A,FALSE,"US Pubs EBITDA";"Page8",#N/A,FALSE,"US Pubs EBITDA"}</definedName>
    <definedName name="GASDFG">{#N/A,#N/A,TRUE,"Staffnos &amp; cost"}</definedName>
    <definedName name="gasdgsa" hidden="1">#REF!</definedName>
    <definedName name="gdfgdf">{#N/A,#N/A,FALSE,"Pharm";#N/A,#N/A,FALSE,"WWCM"}</definedName>
    <definedName name="gdgd">{#N/A,#N/A,FALSE,"Calc";#N/A,#N/A,FALSE,"Sensitivity";#N/A,#N/A,FALSE,"LT Earn.Dil.";#N/A,#N/A,FALSE,"Dil. AVP"}</definedName>
    <definedName name="gf" hidden="1">#REF!</definedName>
    <definedName name="gfd">{#N/A,#N/A,FALSE,"Cashflow Analysis";#N/A,#N/A,FALSE,"Sensitivity Analysis";#N/A,#N/A,FALSE,"PV";#N/A,#N/A,FALSE,"Pro Forma"}</definedName>
    <definedName name="gfdjhjh">{#N/A,#N/A,FALSE,"Pharm";#N/A,#N/A,FALSE,"WWCM"}</definedName>
    <definedName name="gfgffgf">{"mgmt forecast",#N/A,FALSE,"Mgmt Forecast";"dcf table",#N/A,FALSE,"Mgmt Forecast";"sensitivity",#N/A,FALSE,"Mgmt Forecast";"table inputs",#N/A,FALSE,"Mgmt Forecast";"calculations",#N/A,FALSE,"Mgmt Forecast"}</definedName>
    <definedName name="gfh">{#N/A,#N/A,FALSE,"PMTABB";#N/A,#N/A,FALSE,"PMTABB"}</definedName>
    <definedName name="gfhty6" hidden="1">{"Page1",#N/A,FALSE,"Segment Overview";"Page2",#N/A,FALSE,"Segment Overview";"Page3",#N/A,FALSE,"Summary";"Page4",#N/A,FALSE,"Summary";"Page5",#N/A,FALSE,"US Pubs Rev";"Page6",#N/A,FALSE,"US Pubs Rev";"Page7",#N/A,FALSE,"US Pubs EBITDA";"Page8",#N/A,FALSE,"US Pubs EBITDA"}</definedName>
    <definedName name="gfsd">{"consolidated",#N/A,FALSE,"Sheet1";"cms",#N/A,FALSE,"Sheet1";"fse",#N/A,FALSE,"Sheet1"}</definedName>
    <definedName name="ggggg">{"budget992000_customers",#N/A,FALSE,"Celtel alternative 6"}</definedName>
    <definedName name="GGGGGG">{"'I-1 and I-2'!$A$1:$G$190"}</definedName>
    <definedName name="ggggggg">{"budget992000 profit and loss",#N/A,FALSE,"Celtel alternative 6"}</definedName>
    <definedName name="ghjggjh">{#N/A,#N/A,FALSE,"Pharm";#N/A,#N/A,FALSE,"WWCM"}</definedName>
    <definedName name="ghrty" hidden="1">{"Page1",#N/A,FALSE,"Segment Overview";"Page2",#N/A,FALSE,"Segment Overview";"Page3",#N/A,FALSE,"Summary";"Page4",#N/A,FALSE,"Summary";"Page5",#N/A,FALSE,"US Pubs Rev";"Page6",#N/A,FALSE,"US Pubs Rev";"Page7",#N/A,FALSE,"US Pubs EBITDA";"Page8",#N/A,FALSE,"US Pubs EBITDA"}</definedName>
    <definedName name="gk0901int">{#N/A,#N/A,FALSE,"PMTABB";#N/A,#N/A,FALSE,"PMTABB"}</definedName>
    <definedName name="GlideChartMarker">"Chart!A1"</definedName>
    <definedName name="GlideDataMarker">"Data!A1"</definedName>
    <definedName name="GlideHiddenMarker">"Costcurvedata!A1"</definedName>
    <definedName name="GlideMaxCharts">7</definedName>
    <definedName name="Global1">{#N/A,#N/A,FALSE,"Pharm";#N/A,#N/A,FALSE,"WWCM"}</definedName>
    <definedName name="gnnraa" hidden="1">{"Page1",#N/A,FALSE,"Segment Overview";"Page2",#N/A,FALSE,"Segment Overview";"Page3",#N/A,FALSE,"Summary";"Page4",#N/A,FALSE,"Summary";"Page5",#N/A,FALSE,"US Pubs Rev";"Page6",#N/A,FALSE,"US Pubs Rev";"Page7",#N/A,FALSE,"US Pubs EBITDA";"Page8",#N/A,FALSE,"US Pubs EBITDA"}</definedName>
    <definedName name="gods">{"consolidated",#N/A,FALSE,"Sheet1";"cms",#N/A,FALSE,"Sheet1";"fse",#N/A,FALSE,"Sheet1"}</definedName>
    <definedName name="gogo">{#N/A,#N/A,TRUE,"Cover sheet";#N/A,#N/A,TRUE,"INPUTS";#N/A,#N/A,TRUE,"OUTPUTS";#N/A,#N/A,TRUE,"VALUATION"}</definedName>
    <definedName name="graph">{#N/A,#N/A,FALSE,"REPORT"}</definedName>
    <definedName name="growth">{#N/A,#N/A,FALSE,"Hip.Bas";#N/A,#N/A,FALSE,"ventas";#N/A,#N/A,FALSE,"ingre-Año";#N/A,#N/A,FALSE,"ventas-Año";#N/A,#N/A,FALSE,"Costepro";#N/A,#N/A,FALSE,"inversion";#N/A,#N/A,FALSE,"personal";#N/A,#N/A,FALSE,"Gastos-V";#N/A,#N/A,FALSE,"Circulante";#N/A,#N/A,FALSE,"CONSOLI";#N/A,#N/A,FALSE,"Es-Fin";#N/A,#N/A,FALSE,"Margen-P"}</definedName>
    <definedName name="growth2">{#N/A,#N/A,FALSE,"Hip.Bas";#N/A,#N/A,FALSE,"ventas";#N/A,#N/A,FALSE,"ingre-Año";#N/A,#N/A,FALSE,"ventas-Año";#N/A,#N/A,FALSE,"Costepro";#N/A,#N/A,FALSE,"inversion";#N/A,#N/A,FALSE,"personal";#N/A,#N/A,FALSE,"Gastos-V";#N/A,#N/A,FALSE,"Circulante";#N/A,#N/A,FALSE,"CONSOLI";#N/A,#N/A,FALSE,"Es-Fin";#N/A,#N/A,FALSE,"Margen-P"}</definedName>
    <definedName name="growth3">{#N/A,#N/A,FALSE,"Hip.Bas";#N/A,#N/A,FALSE,"ventas";#N/A,#N/A,FALSE,"ingre-Año";#N/A,#N/A,FALSE,"ventas-Año";#N/A,#N/A,FALSE,"Costepro";#N/A,#N/A,FALSE,"inversion";#N/A,#N/A,FALSE,"personal";#N/A,#N/A,FALSE,"Gastos-V";#N/A,#N/A,FALSE,"Circulante";#N/A,#N/A,FALSE,"CONSOLI";#N/A,#N/A,FALSE,"Es-Fin";#N/A,#N/A,FALSE,"Margen-P"}</definedName>
    <definedName name="grwoth">{#N/A,#N/A,FALSE,"Hip.Bas";#N/A,#N/A,FALSE,"ventas";#N/A,#N/A,FALSE,"ingre-Año";#N/A,#N/A,FALSE,"ventas-Año";#N/A,#N/A,FALSE,"Costepro";#N/A,#N/A,FALSE,"inversion";#N/A,#N/A,FALSE,"personal";#N/A,#N/A,FALSE,"Gastos-V";#N/A,#N/A,FALSE,"Circulante";#N/A,#N/A,FALSE,"CONSOLI";#N/A,#N/A,FALSE,"Es-Fin";#N/A,#N/A,FALSE,"Margen-P"}</definedName>
    <definedName name="grwoth3">{#N/A,#N/A,FALSE,"Hip.Bas";#N/A,#N/A,FALSE,"ventas";#N/A,#N/A,FALSE,"ingre-Año";#N/A,#N/A,FALSE,"ventas-Año";#N/A,#N/A,FALSE,"Costepro";#N/A,#N/A,FALSE,"inversion";#N/A,#N/A,FALSE,"personal";#N/A,#N/A,FALSE,"Gastos-V";#N/A,#N/A,FALSE,"Circulante";#N/A,#N/A,FALSE,"CONSOLI";#N/A,#N/A,FALSE,"Es-Fin";#N/A,#N/A,FALSE,"Margen-P"}</definedName>
    <definedName name="gsfds">{#N/A,#N/A,FALSE,"Balance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gste" hidden="1">{"Page1",#N/A,FALSE,"Segment Overview";"Page2",#N/A,FALSE,"Segment Overview";"Page3",#N/A,FALSE,"Summary";"Page4",#N/A,FALSE,"Summary";"Page5",#N/A,FALSE,"US Pubs Rev";"Page6",#N/A,FALSE,"US Pubs Rev";"Page7",#N/A,FALSE,"US Pubs EBITDA";"Page8",#N/A,FALSE,"US Pubs EBITDA"}</definedName>
    <definedName name="gsrhs" hidden="1">{"Page1",#N/A,FALSE,"Segment Overview";"Page2",#N/A,FALSE,"Segment Overview";"Page3",#N/A,FALSE,"Summary";"Page4",#N/A,FALSE,"Summary";"Page5",#N/A,FALSE,"US Pubs Rev";"Page6",#N/A,FALSE,"US Pubs Rev";"Page7",#N/A,FALSE,"US Pubs EBITDA";"Page8",#N/A,FALSE,"US Pubs EBITDA"}</definedName>
    <definedName name="h">{#N/A,#N/A,FALSE,"REPORT"}</definedName>
    <definedName name="H2H">{#N/A,#N/A,FALSE,"Staffnos &amp; cost"}</definedName>
    <definedName name="hdslkdjlkas">{"Curves","Chart 4","Curves Graphique 4"}</definedName>
    <definedName name="Head1">IF(COUNTA('[42]ServCo BS-Consolidated'!$A$8:$A1048576)=0,0,INDEX('[42]ServCo BS-Consolidated'!$A$8:$A1048576,MATCH(ROW('[42]ServCo BS-Consolidated'!$A1048576),'[42]ServCo BS-Consolidated'!$A$8:$A1048576,TRUE)))+1</definedName>
    <definedName name="Headcount">{"'Leading KPI'!$A$1:$P$33","'Leading KPI'!$A$1:$P$33"}</definedName>
    <definedName name="headcount2">{"'Leading KPI'!$A$1:$P$33","'Leading KPI'!$A$1:$P$33"}</definedName>
    <definedName name="Headcountas">{"'Leading KPI'!$A$1:$P$33","'Leading KPI'!$A$1:$P$33"}</definedName>
    <definedName name="HeadcountNew">{"'Leading KPI'!$A$1:$P$33","'Leading KPI'!$A$1:$P$33"}</definedName>
    <definedName name="Header1">IF(COUNTA(#REF!)=0,0,INDEX(#REF!,MATCH(ROW(#REF!),#REF!,TRUE)))+1</definedName>
    <definedName name="Header10">IF(COUNTA(#REF!)=0,0,INDEX(#REF!,MATCH(ROW(#REF!),#REF!,TRUE)))+1</definedName>
    <definedName name="Header3">[43]!Header1-1 &amp; "." &amp; MAX(1,COUNTA(INDEX(#REF!,MATCH([43]!Header1-1,#REF!,FALSE)):#REF!))</definedName>
    <definedName name="Header4">[43]!Header1-1 &amp; "." &amp; MAX(1,COUNTA(INDEX('[42]Assmp summary'!$B$8:$B1048576,MATCH([43]!Header1-1,'[42]Assmp summary'!$A$8:$A1048576,FALSE)):'[42]Assmp summary'!$B1048576))</definedName>
    <definedName name="Header5">[43]!Header1-1 &amp; "." &amp; MAX(1,COUNTA(INDEX('[42]Assmp summary'!$B$8:$B1048576,MATCH([43]!Header1-1,'[42]Assmp summary'!$A$8:$A1048576,FALSE)):'[42]Assmp summary'!$B1048576))</definedName>
    <definedName name="Headernew1">IF(COUNTA('[44]Campus wise summary'!#REF!)=0,0,INDEX('[44]Campus wise summary'!#REF!,MATCH(ROW('[44]Campus wise summary'!#REF!),'[44]Campus wise summary'!#REF!,TRUE)))+1</definedName>
    <definedName name="Headernew13">#N/A</definedName>
    <definedName name="Headernew2">#N/A</definedName>
    <definedName name="Headernew3">#N/A</definedName>
    <definedName name="Headr1">IF(COUNTA('[42]ServCo CF-Consolidated'!$A$8:$A1048576)=0,0,INDEX('[42]ServCo CF-Consolidated'!$A$8:$A1048576,MATCH(ROW('[42]ServCo CF-Consolidated'!$A1048576),'[42]ServCo CF-Consolidated'!$A$8:$A1048576,TRUE)))+1</definedName>
    <definedName name="hello">{#N/A,#N/A,TRUE,"Cover sheet";#N/A,#N/A,TRUE,"Summary";#N/A,#N/A,TRUE,"Key Assumptions";#N/A,#N/A,TRUE,"Profit &amp; Loss";#N/A,#N/A,TRUE,"Balance Sheet";#N/A,#N/A,TRUE,"Cashflow";#N/A,#N/A,TRUE,"IRR";#N/A,#N/A,TRUE,"Ratios";#N/A,#N/A,TRUE,"Debt analysis"}</definedName>
    <definedName name="helo">{#N/A,#N/A,TRUE,"Cover sheet";#N/A,#N/A,TRUE,"Summary";#N/A,#N/A,TRUE,"Key Assumptions";#N/A,#N/A,TRUE,"Profit &amp; Loss";#N/A,#N/A,TRUE,"Balance Sheet";#N/A,#N/A,TRUE,"Cashflow";#N/A,#N/A,TRUE,"IRR";#N/A,#N/A,TRUE,"Ratios";#N/A,#N/A,TRUE,"Debt analysis"}</definedName>
    <definedName name="HFinGraph">{#N/A,#N/A,FALSE,"Pharm";#N/A,#N/A,FALSE,"WWCM"}</definedName>
    <definedName name="hgfhgf">'[45]Forecast %'!#REF!</definedName>
    <definedName name="hgkdj" hidden="1">{"AnnualRentRoll",#N/A,FALSE,"RentRoll"}</definedName>
    <definedName name="ｈｈ" hidden="1">{"賃貸事例比較法",#N/A,FALSE,"Sheet2";"賃貸条件",#N/A,FALSE,"Sheet2"}</definedName>
    <definedName name="hhgjghj">{"DCF1",#N/A,FALSE,"SIERRA DCF";"MATRIX1",#N/A,FALSE,"SIERRA DCF"}</definedName>
    <definedName name="Hibh">{#N/A,#N/A,FALSE,"Pharm";#N/A,#N/A,FALSE,"WWCM"}</definedName>
    <definedName name="HiddenRows">#REF!</definedName>
    <definedName name="High">{#N/A,#N/A,FALSE,"Pharm";#N/A,#N/A,FALSE,"WWCM"}</definedName>
    <definedName name="hihi">{#N/A,#N/A,FALSE,"Staffnos &amp; cost"}</definedName>
    <definedName name="hjdg" hidden="1">{#N/A,#N/A,FALSE,"PropertyInfo"}</definedName>
    <definedName name="hjhjffukfuk">{#N/A,#N/A,FALSE,"Pharm";#N/A,#N/A,FALSE,"WWCM"}</definedName>
    <definedName name="hjhjfkfukywrte">{#N/A,#N/A,FALSE,"Pharm";#N/A,#N/A,FALSE,"WWCM"}</definedName>
    <definedName name="hjhkjkl">{#N/A,#N/A,FALSE,"Pharm";#N/A,#N/A,FALSE,"WWCM"}</definedName>
    <definedName name="hjjjkk">{#N/A,#N/A,FALSE,"REPORT"}</definedName>
    <definedName name="hjjkk">{#N/A,#N/A,FALSE,"Pharm";#N/A,#N/A,FALSE,"WWCM"}</definedName>
    <definedName name="hjkk">{#N/A,#N/A,FALSE,"Pharm";#N/A,#N/A,FALSE,"WWCM"}</definedName>
    <definedName name="hjry" hidden="1">{"Page1",#N/A,FALSE,"Segment Overview";"Page2",#N/A,FALSE,"Segment Overview";"Page3",#N/A,FALSE,"Summary";"Page4",#N/A,FALSE,"Summary";"Page5",#N/A,FALSE,"US Pubs Rev";"Page6",#N/A,FALSE,"US Pubs Rev";"Page7",#N/A,FALSE,"US Pubs EBITDA";"Page8",#N/A,FALSE,"US Pubs EBITDA"}</definedName>
    <definedName name="hjud" hidden="1">{"Page1",#N/A,FALSE,"Segment Overview";"Page2",#N/A,FALSE,"Segment Overview";"Page3",#N/A,FALSE,"Summary";"Page4",#N/A,FALSE,"Summary";"Page5",#N/A,FALSE,"US Pubs Rev";"Page6",#N/A,FALSE,"US Pubs Rev";"Page7",#N/A,FALSE,"US Pubs EBITDA";"Page8",#N/A,FALSE,"US Pubs EBITDA"}</definedName>
    <definedName name="HKA">'[46]#REF'!$A$10:$A$57</definedName>
    <definedName name="HKSH">{#N/A,#N/A,FALSE,"REPORT"}</definedName>
    <definedName name="HMG">{#N/A,#N/A,FALSE,"REPORT"}</definedName>
    <definedName name="hn._I006">#REF!</definedName>
    <definedName name="hn._I018">#REF!</definedName>
    <definedName name="hn._I024">#REF!</definedName>
    <definedName name="hn._I028">#REF!</definedName>
    <definedName name="hn._I029">#REF!</definedName>
    <definedName name="hn._I030">#REF!</definedName>
    <definedName name="hn._I031">#REF!</definedName>
    <definedName name="hn._I044">#REF!</definedName>
    <definedName name="hn._I051">#REF!</definedName>
    <definedName name="hn._I059">#REF!</definedName>
    <definedName name="hn._I062">#REF!</definedName>
    <definedName name="hn._I070">#REF!</definedName>
    <definedName name="hn._I071">#REF!</definedName>
    <definedName name="hn._I075">#REF!</definedName>
    <definedName name="hn._I077">#REF!</definedName>
    <definedName name="hn._I083">#REF!</definedName>
    <definedName name="hn._I085">#REF!</definedName>
    <definedName name="hn._P001">#REF!</definedName>
    <definedName name="hn._P002">#REF!</definedName>
    <definedName name="hn._P004">#REF!</definedName>
    <definedName name="hn._P014">#REF!</definedName>
    <definedName name="hn._P016">#REF!</definedName>
    <definedName name="hn._P017">#REF!</definedName>
    <definedName name="hn._P017g">#REF!</definedName>
    <definedName name="hn._P021">#REF!</definedName>
    <definedName name="hn._P024">#REF!</definedName>
    <definedName name="hn.Add015">#REF!</definedName>
    <definedName name="hn.Aggregate">#REF!</definedName>
    <definedName name="hn.CompanyInfo">#REF!</definedName>
    <definedName name="hn.CompanyName">#REF!</definedName>
    <definedName name="hn.CompanyUCN">#REF!</definedName>
    <definedName name="hn.ConvertVal1">#REF!</definedName>
    <definedName name="hn.ConvertZero1">#REF!,#REF!,#REF!,#REF!,#REF!,#REF!,#REF!,#REF!,#REF!,#REF!</definedName>
    <definedName name="hn.ConvertZero2">#REF!,#REF!,#REF!,#REF!,#REF!,#REF!,#REF!,#REF!</definedName>
    <definedName name="hn.ConvertZero3">#REF!,#REF!,#REF!,#REF!,#REF!</definedName>
    <definedName name="hn.ConvertZero4">#REF!,#REF!,#REF!,#REF!,#REF!,#REF!,#REF!,#REF!</definedName>
    <definedName name="hn.ConvertZeroUnhide1">#REF!,#REF!,#REF!</definedName>
    <definedName name="hn.CopyforPR">#REF!</definedName>
    <definedName name="hn.Delete015">#REF!,#REF!,#REF!,#REF!</definedName>
    <definedName name="hn.domestic">#REF!</definedName>
    <definedName name="hn.DomesticFlag">#REF!</definedName>
    <definedName name="hn.DZ_MultByFXRates">[38]DropZone!$B$2:$I$118,[38]DropZone!$B$120:$I$132,[38]DropZone!$B$134:$I$136,[38]DropZone!$B$138:$I$146</definedName>
    <definedName name="hn.ExtDb">FALSE</definedName>
    <definedName name="hn.FromMain">#REF!</definedName>
    <definedName name="hn.FromMain1">#REF!</definedName>
    <definedName name="hn.FromMain2">#REF!</definedName>
    <definedName name="hn.FromMain3">#REF!</definedName>
    <definedName name="hn.FromMain4">#REF!</definedName>
    <definedName name="hn.FromMain5">#REF!</definedName>
    <definedName name="hn.Global">#REF!</definedName>
    <definedName name="hn.IssuerID">#REF!</definedName>
    <definedName name="hn.IssuerNameShort">#REF!</definedName>
    <definedName name="hn.LTM_MultByFXRates">#REF!,#REF!,#REF!,#REF!,#REF!,#REF!,#REF!</definedName>
    <definedName name="hn.LTMData">#REF!</definedName>
    <definedName name="hn.ModelType">"DEAL"</definedName>
    <definedName name="hn.ModelVersion">1</definedName>
    <definedName name="hn.MultbyFXRates">#REF!,#REF!,#REF!,#REF!,#REF!,#REF!,#REF!</definedName>
    <definedName name="hn.MultByFXRates1">#REF!,#REF!,#REF!,#REF!,#REF!</definedName>
    <definedName name="hn.MultByFXRates2">#REF!,#REF!,#REF!,#REF!,#REF!</definedName>
    <definedName name="hn.MultByFXRates3">#REF!,#REF!,#REF!,#REF!,#REF!</definedName>
    <definedName name="hn.MultbyFxrates4">#REF!,#REF!,#REF!,#REF!,#REF!,#REF!,#REF!</definedName>
    <definedName name="hn.multbyfxrates5">#REF!,#REF!,#REF!,#REF!,#REF!</definedName>
    <definedName name="hn.multbyfxrates6">#REF!,#REF!,#REF!,#REF!,#REF!</definedName>
    <definedName name="hn.multbyfxrates7">#REF!,#REF!,#REF!,#REF!,#REF!</definedName>
    <definedName name="hn.MultByFXRatesBot1">#REF!,#REF!,#REF!,#REF!,#REF!,#REF!,#REF!,#REF!,#REF!,#REF!,#REF!,#REF!</definedName>
    <definedName name="hn.MultByFXRatesBot2">#REF!,#REF!,#REF!,#REF!,#REF!,#REF!,#REF!,#REF!,#REF!,#REF!,#REF!,#REF!</definedName>
    <definedName name="hn.MultByFXRatesBot3">#REF!,#REF!,#REF!,#REF!,#REF!,#REF!,#REF!,#REF!,#REF!,#REF!,#REF!,#REF!</definedName>
    <definedName name="hn.MultByFXRatesBot4">#REF!,#REF!,#REF!,#REF!,#REF!,#REF!,#REF!,#REF!,#REF!,#REF!,#REF!,#REF!,#REF!</definedName>
    <definedName name="hn.MultByFXRatesBot5">#REF!,#REF!,#REF!,#REF!,#REF!,#REF!,#REF!,#REF!,#REF!,#REF!,#REF!</definedName>
    <definedName name="hn.MultByFXRatesBot6">#REF!,#REF!,#REF!,#REF!,#REF!,#REF!,#REF!,#REF!,#REF!,#REF!,#REF!</definedName>
    <definedName name="hn.MultByFXRatesBot7">#REF!,#REF!,#REF!,#REF!,#REF!,#REF!,#REF!,#REF!,#REF!,#REF!,#REF!</definedName>
    <definedName name="hn.MultByFXRatesTop1">#REF!,#REF!,#REF!,#REF!,#REF!,#REF!,#REF!,#REF!,#REF!,#REF!,#REF!,#REF!</definedName>
    <definedName name="hn.MultByFXRatesTop2">#REF!,#REF!,#REF!,#REF!,#REF!,#REF!,#REF!,#REF!,#REF!,#REF!,#REF!,#REF!,#REF!,#REF!,#REF!</definedName>
    <definedName name="hn.MultByFXRatesTop3">#REF!,#REF!,#REF!,#REF!,#REF!,#REF!,#REF!,#REF!,#REF!,#REF!,#REF!,#REF!,#REF!,#REF!,#REF!</definedName>
    <definedName name="hn.MultByFXRatesTop4">#REF!,#REF!,#REF!,#REF!,#REF!,#REF!,#REF!,#REF!,#REF!,#REF!,#REF!,#REF!,#REF!,#REF!,#REF!</definedName>
    <definedName name="hn.MultByFXRatesTop5">#REF!,#REF!,#REF!,#REF!,#REF!,#REF!,#REF!,#REF!,#REF!,#REF!,#REF!,#REF!</definedName>
    <definedName name="hn.MultByFXRatesTop6">#REF!,#REF!,#REF!,#REF!,#REF!,#REF!,#REF!,#REF!,#REF!,#REF!,#REF!,#REF!,#REF!,#REF!,#REF!</definedName>
    <definedName name="hn.MultByFXRatesTop7">#REF!,#REF!,#REF!,#REF!,#REF!,#REF!,#REF!,#REF!,#REF!,#REF!,#REF!,#REF!,#REF!,#REF!,#REF!</definedName>
    <definedName name="hn.NoUpload">0</definedName>
    <definedName name="hn.ObligorGrade">#REF!</definedName>
    <definedName name="hn.ParentName">#REF!</definedName>
    <definedName name="hn.ParentUCN">#REF!</definedName>
    <definedName name="hn.ParityCheck">#REF!</definedName>
    <definedName name="hn.PrivateEndMonth">#REF!</definedName>
    <definedName name="hn.PrivateLTM">#REF!</definedName>
    <definedName name="hn.PrivateLTMYear">#REF!</definedName>
    <definedName name="hn.PrivateQuarter">#REF!</definedName>
    <definedName name="hn.PrivateYear">#REF!</definedName>
    <definedName name="hn.PrivateYearEnd">#REF!</definedName>
    <definedName name="hn.PublicFlag">#REF!</definedName>
    <definedName name="hn.ReviewDescription">#REF!</definedName>
    <definedName name="hn.ReviewID">#REF!</definedName>
    <definedName name="hn.ReviewYear">#REF!</definedName>
    <definedName name="hn.Segment">#REF!</definedName>
    <definedName name="hn.SegmentDesc">#REF!</definedName>
    <definedName name="hn.SegmentID">#REF!</definedName>
    <definedName name="hn.Ticker">#REF!</definedName>
    <definedName name="hn.UserLogin">#REF!</definedName>
    <definedName name="hn.USLast">#REF!</definedName>
    <definedName name="hn.YearLabel">#REF!</definedName>
    <definedName name="HOLA">{"AR",#N/A,FALSE,"ASMGTSUM";"INV",#N/A,FALSE,"ASMGTSUM";"HCCOMP",#N/A,FALSE,"ASMGTSUM";"cap.depr",#N/A,FALSE,"ASMGTSUM"}</definedName>
    <definedName name="Hrdr1">IF(COUNTA('[42]ServCo-FA-New Schools'!$A$8:$A1048576)=0,0,INDEX('[42]ServCo-FA-New Schools'!$A$8:$A1048576,MATCH(ROW('[42]ServCo-FA-New Schools'!$A1048576),'[42]ServCo-FA-New Schools'!$A$8:$A1048576,TRUE)))+1</definedName>
    <definedName name="HSADDSNDASOIDHASHDHD9882E8E">[47]Quantity!#REF!</definedName>
    <definedName name="hsh">#REF!</definedName>
    <definedName name="hshhr">{#N/A,#N/A,TRUE,"Staffnos &amp; cost"}</definedName>
    <definedName name="htgrer">{"page1",#N/A,FALSE,"BHCOMPC5";"page2",#N/A,FALSE,"BHCOMPC5";"page3",#N/A,FALSE,"BHCOMPC5";"page4",#N/A,FALSE,"BHCOMPC5"}</definedName>
    <definedName name="HTML_CodePage" hidden="1">950</definedName>
    <definedName name="HTML_Contro">{"'ICo.'!$J$12:$K$20"}</definedName>
    <definedName name="HTML_Control" hidden="1">{"'Sheet1'!$L$16"}</definedName>
    <definedName name="HTML_control1">{"'August 2000'!$A$1:$J$101"}</definedName>
    <definedName name="HTML_Control2">{"'Mensuelles'!$A$143:$H$214"}</definedName>
    <definedName name="HTML_ControlNew">{"'Leading KPI'!$A$1:$P$33","'Leading KPI'!$A$1:$P$33"}</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TRUE</definedName>
    <definedName name="HTML_OBDlg4" hidden="1">TRUE</definedName>
    <definedName name="HTML_OS" hidden="1">0</definedName>
    <definedName name="HTML_PathFile" hidden="1">"C:\2689\Q\國內\00q3961台化龍德PTA3建造\MyHTML.htm"</definedName>
    <definedName name="HTML_PathFileMac">"Macintosh HD:HomePageStuff:New_Home_Page:datafile:ctryprem.html"</definedName>
    <definedName name="HTML_PathTemplate">"C:\infac\pricewth\Aug99\Page06e.htm"</definedName>
    <definedName name="HTML_Title" hidden="1">"00Q3961-SUM"</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2_control">{"'Sheet1'!$A$1:$H$145"}</definedName>
    <definedName name="HTMLCount" hidden="1">1</definedName>
    <definedName name="htrys" hidden="1">{"Page1",#N/A,FALSE,"Segment Overview";"Page2",#N/A,FALSE,"Segment Overview";"Page3",#N/A,FALSE,"Summary";"Page4",#N/A,FALSE,"Summary";"Page5",#N/A,FALSE,"US Pubs Rev";"Page6",#N/A,FALSE,"US Pubs Rev";"Page7",#N/A,FALSE,"US Pubs EBITDA";"Page8",#N/A,FALSE,"US Pubs EBITDA"}</definedName>
    <definedName name="htyuityuiotio">{#N/A,#N/A,FALSE,"REPORT"}</definedName>
    <definedName name="huy" hidden="1">{"'Sheet1'!$L$16"}</definedName>
    <definedName name="Hypertention">{#N/A,#N/A,FALSE,"Pharm";#N/A,#N/A,FALSE,"WWCM"}</definedName>
    <definedName name="hypo">{#N/A,#N/A,FALSE,"Pharm";#N/A,#N/A,FALSE,"WWCM"}</definedName>
    <definedName name="hyti" hidden="1">{"Page1",#N/A,FALSE,"Segment Overview";"Page2",#N/A,FALSE,"Segment Overview";"Page3",#N/A,FALSE,"Summary";"Page4",#N/A,FALSE,"Summary";"Page5",#N/A,FALSE,"US Pubs Rev";"Page6",#N/A,FALSE,"US Pubs Rev";"Page7",#N/A,FALSE,"US Pubs EBITDA";"Page8",#N/A,FALSE,"US Pubs EBITDA"}</definedName>
    <definedName name="i">{"DCF1",#N/A,FALSE,"SIERRA DCF";"MATRIX1",#N/A,FALSE,"SIERRA DCF"}</definedName>
    <definedName name="iiiii">{#N/A,#N/A,FALSE,"Calc";#N/A,#N/A,FALSE,"Sensitivity";#N/A,#N/A,FALSE,"LT Earn.Dil.";#N/A,#N/A,FALSE,"Dil. AVP"}</definedName>
    <definedName name="ijk">#REF!</definedName>
    <definedName name="ik">{#N/A,#N/A,FALSE,"Calc";#N/A,#N/A,FALSE,"Sensitivity";#N/A,#N/A,FALSE,"LT Earn.Dil.";#N/A,#N/A,FALSE,"Dil. AVP"}</definedName>
    <definedName name="INR">#REF!</definedName>
    <definedName name="instructions1">{#N/A,#N/A,TRUE,"Summary - 1";#N/A,#N/A,TRUE,"Summary - 2";#N/A,#N/A,TRUE,"Group Analysis";#N/A,#N/A,TRUE,"FM Analysis";#N/A,#N/A,TRUE,"T&amp;M-Onsite";#N/A,#N/A,TRUE,"FP-Onsite";#N/A,#N/A,TRUE,"NB-Onsite";#N/A,#N/A,TRUE,"T&amp;M-Offshore";#N/A,#N/A,TRUE,"FP-Offshore";#N/A,#N/A,TRUE,"Appendix-A";#N/A,#N/A,TRUE,"Appendix-B"}</definedName>
    <definedName name="Insuranc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troPrintArea">#REF!</definedName>
    <definedName name="IP">{#N/A,#N/A,FALSE,"Pharm";#N/A,#N/A,FALSE,"WWCM"}</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USTABLE_RATE_LOANS_FDIC" hidden="1">"c6375"</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"c5315"</definedName>
    <definedName name="IQ_AVG_BROKER_REC_REUT">"c3630"</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RATING_FITCH">"IQ_BONDRATING_FITCH"</definedName>
    <definedName name="IQ_BONDRATING_SP">"IQ_BONDRATING_SP"</definedName>
    <definedName name="IQ_BOOK_VALUE">"IQ_BOOK_VALUE"</definedName>
    <definedName name="IQ_BROK_COMISSION" hidden="1">"c98"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PRIMARY_GIC">"c15584"</definedName>
    <definedName name="IQ_BUS_SEG_PRIMARY_GIC_ABS">"c15572"</definedName>
    <definedName name="IQ_BUS_SEG_SECONDARY_GIC">"c15585"</definedName>
    <definedName name="IQ_BUS_SEG_SECONDARY_GIC_ABS">"c15573"</definedName>
    <definedName name="IQ_BUSINESS_DESCRIPTION" hidden="1">"c322"</definedName>
    <definedName name="IQ_BV_ACT_OR_EST_REUT" hidden="1">"c5471"</definedName>
    <definedName name="IQ_BV_ACT_OR_EST_THOM">"c5308"</definedName>
    <definedName name="IQ_BV_EST_REUT" hidden="1">"c5403"</definedName>
    <definedName name="IQ_BV_EST_THOM">"c5147"</definedName>
    <definedName name="IQ_BV_HIGH_EST_REUT" hidden="1">"c5405"</definedName>
    <definedName name="IQ_BV_HIGH_EST_THOM">"c5149"</definedName>
    <definedName name="IQ_BV_LOW_EST_REUT" hidden="1">"c5406"</definedName>
    <definedName name="IQ_BV_LOW_EST_THOM">"c5150"</definedName>
    <definedName name="IQ_BV_MEDIAN_EST_REUT" hidden="1">"c5404"</definedName>
    <definedName name="IQ_BV_MEDIAN_EST_THOM">"c5148"</definedName>
    <definedName name="IQ_BV_NUM_EST_REUT" hidden="1">"c5407"</definedName>
    <definedName name="IQ_BV_NUM_EST_THOM">"c5151"</definedName>
    <definedName name="IQ_BV_OVER_SHARES" hidden="1">"c1349"</definedName>
    <definedName name="IQ_BV_SHARE" hidden="1">"c100"</definedName>
    <definedName name="IQ_BV_STDDEV_EST_REUT" hidden="1">"c5408"</definedName>
    <definedName name="IQ_BV_STDDEV_EST_THOM">"c5152"</definedName>
    <definedName name="IQ_CAL_Q" hidden="1">"c101"</definedName>
    <definedName name="IQ_CAL_Q_EST_REUT">"c6800"</definedName>
    <definedName name="IQ_CAL_Y" hidden="1">"c102"</definedName>
    <definedName name="IQ_CAL_Y_EST_REUT">"c6801"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NET_OPER_ASSETS_BR">"c3595"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_EST_CIQ">"c4802"</definedName>
    <definedName name="IQ_DISTRIBUTABLE_CASH_HIGH_EST_CIQ">"c4805"</definedName>
    <definedName name="IQ_DISTRIBUTABLE_CASH_LOW_EST_CIQ">"c4806"</definedName>
    <definedName name="IQ_DISTRIBUTABLE_CASH_MEDIAN_EST_CIQ">"c4807"</definedName>
    <definedName name="IQ_DISTRIBUTABLE_CASH_NUM_EST_CIQ">"c4808"</definedName>
    <definedName name="IQ_DISTRIBUTABLE_CASH_SHARE_EST_CIQ">"c4810"</definedName>
    <definedName name="IQ_DISTRIBUTABLE_CASH_SHARE_HIGH_EST_CIQ">"c4813"</definedName>
    <definedName name="IQ_DISTRIBUTABLE_CASH_SHARE_LOW_EST_CIQ">"c4814"</definedName>
    <definedName name="IQ_DISTRIBUTABLE_CASH_SHARE_MEDIAN_EST_CIQ">"c4815"</definedName>
    <definedName name="IQ_DISTRIBUTABLE_CASH_SHARE_NUM_EST_CIQ">"c4816"</definedName>
    <definedName name="IQ_DISTRIBUTABLE_CASH_SHARE_STDDEV_EST_CIQ">"c4817"</definedName>
    <definedName name="IQ_DISTRIBUTABLE_CASH_STDDEV_EST_CIQ">"c4819"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"c2801"</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"c5314"</definedName>
    <definedName name="IQ_EARNINGS_COVERAGE_NET_CHARGE_OFFS_FDIC" hidden="1">"c6735"</definedName>
    <definedName name="IQ_EBIT" hidden="1">"c352"</definedName>
    <definedName name="IQ_EBIT_10K">"IQ_EBIT_10K"</definedName>
    <definedName name="IQ_EBIT_10Q">"IQ_EBIT_10Q"</definedName>
    <definedName name="IQ_EBIT_10Q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GROWTH_1">"IQ_EBIT_GROWTH_1"</definedName>
    <definedName name="IQ_EBIT_GROWTH_2">"IQ_EBIT_GROWTH_2"</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K">"IQ_EBITDA_10K"</definedName>
    <definedName name="IQ_EBITDA_10Q">"IQ_EBITDA_10Q"</definedName>
    <definedName name="IQ_EBITDA_10Q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_REUT">"c3640"</definedName>
    <definedName name="IQ_EBITDA_GROWTH_1">"IQ_EBITDA_GROWTH_1"</definedName>
    <definedName name="IQ_EBITDA_GROWTH_2">"IQ_EBITDA_GROWTH_2"</definedName>
    <definedName name="IQ_EBITDA_HIGH_EST_REUT">"c3642"</definedName>
    <definedName name="IQ_EBITDA_INT" hidden="1">"c373"</definedName>
    <definedName name="IQ_EBITDA_LOW_EST_REUT">"c3643"</definedName>
    <definedName name="IQ_EBITDA_MARGIN" hidden="1">"c372"</definedName>
    <definedName name="IQ_EBITDA_MEDIAN_EST_REUT">"c3641"</definedName>
    <definedName name="IQ_EBITDA_NUM_EST_REUT">"c3644"</definedName>
    <definedName name="IQ_EBITDA_OVER_TOTAL_IE" hidden="1">"c1371"</definedName>
    <definedName name="IQ_EBITDA_STDDEV_EST_REUT">"c3645"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 hidden="1">"IQ_EPS"</definedName>
    <definedName name="IQ_EPS_10K">"IQ_EPS_10K"</definedName>
    <definedName name="IQ_EPS_10Q">"IQ_EPS_10Q"</definedName>
    <definedName name="IQ_EPS_10Q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EST_1">"IQ_EPS_EST_1"</definedName>
    <definedName name="IQ_EPS_EST_REUT">"c5453"</definedName>
    <definedName name="IQ_EPS_GW_EST_REUT">"c5389"</definedName>
    <definedName name="IQ_EPS_GW_HIGH_EST_REUT">"c5391"</definedName>
    <definedName name="IQ_EPS_GW_LOW_EST_REUT">"c5392"</definedName>
    <definedName name="IQ_EPS_GW_MEDIAN_EST_REUT">"c5390"</definedName>
    <definedName name="IQ_EPS_GW_NUM_EST_REUT">"c5393"</definedName>
    <definedName name="IQ_EPS_GW_STDDEV_EST_REUT">"c5394"</definedName>
    <definedName name="IQ_EPS_HIGH_EST" hidden="1">"c400"</definedName>
    <definedName name="IQ_EPS_HIGH_EST_REUT">"c5454"</definedName>
    <definedName name="IQ_EPS_LOW_EST" hidden="1">"c401"</definedName>
    <definedName name="IQ_EPS_LOW_EST_REUT">"c5455"</definedName>
    <definedName name="IQ_EPS_MEDIAN_EST" hidden="1">"c1661"</definedName>
    <definedName name="IQ_EPS_MEDIAN_EST_REUT">"c5456"</definedName>
    <definedName name="IQ_EPS_NORM" hidden="1">"c1902"</definedName>
    <definedName name="IQ_EPS_NORM_EST_REUT">"c5326"</definedName>
    <definedName name="IQ_EPS_NORM_HIGH_EST_REUT">"c5328"</definedName>
    <definedName name="IQ_EPS_NORM_LOW_EST_REUT">"c5329"</definedName>
    <definedName name="IQ_EPS_NORM_MEDIAN_EST_REUT">"c5327"</definedName>
    <definedName name="IQ_EPS_NORM_NUM_EST_REUT">"c5330"</definedName>
    <definedName name="IQ_EPS_NORM_STDDEV_EST_REUT">"c5331"</definedName>
    <definedName name="IQ_EPS_NUM_EST" hidden="1">"c402"</definedName>
    <definedName name="IQ_EPS_NUM_EST_REUT">"c5451"</definedName>
    <definedName name="IQ_EPS_PRIMARY_EST">"c2226"</definedName>
    <definedName name="IQ_EPS_PRIMARY_HIGH_EST">"c2228"</definedName>
    <definedName name="IQ_EPS_PRIMARY_LOW_EST">"c2229"</definedName>
    <definedName name="IQ_EPS_PRIMARY_MEDIAN_EST">"c2227"</definedName>
    <definedName name="IQ_EPS_PRIMARY_NUM_EST">"c2230"</definedName>
    <definedName name="IQ_EPS_PRIMARY_STDDEV_EST">"c2231"</definedName>
    <definedName name="IQ_EPS_REPORTED_EST_REUT">"c5396"</definedName>
    <definedName name="IQ_EPS_REPORTED_HIGH_EST_REUT">"c5398"</definedName>
    <definedName name="IQ_EPS_REPORTED_LOW_EST_REUT">"c5399"</definedName>
    <definedName name="IQ_EPS_REPORTED_MEDIAN_EST_REUT">"c5397"</definedName>
    <definedName name="IQ_EPS_REPORTED_NUM_EST_REUT">"c5400"</definedName>
    <definedName name="IQ_EPS_REPORTED_STDDEV_EST_REUT">"c5401"</definedName>
    <definedName name="IQ_EPS_STDDEV_EST" hidden="1">"c403"</definedName>
    <definedName name="IQ_EPS_STDDEV_EST_REUT">"c5452"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REUT" hidden="1">"c5409"</definedName>
    <definedName name="IQ_EST_ACT_BV_THOM">"c5153"</definedName>
    <definedName name="IQ_EST_ACT_EPS" hidden="1">"c1648"</definedName>
    <definedName name="IQ_EST_ACT_EPS_GW_REUT">"c5395"</definedName>
    <definedName name="IQ_EST_ACT_EPS_NORM_REUT">"c5332"</definedName>
    <definedName name="IQ_EST_ACT_EPS_PRIMARY">"c2232"</definedName>
    <definedName name="IQ_EST_ACT_EPS_REPORTED_REUT">"c5402"</definedName>
    <definedName name="IQ_EST_ACT_FFO_REUT" hidden="1">"c3843"</definedName>
    <definedName name="IQ_EST_ACT_FFO_SHARE_SHARE_REUT">"c3843"</definedName>
    <definedName name="IQ_EST_ACT_FFO_SHARE_SHARE_THOM" hidden="1">"c4005"</definedName>
    <definedName name="IQ_EST_ACT_FFO_THOM" hidden="1">"c4005"</definedName>
    <definedName name="IQ_EST_BV_DIFF_REUT" hidden="1">"c5433"</definedName>
    <definedName name="IQ_EST_BV_DIFF_THOM">"c5204"</definedName>
    <definedName name="IQ_EST_BV_SURPRISE_PERCENT_REUT" hidden="1">"c5434"</definedName>
    <definedName name="IQ_EST_BV_SURPRISE_PERCENT_THOM">"c5205"</definedName>
    <definedName name="IQ_EST_CURRENCY" hidden="1">"c2140"</definedName>
    <definedName name="IQ_EST_CURRENCY_REUT">"c5437"</definedName>
    <definedName name="IQ_EST_DATE" hidden="1">"c1634"</definedName>
    <definedName name="IQ_EST_DATE_REUT">"c5438"</definedName>
    <definedName name="IQ_EST_EPS_DIFF" hidden="1">"c1864"</definedName>
    <definedName name="IQ_EST_EPS_GROWTH_1YR" hidden="1">"c1636"</definedName>
    <definedName name="IQ_EST_EPS_GROWTH_1YR_REUT">"c3646"</definedName>
    <definedName name="IQ_EST_EPS_GROWTH_5YR" hidden="1">"c1655"</definedName>
    <definedName name="IQ_EST_EPS_GROWTH_5YR_REUT">"c3633"</definedName>
    <definedName name="IQ_EST_EPS_GROWTH_Q_1YR" hidden="1">"c1641"</definedName>
    <definedName name="IQ_EST_EPS_GROWTH_Q_1YR_REUT">"c5410"</definedName>
    <definedName name="IQ_EST_EPS_GW_DIFF_REUT">"c5429"</definedName>
    <definedName name="IQ_EST_EPS_GW_SURPRISE_PERCENT_REUT">"c5430"</definedName>
    <definedName name="IQ_EST_EPS_NORM_DIFF_REUT">"c5411"</definedName>
    <definedName name="IQ_EST_EPS_NORM_SURPRISE_PERCENT_REUT">"c5412"</definedName>
    <definedName name="IQ_EST_EPS_REPORT_DIFF_REUT">"c5431"</definedName>
    <definedName name="IQ_EST_EPS_REPORT_SURPRISE_PERCENT_REUT">"c5432"</definedName>
    <definedName name="IQ_EST_EPS_SURPRISE" hidden="1">"c1635"</definedName>
    <definedName name="IQ_EST_FFO_DIFF_REUT" hidden="1">"c3890"</definedName>
    <definedName name="IQ_EST_FFO_DIFF_THOM" hidden="1">"c5186"</definedName>
    <definedName name="IQ_EST_FFO_SHARE_SHARE_DIFF_REUT">"c3890"</definedName>
    <definedName name="IQ_EST_FFO_SHARE_SHARE_DIFF_THOM" hidden="1">"c5186"</definedName>
    <definedName name="IQ_EST_FFO_SHARE_SHARE_SURPRISE_PERCENT_REUT">"c3891"</definedName>
    <definedName name="IQ_EST_FFO_SHARE_SHARE_SURPRISE_PERCENT_THOM" hidden="1">"c5187"</definedName>
    <definedName name="IQ_EST_FFO_SURPRISE_PERCENT_REUT" hidden="1">"c3891"</definedName>
    <definedName name="IQ_EST_FFO_SURPRISE_PERCENT_THOM" hidden="1">"c5187"</definedName>
    <definedName name="IQ_EST_NUM_BUY_CIQ">"c3700"</definedName>
    <definedName name="IQ_EST_NUM_BUY_REUT" hidden="1">"c3869"</definedName>
    <definedName name="IQ_EST_NUM_BUY_THOM">"c5165"</definedName>
    <definedName name="IQ_EST_NUM_HOLD_CIQ">"c3702"</definedName>
    <definedName name="IQ_EST_NUM_HOLD_REUT" hidden="1">"c3871"</definedName>
    <definedName name="IQ_EST_NUM_HOLD_THOM">"c5167"</definedName>
    <definedName name="IQ_EST_NUM_OUTPERFORM_CIQ">"c3701"</definedName>
    <definedName name="IQ_EST_NUM_OUTPERFORM_REUT" hidden="1">"c3870"</definedName>
    <definedName name="IQ_EST_NUM_OUTPERFORM_THOM">"c5166"</definedName>
    <definedName name="IQ_EST_NUM_SELL_CIQ">"c3704"</definedName>
    <definedName name="IQ_EST_NUM_SELL_REUT" hidden="1">"c3873"</definedName>
    <definedName name="IQ_EST_NUM_SELL_THOM">"c5169"</definedName>
    <definedName name="IQ_EST_NUM_UNDERPERFORM_CIQ">"c3703"</definedName>
    <definedName name="IQ_EST_NUM_UNDERPERFORM_REUT" hidden="1">"c3872"</definedName>
    <definedName name="IQ_EST_NUM_UNDERPERFORM_THOM">"c5168"</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"IQ_EV_OVER_REVENUE_EST"</definedName>
    <definedName name="IQ_EV_OVER_REVENUE_EST_1">"IQ_EV_OVER_REVENUE_EST_1"</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"001"</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FO" hidden="1">"c1574"</definedName>
    <definedName name="IQ_FFO_ADJ_EST_CIQ">"c4959"</definedName>
    <definedName name="IQ_FFO_ADJ_HIGH_EST_CIQ">"c4962"</definedName>
    <definedName name="IQ_FFO_ADJ_LOW_EST_CIQ">"c4963"</definedName>
    <definedName name="IQ_FFO_ADJ_MEDIAN_EST_CIQ">"c4964"</definedName>
    <definedName name="IQ_FFO_ADJ_NUM_EST_CIQ">"c4965"</definedName>
    <definedName name="IQ_FFO_ADJ_STDDEV_EST_CIQ">"c4966"</definedName>
    <definedName name="IQ_FFO_EST_CIQ">"c3668"</definedName>
    <definedName name="IQ_FFO_EST_DET_EST" hidden="1">"c12059"</definedName>
    <definedName name="IQ_FFO_EST_DET_EST_CIQ">"c12121"</definedName>
    <definedName name="IQ_FFO_EST_DET_EST_CURRENCY" hidden="1">"c12466"</definedName>
    <definedName name="IQ_FFO_EST_DET_EST_CURRENCY_CIQ">"c12512"</definedName>
    <definedName name="IQ_FFO_EST_DET_EST_CURRENCY_REUT">"c12536"</definedName>
    <definedName name="IQ_FFO_EST_DET_EST_CURRENCY_THOM" hidden="1">"c12487"</definedName>
    <definedName name="IQ_FFO_EST_DET_EST_DATE" hidden="1">"c12212"</definedName>
    <definedName name="IQ_FFO_EST_DET_EST_DATE_CIQ">"c12267"</definedName>
    <definedName name="IQ_FFO_EST_DET_EST_DATE_REUT">"c12295"</definedName>
    <definedName name="IQ_FFO_EST_DET_EST_DATE_THOM" hidden="1">"c12238"</definedName>
    <definedName name="IQ_FFO_EST_DET_EST_INCL" hidden="1">"c12349"</definedName>
    <definedName name="IQ_FFO_EST_DET_EST_INCL_CIQ">"c12395"</definedName>
    <definedName name="IQ_FFO_EST_DET_EST_INCL_REUT">"c12419"</definedName>
    <definedName name="IQ_FFO_EST_DET_EST_INCL_THOM" hidden="1">"c12370"</definedName>
    <definedName name="IQ_FFO_EST_DET_EST_ORIGIN" hidden="1">"c12722"</definedName>
    <definedName name="IQ_FFO_EST_DET_EST_ORIGIN_CIQ">"c12720"</definedName>
    <definedName name="IQ_FFO_EST_DET_EST_ORIGIN_REUT">"c12724"</definedName>
    <definedName name="IQ_FFO_EST_DET_EST_ORIGIN_THOM" hidden="1">"c12608"</definedName>
    <definedName name="IQ_FFO_EST_DET_EST_REUT">"c12153"</definedName>
    <definedName name="IQ_FFO_EST_DET_EST_THOM" hidden="1">"c12088"</definedName>
    <definedName name="IQ_FFO_EST_REUT" hidden="1">"c3837"</definedName>
    <definedName name="IQ_FFO_EST_THOM" hidden="1">"c3999"</definedName>
    <definedName name="IQ_FFO_HIGH_EST_CIQ">"c3670"</definedName>
    <definedName name="IQ_FFO_HIGH_EST_REUT" hidden="1">"c3839"</definedName>
    <definedName name="IQ_FFO_HIGH_EST_THOM" hidden="1">"c4001"</definedName>
    <definedName name="IQ_FFO_LOW_EST_CIQ">"c3671"</definedName>
    <definedName name="IQ_FFO_LOW_EST_REUT" hidden="1">"c3840"</definedName>
    <definedName name="IQ_FFO_LOW_EST_THOM" hidden="1">"c4002"</definedName>
    <definedName name="IQ_FFO_MEDIAN_EST_CIQ">"c3669"</definedName>
    <definedName name="IQ_FFO_MEDIAN_EST_REUT" hidden="1">"c3838"</definedName>
    <definedName name="IQ_FFO_MEDIAN_EST_THOM" hidden="1">"c4000"</definedName>
    <definedName name="IQ_FFO_NUM_EST_CIQ">"c3672"</definedName>
    <definedName name="IQ_FFO_NUM_EST_REUT" hidden="1">"c3841"</definedName>
    <definedName name="IQ_FFO_NUM_EST_THOM" hidden="1">"c4003"</definedName>
    <definedName name="IQ_FFO_SHARE_SHARE_EST_DET_EST" hidden="1">"c12059"</definedName>
    <definedName name="IQ_FFO_SHARE_SHARE_EST_DET_EST_CURRENCY" hidden="1">"c12466"</definedName>
    <definedName name="IQ_FFO_SHARE_SHARE_EST_DET_EST_CURRENCY_REUT">"c12536"</definedName>
    <definedName name="IQ_FFO_SHARE_SHARE_EST_DET_EST_CURRENCY_THOM" hidden="1">"c12487"</definedName>
    <definedName name="IQ_FFO_SHARE_SHARE_EST_DET_EST_DATE" hidden="1">"c12212"</definedName>
    <definedName name="IQ_FFO_SHARE_SHARE_EST_DET_EST_DATE_REUT">"c12295"</definedName>
    <definedName name="IQ_FFO_SHARE_SHARE_EST_DET_EST_DATE_THOM" hidden="1">"c12238"</definedName>
    <definedName name="IQ_FFO_SHARE_SHARE_EST_DET_EST_INCL" hidden="1">"c12349"</definedName>
    <definedName name="IQ_FFO_SHARE_SHARE_EST_DET_EST_INCL_REUT">"c12419"</definedName>
    <definedName name="IQ_FFO_SHARE_SHARE_EST_DET_EST_INCL_THOM" hidden="1">"c12370"</definedName>
    <definedName name="IQ_FFO_SHARE_SHARE_EST_DET_EST_ORIGIN" hidden="1">"c12722"</definedName>
    <definedName name="IQ_FFO_SHARE_SHARE_EST_DET_EST_ORIGIN_REUT">"c12724"</definedName>
    <definedName name="IQ_FFO_SHARE_SHARE_EST_DET_EST_ORIGIN_THOM" hidden="1">"c12608"</definedName>
    <definedName name="IQ_FFO_SHARE_SHARE_EST_DET_EST_REUT">"c12153"</definedName>
    <definedName name="IQ_FFO_SHARE_SHARE_EST_DET_EST_THOM" hidden="1">"c12088"</definedName>
    <definedName name="IQ_FFO_SHARE_SHARE_EST_REUT">"c3837"</definedName>
    <definedName name="IQ_FFO_SHARE_SHARE_EST_THOM" hidden="1">"c3999"</definedName>
    <definedName name="IQ_FFO_SHARE_SHARE_HIGH_EST_REUT">"c3839"</definedName>
    <definedName name="IQ_FFO_SHARE_SHARE_HIGH_EST_THOM" hidden="1">"c4001"</definedName>
    <definedName name="IQ_FFO_SHARE_SHARE_LOW_EST_REUT">"c3840"</definedName>
    <definedName name="IQ_FFO_SHARE_SHARE_LOW_EST_THOM" hidden="1">"c4002"</definedName>
    <definedName name="IQ_FFO_SHARE_SHARE_MEDIAN_EST_REUT">"c3838"</definedName>
    <definedName name="IQ_FFO_SHARE_SHARE_MEDIAN_EST_THOM" hidden="1">"c4000"</definedName>
    <definedName name="IQ_FFO_SHARE_SHARE_NUM_EST_REUT">"c3841"</definedName>
    <definedName name="IQ_FFO_SHARE_SHARE_NUM_EST_THOM" hidden="1">"c4003"</definedName>
    <definedName name="IQ_FFO_SHARE_SHARE_STDDEV_EST_REUT">"c3842"</definedName>
    <definedName name="IQ_FFO_SHARE_SHARE_STDDEV_EST_THOM" hidden="1">"c4004"</definedName>
    <definedName name="IQ_FFO_STDDEV_EST_CIQ">"c3673"</definedName>
    <definedName name="IQ_FFO_STDDEV_EST_REUT" hidden="1">"c3842"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Q_EST_REUT">"c6798"</definedName>
    <definedName name="IQ_FISCAL_Y" hidden="1">"c441"</definedName>
    <definedName name="IQ_FISCAL_Y_EST_REUT">"c6799"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_REUT">"c5317"</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"c19252"</definedName>
    <definedName name="IQ_INDEXCONSTITUENT_CLOSEPRICE">"c19241"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"IQ_INTEREST_INC_10K"</definedName>
    <definedName name="IQ_INTEREST_INC_10Q">"IQ_INTEREST_INC_10Q"</definedName>
    <definedName name="IQ_INTEREST_INC_10Q1">"IQ_INTEREST_INC_10Q1"</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D_GUARANTEED_US_FDIC" hidden="1">"c6404"</definedName>
    <definedName name="IQ_LAND" hidden="1">"c645"</definedName>
    <definedName name="IQ_LAST_EBIT_MARGIN">"IQ_LAST_EBIT_MARGIN"</definedName>
    <definedName name="IQ_LAST_EBITDA_MARGIN">"IQ_LAST_EBITDA_MARGIN"</definedName>
    <definedName name="IQ_LAST_GROSS_MARGIN">"IQ_LAST_GROSS_MARGIN"</definedName>
    <definedName name="IQ_LAST_NET_INC_MARGIN">"IQ_LAST_NET_INC_MARGIN"</definedName>
    <definedName name="IQ_LAST_SPLIT_DATE" hidden="1">"c2095"</definedName>
    <definedName name="IQ_LAST_SPLIT_FACTOR" hidden="1">"c2093"</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W_TARGET_PRICE_REUT">"c5318"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_REUT">"c4048"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"03/07/2014 01:05:30"</definedName>
    <definedName name="IQ_NAV_ACT_OR_EST" hidden="1">"c2225"</definedName>
    <definedName name="IQ_NET_CHANGE" hidden="1">"c749"</definedName>
    <definedName name="IQ_NET_CHARGE_OFFS_FDIC" hidden="1">"c6641"</definedName>
    <definedName name="IQ_NET_CHARGE_OFFS_LOANS_FDIC" hidden="1">"c6751"</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10K">"IQ_NET_INC_10K"</definedName>
    <definedName name="IQ_NET_INC_10Q">"IQ_NET_INC_10Q"</definedName>
    <definedName name="IQ_NET_INC_10Q1">"IQ_NET_INC_10Q1"</definedName>
    <definedName name="IQ_NET_INC_BEFORE" hidden="1">"c1368"</definedName>
    <definedName name="IQ_NET_INC_CF" hidden="1">"c1397"</definedName>
    <definedName name="IQ_NET_INC_GROWTH_1">"IQ_NET_INC_GROWTH_1"</definedName>
    <definedName name="IQ_NET_INC_GROWTH_2">"IQ_NET_INC_GROWTH_2"</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_BR">"c5566"</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MINING_REVENUE_COAL">"c15931"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TRANSACTIONS_FDIC" hidden="1">"c6504"</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EXCL_FWD_REUT">"c4049"</definedName>
    <definedName name="IQ_PE_RATIO" hidden="1">"c1610"</definedName>
    <definedName name="IQ_PEG_FWD_REUT">"c4052"</definedName>
    <definedName name="IQ_PENSION" hidden="1">"c1031"</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REUT">"c3938"</definedName>
    <definedName name="IQ_PERCENT_CHANGE_EST_FFO_SHARE_SHARE_12MONTHS_THOM" hidden="1">"c5248"</definedName>
    <definedName name="IQ_PERCENT_CHANGE_EST_FFO_SHARE_SHARE_18MONTHS" hidden="1">"c1829"</definedName>
    <definedName name="IQ_PERCENT_CHANGE_EST_FFO_SHARE_SHARE_18MONTHS_REUT">"c3939"</definedName>
    <definedName name="IQ_PERCENT_CHANGE_EST_FFO_SHARE_SHARE_18MONTHS_THOM" hidden="1">"c5249"</definedName>
    <definedName name="IQ_PERCENT_CHANGE_EST_FFO_SHARE_SHARE_3MONTHS" hidden="1">"c1825"</definedName>
    <definedName name="IQ_PERCENT_CHANGE_EST_FFO_SHARE_SHARE_3MONTHS_REUT">"c3935"</definedName>
    <definedName name="IQ_PERCENT_CHANGE_EST_FFO_SHARE_SHARE_3MONTHS_THOM" hidden="1">"c5245"</definedName>
    <definedName name="IQ_PERCENT_CHANGE_EST_FFO_SHARE_SHARE_6MONTHS" hidden="1">"c1826"</definedName>
    <definedName name="IQ_PERCENT_CHANGE_EST_FFO_SHARE_SHARE_6MONTHS_REUT">"c3936"</definedName>
    <definedName name="IQ_PERCENT_CHANGE_EST_FFO_SHARE_SHARE_6MONTHS_THOM" hidden="1">"c5246"</definedName>
    <definedName name="IQ_PERCENT_CHANGE_EST_FFO_SHARE_SHARE_9MONTHS" hidden="1">"c1827"</definedName>
    <definedName name="IQ_PERCENT_CHANGE_EST_FFO_SHARE_SHARE_9MONTHS_REUT">"c3937"</definedName>
    <definedName name="IQ_PERCENT_CHANGE_EST_FFO_SHARE_SHARE_9MONTHS_THOM" hidden="1">"c5247"</definedName>
    <definedName name="IQ_PERCENT_CHANGE_EST_FFO_SHARE_SHARE_DAY" hidden="1">"c1822"</definedName>
    <definedName name="IQ_PERCENT_CHANGE_EST_FFO_SHARE_SHARE_DAY_REUT">"c3933"</definedName>
    <definedName name="IQ_PERCENT_CHANGE_EST_FFO_SHARE_SHARE_DAY_THOM" hidden="1">"c5243"</definedName>
    <definedName name="IQ_PERCENT_CHANGE_EST_FFO_SHARE_SHARE_MONTH" hidden="1">"c1824"</definedName>
    <definedName name="IQ_PERCENT_CHANGE_EST_FFO_SHARE_SHARE_MONTH_REUT">"c3934"</definedName>
    <definedName name="IQ_PERCENT_CHANGE_EST_FFO_SHARE_SHARE_MONTH_THOM" hidden="1">"c5244"</definedName>
    <definedName name="IQ_PERCENT_CHANGE_EST_FFO_SHARE_SHARE_WEEK" hidden="1">"c1823"</definedName>
    <definedName name="IQ_PERCENT_CHANGE_EST_FFO_SHARE_SHARE_WEEK_REUT">"c3964"</definedName>
    <definedName name="IQ_PERCENT_CHANGE_EST_FFO_SHARE_SHARE_WEEK_THOM" hidden="1">"c5274"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INC">"IQ_PRETAX_INC"</definedName>
    <definedName name="IQ_PRETAX_INC_10K">"IQ_PRETAX_INC_10K"</definedName>
    <definedName name="IQ_PRETAX_INC_10Q">"IQ_PRETAX_INC_10Q"</definedName>
    <definedName name="IQ_PRETAX_INC_10Q1">"IQ_PRETAX_INC_10Q1"</definedName>
    <definedName name="IQ_PRETAX_RETURN_ASSETS_FDIC" hidden="1">"c6731"</definedName>
    <definedName name="IQ_PRICE_OVER_BVPS" hidden="1">"c1412"</definedName>
    <definedName name="IQ_PRICE_OVER_EPS_EST">"IQ_PRICE_OVER_EPS_EST"</definedName>
    <definedName name="IQ_PRICE_OVER_EPS_EST_1">"IQ_PRICE_OVER_EPS_EST_1"</definedName>
    <definedName name="IQ_PRICE_OVER_LTM_EPS" hidden="1">"c1413"</definedName>
    <definedName name="IQ_PRICE_TARGET" hidden="1">"c82"</definedName>
    <definedName name="IQ_PRICE_TARGET_REUT">"c3631"</definedName>
    <definedName name="IQ_PRICEDATE" hidden="1">"c1069"</definedName>
    <definedName name="IQ_PRICEDATETIME" hidden="1">"IQ_PRICEDATETIME"</definedName>
    <definedName name="IQ_PRICING_DATE" hidden="1">"c1613"</definedName>
    <definedName name="IQ_PRIMARY_EPS_TYPE_THOM" hidden="1">"c5297"</definedName>
    <definedName name="IQ_PRIMARY_INDUSTRY" hidden="1">"c1070"</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VG_STORE_SIZE_GROSS" hidden="1">"c2066"</definedName>
    <definedName name="IQ_RETAIL_AVG_STORE_SIZE_NET" hidden="1">"c2067"</definedName>
    <definedName name="IQ_RETAIL_CLOSED_STORES" hidden="1">"c2063"</definedName>
    <definedName name="IQ_RETAIL_DEPOSITS_FDIC" hidden="1">"c6488"</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STDDEV_EST_REUT">"c3639"</definedName>
    <definedName name="IQ_REV_UTI" hidden="1">"c1125"</definedName>
    <definedName name="IQ_REVALUATION_GAINS_FDIC" hidden="1">"c6428"</definedName>
    <definedName name="IQ_REVALUATION_LOSSES_FDIC" hidden="1">"c6429"</definedName>
    <definedName name="IQ_REVENUE" hidden="1">"c1422"</definedName>
    <definedName name="IQ_REVENUE_10K">"IQ_REVENUE_10K"</definedName>
    <definedName name="IQ_REVENUE_10Q">"IQ_REVENUE_10Q"</definedName>
    <definedName name="IQ_REVENUE_10Q1">"IQ_REVENUE_10Q1"</definedName>
    <definedName name="IQ_REVENUE_EST_1">"IQ_REVENUE_EST_1"</definedName>
    <definedName name="IQ_REVENUE_EST_REUT">"c3634"</definedName>
    <definedName name="IQ_REVENUE_GROWTH_1">"IQ_REVENUE_GROWTH_1"</definedName>
    <definedName name="IQ_REVENUE_GROWTH_2">"IQ_REVENUE_GROWTH_2"</definedName>
    <definedName name="IQ_REVENUE_HIGH_EST_REUT">"c3636"</definedName>
    <definedName name="IQ_REVENUE_LOW_EST_REUT">"c3637"</definedName>
    <definedName name="IQ_REVENUE_MEDIAN_EST_REUT">"c3635"</definedName>
    <definedName name="IQ_REVENUE_NUM_EST_REUT">"c3638"</definedName>
    <definedName name="IQ_REVOLVING_SECURED_1_–4_NON_ACCRUAL_FFIEC">"c13314"</definedName>
    <definedName name="IQ_RISK_WEIGHTED_ASSETS_FDIC" hidden="1">"c6370"</definedName>
    <definedName name="IQ_ROYALTY_REVENUE_COAL">"c15932"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_ISSUE_LC_ACTION">"c2644"</definedName>
    <definedName name="IQ_SP_ISSUE_LC_DATE">"c2643"</definedName>
    <definedName name="IQ_SP_ISSUE_LC_LT">"c2645"</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DEBT_FDIC" hidden="1">"c6346"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_REUT">"c5319"</definedName>
    <definedName name="IQ_TARGET_PRICE_STDDEV_REUT">"c5320"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_REUT">"c4050"</definedName>
    <definedName name="IQ_TEV_EMPLOYEE_AVG" hidden="1">"c1225"</definedName>
    <definedName name="IQ_TEV_TOTAL_REV" hidden="1">"c1226"</definedName>
    <definedName name="IQ_TEV_TOTAL_REV_AVG" hidden="1">"c1227"</definedName>
    <definedName name="IQ_TEV_TOTAL_REV_FWD_REUT">"c4051"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ONE_RATIO" hidden="1">"c1229"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R">"c5517"</definedName>
    <definedName name="IQ_TR_BUY_ADVISORS">"c2387"</definedName>
    <definedName name="IQ_TR_SELL_ADVISORS">"c2388"</definedName>
    <definedName name="IQ_TR_SUBDEBT">"c2370"</definedName>
    <definedName name="IQ_TR_TARGET_ADVISORS">"c2386"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DIVIDED_PROFITS_FDIC" hidden="1">"c6352"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CA">"c2930"</definedName>
    <definedName name="IQ_US_GAAP_CL">"c2932"</definedName>
    <definedName name="IQ_US_GAAP_COST_REV">"c2965"</definedName>
    <definedName name="IQ_US_GAAP_DO">"c2973"</definedName>
    <definedName name="IQ_US_GAAP_EXTRA_ACC_ITEMS">"c2972"</definedName>
    <definedName name="IQ_US_GAAP_INC_TAX">"c2975"</definedName>
    <definedName name="IQ_US_GAAP_INTEREST_EXP">"c2971"</definedName>
    <definedName name="IQ_US_GAAP_LIAB_LT">"c2933"</definedName>
    <definedName name="IQ_US_GAAP_MINORITY_INTEREST_IS">"c2974"</definedName>
    <definedName name="IQ_US_GAAP_NCA">"c2931"</definedName>
    <definedName name="IQ_US_GAAP_NI_AVAIL_EXCL">"c2977"</definedName>
    <definedName name="IQ_US_GAAP_OTHER_NON_OPER">"c2969"</definedName>
    <definedName name="IQ_US_GAAP_OTHER_OPER">"c2968"</definedName>
    <definedName name="IQ_US_GAAP_RD">"c2967"</definedName>
    <definedName name="IQ_US_GAAP_SGA">"c2966"</definedName>
    <definedName name="IQ_US_GAAP_TOTAL_REV">"c2964"</definedName>
    <definedName name="IQ_US_GAAP_TOTAL_UNUSUAL">"c2970"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EEK" hidden="1">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IQB_BOOKMARK_COUNT" hidden="1">6</definedName>
    <definedName name="IQB_BOOKMARK_LOCATION_0" hidden="1">#REF!</definedName>
    <definedName name="IQB_BOOKMARK_LOCATION_1" hidden="1">#REF!</definedName>
    <definedName name="IQB_BOOKMARK_LOCATION_2" hidden="1">#REF!</definedName>
    <definedName name="IQB_BOOKMARK_LOCATION_3" hidden="1">#REF!</definedName>
    <definedName name="IQB_BOOKMARK_LOCATION_5" hidden="1">#REF!</definedName>
    <definedName name="IQRA1">"$A$2:$A$528"</definedName>
    <definedName name="IQRA10">"$A$11:$A$262"</definedName>
    <definedName name="IQRAA4">"$AA$5:$AA$18"</definedName>
    <definedName name="IQRAB4">"$AB$5:$AB$25"</definedName>
    <definedName name="IQRAC4">"$AC$5:$AC$11"</definedName>
    <definedName name="IQRAD4">"$AD$5:$AD$14"</definedName>
    <definedName name="IQRAE4">"$AE$5:$AE$14"</definedName>
    <definedName name="IQRAF37">"$AF$38:$AF$98"</definedName>
    <definedName name="IQRAF4">"$AF$5:$AF$12"</definedName>
    <definedName name="IQRAG4">"$AG$5:$AG$12"</definedName>
    <definedName name="IQRAH4">"$AH$5:$AH$6"</definedName>
    <definedName name="IQRAI4">"$AI$5:$AI$6"</definedName>
    <definedName name="IQRAJ4">"$AJ$5:$AJ$6"</definedName>
    <definedName name="IQRAK4">"$AK$5:$AK$6"</definedName>
    <definedName name="IQRAL37">"$AL$38:$AL$98"</definedName>
    <definedName name="IQRAL4">"$AL$5:$AL$10"</definedName>
    <definedName name="IQRAM4">"$AM$5:$AM$10"</definedName>
    <definedName name="IQRAN4">"$AN$5:$AN$6"</definedName>
    <definedName name="IQRAP4">"$AP$5:$AP$6"</definedName>
    <definedName name="IQRAQ4">"$AQ$5:$AQ$6"</definedName>
    <definedName name="IQRAR37">"$AR$38:$AR$98"</definedName>
    <definedName name="IQRAS4">"$AS$5:$AS$8"</definedName>
    <definedName name="IQRAT4">"$AT$5:$AT$8"</definedName>
    <definedName name="IQRAU4">"$AU$5:$AU$14"</definedName>
    <definedName name="IQRAW4">"$AW$5:$AW$13"</definedName>
    <definedName name="IQRAX37">"$AX$38:$AX$98"</definedName>
    <definedName name="IQRAX4">"$AX$5:$AX$14"</definedName>
    <definedName name="IQRAY4">"$AY$5:$AY$14"</definedName>
    <definedName name="IQRAZ4">"$AZ$5:$AZ$7"</definedName>
    <definedName name="IQRB1">"$B$2:$B$528"</definedName>
    <definedName name="IQRB101">"$B$102:$B$107"</definedName>
    <definedName name="IQRB110">"$B$111:$B$118"</definedName>
    <definedName name="IQRB121">"$B$122:$B$127"</definedName>
    <definedName name="IQRB130">"$B$131"</definedName>
    <definedName name="IQRB134">"$B$135:$B$141"</definedName>
    <definedName name="IQRB144">"$B$145:$B$146"</definedName>
    <definedName name="IQRB149">"$B$150:$B$151"</definedName>
    <definedName name="IQRB15">"$B$16:$B$17"</definedName>
    <definedName name="IQRB154">"$B$155:$B$159"</definedName>
    <definedName name="IQRB162">"$B$163"</definedName>
    <definedName name="IQRB17">"$B$18:$B$22"</definedName>
    <definedName name="IQRB173">"$B$174"</definedName>
    <definedName name="IQRB177">"$B$178"</definedName>
    <definedName name="IQRB18">"$B$19:$B$23"</definedName>
    <definedName name="IQRB181">"$B$182"</definedName>
    <definedName name="IQRB185">"$B$186:$B$192"</definedName>
    <definedName name="IQRB19">"$B$20:$B$24"</definedName>
    <definedName name="IQRB194">"$B$195"</definedName>
    <definedName name="IQRB198">"$B$199:$B$200"</definedName>
    <definedName name="IQRB20">"$B$21:$B$25"</definedName>
    <definedName name="IQRB203">"$B$204:$B$209"</definedName>
    <definedName name="IQRB21">"$B$22:$B$26"</definedName>
    <definedName name="IQRB212">"$B$213:$B$219"</definedName>
    <definedName name="IQRB22">"$B$23:$B$27"</definedName>
    <definedName name="IQRB222">"$B$223:$B$225"</definedName>
    <definedName name="IQRB228">"$B$229:$B$232"</definedName>
    <definedName name="IQRB23">"$B$24:$B$28"</definedName>
    <definedName name="IQRB235">"$B$236:$B$237"</definedName>
    <definedName name="IQRB24">"$B$25:$B$29"</definedName>
    <definedName name="IQRB240">"$B$241:$B$252"</definedName>
    <definedName name="IQRB255">"$B$256"</definedName>
    <definedName name="IQRB259">"$B$260:$B$272"</definedName>
    <definedName name="IQRB275">"$B$276:$B$283"</definedName>
    <definedName name="IQRB286">"$B$287:$B$293"</definedName>
    <definedName name="IQRB296">"$B$297"</definedName>
    <definedName name="IQRB300">"$B$301:$B$305"</definedName>
    <definedName name="IQRB308">"$B$309:$B$316"</definedName>
    <definedName name="IQRB31">"$B$32"</definedName>
    <definedName name="IQRB319">"$B$320:$B$326"</definedName>
    <definedName name="IQRB32">"$B$33:$B$37"</definedName>
    <definedName name="IQRB329">"$B$330:$B$345"</definedName>
    <definedName name="IQRB33">"$B$34:$B$38"</definedName>
    <definedName name="IQRB34">"$B$35:$B$39"</definedName>
    <definedName name="IQRB348">"$B$349:$B$358"</definedName>
    <definedName name="IQRB35">"$B$36"</definedName>
    <definedName name="IQRB361">"$B$362:$B$367"</definedName>
    <definedName name="IQRB37">"$B$38:$B$98"</definedName>
    <definedName name="IQRB39">"$B$40"</definedName>
    <definedName name="IQRB4">"$B$5:$B$12"</definedName>
    <definedName name="IQRB43">"$B$44:$B$51"</definedName>
    <definedName name="IQRB54">"$B$55:$B$58"</definedName>
    <definedName name="IQRB61">"$B$62"</definedName>
    <definedName name="IQRB65">"$B$66"</definedName>
    <definedName name="IQRB69">"$B$70:$B$77"</definedName>
    <definedName name="IQRB80">"$B$81"</definedName>
    <definedName name="IQRB84">"$B$85:$B$90"</definedName>
    <definedName name="IQRB9">"$B$10:$B$18"</definedName>
    <definedName name="IQRB93">"$B$94"</definedName>
    <definedName name="IQRB97">"$B$98"</definedName>
    <definedName name="IQRBA4">"$BA$5:$BA$7"</definedName>
    <definedName name="IQRBB4">"$BB$5:$BB$11"</definedName>
    <definedName name="IQRBC4">"$BC$5:$BC$11"</definedName>
    <definedName name="IQRBD37">"$BD$38:$BD$98"</definedName>
    <definedName name="IQRBD4">"$BD$5"</definedName>
    <definedName name="IQRBF4">"$BF$5:$BF$15"</definedName>
    <definedName name="IQRBG4">"$BG$5"</definedName>
    <definedName name="IQRBH4">"$BH$5"</definedName>
    <definedName name="IQRBJ37">"$BJ$38:$BJ$98"</definedName>
    <definedName name="IQRBJ4">"$BJ$5"</definedName>
    <definedName name="IQRBK4">"$BK$5"</definedName>
    <definedName name="IQRBM4">"$BM$5"</definedName>
    <definedName name="IQRBN4">"$BN$5"</definedName>
    <definedName name="IQRBO4">"$BO$5:$BO$13"</definedName>
    <definedName name="IQRBP37">"$BP$38:$BP$98"</definedName>
    <definedName name="IQRBP4">"$BP$5:$BP$9"</definedName>
    <definedName name="IQRBQ4">"$BQ$5:$BQ$9"</definedName>
    <definedName name="IQRBR4">"$BR$5:$BR$8"</definedName>
    <definedName name="IQRBS4">"$BS$5:$BS$8"</definedName>
    <definedName name="IQRBT4">"$BT$5"</definedName>
    <definedName name="IQRBU4">"$BU$5:$BU$12"</definedName>
    <definedName name="IQRBV4">"$BV$5:$BV$12"</definedName>
    <definedName name="IQRBW4">"$BW$5:$BW$11"</definedName>
    <definedName name="IQRBX4">"$BX$5:$BX$14"</definedName>
    <definedName name="IQRBY4">"$BY$5:$BY$14"</definedName>
    <definedName name="IQRC1">"$C$2:$C$528"</definedName>
    <definedName name="IQRC12">"$C$13"</definedName>
    <definedName name="IQRC15">"$C$16:$C$20"</definedName>
    <definedName name="IQRC24">"$C$25:$C$29"</definedName>
    <definedName name="IQRC4">"$C$5:$C$12"</definedName>
    <definedName name="IQRCA4">"$CA$5"</definedName>
    <definedName name="IQRCB4">"$CB$5"</definedName>
    <definedName name="IQRCD4">"$CD$5"</definedName>
    <definedName name="IQRCE4">"$CE$5"</definedName>
    <definedName name="IQRCG4">"$CG$5"</definedName>
    <definedName name="IQRCH4">"$CH$5"</definedName>
    <definedName name="IQRD15">"$D$16:$D$17"</definedName>
    <definedName name="IQRF4">"$F$5:$F$8"</definedName>
    <definedName name="IQRG12">"$H$12:$L$12"</definedName>
    <definedName name="IQRG4">"$G$5:$G$8"</definedName>
    <definedName name="IQRH100">"$I$100"</definedName>
    <definedName name="IQRH101">"$I$101"</definedName>
    <definedName name="IQRH102">"$I$102"</definedName>
    <definedName name="IQRH103">"$I$103"</definedName>
    <definedName name="IQRH104">"$I$104"</definedName>
    <definedName name="IQRH105">"$I$105"</definedName>
    <definedName name="IQRH106">"$I$106"</definedName>
    <definedName name="IQRH107">"$I$107"</definedName>
    <definedName name="IQRH108">"$I$108"</definedName>
    <definedName name="IQRH109">"$I$109"</definedName>
    <definedName name="IQRH110">"$I$110"</definedName>
    <definedName name="IQRH111">"$I$111"</definedName>
    <definedName name="IQRH112">"$I$112"</definedName>
    <definedName name="IQRH113">"$I$113"</definedName>
    <definedName name="IQRH114">"$I$114"</definedName>
    <definedName name="IQRH115">"$I$115"</definedName>
    <definedName name="IQRH116">"$I$116"</definedName>
    <definedName name="IQRH117">"$I$117"</definedName>
    <definedName name="IQRH118">"$I$118"</definedName>
    <definedName name="IQRH119">"$I$119"</definedName>
    <definedName name="IQRH12">"$I$12:$M$12"</definedName>
    <definedName name="IQRH120">"$I$120"</definedName>
    <definedName name="IQRH121">"$I$121"</definedName>
    <definedName name="IQRH122">"$I$122"</definedName>
    <definedName name="IQRH123">"$I$123"</definedName>
    <definedName name="IQRH124">"$I$124"</definedName>
    <definedName name="IQRH125">"$I$125"</definedName>
    <definedName name="IQRH126">"$I$126"</definedName>
    <definedName name="IQRH127">"$I$127"</definedName>
    <definedName name="IQRH128">"$I$128"</definedName>
    <definedName name="IQRH129">"$I$129"</definedName>
    <definedName name="IQRH13">"$I$13:$M$13"</definedName>
    <definedName name="IQRH130">"$I$130"</definedName>
    <definedName name="IQRH131">"$I$131"</definedName>
    <definedName name="IQRH132">"$I$132"</definedName>
    <definedName name="IQRH133">"$I$133"</definedName>
    <definedName name="IQRH134">"$I$134"</definedName>
    <definedName name="IQRH135">"$I$135"</definedName>
    <definedName name="IQRH136">"$I$136"</definedName>
    <definedName name="IQRH137">"$I$137"</definedName>
    <definedName name="IQRH138">"$I$138"</definedName>
    <definedName name="IQRH139">"$I$139"</definedName>
    <definedName name="IQRH14">"$I$14"</definedName>
    <definedName name="IQRH140">"$I$140"</definedName>
    <definedName name="IQRH141">"$I$141"</definedName>
    <definedName name="IQRH142">"$I$142"</definedName>
    <definedName name="IQRH143">"$I$143"</definedName>
    <definedName name="IQRH144">"$I$144"</definedName>
    <definedName name="IQRH145">"$I$145"</definedName>
    <definedName name="IQRH146">"$I$146"</definedName>
    <definedName name="IQRH147">"$I$147"</definedName>
    <definedName name="IQRH148">"$I$148"</definedName>
    <definedName name="IQRH149">"$I$149"</definedName>
    <definedName name="IQRH15">"$I$15:$M$15"</definedName>
    <definedName name="IQRH150">"$I$150"</definedName>
    <definedName name="IQRH151">"$I$151"</definedName>
    <definedName name="IQRH152">"$I$152"</definedName>
    <definedName name="IQRH153">"$I$153"</definedName>
    <definedName name="IQRH154">"$I$154"</definedName>
    <definedName name="IQRH155">"$I$155"</definedName>
    <definedName name="IQRH156">"$I$156"</definedName>
    <definedName name="IQRH157">"$I$157"</definedName>
    <definedName name="IQRH158">"$I$158"</definedName>
    <definedName name="IQRH159">"$I$159"</definedName>
    <definedName name="IQRH16">"$I$16:$M$16"</definedName>
    <definedName name="IQRH160">"$I$160"</definedName>
    <definedName name="IQRH161">"$I$161"</definedName>
    <definedName name="IQRH162">"$I$162"</definedName>
    <definedName name="IQRH17">"$I$17:$M$17"</definedName>
    <definedName name="IQRH18">"$I$18:$J$18"</definedName>
    <definedName name="IQRH19">"$I$19"</definedName>
    <definedName name="IQRH20">"$I$20"</definedName>
    <definedName name="IQRH21">"$I$21:$M$21"</definedName>
    <definedName name="IQRH22">"$I$22"</definedName>
    <definedName name="IQRH23">"$I$23:$J$23"</definedName>
    <definedName name="IQRH24">"$I$24"</definedName>
    <definedName name="IQRH25">"$I$25:$M$25"</definedName>
    <definedName name="IQRH26">"$I$26:$J$26"</definedName>
    <definedName name="IQRH27">"$I$27:$J$27"</definedName>
    <definedName name="IQRH28">"$I$28:$J$28"</definedName>
    <definedName name="IQRH29">"$I$29"</definedName>
    <definedName name="IQRH30">"$I$30:$K$30"</definedName>
    <definedName name="IQRH31">"$I$31"</definedName>
    <definedName name="IQRH32">"$I$32:$K$32"</definedName>
    <definedName name="IQRH33">"$I$33:$J$33"</definedName>
    <definedName name="IQRH34">"$I$34:$J$34"</definedName>
    <definedName name="IQRH35">"$I$35"</definedName>
    <definedName name="IQRH36">"$I$36:$J$36"</definedName>
    <definedName name="IQRH37">"$I$37"</definedName>
    <definedName name="IQRH38">"$I$38:$J$38"</definedName>
    <definedName name="IQRH39">"$I$39"</definedName>
    <definedName name="IQRH40">"$I$40:$M$40"</definedName>
    <definedName name="IQRH41">"$I$41:$M$41"</definedName>
    <definedName name="IQRH42">"$I$42"</definedName>
    <definedName name="IQRH43">"$I$43:$J$43"</definedName>
    <definedName name="IQRH44">"$I$44"</definedName>
    <definedName name="IQRH45">"$I$45:$J$45"</definedName>
    <definedName name="IQRH46">"$I$46"</definedName>
    <definedName name="IQRH47">"$I$47:$J$47"</definedName>
    <definedName name="IQRH48">"$I$48"</definedName>
    <definedName name="IQRH49">"$I$49:$L$49"</definedName>
    <definedName name="IQRH50">"$I$50:$K$50"</definedName>
    <definedName name="IQRH51">"$I$51:$L$51"</definedName>
    <definedName name="IQRH52">"$I$52"</definedName>
    <definedName name="IQRH53">"$I$53"</definedName>
    <definedName name="IQRH54">"$I$54:$M$54"</definedName>
    <definedName name="IQRH55">"$I$55"</definedName>
    <definedName name="IQRH56">"$I$56"</definedName>
    <definedName name="IQRH57">"$I$57:$M$57"</definedName>
    <definedName name="IQRH58">"$I$58:$K$58"</definedName>
    <definedName name="IQRH59">"$I$59:$M$59"</definedName>
    <definedName name="IQRH60">"$I$60:$M$60"</definedName>
    <definedName name="IQRH61">"$I$61:$J$61"</definedName>
    <definedName name="IQRH62">"$I$62"</definedName>
    <definedName name="IQRH63">"$I$63:$M$63"</definedName>
    <definedName name="IQRH64">"$I$64:$M$64"</definedName>
    <definedName name="IQRH65">"$I$65:$J$65"</definedName>
    <definedName name="IQRH66">"$I$66:$J$66"</definedName>
    <definedName name="IQRH67">"$I$67:$J$67"</definedName>
    <definedName name="IQRH68">"$I$68:$K$68"</definedName>
    <definedName name="IQRH69">"$I$69"</definedName>
    <definedName name="IQRH70">"$I$70"</definedName>
    <definedName name="IQRH71">"$I$71"</definedName>
    <definedName name="IQRH72">"$I$72:$M$72"</definedName>
    <definedName name="IQRH73">"$I$73:$M$73"</definedName>
    <definedName name="IQRH74">"$I$74"</definedName>
    <definedName name="IQRH75">"$I$75:$K$75"</definedName>
    <definedName name="IQRH76">"$I$76"</definedName>
    <definedName name="IQRH77">"$I$77"</definedName>
    <definedName name="IQRH78">"$I$78"</definedName>
    <definedName name="IQRH79">"$I$79"</definedName>
    <definedName name="IQRH80">"$I$80"</definedName>
    <definedName name="IQRH81">"$I$81"</definedName>
    <definedName name="IQRH82">"$I$82"</definedName>
    <definedName name="IQRH83">"$I$83"</definedName>
    <definedName name="IQRH84">"$I$84"</definedName>
    <definedName name="IQRH85">"$I$85"</definedName>
    <definedName name="IQRH86">"$I$86"</definedName>
    <definedName name="IQRH87">"$I$87"</definedName>
    <definedName name="IQRH88">"$I$88"</definedName>
    <definedName name="IQRH89">"$I$89"</definedName>
    <definedName name="IQRH90">"$I$90"</definedName>
    <definedName name="IQRH91">"$I$91"</definedName>
    <definedName name="IQRH92">"$I$92"</definedName>
    <definedName name="IQRH93">"$I$93"</definedName>
    <definedName name="IQRH94">"$I$94"</definedName>
    <definedName name="IQRH95">"$I$95"</definedName>
    <definedName name="IQRH96">"$I$96"</definedName>
    <definedName name="IQRH97">"$I$97"</definedName>
    <definedName name="IQRH98">"$I$98"</definedName>
    <definedName name="IQRH99">"$I$99"</definedName>
    <definedName name="IQRJ100">"$J$101:$J$121"</definedName>
    <definedName name="IQRJ101">"$J$102:$J$122"</definedName>
    <definedName name="IQRJ102">"$J$103:$J$123"</definedName>
    <definedName name="IQRJ103">"$J$104:$J$124"</definedName>
    <definedName name="IQRJ106">"$J$107:$J$127"</definedName>
    <definedName name="IQRJ108">"$J$109:$J$116"</definedName>
    <definedName name="IQRJ109">"$J$110"</definedName>
    <definedName name="IQRJ11">"$J$12:$J$13"</definedName>
    <definedName name="IQRJ112">"$J$113"</definedName>
    <definedName name="IQRJ114">"$J$115"</definedName>
    <definedName name="IQRJ115">"$J$116:$J$117"</definedName>
    <definedName name="IQRJ117">"$J$118"</definedName>
    <definedName name="IQRJ119">"$J$120:$J$138"</definedName>
    <definedName name="IQRJ12">"$J$13:$J$20"</definedName>
    <definedName name="IQRJ120">"$J$121:$J$139"</definedName>
    <definedName name="IQRJ124">"$J$125:$J$127"</definedName>
    <definedName name="IQRJ125">"$J$126:$J$133"</definedName>
    <definedName name="IQRJ126">"$J$127:$J$130"</definedName>
    <definedName name="IQRJ127">"$J$128:$J$131"</definedName>
    <definedName name="IQRJ129">"$J$130"</definedName>
    <definedName name="IQRJ130">"$J$131:$J$138"</definedName>
    <definedName name="IQRJ132">"$J$133:$J$140"</definedName>
    <definedName name="IQRJ133">"$J$134"</definedName>
    <definedName name="IQRJ134">"$J$135:$J$144"</definedName>
    <definedName name="IQRJ137">"$J$138:$J$141"</definedName>
    <definedName name="IQRJ139">"$J$140:$J$147"</definedName>
    <definedName name="IQRJ140">"$J$141:$J$144"</definedName>
    <definedName name="IQRJ142">"$J$143:$J$146"</definedName>
    <definedName name="IQRJ143">"$J$144:$J$147"</definedName>
    <definedName name="IQRJ144">"$J$145:$J$148"</definedName>
    <definedName name="IQRJ145">"$J$146:$J$147"</definedName>
    <definedName name="IQRJ146">"$J$147:$J$148"</definedName>
    <definedName name="IQRJ148">"$J$149"</definedName>
    <definedName name="IQRJ149">"$J$150"</definedName>
    <definedName name="IQRJ150">"$J$151"</definedName>
    <definedName name="IQRJ151">"$J$152"</definedName>
    <definedName name="IQRJ152">"$J$153"</definedName>
    <definedName name="IQRJ153">"$J$154"</definedName>
    <definedName name="IQRJ155">"$J$156"</definedName>
    <definedName name="IQRJ156">"$J$157"</definedName>
    <definedName name="IQRJ157">"$J$158:$J$161"</definedName>
    <definedName name="IQRJ158">"$J$159"</definedName>
    <definedName name="IQRJ159">"$J$160"</definedName>
    <definedName name="IQRJ16">"$J$17:$J$36"</definedName>
    <definedName name="IQRJ160">"$J$161"</definedName>
    <definedName name="IQRJ161">"$J$162"</definedName>
    <definedName name="IQRJ162">"$J$163"</definedName>
    <definedName name="IQRJ163">"$J$164:$J$165"</definedName>
    <definedName name="IQRJ164">"$J$165:$J$166"</definedName>
    <definedName name="IQRJ165">"$J$166:$J$167"</definedName>
    <definedName name="IQRJ167">"$J$168:$J$169"</definedName>
    <definedName name="IQRJ168">"$J$169"</definedName>
    <definedName name="IQRJ169">"$J$170:$J$181"</definedName>
    <definedName name="IQRJ170">"$J$171:$J$182"</definedName>
    <definedName name="IQRJ171">"$J$172:$J$183"</definedName>
    <definedName name="IQRJ172">"$J$173:$J$184"</definedName>
    <definedName name="IQRJ173">"$J$174"</definedName>
    <definedName name="IQRJ176">"$J$177"</definedName>
    <definedName name="IQRJ179">"$J$180:$J$181"</definedName>
    <definedName name="IQRJ181">"$J$182:$J$185"</definedName>
    <definedName name="IQRJ183">"$J$184:$J$201"</definedName>
    <definedName name="IQRJ184">"$J$185:$J$200"</definedName>
    <definedName name="IQRJ185">"$J$186:$J$189"</definedName>
    <definedName name="IQRJ186">"$J$187:$J$190"</definedName>
    <definedName name="IQRJ187">"$J$188:$J$191"</definedName>
    <definedName name="IQRJ191">"$J$192:$J$207"</definedName>
    <definedName name="IQRJ192">"$J$193:$J$208"</definedName>
    <definedName name="IQRJ200">"$J$201:$J$204"</definedName>
    <definedName name="IQRJ206">"$J$207:$J$222"</definedName>
    <definedName name="IQRJ207">"$J$208:$J$219"</definedName>
    <definedName name="IQRJ208">"$J$209:$J$220"</definedName>
    <definedName name="IQRJ209">"$J$210:$J$221"</definedName>
    <definedName name="IQRJ211">"$J$212"</definedName>
    <definedName name="IQRJ214">"$J$215:$J$226"</definedName>
    <definedName name="IQRJ215">"$J$216:$J$227"</definedName>
    <definedName name="IQRJ218">"$J$219:$J$236"</definedName>
    <definedName name="IQRJ219">"$J$220:$J$235"</definedName>
    <definedName name="IQRJ228">"$J$229:$J$244"</definedName>
    <definedName name="IQRJ229">"$J$230:$J$241"</definedName>
    <definedName name="IQRJ243">"$J$244:$J$259"</definedName>
    <definedName name="IQRJ25">"$J$26:$J$33"</definedName>
    <definedName name="IQRJ35">"$J$36"</definedName>
    <definedName name="IQRJ38">"$J$39:$J$58"</definedName>
    <definedName name="IQRJ39">"$J$40:$J$86"</definedName>
    <definedName name="IQRJ4">"$J$5:$J$13"</definedName>
    <definedName name="IQRJ40">"$J$41:$J$87"</definedName>
    <definedName name="IQRJ41">"$J$42:$J$61"</definedName>
    <definedName name="IQRJ51">"$J$52:$J$71"</definedName>
    <definedName name="IQRJ64">"$J$65"</definedName>
    <definedName name="IQRJ67">"$J$68:$J$69"</definedName>
    <definedName name="IQRJ70">"$J$71"</definedName>
    <definedName name="IQRJ71">"$J$72:$J$73"</definedName>
    <definedName name="IQRJ72">"$J$73:$J$82"</definedName>
    <definedName name="IQRJ73">"$J$74:$J$83"</definedName>
    <definedName name="IQRJ74">"$J$75:$J$76"</definedName>
    <definedName name="IQRJ79">"$J$80"</definedName>
    <definedName name="IQRJ8">"$J$9"</definedName>
    <definedName name="IQRJ80">"$J$81:$J$82"</definedName>
    <definedName name="IQRJ82">"$J$83"</definedName>
    <definedName name="IQRJ84">"$J$85:$J$86"</definedName>
    <definedName name="IQRJ85">"$J$86:$J$106"</definedName>
    <definedName name="IQRJ86">"$J$87:$J$107"</definedName>
    <definedName name="IQRJ88">"$J$89:$J$90"</definedName>
    <definedName name="IQRJ89">"$J$90:$J$99"</definedName>
    <definedName name="IQRJ9">"$J$10:$J$11"</definedName>
    <definedName name="IQRJ90">"$J$91:$J$100"</definedName>
    <definedName name="IQRJ91">"$J$92:$J$101"</definedName>
    <definedName name="IQRJ94">"$J$95:$J$104"</definedName>
    <definedName name="IQRK4">"$K$5:$K$13"</definedName>
    <definedName name="IQRM12">"$N$12:$R$12"</definedName>
    <definedName name="IQRM4">"$M$5:$M$9"</definedName>
    <definedName name="IQRN100">"$O$100"</definedName>
    <definedName name="IQRN101">"$O$101"</definedName>
    <definedName name="IQRN102">"$O$102"</definedName>
    <definedName name="IQRN103">"$O$103"</definedName>
    <definedName name="IQRN104">"$O$104"</definedName>
    <definedName name="IQRN105">"$O$105"</definedName>
    <definedName name="IQRN106">"$O$106"</definedName>
    <definedName name="IQRN107">"$O$107"</definedName>
    <definedName name="IQRN108">"$O$108"</definedName>
    <definedName name="IQRN109">"$O$109"</definedName>
    <definedName name="IQRN110">"$O$110"</definedName>
    <definedName name="IQRN111">"$O$111"</definedName>
    <definedName name="IQRN112">"$O$112"</definedName>
    <definedName name="IQRN113">"$O$113"</definedName>
    <definedName name="IQRN114">"$O$114"</definedName>
    <definedName name="IQRN115">"$O$115"</definedName>
    <definedName name="IQRN116">"$O$116"</definedName>
    <definedName name="IQRN117">"$O$117"</definedName>
    <definedName name="IQRN118">"$O$118"</definedName>
    <definedName name="IQRN119">"$O$119"</definedName>
    <definedName name="IQRN12">"$O$12:$S$12"</definedName>
    <definedName name="IQRN120">"$O$120"</definedName>
    <definedName name="IQRN121">"$O$121"</definedName>
    <definedName name="IQRN122">"$O$122"</definedName>
    <definedName name="IQRN123">"$O$123"</definedName>
    <definedName name="IQRN124">"$O$124"</definedName>
    <definedName name="IQRN125">"$O$125"</definedName>
    <definedName name="IQRN126">"$O$126"</definedName>
    <definedName name="IQRN127">"$O$127"</definedName>
    <definedName name="IQRN128">"$O$128"</definedName>
    <definedName name="IQRN129">"$O$129"</definedName>
    <definedName name="IQRN13">"$O$13:$S$13"</definedName>
    <definedName name="IQRN130">"$O$130"</definedName>
    <definedName name="IQRN131">"$O$131"</definedName>
    <definedName name="IQRN132">"$O$132"</definedName>
    <definedName name="IQRN133">"$O$133"</definedName>
    <definedName name="IQRN134">"$O$134"</definedName>
    <definedName name="IQRN135">"$O$135"</definedName>
    <definedName name="IQRN136">"$O$136"</definedName>
    <definedName name="IQRN137">"$O$137"</definedName>
    <definedName name="IQRN138">"$O$138"</definedName>
    <definedName name="IQRN139">"$O$139"</definedName>
    <definedName name="IQRN14">"$O$14"</definedName>
    <definedName name="IQRN140">"$O$140"</definedName>
    <definedName name="IQRN141">"$O$141"</definedName>
    <definedName name="IQRN142">"$O$142"</definedName>
    <definedName name="IQRN143">"$O$143"</definedName>
    <definedName name="IQRN144">"$O$144"</definedName>
    <definedName name="IQRN145">"$O$145"</definedName>
    <definedName name="IQRN146">"$O$146"</definedName>
    <definedName name="IQRN147">"$O$147"</definedName>
    <definedName name="IQRN148">"$O$148"</definedName>
    <definedName name="IQRN149">"$O$149"</definedName>
    <definedName name="IQRN15">"$O$15:$S$15"</definedName>
    <definedName name="IQRN150">"$O$150"</definedName>
    <definedName name="IQRN151">"$O$151"</definedName>
    <definedName name="IQRN152">"$O$152"</definedName>
    <definedName name="IQRN153">"$O$153"</definedName>
    <definedName name="IQRN154">"$O$154"</definedName>
    <definedName name="IQRN155">"$O$155"</definedName>
    <definedName name="IQRN156">"$O$156"</definedName>
    <definedName name="IQRN157">"$O$157"</definedName>
    <definedName name="IQRN158">"$O$158"</definedName>
    <definedName name="IQRN159">"$O$159"</definedName>
    <definedName name="IQRN16">"$O$16:$S$16"</definedName>
    <definedName name="IQRN160">"$O$160"</definedName>
    <definedName name="IQRN161">"$O$161"</definedName>
    <definedName name="IQRN162">"$O$162"</definedName>
    <definedName name="IQRN17">"$O$17:$S$17"</definedName>
    <definedName name="IQRN18">"$O$18:$P$18"</definedName>
    <definedName name="IQRN19">"$O$19"</definedName>
    <definedName name="IQRN20">"$O$20"</definedName>
    <definedName name="IQRN21">"$O$21:$S$21"</definedName>
    <definedName name="IQRN22">"$O$22"</definedName>
    <definedName name="IQRN23">"$O$23:$P$23"</definedName>
    <definedName name="IQRN24">"$O$24"</definedName>
    <definedName name="IQRN25">"$O$25:$S$25"</definedName>
    <definedName name="IQRN26">"$O$26:$P$26"</definedName>
    <definedName name="IQRN27">"$O$27:$P$27"</definedName>
    <definedName name="IQRN28">"$O$28:$P$28"</definedName>
    <definedName name="IQRN29">"$O$29"</definedName>
    <definedName name="IQRN30">"$O$30:$Q$30"</definedName>
    <definedName name="IQRN31">"$O$31"</definedName>
    <definedName name="IQRN32">"$O$32:$Q$32"</definedName>
    <definedName name="IQRN33">"$O$33:$P$33"</definedName>
    <definedName name="IQRN34">"$O$34:$P$34"</definedName>
    <definedName name="IQRN35">"$O$35"</definedName>
    <definedName name="IQRN36">"$O$36:$P$36"</definedName>
    <definedName name="IQRN37">"$O$37"</definedName>
    <definedName name="IQRN38">"$O$38:$P$38"</definedName>
    <definedName name="IQRN39">"$O$39"</definedName>
    <definedName name="IQRN4">"$N$5:$N$11"</definedName>
    <definedName name="IQRN40">"$O$40:$S$40"</definedName>
    <definedName name="IQRN41">"$O$41:$S$41"</definedName>
    <definedName name="IQRN42">"$O$42"</definedName>
    <definedName name="IQRN43">"$O$43:$P$43"</definedName>
    <definedName name="IQRN44">"$O$44"</definedName>
    <definedName name="IQRN45">"$O$45:$P$45"</definedName>
    <definedName name="IQRN46">"$O$46"</definedName>
    <definedName name="IQRN47">"$O$47:$P$47"</definedName>
    <definedName name="IQRN48">"$O$48"</definedName>
    <definedName name="IQRN49">"$O$49:$R$49"</definedName>
    <definedName name="IQRN50">"$O$50:$Q$50"</definedName>
    <definedName name="IQRN51">"$O$51:$R$51"</definedName>
    <definedName name="IQRN52">"$O$52"</definedName>
    <definedName name="IQRN53">"$O$53"</definedName>
    <definedName name="IQRN54">"$O$54:$S$54"</definedName>
    <definedName name="IQRN55">"$O$55"</definedName>
    <definedName name="IQRN56">"$O$56"</definedName>
    <definedName name="IQRN57">"$O$57:$S$57"</definedName>
    <definedName name="IQRN58">"$O$58:$Q$58"</definedName>
    <definedName name="IQRN59">"$O$59:$S$59"</definedName>
    <definedName name="IQRN60">"$O$60:$S$60"</definedName>
    <definedName name="IQRN61">"$O$61:$P$61"</definedName>
    <definedName name="IQRN62">"$O$62"</definedName>
    <definedName name="IQRN63">"$O$63:$S$63"</definedName>
    <definedName name="IQRN64">"$O$64:$S$64"</definedName>
    <definedName name="IQRN65">"$O$65:$P$65"</definedName>
    <definedName name="IQRN66">"$O$66:$P$66"</definedName>
    <definedName name="IQRN67">"$O$67:$P$67"</definedName>
    <definedName name="IQRN68">"$O$68:$Q$68"</definedName>
    <definedName name="IQRN69">"$O$69"</definedName>
    <definedName name="IQRN70">"$O$70"</definedName>
    <definedName name="IQRN71">"$O$71"</definedName>
    <definedName name="IQRN72">"$O$72:$S$72"</definedName>
    <definedName name="IQRN73">"$O$73:$S$73"</definedName>
    <definedName name="IQRN74">"$O$74"</definedName>
    <definedName name="IQRN75">"$O$75:$Q$75"</definedName>
    <definedName name="IQRN76">"$O$76"</definedName>
    <definedName name="IQRN77">"$O$77"</definedName>
    <definedName name="IQRN78">"$O$78"</definedName>
    <definedName name="IQRN79">"$O$79"</definedName>
    <definedName name="IQRN80">"$O$80"</definedName>
    <definedName name="IQRN81">"$O$81"</definedName>
    <definedName name="IQRN82">"$O$82"</definedName>
    <definedName name="IQRN83">"$O$83"</definedName>
    <definedName name="IQRN84">"$O$84"</definedName>
    <definedName name="IQRN85">"$O$85"</definedName>
    <definedName name="IQRN86">"$O$86"</definedName>
    <definedName name="IQRN87">"$O$87"</definedName>
    <definedName name="IQRN88">"$O$88"</definedName>
    <definedName name="IQRN89">"$O$89"</definedName>
    <definedName name="IQRN90">"$O$90"</definedName>
    <definedName name="IQRN91">"$O$91"</definedName>
    <definedName name="IQRN92">"$O$92"</definedName>
    <definedName name="IQRN93">"$O$93"</definedName>
    <definedName name="IQRN94">"$O$94"</definedName>
    <definedName name="IQRN95">"$O$95"</definedName>
    <definedName name="IQRN96">"$O$96"</definedName>
    <definedName name="IQRN97">"$O$97"</definedName>
    <definedName name="IQRN98">"$O$98"</definedName>
    <definedName name="IQRN99">"$O$99"</definedName>
    <definedName name="IQRO4">"$O$5:$O$11"</definedName>
    <definedName name="IQRP4">"$P$5:$P$7"</definedName>
    <definedName name="IQRQ4">"$Q$5:$Q$7"</definedName>
    <definedName name="IQRR4">"$R$5:$R$16"</definedName>
    <definedName name="IQRS4">"$S$5:$S$16"</definedName>
    <definedName name="IQRSheet105AZ14" hidden="1">#REF!</definedName>
    <definedName name="IQRSheet111AZ14" hidden="1">#REF!</definedName>
    <definedName name="IQRSheet113AZ14" hidden="1">#REF!</definedName>
    <definedName name="IQRSheet135AZ14" hidden="1">#REF!</definedName>
    <definedName name="IQRSheet1A7">#REF!</definedName>
    <definedName name="IQRSheet87AZ14" hidden="1">#REF!</definedName>
    <definedName name="IQRT37">"$T$38:$T$98"</definedName>
    <definedName name="IQRT4">"$T$5:$T$16"</definedName>
    <definedName name="IQRU4">"$U$5:$U$16"</definedName>
    <definedName name="IQRV4">"$V$5:$V$13"</definedName>
    <definedName name="IQRVolCalibration118AZ14" hidden="1">#REF!</definedName>
    <definedName name="IQRVolCalibration1925AZ14" hidden="1">#REF!</definedName>
    <definedName name="IQRVolCalibrationAZ14" hidden="1">#REF!</definedName>
    <definedName name="IQRVolCalibrationDateAZ14" hidden="1">#REF!</definedName>
    <definedName name="IQRVolValuationDate118AZ14" hidden="1">#REF!</definedName>
    <definedName name="IQRVolValuationDate1925AZ14" hidden="1">#REF!</definedName>
    <definedName name="IQRVolValuationDateAZ14" hidden="1">#REF!</definedName>
    <definedName name="IQRVolValuationDateFXCalcAZ14" hidden="1">#REF!</definedName>
    <definedName name="IQRW4">"$W$5:$W$13"</definedName>
    <definedName name="IQRX4">"$X$5:$X$16"</definedName>
    <definedName name="IQRY24">"$Y$25:$Y$27"</definedName>
    <definedName name="IQRY4">"$Y$5:$Y$16"</definedName>
    <definedName name="IQRZ24">"$Z$25:$Z$27"</definedName>
    <definedName name="IQRZ37">"$Z$38:$Z$98"</definedName>
    <definedName name="IQRZ4">"$Z$5:$Z$18"</definedName>
    <definedName name="iQShowHideColumns" hidden="1">"iQShowAnnual"</definedName>
    <definedName name="Irbe">{#N/A,#N/A,FALSE,"Pharm";#N/A,#N/A,FALSE,"WWCM"}</definedName>
    <definedName name="IsColHidden">FALSE</definedName>
    <definedName name="IsLTMColHidden">FALSE</definedName>
    <definedName name="iti">#REF!</definedName>
    <definedName name="j">{#N/A,#N/A,FALSE,"REPORT"}</definedName>
    <definedName name="Jan">{"Curves","Chart 3","Curves Graphique 3"}</definedName>
    <definedName name="jd" hidden="1">{#N/A,#N/A,FALSE,"LoanAssumptions"}</definedName>
    <definedName name="jen">{TRUE,TRUE,-1.25,-15.5,456.75,279.75,FALSE,FALSE,TRUE,TRUE,0,1,8,1,4,6,3,4,TRUE,TRUE,3,TRUE,1,TRUE,100,"Swvu.turnover.","ACwvu.turnover.",1,FALSE,FALSE,0.511811023622047,0.511811023622047,0.511811023622047,0.511811023622047,1,"","",FALSE,FALSE,FALSE,FALSE,1,#N/A,1,1,#DIV/0!,FALSE,"Rwvu.turnover.",#N/A,FALSE,FALSE}</definedName>
    <definedName name="JInesh">{"Schedule_IA",#N/A,FALSE,"I-A"}</definedName>
    <definedName name="jinesh1">{"Schedule_1B",#N/A,FALSE,"I-B"}</definedName>
    <definedName name="jj">{#N/A,#N/A,FALSE,"Bestfoods";#N/A,#N/A,FALSE,"Campbell";#N/A,#N/A,FALSE,"ConAgra";#N/A,#N/A,FALSE,"Healthy Choice";#N/A,#N/A,FALSE,"Int'l Home Foods";#N/A,#N/A,FALSE,"General Mills";#N/A,#N/A,FALSE,"Heinz";#N/A,#N/A,FALSE,"Kellogg";#N/A,#N/A,FALSE,"Kraft";#N/A,#N/A,FALSE,"Nabisco";#N/A,#N/A,FALSE,"Quaker Oats";#N/A,#N/A,FALSE,"Sara Lee";#N/A,#N/A,FALSE,"print summary"}</definedName>
    <definedName name="jjj">{#N/A,#N/A,FALSE,"REPORT"}</definedName>
    <definedName name="jjjj">{#N/A,#N/A,FALSE,"Staffnos &amp; cost"}</definedName>
    <definedName name="jjjjjjjjj">{"'I-1 and I-2'!$A$1:$G$190"}</definedName>
    <definedName name="jk">{#N/A,#N/A,FALSE,"FY97";#N/A,#N/A,FALSE,"FY98";#N/A,#N/A,FALSE,"FY99";#N/A,#N/A,FALSE,"FY00";#N/A,#N/A,FALSE,"FY01"}</definedName>
    <definedName name="jkgyjhfjfh" hidden="1">{"Page1",#N/A,FALSE,"Segment Overview";"Page2",#N/A,FALSE,"Segment Overview";"Page3",#N/A,FALSE,"Summary";"Page4",#N/A,FALSE,"Summary";"Page5",#N/A,FALSE,"US Pubs Rev";"Page6",#N/A,FALSE,"US Pubs Rev";"Page7",#N/A,FALSE,"US Pubs EBITDA";"Page8",#N/A,FALSE,"US Pubs EBITDA"}</definedName>
    <definedName name="jkl">{#N/A,#N/A,FALSE,"REPORT"}</definedName>
    <definedName name="jl">{#N/A,#N/A,TRUE,"A-site";#N/A,#N/A,TRUE,"B-Buildings";#N/A,#N/A,TRUE,"c-out-of-fence";#N/A,#N/A,TRUE,"d-proj.infr.";#N/A,#N/A,TRUE,"e- land"}</definedName>
    <definedName name="Job_Type">#REF!</definedName>
    <definedName name="Job_Type_CRef">#REF!</definedName>
    <definedName name="Job_Type_RRef">#REF!</definedName>
    <definedName name="Job_Type_Unique">#REF!</definedName>
    <definedName name="Job_Type_Unique_CRef">#REF!</definedName>
    <definedName name="Job_Type_Unique_RRef">#REF!</definedName>
    <definedName name="John">{#N/A,#N/A,TRUE,"CONTENTS";#N/A,#N/A,TRUE,"M2";#N/A,#N/A,TRUE,"M2a";#N/A,#N/A,TRUE,"M2b";#N/A,#N/A,TRUE,"M3";#N/A,#N/A,TRUE,"M3a";#N/A,#N/A,TRUE,"M4-P";#N/A,#N/A,TRUE,"M5";#N/A,#N/A,TRUE,"M6";#N/A,#N/A,TRUE,"M7";#N/A,#N/A,TRUE,"M8";#N/A,#N/A,TRUE,"M9";#N/A,#N/A,TRUE,"M10";#N/A,#N/A,TRUE,"M11";#N/A,#N/A,TRUE,"M13";#N/A,#N/A,TRUE,"M14";#N/A,#N/A,TRUE,"M15";#N/A,#N/A,TRUE,"K1"}</definedName>
    <definedName name="jsjk">#REF!</definedName>
    <definedName name="jsrjkk">[27]Occ!#REF!</definedName>
    <definedName name="jty">#REF!</definedName>
    <definedName name="judos" hidden="1">{"Page1",#N/A,FALSE,"Segment Overview";"Page2",#N/A,FALSE,"Segment Overview";"Page3",#N/A,FALSE,"Summary";"Page4",#N/A,FALSE,"Summary";"Page5",#N/A,FALSE,"US Pubs Rev";"Page6",#N/A,FALSE,"US Pubs Rev";"Page7",#N/A,FALSE,"US Pubs EBITDA";"Page8",#N/A,FALSE,"US Pubs EBITDA"}</definedName>
    <definedName name="judy">{#N/A,#N/A,FALSE,"Pharm";#N/A,#N/A,FALSE,"WWCM"}</definedName>
    <definedName name="judy1">{#N/A,#N/A,FALSE,"Pharm";#N/A,#N/A,FALSE,"WWCM"}</definedName>
    <definedName name="july">'[30]1999-00'!#REF!</definedName>
    <definedName name="jwr">#REF!</definedName>
    <definedName name="jyss" hidden="1">{"Page1",#N/A,FALSE,"Segment Overview";"Page2",#N/A,FALSE,"Segment Overview";"Page3",#N/A,FALSE,"Summary";"Page4",#N/A,FALSE,"Summary";"Page5",#N/A,FALSE,"US Pubs Rev";"Page6",#N/A,FALSE,"US Pubs Rev";"Page7",#N/A,FALSE,"US Pubs EBITDA";"Page8",#N/A,FALSE,"US Pubs EBITDA"}</definedName>
    <definedName name="jytut6" hidden="1">{"Page1",#N/A,FALSE,"Segment Overview";"Page2",#N/A,FALSE,"Segment Overview";"Page3",#N/A,FALSE,"Summary";"Page4",#N/A,FALSE,"Summary";"Page5",#N/A,FALSE,"US Pubs Rev";"Page6",#N/A,FALSE,"US Pubs Rev";"Page7",#N/A,FALSE,"US Pubs EBITDA";"Page8",#N/A,FALSE,"US Pubs EBITDA"}</definedName>
    <definedName name="k" hidden="1">{#N/A,#N/A,FALSE,"BS";#N/A,#N/A,FALSE,"PL";#N/A,#N/A,FALSE,"Schdl 1,2,3";#N/A,#N/A,FALSE,"Schd 4";#N/A,#N/A,FALSE,"Sch -5,6 (2)";#N/A,#N/A,FALSE,"Schd 7,8,9,10";#N/A,#N/A,FALSE,"Schd 11";#N/A,#N/A,FALSE,"schd 12, 13,14"}</definedName>
    <definedName name="K2_WBEVMODE">0</definedName>
    <definedName name="kamal">{#N/A,#N/A,FALSE,"Staffnos &amp; cost"}</definedName>
    <definedName name="Kanako">#REF!</definedName>
    <definedName name="Kanako1">#REF!</definedName>
    <definedName name="kay">'[48]Cash Flow Working'!#REF!</definedName>
    <definedName name="kcuf">{"SUMMARY",#N/A,TRUE,"SUMMARY";"compare",#N/A,TRUE,"Vs. Bus Plan";"ratios",#N/A,TRUE,"Ratios";"REVENUE",#N/A,TRUE,"Revenue";"expenses",#N/A,TRUE,"1996 budget";"payroll",#N/A,TRUE,"Payroll"}</definedName>
    <definedName name="ketyk">#REF!</definedName>
    <definedName name="KeyAssump">{#N/A,#N/A,FALSE,"Input";#N/A,#N/A,FALSE,"Assumptions";#N/A,#N/A,FALSE,"Valuation";#N/A,#N/A,FALSE,"Financial Alternatives";#N/A,#N/A,FALSE,"Cash Flow"}</definedName>
    <definedName name="kf">{"Curves","Chart 4","Curves Graphique 4"}</definedName>
    <definedName name="khdftr" hidden="1">{"Page1",#N/A,FALSE,"Segment Overview";"Page2",#N/A,FALSE,"Segment Overview";"Page3",#N/A,FALSE,"Summary";"Page4",#N/A,FALSE,"Summary";"Page5",#N/A,FALSE,"US Pubs Rev";"Page6",#N/A,FALSE,"US Pubs Rev";"Page7",#N/A,FALSE,"US Pubs EBITDA";"Page8",#N/A,FALSE,"US Pubs EBITDA"}</definedName>
    <definedName name="ki">{#N/A,#N/A,TRUE,"Cover sheet";#N/A,#N/A,TRUE,"Summary";#N/A,#N/A,TRUE,"Key Assumptions";#N/A,#N/A,TRUE,"Profit &amp; Loss";#N/A,#N/A,TRUE,"Balance Sheet";#N/A,#N/A,TRUE,"Cashflow";#N/A,#N/A,TRUE,"IRR";#N/A,#N/A,TRUE,"Ratios";#N/A,#N/A,TRUE,"Debt analysis"}</definedName>
    <definedName name="kjdsakdjsakldjkals">{"","","'Curves'!$C$55","'Curves'!$D$55","","","","","",""}</definedName>
    <definedName name="ｋｋ" hidden="1">#REF!</definedName>
    <definedName name="ｋｋｋ" hidden="1">#REF!</definedName>
    <definedName name="kkkk">#REF!</definedName>
    <definedName name="kl">{#N/A,#N/A,FALSE,"FY97";#N/A,#N/A,FALSE,"FY98";#N/A,#N/A,FALSE,"FY99";#N/A,#N/A,FALSE,"FY00";#N/A,#N/A,FALSE,"FY01"}</definedName>
    <definedName name="KL_C">#REF!</definedName>
    <definedName name="kmh">{#N/A,#N/A,TRUE,"Cover sheet";#N/A,#N/A,TRUE,"DCF analysis";#N/A,#N/A,TRUE,"WACC calculation"}</definedName>
    <definedName name="kn">{#N/A,#N/A,TRUE,"A-site";#N/A,#N/A,TRUE,"B-Buildings";#N/A,#N/A,TRUE,"c-out-of-fence";#N/A,#N/A,TRUE,"d-proj.infr.";#N/A,#N/A,TRUE,"e- land"}</definedName>
    <definedName name="kpmg">{#N/A,#N/A,TRUE,"10 Yr Hold";#N/A,#N/A,TRUE,"7 Yr Hold";#N/A,#N/A,TRUE,"5 Yr Hold";#N/A,#N/A,TRUE,"3 Yr Hold"}</definedName>
    <definedName name="kpmg10">[13]synthgraph!#REF!</definedName>
    <definedName name="kpmg11">[13]synthgraph!#REF!</definedName>
    <definedName name="kpmg12">#REF!</definedName>
    <definedName name="kpmg13">[13]synthgraph!#REF!</definedName>
    <definedName name="kpmg16">[19]TargIS!#REF!</definedName>
    <definedName name="kpmg6">[13]synthgraph!#REF!</definedName>
    <definedName name="kpmg7">#REF!</definedName>
    <definedName name="kpmg9">#REF!</definedName>
    <definedName name="kpmh8">[13]synthgraph!#REF!</definedName>
    <definedName name="Kraft">{#N/A,#N/A,FALSE,"changes";#N/A,#N/A,FALSE,"Assumptions";"view1",#N/A,FALSE,"BE Analysis";"view2",#N/A,FALSE,"BE Analysis";#N/A,#N/A,FALSE,"DCF Calculation - Scenario 1";"Dollar",#N/A,FALSE,"Consolidated - Scenario 1";"CS",#N/A,FALSE,"Consolidated - Scenario 1"}</definedName>
    <definedName name="kskfiss" hidden="1">{"Page1",#N/A,FALSE,"Segment Overview";"Page2",#N/A,FALSE,"Segment Overview";"Page3",#N/A,FALSE,"Summary";"Page4",#N/A,FALSE,"Summary";"Page5",#N/A,FALSE,"US Pubs Rev";"Page6",#N/A,FALSE,"US Pubs Rev";"Page7",#N/A,FALSE,"US Pubs EBITDA";"Page8",#N/A,FALSE,"US Pubs EBITDA"}</definedName>
    <definedName name="kslkjkjlkjd">{#N/A,#N/A,FALSE,"REPORT"}</definedName>
    <definedName name="ktk">#REF!</definedName>
    <definedName name="KU">#REF!</definedName>
    <definedName name="Kurashiki" hidden="1">#REF!</definedName>
    <definedName name="Kurashiki2" hidden="1">#REF!</definedName>
    <definedName name="KUULSD">{#N/A,#N/A,FALSE,"COMP"}</definedName>
    <definedName name="kyd.ChngCell.01.">#REF!</definedName>
    <definedName name="kyd.CounterLimitCell.01.">"x"</definedName>
    <definedName name="kyd.Dim.01.">"tm1serv:company"</definedName>
    <definedName name="kyd.ElementList.01.">#REF!</definedName>
    <definedName name="kyd.ElementType.01.">1</definedName>
    <definedName name="kyd.ItemType.01.">2</definedName>
    <definedName name="kyd.MacroAtEnd.">""</definedName>
    <definedName name="kyd.MacroEachCycle.">""</definedName>
    <definedName name="kyd.MacroEndOfEachCycle.">""</definedName>
    <definedName name="kyd.NumLevels.01.">999</definedName>
    <definedName name="kyd.PanicStop.">FALSE</definedName>
    <definedName name="kyd.ParentName.01.">""</definedName>
    <definedName name="kyd.PreScreenData.">FALSE</definedName>
    <definedName name="kyd.PrintParent.01.">TRUE</definedName>
    <definedName name="kyd.PrintStdWhen.">1</definedName>
    <definedName name="kyd.SaveAsFile.">FALSE</definedName>
    <definedName name="kyd.SelectString.01.">"*"</definedName>
    <definedName name="kyd.StdSortHide.">FALSE</definedName>
    <definedName name="kytktyk">[27]Occ!#REF!</definedName>
    <definedName name="l">{"vi1",#N/A,FALSE,"Financial Statements";"vi2",#N/A,FALSE,"Financial Statements";#N/A,#N/A,FALSE,"DCF"}</definedName>
    <definedName name="lank">[49]ASSETS!#REF!</definedName>
    <definedName name="LBL">[50]SALES!#REF!</definedName>
    <definedName name="lee">{#N/A,#N/A,FALSE,"Pharm";#N/A,#N/A,FALSE,"WWCM"}</definedName>
    <definedName name="limcount" hidden="1">1</definedName>
    <definedName name="limey">{#N/A,#N/A,FALSE,"Calc";#N/A,#N/A,FALSE,"Sensitivity";#N/A,#N/A,FALSE,"LT Earn.Dil.";#N/A,#N/A,FALSE,"Dil. AVP"}</definedName>
    <definedName name="Lisa">{#N/A,#N/A,FALSE,"Hip.Bas";#N/A,#N/A,FALSE,"ventas";#N/A,#N/A,FALSE,"ingre-Año";#N/A,#N/A,FALSE,"ventas-Año";#N/A,#N/A,FALSE,"Costepro";#N/A,#N/A,FALSE,"inversion";#N/A,#N/A,FALSE,"personal";#N/A,#N/A,FALSE,"Gastos-V";#N/A,#N/A,FALSE,"Circulante";#N/A,#N/A,FALSE,"CONSOLI";#N/A,#N/A,FALSE,"Es-Fin";#N/A,#N/A,FALSE,"Margen-P"}</definedName>
    <definedName name="ListOffset">1</definedName>
    <definedName name="lk">{#N/A,#N/A,TRUE,"CONTENTS";#N/A,#N/A,TRUE,"M2";#N/A,#N/A,TRUE,"M2a";#N/A,#N/A,TRUE,"M2b";#N/A,#N/A,TRUE,"M3";#N/A,#N/A,TRUE,"M3a";#N/A,#N/A,TRUE,"M4-P";#N/A,#N/A,TRUE,"M5";#N/A,#N/A,TRUE,"M6";#N/A,#N/A,TRUE,"M7";#N/A,#N/A,TRUE,"M8";#N/A,#N/A,TRUE,"M9";#N/A,#N/A,TRUE,"M10";#N/A,#N/A,TRUE,"M11";#N/A,#N/A,TRUE,"M13";#N/A,#N/A,TRUE,"M14";#N/A,#N/A,TRUE,"M15";#N/A,#N/A,TRUE,"K1"}</definedName>
    <definedName name="lkajsdl">{0,0,0,0;0,0,0,0;0,0,0,0}</definedName>
    <definedName name="lkjlkj">{"Final",#N/A,FALSE,"Feb-96"}</definedName>
    <definedName name="lklkl">{"consolidated",#N/A,FALSE,"Sheet1";"cms",#N/A,FALSE,"Sheet1";"fse",#N/A,FALSE,"Sheet1"}</definedName>
    <definedName name="ll">{#N/A,#N/A,TRUE,"Cover sheet";#N/A,#N/A,TRUE,"Summary";#N/A,#N/A,TRUE,"Key Assumptions";#N/A,#N/A,TRUE,"Profit &amp; Loss";#N/A,#N/A,TRUE,"Balance Sheet";#N/A,#N/A,TRUE,"Cashflow";#N/A,#N/A,TRUE,"IRR";#N/A,#N/A,TRUE,"Ratios";#N/A,#N/A,TRUE,"Debt analysis"}</definedName>
    <definedName name="lll">{"'Sheet1'!$L$16"}</definedName>
    <definedName name="lllll">{#N/A,#N/A,FALSE,"Hip.Bas";#N/A,#N/A,FALSE,"ventas";#N/A,#N/A,FALSE,"ingre-Año";#N/A,#N/A,FALSE,"ventas-Año";#N/A,#N/A,FALSE,"Costepro";#N/A,#N/A,FALSE,"inversion";#N/A,#N/A,FALSE,"personal";#N/A,#N/A,FALSE,"Gastos-V";#N/A,#N/A,FALSE,"Circulante";#N/A,#N/A,FALSE,"CONSOLI";#N/A,#N/A,FALSE,"Es-Fin";#N/A,#N/A,FALSE,"Margen-P"}</definedName>
    <definedName name="lllllllllllll">{"'I-1 and I-2'!$A$1:$G$190"}</definedName>
    <definedName name="LoadPeriod">#REF!</definedName>
    <definedName name="LocationExisting">{#N/A,#N/A,TRUE,"Summary - 1";#N/A,#N/A,TRUE,"Summary - 2";#N/A,#N/A,TRUE,"Group Analysis";#N/A,#N/A,TRUE,"FM Analysis";#N/A,#N/A,TRUE,"T&amp;M-Onsite";#N/A,#N/A,TRUE,"FP-Onsite";#N/A,#N/A,TRUE,"NB-Onsite";#N/A,#N/A,TRUE,"T&amp;M-Offshore";#N/A,#N/A,TRUE,"FP-Offshore";#N/A,#N/A,TRUE,"Appendix-A";#N/A,#N/A,TRUE,"Appendix-B"}</definedName>
    <definedName name="loih" hidden="1">{"Page1",#N/A,FALSE,"Segment Overview";"Page2",#N/A,FALSE,"Segment Overview";"Page3",#N/A,FALSE,"Summary";"Page4",#N/A,FALSE,"Summary";"Page5",#N/A,FALSE,"US Pubs Rev";"Page6",#N/A,FALSE,"US Pubs Rev";"Page7",#N/A,FALSE,"US Pubs EBITDA";"Page8",#N/A,FALSE,"US Pubs EBITDA"}</definedName>
    <definedName name="ltm_BalanceSheet">#REF!</definedName>
    <definedName name="ltm_IncomeStatement">#REF!</definedName>
    <definedName name="M" hidden="1">{"Actual",#N/A,FALSE,"(価格)";"Market",#N/A,FALSE,"(価格)";"Plan",#N/A,FALSE,"(価格)"}</definedName>
    <definedName name="M_PlaceofPath">"F:\MREGAN\win\EXL\CO\HVAC\WLV\WLV_vdf.xls"</definedName>
    <definedName name="macro">{#N/A,#N/A,TRUE,"CONTENTS";#N/A,#N/A,TRUE,"M2";#N/A,#N/A,TRUE,"M2a";#N/A,#N/A,TRUE,"M2b";#N/A,#N/A,TRUE,"M3";#N/A,#N/A,TRUE,"M3a";#N/A,#N/A,TRUE,"M4-H";#N/A,#N/A,TRUE,"M4-P";#N/A,#N/A,TRUE,"M4a";#N/A,#N/A,TRUE,"M4b";#N/A,#N/A,TRUE,"M4c";#N/A,#N/A,TRUE,"M5";#N/A,#N/A,TRUE,"M6";#N/A,#N/A,TRUE,"M7";#N/A,#N/A,TRUE,"M8";#N/A,#N/A,TRUE,"M9";#N/A,#N/A,TRUE,"M10";#N/A,#N/A,TRUE,"M11";#N/A,#N/A,TRUE,"M13";#N/A,#N/A,TRUE,"M14";#N/A,#N/A,TRUE,"M15";#N/A,#N/A,TRUE,"K1"}</definedName>
    <definedName name="macro2">{#N/A,#N/A,FALSE,"CONTENTS";#N/A,#N/A,FALSE,"M2";#N/A,#N/A,FALSE,"M2a";#N/A,#N/A,FALSE,"M2b";#N/A,#N/A,FALSE,"M3";#N/A,#N/A,FALSE,"M3a";#N/A,#N/A,FALSE,"M4-H";#N/A,#N/A,FALSE,"M4a";#N/A,#N/A,FALSE,"M4b";#N/A,#N/A,FALSE,"M4c";#N/A,#N/A,FALSE,"M5";#N/A,#N/A,FALSE,"M6";#N/A,#N/A,FALSE,"M7";#N/A,#N/A,FALSE,"M8";#N/A,#N/A,FALSE,"M9";#N/A,#N/A,FALSE,"M10";#N/A,#N/A,FALSE,"M11";#N/A,#N/A,FALSE,"M13";#N/A,#N/A,FALSE,"M14";#N/A,#N/A,FALSE,"M15";#N/A,#N/A,FALSE,"K1"}</definedName>
    <definedName name="macro3">{#N/A,#N/A,TRUE,"CONTENTS";#N/A,#N/A,TRUE,"M2";#N/A,#N/A,TRUE,"M2a";#N/A,#N/A,TRUE,"M2b";#N/A,#N/A,TRUE,"M3";#N/A,#N/A,TRUE,"M3a";#N/A,#N/A,TRUE,"M4-P";#N/A,#N/A,TRUE,"M5";#N/A,#N/A,TRUE,"M6";#N/A,#N/A,TRUE,"M7";#N/A,#N/A,TRUE,"M8";#N/A,#N/A,TRUE,"M9";#N/A,#N/A,TRUE,"M10";#N/A,#N/A,TRUE,"M11";#N/A,#N/A,TRUE,"M13";#N/A,#N/A,TRUE,"M14";#N/A,#N/A,TRUE,"M15";#N/A,#N/A,TRUE,"K1"}</definedName>
    <definedName name="Macwell">{"","","'Curves'!$W$7","'Curves'!$X$7","","","","","",""}</definedName>
    <definedName name="Maintenanc">{"'ID(2)'!$E$1:$N$4"}</definedName>
    <definedName name="man">{#N/A,#N/A,FALSE,"Bestfoods";#N/A,#N/A,FALSE,"Campbell";#N/A,#N/A,FALSE,"ConAgra";#N/A,#N/A,FALSE,"Healthy Choice";#N/A,#N/A,FALSE,"Int'l Home Foods";#N/A,#N/A,FALSE,"General Mills";#N/A,#N/A,FALSE,"Heinz";#N/A,#N/A,FALSE,"Kellogg";#N/A,#N/A,FALSE,"Kraft";#N/A,#N/A,FALSE,"Nabisco";#N/A,#N/A,FALSE,"Quaker Oats";#N/A,#N/A,FALSE,"Sara Lee";#N/A,#N/A,FALSE,"print summary"}</definedName>
    <definedName name="Manish">{"'Leading KPI'!$A$1:$P$33","'Leading KPI'!$A$1:$P$33"}</definedName>
    <definedName name="mans">{"quarterly",#N/A,FALSE,"Income Statement";#N/A,#N/A,FALSE,"print segment";#N/A,#N/A,FALSE,"Balance Sheet";#N/A,#N/A,FALSE,"Annl Inc";#N/A,#N/A,FALSE,"Cash Flow"}</definedName>
    <definedName name="MAR">'[51]DGP-2002'!#REF!</definedName>
    <definedName name="marketing">#REF!</definedName>
    <definedName name="MBCWoBang">{"Curves","Chart 4","Curves Graphique 4"}</definedName>
    <definedName name="MC">{#N/A,#N/A,TRUE,"CONTENTS";#N/A,#N/A,TRUE,"M2";#N/A,#N/A,TRUE,"M2a";#N/A,#N/A,TRUE,"M2b";#N/A,#N/A,TRUE,"M3";#N/A,#N/A,TRUE,"M3a";#N/A,#N/A,TRUE,"M4-H";#N/A,#N/A,TRUE,"M4-P";#N/A,#N/A,TRUE,"M4a";#N/A,#N/A,TRUE,"M4b";#N/A,#N/A,TRUE,"M4c";#N/A,#N/A,TRUE,"M5";#N/A,#N/A,TRUE,"M6";#N/A,#N/A,TRUE,"M7";#N/A,#N/A,TRUE,"M8";#N/A,#N/A,TRUE,"M9";#N/A,#N/A,TRUE,"M10";#N/A,#N/A,TRUE,"M11";#N/A,#N/A,TRUE,"M13";#N/A,#N/A,TRUE,"M14";#N/A,#N/A,TRUE,"M15";#N/A,#N/A,TRUE,"K1"}</definedName>
    <definedName name="me">{#N/A,#N/A,FALSE,"Input";#N/A,#N/A,FALSE,"Assumptions";#N/A,#N/A,FALSE,"Valuation";#N/A,#N/A,FALSE,"Financial Alternatives";#N/A,#N/A,FALSE,"Cash Flow"}</definedName>
    <definedName name="mel">{#N/A,#N/A,FALSE,"Hip.Bas";#N/A,#N/A,FALSE,"ventas";#N/A,#N/A,FALSE,"ingre-Año";#N/A,#N/A,FALSE,"ventas-Año";#N/A,#N/A,FALSE,"Costepro";#N/A,#N/A,FALSE,"inversion";#N/A,#N/A,FALSE,"personal";#N/A,#N/A,FALSE,"Gastos-V";#N/A,#N/A,FALSE,"Circulante";#N/A,#N/A,FALSE,"CONSOLI";#N/A,#N/A,FALSE,"Es-Fin";#N/A,#N/A,FALSE,"Margen-P"}</definedName>
    <definedName name="MGMT1">[28]SALES!#REF!</definedName>
    <definedName name="mike">[19]TargBSCF!#REF!</definedName>
    <definedName name="min">{#N/A,#N/A,FALSE,"REPORT"}</definedName>
    <definedName name="mina">{#N/A,#N/A,FALSE,"REPORT"}</definedName>
    <definedName name="miu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j">{#N/A,#N/A,FALSE,"FY97";#N/A,#N/A,FALSE,"FY98";#N/A,#N/A,FALSE,"FY99";#N/A,#N/A,FALSE,"FY00";#N/A,#N/A,FALSE,"FY01"}</definedName>
    <definedName name="mk">[52]COSTMAR!#REF!</definedName>
    <definedName name="mlw">{#N/A,#N/A,FALSE,"Pharm";#N/A,#N/A,FALSE,"WWCM"}</definedName>
    <definedName name="mmmmm">{#N/A,#N/A,FALSE,"Calc";#N/A,#N/A,FALSE,"Sensitivity";#N/A,#N/A,FALSE,"LT Earn.Dil.";#N/A,#N/A,FALSE,"Dil. AVP"}</definedName>
    <definedName name="MO" hidden="1">#REF!</definedName>
    <definedName name="mort3" hidden="1">{#N/A,#N/A,FALSE,"asset plan";#N/A,#N/A,FALSE,"Mgmt Report";#N/A,#N/A,FALSE,"sensitivities (2)";#N/A,#N/A,FALSE,"sensitivities";#N/A,#N/A,FALSE,"let up 10  Mort";#N/A,#N/A,FALSE,"let up 12 Mort";#N/A,#N/A,FALSE,"Capex";#N/A,#N/A,FALSE,"Capex Cashflow (2)";#N/A,#N/A,FALSE,"Capex Cashflow (3)";#N/A,#N/A,FALSE,"House View";#N/A,#N/A,FALSE,"kpi"}</definedName>
    <definedName name="ms" hidden="1">{#N/A,#N/A,FALSE,"asset plan";#N/A,#N/A,FALSE,"Mgmt Report";#N/A,#N/A,FALSE,"sensitivities (2)";#N/A,#N/A,FALSE,"sensitivities";#N/A,#N/A,FALSE,"let up 10  Mort";#N/A,#N/A,FALSE,"let up 12 Mort";#N/A,#N/A,FALSE,"Capex";#N/A,#N/A,FALSE,"Capex Cashflow (2)";#N/A,#N/A,FALSE,"Capex Cashflow (3)";#N/A,#N/A,FALSE,"House View";#N/A,#N/A,FALSE,"kpi"}</definedName>
    <definedName name="msony">#REF!</definedName>
    <definedName name="mstynns">[27]Occ!#REF!</definedName>
    <definedName name="mtb" hidden="1">{"Actual",#N/A,FALSE,"(価格)";"Market",#N/A,FALSE,"(価格)";"Plan",#N/A,FALSE,"(価格)"}</definedName>
    <definedName name="MTH">#REF!</definedName>
    <definedName name="MUFFIGRAPH">[3]JAN!$B$46:$B$50</definedName>
    <definedName name="mw">{#N/A,#N/A,FALSE,"Pharm";#N/A,#N/A,FALSE,"WWCM"}</definedName>
    <definedName name="n" hidden="1">#REF!</definedName>
    <definedName name="naeryhah">[27]Occ!#REF!</definedName>
    <definedName name="Name">#REF!</definedName>
    <definedName name="name2">{#N/A,#N/A,FALSE,"Info";#N/A,#N/A,FALSE,"Op I";#N/A,#N/A,FALSE,"Op O";#N/A,#N/A,FALSE,"LBO I";#N/A,#N/A,FALSE,"LBO O";#N/A,#N/A,FALSE,"Taxes"}</definedName>
    <definedName name="name3">{"Summary",#N/A,FALSE,"Covenants";"Detailed summary",#N/A,FALSE,"Covenants"}</definedName>
    <definedName name="nanern">[27]Demand!#REF!</definedName>
    <definedName name="navneet">{"'Sheet3'!$A$1:$B$30"}</definedName>
    <definedName name="nbkcbw" hidden="1">#REF!</definedName>
    <definedName name="nbvcxz">#REF!,#REF!,#REF!,#REF!,#REF!</definedName>
    <definedName name="nbvgh">{#N/A,#N/A,FALSE,"PMTABB";#N/A,#N/A,FALSE,"PMTABB"}</definedName>
    <definedName name="ndpl">{"","","'Curves'!$W$11","'Curves'!$X$11","","","","","",""}</definedName>
    <definedName name="ndpl.xls">{"Curves","Chart 2","Curves Graphique 2"}</definedName>
    <definedName name="New">{#N/A,#N/A,FALSE,"CONTENTS";#N/A,#N/A,FALSE,"M2";#N/A,#N/A,FALSE,"M2a";#N/A,#N/A,FALSE,"M2b";#N/A,#N/A,FALSE,"M3";#N/A,#N/A,FALSE,"M3a";#N/A,#N/A,FALSE,"M4-H";#N/A,#N/A,FALSE,"M4a";#N/A,#N/A,FALSE,"M4b";#N/A,#N/A,FALSE,"M4c";#N/A,#N/A,FALSE,"M5";#N/A,#N/A,FALSE,"M6";#N/A,#N/A,FALSE,"M7";#N/A,#N/A,FALSE,"M8";#N/A,#N/A,FALSE,"M9";#N/A,#N/A,FALSE,"M10";#N/A,#N/A,FALSE,"M11";#N/A,#N/A,FALSE,"M13";#N/A,#N/A,FALSE,"M14";#N/A,#N/A,FALSE,"M15";#N/A,#N/A,FALSE,"K1"}</definedName>
    <definedName name="newDC">{#N/A,#N/A,TRUE,"Cover sheet";#N/A,#N/A,TRUE,"DCF analysis";#N/A,#N/A,TRUE,"WACC calculation"}</definedName>
    <definedName name="newnewnew">{#N/A,#N/A,FALSE,"Pharm";#N/A,#N/A,FALSE,"WWCM"}</definedName>
    <definedName name="ngs">#REF!</definedName>
    <definedName name="nhjythh">{"DCF","UPSIDE CASE",FALSE,"Sheet1";"DCF","BASE CASE",FALSE,"Sheet1";"DCF","DOWNSIDE CASE",FALSE,"Sheet1"}</definedName>
    <definedName name="Nitin">'[1]#REF'!$A$60:$A$76</definedName>
    <definedName name="njajhqar">[27]Occ!#REF!</definedName>
    <definedName name="nmrt">[27]Occ!#REF!</definedName>
    <definedName name="nnnb">{"consolidated",#N/A,FALSE,"Sheet1";"cms",#N/A,FALSE,"Sheet1";"fse",#N/A,FALSE,"Sheet1"}</definedName>
    <definedName name="nnnnnnnnnn">{#N/A,#N/A,FALSE,"Status of Projects";#N/A,#N/A,FALSE,"CEA-TEC";#N/A,#N/A,FALSE,"U-Constr.";#N/A,#N/A,FALSE,"summary";#N/A,#N/A,FALSE,"PPP-3 yrs"}</definedName>
    <definedName name="noidea">{#N/A,#N/A,FALSE,"Calc";#N/A,#N/A,FALSE,"Sensitivity";#N/A,#N/A,FALSE,"LT Earn.Dil.";#N/A,#N/A,FALSE,"Dil. AVP"}</definedName>
    <definedName name="Non_Unique">#REF!</definedName>
    <definedName name="nouv">{#N/A,#N/A,FALSE,"Pharm";#N/A,#N/A,FALSE,"WWCM"}</definedName>
    <definedName name="np">#REF!</definedName>
    <definedName name="nrea">#REF!</definedName>
    <definedName name="nsfjtjyt">[27]Occ!#REF!</definedName>
    <definedName name="nsg">#REF!</definedName>
    <definedName name="ntn">#REF!</definedName>
    <definedName name="nuovo">{#N/A,#N/A,TRUE,"Total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ykrtn">#REF!</definedName>
    <definedName name="o">{"'ID(2)'!$E$1:$N$4"}</definedName>
    <definedName name="oa">{#N/A,#N/A,FALSE,"Hip.Bas";#N/A,#N/A,FALSE,"ventas";#N/A,#N/A,FALSE,"ingre-Año";#N/A,#N/A,FALSE,"ventas-Año";#N/A,#N/A,FALSE,"Costepro";#N/A,#N/A,FALSE,"inversion";#N/A,#N/A,FALSE,"personal";#N/A,#N/A,FALSE,"Gastos-V";#N/A,#N/A,FALSE,"Circulante";#N/A,#N/A,FALSE,"CONSOLI";#N/A,#N/A,FALSE,"Es-Fin";#N/A,#N/A,FALSE,"Margen-P"}</definedName>
    <definedName name="OCT">#REF!</definedName>
    <definedName name="OK">{#N/A,#N/A,FALSE,"REPORT"}</definedName>
    <definedName name="okay">{#N/A,"Store 1",FALSE,"Store";#N/A,"Store 2",FALSE,"Store"}</definedName>
    <definedName name="okkkkk">{"","","'Curves'!$W$7","'Curves'!$X$7","","","","","",""}</definedName>
    <definedName name="ono" hidden="1">{"AnnualRentRoll",#N/A,FALSE,"RentRoll"}</definedName>
    <definedName name="oo">{#N/A,#N/A,FALSE,"Hip.Bas";#N/A,#N/A,FALSE,"ventas";#N/A,#N/A,FALSE,"ingre-Año";#N/A,#N/A,FALSE,"ventas-Año";#N/A,#N/A,FALSE,"Costepro";#N/A,#N/A,FALSE,"inversion";#N/A,#N/A,FALSE,"personal";#N/A,#N/A,FALSE,"Gastos-V";#N/A,#N/A,FALSE,"Circulante";#N/A,#N/A,FALSE,"CONSOLI";#N/A,#N/A,FALSE,"Es-Fin";#N/A,#N/A,FALSE,"Margen-P"}</definedName>
    <definedName name="oonnoo" hidden="1">{#N/A,#N/A,FALSE,"LoanAssumptions"}</definedName>
    <definedName name="ooo">{#N/A,#N/A,FALSE,"REPORT"}</definedName>
    <definedName name="ooonnnooo" hidden="1">{"AnnualRentRoll",#N/A,FALSE,"RentRoll"}</definedName>
    <definedName name="ooonnnoooo" hidden="1">{"page1",#N/A,FALSE,"Sheet1";"page2",#N/A,FALSE,"Sheet1"}</definedName>
    <definedName name="oooo">[5]BSHEET!#REF!</definedName>
    <definedName name="oooonnnnoooo" hidden="1">{#N/A,#N/A,TRUE,"Summary";"AnnualRentRoll",#N/A,TRUE,"RentRoll";#N/A,#N/A,TRUE,"ExitStratigy";#N/A,#N/A,TRUE,"OperatingAssumptions"}</definedName>
    <definedName name="ooooo">{#N/A,#N/A,FALSE,"Calc";#N/A,#N/A,FALSE,"Sensitivity";#N/A,#N/A,FALSE,"LT Earn.Dil.";#N/A,#N/A,FALSE,"Dil. AVP"}</definedName>
    <definedName name="oooooooooo">{"","","'Curves'!$E$55","'Curves'!$F$55","","","","","",""}</definedName>
    <definedName name="OpCO">#REF!</definedName>
    <definedName name="OpCo_Forecasts_Managed">#REF!</definedName>
    <definedName name="OrderTable">#REF!</definedName>
    <definedName name="other33">{#N/A,#N/A,FALSE,"Pharm";#N/A,#N/A,FALSE,"WWCM"}</definedName>
    <definedName name="othermar">{#N/A,#N/A,FALSE,"Pharm";#N/A,#N/A,FALSE,"WWCM"}</definedName>
    <definedName name="p">{#N/A,#N/A,FALSE,"Distbn Ntwrk";#N/A,#N/A,FALSE,"Workforce";#N/A,#N/A,FALSE,"cur-prod1";#N/A,#N/A,FALSE,"in-proc"}</definedName>
    <definedName name="p.Covenants">#REF!</definedName>
    <definedName name="p.Covenants_Titles">#REF!</definedName>
    <definedName name="p.CreditStats">#REF!</definedName>
    <definedName name="p.DCF">#REF!</definedName>
    <definedName name="p.DCF_Titles">#REF!</definedName>
    <definedName name="p.IRR">#REF!</definedName>
    <definedName name="p.IRR_Titles">#REF!</definedName>
    <definedName name="p.LTM_BS">#REF!</definedName>
    <definedName name="p.LTM_IS">#REF!</definedName>
    <definedName name="p.SP">#REF!</definedName>
    <definedName name="p.Summary">#REF!</definedName>
    <definedName name="p.Summary_Titles">#REF!</definedName>
    <definedName name="P_Capex">{"'ICo.'!$J$12:$K$20"}</definedName>
    <definedName name="pac">{TRUE,TRUE,-1.25,-15.5,456.75,279.75,FALSE,FALSE,TRUE,TRUE,0,1,18,1,199,6,3,4,TRUE,TRUE,3,TRUE,1,TRUE,100,"Swvu.cash.","ACwvu.cash.",1,FALSE,FALSE,0.511811023622047,0.511811023622047,0.511811023622047,0.511811023622047,1,"","",FALSE,FALSE,FALSE,FALSE,1,#N/A,1,1,#DIV/0!,FALSE,"Rwvu.cash.",#N/A,FALSE,FALSE}</definedName>
    <definedName name="Pal_Workbook_GUID">"QY8JAJA78D1SL34ZUSAK7LV5"</definedName>
    <definedName name="parse">'[1]#REF'!$A$6:$Q$206</definedName>
    <definedName name="pepe">{#N/A,#N/A,FALSE,"Pharm";#N/A,#N/A,FALSE,"WWCM"}</definedName>
    <definedName name="PEPE4">{#N/A,#N/A,FALSE,"Pharm";#N/A,#N/A,FALSE,"WWCM"}</definedName>
    <definedName name="PEPE5">{#N/A,#N/A,FALSE,"Pharm";#N/A,#N/A,FALSE,"WWCM"}</definedName>
    <definedName name="PGMC">{#N/A,#N/A,TRUE,"Total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h">#REF!</definedName>
    <definedName name="pharma">{#N/A,#N/A,FALSE,"Sales Graph";#N/A,#N/A,FALSE,"PSBM";#N/A,#N/A,FALSE,"BUC Graph";#N/A,#N/A,FALSE,"P&amp;L - YTD"}</definedName>
    <definedName name="PL" hidden="1">{"Page1",#N/A,FALSE,"Segment Overview";"Page2",#N/A,FALSE,"Segment Overview";"Page3",#N/A,FALSE,"Summary";"Page4",#N/A,FALSE,"Summary";"Page5",#N/A,FALSE,"US Pubs Rev";"Page6",#N/A,FALSE,"US Pubs Rev";"Page7",#N/A,FALSE,"US Pubs EBITDA";"Page8",#N/A,FALSE,"US Pubs EBITDA"}</definedName>
    <definedName name="PLCepi">{#N/A,#N/A,FALSE,"REPORT"}</definedName>
    <definedName name="PLProcef">{#N/A,#N/A,FALSE,"REPORT"}</definedName>
    <definedName name="PLTaxol">{#N/A,#N/A,FALSE,"REPORT"}</definedName>
    <definedName name="ply">'[53]Power &amp; Fuel(new)'!#REF!</definedName>
    <definedName name="plywood">'[53]Power &amp; Fuel(new)'!#REF!</definedName>
    <definedName name="Pnl">{#N/A,#N/A,FALSE,"Pharm";#N/A,#N/A,FALSE,"WWCM"}</definedName>
    <definedName name="PopCache_GL_INTERFACE_REFERENCE7" hidden="1">#REF!</definedName>
    <definedName name="por" hidden="1">{"Page1",#N/A,FALSE,"Segment Overview";"Page2",#N/A,FALSE,"Segment Overview";"Page3",#N/A,FALSE,"Summary";"Page4",#N/A,FALSE,"Summary";"Page5",#N/A,FALSE,"US Pubs Rev";"Page6",#N/A,FALSE,"US Pubs Rev";"Page7",#N/A,FALSE,"US Pubs EBITDA";"Page8",#N/A,FALSE,"US Pubs EBITDA"}</definedName>
    <definedName name="port29">{#N/A,#N/A,FALSE,"Pharm";#N/A,#N/A,FALSE,"WWCM"}</definedName>
    <definedName name="power10">{"Curves","Chart 4","Curves Graphique 4"}</definedName>
    <definedName name="power11">{"","","'Curves'!$V$3","'Curves'!$W$3","","","","","",""}</definedName>
    <definedName name="power12">{"Curves","Chart 3","Curves Graphique 3"}</definedName>
    <definedName name="power13">{"","","'Curves'!$V$4","'Curves'!$W$4","","","","","",""}</definedName>
    <definedName name="power14">{"Curves","Chart 2","Curves Graphique 2"}</definedName>
    <definedName name="power15">{"","","'Curves'!$V$3","'Curves'!$W$3","","","","","",""}</definedName>
    <definedName name="power16">{"Curves","Chart 1","Curves Graphique 1"}</definedName>
    <definedName name="power17">{"","","'Curves'!$V$4","'Curves'!$W$4","","","","","",""}</definedName>
    <definedName name="power18">{"Curves","Chart 3","Curves Graphique 3"}</definedName>
    <definedName name="power19">{"","","'Curves'!$W$8","'Curves'!$X$8","","","","","",""}</definedName>
    <definedName name="power2">{"Curves","Chart 4","Curves Graphique 4"}</definedName>
    <definedName name="power20">{"GM%","Chart 1","GM% Graphique 1"}</definedName>
    <definedName name="power21">{"","","'GM%'!$B$30","'GM%'!$B$31","","","","","",""}</definedName>
    <definedName name="power22">{"Curves","Chart 4","Curves Graphique 4"}</definedName>
    <definedName name="power23">{"","","'Curves'!$W$11","'Curves'!$X$11","","","","","",""}</definedName>
    <definedName name="power24">{"Curves","Chart 2","Curves Graphique 2"}</definedName>
    <definedName name="power25">{"","","'Curves'!$W$10","'Curves'!$X$10","","","","","",""}</definedName>
    <definedName name="power26">{"Curves","Chart 1","Curves Graphique 1"}</definedName>
    <definedName name="power27">{"","","'Curves'!$W$7","'Curves'!$X$7","","","","","",""}</definedName>
    <definedName name="power28">{"Curves","Chart 3","Curves Graphique 3"}</definedName>
    <definedName name="power29">{"","","'Curves'!$W$8","'Curves'!$X$8","","","","","",""}</definedName>
    <definedName name="power3">{"","","'Curves'!$V$3","'Curves'!$W$3","","","","","",""}</definedName>
    <definedName name="power30">{"Curves","Chart 4","Curves Graphique 4"}</definedName>
    <definedName name="power31">{"","","'Curves'!$W$12","'Curves'!$X$12","","","","","",""}</definedName>
    <definedName name="power32">{"Curves","Chart 2","Curves Graphique 2"}</definedName>
    <definedName name="power33">{"","","'Curves'!$W$11","'Curves'!$X$11","","","","","",""}</definedName>
    <definedName name="power34">{"Curves","Chart 1","Curves Graphique 1"}</definedName>
    <definedName name="power35">{"","","'Curves'!$W$7","'Curves'!$X$7","","","","","",""}</definedName>
    <definedName name="power36">{"SFC","Chart 1","SFC Graphique 1"}</definedName>
    <definedName name="power37">{"","","'SFC'!$B$30","'SFC'!$B$31","","","","","",""}</definedName>
    <definedName name="power38">{"SFC","Chart 1","SFC Graphique 1"}</definedName>
    <definedName name="power39">{"","","'SFC'!$B$30","'SFC'!$B$31","","","","","",""}</definedName>
    <definedName name="power4">{"Curves","Chart 3","Curves Graphique 3"}</definedName>
    <definedName name="power40">{"SFC","Chart 1","SFC Graphique 1"}</definedName>
    <definedName name="power41">{"","","'SFC'!$B$30","'SFC'!$B$31","","","","","",""}</definedName>
    <definedName name="power42">{"GM%","Chart 1","GM% Graphique 1"}</definedName>
    <definedName name="power43">{"","","'GM%'!$B$30","'GM%'!$B$31","","","","","",""}</definedName>
    <definedName name="power44">{"PNL Local","Chart 48","PNL Local Graphique 48"}</definedName>
    <definedName name="power45">{"","","'PNL Local'!$X$10","'PNL Local'!$X$11","","","","","",""}</definedName>
    <definedName name="power46">{"Curves","Chart 4","Curves Graphique 4"}</definedName>
    <definedName name="power47">{"","","'Curves'!$E$55","'Curves'!$F$55","","","","","",""}</definedName>
    <definedName name="power48">{"Curves","Chart 2","Curves Graphique 2"}</definedName>
    <definedName name="power49">{"","","'Curves'!$E$55","'Curves'!$F$55","","","","","",""}</definedName>
    <definedName name="power5">{"","","'Curves'!$C$55","'Curves'!$D$55","","","","","",""}</definedName>
    <definedName name="power50">{"'Leading KPI'!$A$1:$P$33","'Leading KPI'!$A$1:$P$33"}</definedName>
    <definedName name="power51">{"'Leading KPI'!$A$1:$P$33","'Leading KPI'!$A$1:$P$33"}</definedName>
    <definedName name="power6">{"Curves","Chart 2","Curves Graphique 2"}</definedName>
    <definedName name="power7">{"","","'Curves'!$V$3","'Curves'!$W$3","","","","","",""}</definedName>
    <definedName name="power8">{"Curves","Chart 1","Curves Graphique 1"}</definedName>
    <definedName name="power9">{"","","'Curves'!$C$55","'Curves'!$D$55","","","","","",""}</definedName>
    <definedName name="pp">{#N/A,#N/A,FALSE,"Calc";#N/A,#N/A,FALSE,"Sensitivity";#N/A,#N/A,FALSE,"LT Earn.Dil.";#N/A,#N/A,FALSE,"Dil. AVP"}</definedName>
    <definedName name="pr">#REF!</definedName>
    <definedName name="Pres">{#N/A,#N/A,TRUE,"Cover sheet";#N/A,#N/A,TRUE,"Summary";#N/A,#N/A,TRUE,"Key Assumptions";#N/A,#N/A,TRUE,"Profit &amp; Loss";#N/A,#N/A,TRUE,"Balance Sheet";#N/A,#N/A,TRUE,"Cashflow";#N/A,#N/A,TRUE,"IRR";#N/A,#N/A,TRUE,"Ratios";#N/A,#N/A,TRUE,"Debt analysis"}</definedName>
    <definedName name="Pres2">{#N/A,#N/A,TRUE,"Cover sheet";#N/A,#N/A,TRUE,"Summary";#N/A,#N/A,TRUE,"Key Assumptions";#N/A,#N/A,TRUE,"Profit &amp; Loss";#N/A,#N/A,TRUE,"Balance Sheet";#N/A,#N/A,TRUE,"Cashflow";#N/A,#N/A,TRUE,"IRR";#N/A,#N/A,TRUE,"Ratios";#N/A,#N/A,TRUE,"Debt analysis"}</definedName>
    <definedName name="Prese">{#N/A,#N/A,TRUE,"Cover sheet";#N/A,#N/A,TRUE,"Summary";#N/A,#N/A,TRUE,"Key Assumptions";#N/A,#N/A,TRUE,"Profit &amp; Loss";#N/A,#N/A,TRUE,"Balance Sheet";#N/A,#N/A,TRUE,"Cashflow";#N/A,#N/A,TRUE,"IRR";#N/A,#N/A,TRUE,"Ratios";#N/A,#N/A,TRUE,"Debt analysis"}</definedName>
    <definedName name="Presentation">{"rawdata",#N/A,TRUE,"HKT";"in",#N/A,TRUE,"HKT";"rawdata",#N/A,TRUE,"PTInd";"in",#N/A,TRUE,"PTInd";"rawdata",#N/A,TRUE,"NTT";"in",#N/A,TRUE,"NTT";"rawdata",#N/A,TRUE,"PLD";"in",#N/A,TRUE,"PLD";"rawdata",#N/A,TRUE,"PTTelk";"in",#N/A,TRUE,"PTTelk";"rawdata",#N/A,TRUE,"ST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_xlnm.Print_Area">#REF!</definedName>
    <definedName name="PrintEnd">[21]MAIN!#REF!</definedName>
    <definedName name="Procef">{#N/A,#N/A,FALSE,"Pharm";#N/A,#N/A,FALSE,"WWCM"}</definedName>
    <definedName name="prod">{#N/A,#N/A,FALSE,"Pharm";#N/A,#N/A,FALSE,"WWCM"}</definedName>
    <definedName name="Prodecember">#REF!</definedName>
    <definedName name="ProdForm">#REF!</definedName>
    <definedName name="Product">#REF!</definedName>
    <definedName name="Prof" hidden="1">#REF!</definedName>
    <definedName name="prova">{#N/A,#N/A,TRUE,"Total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ision2">{"plansummary",#N/A,FALSE,"PlanSummary";"sales",#N/A,FALSE,"Sales Rec";"productivity",#N/A,FALSE,"Productivity Rec";"capitalspending",#N/A,FALSE,"Capital Spending"}</definedName>
    <definedName name="PRT">#REF!</definedName>
    <definedName name="Pu_Capex">{"'ICo.'!$J$12:$K$20"}</definedName>
    <definedName name="Pune_Capex">{"'ICo.'!$J$12:$K$20"}</definedName>
    <definedName name="q" localSheetId="10">Main.SAPF4Help()</definedName>
    <definedName name="q" localSheetId="8">Main.SAPF4Help()</definedName>
    <definedName name="q" localSheetId="5">Main.SAPF4Help()</definedName>
    <definedName name="q" localSheetId="20">Main.SAPF4Help()</definedName>
    <definedName name="q" localSheetId="22">Main.SAPF4Help()</definedName>
    <definedName name="q" localSheetId="21">Main.SAPF4Help()</definedName>
    <definedName name="q">Main.SAPF4Help()</definedName>
    <definedName name="Q2ii">{#N/A,#N/A,FALSE,"K-1";#N/A,#N/A,FALSE,"Q-1";#N/A,#N/A,FALSE,"CAP DIST";#N/A,#N/A,FALSE,"F-1";#N/A,#N/A,FALSE,"H-1";#N/A,#N/A,FALSE,"J-1";#N/A,#N/A,FALSE,"S-1";#N/A,#N/A,FALSE,"S-2";#N/A,#N/A,FALSE,"T-1";#N/A,#N/A,FALSE,"H&amp;Q D-4";#N/A,#N/A,FALSE,"LN";#N/A,#N/A,FALSE,"RATIOS";#N/A,#N/A,FALSE,"SCH CAPITAL";#N/A,#N/A,FALSE,"Sheet2";#N/A,#N/A,FALSE,"Sheet1";#N/A,#N/A,FALSE,"TRANSFER"}</definedName>
    <definedName name="qappp" hidden="1">{#N/A,#N/A,FALSE,"5YRASSPl - consol'd";#N/A,#N/A,FALSE,"5YRASSPl - hotel";#N/A,#N/A,FALSE,"5YRASSPl - excl htl";#N/A,#N/A,FALSE,"VarReport";#N/A,#N/A,FALSE,"Sensitivity";#N/A,#N/A,FALSE,"House View ";#N/A,#N/A,FALSE,"KPI"}</definedName>
    <definedName name="qaz">{#N/A,#N/A,FALSE,"Pharm";#N/A,#N/A,FALSE,"WWCM"}</definedName>
    <definedName name="qefcqe">{"","","'Curves'!$C$55","'Curves'!$D$55","","","","","",""}</definedName>
    <definedName name="qertweyu">{#N/A,#N/A,FALSE,"REPORT"}</definedName>
    <definedName name="qetryywt">{#N/A,#N/A,FALSE,"REPORT"}</definedName>
    <definedName name="qfqe">{"Curves","Chart 3","Curves Graphique 3"}</definedName>
    <definedName name="qfqefq">{"","","'Curves'!$V$3","'Curves'!$W$3","","","","","",""}</definedName>
    <definedName name="qg">#REF!</definedName>
    <definedName name="qn">#REF!</definedName>
    <definedName name="qq">{#N/A,#N/A,TRUE,"Cover sheet";#N/A,#N/A,TRUE,"Summary";#N/A,#N/A,TRUE,"Key Assumptions";#N/A,#N/A,TRUE,"Profit &amp; Loss";#N/A,#N/A,TRUE,"Balance Sheet";#N/A,#N/A,TRUE,"Cashflow";#N/A,#N/A,TRUE,"IRR";#N/A,#N/A,TRUE,"Ratios";#N/A,#N/A,TRUE,"Debt analysis"}</definedName>
    <definedName name="qqq">{#N/A,#N/A,FALSE,"Pharm";#N/A,#N/A,FALSE,"WWCM"}</definedName>
    <definedName name="qqqqqqq" hidden="1">{"ｹﾝﾄ（M)",#N/A,FALSE,"収支・日割";"ｹﾝﾄ（RD)",#N/A,FALSE,"収支・日割";"ｹﾝﾄ（PMC)",#N/A,FALSE,"収支・日割"}</definedName>
    <definedName name="qqwtweryey">{#N/A,#N/A,FALSE,"REPORT"}</definedName>
    <definedName name="qr2_PRED_NAME" hidden="1">#REF!</definedName>
    <definedName name="qr3_DATEND" hidden="1">#REF!</definedName>
    <definedName name="qr3_DATSTART" hidden="1">#REF!</definedName>
    <definedName name="qs" hidden="1">#REF!</definedName>
    <definedName name="qsfd">{#N/A,#N/A,TRUE,"Cover sheet";#N/A,#N/A,TRUE,"INPUTS";#N/A,#N/A,TRUE,"OUTPUTS";#N/A,#N/A,TRUE,"VALUATION"}</definedName>
    <definedName name="qsq" hidden="1">{"Actual",#N/A,FALSE,"(価格)";"Market",#N/A,FALSE,"(価格)";"Plan",#N/A,FALSE,"(価格)"}</definedName>
    <definedName name="qw" hidden="1">#REF!</definedName>
    <definedName name="qwef">{#N/A,#N/A,FALSE,"EW"}</definedName>
    <definedName name="qwertqry">{#N/A,#N/A,FALSE,"REPORT"}</definedName>
    <definedName name="qwetqryetytu">{#N/A,#N/A,FALSE,"Pharm";#N/A,#N/A,FALSE,"WWCM"}</definedName>
    <definedName name="qww" hidden="1">#REF!</definedName>
    <definedName name="qwybk" hidden="1">{"Page1",#N/A,FALSE,"Segment Overview";"Page2",#N/A,FALSE,"Segment Overview";"Page3",#N/A,FALSE,"Summary";"Page4",#N/A,FALSE,"Summary";"Page5",#N/A,FALSE,"US Pubs Rev";"Page6",#N/A,FALSE,"US Pubs Rev";"Page7",#N/A,FALSE,"US Pubs EBITDA";"Page8",#N/A,FALSE,"US Pubs EBITDA"}</definedName>
    <definedName name="r.CashFlow">#REF!</definedName>
    <definedName name="r.Leverage">#REF!</definedName>
    <definedName name="r.Liquidity">#REF!</definedName>
    <definedName name="r.LTM">#REF!</definedName>
    <definedName name="r.LTMInterim">#REF!</definedName>
    <definedName name="r.Market">#REF!</definedName>
    <definedName name="r.Profitability">#REF!</definedName>
    <definedName name="r.Summary">#REF!</definedName>
    <definedName name="RCArea">#REF!</definedName>
    <definedName name="redo">{#N/A,#N/A,FALSE,"ACQ_GRAPHS";#N/A,#N/A,FALSE,"T_1 GRAPHS";#N/A,#N/A,FALSE,"T_2 GRAPHS";#N/A,#N/A,FALSE,"COMB_GRAPHS"}</definedName>
    <definedName name="REF">{#N/A,#N/A,FALSE,"COMP"}</definedName>
    <definedName name="reggie">{#N/A,#N/A,FALSE,"Pharm";#N/A,#N/A,FALSE,"WWCM"}</definedName>
    <definedName name="Regionwise">{"Curves","Chart 4","Curves Graphique 4"}</definedName>
    <definedName name="resp.">{#N/A,#N/A,FALSE,"Pharm";#N/A,#N/A,FALSE,"WWCM"}</definedName>
    <definedName name="retail">{#N/A,#N/A,FALSE,"Hip.Bas";#N/A,#N/A,FALSE,"ventas";#N/A,#N/A,FALSE,"ingre-Año";#N/A,#N/A,FALSE,"ventas-Año";#N/A,#N/A,FALSE,"Costepro";#N/A,#N/A,FALSE,"inversion";#N/A,#N/A,FALSE,"personal";#N/A,#N/A,FALSE,"Gastos-V";#N/A,#N/A,FALSE,"Circulante";#N/A,#N/A,FALSE,"CONSOLI";#N/A,#N/A,FALSE,"Es-Fin";#N/A,#N/A,FALSE,"Margen-P"}</definedName>
    <definedName name="reydf" hidden="1">{"Page1",#N/A,FALSE,"Segment Overview";"Page2",#N/A,FALSE,"Segment Overview";"Page3",#N/A,FALSE,"Summary";"Page4",#N/A,FALSE,"Summary";"Page5",#N/A,FALSE,"US Pubs Rev";"Page6",#N/A,FALSE,"US Pubs Rev";"Page7",#N/A,FALSE,"US Pubs EBITDA";"Page8",#N/A,FALSE,"US Pubs EBITDA"}</definedName>
    <definedName name="reyh">#REF!</definedName>
    <definedName name="rf2e">{#N/A,#N/A,FALSE,"Pharm";#N/A,#N/A,FALSE,"WWCM"}</definedName>
    <definedName name="RG">{TRUE,TRUE,-1.25,-15.5,456.75,279.75,FALSE,FALSE,TRUE,TRUE,0,1,8,1,4,6,3,4,TRUE,TRUE,3,TRUE,1,TRUE,100,"Swvu.turnover.","ACwvu.turnover.",1,FALSE,FALSE,0.511811023622047,0.511811023622047,0.511811023622047,0.511811023622047,1,"","",FALSE,FALSE,FALSE,FALSE,1,#N/A,1,1,#DIV/0!,FALSE,"Rwvu.turnover.",#N/A,FALSE,FALSE}</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tandardRecalc">2</definedName>
    <definedName name="RiskUpdateDisplay">FALSE</definedName>
    <definedName name="RiskUseDifferentSeedForEachSim">FALSE</definedName>
    <definedName name="RiskUseFixedSeed">FALSE</definedName>
    <definedName name="RiskUseMultipleCPUs">TRUE</definedName>
    <definedName name="RMB">#REF!</definedName>
    <definedName name="RMBUSD">#REF!</definedName>
    <definedName name="rmky">#REF!</definedName>
    <definedName name="rngShowNames">#REF!</definedName>
    <definedName name="rngToggles">#REF!</definedName>
    <definedName name="rohig">{#N/A,#N/A,TRUE,"Staffnos &amp; cost"}</definedName>
    <definedName name="ROIV10">{#N/A,#N/A,FALSE,"DCF Summary";#N/A,#N/A,FALSE,"Casema";#N/A,#N/A,FALSE,"Casema NoTel";#N/A,#N/A,FALSE,"UK";#N/A,#N/A,FALSE,"RCF";#N/A,#N/A,FALSE,"Intercable CZ";#N/A,#N/A,FALSE,"Interkabel P"}</definedName>
    <definedName name="ROIV11">{"hist_bs",#N/A,FALSE,"Exhibit D,E1,E2";#N/A,#N/A,FALSE,"Exhibit E3";#N/A,#N/A,FALSE,"Mgmt. Projtn";#N/A,#N/A,FALSE,"Exhibit B-1";#N/A,#N/A,FALSE,"Exhibit A";#N/A,#N/A,FALSE,"WACC";#N/A,#N/A,FALSE,"Control";"hist_inc",#N/A,FALSE,"Exhibit D,E1,E2"}</definedName>
    <definedName name="ROIV12">{#N/A,#N/A,FALSE,"Pharm";#N/A,#N/A,FALSE,"WWCM"}</definedName>
    <definedName name="ROIV13">{#N/A,#N/A,TRUE,"A-site";#N/A,#N/A,TRUE,"B-Buildings";#N/A,#N/A,TRUE,"c-out-of-fence";#N/A,#N/A,TRUE,"d-proj.infr.";#N/A,#N/A,TRUE,"e- land"}</definedName>
    <definedName name="ROIV14">{#N/A,#N/A,TRUE,"A-site";#N/A,#N/A,TRUE,"B-Buildings";#N/A,#N/A,TRUE,"c-out-of-fence";#N/A,#N/A,TRUE,"d-proj.infr.";#N/A,#N/A,TRUE,"e- land"}</definedName>
    <definedName name="ROIV16">{#N/A,#N/A,FALSE,"DCF Summary";#N/A,#N/A,FALSE,"Casema";#N/A,#N/A,FALSE,"Casema NoTel";#N/A,#N/A,FALSE,"UK";#N/A,#N/A,FALSE,"RCF";#N/A,#N/A,FALSE,"Intercable CZ";#N/A,#N/A,FALSE,"Interkabel P"}</definedName>
    <definedName name="ROIV17">{"quarterly",#N/A,FALSE,"Income Statement";#N/A,#N/A,FALSE,"print segment";#N/A,#N/A,FALSE,"Balance Sheet";#N/A,#N/A,FALSE,"Annl Inc";#N/A,#N/A,FALSE,"Cash Flow"}</definedName>
    <definedName name="ROIV18">#REF!</definedName>
    <definedName name="ROIV19">#REF!</definedName>
    <definedName name="ROIV2">#REF!</definedName>
    <definedName name="ROIV20">{"hist_bs",#N/A,FALSE,"Exhibit D,E1,E2";#N/A,#N/A,FALSE,"Exhibit E3";#N/A,#N/A,FALSE,"Mgmt. Projtn";#N/A,#N/A,FALSE,"Exhibit B-1";#N/A,#N/A,FALSE,"Exhibit A";#N/A,#N/A,FALSE,"WACC";#N/A,#N/A,FALSE,"Control";"hist_inc",#N/A,FALSE,"Exhibit D,E1,E2"}</definedName>
    <definedName name="ROIV21">{#N/A,#N/A,TRUE,"Cover sheet";#N/A,#N/A,TRUE,"Summary";#N/A,#N/A,TRUE,"Key Assumptions";#N/A,#N/A,TRUE,"Profit &amp; Loss";#N/A,#N/A,TRUE,"Balance Sheet";#N/A,#N/A,TRUE,"Cashflow";#N/A,#N/A,TRUE,"IRR";#N/A,#N/A,TRUE,"Ratios";#N/A,#N/A,TRUE,"Debt analysis"}</definedName>
    <definedName name="ROIV22">{"DCF1",#N/A,FALSE,"SIERRA DCF";"MATRIX1",#N/A,FALSE,"SIERRA DCF"}</definedName>
    <definedName name="ROIV24">{"adj95mult",#N/A,FALSE,"COMPCO";"adj95est",#N/A,FALSE,"COMPCO"}</definedName>
    <definedName name="ROIV25">{#N/A,#N/A,FALSE,"REPORT"}</definedName>
    <definedName name="ROIV26">{#N/A,#N/A,TRUE,"Cover sheet";#N/A,#N/A,TRUE,"Summary";#N/A,#N/A,TRUE,"Key Assumptions";#N/A,#N/A,TRUE,"Profit &amp; Loss";#N/A,#N/A,TRUE,"Balance Sheet";#N/A,#N/A,TRUE,"Cashflow";#N/A,#N/A,TRUE,"IRR";#N/A,#N/A,TRUE,"Ratios";#N/A,#N/A,TRUE,"Debt analysis"}</definedName>
    <definedName name="ROIV27">"G:\EXCEL\PETTER\VAKANS\1996\VAK9609\VAK9609.mdb"</definedName>
    <definedName name="ROIV28">{#N/A,#N/A,TRUE,"Cover sheet";#N/A,#N/A,TRUE,"Summary";#N/A,#N/A,TRUE,"Key Assumptions";#N/A,#N/A,TRUE,"Profit &amp; Loss";#N/A,#N/A,TRUE,"Balance Sheet";#N/A,#N/A,TRUE,"Cashflow";#N/A,#N/A,TRUE,"IRR";#N/A,#N/A,TRUE,"Ratios";#N/A,#N/A,TRUE,"Debt analysis"}</definedName>
    <definedName name="ROIV29">{#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ROIV3">#REF!</definedName>
    <definedName name="ROIV30">{#N/A,#N/A,FALSE,"Pharm";#N/A,#N/A,FALSE,"WWCM"}</definedName>
    <definedName name="ROIV31">{#N/A,#N/A,FALSE,"Layout Aktiva";#N/A,#N/A,FALSE,"Layout Passiva"}</definedName>
    <definedName name="ROIV33">{"'I-1 and I-2'!$A$1:$G$190"}</definedName>
    <definedName name="ROIV34">{#N/A,#N/A,FALSE,"Layout Cash Flow"}</definedName>
    <definedName name="ROIV35">{#N/A,#N/A,TRUE,"Cover sheet";#N/A,#N/A,TRUE,"Summary";#N/A,#N/A,TRUE,"Key Assumptions";#N/A,#N/A,TRUE,"Profit &amp; Loss";#N/A,#N/A,TRUE,"Balance Sheet";#N/A,#N/A,TRUE,"Cashflow";#N/A,#N/A,TRUE,"IRR";#N/A,#N/A,TRUE,"Ratios";#N/A,#N/A,TRUE,"Debt analysis"}</definedName>
    <definedName name="ROIV36">{#N/A,#N/A,TRUE,"Cover sheet";#N/A,#N/A,TRUE,"INPUTS";#N/A,#N/A,TRUE,"OUTPUTS";#N/A,#N/A,TRUE,"VALUATION"}</definedName>
    <definedName name="ROIV37">{"rawdata",#N/A,TRUE,"HKT";"in",#N/A,TRUE,"HKT";"rawdata",#N/A,TRUE,"PTInd";"in",#N/A,TRUE,"PTInd";"rawdata",#N/A,TRUE,"NTT";"in",#N/A,TRUE,"NTT";"rawdata",#N/A,TRUE,"PLD";"in",#N/A,TRUE,"PLD";"rawdata",#N/A,TRUE,"PTTelk";"in",#N/A,TRUE,"PTTelk";"rawdata",#N/A,TRUE,"ST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ROIV38">{#N/A,#N/A,FALSE,"Pharm";#N/A,#N/A,FALSE,"WWCM"}</definedName>
    <definedName name="ROIV39">{#N/A,#N/A,FALSE,"Pharm";#N/A,#N/A,FALSE,"WWCM"}</definedName>
    <definedName name="ROIV4">[10]Summary!#REF!</definedName>
    <definedName name="ROIV40">{#N/A,#N/A,TRUE,"Cover sheet";#N/A,#N/A,TRUE,"Summary";#N/A,#N/A,TRUE,"Key Assumptions";#N/A,#N/A,TRUE,"Profit &amp; Loss";#N/A,#N/A,TRUE,"Balance Sheet";#N/A,#N/A,TRUE,"Cashflow";#N/A,#N/A,TRUE,"IRR";#N/A,#N/A,TRUE,"Ratios";#N/A,#N/A,TRUE,"Debt analysis"}</definedName>
    <definedName name="ROIV41">{#N/A,#N/A,FALSE,"Hip.Bas";#N/A,#N/A,FALSE,"ventas";#N/A,#N/A,FALSE,"ingre-Año";#N/A,#N/A,FALSE,"ventas-Año";#N/A,#N/A,FALSE,"Costepro";#N/A,#N/A,FALSE,"inversion";#N/A,#N/A,FALSE,"personal";#N/A,#N/A,FALSE,"Gastos-V";#N/A,#N/A,FALSE,"Circulante";#N/A,#N/A,FALSE,"CONSOLI";#N/A,#N/A,FALSE,"Es-Fin";#N/A,#N/A,FALSE,"Margen-P"}</definedName>
    <definedName name="ROIV44">{#N/A,#N/A,FALSE,"Pharm";#N/A,#N/A,FALSE,"WWCM"}</definedName>
    <definedName name="ROIV45">{#N/A,#N/A,TRUE,"Cover sheet";#N/A,#N/A,TRUE,"Summary";#N/A,#N/A,TRUE,"Key Assumptions";#N/A,#N/A,TRUE,"Profit &amp; Loss";#N/A,#N/A,TRUE,"Balance Sheet";#N/A,#N/A,TRUE,"Cashflow";#N/A,#N/A,TRUE,"IRR";#N/A,#N/A,TRUE,"Ratios";#N/A,#N/A,TRUE,"Debt analysis"}</definedName>
    <definedName name="ROIV46">{#N/A,#N/A,FALSE,"Bestfoods";#N/A,#N/A,FALSE,"Campbell";#N/A,#N/A,FALSE,"ConAgra";#N/A,#N/A,FALSE,"Healthy Choice";#N/A,#N/A,FALSE,"Int'l Home Foods";#N/A,#N/A,FALSE,"General Mills";#N/A,#N/A,FALSE,"Heinz";#N/A,#N/A,FALSE,"Kellogg";#N/A,#N/A,FALSE,"Kraft";#N/A,#N/A,FALSE,"Nabisco";#N/A,#N/A,FALSE,"Quaker Oats";#N/A,#N/A,FALSE,"Sara Lee";#N/A,#N/A,FALSE,"print summary"}</definedName>
    <definedName name="ROIV47">{#N/A,#N/A,FALSE,"Bestfoods";#N/A,#N/A,FALSE,"Campbell";#N/A,#N/A,FALSE,"ConAgra";#N/A,#N/A,FALSE,"Healthy Choice";#N/A,#N/A,FALSE,"Int'l Home Foods";#N/A,#N/A,FALSE,"General Mills";#N/A,#N/A,FALSE,"Heinz";#N/A,#N/A,FALSE,"Kellogg";#N/A,#N/A,FALSE,"Kraft";#N/A,#N/A,FALSE,"Nabisco";#N/A,#N/A,FALSE,"Quaker Oats";#N/A,#N/A,FALSE,"Sara Lee";#N/A,#N/A,FALSE,"print summary"}</definedName>
    <definedName name="ROIV48">{"quarterly",#N/A,FALSE,"Income Statement";#N/A,#N/A,FALSE,"print segment";#N/A,#N/A,FALSE,"Balance Sheet";#N/A,#N/A,FALSE,"Annl Inc";#N/A,#N/A,FALSE,"Cash Flow"}</definedName>
    <definedName name="ROIV49">{"quarterly",#N/A,FALSE,"Income Statement";#N/A,#N/A,FALSE,"print segment";#N/A,#N/A,FALSE,"Balance Sheet";#N/A,#N/A,FALSE,"Annl Inc";#N/A,#N/A,FALSE,"Cash Flow"}</definedName>
    <definedName name="ROIV5">[10]Summary!#REF!</definedName>
    <definedName name="ROIV6">[11]ER10_Old!#REF!</definedName>
    <definedName name="ROIV7">[8]Antrag!$E$32:$N$32</definedName>
    <definedName name="ROIV8">{#N/A,#N/A,FALSE,"Pharm";#N/A,#N/A,FALSE,"WWCM"}</definedName>
    <definedName name="ROIV9">{#N/A,#N/A,FALSE,"Hip.Bas";#N/A,#N/A,FALSE,"ventas";#N/A,#N/A,FALSE,"ingre-Año";#N/A,#N/A,FALSE,"ventas-Año";#N/A,#N/A,FALSE,"Costepro";#N/A,#N/A,FALSE,"inversion";#N/A,#N/A,FALSE,"personal";#N/A,#N/A,FALSE,"Gastos-V";#N/A,#N/A,FALSE,"Circulante";#N/A,#N/A,FALSE,"CONSOLI";#N/A,#N/A,FALSE,"Es-Fin";#N/A,#N/A,FALSE,"Margen-P"}</definedName>
    <definedName name="Roulage">{"'ID(2)'!$E$1:$N$4"}</definedName>
    <definedName name="rr">{"plansummary",#N/A,FALSE,"PlanSummary";"sales",#N/A,FALSE,"Sales Rec";"productivity",#N/A,FALSE,"Productivity Rec";"capitalspending",#N/A,FALSE,"Capital Spending"}</definedName>
    <definedName name="rrrrr">{#N/A,#N/A,FALSE,"BANNERS";#N/A,#N/A,FALSE,"Market";#N/A,#N/A,FALSE,"Tel Rev";#N/A,#N/A,FALSE,"Revenues IOL";#N/A,#N/A,FALSE,"Invest";#N/A,#N/A,FALSE,"Op Cost1";#N/A,#N/A,FALSE,"Op Cost2";#N/A,#N/A,FALSE,"Oth_&amp;_Tot_Revenues";#N/A,#N/A,FALSE,"Fin Mod";#N/A,#N/A,FALSE,"FinMod_RoW";#N/A,#N/A,FALSE,"P&amp;E Burocrat";#N/A,#N/A,FALSE,"cash flow"}</definedName>
    <definedName name="rrrrrr">{"cash plan",#N/A,FALSE,"fccashflow"}</definedName>
    <definedName name="rsem">{#N/A,#N/A,FALSE,"1996";#N/A,#N/A,FALSE,"1995";#N/A,#N/A,FALSE,"1994"}</definedName>
    <definedName name="rt">{#N/A,#N/A,TRUE,"Cover sheet";#N/A,#N/A,TRUE,"Summary";#N/A,#N/A,TRUE,"Key Assumptions";#N/A,#N/A,TRUE,"Profit &amp; Loss";#N/A,#N/A,TRUE,"Balance Sheet";#N/A,#N/A,TRUE,"Cashflow";#N/A,#N/A,TRUE,"IRR";#N/A,#N/A,TRUE,"Ratios";#N/A,#N/A,TRUE,"Debt analysis"}</definedName>
    <definedName name="rtyjj">#REF!</definedName>
    <definedName name="rweg">{#N/A,#N/A,TRUE,"Total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rwert">{#N/A,#N/A,FALSE,"Pharm";#N/A,#N/A,FALSE,"WWCM"}</definedName>
    <definedName name="Rwvu.A.">[54]PGW!#REF!,[54]PGW!#REF!,[54]PGW!#REF!,[54]PGW!#REF!,[54]PGW!#REF!,[54]PGW!#REF!,[54]PGW!#REF!</definedName>
    <definedName name="s" hidden="1">#REF!</definedName>
    <definedName name="saaaaaaaaaaaaaaaaaaa" hidden="1">{#N/A,#N/A,FALSE,"ExitStratigy"}</definedName>
    <definedName name="sadd" hidden="1">{"MonthlyRentRoll",#N/A,FALSE,"RentRoll"}</definedName>
    <definedName name="saddd" hidden="1">{"AnnualRentRoll",#N/A,FALSE,"RentRoll"}</definedName>
    <definedName name="sadddd" hidden="1">{"AnnualRentRoll",#N/A,FALSE,"RentRoll"}</definedName>
    <definedName name="saddddd" hidden="1">{"AnnualRentRoll",#N/A,FALSE,"RentRoll"}</definedName>
    <definedName name="sadddddddd" hidden="1">{#N/A,#N/A,FALSE,"ExitStratigy"}</definedName>
    <definedName name="sadddddddddd" hidden="1">{#N/A,#N/A,FALSE,"LoanAssumptions"}</definedName>
    <definedName name="saddddddddddddd" hidden="1">{#N/A,#N/A,FALSE,"OperatingAssumptions"}</definedName>
    <definedName name="sadgtdrt">{#N/A,#N/A,FALSE,"PMTABB";#N/A,#N/A,FALSE,"PMTABB"}</definedName>
    <definedName name="SAG">#REF!</definedName>
    <definedName name="sajdcklasjdlkas">{"Curves","Chart 2","Curves Graphique 2"}</definedName>
    <definedName name="sally">{#N/A,#N/A,FALSE,"Pharm";#N/A,#N/A,FALSE,"WWCM"}</definedName>
    <definedName name="SAPBEXdnldView" hidden="1">"DI83Q8RX3IT21NDMERG0URXYR"</definedName>
    <definedName name="SAPBEXhrIndnt">"Wide"</definedName>
    <definedName name="SAPBEXrevision" hidden="1">1</definedName>
    <definedName name="SAPBEXsysID" hidden="1">"UGP"</definedName>
    <definedName name="SAPBEXwbID" hidden="1">"3KXFIJKW471ETK2DZJN9BV3BW"</definedName>
    <definedName name="SAPFuncF4Help" localSheetId="10">Main.SAPF4Help()</definedName>
    <definedName name="SAPFuncF4Help" localSheetId="8">Main.SAPF4Help()</definedName>
    <definedName name="SAPFuncF4Help" localSheetId="5">Main.SAPF4Help()</definedName>
    <definedName name="SAPFuncF4Help" localSheetId="20">Main.SAPF4Help()</definedName>
    <definedName name="SAPFuncF4Help" localSheetId="22">Main.SAPF4Help()</definedName>
    <definedName name="SAPFuncF4Help" localSheetId="21">Main.SAPF4Help()</definedName>
    <definedName name="SAPFuncF4Help">Main.SAPF4Help()</definedName>
    <definedName name="SAPsysID">"708C5W7SBKP804JT78WJ0JNKI"</definedName>
    <definedName name="SAPwbID">"ARS"</definedName>
    <definedName name="sas" hidden="1">#REF!</definedName>
    <definedName name="SBH長" hidden="1">#REF!</definedName>
    <definedName name="scen_name1">"high1 normal"</definedName>
    <definedName name="scen_name2">"high1 high"</definedName>
    <definedName name="scen_name3">"low1 normal"</definedName>
    <definedName name="scen_name4">"low 2 normal"</definedName>
    <definedName name="scen_name5">"low2 high"</definedName>
    <definedName name="scen_name6">"low1 high"</definedName>
    <definedName name="scen_user1">"Dorit Timman"</definedName>
    <definedName name="scen_user2">"Dorit Timman"</definedName>
    <definedName name="scen_user3">"Dorit Timman"</definedName>
    <definedName name="scen_user4">"Dorit Timman"</definedName>
    <definedName name="scen_user5">"Dorit Timman"</definedName>
    <definedName name="scen_user6">"Dorit Timman"</definedName>
    <definedName name="scenario">#REF!</definedName>
    <definedName name="SD">{#N/A,#N/A,FALSE,"Pharm";#N/A,#N/A,FALSE,"WWCM"}</definedName>
    <definedName name="sdadawdwe" hidden="1">{"Page1",#N/A,FALSE,"Segment Overview";"Page2",#N/A,FALSE,"Segment Overview";"Page3",#N/A,FALSE,"Summary";"Page4",#N/A,FALSE,"Summary";"Page5",#N/A,FALSE,"US Pubs Rev";"Page6",#N/A,FALSE,"US Pubs Rev";"Page7",#N/A,FALSE,"US Pubs EBITDA";"Page8",#N/A,FALSE,"US Pubs EBITDA"}</definedName>
    <definedName name="sdafgs">{#N/A,#N/A,FALSE,"Pharm";#N/A,#N/A,FALSE,"WWCM"}</definedName>
    <definedName name="sdasd">{"EVA",#N/A,FALSE,"EVA";"WACC",#N/A,FALSE,"WACC"}</definedName>
    <definedName name="sdf" hidden="1">{"Page1",#N/A,FALSE,"Segment Overview";"Page2",#N/A,FALSE,"Segment Overview";"Page3",#N/A,FALSE,"Summary";"Page4",#N/A,FALSE,"Summary";"Page5",#N/A,FALSE,"US Pubs Rev";"Page6",#N/A,FALSE,"US Pubs Rev";"Page7",#N/A,FALSE,"US Pubs EBITDA";"Page8",#N/A,FALSE,"US Pubs EBITDA"}</definedName>
    <definedName name="sdfag">{#N/A,#N/A,FALSE,"FREE"}</definedName>
    <definedName name="sdfh">{#N/A,#N/A,FALSE,"Pharm";#N/A,#N/A,FALSE,"WWCM"}</definedName>
    <definedName name="SDFHG">{"Agg Output",#N/A,FALSE,"Operational Drivers Output";"NW Output",#N/A,FALSE,"Operational Drivers Output";"South Output",#N/A,FALSE,"Operational Drivers Output";"Central Output",#N/A,FALSE,"Operational Drivers Output"}</definedName>
    <definedName name="sdfmmy">[27]Demand!#REF!</definedName>
    <definedName name="sdfr" hidden="1">{"Page1",#N/A,FALSE,"Segment Overview";"Page2",#N/A,FALSE,"Segment Overview";"Page3",#N/A,FALSE,"Summary";"Page4",#N/A,FALSE,"Summary";"Page5",#N/A,FALSE,"US Pubs Rev";"Page6",#N/A,FALSE,"US Pubs Rev";"Page7",#N/A,FALSE,"US Pubs EBITDA";"Page8",#N/A,FALSE,"US Pubs EBITDA"}</definedName>
    <definedName name="sdfskdfskdf">{#N/A,#N/A,FALSE,"TOWNSHIP"}</definedName>
    <definedName name="sdg">{#N/A,#N/A,FALSE,"TOWNSHIP"}</definedName>
    <definedName name="sdgagf">{#N/A,#N/A,FALSE,"Pharm";#N/A,#N/A,FALSE,"WWCM"}</definedName>
    <definedName name="sdgsfhb">{"'Sheet1'!$A$1:$H$145"}</definedName>
    <definedName name="sdhdhfdfhh">{#N/A,#N/A,FALSE,"Balance Sheet";#N/A,#N/A,FALSE,"Income Statement";#N/A,#N/A,FALSE,"Changes in Financial Position"}</definedName>
    <definedName name="sdrf">{#N/A,#N/A,FALSE,"FREE"}</definedName>
    <definedName name="SDSA" hidden="1">#REF!</definedName>
    <definedName name="sdsadasd">{#N/A,#N/A,FALSE,"Pharm";#N/A,#N/A,FALSE,"WWCM"}</definedName>
    <definedName name="sdsd">{#N/A,#N/A,FALSE,"REPORT"}</definedName>
    <definedName name="segfsdvgfsd">{"page1",#N/A,FALSE,"BHCOMPC5";"page2",#N/A,FALSE,"BHCOMPC5";"page3",#N/A,FALSE,"BHCOMPC5";"page4",#N/A,FALSE,"BHCOMPC5"}</definedName>
    <definedName name="sel" hidden="1">#REF!</definedName>
    <definedName name="sencount" hidden="1">1</definedName>
    <definedName name="serft" hidden="1">{"Page1",#N/A,FALSE,"Segment Overview";"Page2",#N/A,FALSE,"Segment Overview";"Page3",#N/A,FALSE,"Summary";"Page4",#N/A,FALSE,"Summary";"Page5",#N/A,FALSE,"US Pubs Rev";"Page6",#N/A,FALSE,"US Pubs Rev";"Page7",#N/A,FALSE,"US Pubs EBITDA";"Page8",#N/A,FALSE,"US Pubs EBITDA"}</definedName>
    <definedName name="serwtuyh" hidden="1">{"Page1",#N/A,FALSE,"Segment Overview";"Page2",#N/A,FALSE,"Segment Overview";"Page3",#N/A,FALSE,"Summary";"Page4",#N/A,FALSE,"Summary";"Page5",#N/A,FALSE,"US Pubs Rev";"Page6",#N/A,FALSE,"US Pubs Rev";"Page7",#N/A,FALSE,"US Pubs EBITDA";"Page8",#N/A,FALSE,"US Pubs EBITDA"}</definedName>
    <definedName name="sewry" hidden="1">{"Page1",#N/A,FALSE,"Segment Overview";"Page2",#N/A,FALSE,"Segment Overview";"Page3",#N/A,FALSE,"Summary";"Page4",#N/A,FALSE,"Summary";"Page5",#N/A,FALSE,"US Pubs Rev";"Page6",#N/A,FALSE,"US Pubs Rev";"Page7",#N/A,FALSE,"US Pubs EBITDA";"Page8",#N/A,FALSE,"US Pubs EBITDA"}</definedName>
    <definedName name="sf">{#N/A,#N/A,FALSE,"Sales Graph";#N/A,#N/A,FALSE,"BUC Graph";#N/A,#N/A,FALSE,"P&amp;L - YTD"}</definedName>
    <definedName name="sfads">{"EVA",#N/A,FALSE,"EVA";"WACC",#N/A,FALSE,"WACC"}</definedName>
    <definedName name="sfd">#REF!</definedName>
    <definedName name="sfdirect">{#N/A,#N/A,FALSE,"REPORT"}</definedName>
    <definedName name="sfer" hidden="1">{"Page1",#N/A,FALSE,"Segment Overview";"Page2",#N/A,FALSE,"Segment Overview";"Page3",#N/A,FALSE,"Summary";"Page4",#N/A,FALSE,"Summary";"Page5",#N/A,FALSE,"US Pubs Rev";"Page6",#N/A,FALSE,"US Pubs Rev";"Page7",#N/A,FALSE,"US Pubs EBITDA";"Page8",#N/A,FALSE,"US Pubs EBITDA"}</definedName>
    <definedName name="SFG">{TRUE,TRUE,-1.25,-15.5,456.75,279.75,FALSE,FALSE,TRUE,TRUE,0,1,21,1,127,6,3,4,TRUE,TRUE,3,TRUE,1,TRUE,100,"Swvu.profits.","ACwvu.profits.",1,FALSE,FALSE,0.511811023622047,0.511811023622047,0.511811023622047,0.511811023622047,1,"","",FALSE,FALSE,FALSE,FALSE,1,#N/A,1,1,#DIV/0!,FALSE,"Rwvu.profits.",#N/A,FALSE,FALSE}</definedName>
    <definedName name="sfgjjsj">[27]Occ!#REF!</definedName>
    <definedName name="sfgjt">[27]Occ!#REF!</definedName>
    <definedName name="sfgv">{"consolidated",#N/A,FALSE,"Sheet1";"cms",#N/A,FALSE,"Sheet1";"fse",#N/A,FALSE,"Sheet1"}</definedName>
    <definedName name="sfjrt">[27]Occ!#REF!</definedName>
    <definedName name="sfmrtj">[27]Occ!#REF!</definedName>
    <definedName name="sfnrt">#REF!</definedName>
    <definedName name="sfq">{#N/A,#N/A,FALSE,"Calc";#N/A,#N/A,FALSE,"Sensitivity";#N/A,#N/A,FALSE,"LT Earn.Dil.";#N/A,#N/A,FALSE,"Dil. AVP"}</definedName>
    <definedName name="sfsadfa" hidden="1">{"Page1",#N/A,FALSE,"Segment Overview";"Page2",#N/A,FALSE,"Segment Overview";"Page3",#N/A,FALSE,"Summary";"Page4",#N/A,FALSE,"Summary";"Page5",#N/A,FALSE,"US Pubs Rev";"Page6",#N/A,FALSE,"US Pubs Rev";"Page7",#N/A,FALSE,"US Pubs EBITDA";"Page8",#N/A,FALSE,"US Pubs EBITDA"}</definedName>
    <definedName name="sfsf">{#N/A,#N/A,FALSE,"Calc";#N/A,#N/A,FALSE,"Sensitivity";#N/A,#N/A,FALSE,"LT Earn.Dil.";#N/A,#N/A,FALSE,"Dil. AVP"}</definedName>
    <definedName name="sg">{"'I-1 and I-2'!$A$1:$G$190"}</definedName>
    <definedName name="sgaa" hidden="1">{"Page1",#N/A,FALSE,"Segment Overview";"Page2",#N/A,FALSE,"Segment Overview";"Page3",#N/A,FALSE,"Summary";"Page4",#N/A,FALSE,"Summary";"Page5",#N/A,FALSE,"US Pubs Rev";"Page6",#N/A,FALSE,"US Pubs Rev";"Page7",#N/A,FALSE,"US Pubs EBITDA";"Page8",#N/A,FALSE,"US Pubs EBITDA"}</definedName>
    <definedName name="sgag">{"page1",#N/A,FALSE,"BHCOMPC5";"page2",#N/A,FALSE,"BHCOMPC5";"page3",#N/A,FALSE,"BHCOMPC5";"page4",#N/A,FALSE,"BHCOMPC5"}</definedName>
    <definedName name="SGD">#REF!</definedName>
    <definedName name="sgddfg">{#N/A,#N/A,FALSE,"PMTABB";#N/A,#N/A,FALSE,"PMTABB"}</definedName>
    <definedName name="sgdg">{#N/A,#N/A,FALSE,"Calc";#N/A,#N/A,FALSE,"Sensitivity";#N/A,#N/A,FALSE,"LT Earn.Dil.";#N/A,#N/A,FALSE,"Dil. AVP"}</definedName>
    <definedName name="sgjsr">[27]Occ!#REF!</definedName>
    <definedName name="sgrs" hidden="1">{"Page1",#N/A,FALSE,"Segment Overview";"Page2",#N/A,FALSE,"Segment Overview";"Page3",#N/A,FALSE,"Summary";"Page4",#N/A,FALSE,"Summary";"Page5",#N/A,FALSE,"US Pubs Rev";"Page6",#N/A,FALSE,"US Pubs Rev";"Page7",#N/A,FALSE,"US Pubs EBITDA";"Page8",#N/A,FALSE,"US Pubs EBITDA"}</definedName>
    <definedName name="sgsgs" hidden="1">{"Page1",#N/A,FALSE,"Segment Overview";"Page2",#N/A,FALSE,"Segment Overview";"Page3",#N/A,FALSE,"Summary";"Page4",#N/A,FALSE,"Summary";"Page5",#N/A,FALSE,"US Pubs Rev";"Page6",#N/A,FALSE,"US Pubs Rev";"Page7",#N/A,FALSE,"US Pubs EBITDA";"Page8",#N/A,FALSE,"US Pubs EBITDA"}</definedName>
    <definedName name="sgsgs5" hidden="1">{"Page1",#N/A,FALSE,"Segment Overview";"Page2",#N/A,FALSE,"Segment Overview";"Page3",#N/A,FALSE,"Summary";"Page4",#N/A,FALSE,"Summary";"Page5",#N/A,FALSE,"US Pubs Rev";"Page6",#N/A,FALSE,"US Pubs Rev";"Page7",#N/A,FALSE,"US Pubs EBITDA";"Page8",#N/A,FALSE,"US Pubs EBITDA"}</definedName>
    <definedName name="sgsx">{"consolidated",#N/A,FALSE,"Sheet1";"cms",#N/A,FALSE,"Sheet1";"fse",#N/A,FALSE,"Sheet1"}</definedName>
    <definedName name="SHFIAJD">{"Curves","Chart 3","Curves Graphique 3"}</definedName>
    <definedName name="sht">#REF!</definedName>
    <definedName name="SIG_BILACT_firstLine">'[41]BALANCE SHEET'!#REF!</definedName>
    <definedName name="SIG_BILACT_H349">#REF!</definedName>
    <definedName name="SIG_BILACT_H350">#REF!</definedName>
    <definedName name="SIG_BILACT_H351">#REF!</definedName>
    <definedName name="SIG_BILACT_H352">#REF!</definedName>
    <definedName name="SIG_BILACT_H353">#REF!</definedName>
    <definedName name="SIG_BILACT_H354">#REF!</definedName>
    <definedName name="SIG_BILACT_H355">#REF!</definedName>
    <definedName name="SIG_BILACT_H356">#REF!</definedName>
    <definedName name="SIG_BILACT_H357">#REF!</definedName>
    <definedName name="SIG_BILACT_H358">#REF!</definedName>
    <definedName name="SIG_BILACT_H359">#REF!</definedName>
    <definedName name="SIG_BILACT_H360">#REF!</definedName>
    <definedName name="SIG_BILACT_H361">#REF!</definedName>
    <definedName name="SIG_BILACT_H362">#REF!</definedName>
    <definedName name="SIG_BILACT_H363">#REF!</definedName>
    <definedName name="SIG_BILACT_IsControlOK">'[41]BALANCE SHEET'!#REF!</definedName>
    <definedName name="SIG_BILACT_lastLine">'[41]BALANCE SHEET'!#REF!</definedName>
    <definedName name="SIG_BILACT_TITLECOL">'[55]BALANCE SHEET'!#REF!</definedName>
    <definedName name="SIG_BILACT_TITLELINE">'[56]BALANCE SHEET'!#REF!</definedName>
    <definedName name="SIG_BILPAS_firstLine">#REF!</definedName>
    <definedName name="SIG_BILPAS_H079">#REF!</definedName>
    <definedName name="SIG_BILPAS_H080">#REF!</definedName>
    <definedName name="SIG_BILPAS_H081">#REF!</definedName>
    <definedName name="SIG_BILPAS_H082">#REF!</definedName>
    <definedName name="SIG_BILPAS_H083">#REF!</definedName>
    <definedName name="SIG_BILPAS_H084">#REF!</definedName>
    <definedName name="SIG_BILPAS_H085">#REF!</definedName>
    <definedName name="SIG_BILPAS_H086">#REF!</definedName>
    <definedName name="SIG_BILPAS_H087">#REF!</definedName>
    <definedName name="SIG_BILPAS_H088">#REF!</definedName>
    <definedName name="SIG_BILPAS_H089">#REF!</definedName>
    <definedName name="SIG_BILPAS_H090">#REF!</definedName>
    <definedName name="SIG_BILPAS_H091">#REF!</definedName>
    <definedName name="SIG_BILPAS_H092">#REF!</definedName>
    <definedName name="SIG_BILPAS_H093">#REF!</definedName>
    <definedName name="SIG_BILPAS_IsControlOK">#REF!</definedName>
    <definedName name="SIG_BILPAS_lastLine">#REF!</definedName>
    <definedName name="SIG_BILPAS_TITLECOL">#REF!</definedName>
    <definedName name="SIG_BILPAS_TITLELINE">#REF!</definedName>
    <definedName name="SIG_CONTROLE">#REF!</definedName>
    <definedName name="SIG_DERNIERECOLONNE">#REF!</definedName>
    <definedName name="SIG_LG11_firstLine">#REF!</definedName>
    <definedName name="SIG_LG11_H349">#REF!</definedName>
    <definedName name="SIG_LG11_H353">#REF!</definedName>
    <definedName name="SIG_LG11_H354">#REF!</definedName>
    <definedName name="SIG_LG11_H357">#REF!</definedName>
    <definedName name="SIG_LG11_H358">#REF!</definedName>
    <definedName name="SIG_LG11_H359">#REF!</definedName>
    <definedName name="SIG_LG11_H388">#REF!</definedName>
    <definedName name="SIG_LG11_H395">#REF!</definedName>
    <definedName name="SIG_LG11_IsControlOK">#REF!</definedName>
    <definedName name="SIG_LG11_lastLine">#REF!</definedName>
    <definedName name="SIG_LG11_ListeRangeMontant">#REF!</definedName>
    <definedName name="SIG_LG11_TITLECOL">#REF!</definedName>
    <definedName name="SIG_LG11_TITLELINE">#REF!</definedName>
    <definedName name="SIG_PTBD_BILACT">'[56]BALANCE SHEET'!#REF!</definedName>
    <definedName name="SIG_PTBD_BILPAS">#REF!</definedName>
    <definedName name="SIG_PTBD_LG11">#REF!</definedName>
    <definedName name="SIG_PTBD_RESULTA1">[57]USI!#REF!</definedName>
    <definedName name="SIG_PTBD_RESULTA2">#REF!</definedName>
    <definedName name="SIG_PTBD_SEC3905">#REF!</definedName>
    <definedName name="SIG_PTBD_SES864">#REF!</definedName>
    <definedName name="SIG_PTBD_SES874">#REF!</definedName>
    <definedName name="SIG_PTBD_SES881">#REF!</definedName>
    <definedName name="SIG_PTBD_SES882">#REF!</definedName>
    <definedName name="SIG_PTBD_STC1010">#REF!</definedName>
    <definedName name="SIG_PTBD_STL2010">#REF!</definedName>
    <definedName name="SIG_PTHG_BILACT">'[56]BALANCE SHEET'!#REF!</definedName>
    <definedName name="SIG_PTHG_BILPAS">#REF!</definedName>
    <definedName name="SIG_PTHG_LG11">#REF!</definedName>
    <definedName name="SIG_PTHG_RESULTA1">[57]USI!#REF!</definedName>
    <definedName name="SIG_PTHG_RESULTA2">#REF!</definedName>
    <definedName name="SIG_PTHG_SEC3905">#REF!</definedName>
    <definedName name="SIG_PTHG_SES864">#REF!</definedName>
    <definedName name="SIG_PTHG_SES874">#REF!</definedName>
    <definedName name="SIG_PTHG_SES881">#REF!</definedName>
    <definedName name="SIG_PTHG_SES882">#REF!</definedName>
    <definedName name="SIG_PTHG_STC1010">#REF!</definedName>
    <definedName name="SIG_PTHG_STL2010">#REF!</definedName>
    <definedName name="SIG_RESULTA1_firstLine">[57]USI!#REF!</definedName>
    <definedName name="SIG_RESULTA1_H009">#REF!</definedName>
    <definedName name="SIG_RESULTA1_H010">#REF!</definedName>
    <definedName name="SIG_RESULTA1_H011">#REF!</definedName>
    <definedName name="SIG_RESULTA1_H012">#REF!</definedName>
    <definedName name="SIG_RESULTA1_H013">#REF!</definedName>
    <definedName name="SIG_RESULTA1_H014">#REF!</definedName>
    <definedName name="SIG_RESULTA1_H015">#REF!</definedName>
    <definedName name="SIG_RESULTA1_H016">#REF!</definedName>
    <definedName name="SIG_RESULTA1_H017">#REF!</definedName>
    <definedName name="SIG_RESULTA1_H018">#REF!</definedName>
    <definedName name="SIG_RESULTA1_H019">#REF!</definedName>
    <definedName name="SIG_RESULTA1_H020">#REF!</definedName>
    <definedName name="SIG_RESULTA1_H021">#REF!</definedName>
    <definedName name="SIG_RESULTA1_H022">#REF!</definedName>
    <definedName name="SIG_RESULTA1_H023">#REF!</definedName>
    <definedName name="SIG_RESULTA1_TITLECOL">[57]USI!#REF!</definedName>
    <definedName name="SIG_RESULTA1_TITLELINE">[57]USI!#REF!</definedName>
    <definedName name="SIG_RESULTA2_firstLine">#REF!</definedName>
    <definedName name="SIG_RESULTA2_H007">#REF!</definedName>
    <definedName name="SIG_RESULTA2_H008">#REF!</definedName>
    <definedName name="SIG_RESULTA2_H009">#REF!</definedName>
    <definedName name="SIG_RESULTA2_H010">#REF!</definedName>
    <definedName name="SIG_RESULTA2_H011">#REF!</definedName>
    <definedName name="SIG_RESULTA2_H012">#REF!</definedName>
    <definedName name="SIG_RESULTA2_H013">#REF!</definedName>
    <definedName name="SIG_RESULTA2_H014">#REF!</definedName>
    <definedName name="SIG_RESULTA2_H015">#REF!</definedName>
    <definedName name="SIG_RESULTA2_H016">#REF!</definedName>
    <definedName name="SIG_RESULTA2_H017">#REF!</definedName>
    <definedName name="SIG_RESULTA2_H018">#REF!</definedName>
    <definedName name="SIG_RESULTA2_H019">#REF!</definedName>
    <definedName name="SIG_RESULTA2_H020">#REF!</definedName>
    <definedName name="SIG_RESULTA2_H021">#REF!</definedName>
    <definedName name="SIG_RESULTA2_IsControlOK">#REF!</definedName>
    <definedName name="SIG_RESULTA2_lastLine">#REF!</definedName>
    <definedName name="SIG_RESULTA2_TITLECOL">#REF!</definedName>
    <definedName name="SIG_RESULTA2_TITLELINE">#REF!</definedName>
    <definedName name="SIG_SEC3905_firstLine">#REF!</definedName>
    <definedName name="SIG_SEC3905_H0001">#REF!</definedName>
    <definedName name="SIG_SEC3905_H0002">#REF!</definedName>
    <definedName name="SIG_SEC3905_H0003">#REF!</definedName>
    <definedName name="SIG_SEC3905_H0004">#REF!</definedName>
    <definedName name="SIG_SEC3905_H0005">#REF!</definedName>
    <definedName name="SIG_SEC3905_IsControlOK">#REF!</definedName>
    <definedName name="SIG_SEC3905_lastLine">#REF!</definedName>
    <definedName name="SIG_SEC3905_TITLELINE">#REF!</definedName>
    <definedName name="SIG_SES862_H0001">#REF!</definedName>
    <definedName name="SIG_SES862_H0002">#REF!</definedName>
    <definedName name="SIG_SES862_H0003">#REF!</definedName>
    <definedName name="SIG_SES862_H0004">#REF!</definedName>
    <definedName name="SIG_SES862_H0005">#REF!</definedName>
    <definedName name="SIG_SES864_firstLine">#REF!</definedName>
    <definedName name="SIG_SES864_H0001">#REF!</definedName>
    <definedName name="SIG_SES864_H0002">#REF!</definedName>
    <definedName name="SIG_SES864_H0003">#REF!</definedName>
    <definedName name="SIG_SES864_H0004">#REF!</definedName>
    <definedName name="SIG_SES864_H0005">#REF!</definedName>
    <definedName name="SIG_SES864_IsControlOK">#REF!</definedName>
    <definedName name="SIG_SES864_lastLine">#REF!</definedName>
    <definedName name="SIG_SES864_TITLELINE">#REF!</definedName>
    <definedName name="SIG_SES872_H0001">#REF!</definedName>
    <definedName name="SIG_SES872_H0002">#REF!</definedName>
    <definedName name="SIG_SES872_H0003">#REF!</definedName>
    <definedName name="SIG_SES872_H0004">#REF!</definedName>
    <definedName name="SIG_SES872_H0005">#REF!</definedName>
    <definedName name="SIG_SES874_firstLine">#REF!</definedName>
    <definedName name="SIG_SES874_H0001">#REF!</definedName>
    <definedName name="SIG_SES874_H0002">#REF!</definedName>
    <definedName name="SIG_SES874_H0003">#REF!</definedName>
    <definedName name="SIG_SES874_H0004">#REF!</definedName>
    <definedName name="SIG_SES874_H0005">#REF!</definedName>
    <definedName name="SIG_SES874_IsControlOK">#REF!</definedName>
    <definedName name="SIG_SES874_lastLine">#REF!</definedName>
    <definedName name="SIG_SES874_TITLELINE">#REF!</definedName>
    <definedName name="SIG_SES881_firstLine">#REF!</definedName>
    <definedName name="SIG_SES881_IsControlOK">#REF!</definedName>
    <definedName name="SIG_SES881_lastLine">#REF!</definedName>
    <definedName name="SIG_SES881_TITLELINE">#REF!</definedName>
    <definedName name="SIG_SES882_firstLine">#REF!</definedName>
    <definedName name="SIG_SES882_IsControlOK">#REF!</definedName>
    <definedName name="SIG_SES882_lastLine">#REF!</definedName>
    <definedName name="SIG_SES882_TITLELINE">#REF!</definedName>
    <definedName name="SIG_STC1010_firstLine">#REF!</definedName>
    <definedName name="SIG_STC1010_H001">#REF!</definedName>
    <definedName name="SIG_STC1010_H002">#REF!</definedName>
    <definedName name="SIG_STC1010_H003">#REF!</definedName>
    <definedName name="SIG_STC1010_H004">#REF!</definedName>
    <definedName name="SIG_STC1010_H005">#REF!</definedName>
    <definedName name="SIG_STC1010_IsControlOK">#REF!</definedName>
    <definedName name="SIG_STC1010_lastLine">#REF!</definedName>
    <definedName name="SIG_STC1010_TITLELINE">#REF!</definedName>
    <definedName name="SIG_STL2010_firstLine">#REF!</definedName>
    <definedName name="SIG_STL2010_H001">#REF!</definedName>
    <definedName name="SIG_STL2010_H002">#REF!</definedName>
    <definedName name="SIG_STL2010_H003">#REF!</definedName>
    <definedName name="SIG_STL2010_H004">#REF!</definedName>
    <definedName name="SIG_STL2010_H005">#REF!</definedName>
    <definedName name="SIG_STL2010_IsControlOK">#REF!</definedName>
    <definedName name="SIG_STL2010_lastLine">#REF!</definedName>
    <definedName name="SIG_STL2010_TITLELINE">#REF!</definedName>
    <definedName name="simona">{#N/A,#N/A,TRUE,"Total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jtyjk">[27]Occ!#REF!</definedName>
    <definedName name="snmjt">#REF!</definedName>
    <definedName name="snmtsg">#REF!</definedName>
    <definedName name="solver_adj">#REF!</definedName>
    <definedName name="solver_drv">1</definedName>
    <definedName name="solver_est">1</definedName>
    <definedName name="solver_itr">100</definedName>
    <definedName name="solver_lin">0</definedName>
    <definedName name="solver_num">0</definedName>
    <definedName name="solver_nwt">1</definedName>
    <definedName name="solver_opt">#REF!</definedName>
    <definedName name="solver_pre">0.000001</definedName>
    <definedName name="solver_scl">0</definedName>
    <definedName name="solver_sho">0</definedName>
    <definedName name="solver_tim">100</definedName>
    <definedName name="solver_tol">0.05</definedName>
    <definedName name="solver_typ">3</definedName>
    <definedName name="solver_val">0.6</definedName>
    <definedName name="soshiki">#REF!</definedName>
    <definedName name="sp">{"hist_bs",#N/A,FALSE,"Exhibit D,E1,E2";#N/A,#N/A,FALSE,"Exhibit E3";#N/A,#N/A,FALSE,"Mgmt. Projtn";#N/A,#N/A,FALSE,"Exhibit B-1";#N/A,#N/A,FALSE,"Exhibit A";#N/A,#N/A,FALSE,"WACC";#N/A,#N/A,FALSE,"Control";"hist_inc",#N/A,FALSE,"Exhibit D,E1,E2"}</definedName>
    <definedName name="SpecialPrice">#REF!</definedName>
    <definedName name="SPT">{#N/A,#N/A,FALSE,"F-1";#N/A,#N/A,FALSE,"F-2";#N/A,#N/A,FALSE,"f-3";#N/A,#N/A,FALSE,"H-1";#N/A,#N/A,FALSE,"h-2";#N/A,#N/A,FALSE,"J-1";#N/A,#N/A,FALSE,"K-1";#N/A,#N/A,FALSE,"K-2";#N/A,#N/A,FALSE,"QA1";#N/A,#N/A,FALSE,"Sheet2";#N/A,#N/A,FALSE,"S-1";#N/A,#N/A,FALSE,"S-2";#N/A,#N/A,FALSE,"t-4";#N/A,#N/A,FALSE,"t-3";#N/A,#N/A,FALSE,"t-2";#N/A,#N/A,FALSE,"T-1";#N/A,#N/A,FALSE,"JNL";#N/A,#N/A,FALSE,"valuation";#N/A,#N/A,FALSE,"RATIOS";#N/A,#N/A,FALSE,"SCH CAPITAL ";#N/A,#N/A,FALSE,"ETB";#N/A,#N/A,FALSE,"PROFORMA"}</definedName>
    <definedName name="sq" hidden="1">#REF!</definedName>
    <definedName name="srj">[27]Occ!#REF!</definedName>
    <definedName name="srjuk">#REF!</definedName>
    <definedName name="srtjs">[27]Occ!#REF!</definedName>
    <definedName name="ss">{"DCF1",#N/A,FALSE,"SIERRA DCF";"MATRIX1",#N/A,FALSE,"SIERRA DCF"}</definedName>
    <definedName name="SSD">{#N/A,#N/A,FALSE,"REPORT"}</definedName>
    <definedName name="ssdsa">{#N/A,#N/A,FALSE,"FREE"}</definedName>
    <definedName name="ssrtrjmd">[27]Occ!#REF!</definedName>
    <definedName name="sss">#REF!</definedName>
    <definedName name="ssss">{"'Leading KPI'!$A$1:$P$33","'Leading KPI'!$A$1:$P$33"}</definedName>
    <definedName name="SSSSS">{#N/A,#N/A,FALSE,"Staffnos &amp; cost"}</definedName>
    <definedName name="Staril">{#N/A,#N/A,FALSE,"REPORT"}</definedName>
    <definedName name="stef">{#N/A,#N/A,TRUE,"Cover sheet";#N/A,#N/A,TRUE,"Summary";#N/A,#N/A,TRUE,"Key Assumptions";#N/A,#N/A,TRUE,"Profit &amp; Loss";#N/A,#N/A,TRUE,"Balance Sheet";#N/A,#N/A,TRUE,"Cashflow";#N/A,#N/A,TRUE,"IRR";#N/A,#N/A,TRUE,"Ratios";#N/A,#N/A,TRUE,"Debt analysis"}</definedName>
    <definedName name="stjnstj">[27]Occ!#REF!</definedName>
    <definedName name="StratPlanAP">{#N/A,#N/A,FALSE,"Pharm";#N/A,#N/A,FALSE,"WWCM"}</definedName>
    <definedName name="Stub">#REF!</definedName>
    <definedName name="Suppliers">{#N/A,#N/A,FALSE,"HMF";#N/A,#N/A,FALSE,"FACIL";#N/A,#N/A,FALSE,"HMFINANCE";#N/A,#N/A,FALSE,"HMEUROPE";#N/A,#N/A,FALSE,"HHAB CONSO";#N/A,#N/A,FALSE,"PAB";#N/A,#N/A,FALSE,"MMC";#N/A,#N/A,FALSE,"THAI";#N/A,#N/A,FALSE,"SINPA";#N/A,#N/A,FALSE,"POLAND"}</definedName>
    <definedName name="SVF" hidden="1">#REF!</definedName>
    <definedName name="SX">{#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cg">{#N/A,#N/A,FALSE,"PGW"}</definedName>
    <definedName name="synergy">{"income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[16]Occ!#REF!</definedName>
    <definedName name="t.t.t" hidden="1">{"賃貸事例比較法",#N/A,FALSE,"Sheet2";"賃貸条件",#N/A,FALSE,"Sheet2"}</definedName>
    <definedName name="Takeoka" hidden="1">{"Actual",#N/A,FALSE,"(価格)";"Market",#N/A,FALSE,"(価格)";"Plan",#N/A,FALSE,"(価格)"}</definedName>
    <definedName name="tatsuya" hidden="1">{"AnnualRentRoll",#N/A,FALSE,"RentRoll"}</definedName>
    <definedName name="taxol">{#N/A,#N/A,FALSE,"Pharm";#N/A,#N/A,FALSE,"WWCM"}</definedName>
    <definedName name="Taxpb">[21]MAIN!#REF!</definedName>
    <definedName name="tbbbbbbbbbbbbbbb">{"Worldwide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tbl_ProdInfo">#REF!</definedName>
    <definedName name="tech">{#N/A,#N/A,FALSE,"Hip.Bas";#N/A,#N/A,FALSE,"ventas";#N/A,#N/A,FALSE,"ingre-Año";#N/A,#N/A,FALSE,"ventas-Año";#N/A,#N/A,FALSE,"Costepro";#N/A,#N/A,FALSE,"inversion";#N/A,#N/A,FALSE,"personal";#N/A,#N/A,FALSE,"Gastos-V";#N/A,#N/A,FALSE,"Circulante";#N/A,#N/A,FALSE,"CONSOLI";#N/A,#N/A,FALSE,"Es-Fin";#N/A,#N/A,FALSE,"Margen-P"}</definedName>
    <definedName name="Tem">{#N/A,#N/A,FALSE,"Pharm";#N/A,#N/A,FALSE,"WWCM"}</definedName>
    <definedName name="TEmp">{#N/A,#N/A,TRUE,"Total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Temp1">{"quarterly",#N/A,FALSE,"Income Statement";#N/A,#N/A,FALSE,"print segment";#N/A,#N/A,FALSE,"Balance Sheet";#N/A,#N/A,FALSE,"Annl Inc";#N/A,#N/A,FALSE,"Cash Flow"}</definedName>
    <definedName name="template">{"Deal information sheet",#N/A,TRUE,"MBOco";"Projected P and L Accounts",#N/A,TRUE,"MBOco";"Projected Balance Sheet",#N/A,TRUE,"MBOco";"Projected Cash Flows",#N/A,TRUE,"MBOco"}</definedName>
    <definedName name="TemplateVersion">[41]Reference!$C$4</definedName>
    <definedName name="teq">{#N/A,#N/A,FALSE,"Pharm";#N/A,#N/A,FALSE,"WWCM"}</definedName>
    <definedName name="Tequin">{#N/A,#N/A,FALSE,"Pharm";#N/A,#N/A,FALSE,"WWCM"}</definedName>
    <definedName name="tequinol">{#N/A,#N/A,FALSE,"REPORT"}</definedName>
    <definedName name="test">#REF!</definedName>
    <definedName name="TEST0">#REF!</definedName>
    <definedName name="Test10">[58]useless!#REF!</definedName>
    <definedName name="test2">#REF!</definedName>
    <definedName name="test23">{#VALUE!,#N/A,TRUE,0;#N/A,#N/A,TRUE,0;#N/A,#N/A,TRUE,0;#N/A,#N/A,TRUE,0;#N/A,#N/A,TRUE,0;#N/A,#N/A,TRUE,0;#N/A,#N/A,TRUE,0;#N/A,#N/A,TRUE,0;#N/A,#N/A,TRUE,0}</definedName>
    <definedName name="Test3">'[18]synthgraph COMPS'!#REF!</definedName>
    <definedName name="Test4">#REF!</definedName>
    <definedName name="Test5">'[18]synthgraph COMPS'!#REF!</definedName>
    <definedName name="Test6">'[18]synthgraph COMPS'!#REF!</definedName>
    <definedName name="Test7">#REF!</definedName>
    <definedName name="Test8">'[18]synthgraph COMPS'!#REF!</definedName>
    <definedName name="Test9">[58]useless!#REF!</definedName>
    <definedName name="teste">{#N/A,#N/A,FALSE,"Pharm";#N/A,#N/A,FALSE,"WWCM"}</definedName>
    <definedName name="TESTHKEY">#REF!</definedName>
    <definedName name="TESTKEYS">#REF!</definedName>
    <definedName name="TESTVKEY">#REF!</definedName>
    <definedName name="tete">{#N/A,#N/A,FALSE,"Calc";#N/A,#N/A,FALSE,"Sensitivity";#N/A,#N/A,FALSE,"LT Earn.Dil.";#N/A,#N/A,FALSE,"Dil. AVP"}</definedName>
    <definedName name="TextRefCopyRangeCount" hidden="1">1</definedName>
    <definedName name="thi">{"'Leading KPI'!$A$1:$P$33","'Leading KPI'!$A$1:$P$33"}</definedName>
    <definedName name="thth">{#N/A,#N/A,FALSE,"Calc";#N/A,#N/A,FALSE,"Sensitivity";#N/A,#N/A,FALSE,"LT Earn.Dil.";#N/A,#N/A,FALSE,"Dil. AVP"}</definedName>
    <definedName name="tjktyn">#REF!</definedName>
    <definedName name="tjstjr">[27]Occ!#REF!</definedName>
    <definedName name="tm1\\_0_H">"{ ""server"" : ""https://grab.planning-analytics.ibmcloud.com"", ""cube"" : ""{ \""server\"" : \""GRAB\"", \""cube\"" : \""Fin\""}""}"</definedName>
    <definedName name="toushi" hidden="1">{"Page1",#N/A,FALSE,"Segment Overview";"Page2",#N/A,FALSE,"Segment Overview";"Page3",#N/A,FALSE,"Summary";"Page4",#N/A,FALSE,"Summary";"Page5",#N/A,FALSE,"US Pubs Rev";"Page6",#N/A,FALSE,"US Pubs Rev";"Page7",#N/A,FALSE,"US Pubs EBITDA";"Page8",#N/A,FALSE,"US Pubs EBITDA"}</definedName>
    <definedName name="trout">{#N/A,#N/A,FALSE,"A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yeuyit">{#N/A,#N/A,FALSE,"Pharm";#N/A,#N/A,FALSE,"WWCM"}</definedName>
    <definedName name="tshymnsty">[27]Occ!#REF!</definedName>
    <definedName name="tt" hidden="1">{#N/A,#N/A,FALSE,"5YRASSPl - consol'd";#N/A,#N/A,FALSE,"5YRASSPl - hotel";#N/A,#N/A,FALSE,"5YRASSPl - excl htl";#N/A,#N/A,FALSE,"VarReport";#N/A,#N/A,FALSE,"Sensitivity";#N/A,#N/A,FALSE,"House View ";#N/A,#N/A,FALSE,"KPI"}</definedName>
    <definedName name="ttt" hidden="1">{#N/A,#N/A,FALSE,"１";#N/A,#N/A,FALSE,"２";#N/A,#N/A,FALSE,"３";#N/A,#N/A,FALSE,"４"}</definedName>
    <definedName name="tttttt" hidden="1">{"ｹﾝﾄ（M)",#N/A,FALSE,"収支・日割";"ｹﾝﾄ（RD)",#N/A,FALSE,"収支・日割";"ｹﾝﾄ（PMC)",#N/A,FALSE,"収支・日割"}</definedName>
    <definedName name="ty">{"'Leading KPI'!$A$1:$P$33","'Leading KPI'!$A$1:$P$33"}</definedName>
    <definedName name="tyff">{#N/A,#N/A,FALSE,"PGW"}</definedName>
    <definedName name="tyhtrh">#REF!</definedName>
    <definedName name="tyjm">#REF!</definedName>
    <definedName name="tyutytyi">{#N/A,#N/A,FALSE,"Pharm";#N/A,#N/A,FALSE,"WWCM"}</definedName>
    <definedName name="tyyufkjkhjd">{#N/A,#N/A,FALSE,"Pharm";#N/A,#N/A,FALSE,"WWCM"}</definedName>
    <definedName name="u" hidden="1">#REF!</definedName>
    <definedName name="udssat" hidden="1">{"Page1",#N/A,FALSE,"Segment Overview";"Page2",#N/A,FALSE,"Segment Overview";"Page3",#N/A,FALSE,"Summary";"Page4",#N/A,FALSE,"Summary";"Page5",#N/A,FALSE,"US Pubs Rev";"Page6",#N/A,FALSE,"US Pubs Rev";"Page7",#N/A,FALSE,"US Pubs EBITDA";"Page8",#N/A,FALSE,"US Pubs EBITDA"}</definedName>
    <definedName name="uewoiuor">#REF!</definedName>
    <definedName name="Umglieder.">{#N/A,#N/A,FALSE,"AKTIVA";#N/A,#N/A,FALSE,"PASSIVA";#N/A,#N/A,FALSE,"GUV-RECHNUNG"}</definedName>
    <definedName name="Unique">#REF!</definedName>
    <definedName name="Unique_allocated">#REF!</definedName>
    <definedName name="Unique_allocated_CRef">#REF!</definedName>
    <definedName name="Unique_allocated_RRef">#REF!</definedName>
    <definedName name="Unique_CRef">#REF!</definedName>
    <definedName name="Unique_RRef">#REF!</definedName>
    <definedName name="Unit">{#N/A,#N/A,FALSE,"Pharm";#N/A,#N/A,FALSE,"WWCM"}</definedName>
    <definedName name="usd">#REF!</definedName>
    <definedName name="usdmyr">#REF!</definedName>
    <definedName name="USDollar">#REF!</definedName>
    <definedName name="uu">{#N/A,#N/A,TRUE,"Cover sheet";#N/A,#N/A,TRUE,"Summary";#N/A,#N/A,TRUE,"Key Assumptions";#N/A,#N/A,TRUE,"Profit &amp; Loss";#N/A,#N/A,TRUE,"Balance Sheet";#N/A,#N/A,TRUE,"Cashflow";#N/A,#N/A,TRUE,"IRR";#N/A,#N/A,TRUE,"Ratios";#N/A,#N/A,TRUE,"Debt analysis"}</definedName>
    <definedName name="v">{#N/A,#N/A,FALSE,"BANNERS";#N/A,#N/A,FALSE,"Market";#N/A,#N/A,FALSE,"# of POP MAN";#N/A,#N/A,FALSE,"Penet Input";#N/A,#N/A,FALSE,"Tel Rev";#N/A,#N/A,FALSE,"Invest";#N/A,#N/A,FALSE,"Op Cost1";#N/A,#N/A,FALSE,"Op Cost2";#N/A,#N/A,FALSE,"Oth_&amp;_Tot_Revenues";#N/A,#N/A,FALSE,"Fin Mod";#N/A,#N/A,FALSE,"P&amp;E Burocrat";#N/A,#N/A,FALSE,"cash flow"}</definedName>
    <definedName name="ValuationBenchmarks">{#N/A,#N/A,FALSE,"Sensitivity"}</definedName>
    <definedName name="value1">{#N/A,#N/A,FALSE,"Cashflow Analysis";#N/A,#N/A,FALSE,"Sensitivity Analysis";#N/A,#N/A,FALSE,"PV";#N/A,#N/A,FALSE,"Pro Forma"}</definedName>
    <definedName name="vfdgrgrtg">{"'I-1 and I-2'!$A$1:$G$190"}</definedName>
    <definedName name="vg">{#N/A,#N/A,TRUE,"Cover sheet";#N/A,#N/A,TRUE,"DCF analysis";#N/A,#N/A,TRUE,"WACC calculation"}</definedName>
    <definedName name="Vik_Capex">{"'ICo.'!$J$12:$K$20"}</definedName>
    <definedName name="Vikhroli_Capex">{"'ICo.'!$J$12:$K$20"}</definedName>
    <definedName name="vm">{"'Leading KPI'!$A$1:$P$33","'Leading KPI'!$A$1:$P$33"}</definedName>
    <definedName name="vo">{"consolidated",#N/A,FALSE,"Sheet1";"cms",#N/A,FALSE,"Sheet1";"fse",#N/A,FALSE,"Sheet1"}</definedName>
    <definedName name="votl">{TRUE,TRUE,-1.25,-15.5,484.5,255,FALSE,FALSE,TRUE,FALSE,0,2,16,1,6,13,5,4,TRUE,TRUE,3,TRUE,1,TRUE,75,"Swvu.A.","ACwvu.A.",#N/A,FALSE,FALSE,0.2,0.22,1,0.641,2,"&amp;L&amp;""Arial,Bold""&amp;11Essar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M_10" hidden="1">#REF!</definedName>
    <definedName name="VTM_11" hidden="1">#REF!</definedName>
    <definedName name="VTM_12" hidden="1">#REF!</definedName>
    <definedName name="VTM_13" hidden="1">#REF!</definedName>
    <definedName name="VTM_14" hidden="1">#REF!</definedName>
    <definedName name="VTM_9" hidden="1">#REF!</definedName>
    <definedName name="vty">{TRUE,TRUE,-1.25,-15.5,484.5,255,FALSE,FALSE,TRUE,FALSE,0,2,16,1,6,13,5,4,TRUE,TRUE,3,TRUE,1,TRUE,75,"Swvu.A.","ACwvu.A.",#N/A,FALSE,FALSE,0.2,0.22,1,0.641,2,"&amp;L&amp;""Arial,Bold""&amp;11Essar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N/A,#N/A,FALSE,"Hip.Bas";#N/A,#N/A,FALSE,"ventas";#N/A,#N/A,FALSE,"ingre-Año";#N/A,#N/A,FALSE,"ventas-Año";#N/A,#N/A,FALSE,"Costepro";#N/A,#N/A,FALSE,"inversion";#N/A,#N/A,FALSE,"personal";#N/A,#N/A,FALSE,"Gastos-V";#N/A,#N/A,FALSE,"Circulante";#N/A,#N/A,FALSE,"CONSOLI";#N/A,#N/A,FALSE,"Es-Fin";#N/A,#N/A,FALSE,"Margen-P"}</definedName>
    <definedName name="vvv.dd">{TRUE,TRUE,-1.25,-15.5,484.5,255,FALSE,FALSE,TRUE,FALSE,0,2,16,1,6,13,5,4,TRUE,TRUE,3,TRUE,1,TRUE,75,"Swvu.A.","ACwvu.A.",#N/A,FALSE,FALSE,0.2,0.22,1,0.641,2,"&amp;L&amp;""Arial,Bold""&amp;11Essar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{#N/A,#N/A,FALSE,"TOWNSHIP"}</definedName>
    <definedName name="vvv.xxx">{#N/A,#N/A,FALSE,"SUMMARY";#N/A,#N/A,FALSE,"SUMMARY"}</definedName>
    <definedName name="w" hidden="1">{#N/A,#N/A,FALSE,"１";#N/A,#N/A,FALSE,"２";#N/A,#N/A,FALSE,"３";#N/A,#N/A,FALSE,"４"}</definedName>
    <definedName name="wacc">{"'Sheet1'!$A$1:$H$145"}</definedName>
    <definedName name="Wacc_a">{"'Sheet1'!$A$1:$H$145"}</definedName>
    <definedName name="wacc_asia">{"'Sheet1'!$A$1:$H$145"}</definedName>
    <definedName name="wacc_china">{"'Sheet1'!$A$1:$H$145"}</definedName>
    <definedName name="WACC_Japan">{"'Sheet1'!$A$1:$H$145"}</definedName>
    <definedName name="Wacc_US">{"'Sheet1'!$A$1:$H$145"}</definedName>
    <definedName name="Wacc_US_1">{"'Sheet1'!$A$1:$H$145"}</definedName>
    <definedName name="WACC3">{"adj95mult",#N/A,FALSE,"COMPCO";"adj95est",#N/A,FALSE,"COMPCO"}</definedName>
    <definedName name="was">{#N/A,#N/A,FALSE,"Sales Graph";#N/A,#N/A,FALSE,"BUC Graph";#N/A,#N/A,FALSE,"P&amp;L - YTD"}</definedName>
    <definedName name="wb">{#N/A,#N/A,FALSE,"Pharm";#N/A,#N/A,FALSE,"WWCM"}</definedName>
    <definedName name="wc">{#N/A,#N/A,FALSE,"Pharm";#N/A,#N/A,FALSE,"WWCM"}</definedName>
    <definedName name="WDESAX">{#N/A,#N/A,FALSE,"SUMMARY";#N/A,#N/A,FALSE,"SUMMARY"}</definedName>
    <definedName name="WDSX">{#N/A,#N/A,FALSE,"PGW"}</definedName>
    <definedName name="we">{#N/A,#N/A,TRUE,"Total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EDWQDX">{#N/A,#N/A,FALSE,"OSBL"}</definedName>
    <definedName name="weq" hidden="1">#REF!</definedName>
    <definedName name="wer">{#N/A,#N/A,FALSE,"Staffnos &amp; cost"}</definedName>
    <definedName name="were">{#N/A,#N/A,FALSE,"EXP97"}</definedName>
    <definedName name="werrr">{#N/A,#N/A,FALSE,"Pharm";#N/A,#N/A,FALSE,"WWCM"}</definedName>
    <definedName name="werwe" hidden="1">{"Actual",#N/A,FALSE,"(価格)";"Market",#N/A,FALSE,"(価格)";"Plan",#N/A,FALSE,"(価格)"}</definedName>
    <definedName name="werwer" hidden="1">{"Actual",#N/A,FALSE,"(価格)";"Market",#N/A,FALSE,"(価格)";"Plan",#N/A,FALSE,"(価格)"}</definedName>
    <definedName name="werwerwe" hidden="1">{"ｹﾝﾄ（M)",#N/A,FALSE,"収支・日割";"ｹﾝﾄ（RD)",#N/A,FALSE,"収支・日割";"ｹﾝﾄ（PMC)",#N/A,FALSE,"収支・日割"}</definedName>
    <definedName name="wet" hidden="1">{"Actual",#N/A,FALSE,"(価格)";"Market",#N/A,FALSE,"(価格)";"Plan",#N/A,FALSE,"(価格)"}</definedName>
    <definedName name="wetwtwe" hidden="1">{#N/A,#N/A,FALSE,"１";#N/A,#N/A,FALSE,"２";#N/A,#N/A,FALSE,"３";#N/A,#N/A,FALSE,"４"}</definedName>
    <definedName name="working">{#N/A,#N/A,FALSE,"REPORT"}</definedName>
    <definedName name="WQDAW">{#N/A,#N/A,FALSE,"ISBL"}</definedName>
    <definedName name="WQDSA">{#N/A,#N/A,FALSE,"PGW"}</definedName>
    <definedName name="WQDWAX">{TRUE,TRUE,-1.25,-15.5,484.5,255,FALSE,FALSE,TRUE,FALSE,0,2,16,1,6,13,5,4,TRUE,TRUE,3,TRUE,1,TRUE,75,"Swvu.A.","ACwvu.A.",#N/A,FALSE,FALSE,0.2,0.22,1,0.641,2,"&amp;L&amp;""Arial,Bold""&amp;11Essar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{#N/A,#N/A,FALSE,"FREE"}</definedName>
    <definedName name="wqeqw" hidden="1">{#N/A,#N/A,FALSE,"１";#N/A,#N/A,FALSE,"２";#N/A,#N/A,FALSE,"３";#N/A,#N/A,FALSE,"４"}</definedName>
    <definedName name="wqrqw" hidden="1">{#N/A,#N/A,FALSE,"１";#N/A,#N/A,FALSE,"２";#N/A,#N/A,FALSE,"３";#N/A,#N/A,FALSE,"４"}</definedName>
    <definedName name="wrd">{#N/A,#N/A,FALSE,"INPUTS";#N/A,#N/A,FALSE,"PROFORMA BSHEET";#N/A,#N/A,FALSE,"COMBINED";#N/A,#N/A,FALSE,"HIGH YIELD";#N/A,#N/A,FALSE,"COMB_GRAPHS"}</definedName>
    <definedName name="wrhrtn">#REF!</definedName>
    <definedName name="wrn">{#N/A,#N/A,FALSE,"DCF Summary";#N/A,#N/A,FALSE,"Casema";#N/A,#N/A,FALSE,"Casema NoTel";#N/A,#N/A,FALSE,"UK";#N/A,#N/A,FALSE,"RCF";#N/A,#N/A,FALSE,"Intercable CZ";#N/A,#N/A,FALSE,"Interkabel P"}</definedName>
    <definedName name="wrn.1">{#N/A,#N/A,FALSE,"F-1";#N/A,#N/A,FALSE,"H-1";#N/A,#N/A,FALSE,"J-1";#N/A,#N/A,FALSE,"K-1";#N/A,#N/A,FALSE,"Q-A-1";#N/A,#N/A,FALSE,"S-1";#N/A,#N/A,FALSE,"T-1";#N/A,#N/A,FALSE,"T-2";#N/A,#N/A,FALSE,"t-3";#N/A,#N/A,FALSE,"ETB"}</definedName>
    <definedName name="wrn.1.">{#N/A,#N/A,FALSE,"Calc";#N/A,#N/A,FALSE,"Sensitivity";#N/A,#N/A,FALSE,"LT Earn.Dil.";#N/A,#N/A,FALSE,"Dil. AVP"}</definedName>
    <definedName name="wrn.10yp._.balance._.sheet.">{"10yp balance sheet",#N/A,FALSE,"Celtel alternative 6"}</definedName>
    <definedName name="wrn.10yp._.capex.">{"10yp capex",#N/A,FALSE,"Celtel alternative 6"}</definedName>
    <definedName name="wrn.10yp._.customers.">{"10yp customers",#N/A,FALSE,"Celtel alternative 6"}</definedName>
    <definedName name="wrn.10yp._.graphs.">{"10yp graphs",#N/A,FALSE,"Market Data"}</definedName>
    <definedName name="wrn.10yp._.key._.data.">{"10yp key data",#N/A,FALSE,"Market Data"}</definedName>
    <definedName name="wrn.10yp._.profit._.and._.loss.">{"10yp profit and loss",#N/A,FALSE,"Celtel alternative 6"}</definedName>
    <definedName name="wrn.10yp._.tariffs.">{"10yp tariffs",#N/A,FALSE,"Celtel alternative 6"}</definedName>
    <definedName name="wrn.111111">{#N/A,#N/A,FALSE,"Pharm";#N/A,#N/A,FALSE,"WWCM"}</definedName>
    <definedName name="wrn.1995_1996detail.">{"FY96_TITLE",#N/A,FALSE,"Sensitize";"FY96_TABLE_OF_CONTENTS",#N/A,FALSE,"Sensitize";"FY96_TITLE_REVENUE",#N/A,FALSE,"Sensitize";"FY96_REVENUE_DATA",#N/A,FALSE,"REVENUES";"FY96_REVENUE_FR_IP",#N/A,FALSE,"REVENUES";"FY96_REVENUE_SYSTEMS_VOICE",#N/A,FALSE,"REVENUES";"FY96_REVENUE_Intercompany",#N/A,FALSE,"REVENUES";"FY96_TITLE_FONDIRECT",#N/A,FALSE,"Sensitize";"FY96_FD_STP_Moscow",#N/A,FALSE,"REVENUES";"FY96_FD_REGION",#N/A,FALSE,"REVENUES";"FY96_FD_NRC_MRC",#N/A,FALSE,"REVENUES";"FY96_FD_Mins",#N/A,FALSE,"REVENUES";"FY96_FD_TRAFFIC_REVENUE",#N/A,FALSE,"REVENUES";"FY96_TITLE_COST_OF_REVENUE",#N/A,FALSE,"Sensitize";"FY96_COST_OF_REVENUE",#N/A,FALSE,"Settl_COR";"FY96_COST_OF_REVENUE_Global_One",#N/A,FALSE,"Settl_COR";"FY96_COST_OF_REVENUE_Networks",#N/A,FALSE,"Settl_COR";"FY96_LOOP_SUMMARY",#N/A,FALSE,"Loops";"FY96_LOOP_CUSTOMER",#N/A,FALSE,"Loops";"FY96_LOOP_MISCEL",#N/A,FALSE,"Loops";"FY96_TEL_NOS",#N/A,FALSE,"Tel_Nos";"FY96_TITLE_OPERATING_EXPENSES",#N/A,FALSE,"Sensitize";"FY96_CIRCUITS",#N/A,FALSE,"Circuits";"FY96_LOOP_MLAP",#N/A,FALSE,"Loops";"FY96_Headcount",#N/A,FALSE,"H_C, Tax";"FY96_Headcount_GO",#N/A,FALSE,"H_C, Tax";"FY96_Headcount_GONetworks",#N/A,FALSE,"H_C, Tax";"FY96_SG_A_Expenses",#N/A,FALSE,"SG&amp;A_Ops";"FY96_Ops_Expenses",#N/A,FALSE,"SG&amp;A_Ops";"FY96_TITLE_NONOPERATING",#N/A,FALSE,"Sensitize";"FY96_Nonoperating_GO",#N/A,FALSE,"H_C, Tax";"FY96_Nonoperating_GONetworks",#N/A,FALSE,"H_C, Tax";"FY96_TITLE_95",#N/A,FALSE,"Sensitize";"FY95_Income_Statement",#N/A,FALSE,"P&amp;Ltotal";"FY95_Cash_F.",#N/A,FALSE,"P&amp;Ltotal";"FY95_Bal_Sheet",#N/A,FALSE,"P&amp;Ltotal"}</definedName>
    <definedName name="wrn.1996._.BUDGET.">{"SUMMARY",#N/A,TRUE,"SUMMARY";"compare",#N/A,TRUE,"Vs. Bus Plan";"ratios",#N/A,TRUE,"Ratios";"REVENUE",#N/A,TRUE,"Revenue";"expenses",#N/A,TRUE,"1996 budget";"payroll",#N/A,TRUE,"Payroll"}</definedName>
    <definedName name="wrn.1996._.BUDGET.1">{"SUMMARY",#N/A,TRUE,"SUMMARY";"compare",#N/A,TRUE,"Vs. Bus Plan";"ratios",#N/A,TRUE,"Ratios";"REVENUE",#N/A,TRUE,"Revenue";"expenses",#N/A,TRUE,"1996 budget";"payroll",#N/A,TRUE,"Payroll"}</definedName>
    <definedName name="wrn.1996._.TO._.2004.">{"ten year ratios",#N/A,TRUE,"PROFIT_LOSS";"ten year ratios",#N/A,TRUE,"Ratios";"ten yr opex and capex",#N/A,TRUE,"1996 budget";"ten year revenues",#N/A,TRUE,"Revenue_1996-2004";"ten year payroll",#N/A,TRUE,"Payroll"}</definedName>
    <definedName name="wrn.2">{#N/A,#N/A,FALSE,"F-1";#N/A,#N/A,FALSE,"F-2";#N/A,#N/A,FALSE,"f-3";#N/A,#N/A,FALSE,"H-1";#N/A,#N/A,FALSE,"h-2";#N/A,#N/A,FALSE,"J-1";#N/A,#N/A,FALSE,"K-1";#N/A,#N/A,FALSE,"K-2";#N/A,#N/A,FALSE,"QA1";#N/A,#N/A,FALSE,"Sheet2";#N/A,#N/A,FALSE,"S-1";#N/A,#N/A,FALSE,"S-2";#N/A,#N/A,FALSE,"t-4";#N/A,#N/A,FALSE,"t-3";#N/A,#N/A,FALSE,"t-2";#N/A,#N/A,FALSE,"T-1";#N/A,#N/A,FALSE,"JNL";#N/A,#N/A,FALSE,"valuation";#N/A,#N/A,FALSE,"RATIOS";#N/A,#N/A,FALSE,"SCH CAPITAL ";#N/A,#N/A,FALSE,"ETB";#N/A,#N/A,FALSE,"PROFORMA"}</definedName>
    <definedName name="wrn.3">{#N/A,#N/A,FALSE,"K-1";#N/A,#N/A,FALSE,"Q-1";#N/A,#N/A,FALSE,"CAP DIST";#N/A,#N/A,FALSE,"F-1";#N/A,#N/A,FALSE,"H-1";#N/A,#N/A,FALSE,"J-1";#N/A,#N/A,FALSE,"S-1";#N/A,#N/A,FALSE,"S-2";#N/A,#N/A,FALSE,"T-1";#N/A,#N/A,FALSE,"H&amp;Q D-4";#N/A,#N/A,FALSE,"LN";#N/A,#N/A,FALSE,"RATIOS";#N/A,#N/A,FALSE,"SCH CAPITAL";#N/A,#N/A,FALSE,"Sheet2";#N/A,#N/A,FALSE,"Sheet1";#N/A,#N/A,FALSE,"TRANSFER"}</definedName>
    <definedName name="wrn.3yr.CF.">{"assume",#N/A,FALSE,"K&amp;20th Month CF";"MoCF",#N/A,FALSE,"K&amp;20th Month CF";"AnCF",#N/A,FALSE,"K&amp;20th Month CF"}</definedName>
    <definedName name="wrn.4">{#N/A,#N/A,FALSE,"K-1";#N/A,#N/A,FALSE,"Q-1";#N/A,#N/A,FALSE,"CAP DIST";#N/A,#N/A,FALSE,"F-1";#N/A,#N/A,FALSE,"H-1";#N/A,#N/A,FALSE,"J-1";#N/A,#N/A,FALSE,"S-1";#N/A,#N/A,FALSE,"S-2";#N/A,#N/A,FALSE,"T-1";#N/A,#N/A,FALSE,"H&amp;Q D-4";#N/A,#N/A,FALSE,"LN";#N/A,#N/A,FALSE,"RATIOS";#N/A,#N/A,FALSE,"SCH CAPITAL";#N/A,#N/A,FALSE,"Sheet2";#N/A,#N/A,FALSE,"Sheet1";#N/A,#N/A,FALSE,"TRANSFER"}</definedName>
    <definedName name="wrn.730.">{#N/A,#N/A,FALSE,"REPORT"}</definedName>
    <definedName name="wrn.731">{#N/A,#N/A,FALSE,"REPORT"}</definedName>
    <definedName name="wrn.750.">{#N/A,#N/A,FALSE,"REPORT"}</definedName>
    <definedName name="wrn.7501">{#N/A,#N/A,FALSE,"REPORT"}</definedName>
    <definedName name="wrn.760.16.">{#N/A,#N/A,FALSE,"REPORT"}</definedName>
    <definedName name="wrn.7900">{#N/A,#N/A,FALSE,"REPORT"}</definedName>
    <definedName name="wrn.905">{#N/A,#N/A,FALSE,"REPORT"}</definedName>
    <definedName name="wrn.95_17910.">{#N/A,#N/A,FALSE,"Aktiva";#N/A,#N/A,FALSE,"Passiva";#N/A,#N/A,FALSE,"GuV Erl"}</definedName>
    <definedName name="wrn.95_55000.">{#N/A,#N/A,FALSE,"AKTIVA";#N/A,#N/A,FALSE,"PASSIVA";#N/A,#N/A,FALSE,"GUV-RECHNUNG"}</definedName>
    <definedName name="wrn.99999">{#N/A,#N/A,FALSE,"REPORT"}</definedName>
    <definedName name="wrn.A3._.Reports.">{#N/A,#N/A,FALSE,"ActvBud";#N/A,#N/A,FALSE,"RptSalJC";#N/A,#N/A,FALSE,"RptSalTot ";#N/A,#N/A,FALSE,"RptSumExp";#N/A,#N/A,FALSE,"RptSum"}</definedName>
    <definedName name="wrn.A4._.Reports.">{#N/A,#N/A,FALSE,"RptMrgCh";#N/A,#N/A,FALSE,"RptMrg";#N/A,#N/A,FALSE,"RptPLCh";#N/A,#N/A,FALSE,"RptPL";#N/A,#N/A,FALSE,"RptAdv ";#N/A,#N/A,FALSE,"RptSalary";#N/A,#N/A,FALSE,"RptSalExp";#N/A,#N/A,FALSE,"RptNW";#N/A,#N/A,FALSE,"RptSalYr";#N/A,#N/A,FALSE,"RptSales";#N/A,#N/A,FALSE,"RptPostn";#N/A,#N/A,FALSE,"RtpPLA-B";#N/A,#N/A,FALSE,"Rpt%age";#N/A,#N/A,FALSE,"RptPLSum";#N/A,#N/A,FALSE,"Index";#N/A,#N/A,FALSE,"Cover";#N/A,#N/A,FALSE,"Memo"}</definedName>
    <definedName name="wrn.AA.">{#N/A,#N/A,FALSE,"PMTABB";#N/A,#N/A,FALSE,"PMTABB"}</definedName>
    <definedName name="wrn.aaa">{#N/A,#N/A,FALSE,"Pharm";#N/A,#N/A,FALSE,"WWCM"}</definedName>
    <definedName name="wrn.aaaaaaa">{#N/A,#N/A,FALSE,"Pharm";#N/A,#N/A,FALSE,"WWCM"}</definedName>
    <definedName name="wrn.aba.">{"ww",#N/A,FALSE,"Hospital Products";"us",#N/A,FALSE,"Hospital Products";"in",#N/A,FALSE,"Hospital Products"}</definedName>
    <definedName name="wrn.abl.">{"ww",#N/A,FALSE,"Hospital Products";"us",#N/A,FALSE,"Hospital Products";"in",#N/A,FALSE,"Hospital Products"}</definedName>
    <definedName name="wrn.abt.">{"ww",#N/A,FALSE,"Hospital Products";"us",#N/A,FALSE,"Hospital Products";"in",#N/A,FALSE,"Hospital Products"}</definedName>
    <definedName name="wrn.Accounts.">{"turnover",#N/A,FALSE;"profits",#N/A,FALSE;"cash",#N/A,FALSE}</definedName>
    <definedName name="wrn.ACQUISITION._.DSW.">{#N/A,#N/A,FALSE,"Simu.";#N/A,#N/A,FALSE,"Table";#N/A,#N/A,FALSE,"Hypo."}</definedName>
    <definedName name="wrn.Acquisition_matrix.">{"Acq_matrix",#N/A,FALSE,"Acquisition Matrix"}</definedName>
    <definedName name="wrn.adj95.">{"adj95mult",#N/A,FALSE,"COMPCO";"adj95est",#N/A,FALSE,"COMPCO"}</definedName>
    <definedName name="wrn.Aging._.and._.Trend._.Analysis." hidden="1">{#N/A,#N/A,FALSE,"Aging Summary";#N/A,#N/A,FALSE,"Ratio Analysis";#N/A,#N/A,FALSE,"Test 120 Day Accts";#N/A,#N/A,FALSE,"Tickmarks"}</definedName>
    <definedName name="wrn.Airplane.">{"Airplane",#N/A,FALSE,"FIXASSTS"}</definedName>
    <definedName name="wrn.all." hidden="1">{#N/A,#N/A,FALSE,"6mthly";#N/A,#N/A,FALSE,"Dec yrly";#N/A,#N/A,FALSE,"June yrly "}</definedName>
    <definedName name="wrn.All._.Exhibits.">{"Base",#N/A,FALSE,"DCF Calculation - Scenario 1";"Dollar",#N/A,FALSE,"Consolidated - Scenario 1";"CS",#N/A,FALSE,"Consolidated - Scenario 1";"Base",#N/A,FALSE,"New Facilities - Scenario 1";"Inc Stmt Dollar",#N/A,FALSE,"Houston Central";"Inc Stmt CS",#N/A,FALSE,"Houston Central";"Inc Stmt Dollar",#N/A,FALSE,"Victoria";"Inc Stmt CS",#N/A,FALSE,"Victoria";"Inc Stmt Dollar",#N/A,FALSE,"Denver";"Inc Stmt CS",#N/A,FALSE,"Denver";"Inc Stmt Dollar",#N/A,FALSE,"Amarillo";"Inc Stmt CS",#N/A,FALSE,"Amarillo";"Inc Stmt Dollar",#N/A,FALSE,"Kokomo";"Inc Stmt CS",#N/A,FALSE,"Kokomo";"Inc Stmt Dollar",#N/A,FALSE,"San Angelo";"Inc Stmt CS",#N/A,FALSE,"San Angelo";"Inc Stmt Dollar",#N/A,FALSE,"Mandan";"Inc Stmt CS",#N/A,FALSE,"Mandan";"Inc Stmt Dollar",#N/A,FALSE,"Fargo";"Inc Stmt CS",#N/A,FALSE,"Fargo";"Inc Stmt Dollar",#N/A,FALSE,"Lima";"Inc Stmt CS",#N/A,FALSE,"Lima";"Inc Stmt Dollar",#N/A,FALSE,"Mansfield";"Inc Stmt CS",#N/A,FALSE,"Mansfield";"Inc Stmt Dollar",#N/A,FALSE,"Detroit";"Inc Stmt CS",#N/A,FALSE,"Detroit";"Inc Stmt Dollar",#N/A,FALSE,"Harrisburg";"Inc Stmt CS",#N/A,FALSE,"Harrisburg";"Inc Stmt Dollar",#N/A,FALSE,"Savannah";"Inc Stmt CS",#N/A,FALSE,"Savannah";"Inc Stmt Dollar",#N/A,FALSE,"Easton";"Inc Stmt CS",#N/A,FALSE,"Easton"}</definedName>
    <definedName name="wrn.All._.Financials.">{#N/A,#N/A,TRUE,"Assumptions";#N/A,#N/A,TRUE,"Op Projection";#N/A,#N/A,TRUE,"Capital";#N/A,#N/A,TRUE,"Income";#N/A,#N/A,TRUE,"Balance";#N/A,#N/A,TRUE,"Sources&amp;Uses"}</definedName>
    <definedName name="wrn.all._.input.">{"basic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{#N/A,#N/A,FALSE,"Profit &amp; Loss";#N/A,#N/A,FALSE,"Cash Management";#N/A,#N/A,FALSE,"Conversion Cost";#N/A,#N/A,FALSE,"Operating KPI's";#N/A,#N/A,FALSE,"Major Projects";#N/A,#N/A,FALSE,"Capital Project Status";#N/A,#N/A,FALSE,"Early Warn &amp; Risk ";#N/A,#N/A,FALSE,"Marketplace Gaps";#N/A,#N/A,FALSE,"Scrap Process";#N/A,#N/A,FALSE,"Gross Margin Chain";#N/A,#N/A,FALSE,"Performance Indicators";#N/A,#N/A,FALSE,"GM Analysis - Mill"}</definedName>
    <definedName name="wrn.All._.Sheets._.One._.by._.One.">{#N/A,#N/A,FALSE,"Info";#N/A,#N/A,FALSE,"Op I";#N/A,#N/A,FALSE,"Op O";#N/A,#N/A,FALSE,"LBO I";#N/A,#N/A,FALSE,"LBO O";#N/A,#N/A,FALSE,"Taxes"}</definedName>
    <definedName name="wrn.all.2">{#N/A,#N/A,FALSE,"DCF";#N/A,#N/A,FALSE,"WACC";#N/A,#N/A,FALSE,"Sales_EBIT";#N/A,#N/A,FALSE,"Capex_Depreciation";#N/A,#N/A,FALSE,"WC";#N/A,#N/A,FALSE,"Interest";#N/A,#N/A,FALSE,"Assumptions"}</definedName>
    <definedName name="wrn.ALL2.">{#N/A,#N/A,FALSE,"DCF";#N/A,#N/A,FALSE,"WACC";#N/A,#N/A,FALSE,"Sales_EBIT";#N/A,#N/A,FALSE,"Capex_Depreciation";#N/A,#N/A,FALSE,"WC";#N/A,#N/A,FALSE,"Interest";#N/A,#N/A,FALSE,"Assumptions"}</definedName>
    <definedName name="wrn.all3">{#N/A,#N/A,FALSE,"assumptions";#N/A,#N/A,FALSE,"v_projcy";#N/A,#N/A,FALSE,"tar_proj";#N/A,#N/A,FALSE,"contrib_annual";#N/A,#N/A,FALSE,"Proforma";#N/A,#N/A,FALSE,"purc_97";#N/A,#N/A,FALSE,"syn_purc_97";#N/A,#N/A,FALSE,"pool_97";#N/A,#N/A,FALSE,"syn_pool_97";#N/A,#N/A,FALSE,"pool1_FY2"}</definedName>
    <definedName name="wrn.AllDataPages.">{#N/A,#N/A,FALSE,"Balance Sheet";#N/A,#N/A,FALSE,"Income Statement";#N/A,#N/A,FALSE,"Changes in Financial Position"}</definedName>
    <definedName name="wrn.AnnualRentRoll" hidden="1">{"AnnualRentRoll",#N/A,FALSE,"RentRoll"}</definedName>
    <definedName name="wrn.AnnualRentRoll." hidden="1">{"AnnualRentRoll",#N/A,FALSE,"RentRoll"}</definedName>
    <definedName name="wrn.Appendix.">{#N/A,#N/A,TRUE,"Lines";#N/A,#N/A,TRUE,"Stations";#N/A,#N/A,TRUE,"Cap. Expenses";#N/A,#N/A,TRUE,"Land";#N/A,#N/A,TRUE,"Cen Proces Sys";#N/A,#N/A,TRUE,"telecom";#N/A,#N/A,TRUE,"Other"}</definedName>
    <definedName name="wrn.AQUIROR._.DCF.">{"AQUIRORDCF",#N/A,FALSE,"Merger consequences";"Acquirorassns",#N/A,FALSE,"Merger consequences"}</definedName>
    <definedName name="wrn.Asia.">{"rawdata",#N/A,TRUE,"HKT";"in",#N/A,TRUE,"HKT";"rawdata",#N/A,TRUE,"PTInd";"in",#N/A,TRUE,"PTInd";"rawdata",#N/A,TRUE,"NTT";"in",#N/A,TRUE,"NTT";"rawdata",#N/A,TRUE,"PLD";"in",#N/A,TRUE,"PLD";"rawdata",#N/A,TRUE,"PTTelk";"in",#N/A,TRUE,"PTTelk";"rawdata",#N/A,TRUE,"ST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{"assumptions1",#N/A,FALSE,"Valuation Analysis";"assumptions2",#N/A,FALSE,"Valuation Analysis"}</definedName>
    <definedName name="wrn.Back._.Page.">{"Back Page",#N/A,FALSE,"Front and Back"}</definedName>
    <definedName name="wrn.backup.">{"background",#N/A,FALSE,"CS First Boston Merger Model";"inputs",#N/A,FALSE,"CS First Boston Merger Model"}</definedName>
    <definedName name="wrn.balance._.sheet.">{"bs",#N/A,FALSE,"SCF"}</definedName>
    <definedName name="wrn.baseDEV.">{"cover",#N/A,TRUE,"Cover";"pnldet",#N/A,TRUE,"BaseCaseDEV";"pnl",#N/A,TRUE,"BaseCaseDEV";"bil",#N/A,TRUE,"BaseCaseDEV";"tabfi",#N/A,TRUE,"BaseCaseDEV";"ratios",#N/A,TRUE,"BaseCaseDEV";"variab",#N/A,TRUE,"BaseCaseDEV";"inv",#N/A,TRUE,"BaseCaseDEV"}</definedName>
    <definedName name="wrn.Basic._.External.">{"INCSTAT",#N/A,FALSE,"Income Stat";"Rev1",#N/A,FALSE,"IPO Revs";"OpEx1",#N/A,FALSE,"Op Expenses";"OpEx2",#N/A,FALSE,"Op Expenses";"Cash Flow",#N/A,FALSE,"Cash Flow";"Bal Sht",#N/A,FALSE,"Bal Sht"}</definedName>
    <definedName name="wrn.Basic._.Print._.Value._.MLP.">{#N/A,#N/A,FALSE,"Valuation";#N/A,#N/A,FALSE,"MLP Impact"}</definedName>
    <definedName name="wrn.Basic._.Report.">{#N/A,#N/A,FALSE,"New Depr Sch-150% DB";#N/A,#N/A,FALSE,"Cash Flows RLP";#N/A,#N/A,FALSE,"IRR";#N/A,#N/A,FALSE,"Proforma IS";#N/A,#N/A,FALSE,"Assumptions"}</definedName>
    <definedName name="wrn.Bewegungsbilanz.">{#N/A,#N/A,FALSE,"Mittelherkunft";#N/A,#N/A,FALSE,"Mittelverwendung"}</definedName>
    <definedName name="wrn.Bilanz.">{#N/A,#N/A,FALSE,"Layout Aktiva";#N/A,#N/A,FALSE,"Layout Passiva"}</definedName>
    <definedName name="wrn.bm">{#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ok.">{"EVA",#N/A,FALSE,"SMT2";#N/A,#N/A,FALSE,"Summary";#N/A,#N/A,FALSE,"Graphs";#N/A,#N/A,FALSE,"4 Panel"}</definedName>
    <definedName name="wrn.book._.chiffres.">{#N/A,#N/A,TRUE,"Cigarettes";#N/A,#N/A,TRUE,"Conso";#N/A,#N/A,TRUE,"Cigares";#N/A,#N/A,TRUE,"Logistics";#N/A,#N/A,TRUE,"Brokers";#N/A,#N/A,TRUE,"DCF";#N/A,#N/A,TRUE,"SoP";#N/A,#N/A,TRUE,"Stock ";#N/A,#N/A,TRUE,"Graphs cigtt";#N/A,#N/A,TRUE,"Graphs cigar";#N/A,#N/A,TRUE,"Graphs logist";#N/A,#N/A,TRUE,"ETI";#N/A,#N/A,TRUE,"Logista"}</definedName>
    <definedName name="wrn.BOOK1.XLS.">{#N/A,#N/A,FALSE,"Sheet1"}</definedName>
    <definedName name="wrn.BP._.print.">{#N/A,#N/A,FALSE,"BANNERS";#N/A,#N/A,FALSE,"Market";#N/A,#N/A,FALSE,"Tel Rev";#N/A,#N/A,FALSE,"Revenues IOL";#N/A,#N/A,FALSE,"Invest";#N/A,#N/A,FALSE,"Op Cost1";#N/A,#N/A,FALSE,"Op Cost2";#N/A,#N/A,FALSE,"Oth_&amp;_Tot_Revenues";#N/A,#N/A,FALSE,"Fin Mod";#N/A,#N/A,FALSE,"FinMod_RoW";#N/A,#N/A,FALSE,"P&amp;E Burocrat";#N/A,#N/A,FALSE,"cash flow"}</definedName>
    <definedName name="wrn.bs.com.">{#N/A,#N/A,FALSE,"Summary (A)";#N/A,#N/A,FALSE,"DCF (B-1)";#N/A,#N/A,FALSE,"WACC (B-2)";#N/A,#N/A,FALSE,"Web Comps (B-3)";#N/A,#N/A,FALSE,"Web Approach (C-1)";#N/A,#N/A,FALSE,"Recnt Trans (D)";#N/A,#N/A,FALSE,"Inc. Stmt Scen 1(E-1,E-2)";#N/A,#N/A,FALSE,"Fixed Assets (E-3)";#N/A,#N/A,FALSE,"Venture Cap (F)";#N/A,#N/A,FALSE,"Control (G)"}</definedName>
    <definedName name="wrn.bs1." hidden="1">{"bs",#N/A,FALSE,"BS";"pl",#N/A,FALSE,"PL"}</definedName>
    <definedName name="wrn.bsall." hidden="1">{"bs",#N/A,FALSE,"BS";"pl",#N/A,FALSE,"PL";"res",#N/A,FALSE,"S.CAP,RES";"loans",#N/A,FALSE,"Loans";"inv",#N/A,FALSE,"C.Assets";"fa",#N/A,FALSE,"F.Assets";"ca",#N/A,FALSE,"C.Assets";"cl",#N/A,FALSE,"CL,Sales,Income";"ovh",#N/A,FALSE,"OVH"}</definedName>
    <definedName name="wrn.BUDGET.">{#N/A,#N/A,FALSE,"Total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wrn.budget._.balance._.sheet.">{"bugdet992000 balance sheet",#N/A,FALSE,"Celtel alternative 6"}</definedName>
    <definedName name="wrn.budget._.capex.">{"budget992000 capex",#N/A,FALSE,"Celtel alternative 6"}</definedName>
    <definedName name="wrn.budget._.customers.">{"budget992000_customers",#N/A,FALSE,"Celtel alternative 6"}</definedName>
    <definedName name="wrn.budget._.profit._.and._.loss.">{"budget992000 profit and loss",#N/A,FALSE,"Celtel alternative 6"}</definedName>
    <definedName name="wrn.budget._.tariffs._.and._.usage.">{"budget992000 tariff and usage",#N/A,FALSE,"Celtel alternative 6"}</definedName>
    <definedName name="wrn.BUDGET1.">{#N/A,#N/A,FALSE,"Total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wrn.budgetb.">{#N/A,#N/A,FALSE,"Total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getc.">{#N/A,#N/A,FALSE,"Total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NKERS.">{#N/A,#N/A,FALSE,"End";#N/A,#N/A,FALSE,"Env";#N/A,#N/A,FALSE,"Hig";#N/A,#N/A,FALSE,"Lea";#N/A,#N/A,FALSE,"Nav";#N/A,#N/A,FALSE,"Pat";#N/A,#N/A,FALSE,"Pio";#N/A,#N/A,FALSE,"Sea";#N/A,#N/A,FALSE,"Tra";#N/A,#N/A,FALSE,"Rat";#N/A,#N/A,FALSE,"Sta";#N/A,#N/A,FALSE,"SSE";#N/A,#N/A,FALSE,"Sun";#N/A,#N/A,FALSE,"Cau"}</definedName>
    <definedName name="wrn.Capex." hidden="1">{#N/A,#N/A,TRUE,"Capex Summ";#N/A,#N/A,TRUE,"Essential Works.tw";#N/A,#N/A,TRUE,"Desirable Works.tw";#N/A,#N/A,TRUE,"Essential Works.rt";#N/A,#N/A,TRUE,"Desirable Works.rt";#N/A,#N/A,TRUE,"Mthly";#N/A,#N/A,TRUE,"Essential Works.ht";#N/A,#N/A,TRUE,"Desirable Works.ht";#N/A,#N/A,TRUE,"Incentives"}</definedName>
    <definedName name="wrn.Cardiovasculars.">{#N/A,#N/A,FALSE,"Card";#N/A,#N/A,FALSE,"Prav";#N/A,#N/A,FALSE,"Irbe";#N/A,#N/A,FALSE,"Plavix";#N/A,#N/A,FALSE,"Capt";#N/A,#N/A,FALSE,"Fosi"}</definedName>
    <definedName name="wrn.Cash._.Flow.">{#N/A,#N/A,FALSE,"Layout Cash Flow"}</definedName>
    <definedName name="wrn.Cash._.Plan.">{"cash plan",#N/A,FALSE,"fccashflow"}</definedName>
    <definedName name="wrn.Central._.Nervous._.System.">{#N/A,#N/A,FALSE,"CNS";#N/A,#N/A,FALSE,"Serz";#N/A,#N/A,FALSE,"Ace"}</definedName>
    <definedName name="wrn.Client._.report.">{"Deal information sheet",#N/A,TRUE,"MBOco";"Projected P and L Accounts",#N/A,TRUE,"MBOco";"Projected Balance Sheet",#N/A,TRUE,"MBOco";"Projected Cash Flows",#N/A,TRUE,"MBOco"}</definedName>
    <definedName name="wrn.clientcopy.">{"Multiples_clientcopy",#N/A,FALSE,"Multiples";"Adjustments_clientcopy",#N/A,FALSE,"Adjustments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OMBINED.">{#N/A,#N/A,FALSE,"INPUTS";#N/A,#N/A,FALSE,"PROFORMA BSHEET";#N/A,#N/A,FALSE,"COMBINED";#N/A,#N/A,FALSE,"HIGH YIELD";#N/A,#N/A,FALSE,"COMB_GRAPHS"}</definedName>
    <definedName name="wrn.comco.">{"all",#N/A,FALSE,"Compco";"summary",#N/A,FALSE,"Compco"}</definedName>
    <definedName name="wrn.compco.">{"page1",#N/A,FALSE,"BHCOMPC5";"page2",#N/A,FALSE,"BHCOMPC5";"page3",#N/A,FALSE,"BHCOMPC5";"page4",#N/A,FALSE,"BHCOMPC5"}</definedName>
    <definedName name="wrn.compco2">{"page1",#N/A,FALSE,"BHCOMPC5";"page2",#N/A,FALSE,"BHCOMPC5";"page3",#N/A,FALSE,"BHCOMPC5";"page4",#N/A,FALSE,"BHCOMPC5"}</definedName>
    <definedName name="wrn.Complete.">{#N/A,#N/A,TRUE,"DCF Summary";#N/A,#N/A,TRUE,"Casema";#N/A,#N/A,TRUE,"UK";#N/A,#N/A,TRUE,"RCF";#N/A,#N/A,TRUE,"Intercable CZ";#N/A,#N/A,TRUE,"Interkabel P";#N/A,#N/A,TRUE,"LBO-Total";#N/A,#N/A,TRUE,"LBO-Casema"}</definedName>
    <definedName name="wrn.Complete._.Report.">{#N/A,#N/A,FALSE,"Assumptions";#N/A,#N/A,FALSE,"Proforma IS";#N/A,#N/A,FALSE,"Cash Flows RLP";#N/A,#N/A,FALSE,"IRR";#N/A,#N/A,FALSE,"New Depr Sch-150% DB";#N/A,#N/A,FALSE,"Comments"}</definedName>
    <definedName name="wrn.Complete._.Set.">{#N/A,#N/A,FALSE,"Full";#N/A,#N/A,FALSE,"Half";#N/A,#N/A,FALSE,"Op Expenses";#N/A,#N/A,FALSE,"Cap Charge";#N/A,#N/A,FALSE,"Cost C";#N/A,#N/A,FALSE,"PP&amp;E";#N/A,#N/A,FALSE,"R&amp;D"}</definedName>
    <definedName name="wrn.Complete._1">{#N/A,#N/A,TRUE,"DCF Summary";#N/A,#N/A,TRUE,"Casema";#N/A,#N/A,TRUE,"UK";#N/A,#N/A,TRUE,"RCF";#N/A,#N/A,TRUE,"Intercable CZ";#N/A,#N/A,TRUE,"Interkabel P";#N/A,#N/A,TRUE,"LBO-Total";#N/A,#N/A,TRUE,"LBO-Casema"}</definedName>
    <definedName name="wrn.Complete._1_1">{#N/A,#N/A,TRUE,"DCF Summary";#N/A,#N/A,TRUE,"Casema";#N/A,#N/A,TRUE,"UK";#N/A,#N/A,TRUE,"RCF";#N/A,#N/A,TRUE,"Intercable CZ";#N/A,#N/A,TRUE,"Interkabel P";#N/A,#N/A,TRUE,"LBO-Total";#N/A,#N/A,TRUE,"LBO-Casema"}</definedName>
    <definedName name="wrn.Complete._1_1_1">{#N/A,#N/A,TRUE,"DCF Summary";#N/A,#N/A,TRUE,"Casema";#N/A,#N/A,TRUE,"UK";#N/A,#N/A,TRUE,"RCF";#N/A,#N/A,TRUE,"Intercable CZ";#N/A,#N/A,TRUE,"Interkabel P";#N/A,#N/A,TRUE,"LBO-Total";#N/A,#N/A,TRUE,"LBO-Casema"}</definedName>
    <definedName name="wrn.Complete._1_1_1_1">{#N/A,#N/A,TRUE,"DCF Summary";#N/A,#N/A,TRUE,"Casema";#N/A,#N/A,TRUE,"UK";#N/A,#N/A,TRUE,"RCF";#N/A,#N/A,TRUE,"Intercable CZ";#N/A,#N/A,TRUE,"Interkabel P";#N/A,#N/A,TRUE,"LBO-Total";#N/A,#N/A,TRUE,"LBO-Casema"}</definedName>
    <definedName name="wrn.Complete._1_1_1_1_1">{#N/A,#N/A,TRUE,"DCF Summary";#N/A,#N/A,TRUE,"Casema";#N/A,#N/A,TRUE,"UK";#N/A,#N/A,TRUE,"RCF";#N/A,#N/A,TRUE,"Intercable CZ";#N/A,#N/A,TRUE,"Interkabel P";#N/A,#N/A,TRUE,"LBO-Total";#N/A,#N/A,TRUE,"LBO-Casema"}</definedName>
    <definedName name="wrn.Complete._1_1_2">{#N/A,#N/A,TRUE,"DCF Summary";#N/A,#N/A,TRUE,"Casema";#N/A,#N/A,TRUE,"UK";#N/A,#N/A,TRUE,"RCF";#N/A,#N/A,TRUE,"Intercable CZ";#N/A,#N/A,TRUE,"Interkabel P";#N/A,#N/A,TRUE,"LBO-Total";#N/A,#N/A,TRUE,"LBO-Casema"}</definedName>
    <definedName name="wrn.Complete._1_2">{#N/A,#N/A,TRUE,"DCF Summary";#N/A,#N/A,TRUE,"Casema";#N/A,#N/A,TRUE,"UK";#N/A,#N/A,TRUE,"RCF";#N/A,#N/A,TRUE,"Intercable CZ";#N/A,#N/A,TRUE,"Interkabel P";#N/A,#N/A,TRUE,"LBO-Total";#N/A,#N/A,TRUE,"LBO-Casema"}</definedName>
    <definedName name="wrn.Complete._1_2_1">{#N/A,#N/A,TRUE,"DCF Summary";#N/A,#N/A,TRUE,"Casema";#N/A,#N/A,TRUE,"UK";#N/A,#N/A,TRUE,"RCF";#N/A,#N/A,TRUE,"Intercable CZ";#N/A,#N/A,TRUE,"Interkabel P";#N/A,#N/A,TRUE,"LBO-Total";#N/A,#N/A,TRUE,"LBO-Casema"}</definedName>
    <definedName name="wrn.Complete._2">{#N/A,#N/A,TRUE,"DCF Summary";#N/A,#N/A,TRUE,"Casema";#N/A,#N/A,TRUE,"UK";#N/A,#N/A,TRUE,"RCF";#N/A,#N/A,TRUE,"Intercable CZ";#N/A,#N/A,TRUE,"Interkabel P";#N/A,#N/A,TRUE,"LBO-Total";#N/A,#N/A,TRUE,"LBO-Casema"}</definedName>
    <definedName name="wrn.Complete._2_1">{#N/A,#N/A,TRUE,"DCF Summary";#N/A,#N/A,TRUE,"Casema";#N/A,#N/A,TRUE,"UK";#N/A,#N/A,TRUE,"RCF";#N/A,#N/A,TRUE,"Intercable CZ";#N/A,#N/A,TRUE,"Interkabel P";#N/A,#N/A,TRUE,"LBO-Total";#N/A,#N/A,TRUE,"LBO-Casema"}</definedName>
    <definedName name="wrn.Complete._2_1_1">{#N/A,#N/A,TRUE,"DCF Summary";#N/A,#N/A,TRUE,"Casema";#N/A,#N/A,TRUE,"UK";#N/A,#N/A,TRUE,"RCF";#N/A,#N/A,TRUE,"Intercable CZ";#N/A,#N/A,TRUE,"Interkabel P";#N/A,#N/A,TRUE,"LBO-Total";#N/A,#N/A,TRUE,"LBO-Casema"}</definedName>
    <definedName name="wrn.Complete._3">{#N/A,#N/A,TRUE,"DCF Summary";#N/A,#N/A,TRUE,"Casema";#N/A,#N/A,TRUE,"UK";#N/A,#N/A,TRUE,"RCF";#N/A,#N/A,TRUE,"Intercable CZ";#N/A,#N/A,TRUE,"Interkabel P";#N/A,#N/A,TRUE,"LBO-Total";#N/A,#N/A,TRUE,"LBO-Casema"}</definedName>
    <definedName name="wrn.CompleteReport.">{"A",#N/A,FALSE,"Scenario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Tor">{#N/A,#N/A,TRUE,"DCF Summary";#N/A,#N/A,TRUE,"Casema";#N/A,#N/A,TRUE,"UK";#N/A,#N/A,TRUE,"RCF";#N/A,#N/A,TRUE,"Intercable CZ";#N/A,#N/A,TRUE,"Interkabel P";#N/A,#N/A,TRUE,"LBO-Total";#N/A,#N/A,TRUE,"LBO-Casema"}</definedName>
    <definedName name="wrn.CompleteTor_1">{#N/A,#N/A,TRUE,"DCF Summary";#N/A,#N/A,TRUE,"Casema";#N/A,#N/A,TRUE,"UK";#N/A,#N/A,TRUE,"RCF";#N/A,#N/A,TRUE,"Intercable CZ";#N/A,#N/A,TRUE,"Interkabel P";#N/A,#N/A,TRUE,"LBO-Total";#N/A,#N/A,TRUE,"LBO-Casema"}</definedName>
    <definedName name="wrn.CompleteTor_1_1">{#N/A,#N/A,TRUE,"DCF Summary";#N/A,#N/A,TRUE,"Casema";#N/A,#N/A,TRUE,"UK";#N/A,#N/A,TRUE,"RCF";#N/A,#N/A,TRUE,"Intercable CZ";#N/A,#N/A,TRUE,"Interkabel P";#N/A,#N/A,TRUE,"LBO-Total";#N/A,#N/A,TRUE,"LBO-Casema"}</definedName>
    <definedName name="wrn.CompleteTor_1_1_1">{#N/A,#N/A,TRUE,"DCF Summary";#N/A,#N/A,TRUE,"Casema";#N/A,#N/A,TRUE,"UK";#N/A,#N/A,TRUE,"RCF";#N/A,#N/A,TRUE,"Intercable CZ";#N/A,#N/A,TRUE,"Interkabel P";#N/A,#N/A,TRUE,"LBO-Total";#N/A,#N/A,TRUE,"LBO-Casema"}</definedName>
    <definedName name="wrn.CompleteTor_1_1_1_1">{#N/A,#N/A,TRUE,"DCF Summary";#N/A,#N/A,TRUE,"Casema";#N/A,#N/A,TRUE,"UK";#N/A,#N/A,TRUE,"RCF";#N/A,#N/A,TRUE,"Intercable CZ";#N/A,#N/A,TRUE,"Interkabel P";#N/A,#N/A,TRUE,"LBO-Total";#N/A,#N/A,TRUE,"LBO-Casema"}</definedName>
    <definedName name="wrn.CompleteTor_1_1_1_1_1">{#N/A,#N/A,TRUE,"DCF Summary";#N/A,#N/A,TRUE,"Casema";#N/A,#N/A,TRUE,"UK";#N/A,#N/A,TRUE,"RCF";#N/A,#N/A,TRUE,"Intercable CZ";#N/A,#N/A,TRUE,"Interkabel P";#N/A,#N/A,TRUE,"LBO-Total";#N/A,#N/A,TRUE,"LBO-Casema"}</definedName>
    <definedName name="wrn.CompleteTor_1_1_2">{#N/A,#N/A,TRUE,"DCF Summary";#N/A,#N/A,TRUE,"Casema";#N/A,#N/A,TRUE,"UK";#N/A,#N/A,TRUE,"RCF";#N/A,#N/A,TRUE,"Intercable CZ";#N/A,#N/A,TRUE,"Interkabel P";#N/A,#N/A,TRUE,"LBO-Total";#N/A,#N/A,TRUE,"LBO-Casema"}</definedName>
    <definedName name="wrn.CompleteTor_1_2">{#N/A,#N/A,TRUE,"DCF Summary";#N/A,#N/A,TRUE,"Casema";#N/A,#N/A,TRUE,"UK";#N/A,#N/A,TRUE,"RCF";#N/A,#N/A,TRUE,"Intercable CZ";#N/A,#N/A,TRUE,"Interkabel P";#N/A,#N/A,TRUE,"LBO-Total";#N/A,#N/A,TRUE,"LBO-Casema"}</definedName>
    <definedName name="wrn.CompleteTor_1_2_1">{#N/A,#N/A,TRUE,"DCF Summary";#N/A,#N/A,TRUE,"Casema";#N/A,#N/A,TRUE,"UK";#N/A,#N/A,TRUE,"RCF";#N/A,#N/A,TRUE,"Intercable CZ";#N/A,#N/A,TRUE,"Interkabel P";#N/A,#N/A,TRUE,"LBO-Total";#N/A,#N/A,TRUE,"LBO-Casema"}</definedName>
    <definedName name="wrn.CompleteTor_2">{#N/A,#N/A,TRUE,"DCF Summary";#N/A,#N/A,TRUE,"Casema";#N/A,#N/A,TRUE,"UK";#N/A,#N/A,TRUE,"RCF";#N/A,#N/A,TRUE,"Intercable CZ";#N/A,#N/A,TRUE,"Interkabel P";#N/A,#N/A,TRUE,"LBO-Total";#N/A,#N/A,TRUE,"LBO-Casema"}</definedName>
    <definedName name="wrn.CompleteTor_2_1">{#N/A,#N/A,TRUE,"DCF Summary";#N/A,#N/A,TRUE,"Casema";#N/A,#N/A,TRUE,"UK";#N/A,#N/A,TRUE,"RCF";#N/A,#N/A,TRUE,"Intercable CZ";#N/A,#N/A,TRUE,"Interkabel P";#N/A,#N/A,TRUE,"LBO-Total";#N/A,#N/A,TRUE,"LBO-Casema"}</definedName>
    <definedName name="wrn.CompleteTor_2_1_1">{#N/A,#N/A,TRUE,"DCF Summary";#N/A,#N/A,TRUE,"Casema";#N/A,#N/A,TRUE,"UK";#N/A,#N/A,TRUE,"RCF";#N/A,#N/A,TRUE,"Intercable CZ";#N/A,#N/A,TRUE,"Interkabel P";#N/A,#N/A,TRUE,"LBO-Total";#N/A,#N/A,TRUE,"LBO-Casema"}</definedName>
    <definedName name="wrn.CompleteTor_3">{#N/A,#N/A,TRUE,"DCF Summary";#N/A,#N/A,TRUE,"Casema";#N/A,#N/A,TRUE,"UK";#N/A,#N/A,TRUE,"RCF";#N/A,#N/A,TRUE,"Intercable CZ";#N/A,#N/A,TRUE,"Interkabel P";#N/A,#N/A,TRUE,"LBO-Total";#N/A,#N/A,TRUE,"LBO-Casema"}</definedName>
    <definedName name="wrn.Consumer._.Medicines.">{#N/A,#N/A,FALSE,"OTC";#N/A,#N/A,FALSE,"Ther";#N/A,#N/A,FALSE,"Temp";#N/A,#N/A,FALSE,"Exce";#N/A,#N/A,FALSE,"Buff";#N/A,#N/A,FALSE,"Picot";#N/A,#N/A,FALSE,"Luftal";#N/A,#N/A,FALSE,"Comt"}</definedName>
    <definedName name="wrn.Continous._.Page._.Numbers._.DCF.">{#N/A,#N/A,TRUE,"Cover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ibutory._.asset._.charges.">{"contributory1",#N/A,FALSE,"Contributory Assets Detail";"contributory2",#N/A,FALSE,"Contributory Assets Detail"}</definedName>
    <definedName name="wrn.Country._.consolidation.">{#N/A,"Belgium",TRUE,"Country conso graphs";#N/A,"Netherlands",TRUE,"Country conso graphs";#N/A,"Germany",TRUE,"Country conso graphs";#N/A,"France",TRUE,"Country conso graphs";#N/A,"Sweden",TRUE,"Country conso graphs";#N/A,"Denmark",TRUE,"Country conso graphs";#N/A,"UK",TRUE,"Country conso graphs";#N/A,"Italy",TRUE,"Country conso graphs"}</definedName>
    <definedName name="wrn.Covenants.">{"Page1",#N/A,FALSE,"Covenants";"Page2",#N/A,FALSE,"Covenants";"Page3",#N/A,FALSE,"Covenants"}</definedName>
    <definedName name="wrn.Cover.">{"coverall",#N/A,FALSE,"Definitions";"cover1",#N/A,FALSE,"Definitions";"cover2",#N/A,FALSE,"Definitions";"cover3",#N/A,FALSE,"Definitions";"cover4",#N/A,FALSE,"Definitions";"cover5",#N/A,FALSE,"Definitions";"blank",#N/A,FALSE,"Definitions"}</definedName>
    <definedName name="wrn.datapak.">{#N/A,#N/A,FALSE,"Status of Projects";#N/A,#N/A,FALSE,"CEA-TEC";#N/A,#N/A,FALSE,"U-Constr.";#N/A,#N/A,FALSE,"summary";#N/A,#N/A,FALSE,"PPP-3 yrs"}</definedName>
    <definedName name="wrn.dcf." hidden="1">{"mgmt forecast",#N/A,FALSE,"Mgmt Forecast";"dcf table",#N/A,FALSE,"Mgmt Forecast";"sensitivity",#N/A,FALSE,"Mgmt Forecast";"table inputs",#N/A,FALSE,"Mgmt Forecast";"calculations",#N/A,FALSE,"Mgmt Forecast"}</definedName>
    <definedName name="wrn.DCF._.III._.Report.">{#N/A,#N/A,FALSE,"Cover";#N/A,#N/A,FALSE,"Pres ";#N/A,#N/A,FALSE,"Outputs";#N/A,#N/A,FALSE,"DCF ";#N/A,#N/A,FALSE,"CFS";#N/A,#N/A,FALSE,"BS";#N/A,#N/A,FALSE,"PL";#N/A,#N/A,FALSE,"Control (In)";#N/A,#N/A,FALSE,"Broker (In)";#N/A,#N/A,FALSE,"In-House (In)";#N/A,#N/A,FALSE,"WACC";#N/A,#N/A,FALSE,"Ass";#N/A,#N/A,FALSE,"Check"}</definedName>
    <definedName name="wrn.DCF._.Only.">{#N/A,#N/A,FALSE,"DCF Summary";#N/A,#N/A,FALSE,"Casema";#N/A,#N/A,FALSE,"Casema NoTel";#N/A,#N/A,FALSE,"UK";#N/A,#N/A,FALSE,"RCF";#N/A,#N/A,FALSE,"Intercable CZ";#N/A,#N/A,FALSE,"Interkabel P"}</definedName>
    <definedName name="wrn.DCF._.Only._1">{#N/A,#N/A,FALSE,"DCF Summary";#N/A,#N/A,FALSE,"Casema";#N/A,#N/A,FALSE,"Casema NoTel";#N/A,#N/A,FALSE,"UK";#N/A,#N/A,FALSE,"RCF";#N/A,#N/A,FALSE,"Intercable CZ";#N/A,#N/A,FALSE,"Interkabel P"}</definedName>
    <definedName name="wrn.DCF._.Only._1_1">{#N/A,#N/A,FALSE,"DCF Summary";#N/A,#N/A,FALSE,"Casema";#N/A,#N/A,FALSE,"Casema NoTel";#N/A,#N/A,FALSE,"UK";#N/A,#N/A,FALSE,"RCF";#N/A,#N/A,FALSE,"Intercable CZ";#N/A,#N/A,FALSE,"Interkabel P"}</definedName>
    <definedName name="wrn.DCF._.Only._1_1_1">{#N/A,#N/A,FALSE,"DCF Summary";#N/A,#N/A,FALSE,"Casema";#N/A,#N/A,FALSE,"Casema NoTel";#N/A,#N/A,FALSE,"UK";#N/A,#N/A,FALSE,"RCF";#N/A,#N/A,FALSE,"Intercable CZ";#N/A,#N/A,FALSE,"Interkabel P"}</definedName>
    <definedName name="wrn.DCF._.Only._1_1_1_1">{#N/A,#N/A,FALSE,"DCF Summary";#N/A,#N/A,FALSE,"Casema";#N/A,#N/A,FALSE,"Casema NoTel";#N/A,#N/A,FALSE,"UK";#N/A,#N/A,FALSE,"RCF";#N/A,#N/A,FALSE,"Intercable CZ";#N/A,#N/A,FALSE,"Interkabel P"}</definedName>
    <definedName name="wrn.DCF._.Only._1_1_1_1_1">{#N/A,#N/A,FALSE,"DCF Summary";#N/A,#N/A,FALSE,"Casema";#N/A,#N/A,FALSE,"Casema NoTel";#N/A,#N/A,FALSE,"UK";#N/A,#N/A,FALSE,"RCF";#N/A,#N/A,FALSE,"Intercable CZ";#N/A,#N/A,FALSE,"Interkabel P"}</definedName>
    <definedName name="wrn.DCF._.Only._1_1_2">{#N/A,#N/A,FALSE,"DCF Summary";#N/A,#N/A,FALSE,"Casema";#N/A,#N/A,FALSE,"Casema NoTel";#N/A,#N/A,FALSE,"UK";#N/A,#N/A,FALSE,"RCF";#N/A,#N/A,FALSE,"Intercable CZ";#N/A,#N/A,FALSE,"Interkabel P"}</definedName>
    <definedName name="wrn.DCF._.Only._1_2">{#N/A,#N/A,FALSE,"DCF Summary";#N/A,#N/A,FALSE,"Casema";#N/A,#N/A,FALSE,"Casema NoTel";#N/A,#N/A,FALSE,"UK";#N/A,#N/A,FALSE,"RCF";#N/A,#N/A,FALSE,"Intercable CZ";#N/A,#N/A,FALSE,"Interkabel P"}</definedName>
    <definedName name="wrn.DCF._.Only._1_2_1">{#N/A,#N/A,FALSE,"DCF Summary";#N/A,#N/A,FALSE,"Casema";#N/A,#N/A,FALSE,"Casema NoTel";#N/A,#N/A,FALSE,"UK";#N/A,#N/A,FALSE,"RCF";#N/A,#N/A,FALSE,"Intercable CZ";#N/A,#N/A,FALSE,"Interkabel P"}</definedName>
    <definedName name="wrn.DCF._.Only._2">{#N/A,#N/A,FALSE,"DCF Summary";#N/A,#N/A,FALSE,"Casema";#N/A,#N/A,FALSE,"Casema NoTel";#N/A,#N/A,FALSE,"UK";#N/A,#N/A,FALSE,"RCF";#N/A,#N/A,FALSE,"Intercable CZ";#N/A,#N/A,FALSE,"Interkabel P"}</definedName>
    <definedName name="wrn.DCF._.Only._2_1">{#N/A,#N/A,FALSE,"DCF Summary";#N/A,#N/A,FALSE,"Casema";#N/A,#N/A,FALSE,"Casema NoTel";#N/A,#N/A,FALSE,"UK";#N/A,#N/A,FALSE,"RCF";#N/A,#N/A,FALSE,"Intercable CZ";#N/A,#N/A,FALSE,"Interkabel P"}</definedName>
    <definedName name="wrn.DCF._.Only._2_1_1">{#N/A,#N/A,FALSE,"DCF Summary";#N/A,#N/A,FALSE,"Casema";#N/A,#N/A,FALSE,"Casema NoTel";#N/A,#N/A,FALSE,"UK";#N/A,#N/A,FALSE,"RCF";#N/A,#N/A,FALSE,"Intercable CZ";#N/A,#N/A,FALSE,"Interkabel P"}</definedName>
    <definedName name="wrn.DCF._.Only._3">{#N/A,#N/A,FALSE,"DCF Summary";#N/A,#N/A,FALSE,"Casema";#N/A,#N/A,FALSE,"Casema NoTel";#N/A,#N/A,FALSE,"UK";#N/A,#N/A,FALSE,"RCF";#N/A,#N/A,FALSE,"Intercable CZ";#N/A,#N/A,FALSE,"Interkabel P"}</definedName>
    <definedName name="wrn.DCF_Terminal_Value_qchm.">{"qchm_dcf",#N/A,FALSE,"QCHMDCF2";"qchm_terminal",#N/A,FALSE,"QCHMDCF2"}</definedName>
    <definedName name="wrn.dcf2">{"DCF1",#N/A,FALSE,"SIERRA DCF";"MATRIX1",#N/A,FALSE,"SIERRA DCF"}</definedName>
    <definedName name="wrn.DCFEpervier.">{#N/A,#N/A,FALSE,"Inc.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Tor">{#N/A,#N/A,FALSE,"DCF Summary";#N/A,#N/A,FALSE,"Casema";#N/A,#N/A,FALSE,"Casema NoTel";#N/A,#N/A,FALSE,"UK";#N/A,#N/A,FALSE,"RCF";#N/A,#N/A,FALSE,"Intercable CZ";#N/A,#N/A,FALSE,"Interkabel P"}</definedName>
    <definedName name="wrn.DCFTor_1">{#N/A,#N/A,FALSE,"DCF Summary";#N/A,#N/A,FALSE,"Casema";#N/A,#N/A,FALSE,"Casema NoTel";#N/A,#N/A,FALSE,"UK";#N/A,#N/A,FALSE,"RCF";#N/A,#N/A,FALSE,"Intercable CZ";#N/A,#N/A,FALSE,"Interkabel P"}</definedName>
    <definedName name="wrn.DCFTor_1_1">{#N/A,#N/A,FALSE,"DCF Summary";#N/A,#N/A,FALSE,"Casema";#N/A,#N/A,FALSE,"Casema NoTel";#N/A,#N/A,FALSE,"UK";#N/A,#N/A,FALSE,"RCF";#N/A,#N/A,FALSE,"Intercable CZ";#N/A,#N/A,FALSE,"Interkabel P"}</definedName>
    <definedName name="wrn.DCFTor_1_1_1">{#N/A,#N/A,FALSE,"DCF Summary";#N/A,#N/A,FALSE,"Casema";#N/A,#N/A,FALSE,"Casema NoTel";#N/A,#N/A,FALSE,"UK";#N/A,#N/A,FALSE,"RCF";#N/A,#N/A,FALSE,"Intercable CZ";#N/A,#N/A,FALSE,"Interkabel P"}</definedName>
    <definedName name="wrn.DCFTor_1_1_1_1">{#N/A,#N/A,FALSE,"DCF Summary";#N/A,#N/A,FALSE,"Casema";#N/A,#N/A,FALSE,"Casema NoTel";#N/A,#N/A,FALSE,"UK";#N/A,#N/A,FALSE,"RCF";#N/A,#N/A,FALSE,"Intercable CZ";#N/A,#N/A,FALSE,"Interkabel P"}</definedName>
    <definedName name="wrn.DCFTor_1_1_1_1_1">{#N/A,#N/A,FALSE,"DCF Summary";#N/A,#N/A,FALSE,"Casema";#N/A,#N/A,FALSE,"Casema NoTel";#N/A,#N/A,FALSE,"UK";#N/A,#N/A,FALSE,"RCF";#N/A,#N/A,FALSE,"Intercable CZ";#N/A,#N/A,FALSE,"Interkabel P"}</definedName>
    <definedName name="wrn.DCFTor_1_1_2">{#N/A,#N/A,FALSE,"DCF Summary";#N/A,#N/A,FALSE,"Casema";#N/A,#N/A,FALSE,"Casema NoTel";#N/A,#N/A,FALSE,"UK";#N/A,#N/A,FALSE,"RCF";#N/A,#N/A,FALSE,"Intercable CZ";#N/A,#N/A,FALSE,"Interkabel P"}</definedName>
    <definedName name="wrn.DCFTor_1_2">{#N/A,#N/A,FALSE,"DCF Summary";#N/A,#N/A,FALSE,"Casema";#N/A,#N/A,FALSE,"Casema NoTel";#N/A,#N/A,FALSE,"UK";#N/A,#N/A,FALSE,"RCF";#N/A,#N/A,FALSE,"Intercable CZ";#N/A,#N/A,FALSE,"Interkabel P"}</definedName>
    <definedName name="wrn.DCFTor_1_2_1">{#N/A,#N/A,FALSE,"DCF Summary";#N/A,#N/A,FALSE,"Casema";#N/A,#N/A,FALSE,"Casema NoTel";#N/A,#N/A,FALSE,"UK";#N/A,#N/A,FALSE,"RCF";#N/A,#N/A,FALSE,"Intercable CZ";#N/A,#N/A,FALSE,"Interkabel P"}</definedName>
    <definedName name="wrn.DCFTor_2">{#N/A,#N/A,FALSE,"DCF Summary";#N/A,#N/A,FALSE,"Casema";#N/A,#N/A,FALSE,"Casema NoTel";#N/A,#N/A,FALSE,"UK";#N/A,#N/A,FALSE,"RCF";#N/A,#N/A,FALSE,"Intercable CZ";#N/A,#N/A,FALSE,"Interkabel P"}</definedName>
    <definedName name="wrn.DCFTor_2_1">{#N/A,#N/A,FALSE,"DCF Summary";#N/A,#N/A,FALSE,"Casema";#N/A,#N/A,FALSE,"Casema NoTel";#N/A,#N/A,FALSE,"UK";#N/A,#N/A,FALSE,"RCF";#N/A,#N/A,FALSE,"Intercable CZ";#N/A,#N/A,FALSE,"Interkabel P"}</definedName>
    <definedName name="wrn.DCFTor_2_1_1">{#N/A,#N/A,FALSE,"DCF Summary";#N/A,#N/A,FALSE,"Casema";#N/A,#N/A,FALSE,"Casema NoTel";#N/A,#N/A,FALSE,"UK";#N/A,#N/A,FALSE,"RCF";#N/A,#N/A,FALSE,"Intercable CZ";#N/A,#N/A,FALSE,"Interkabel P"}</definedName>
    <definedName name="wrn.DCFTor_3">{#N/A,#N/A,FALSE,"DCF Summary";#N/A,#N/A,FALSE,"Casema";#N/A,#N/A,FALSE,"Casema NoTel";#N/A,#N/A,FALSE,"UK";#N/A,#N/A,FALSE,"RCF";#N/A,#N/A,FALSE,"Intercable CZ";#N/A,#N/A,FALSE,"Interkabel P"}</definedName>
    <definedName name="wrn.detail.">{#N/A,#N/A,FALSE,"TOTAL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Balance._.Sheet.">{#N/A,#N/A,FALSE,"Detail"}</definedName>
    <definedName name="wrn.Detail_Projection.">{#N/A,#N/A,FALSE,"Detail YTD"}</definedName>
    <definedName name="wrn.Detailed._.P._.and._.L.">{"P and L Detail Page 1",#N/A,FALSE,"Data";"P and L Detail Page 2",#N/A,FALSE,"Data"}</definedName>
    <definedName name="wrn.Development._.Model.">{#N/A,#N/A,FALSE,"Input";#N/A,#N/A,FALSE,"Assumptions";#N/A,#N/A,FALSE,"Valuation";#N/A,#N/A,FALSE,"Financial Alternatives";#N/A,#N/A,FALSE,"Cash Flow"}</definedName>
    <definedName name="wrn.Diebold._.1.">{#N/A,#N/A,FALSE,"Allo SEC";#N/A,#N/A,FALSE,"Consid";#N/A,#N/A,FALSE,"BalSht";#N/A,#N/A,FALSE,"Customer List";#N/A,#N/A,FALSE,"WFIP";#N/A,#N/A,FALSE,"WC";#N/A,#N/A,FALSE,"FA_Dep";#N/A,#N/A,FALSE,"SUMMARY";#N/A,#N/A,FALSE,"Hardware";#N/A,#N/A,FALSE,"WRM";#N/A,#N/A,FALSE,"NWS";#N/A,#N/A,FALSE,"Embed. SW";#N/A,#N/A,FALSE,"WRM-IPRD";#N/A,#N/A,FALSE,"WinForm-IPRD";#N/A,#N/A,FALSE,"Sheet1"}</definedName>
    <definedName name="wrn.Dividend._.Schedule.">{"Dividend",#N/A,FALSE,"Cash Flow"}</definedName>
    <definedName name="wrn.document.">{"consolidated",#N/A,FALSE,"Sheet1";"cms",#N/A,FALSE,"Sheet1";"fse",#N/A,FALSE,"Sheet1"}</definedName>
    <definedName name="wrn.documentation.">{"documentation1",#N/A,FALSE,"Documentation";"documentation2",#N/A,FALSE,"Documentation"}</definedName>
    <definedName name="wrn.Draft.">{"Draft",#N/A,FALSE,"Feb-96"}</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I._.INTL._.LP.">{#N/A,#N/A,FALSE,"F-1";#N/A,#N/A,FALSE,"H-1";#N/A,#N/A,FALSE,"J-1";#N/A,#N/A,FALSE,"K-1";#N/A,#N/A,FALSE,"Q-A-1";#N/A,#N/A,FALSE,"S-1";#N/A,#N/A,FALSE,"T-1";#N/A,#N/A,FALSE,"T-2";#N/A,#N/A,FALSE,"t-3";#N/A,#N/A,FALSE,"ETB"}</definedName>
    <definedName name="wrn.Economic._.Value._.Added._.Analysis.">{"EVA",#N/A,FALSE,"EVA";"WACC",#N/A,FALSE,"WACC"}</definedName>
    <definedName name="wrn.Europe.">{"rawdata",#N/A,TRUE,"BT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W.">{#N/A,#N/A,FALSE,"EW"}</definedName>
    <definedName name="wrn.Exhibit_draft_report.">{"Historic",#N/A,FALSE,"Historic IS";"BS",#N/A,FALSE,"DCF BS conversion";"Market_summary_2",#N/A,FALSE,"Market summary";"GCM_summary",#N/A,FALSE,"Market approach";"DCF",#N/A,FALSE,"DCF Projected IS unlevered";"DCF_value",#N/A,FALSE,"DCF Indications of value"}</definedName>
    <definedName name="wrn.EXHIBITS.">{"summary1",#N/A,FALSE,"Summary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wrn.ExitAndSalesAssumptions." hidden="1">{#N/A,#N/A,FALSE,"ExitStratigy"}</definedName>
    <definedName name="wrn.FCB.">{"FCB_ALL",#N/A,FALSE,"FCB"}</definedName>
    <definedName name="wrn.fcb2">{"FCB_ALL",#N/A,FALSE,"FCB"}</definedName>
    <definedName name="wrn.Ferro.">{"matt","zero",FALSE,"CS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ilecopy.">{"Multiples_filecopy",#N/A,FALSE,"Multiples";"Adjustments_filecopy",#N/A,FALSE,"Adjustments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l.">{"Final",#N/A,FALSE,"Feb-96"}</definedName>
    <definedName name="wrn.Financial._.Output.">{"P and L",#N/A,FALSE,"Financial Output";"Cashflow",#N/A,FALSE,"Financial Output";"Balance Sheet",#N/A,FALSE,"Financial Output"}</definedName>
    <definedName name="wrn.Financials._.April._.02._.Rs._.000.">{"BS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wrn.Finanzbedarfsrechnung.">{#N/A,#N/A,FALSE,"Finanzbedarfsrechnung"}</definedName>
    <definedName name="wrn.FIVE._.YEAR._.PROJECTION.">{"FIVEYEAR",#N/A,TRUE,"SUMMARY";"FIVEYEAR",#N/A,TRUE,"Ratios";"FIVEYEAR",#N/A,TRUE,"Revenue";"FIVEYEAR",#N/A,TRUE,"DETAIL";"FIVEYEAR",#N/A,TRUE,"Payroll"}</definedName>
    <definedName name="wrn.Five._.Year._.Record.">{"Five Year Record",#N/A,FALSE,"Front and Back"}</definedName>
    <definedName name="wrn.for._.TenneT.">{#N/A,#N/A,TRUE,"Cover";#N/A,#N/A,TRUE,"Corrections";#N/A,#N/A,TRUE,"Tariffs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M1.">{#N/A,#N/A,FALSE,"COMP"}</definedName>
    <definedName name="wrn.FOschedules.">{"FOschedule1",#N/A,FALSE,"Sheet1";"FOschedule2",#N/A,FALSE,"Sheet1";"FOschedule3",#N/A,FALSE,"Sheet1"}</definedName>
    <definedName name="wrn.FOUR._.CASES.">{"MODEL","ALL STOCK",FALSE,"CS First Boston Merger Model";"MODEL","ALL CASH",FALSE,"CS First Boston Merger Model";"MODEL","ALL CASH WITH EQUITY OFFERING",FALSE,"CS First Boston Merger Model";"MODEL","HALF CASH/HALF STOCK",FALSE,"CS First Boston Merger Model"}</definedName>
    <definedName name="wrn.fred.">{"cover",#N/A,TRUE,"BaseCase";"pnl",#N/A,TRUE,"BaseCase";"pnldet",#N/A,TRUE,"BaseCase";"bil",#N/A,TRUE,"BaseCase";"tabfi",#N/A,TRUE,"BaseCase";"ratios",#N/A,TRUE,"BaseCase";"variab",#N/A,TRUE,"BaseCase";"inv",#N/A,TRUE,"BaseCase"}</definedName>
    <definedName name="wrn.FREE.">{#N/A,#N/A,FALSE,"FREE"}</definedName>
    <definedName name="wrn.Front._.Page.">{"Front Page",#N/A,FALSE,"Front and Back"}</definedName>
    <definedName name="wrn.Full.">{"Comp1",#N/A,FALSE,"COMP";"Comp2",#N/A,FALSE,"COMP";"Comp3",#N/A,FALSE,"COMP";"Comp4",#N/A,FALSE,"COMP"}</definedName>
    <definedName name="wrn.Full._.Financials.">{#N/A,#N/A,TRUE,"Financials";#N/A,#N/A,TRUE,"Operating Statistics";#N/A,#N/A,TRUE,"Capex &amp; Depreciation";#N/A,#N/A,TRUE,"Debt"}</definedName>
    <definedName name="wrn.Full._.Model.">{#N/A,#N/A,TRUE,"Cover sheet";#N/A,#N/A,TRUE,"DCF analysis";#N/A,#N/A,TRUE,"WACC calculation"}</definedName>
    <definedName name="wrn.full._.report.">{"summary",#N/A,FALSE,"Summary";"transaction",#N/A,FALSE,"Transaction";"sales",#N/A,FALSE,"Sales";"sales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excl._.detailed._.schedules.">{"Cover",#N/A,TRUE,"Cover";"Structure",#N/A,TRUE,"STRUCTURE";"Returns",#N/A,TRUE,"RETURNS";"Financing",#N/A,TRUE,"FINANCING";"Exit valuation",#N/A,TRUE,"EXIT VALUATION";"Adjustments",#N/A,TRUE,"Adjustments";"Maintainable earnings",#N/A,TRUE,"Maintainable earnings";"Input sheet",#N/A,TRUE,"Inputs";"Redundancy plan",#N/A,TRUE,"Restructuring Plan";"Taxes",#N/A,TRUE,"Tax Schedule"}</definedName>
    <definedName name="wrn.Full._.without._.data.">{#N/A,#N/A,FALSE,"Title";#N/A,#N/A,FALSE,"Contents";#N/A,#N/A,FALSE,"Executive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report."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Y96sbp99">{#N/A,#N/A,FALSE,"FY97";#N/A,#N/A,FALSE,"FY98";#N/A,#N/A,FALSE,"FY99";#N/A,#N/A,FALSE,"FY00";#N/A,#N/A,FALSE,"FY01"}</definedName>
    <definedName name="wrn.FY97SBP.">{#N/A,#N/A,FALSE,"FY97";#N/A,#N/A,FALSE,"FY98";#N/A,#N/A,FALSE,"FY99";#N/A,#N/A,FALSE,"FY00";#N/A,#N/A,FALSE,"FY01"}</definedName>
    <definedName name="wrn.FY97SBP2">{#N/A,#N/A,FALSE,"FY97";#N/A,#N/A,FALSE,"FY98";#N/A,#N/A,FALSE,"FY99";#N/A,#N/A,FALSE,"FY00";#N/A,#N/A,FALSE,"FY01"}</definedName>
    <definedName name="wrn.General._.OTC.">{#N/A,#N/A,FALSE,"Title Page (3)";#N/A,#N/A,FALSE,"YTD - OTC";#N/A,#N/A,FALSE,"MTH - OTC"}</definedName>
    <definedName name="wrn.General._.Pharm.">{#N/A,#N/A,FALSE,"Title Page (2)";#N/A,#N/A,FALSE,"YTD - Pharm";#N/A,#N/A,FALSE,"MTH - Pharm"}</definedName>
    <definedName name="wrn.General._.Total.">{#N/A,#N/A,FALSE,"Title Page (4)";#N/A,#N/A,FALSE,"YTD - Total";#N/A,#N/A,FALSE,"MTH - Total"}</definedName>
    <definedName name="wrn.Geographic._.Trends.">{"Geographic P1",#N/A,FALSE,"Division &amp; Geog"}</definedName>
    <definedName name="wrn.GRAPHS.">{#N/A,#N/A,FALSE,"ACQ_GRAPHS";#N/A,#N/A,FALSE,"T_1 GRAPHS";#N/A,#N/A,FALSE,"T_2 GRAPHS";#N/A,#N/A,FALSE,"COMB_GRAPHS"}</definedName>
    <definedName name="wrn.gross._.margin._.detail.">{"gross_margin1",#N/A,FALSE,"Gross Margin Detail";"gross_margin2",#N/A,FALSE,"Gross Margin Detail"}</definedName>
    <definedName name="wrn.GuV.">{#N/A,#N/A,FALSE,"Layout GuV"}</definedName>
    <definedName name="wrn.handout.">{"quarterly",#N/A,FALSE,"Income Statement New CPB";"annual",#N/A,FALSE,"Income Statement New CPB";"cash flow",#N/A,FALSE,"Cash Flow";"balance",#N/A,FALSE,"Balance Sheet";"seg",#N/A,FALSE,"New Segment Breakout"}</definedName>
    <definedName name="wrn.Historical._.Cost._.PWC.">{#N/A,#N/A,TRUE,"Cover His PWC";#N/A,#N/A,TRUE,"P&amp;L";#N/A,#N/A,TRUE,"BS";#N/A,#N/A,TRUE,"Depreciation";#N/A,#N/A,TRUE,"GRAPHS";#N/A,#N/A,TRUE,"DCF EBITDA Multiple";#N/A,#N/A,TRUE,"DCF Perpetual Growth"}</definedName>
    <definedName name="wrn.Historical._.Cost._.TenneT.">{#N/A,#N/A,TRUE,"Cover His T";#N/A,#N/A,TRUE,"P&amp;L";#N/A,#N/A,TRUE,"BS";#N/A,#N/A,TRUE,"Depreciation";#N/A,#N/A,TRUE,"GRAPHS";#N/A,#N/A,TRUE,"DCF EBITDA Multiple";#N/A,#N/A,TRUE,"DCF Perpetual Growth"}</definedName>
    <definedName name="wrn.historical._.performance.">{"historical acquirer",#N/A,FALSE,"Historical Performance";"historical target",#N/A,FALSE,"Historical Performance"}</definedName>
    <definedName name="wrn.icem.">{#N/A,#N/A,FALSE,"Exb 2";#N/A,#N/A,FALSE,"Exb 3(a)";#N/A,#N/A,FALSE,"WACC";#N/A,#N/A,FALSE,"Exh 4(a)";#N/A,#N/A,FALSE,"Exh 4(b)";#N/A,#N/A,FALSE,"Exb 5(a)";#N/A,#N/A,FALSE,"Exb 5(b)"}</definedName>
    <definedName name="wrn.imp.">{"vue1",#N/A,FALSE,"synthese";"vue2",#N/A,FALSE,"synthese"}</definedName>
    <definedName name="wrn.imprim.">{#N/A,#N/A,FALSE,"Feuil";#N/A,#N/A,FALSE,"Feuil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_.statement.">{"income statement",#N/A,FALSE,"ATLAS-A"}</definedName>
    <definedName name="wrn.Infectious._.Diseases.">{#N/A,#N/A,FALSE,"Anti";#N/A,#N/A,FALSE,"Cefa";#N/A,#N/A,FALSE,"Ceph";#N/A,#N/A,FALSE,"Cefp";#N/A,#N/A,FALSE,"Cefe";#N/A,#N/A,FALSE,"Pens";#N/A,#N/A,FALSE,"Ampi";#N/A,#N/A,FALSE,"Amox";#N/A,#N/A,FALSE,"Isox";#N/A,#N/A,FALSE,"Aztr";#N/A,#N/A,FALSE,"Videx";#N/A,#N/A,FALSE,"Zerit"}</definedName>
    <definedName name="wrn.input._.sheet.">{#N/A,#N/A,FALSE,"TICKERS INPUT SHEET"}</definedName>
    <definedName name="wrn.Introduction.">{#N/A,#N/A,TRUE,"Cover";#N/A,#N/A,TRUE,"Valuation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SBL.">{#N/A,#N/A,FALSE,"ISBL"}</definedName>
    <definedName name="wrn.JULY._.10._._short.">{#N/A,#N/A,TRUE,"inflated RAB";#N/A,#N/A,TRUE,"nominal RAB";#N/A,#N/A,TRUE,"RAB Difference";#N/A,#N/A,TRUE,"Budget TenneT";#N/A,#N/A,TRUE,"Revenues";#N/A,#N/A,TRUE,"Period 1";#N/A,#N/A,TRUE,"Period 2";#N/A,#N/A,TRUE,"Period 3";#N/A,#N/A,TRUE,"Period 4";#N/A,#N/A,TRUE,"Operating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Capital";#N/A,#N/A,TRUE,"Cash";#N/A,#N/A,TRUE,"Equity";#N/A,#N/A,TRUE,"Provisions";#N/A,#N/A,TRUE,"Debt";#N/A,#N/A,TRUE,"BS";#N/A,#N/A,TRUE,"CF";#N/A,#N/A,TRUE,"DCF EBITDA Multiple";#N/A,#N/A,TRUE,"DCF Perpetual Growth"}</definedName>
    <definedName name="wrn.June8.">{#N/A,#N/A,FALSE,"Cover";#N/A,#N/A,FALSE,"Macro Assumptions";#N/A,#N/A,FALSE,"Tariffs DTe";#N/A,#N/A,FALSE,"2000 Revenues";#N/A,#N/A,FALSE,"Initial RAB";#N/A,#N/A,FALSE,"Budget TenneT";#N/A,#N/A,FALSE,"Revenues";#N/A,#N/A,FALSE,"Operating Expenses";#N/A,#N/A,FALSE,"Energy &amp; Power";#N/A,#N/A,FALSE,"Grid Costs";#N/A,#N/A,FALSE,"TPA";#N/A,#N/A,FALSE,"Maintenance";#N/A,#N/A,FALSE,"Personnel";#N/A,#N/A,FALSE,"General";#N/A,#N/A,FALSE,"Depr";#N/A,#N/A,FALSE,"P&amp;L";#N/A,#N/A,FALSE,"Fixed Assets_Sum";#N/A,#N/A,FALSE,"Assumptions";#N/A,#N/A,FALSE,"FA";#N/A,#N/A,FALSE,"CapEx";#N/A,#N/A,FALSE,"Work in Progress";#N/A,#N/A,FALSE,"Working Capital";#N/A,#N/A,FALSE,"Cash";#N/A,#N/A,FALSE,"Equity";#N/A,#N/A,FALSE,"Provisions";#N/A,#N/A,FALSE,"Debt";#N/A,#N/A,FALSE,"BS";#N/A,#N/A,FALSE,"CF";#N/A,#N/A,FALSE,"Lines";#N/A,#N/A,FALSE,"Stations";#N/A,#N/A,FALSE,"Cap. Expenses";#N/A,#N/A,FALSE,"Land";#N/A,#N/A,FALSE,"Cen Proces Sys";#N/A,#N/A,FALSE,"IT";#N/A,#N/A,FALSE,"telecom";#N/A,#N/A,FALSE,"Other";#N/A,#N/A,FALSE,"WACC_DTe_pre";#N/A,#N/A,FALSE,"WACC_DTe_post";#N/A,#N/A,FALSE,"Wacc";#N/A,#N/A,FALSE,"DCF EBITDA Multiple";#N/A,#N/A,FALSE,"DCF Perpetual Growth";#N/A,#N/A,FALSE,"RAB (DTe)";#N/A,#N/A,FALSE,"P&amp;L (2)";#N/A,#N/A,FALSE,"TComps"}</definedName>
    <definedName name="wrn.KBE_96.">{#N/A,#N/A,FALSE,"ALLGEMEINER TEIL";#N/A,#N/A,FALSE,"AKTIVA";#N/A,#N/A,FALSE,"PASSIVA";#N/A,#N/A,FALSE,"GUV-RECHNUNG"}</definedName>
    <definedName name="wrn.Komplettausdruck.">{#N/A,#N/A,FALSE,"Layout Aktiva";#N/A,#N/A,FALSE,"Layout Passiva";#N/A,#N/A,FALSE,"Layout GuV";#N/A,#N/A,FALSE,"Layout Cash Flow";#N/A,#N/A,FALSE,"Mittelherkunft";#N/A,#N/A,FALSE,"Mittelverwendung";#N/A,#N/A,FALSE,"Finanzbedarfsrechnung"}</definedName>
    <definedName name="wrn.Leasehold._.Improvements.">{"Corporate Leasehold Improvements",#N/A,FALSE,"FIXASSTS"}</definedName>
    <definedName name="wrn.lh97.">{"RETRO",#N/A,FALSE,"Ret";"retro",#N/A,FALSE,"Ret_RO";"retp",#N/A,FALSE,"Ret_P";"livro",#N/A,FALSE,"Livr_RO";"livp",#N/A,FALSE,"Livr_P";"puro",#N/A,FALSE,"Pu_RO";"pup",#N/A,FALSE,"Pu_P";"stocro",#N/A,FALSE,"Stock_RO";"stocp",#N/A,FALSE,"Stock_P";"vitro",#N/A,FALSE,"Vitr-RO";"vitp",#N/A,FALSE,"Vitr-P";"destro",#N/A,FALSE,"Dest_RO";"destp",#N/A,FALSE,"Dest_P"}</definedName>
    <definedName name="wrn.LoanInformation." hidden="1">{#N/A,#N/A,FALSE,"LoanAssumptions"}</definedName>
    <definedName name="wrn.lodging." hidden="1">{"p",#N/A,FALSE,"Sheet1";"p 2",#N/A,FALSE,"Sheet1";"p 3",#N/A,FALSE,"Sheet1"}</definedName>
    <definedName name="wrn.market._.share.">{#N/A,#N/A,FALSE,"Bestfoods";#N/A,#N/A,FALSE,"Campbell";#N/A,#N/A,FALSE,"ConAgra";#N/A,#N/A,FALSE,"Healthy Choice";#N/A,#N/A,FALSE,"Int'l Home Foods";#N/A,#N/A,FALSE,"General Mills";#N/A,#N/A,FALSE,"Heinz";#N/A,#N/A,FALSE,"Kellogg";#N/A,#N/A,FALSE,"Kraft";#N/A,#N/A,FALSE,"Nabisco";#N/A,#N/A,FALSE,"Quaker Oats";#N/A,#N/A,FALSE,"Sara Lee";#N/A,#N/A,FALSE,"print summary"}</definedName>
    <definedName name="wrn.Market._.Values.">{#N/A,#N/A,TRUE,"10 Yr Hold";#N/A,#N/A,TRUE,"7 Yr Hold";#N/A,#N/A,TRUE,"5 Yr Hold";#N/A,#N/A,TRUE,"3 Yr Hold"}</definedName>
    <definedName name="wrn.MARKF98FULL.">{#N/A,#N/A,TRUE,"CONTENTS";#N/A,#N/A,TRUE,"M2";#N/A,#N/A,TRUE,"M2a";#N/A,#N/A,TRUE,"M2b";#N/A,#N/A,TRUE,"M3";#N/A,#N/A,TRUE,"M3a";#N/A,#N/A,TRUE,"M4-H";#N/A,#N/A,TRUE,"M4-P";#N/A,#N/A,TRUE,"M4a";#N/A,#N/A,TRUE,"M4b";#N/A,#N/A,TRUE,"M4c";#N/A,#N/A,TRUE,"M5";#N/A,#N/A,TRUE,"M6";#N/A,#N/A,TRUE,"M7";#N/A,#N/A,TRUE,"M8";#N/A,#N/A,TRUE,"M9";#N/A,#N/A,TRUE,"M10";#N/A,#N/A,TRUE,"M11";#N/A,#N/A,TRUE,"M13";#N/A,#N/A,TRUE,"M14";#N/A,#N/A,TRUE,"M15";#N/A,#N/A,TRUE,"K1"}</definedName>
    <definedName name="wrn.MARKF98H.">{#N/A,#N/A,FALSE,"CONTENTS";#N/A,#N/A,FALSE,"M2";#N/A,#N/A,FALSE,"M2a";#N/A,#N/A,FALSE,"M2b";#N/A,#N/A,FALSE,"M3";#N/A,#N/A,FALSE,"M3a";#N/A,#N/A,FALSE,"M4-H";#N/A,#N/A,FALSE,"M4a";#N/A,#N/A,FALSE,"M4b";#N/A,#N/A,FALSE,"M4c";#N/A,#N/A,FALSE,"M5";#N/A,#N/A,FALSE,"M6";#N/A,#N/A,FALSE,"M7";#N/A,#N/A,FALSE,"M8";#N/A,#N/A,FALSE,"M9";#N/A,#N/A,FALSE,"M10";#N/A,#N/A,FALSE,"M11";#N/A,#N/A,FALSE,"M13";#N/A,#N/A,FALSE,"M14";#N/A,#N/A,FALSE,"M15";#N/A,#N/A,FALSE,"K1"}</definedName>
    <definedName name="wrn.MARKF98P.">{#N/A,#N/A,TRUE,"CONTENTS";#N/A,#N/A,TRUE,"M2";#N/A,#N/A,TRUE,"M2a";#N/A,#N/A,TRUE,"M2b";#N/A,#N/A,TRUE,"M3";#N/A,#N/A,TRUE,"M3a";#N/A,#N/A,TRUE,"M4-P";#N/A,#N/A,TRUE,"M5";#N/A,#N/A,TRUE,"M6";#N/A,#N/A,TRUE,"M7";#N/A,#N/A,TRUE,"M8";#N/A,#N/A,TRUE,"M9";#N/A,#N/A,TRUE,"M10";#N/A,#N/A,TRUE,"M11";#N/A,#N/A,TRUE,"M13";#N/A,#N/A,TRUE,"M14";#N/A,#N/A,TRUE,"M15";#N/A,#N/A,TRUE,"K1"}</definedName>
    <definedName name="wrn.Massimo.">{#N/A,#N/A,TRUE,"Total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y._.21.">{#N/A,#N/A,TRUE,"Cover";#N/A,#N/A,TRUE,"Tariffs DTe";#N/A,#N/A,TRUE,"Revenues";#N/A,#N/A,TRUE,"Operating Expenses";#N/A,#N/A,TRUE,"Energy &amp; Power";#N/A,#N/A,TRUE,"Grid Costs";#N/A,#N/A,TRUE,"TPA";#N/A,#N/A,TRUE,"Maintenance";#N/A,#N/A,TRUE,"Personnel";#N/A,#N/A,TRUE,"General";#N/A,#N/A,TRUE,"P&amp;L";#N/A,#N/A,TRUE,"Assumptions";#N/A,#N/A,TRUE,"Working Capital";#N/A,#N/A,TRUE,"Cash";#N/A,#N/A,TRUE,"Equity";#N/A,#N/A,TRUE,"Deferred Income";#N/A,#N/A,TRUE,"Provisions";#N/A,#N/A,TRUE,"Debt";#N/A,#N/A,TRUE,"BS"}</definedName>
    <definedName name="wrn.MCP.">{#N/A,#N/A,FALSE,"F-1";#N/A,#N/A,FALSE,"F-2";#N/A,#N/A,FALSE,"f-3";#N/A,#N/A,FALSE,"H-1";#N/A,#N/A,FALSE,"h-2";#N/A,#N/A,FALSE,"J-1";#N/A,#N/A,FALSE,"K-1";#N/A,#N/A,FALSE,"K-2";#N/A,#N/A,FALSE,"QA1";#N/A,#N/A,FALSE,"Sheet2";#N/A,#N/A,FALSE,"S-1";#N/A,#N/A,FALSE,"S-2";#N/A,#N/A,FALSE,"t-4";#N/A,#N/A,FALSE,"t-3";#N/A,#N/A,FALSE,"t-2";#N/A,#N/A,FALSE,"T-1";#N/A,#N/A,FALSE,"JNL";#N/A,#N/A,FALSE,"valuation";#N/A,#N/A,FALSE,"RATIOS";#N/A,#N/A,FALSE,"SCH CAPITAL ";#N/A,#N/A,FALSE,"ETB";#N/A,#N/A,FALSE,"PROFORMA"}</definedName>
    <definedName name="wrn.MCP.2">{#N/A,#N/A,FALSE,"F-1";#N/A,#N/A,FALSE,"F-2";#N/A,#N/A,FALSE,"f-3";#N/A,#N/A,FALSE,"H-1";#N/A,#N/A,FALSE,"h-2";#N/A,#N/A,FALSE,"J-1";#N/A,#N/A,FALSE,"K-1";#N/A,#N/A,FALSE,"K-2";#N/A,#N/A,FALSE,"QA1";#N/A,#N/A,FALSE,"Sheet2";#N/A,#N/A,FALSE,"S-1";#N/A,#N/A,FALSE,"S-2";#N/A,#N/A,FALSE,"t-4";#N/A,#N/A,FALSE,"t-3";#N/A,#N/A,FALSE,"t-2";#N/A,#N/A,FALSE,"T-1";#N/A,#N/A,FALSE,"JNL";#N/A,#N/A,FALSE,"valuation";#N/A,#N/A,FALSE,"RATIOS";#N/A,#N/A,FALSE,"SCH CAPITAL ";#N/A,#N/A,FALSE,"ETB";#N/A,#N/A,FALSE,"PROFORMA"}</definedName>
    <definedName name="wrn.MCP2.">{#N/A,#N/A,FALSE,"K-1";#N/A,#N/A,FALSE,"Q-1";#N/A,#N/A,FALSE,"CAP DIST";#N/A,#N/A,FALSE,"F-1";#N/A,#N/A,FALSE,"H-1";#N/A,#N/A,FALSE,"J-1";#N/A,#N/A,FALSE,"S-1";#N/A,#N/A,FALSE,"S-2";#N/A,#N/A,FALSE,"T-1";#N/A,#N/A,FALSE,"H&amp;Q D-4";#N/A,#N/A,FALSE,"LN";#N/A,#N/A,FALSE,"RATIOS";#N/A,#N/A,FALSE,"SCH CAPITAL";#N/A,#N/A,FALSE,"Sheet2";#N/A,#N/A,FALSE,"Sheet1";#N/A,#N/A,FALSE,"TRANSFER"}</definedName>
    <definedName name="wrn.MDS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etal._.Control._.Buildout.">{"Metal Control Buildout",#N/A,FALSE,"FIXASSTS"}</definedName>
    <definedName name="wrn.Monthly._.Financials.">{"Worldwide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wrn.MonthlyRentRoll." hidden="1">{"MonthlyRentRoll",#N/A,FALSE,"RentRoll"}</definedName>
    <definedName name="wrn.mortassetplan." hidden="1">{#N/A,#N/A,FALSE,"asset plan";#N/A,#N/A,FALSE,"Mgmt Report";#N/A,#N/A,FALSE,"sensitivities (2)";#N/A,#N/A,FALSE,"sensitivities";#N/A,#N/A,FALSE,"let up 10  Mort";#N/A,#N/A,FALSE,"let up 12 Mort";#N/A,#N/A,FALSE,"Capex";#N/A,#N/A,FALSE,"Capex Cashflow (2)";#N/A,#N/A,FALSE,"Capex Cashflow (3)";#N/A,#N/A,FALSE,"House View";#N/A,#N/A,FALSE,"kpi"}</definedName>
    <definedName name="wrn.Multiples._.Calculation.">{#N/A,#N/A,FALSE,"GCM Data Sum";#N/A,#N/A,FALSE,"TIC-Calculation";#N/A,#N/A,FALSE,"TIC  Multiples";#N/A,#N/A,FALSE,"P-E &amp; Price to Book Multiples";#N/A,#N/A,FALSE,"Margins-EBITDA-to-Growth"}</definedName>
    <definedName name="wrn.NAVEEN." hidden="1">{#N/A,#N/A,FALSE,"BS";#N/A,#N/A,FALSE,"PL";#N/A,#N/A,FALSE,"Schdl 1,2,3";#N/A,#N/A,FALSE,"Schd 4";#N/A,#N/A,FALSE,"Sch -5,6 (2)";#N/A,#N/A,FALSE,"Schd 7,8,9,10";#N/A,#N/A,FALSE,"Schd 11";#N/A,#N/A,FALSE,"schd 12, 13,14"}</definedName>
    <definedName name="wrn.nema.">{#N/A,#N/A,FALSE,"Distbn Ntwrk";#N/A,#N/A,FALSE,"Workforce";#N/A,#N/A,FALSE,"cur-prod1";#N/A,#N/A,FALSE,"in-proc"}</definedName>
    <definedName name="wrn.New._.Forms.">{#N/A,#N/A,FALSE,"ATF TYPA";#N/A,#N/A,FALSE,"COMP SS100";#N/A,#N/A,FALSE,"D HDX 40N";#N/A,#N/A,FALSE,"DXL 40";#N/A,#N/A,FALSE,"D XL 50 EXP";#N/A,#N/A,FALSE,"D SP 15W40";#N/A,#N/A,FALSE,"ECO 40N";#N/A,#N/A,FALSE,"GO 140GL-1";#N/A,#N/A,FALSE,"EPHD GO 68";#N/A,#N/A,FALSE,"EPHD GO460";#N/A,#N/A,FALSE,"HYD AW 32";#N/A,#N/A,FALSE,"HYD AW46";#N/A,#N/A,FALSE,"HYD ZP46";#N/A,#N/A,FALSE,"HYD ZP68";#N/A,#N/A,FALSE,"MO 40N";#N/A,#N/A,FALSE,"MO 50";#N/A,#N/A,FALSE,"MT SUP.20W50N";#N/A,#N/A,FALSE,"MT S 20W50(Tender)N";#N/A,#N/A,FALSE,"MULTIGRADE MO";#N/A,#N/A,FALSE,"PERF OIL 78";#N/A,#N/A,FALSE,"PR.MO.40";#N/A,#N/A,FALSE,"P.GEAR GL-3";#N/A,#N/A,FALSE,"SD OIL 40N";#N/A,#N/A,FALSE,"SD OIL HT 40N";#N/A,#N/A,FALSE,"S.D.ADV15W40";#N/A,#N/A,FALSE,"S.D.ADV 15W40 JOR";#N/A,#N/A,FALSE,"S GEAR 90 GL4N";#N/A,#N/A,FALSE,"S GEAR ZX 90";#N/A,#N/A,FALSE,"S GEAR ZX 140";#N/A,#N/A,FALSE,"S GEAR ZX 140N";#N/A,#N/A,FALSE,"SMO 20W50N";#N/A,#N/A,FALSE,"S OB TCW3";#N/A,#N/A,FALSE,"THERM Z32";#N/A,#N/A,FALSE,"T OIL 68";#N/A,#N/A,FALSE,"U UHP 15W40N";#N/A,#N/A,FALSE,"L ATF TX-2"}</definedName>
    <definedName name="wrn.newDEV.">{"cover",#N/A,TRUE,"Cover";"pnl_NEWDEV",#N/A,TRUE,"NewCaseDEV";"bil_NEWDEV",#N/A,TRUE,"NewCaseDEV";"tabfi_NEWDEV",#N/A,TRUE,"NewCaseDEV";"ratios_NEWDEV",#N/A,TRUE,"NewCaseDEV";"variab_NEWDEV",#N/A,TRUE,"NewCaseDEV";"inv_NEWDEV",#N/A,TRUE,"NewCaseDEV"}</definedName>
    <definedName name="wrn.newEUR.">{"cover",#N/A,TRUE,"Cover";"pnl_NEWEUR",#N/A,TRUE,"NewCaseEUR";"bil_NEWEUR",#N/A,TRUE,"NewCaseEUR";"tabfi_NEWEUR",#N/A,TRUE,"NewCaseEUR";"ratios_NEWEUR",#N/A,TRUE,"NewCaseEUR";"variab_NEWEUR",#N/A,TRUE,"NewCaseEUR";"inv_NEWEUR",#N/A,TRUE,"NewCaseEUR"}</definedName>
    <definedName name="wrn.newoutput">{"DCF","UPSIDE CASE",FALSE,"Sheet1";"DCF","BASE CASE",FALSE,"Sheet1";"DCF","DOWNSIDE CASE",FALSE,"Sheet1"}</definedName>
    <definedName name="wrn.ntfinance.">{"Rate",#N/A,TRUE,"SUMMARY";"Ratios",#N/A,TRUE,"Ratios";"BUDGETREVENUE",#N/A,TRUE,"Revenue";"TOTALS",#N/A,TRUE,"DETAIL"}</definedName>
    <definedName name="wrn.OCS._.REPORT.">{#N/A,#N/A,FALSE,"Cover";#N/A,#N/A,FALSE,"Index";#N/A,#N/A,FALSE,"Spec";#N/A,#N/A,FALSE,"Breakdown";#N/A,#N/A,FALSE,"Cost Plan"}</definedName>
    <definedName name="wrn.Oncology.">{#N/A,#N/A,FALSE,"Onco";#N/A,#N/A,FALSE,"Taxol";#N/A,#N/A,FALSE,"UFT";#N/A,#N/A,FALSE,"Carb"}</definedName>
    <definedName name="wrn.One._.Pager._.plus._.Technicals.">{#N/A,#N/A,FALSE,"One Pager";#N/A,#N/A,FALSE,"Technical"}</definedName>
    <definedName name="wrn.OperatingAssumtions." hidden="1">{#N/A,#N/A,FALSE,"OperatingAssumptions"}</definedName>
    <definedName name="wrn.OSBL.">{#N/A,#N/A,FALSE,"OSBL"}</definedName>
    <definedName name="wrn.OTC._.Market._.Report.">{#N/A,#N/A,FALSE,"Sales Graph";#N/A,#N/A,FALSE,"BUC Graph";#N/A,#N/A,FALSE,"P&amp;L - YTD"}</definedName>
    <definedName name="wrn.Other._.Pharm.">{#N/A,#N/A,FALSE,"Other";#N/A,#N/A,FALSE,"Ace";#N/A,#N/A,FALSE,"Derm"}</definedName>
    <definedName name="wrn.OUTPUT.">{"DCF","UPSIDE CASE",FALSE,"Sheet1";"DCF","BASE CASE",FALSE,"Sheet1";"DCF","DOWNSIDE CASE",FALSE,"Sheet1"}</definedName>
    <definedName name="wrn.p">{#N/A,#N/A,FALSE,"1";#N/A,#N/A,FALSE,"2";#N/A,#N/A,FALSE,"16 - 17";#N/A,#N/A,FALSE,"18 - 19";#N/A,#N/A,FALSE,"26";#N/A,#N/A,FALSE,"27";#N/A,#N/A,FALSE,"28"}</definedName>
    <definedName name="wrn.Page1.Structure.">{"Page1.Structure",#N/A,FALSE,"Main"}</definedName>
    <definedName name="wrn.Page2.Equity.Goodwill.">{"Page2.Equity",#N/A,FALSE,"Main"}</definedName>
    <definedName name="wrn.Page2.Profit.Loss.">{"Page2.Profit and Loss",#N/A,FALSE,"Main Model"}</definedName>
    <definedName name="wrn.Page3.Balance.Sheet.">{"Page3.Balance Sheet",#N/A,FALSE,"Main Model"}</definedName>
    <definedName name="wrn.Page3.Profit.Cashflow.">{"Page3.Profit.Cashflow",#N/A,FALSE,"Main"}</definedName>
    <definedName name="wrn.Page4.Balance.Sheet.">{"Page4.Balance.Sheet",#N/A,FALSE,"Main"}</definedName>
    <definedName name="wrn.Page4.Covenants.">{"Page4.Covenants",#N/A,FALSE,"Main Model"}</definedName>
    <definedName name="wrn.Page5.Covenants.">{"Page5.Covenants",#N/A,FALSE,"Main"}</definedName>
    <definedName name="wrn.Page5.Covenants._.2.">{"Page5.Covenants 2",#N/A,FALSE,"Main Model"}</definedName>
    <definedName name="wrn.Page6.Assumptions1.">{"Page6.Assumptions1",#N/A,FALSE,"Main"}</definedName>
    <definedName name="wrn.Page6.Assuptions1.">{"Page6.Assumptions",#N/A,FALSE,"Main Model"}</definedName>
    <definedName name="wrn.Page7.Assumptions2.">{"Page7.Assumptions2",#N/A,FALSE,"Main"}</definedName>
    <definedName name="wrn.Page8.Yields.">{"Page8.Yields",#N/A,FALSE,"Main"}</definedName>
    <definedName name="wrn.PERPACKPG3.">{"DJH3",#N/A,FALSE,"PFL00805";"PJB3",#N/A,FALSE,"PFL00805";"JMD3",#N/A,FALSE,"PFL00805";"DNB3",#N/A,FALSE,"PFL00805";"MJP3",#N/A,FALSE,"PFL00805";"RAB3",#N/A,FALSE,"PFL00805";"GJW3",#N/A,FALSE,"PFL00805";"MASTER3",#N/A,FALSE,"PFL00805"}</definedName>
    <definedName name="wrn.PGW.">{#N/A,#N/A,FALSE,"PGW"}</definedName>
    <definedName name="wrn.Pharm._.Market._.Report.">{#N/A,#N/A,FALSE,"Sales Graph";#N/A,#N/A,FALSE,"PSBM";#N/A,#N/A,FALSE,"BUC Graph";#N/A,#N/A,FALSE,"P&amp;L - YTD"}</definedName>
    <definedName name="wrn.Pharmaceuticals.">{#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lbscf.">{"p_l",#N/A,FALSE,"Summary Accounts"}</definedName>
    <definedName name="wrn.polymw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p97schedules.">{"plansummary",#N/A,FALSE,"PlanSummary";"sales",#N/A,FALSE,"Sales Rec";"productivity",#N/A,FALSE,"Productivity Rec";"capitalspending",#N/A,FALSE,"Capital Spending"}</definedName>
    <definedName name="wrn.ppp">{#N/A,#N/A,FALSE,"1";#N/A,#N/A,FALSE,"2";#N/A,#N/A,FALSE,"16 - 17";#N/A,#N/A,FALSE,"18 - 19";#N/A,#N/A,FALSE,"26";#N/A,#N/A,FALSE,"27";#N/A,#N/A,FALSE,"28"}</definedName>
    <definedName name="wrn.Presentation." hidden="1">{#N/A,#N/A,TRUE,"Summary";"AnnualRentRoll",#N/A,TRUE,"RentRoll";#N/A,#N/A,TRUE,"ExitStratigy";#N/A,#N/A,TRUE,"OperatingAssumptions"}</definedName>
    <definedName name="wrn.prin2._.all.">{#N/A,#N/A,FALSE,"Pharm";#N/A,#N/A,FALSE,"WWCM"}</definedName>
    <definedName name="wrn.prin3">{#N/A,#N/A,FALSE,"Pharm";#N/A,#N/A,FALSE,"WWCM"}</definedName>
    <definedName name="wrn.print">{#N/A,#N/A,FALSE,"Pharm";#N/A,#N/A,FALSE,"WWCM"}</definedName>
    <definedName name="wrn.print." hidden="1">{"page1",#N/A,FALSE,"Sheet1";"page2",#N/A,FALSE,"Sheet1"}</definedName>
    <definedName name="wrn.Print._.5._.and._.12.">{"EBIT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all." hidden="1">{#N/A,#N/A,FALSE,"Exec Summary, Major Issues";#N/A,#N/A,FALSE,"Property Management";#N/A,#N/A,FALSE,"Risk Management"}</definedName>
    <definedName name="wrn.Print._.All._.Exhibits.">{"Inc Stmt Dollar",#N/A,FALSE,"IS";"Inc Stmt CS",#N/A,FALSE,"IS";"BS Dollar",#N/A,FALSE,"BS";"BS CS",#N/A,FALSE,"BS";"CF Dollar",#N/A,FALSE,"CF";"Ratio No.1",#N/A,FALSE,"Ratio";"Ratio No.2",#N/A,FALSE,"Ratio"}</definedName>
    <definedName name="wrn.print._.all._.sheets.">{"summary",#N/A,FALSE,"Valuation Analysis";"assumptions1",#N/A,FALSE,"Valuation Analysis";"assumptions2",#N/A,FALSE,"Valuation Analysis"}</definedName>
    <definedName name="wrn.PRINT._.ALL.2">{#N/A,#N/A,FALSE,"Pharm";#N/A,#N/A,FALSE,"WWCM"}</definedName>
    <definedName name="wrn.print._.all2">{#N/A,#N/A,FALSE,"Pharm";#N/A,#N/A,FALSE,"WWCM"}</definedName>
    <definedName name="wrn.Print._.Blank._.Exhibit.">{"Extra 1",#N/A,FALSE,"Blank"}</definedName>
    <definedName name="wrn.Print._.BS._.Exhibits.">{"BS Dollar",#N/A,FALSE,"BS";"BS CS",#N/A,FALSE,"BS"}</definedName>
    <definedName name="wrn.Print._.CF._.Exhibit.">{"CF Dollar",#N/A,FALSE,"CF"}</definedName>
    <definedName name="wrn.print._.graphs.">{"cap_structure",#N/A,FALSE,"Graph-Mkt Cap";"price",#N/A,FALSE,"Graph-Price";"ebit",#N/A,FALSE,"Graph-EBITDA";"ebitda",#N/A,FALSE,"Graph-EBITDA"}</definedName>
    <definedName name="wrn.Print._.IS._.Exhibits.">{"Inc Stmt Dollar",#N/A,FALSE,"IS";"Inc Stmt CS",#N/A,FALSE,"IS"}</definedName>
    <definedName name="wrn.Print._.PL.">{"ITA_1_PL",#N/A,FALSE,"Print - PL";"ITA_2_PL",#N/A,FALSE,"Print - PL";"ITA_Group_PL",#N/A,FALSE,"Print - PL"}</definedName>
    <definedName name="wrn.Print._.Ratio._.Exhibits.">{"Ratio No.1",#N/A,FALSE,"Ratio";"Ratio No.2",#N/A,FALSE,"Ratio"}</definedName>
    <definedName name="wrn.print._.raw._.data._.entry.">{"inputs raw data",#N/A,TRUE,"INPUT"}</definedName>
    <definedName name="wrn.print._.summary._.sheets.">{"summary1",#N/A,TRUE,"Comps";"summary2",#N/A,TRUE,"Comps";"summary3",#N/A,TRUE,"Comps"}</definedName>
    <definedName name="wrn.print._all1.">{#N/A,#N/A,FALSE,"Pharm";#N/A,#N/A,FALSE,"WWCM"}</definedName>
    <definedName name="wrn.print.capex" hidden="1">{#N/A,#N/A,TRUE,"Capex Summ";#N/A,#N/A,TRUE,"Essential Works.tw";#N/A,#N/A,TRUE,"Desirable Works.tw";#N/A,#N/A,TRUE,"Essential Works.rt";#N/A,#N/A,TRUE,"Desirable Works.rt";#N/A,#N/A,TRUE,"Mthly";#N/A,#N/A,TRUE,"Essential Works.ht";#N/A,#N/A,TRUE,"Desirable Works.ht";#N/A,#N/A,TRUE,"Incentives"}</definedName>
    <definedName name="wrn.print.QAPU" hidden="1">{#N/A,#N/A,FALSE,"5YRASSPl - consol'd";#N/A,#N/A,FALSE,"5YRASSPl - hotel";#N/A,#N/A,FALSE,"5YRASSPl - excl htl";#N/A,#N/A,FALSE,"VarReport";#N/A,#N/A,FALSE,"Sensitivity";#N/A,#N/A,FALSE,"House View ";#N/A,#N/A,FALSE,"KPI"}</definedName>
    <definedName name="wrn.Print_All.">{"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all_sections.">{#N/A,#N/A,TRUE,"Title";#N/A,#N/A,TRUE,"CC-Summary";#N/A,#N/A,TRUE,"CapitalCost";#N/A,#N/A,TRUE,"Revenue and cost analysis";#N/A,#N/A,TRUE,"DCF";#N/A,#N/A,TRUE,"DCF-APV";#N/A,#N/A,TRUE,"DCF-WACC"}</definedName>
    <definedName name="wrn.Print_Buyer.">{#N/A,"DR",FALSE,"increm pf";#N/A,"MAMSI",FALSE,"increm pf";#N/A,"MAXI",FALSE,"increm pf";#N/A,"PCAM",FALSE,"increm pf";#N/A,"PHSV",FALSE,"increm pf";#N/A,"SIE",FALSE,"increm pf"}</definedName>
    <definedName name="wrn.Print_Buyer._1">{#N/A,"DR",FALSE,"increm pf";#N/A,"MAMSI",FALSE,"increm pf";#N/A,"MAXI",FALSE,"increm pf";#N/A,"PCAM",FALSE,"increm pf";#N/A,"PHSV",FALSE,"increm pf";#N/A,"SIE",FALSE,"increm pf"}</definedName>
    <definedName name="wrn.Print_Buyer._1_1">{#N/A,"DR",FALSE,"increm pf";#N/A,"MAMSI",FALSE,"increm pf";#N/A,"MAXI",FALSE,"increm pf";#N/A,"PCAM",FALSE,"increm pf";#N/A,"PHSV",FALSE,"increm pf";#N/A,"SIE",FALSE,"increm pf"}</definedName>
    <definedName name="wrn.Print_Buyer._1_1_1">{#N/A,"DR",FALSE,"increm pf";#N/A,"MAMSI",FALSE,"increm pf";#N/A,"MAXI",FALSE,"increm pf";#N/A,"PCAM",FALSE,"increm pf";#N/A,"PHSV",FALSE,"increm pf";#N/A,"SIE",FALSE,"increm pf"}</definedName>
    <definedName name="wrn.Print_Buyer._1_1_1_1">{#N/A,"DR",FALSE,"increm pf";#N/A,"MAMSI",FALSE,"increm pf";#N/A,"MAXI",FALSE,"increm pf";#N/A,"PCAM",FALSE,"increm pf";#N/A,"PHSV",FALSE,"increm pf";#N/A,"SIE",FALSE,"increm pf"}</definedName>
    <definedName name="wrn.Print_Buyer._1_1_1_1_1">{#N/A,"DR",FALSE,"increm pf";#N/A,"MAMSI",FALSE,"increm pf";#N/A,"MAXI",FALSE,"increm pf";#N/A,"PCAM",FALSE,"increm pf";#N/A,"PHSV",FALSE,"increm pf";#N/A,"SIE",FALSE,"increm pf"}</definedName>
    <definedName name="wrn.Print_Buyer._1_1_2">{#N/A,"DR",FALSE,"increm pf";#N/A,"MAMSI",FALSE,"increm pf";#N/A,"MAXI",FALSE,"increm pf";#N/A,"PCAM",FALSE,"increm pf";#N/A,"PHSV",FALSE,"increm pf";#N/A,"SIE",FALSE,"increm pf"}</definedName>
    <definedName name="wrn.Print_Buyer._1_2">{#N/A,"DR",FALSE,"increm pf";#N/A,"MAMSI",FALSE,"increm pf";#N/A,"MAXI",FALSE,"increm pf";#N/A,"PCAM",FALSE,"increm pf";#N/A,"PHSV",FALSE,"increm pf";#N/A,"SIE",FALSE,"increm pf"}</definedName>
    <definedName name="wrn.Print_Buyer._1_2_1">{#N/A,"DR",FALSE,"increm pf";#N/A,"MAMSI",FALSE,"increm pf";#N/A,"MAXI",FALSE,"increm pf";#N/A,"PCAM",FALSE,"increm pf";#N/A,"PHSV",FALSE,"increm pf";#N/A,"SIE",FALSE,"increm pf"}</definedName>
    <definedName name="wrn.Print_Buyer._2">{#N/A,"DR",FALSE,"increm pf";#N/A,"MAMSI",FALSE,"increm pf";#N/A,"MAXI",FALSE,"increm pf";#N/A,"PCAM",FALSE,"increm pf";#N/A,"PHSV",FALSE,"increm pf";#N/A,"SIE",FALSE,"increm pf"}</definedName>
    <definedName name="wrn.Print_Buyer._2_1">{#N/A,"DR",FALSE,"increm pf";#N/A,"MAMSI",FALSE,"increm pf";#N/A,"MAXI",FALSE,"increm pf";#N/A,"PCAM",FALSE,"increm pf";#N/A,"PHSV",FALSE,"increm pf";#N/A,"SIE",FALSE,"increm pf"}</definedName>
    <definedName name="wrn.Print_Buyer._2_1_1">{#N/A,"DR",FALSE,"increm pf";#N/A,"MAMSI",FALSE,"increm pf";#N/A,"MAXI",FALSE,"increm pf";#N/A,"PCAM",FALSE,"increm pf";#N/A,"PHSV",FALSE,"increm pf";#N/A,"SIE",FALSE,"increm pf"}</definedName>
    <definedName name="wrn.Print_Buyer._3">{#N/A,"DR",FALSE,"increm pf";#N/A,"MAMSI",FALSE,"increm pf";#N/A,"MAXI",FALSE,"increm pf";#N/A,"PCAM",FALSE,"increm pf";#N/A,"PHSV",FALSE,"increm pf";#N/A,"SIE",FALSE,"increm pf"}</definedName>
    <definedName name="wrn.Print_Index.">{"Index",#N/A,FALSE,"Index"}</definedName>
    <definedName name="wrn.Print_model.">{"toc",#N/A,TRUE,"TOC";"summary",#N/A,TRUE,"Summary";"credit_stats",#N/A,TRUE,"South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Target.">{#N/A,"Foundation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_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_1_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_1_1_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_2">{#N/A,"Foundation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_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_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2">{#N/A,#N/A,FALSE,"Pharm";#N/A,#N/A,FALSE,"WWCM"}</definedName>
    <definedName name="wrn.printac.">{#N/A,#N/A,FALSE,"Op-BS";#N/A,#N/A,FALSE,"Assum";#N/A,#N/A,FALSE,"IS";#N/A,#N/A,FALSE,"Syn+Elim";#N/A,#N/A,FALSE,"BSCF";#N/A,#N/A,FALSE,"Blue_IS";#N/A,#N/A,FALSE,"Blue_BSCF";#N/A,#N/A,FALSE,"Ratings"}</definedName>
    <definedName name="wrn.printout.">{#N/A,#N/A,FALSE,"BANNERS";#N/A,#N/A,FALSE,"Market";#N/A,#N/A,FALSE,"# of POP MAN";#N/A,#N/A,FALSE,"Penet Input";#N/A,#N/A,FALSE,"Tel Rev";#N/A,#N/A,FALSE,"Invest";#N/A,#N/A,FALSE,"Op Cost1";#N/A,#N/A,FALSE,"Op Cost2";#N/A,#N/A,FALSE,"Oth_&amp;_Tot_Revenues";#N/A,#N/A,FALSE,"Fin Mod";#N/A,#N/A,FALSE,"P&amp;E Burocrat";#N/A,#N/A,FALSE,"cash flow"}</definedName>
    <definedName name="wrn.PRINTREP.">{"PRINTREP",#N/A,FALSE,"Sheet1"}</definedName>
    <definedName name="wrn.products">{#N/A,#N/A,FALSE,"1";#N/A,#N/A,FALSE,"2";#N/A,#N/A,FALSE,"16 - 17";#N/A,#N/A,FALSE,"18 - 19";#N/A,#N/A,FALSE,"26";#N/A,#N/A,FALSE,"27";#N/A,#N/A,FALSE,"28"}</definedName>
    <definedName name="wrn.Products.">{#N/A,#N/A,FALSE,"1";#N/A,#N/A,FALSE,"2";#N/A,#N/A,FALSE,"16 - 17";#N/A,#N/A,FALSE,"18 - 19";#N/A,#N/A,FALSE,"26";#N/A,#N/A,FALSE,"27";#N/A,#N/A,FALSE,"28"}</definedName>
    <definedName name="wrn.Project.">{#N/A,#N/A,TRUE,"A-site";#N/A,#N/A,TRUE,"B-Buildings";#N/A,#N/A,TRUE,"c-out-of-fence";#N/A,#N/A,TRUE,"d-proj.infr.";#N/A,#N/A,TRUE,"e- land"}</definedName>
    <definedName name="wrn.Projected._.Data._.and._.Subject._.Company._.Data.">{#N/A,#N/A,FALSE,"Projected Data &amp; SUBJECT-INPUTS"}</definedName>
    <definedName name="wrn.PropertyInformation." hidden="1">{#N/A,#N/A,FALSE,"PropertyInfo"}</definedName>
    <definedName name="wrn.pror">{#N/A,#N/A,FALSE,"Pharm";#N/A,#N/A,FALSE,"WWCM"}</definedName>
    <definedName name="wrn.QAPU." hidden="1">{#N/A,#N/A,FALSE,"5YRASSPl - consol'd";#N/A,#N/A,FALSE,"5YRASSPl - hotel";#N/A,#N/A,FALSE,"5YRASSPl - excl htl";#N/A,#N/A,FALSE,"VarReport";#N/A,#N/A,FALSE,"Sensitivity";#N/A,#N/A,FALSE,"House View ";#N/A,#N/A,FALSE,"KPI"}</definedName>
    <definedName name="wrn.ratios.">{"ratios",#N/A,FALSE,"Summary Accounts"}</definedName>
    <definedName name="wrn.Relevant.">{#N/A,#N/A,FALSE,"Title Page";#N/A,#N/A,FALSE,"Conclusions";#N/A,#N/A,FALSE,"Assum.";#N/A,#N/A,FALSE,"Sun  DCF-WC-Dep";#N/A,#N/A,FALSE,"MarketValue";#N/A,#N/A,FALSE,"BalSheet";#N/A,#N/A,FALSE,"WACC";#N/A,#N/A,FALSE,"PC+ Info.";#N/A,#N/A,FALSE,"PC+Info_2"}</definedName>
    <definedName name="wrn.Relevant1.">{#N/A,#N/A,FALSE,"Title Page";#N/A,#N/A,FALSE,"Conclusions";#N/A,#N/A,FALSE,"Assum.";#N/A,#N/A,FALSE,"Sun  DCF-WC-Dep";#N/A,#N/A,FALSE,"MarketValue";#N/A,#N/A,FALSE,"BalSheet";#N/A,#N/A,FALSE,"WACC";#N/A,#N/A,FALSE,"PC+ Info.";#N/A,#N/A,FALSE,"PC+Info_2"}</definedName>
    <definedName name="wrn.Replacement._.Cost.">{#N/A,#N/A,TRUE,"Cover Repl";#N/A,#N/A,TRUE,"P&amp;L";#N/A,#N/A,TRUE,"P&amp;L (2)";#N/A,#N/A,TRUE,"BS";#N/A,#N/A,TRUE,"Depreciation";#N/A,#N/A,TRUE,"GRAPHS";#N/A,#N/A,TRUE,"DCF EBITDA Multiple";#N/A,#N/A,TRUE,"DCF Perpetual Growth"}</definedName>
    <definedName name="wrn.REPORT.">{#N/A,#N/A,FALSE,"Balance Sheet";#N/A,#N/A,FALSE,"Profit &amp; Loss ";#N/A,#N/A,FALSE,"Schedule-1";#N/A,#N/A,FALSE,"Schedule-2";#N/A,#N/A,FALSE,"Schedule-3";#N/A,#N/A,FALSE,"Schedule-4 ";#N/A,#N/A,FALSE,"Schedule-5";#N/A,#N/A,FALSE,"Schedule-6,7,8,9";#N/A,#N/A,FALSE,"Schedule-10,11";#N/A,#N/A,FALSE,"Schedule-12,13,14,15";#N/A,#N/A,FALSE,"Scdedule-16"}</definedName>
    <definedName name="wrn.Report._.2.">{#N/A,#N/A,TRUE,"Pivots-Employee";#N/A,"Scenerio2",TRUE,"Assumptions Summary"}</definedName>
    <definedName name="wrn.Report._.Cash._.Flow.">{#N/A,#N/A,FALSE,"P&amp;L-BS-CF"}</definedName>
    <definedName name="wrn.Report._.Exhibits.">{"Inc Stmt Exhibit",#N/A,FALSE,"IS";"BS Exhibit",#N/A,FALSE,"BS";"Ratio No.1",#N/A,FALSE,"Ratio";"Ratio No.2",#N/A,FALSE,"Ratio"}</definedName>
    <definedName name="wrn.Report1.">{#N/A,#N/A,FALSE,"IS";#N/A,#N/A,FALSE,"BS";#N/A,#N/A,FALSE,"CF";#N/A,#N/A,FALSE,"CE";#N/A,#N/A,FALSE,"Depr";#N/A,#N/A,FALSE,"APAL"}</definedName>
    <definedName name="wrn.repo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ULTS.">{#N/A,#N/A,FALSE,"HMF";#N/A,#N/A,FALSE,"FACIL";#N/A,#N/A,FALSE,"HMFINANCE";#N/A,#N/A,FALSE,"HMEUROPE";#N/A,#N/A,FALSE,"HHAB CONSO";#N/A,#N/A,FALSE,"PAB";#N/A,#N/A,FALSE,"MMC";#N/A,#N/A,FALSE,"THAI";#N/A,#N/A,FALSE,"SINPA";#N/A,#N/A,FALSE,"POLAND"}</definedName>
    <definedName name="wrn.revenue._.detail.">{"revenue detail 1",#N/A,FALSE,"Revenue Detail";"revenue detail 2",#N/A,FALSE,"Revenue Detail";"revenue detail 3",#N/A,FALSE,"Revenue Detail";"revenue detail 4",#N/A,FALSE,"Revenue Detail"}</definedName>
    <definedName name="wrn.Revenue._.Details.">{"Revenue by Industry Chart",#N/A,FALSE,"Mix";"Annual Revenue Detail",#N/A,FALSE,"Mix";"Quarterly Revenue Detail",#N/A,FALSE,"Mix"}</definedName>
    <definedName name="wrn.revenue._.graph.">{"revenue graph",#N/A,FALSE,"Revenue Graph"}</definedName>
    <definedName name="wrn.Revs.">{"Base_rev",#N/A,FALSE,"Proj_IS_Base";"Projrev",#N/A,FALSE,"Proj_IS_wOTLC";"Delta",#N/A,FALSE,"Delta Rev_PV"}</definedName>
    <definedName name="wrn.Robuster.">{#N/A,#N/A,TRUE,"Cover";#N/A,#N/A,TRUE,"Descr";#N/A,#N/A,TRUE,"Control (In)";#N/A,#N/A,TRUE,"Op Margin";#N/A,#N/A,TRUE,"Depn";#N/A,#N/A,TRUE,"Finance";#N/A,#N/A,TRUE,"Tax";#N/A,#N/A,TRUE,"P &amp; L";#N/A,#N/A,TRUE,"CFS";#N/A,#N/A,TRUE,"BS";#N/A,#N/A,TRUE,"DCF";#N/A,#N/A,TRUE,"Ratios"}</definedName>
    <definedName name="wrn.rprt.">{#N/A,#N/A,FALSE,"A";#N/A,#N/A,FALSE,"B-1";#N/A,#N/A,FALSE,"WACC";#N/A,#N/A,FALSE,"C-1";#N/A,#N/A,FALSE,"C-2";#N/A,#N/A,FALSE,"D-1";#N/A,#N/A,FALSE,"D-2";#N/A,#N/A,FALSE,"D-3"}</definedName>
    <definedName name="wrn.sales.">{"sales",#N/A,FALSE,"Sales";"sales existing",#N/A,FALSE,"Sales";"sales rd1",#N/A,FALSE,"Sales";"sales rd2",#N/A,FALSE,"Sales"}</definedName>
    <definedName name="wrn.sample.">{"sample",#N/A,FALSE,"Client Input Sheet"}</definedName>
    <definedName name="wrn.Schedule">{"Schedule_I",#N/A,FALSE,"I"}</definedName>
    <definedName name="wrn.Schedule_1A.">{"Schedule_IA",#N/A,FALSE,"I-A"}</definedName>
    <definedName name="wrn.Schedule_1B.">{"Schedule_1B",#N/A,FALSE,"I-B"}</definedName>
    <definedName name="wrn.Schedule_1C.">{"Schedule_1C",#N/A,FALSE,"I-C"}</definedName>
    <definedName name="wrn.Schedule_1D.">{"Schedule_1D",#N/A,FALSE,"I-D"}</definedName>
    <definedName name="wrn.Schedule_I.">{"Schedule_I",#N/A,FALSE,"I"}</definedName>
    <definedName name="wrn.schedules.">{"schedule1",#N/A,FALSE,"Sheet1";"schedule2",#N/A,FALSE,"Sheet1";"schedule3",#N/A,FALSE,"Sheet1";"schedule4",#N/A,FALSE,"Sheet1";"schedule5",#N/A,FALSE,"Sheet1";"schedule6",#N/A,FALSE,"Sheet1"}</definedName>
    <definedName name="wrn.sdi.">{#N/A,#N/A,FALSE,"Customer Base";#N/A,#N/A,FALSE,"Workforce";#N/A,#N/A,FALSE,"cur prod";#N/A,#N/A,FALSE,"in-proc";#N/A,#N/A,FALSE,"Trademark"}</definedName>
    <definedName name="wrn.Sensitivity.">{#N/A,#N/A,FALSE,"Sensitivity"}</definedName>
    <definedName name="wrn.Ships._.Schedules.">{#N/A,#N/A,FALSE,"Ambassador";#N/A,#N/A,FALSE,"Causeway";#N/A,#N/A,FALSE,"Diplomat";#N/A,#N/A,FALSE,"Endeavour";#N/A,#N/A,FALSE,"Envoy";#N/A,#N/A,FALSE,"Leader";#N/A,#N/A,FALSE,"Mariner";#N/A,#N/A,FALSE,"Navigator";#N/A,#N/A,FALSE,"Norbank";#N/A,#N/A,FALSE,"Norbay";#N/A,#N/A,FALSE,"Pathfinder";#N/A,#N/A,FALSE,"Pioneer";#N/A,#N/A,FALSE,"Seafarer";#N/A,#N/A,FALSE,"Superstar Express"}</definedName>
    <definedName name="wrn.Short._.Print.">{#N/A,#N/A,FALSE,"Cover";#N/A,#N/A,FALSE,"Stack";#N/A,#N/A,FALSE,"Cost S";#N/A,#N/A,FALSE," CF";#N/A,#N/A,FALSE,"Investor"}</definedName>
    <definedName name="wrn.Shorten._.Version.">{#N/A,#N/A,FALSE,"changes";#N/A,#N/A,FALSE,"Assumptions";"view1",#N/A,FALSE,"BE Analysis";"view2",#N/A,FALSE,"BE Analysis";#N/A,#N/A,FALSE,"DCF Calculation - Scenario 1";"Dollar",#N/A,FALSE,"Consolidated - Scenario 1";"CS",#N/A,FALSE,"Consolidated - Scenario 1"}</definedName>
    <definedName name="wrn.Staff._.cost1998.">{#N/A,#N/A,TRUE,"Staffnos &amp; cost"}</definedName>
    <definedName name="wrn.Staffcost.">{#N/A,#N/A,FALSE,"Staffnos &amp; cost"}</definedName>
    <definedName name="wrn.STAND_ALONE_BOTH.">{"FCB_ALL",#N/A,FALSE,"FCB";"GREY_ALL",#N/A,FALSE,"GREY"}</definedName>
    <definedName name="wrn.status.">{#N/A,#N/A,TRUE,"Summary - 1";#N/A,#N/A,TRUE,"Summary - 2";#N/A,#N/A,TRUE,"Group Analysis";#N/A,#N/A,TRUE,"FM Analysis";#N/A,#N/A,TRUE,"T&amp;M-Onsite";#N/A,#N/A,TRUE,"FP-Onsite";#N/A,#N/A,TRUE,"NB-Onsite";#N/A,#N/A,TRUE,"T&amp;M-Offshore";#N/A,#N/A,TRUE,"FP-Offshore";#N/A,#N/A,TRUE,"Appendix-A";#N/A,#N/A,TRUE,"Appendix-B"}</definedName>
    <definedName name="wrn.Store._.cash._.flows.">{#N/A,"1",FALSE,"Store Graphs";#N/A,"2",FALSE,"Store Graphs";#N/A,"3",FALSE,"Store Graphs";#N/A,"4",FALSE,"Store Graphs";#N/A,"5",FALSE,"Store Graphs";#N/A,"6",FALSE,"Store Graphs";#N/A,"7",FALSE,"Store Graphs";#N/A,"8",FALSE,"Store Graphs";#N/A,"9",FALSE,"Store Graphs";#N/A,"10",FALSE,"Store Graphs";#N/A,"11",FALSE,"Store Graphs";#N/A,"12",FALSE,"Store Graphs";#N/A,"13",FALSE,"Store Graphs";#N/A,"14",FALSE,"Store Graphs";#N/A,"15",FALSE,"Store Graphs";#N/A,"16",FALSE,"Store Graphs";#N/A,"17",FALSE,"Store Graphs";#N/A,"18",FALSE,"Store Graphs";#N/A,"23",FALSE,"Store Graphs";#N/A,"24",FALSE,"Store Graphs";#N/A,"25",FALSE,"Store Graphs";#N/A,"26",FALSE,"Store Graphs";#N/A,"27",FALSE,"Store Graphs";#N/A,"68",FALSE,"Store Graphs";#N/A,"69",FALSE,"Store Graphs";#N/A,"70",FALSE,"Store Graphs";#N/A,"71",FALSE,"Store Graphs";#N/A,"72",FALSE,"Store Graphs";#N/A,"73",FALSE,"Store Graphs";#N/A,"74",FALSE,"Store Graphs";#N/A,"75",FALSE,"Store Graphs";#N/A,"76",FALSE,"Store Graphs";#N/A,"77",FALSE,"Store Graphs";#N/A,"78",FALSE,"Store Graphs";#N/A,"79",FALSE,"Store Graphs";#N/A,"80",FALSE,"Store Graphs";#N/A,"81",FALSE,"Store Graphs";#N/A,"82",FALSE,"Store Graphs";#N/A,"83",FALSE,"Store Graphs";#N/A,"84",FALSE,"Store Graphs";#N/A,"85",FALSE,"Store Graphs";#N/A,"86",FALSE,"Store Graphs";#N/A,"87",FALSE,"Store Graphs";#N/A,"88",FALSE,"Store Graphs";#N/A,"89",FALSE,"Store Graphs";#N/A,"90",FALSE,"Store Graphs";#N/A,"91",FALSE,"Store Graphs";#N/A,"92",FALSE,"Store Graphs";#N/A,"93",FALSE,"Store Graphs";#N/A,"94",FALSE,"Store Graphs";#N/A,"95",FALSE,"Store Graphs";#N/A,"96",FALSE,"Store Graphs";#N/A,"162",FALSE,"Store Graphs";#N/A,"163",FALSE,"Store Graphs";#N/A,"164",FALSE,"Store Graphs";#N/A,"165",FALSE,"Store Graphs";#N/A,"166",FALSE,"Store Graphs";#N/A,"182",FALSE,"Store Graphs";#N/A,"183",FALSE,"Store Graphs";#N/A,"184",FALSE,"Store Graphs";#N/A,"185",FALSE,"Store Graphs";#N/A,"186",FALSE,"Store Graphs";#N/A,"187",FALSE,"Store Graphs";#N/A,"188",FALSE,"Store Graphs";#N/A,"189",FALSE,"Store Graphs";#N/A,"190",FALSE,"Store Graphs";#N/A,"191",FALSE,"Store Graphs";#N/A,"192",FALSE,"Store Graphs";#N/A,"193",FALSE,"Store Graphs";#N/A,"194",FALSE,"Store Graphs";#N/A,"195",FALSE,"Store Graphs";#N/A,"196",FALSE,"Store Graphs";#N/A,"197",FALSE,"Store Graphs";#N/A,"198",FALSE,"Store Graphs";#N/A,"199",FALSE,"Store Graphs";#N/A,"200",FALSE,"Store Graphs";#N/A,"201",FALSE,"Store Graphs";#N/A,"202",FALSE,"Store Graphs";#N/A,"203",FALSE,"Store Graphs";#N/A,"244",FALSE,"Store Graphs";#N/A,"245",FALSE,"Store Graphs";#N/A,"246",FALSE,"Store Graphs";#N/A,"247",FALSE,"Store Graphs";#N/A,"248",FALSE,"Store Graphs";#N/A,"249",FALSE,"Store Graphs";#N/A,"250",FALSE,"Store Graphs";#N/A,"251",FALSE,"Store Graphs";#N/A,"252",FALSE,"Store Graphs";#N/A,"253",FALSE,"Store Graphs";#N/A,"254",FALSE,"Store Graphs";#N/A,"255",FALSE,"Store Graphs";#N/A,"256",FALSE,"Store Graphs";#N/A,"257",FALSE,"Store Graphs";#N/A,"258",FALSE,"Store Graphs";#N/A,"259",FALSE,"Store Graphs";#N/A,"260",FALSE,"Store Graphs";#N/A,"261",FALSE,"Store Graphs";#N/A,"262",FALSE,"Store Graphs";#N/A,"263",FALSE,"Store Graphs";#N/A,"264",FALSE,"Store Graphs";#N/A,"265",FALSE,"Store Graphs";#N/A,"266",FALSE,"Store Graphs";#N/A,"267",FALSE,"Store Graphs";#N/A,"268",FALSE,"Store Graphs";#N/A,"269",FALSE,"Store Graphs";#N/A,"270",FALSE,"Store Graphs";#N/A,"271",FALSE,"Store Graphs";#N/A,"272",FALSE,"Store Graphs";#N/A,"273",FALSE,"Store Graphs";#N/A,"274",FALSE,"Store Graphs";#N/A,"275",FALSE,"Store Graphs";#N/A,"339",FALSE,"Store Graphs";#N/A,"340",FALSE,"Store Graphs";#N/A,"341",FALSE,"Store Graphs";#N/A,"342",FALSE,"Store Graphs";#N/A,"343",FALSE,"Store Graphs";#N/A,"344",FALSE,"Store Graphs";#N/A,"345",FALSE,"Store Graphs";#N/A,"346",FALSE,"Store Graphs";#N/A,"347",FALSE,"Store Graphs";#N/A,"348",FALSE,"Store Graphs";#N/A,"349",FALSE,"Store Graphs";#N/A,"350",FALSE,"Store Graphs";#N/A,"351",FALSE,"Store Graphs";#N/A,"352",FALSE,"Store Graphs";#N/A,"353",FALSE,"Store Graphs"}</definedName>
    <definedName name="wrn.Store._.PL.">{#N/A,"Store 1",FALSE,"Store";#N/A,"Store 2",FALSE,"Store"}</definedName>
    <definedName name="wrn.Sum." hidden="1">{"Page1",#N/A,FALSE,"Segment Overview";"Page2",#N/A,FALSE,"Segment Overview";"Page3",#N/A,FALSE,"Summary";"Page4",#N/A,FALSE,"Summary";"Page5",#N/A,FALSE,"US Pubs Rev";"Page6",#N/A,FALSE,"US Pubs Rev";"Page7",#N/A,FALSE,"US Pubs EBITDA";"Page8",#N/A,FALSE,"US Pubs EBITDA"}</definedName>
    <definedName name="wrn.Sum._1" hidden="1">{"Page1",#N/A,FALSE,"Segment Overview";"Page2",#N/A,FALSE,"Segment Overview";"Page3",#N/A,FALSE,"Summary";"Page4",#N/A,FALSE,"Summary";"Page5",#N/A,FALSE,"US Pubs Rev";"Page6",#N/A,FALSE,"US Pubs Rev";"Page7",#N/A,FALSE,"US Pubs EBITDA";"Page8",#N/A,FALSE,"US Pubs EBITDA"}</definedName>
    <definedName name="wrn.summaries.">{#N/A,#N/A,FALSE,"YTD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hidden="1">{#N/A,#N/A,FALSE,"Summary"}</definedName>
    <definedName name="wrn.summary._.schedules.">{"summary1",#N/A,FALSE,"Summary of Values";"summary2",#N/A,FALSE,"Summary of Values"}</definedName>
    <definedName name="wrn.Summary._.with._.short._.outputs.">{#N/A,#N/A,FALSE,"Cover";"Short outputs",#N/A,FALSE,"Outputs";#N/A,#N/A,FALSE,"Control (In)";"tesco summary",#N/A,FALSE,"Tesco";"Outputs and Co summaries",#N/A,FALSE,"Sainsbury";"Outputs and Co Summaries",#N/A,FALSE,"Carrefour";"Outputs and Co summaries",#N/A,FALSE,"Co D";"Outputs and Co summaries",#N/A,FALSE,"Co E"}</definedName>
    <definedName name="wrn.SUPP.">{#N/A,#N/A,FALSE,"COVER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TARGET._.DCF.">{"targetdcf",#N/A,FALSE,"Merger consequences";"TARGETASSU",#N/A,FALSE,"Merger consequences";"TERMINAL VALUE",#N/A,FALSE,"Merger consequences"}</definedName>
    <definedName name="wrn.TDS._.CERTIFICATE.">{#N/A,#N/A,TRUE,"TDSCERTIFICATE"}</definedName>
    <definedName name="wrn.technology.">{"developed valuation",#N/A,FALSE,"Valuation Analysis";"developed income statement",#N/A,FALSE,"Abbreviated Income Statement";"inprocess valuation",#N/A,FALSE,"Valuation Analysis";"inprocess income statement",#N/A,FALSE,"Abbreviated Income Statement"}</definedName>
    <definedName name="wrn.TEMP999">{#N/A,#N/A,FALSE,"F-1";#N/A,#N/A,FALSE,"H-1";#N/A,#N/A,FALSE,"J-1";#N/A,#N/A,FALSE,"K-1";#N/A,#N/A,FALSE,"Q-A-1";#N/A,#N/A,FALSE,"S-1";#N/A,#N/A,FALSE,"T-1";#N/A,#N/A,FALSE,"T-2";#N/A,#N/A,FALSE,"t-3";#N/A,#N/A,FALSE,"ETB"}</definedName>
    <definedName name="wrn.test.">{"test2",#N/A,TRUE,"Prices"}</definedName>
    <definedName name="wrn.test1.">{"Income Statement",#N/A,FALSE,"CFMODEL";"Balance Sheet",#N/A,FALSE,"CFMODEL"}</definedName>
    <definedName name="wrn.test2.">{"SourcesUses",#N/A,TRUE,"CFMODEL";"TransOverview",#N/A,TRUE,"CFMODEL"}</definedName>
    <definedName name="wrn.test3.">{"SourcesUses",#N/A,TRUE,#N/A;"TransOverview",#N/A,TRUE,"CFMODEL"}</definedName>
    <definedName name="wrn.test4.">{"SourcesUses",#N/A,TRUE,"FundsFlow";"TransOverview",#N/A,TRUE,"FundsFlow"}</definedName>
    <definedName name="wrn.Textron.">{#N/A,#N/A,FALSE,"IS";#N/A,#N/A,FALSE,"SG";#N/A,#N/A,FALSE,"FF";#N/A,#N/A,FALSE,"BS";#N/A,#N/A,FALSE,"DCF";#N/A,#N/A,FALSE,"EVA";#N/A,#N/A,FALSE,"Air";#N/A,#N/A,FALSE,"Car";#N/A,#N/A,FALSE,"Ind";#N/A,#N/A,FALSE,"Sys";#N/A,#N/A,FALSE,"Fin";#N/A,#N/A,FALSE,"Ces";#N/A,#N/A,FALSE,"Bell"}</definedName>
    <definedName name="wrn.three">{"EVA",#N/A,FALSE,"EVA";"WACC",#N/A,FALSE,"WACC"}</definedName>
    <definedName name="wrn.todo.">{#N/A,#N/A,FALSE,"Hip.Bas";#N/A,#N/A,FALSE,"ventas";#N/A,#N/A,FALSE,"ingre-Año";#N/A,#N/A,FALSE,"ventas-Año";#N/A,#N/A,FALSE,"Costepro";#N/A,#N/A,FALSE,"inversion";#N/A,#N/A,FALSE,"personal";#N/A,#N/A,FALSE,"Gastos-V";#N/A,#N/A,FALSE,"Circulante";#N/A,#N/A,FALSE,"CONSOLI";#N/A,#N/A,FALSE,"Es-Fin";#N/A,#N/A,FALSE,"Margen-P"}</definedName>
    <definedName name="wrn.Total._.Business.">{#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{#N/A,#N/A,FALSE,"Sales Graph";#N/A,#N/A,FALSE,"BUC Graph";#N/A,#N/A,FALSE,"P&amp;L - YTD"}</definedName>
    <definedName name="wrn.Tout._.Sauf._.BG.">{#N/A,#N/A,FALSE,"A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WNSHIP.">{#N/A,#N/A,FALSE,"TOWNSHIP"}</definedName>
    <definedName name="wrn.trademark._.and._.trade._.name.">{"trademark1",#N/A,FALSE,"Trademark(s) and Trade Name(s)"}</definedName>
    <definedName name="wrn.Typhoon.">{"Agg Output",#N/A,FALSE,"Operational Drivers Output";"NW Output",#N/A,FALSE,"Operational Drivers Output";"South Output",#N/A,FALSE,"Operational Drivers Output";"Central Output",#N/A,FALSE,"Operational Drivers Output"}</definedName>
    <definedName name="wrn.upstairs.">{"histincome",#N/A,FALSE,"hyfins";"closing balance",#N/A,FALSE,"hyfins"}</definedName>
    <definedName name="wrn.UTL._.Position.">{"UTL effect",#N/A,FALSE,"Sensitivity"}</definedName>
    <definedName name="wrn.VALUATION.">{#N/A,#N/A,FALSE,"Valuation Assumptions";#N/A,#N/A,FALSE,"Summary";#N/A,#N/A,FALSE,"DCF";#N/A,#N/A,FALSE,"Valuation";#N/A,#N/A,FALSE,"WACC";#N/A,#N/A,FALSE,"UBVH";#N/A,#N/A,FALSE,"Free Cash Flow"}</definedName>
    <definedName name="wrn.Valuation._.Committee.">{#N/A,#N/A,TRUE,"Cover";#N/A,#N/A,TRUE,"Macro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Worksheets.">{#N/A,#N/A,FALSE,"ID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e.">{#N/A,#N/A,FALSE,"Cashflow Analysis";#N/A,#N/A,FALSE,"Sensitivity Analysis";#N/A,#N/A,FALSE,"PV";#N/A,#N/A,FALSE,"Pro Forma"}</definedName>
    <definedName name="wrn.Western._.District._.1997._.Capital._.Budget.">{#N/A,#N/A,FALSE,"EXP97"}</definedName>
    <definedName name="wrn.work._.paper._.shcedules.">{"summary1",#N/A,FALSE,"Summary of Values";"summary2",#N/A,FALSE,"Summary of Values";"weighted average returns",#N/A,FALSE,"WACC and WARA";"fixed asset detail",#N/A,FALSE,"Fixed Asset Detail"}</definedName>
    <definedName name="wrn.xrates.">{#N/A,#N/A,FALSE,"1996";#N/A,#N/A,FALSE,"1995";#N/A,#N/A,FALSE,"1994"}</definedName>
    <definedName name="wrn.Year1.">{"Page1",#N/A,FALSE,"Yr 1";"Page2",#N/A,FALSE,"Yr 1";"Page3",#N/A,FALSE,"Yr 1";"Page4",#N/A,FALSE,"Yr 1"}</definedName>
    <definedName name="wrn.Year2.">{"Page1",#N/A,FALSE,"Yr 2";"Page2",#N/A,FALSE,"Yr 2";"Page3",#N/A,FALSE,"Yr 2";"Page4",#N/A,FALSE,"Yr 2"}</definedName>
    <definedName name="wrn.ｱﾛｰ." hidden="1">{"Actual",#N/A,FALSE,"(価格)";"Market",#N/A,FALSE,"(価格)";"Plan",#N/A,FALSE,"(価格)"}</definedName>
    <definedName name="wrn.ｹﾝﾄ." hidden="1">{"ｹﾝﾄ（M)",#N/A,FALSE,"収支・日割";"ｹﾝﾄ（RD)",#N/A,FALSE,"収支・日割";"ｹﾝﾄ（PMC)",#N/A,FALSE,"収支・日割"}</definedName>
    <definedName name="wrn.テスト." hidden="1">{"賃貸事例比較法",#N/A,FALSE,"Sheet2";"賃貸条件",#N/A,FALSE,"Sheet2"}</definedName>
    <definedName name="wrn.월말보고서."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重説." hidden="1">{#N/A,#N/A,FALSE,"１";#N/A,#N/A,FALSE,"２";#N/A,#N/A,FALSE,"３";#N/A,#N/A,FALSE,"４"}</definedName>
    <definedName name="wrn1.Bewegungsbilanz">{#N/A,#N/A,FALSE,"Mittelherkunft";#N/A,#N/A,FALSE,"Mittelverwendung"}</definedName>
    <definedName name="wrn1.repo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supp.">{#N/A,#N/A,FALSE,"COVER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3.ALL.">{#N/A,#N/A,FALSE,"DCF";#N/A,#N/A,FALSE,"WACC";#N/A,#N/A,FALSE,"Sales_EBIT";#N/A,#N/A,FALSE,"Capex_Depreciation";#N/A,#N/A,FALSE,"WC";#N/A,#N/A,FALSE,"Interest";#N/A,#N/A,FALSE,"Assumptions"}</definedName>
    <definedName name="wrna.prod">{#N/A,#N/A,FALSE,"1";#N/A,#N/A,FALSE,"2";#N/A,#N/A,FALSE,"16 - 17";#N/A,#N/A,FALSE,"18 - 19";#N/A,#N/A,FALSE,"26";#N/A,#N/A,FALSE,"27";#N/A,#N/A,FALSE,"28"}</definedName>
    <definedName name="wrnfy97">{#N/A,#N/A,FALSE,"FY97";#N/A,#N/A,FALSE,"FY98";#N/A,#N/A,FALSE,"FY99";#N/A,#N/A,FALSE,"FY00";#N/A,#N/A,FALSE,"FY01"}</definedName>
    <definedName name="WRR">{#N/A,#N/A,FALSE,"Pharm";#N/A,#N/A,FALSE,"WWCM"}</definedName>
    <definedName name="wrrrrr">{#N/A,#N/A,FALSE,"REPORT"}</definedName>
    <definedName name="wrt.budgetb.">{#N/A,#N/A,FALSE,"Total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wr" hidden="1">{"ｹﾝﾄ（M)",#N/A,FALSE,"収支・日割";"ｹﾝﾄ（RD)",#N/A,FALSE,"収支・日割";"ｹﾝﾄ（PMC)",#N/A,FALSE,"収支・日割"}</definedName>
    <definedName name="ws">#REF!</definedName>
    <definedName name="wsrjt">[27]Occ!#REF!</definedName>
    <definedName name="wt">{#N/A,#N/A,FALSE,"FY97";#N/A,#N/A,FALSE,"FY98";#N/A,#N/A,FALSE,"FY99";#N/A,#N/A,FALSE,"FY00";#N/A,#N/A,FALSE,"FY01"}</definedName>
    <definedName name="wtwertwt">{"'August 2000'!$A$1:$J$101"}</definedName>
    <definedName name="wv">{#N/A,#N/A,FALSE,"Pharm";#N/A,#N/A,FALSE,"WWCM"}</definedName>
    <definedName name="wvu.A.">{TRUE,TRUE,-1.25,-15.5,484.5,255,FALSE,FALSE,TRUE,FALSE,0,2,16,1,6,13,5,4,TRUE,TRUE,3,TRUE,1,TRUE,75,"Swvu.A.","ACwvu.A.",#N/A,FALSE,FALSE,0.2,0.22,1,0.641,2,"&amp;L&amp;""Arial,Bold""&amp;11Essar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cash.">{TRUE,TRUE,-1.25,-15.5,456.75,279.75,FALSE,FALSE,TRUE,TRUE,0,1,18,1,199,6,3,4,TRUE,TRUE,3,TRUE,1,TRUE,100,"Swvu.cash.","ACwvu.cash.",1,FALSE,FALSE,0.511811023622047,0.511811023622047,0.511811023622047,0.511811023622047,1,"","",FALSE,FALSE,FALSE,FALSE,1,#N/A,1,1,#DIV/0!,FALSE,"Rwvu.cash.",#N/A,FALSE,FALSE}</definedName>
    <definedName name="wvu.inputs._.raw._.data.">{TRUE,TRUE,-1.25,-15.5,604.5,369,FALSE,FALSE,TRUE,TRUE,0,1,83,1,38,4,5,4,TRUE,TRUE,3,TRUE,1,TRUE,75,"Swvu.inputs._.raw._.data.","ACwvu.inputs._.raw._.data.",#N/A,FALSE,FALSE,0.5,0.5,0.5,0.5,2,"&amp;F","&amp;A&amp;RPage &amp;P",FALSE,FALSE,FALSE,FALSE,1,60,#N/A,#N/A,"=R1C61:R53C89","=C1:C5",#N/A,#N/A,FALSE,FALSE,FALSE,1,600,600,FALSE,FALSE,TRUE,TRUE,TRUE}</definedName>
    <definedName name="wvu.profits.">{TRUE,TRUE,-1.25,-15.5,456.75,279.75,FALSE,FALSE,TRUE,TRUE,0,1,21,1,127,6,3,4,TRUE,TRUE,3,TRUE,1,TRUE,100,"Swvu.profits.","ACwvu.profits.",1,FALSE,FALSE,0.511811023622047,0.511811023622047,0.511811023622047,0.511811023622047,1,"","",FALSE,FALSE,FALSE,FALSE,1,#N/A,1,1,#DIV/0!,FALSE,"Rwvu.profits.",#N/A,FALSE,FALSE}</definedName>
    <definedName name="wvu.summary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TRUE,TRUE,-1.25,-15.5,456.75,279.75,FALSE,FALSE,TRUE,TRUE,0,1,8,1,4,6,3,4,TRUE,TRUE,3,TRUE,1,TRUE,100,"Swvu.turnover.","ACwvu.turnover.",1,FALSE,FALSE,0.511811023622047,0.511811023622047,0.511811023622047,0.511811023622047,1,"","",FALSE,FALSE,FALSE,FALSE,1,#N/A,1,1,#DIV/0!,FALSE,"Rwvu.turnover.",#N/A,FALSE,FALSE}</definedName>
    <definedName name="ww">{#N/A,#N/A,FALSE,"Pharm";#N/A,#N/A,FALSE,"WWCM"}</definedName>
    <definedName name="ww.Rele">{#N/A,#N/A,FALSE,"Title Page";#N/A,#N/A,FALSE,"Conclusions";#N/A,#N/A,FALSE,"Assum.";#N/A,#N/A,FALSE,"Sun  DCF-WC-Dep";#N/A,#N/A,FALSE,"MarketValue";#N/A,#N/A,FALSE,"BalSheet";#N/A,#N/A,FALSE,"WACC";#N/A,#N/A,FALSE,"PC+ Info.";#N/A,#N/A,FALSE,"PC+Info_2"}</definedName>
    <definedName name="wwc">{#N/A,#N/A,FALSE,"Aging Summary";#N/A,#N/A,FALSE,"Ratio Analysis";#N/A,#N/A,FALSE,"Test 120 Day Accts";#N/A,#N/A,FALSE,"Tickmarks"}</definedName>
    <definedName name="www">{"quarterly",#N/A,FALSE,"Income Statement New CPB";"annual",#N/A,FALSE,"Income Statement New CPB";"cash flow",#N/A,FALSE,"Cash Flow";"balance",#N/A,FALSE,"Balance Sheet";"seg",#N/A,FALSE,"New Segment Breakout"}</definedName>
    <definedName name="wwwwwwwwww">{#N/A,#N/A,TRUE,"A-site";#N/A,#N/A,TRUE,"B-Buildings";#N/A,#N/A,TRUE,"c-out-of-fence";#N/A,#N/A,TRUE,"d-proj.infr.";#N/A,#N/A,TRUE,"e- land"}</definedName>
    <definedName name="wx">{#N/A,#N/A,FALSE,"Pharm";#N/A,#N/A,FALSE,"WWCM"}</definedName>
    <definedName name="X" hidden="1">{"Page1",#N/A,FALSE,"Segment Overview";"Page2",#N/A,FALSE,"Segment Overview";"Page3",#N/A,FALSE,"Summary";"Page4",#N/A,FALSE,"Summary";"Page5",#N/A,FALSE,"US Pubs Rev";"Page6",#N/A,FALSE,"US Pubs Rev";"Page7",#N/A,FALSE,"US Pubs EBITDA";"Page8",#N/A,FALSE,"US Pubs EBITDA"}</definedName>
    <definedName name="X_1" hidden="1">{"Page1",#N/A,FALSE,"Segment Overview";"Page2",#N/A,FALSE,"Segment Overview";"Page3",#N/A,FALSE,"Summary";"Page4",#N/A,FALSE,"Summary";"Page5",#N/A,FALSE,"US Pubs Rev";"Page6",#N/A,FALSE,"US Pubs Rev";"Page7",#N/A,FALSE,"US Pubs EBITDA";"Page8",#N/A,FALSE,"US Pubs EBITDA"}</definedName>
    <definedName name="xc">{"'ID(2)'!$E$1:$N$4"}</definedName>
    <definedName name="xcft">{#N/A,#N/A,FALSE,"PGW"}</definedName>
    <definedName name="xcv">{#N/A,#N/A,FALSE,"Pharm";#N/A,#N/A,FALSE,"WWCM"}</definedName>
    <definedName name="xcvg">{#N/A,#N/A,FALSE,"SUMMARY";#N/A,#N/A,FALSE,"SUMMARY"}</definedName>
    <definedName name="xdft">{#N/A,#N/A,FALSE,"ISBL"}</definedName>
    <definedName name="xdrt">{#N/A,#N/A,FALSE,"Aging Summary";#N/A,#N/A,FALSE,"Ratio Analysis";#N/A,#N/A,FALSE,"Test 120 Day Accts";#N/A,#N/A,FALSE,"Tickmarks"}</definedName>
    <definedName name="XFDG">{TRUE,TRUE,-1.25,-15.5,456.75,279.75,FALSE,FALSE,TRUE,TRUE,0,1,18,1,199,6,3,4,TRUE,TRUE,3,TRUE,1,TRUE,100,"Swvu.cash.","ACwvu.cash.",1,FALSE,FALSE,0.511811023622047,0.511811023622047,0.511811023622047,0.511811023622047,1,"","",FALSE,FALSE,FALSE,FALSE,1,#N/A,1,1,#DIV/0!,FALSE,"Rwvu.cash.",#N/A,FALSE,FALSE}</definedName>
    <definedName name="XREF_COLUMN_1" hidden="1">#REF!</definedName>
    <definedName name="XREF_COLUMN_10" hidden="1">#REF!</definedName>
    <definedName name="XREF_COLUMN_11" hidden="1">#REF!</definedName>
    <definedName name="XREF_COLUMN_12" hidden="1">#REF!</definedName>
    <definedName name="XREF_COLUMN_13">#REF!</definedName>
    <definedName name="XREF_COLUMN_14" hidden="1">#REF!</definedName>
    <definedName name="XREF_COLUMN_15">#REF!</definedName>
    <definedName name="XREF_COLUMN_16">#REF!</definedName>
    <definedName name="XREF_COLUMN_17">#REF!</definedName>
    <definedName name="XREF_COLUMN_18">#REF!</definedName>
    <definedName name="XREF_COLUMN_19">#REF!</definedName>
    <definedName name="XREF_COLUMN_2" hidden="1">#REF!</definedName>
    <definedName name="XREF_COLUMN_20">#REF!</definedName>
    <definedName name="XREF_COLUMN_21">#REF!</definedName>
    <definedName name="XREF_COLUMN_22">#REF!</definedName>
    <definedName name="XREF_COLUMN_23">#REF!</definedName>
    <definedName name="XREF_COLUMN_24">#REF!</definedName>
    <definedName name="XREF_COLUMN_25">#REF!</definedName>
    <definedName name="XREF_COLUMN_26">#REF!</definedName>
    <definedName name="XREF_COLUMN_27">#REF!</definedName>
    <definedName name="XREF_COLUMN_28">#REF!</definedName>
    <definedName name="XREF_COLUMN_29">#REF!</definedName>
    <definedName name="XREF_COLUMN_3" hidden="1">#REF!</definedName>
    <definedName name="XREF_COLUMN_30">#REF!</definedName>
    <definedName name="XREF_COLUMN_31">#REF!</definedName>
    <definedName name="XREF_COLUMN_32">#REF!</definedName>
    <definedName name="XREF_COLUMN_33">#REF!</definedName>
    <definedName name="XREF_COLUMN_34">#REF!</definedName>
    <definedName name="XREF_COLUMN_35">#REF!</definedName>
    <definedName name="XREF_COLUMN_36">#REF!</definedName>
    <definedName name="XREF_COLUMN_37">#REF!</definedName>
    <definedName name="XREF_COLUMN_38">#REF!</definedName>
    <definedName name="XREF_COLUMN_39">#REF!</definedName>
    <definedName name="XREF_COLUMN_4" hidden="1">#REF!</definedName>
    <definedName name="XREF_COLUMN_40">#REF!</definedName>
    <definedName name="XREF_COLUMN_41">#REF!</definedName>
    <definedName name="XREF_COLUMN_42">#REF!</definedName>
    <definedName name="XREF_COLUMN_43">#REF!</definedName>
    <definedName name="XREF_COLUMN_44">#REF!</definedName>
    <definedName name="XREF_COLUMN_45">#REF!</definedName>
    <definedName name="XREF_COLUMN_46">#REF!</definedName>
    <definedName name="XREF_COLUMN_47">#REF!</definedName>
    <definedName name="XREF_COLUMN_48">#REF!</definedName>
    <definedName name="XREF_COLUMN_49">#REF!</definedName>
    <definedName name="XREF_COLUMN_5" hidden="1">#REF!</definedName>
    <definedName name="XREF_COLUMN_50">#REF!</definedName>
    <definedName name="XREF_COLUMN_51">#REF!</definedName>
    <definedName name="XREF_COLUMN_52">#REF!</definedName>
    <definedName name="XREF_COLUMN_53">#REF!</definedName>
    <definedName name="XREF_COLUMN_54">#REF!</definedName>
    <definedName name="XREF_COLUMN_55">#REF!</definedName>
    <definedName name="XREF_COLUMN_56">#REF!</definedName>
    <definedName name="XREF_COLUMN_57">#REF!</definedName>
    <definedName name="XREF_COLUMN_58">#REF!</definedName>
    <definedName name="XREF_COLUMN_59">#REF!</definedName>
    <definedName name="XREF_COLUMN_6">#REF!</definedName>
    <definedName name="XREF_COLUMN_60">#REF!</definedName>
    <definedName name="XREF_COLUMN_61">#REF!</definedName>
    <definedName name="XREF_COLUMN_62">#REF!</definedName>
    <definedName name="XREF_COLUMN_63">#REF!</definedName>
    <definedName name="XREF_COLUMN_64">#REF!</definedName>
    <definedName name="XREF_COLUMN_65">#REF!</definedName>
    <definedName name="XREF_COLUMN_66">#REF!</definedName>
    <definedName name="XREF_COLUMN_7">#REF!</definedName>
    <definedName name="XREF_COLUMN_8">'[59]SCH VIII'!#REF!</definedName>
    <definedName name="XREF_COLUMN_9" hidden="1">#REF!</definedName>
    <definedName name="XRefActiveRow" hidden="1">#REF!</definedName>
    <definedName name="XRefColumnsCount" hidden="1">18</definedName>
    <definedName name="XRefCopy1" hidden="1">#REF!</definedName>
    <definedName name="XRefCopy10" hidden="1">#REF!</definedName>
    <definedName name="XRefCopy100">#REF!</definedName>
    <definedName name="XRefCopy100Row">#REF!</definedName>
    <definedName name="XRefCopy101">#REF!</definedName>
    <definedName name="XRefCopy101Row">#REF!</definedName>
    <definedName name="XRefCopy102">#REF!</definedName>
    <definedName name="XRefCopy102Row">#REF!</definedName>
    <definedName name="XRefCopy103">#REF!</definedName>
    <definedName name="XRefCopy104">#REF!</definedName>
    <definedName name="XRefCopy104Row">#REF!</definedName>
    <definedName name="XRefCopy105">#REF!</definedName>
    <definedName name="XRefCopy105Row">#REF!</definedName>
    <definedName name="XRefCopy106">#REF!</definedName>
    <definedName name="XRefCopy106Row">#REF!</definedName>
    <definedName name="XRefCopy107">#REF!</definedName>
    <definedName name="XRefCopy107Row">#REF!</definedName>
    <definedName name="XRefCopy108">#REF!</definedName>
    <definedName name="XRefCopy108Row">#REF!</definedName>
    <definedName name="XRefCopy109">#REF!</definedName>
    <definedName name="XRefCopy109Row">#REF!</definedName>
    <definedName name="XRefCopy10Row" hidden="1">#REF!</definedName>
    <definedName name="XRefCopy11" hidden="1">#REF!</definedName>
    <definedName name="XRefCopy110">#REF!</definedName>
    <definedName name="XRefCopy110Row">#REF!</definedName>
    <definedName name="XRefCopy111">#REF!</definedName>
    <definedName name="XRefCopy111Row">#REF!</definedName>
    <definedName name="XRefCopy112">#REF!</definedName>
    <definedName name="XRefCopy112Row">#REF!</definedName>
    <definedName name="XRefCopy113">#REF!</definedName>
    <definedName name="XRefCopy113Row">#REF!</definedName>
    <definedName name="XRefCopy114">#REF!</definedName>
    <definedName name="XRefCopy114Row">#REF!</definedName>
    <definedName name="XRefCopy115">#REF!</definedName>
    <definedName name="XRefCopy115Row">#REF!</definedName>
    <definedName name="XRefCopy116">#REF!</definedName>
    <definedName name="XRefCopy116Row">#REF!</definedName>
    <definedName name="XRefCopy117">#REF!</definedName>
    <definedName name="XRefCopy117Row">#REF!</definedName>
    <definedName name="XRefCopy118">#REF!</definedName>
    <definedName name="XRefCopy118Row">#REF!</definedName>
    <definedName name="XRefCopy119">#REF!</definedName>
    <definedName name="XRefCopy119Row">#REF!</definedName>
    <definedName name="XRefCopy11Row" hidden="1">#REF!</definedName>
    <definedName name="XRefCopy12" hidden="1">#REF!</definedName>
    <definedName name="XRefCopy120">#REF!</definedName>
    <definedName name="XRefCopy121">#REF!</definedName>
    <definedName name="XRefCopy121Row">#REF!</definedName>
    <definedName name="XRefCopy122">#REF!</definedName>
    <definedName name="XRefCopy122Row">#REF!</definedName>
    <definedName name="XRefCopy123">#REF!</definedName>
    <definedName name="XRefCopy124">#REF!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Row">#REF!</definedName>
    <definedName name="XRefCopy23">#REF!</definedName>
    <definedName name="XRefCopy23Row">#REF!</definedName>
    <definedName name="XRefCopy24">#REF!</definedName>
    <definedName name="XRefCopy24Row">#REF!</definedName>
    <definedName name="XRefCopy25Row">#REF!</definedName>
    <definedName name="XRefCopy26">#REF!</definedName>
    <definedName name="XRefCopy26Row">#REF!</definedName>
    <definedName name="XRefCopy27">#REF!</definedName>
    <definedName name="XRefCopy27Row">#REF!</definedName>
    <definedName name="XRefCopy28">#REF!</definedName>
    <definedName name="XRefCopy28Row">[60]XREF!#REF!</definedName>
    <definedName name="XRefCopy29">#REF!</definedName>
    <definedName name="XRefCopy29Row">#REF!</definedName>
    <definedName name="XRefCopy2Row" hidden="1">#REF!</definedName>
    <definedName name="XRefCopy3" hidden="1">#REF!</definedName>
    <definedName name="XRefCopy30">#REF!</definedName>
    <definedName name="XRefCopy30Row">#REF!</definedName>
    <definedName name="XRefCopy31">#REF!</definedName>
    <definedName name="XRefCopy31Row">#REF!</definedName>
    <definedName name="XRefCopy32">#REF!</definedName>
    <definedName name="XRefCopy32Row">#REF!</definedName>
    <definedName name="XRefCopy33">#REF!</definedName>
    <definedName name="XRefCopy33Row">#REF!</definedName>
    <definedName name="XRefCopy34">#REF!</definedName>
    <definedName name="XRefCopy34Row">#REF!</definedName>
    <definedName name="XRefCopy35">#REF!</definedName>
    <definedName name="XRefCopy35Row">#REF!</definedName>
    <definedName name="XRefCopy36Row">#REF!</definedName>
    <definedName name="XRefCopy37Row">#REF!</definedName>
    <definedName name="XRefCopy38">#REF!</definedName>
    <definedName name="XRefCopy38Row">#REF!</definedName>
    <definedName name="XRefCopy39">#REF!</definedName>
    <definedName name="XRefCopy39Row">#REF!</definedName>
    <definedName name="XRefCopy3Row" hidden="1">#REF!</definedName>
    <definedName name="XRefCopy4" hidden="1">#REF!</definedName>
    <definedName name="XRefCopy40Row">#REF!</definedName>
    <definedName name="XRefCopy41Row">#REF!</definedName>
    <definedName name="XRefCopy42Row">#REF!</definedName>
    <definedName name="XRefCopy43">#REF!</definedName>
    <definedName name="XRefCopy43Row">#REF!</definedName>
    <definedName name="XRefCopy44">#REF!</definedName>
    <definedName name="XRefCopy45Row">#REF!</definedName>
    <definedName name="XRefCopy46">#REF!</definedName>
    <definedName name="XRefCopy46Row">#REF!</definedName>
    <definedName name="XRefCopy47Row">#REF!</definedName>
    <definedName name="XRefCopy48Row">#REF!</definedName>
    <definedName name="XRefCopy49">#REF!</definedName>
    <definedName name="XRefCopy49Row">#REF!</definedName>
    <definedName name="XRefCopy4Row" hidden="1">#REF!</definedName>
    <definedName name="XRefCopy5" hidden="1">#REF!</definedName>
    <definedName name="XRefCopy50Row">#REF!</definedName>
    <definedName name="XRefCopy51Row">#REF!</definedName>
    <definedName name="XRefCopy52">#REF!</definedName>
    <definedName name="XRefCopy52Row">#REF!</definedName>
    <definedName name="XRefCopy53">#REF!</definedName>
    <definedName name="XRefCopy53Row">#REF!</definedName>
    <definedName name="XRefCopy54">#REF!</definedName>
    <definedName name="XRefCopy54Row">#REF!</definedName>
    <definedName name="XRefCopy55">#REF!</definedName>
    <definedName name="XRefCopy55Row">#REF!</definedName>
    <definedName name="XRefCopy56">#REF!</definedName>
    <definedName name="XRefCopy56Row">#REF!</definedName>
    <definedName name="XRefCopy57">#REF!</definedName>
    <definedName name="XRefCopy57Row">#REF!</definedName>
    <definedName name="XRefCopy58">#REF!</definedName>
    <definedName name="XRefCopy58Row">#REF!</definedName>
    <definedName name="XRefCopy59">#REF!</definedName>
    <definedName name="XRefCopy59Row">#REF!</definedName>
    <definedName name="XRefCopy5Row" hidden="1">#REF!</definedName>
    <definedName name="XRefCopy6" hidden="1">#REF!</definedName>
    <definedName name="XRefCopy60">#REF!</definedName>
    <definedName name="XRefCopy61">#REF!</definedName>
    <definedName name="XRefCopy61Row">#REF!</definedName>
    <definedName name="XRefCopy62">#REF!</definedName>
    <definedName name="XRefCopy62Row">#REF!</definedName>
    <definedName name="XRefCopy63">#REF!</definedName>
    <definedName name="XRefCopy63Row">#REF!</definedName>
    <definedName name="XRefCopy64">#REF!</definedName>
    <definedName name="XRefCopy64Row">#REF!</definedName>
    <definedName name="XRefCopy65">#REF!</definedName>
    <definedName name="XRefCopy65Row">#REF!</definedName>
    <definedName name="XRefCopy66">#REF!</definedName>
    <definedName name="XRefCopy66Row">#REF!</definedName>
    <definedName name="XRefCopy67">#REF!</definedName>
    <definedName name="XRefCopy67Row">#REF!</definedName>
    <definedName name="XRefCopy68">#REF!</definedName>
    <definedName name="XRefCopy68Row">#REF!</definedName>
    <definedName name="XRefCopy69">#REF!</definedName>
    <definedName name="XRefCopy69Row">#REF!</definedName>
    <definedName name="XRefCopy6Row" hidden="1">#REF!</definedName>
    <definedName name="XRefCopy7" hidden="1">#REF!</definedName>
    <definedName name="XRefCopy70">#REF!</definedName>
    <definedName name="XRefCopy70Row">#REF!</definedName>
    <definedName name="XRefCopy71">#REF!</definedName>
    <definedName name="XRefCopy71Row">#REF!</definedName>
    <definedName name="XRefCopy72">#REF!</definedName>
    <definedName name="XRefCopy73">#REF!</definedName>
    <definedName name="XRefCopy74">#REF!</definedName>
    <definedName name="XRefCopy75">#REF!</definedName>
    <definedName name="XRefCopy75Row">#REF!</definedName>
    <definedName name="XRefCopy76">#REF!</definedName>
    <definedName name="XRefCopy77">#REF!</definedName>
    <definedName name="XRefCopy78">#REF!</definedName>
    <definedName name="XRefCopy78Row">#REF!</definedName>
    <definedName name="XRefCopy79">#REF!</definedName>
    <definedName name="XRefCopy79Row">#REF!</definedName>
    <definedName name="XRefCopy7Row" hidden="1">#REF!</definedName>
    <definedName name="XRefCopy8" hidden="1">#REF!</definedName>
    <definedName name="XRefCopy80">#REF!</definedName>
    <definedName name="XRefCopy81">#REF!</definedName>
    <definedName name="XRefCopy82">#REF!</definedName>
    <definedName name="XRefCopy82Row">#REF!</definedName>
    <definedName name="XRefCopy83">#REF!</definedName>
    <definedName name="XRefCopy83Row">#REF!</definedName>
    <definedName name="XRefCopy84">#REF!</definedName>
    <definedName name="XRefCopy84Row">#REF!</definedName>
    <definedName name="XRefCopy85">#REF!</definedName>
    <definedName name="XRefCopy85Row">#REF!</definedName>
    <definedName name="XRefCopy86">#REF!</definedName>
    <definedName name="XRefCopy86Row">#REF!</definedName>
    <definedName name="XRefCopy87">#REF!</definedName>
    <definedName name="XRefCopy87Row">#REF!</definedName>
    <definedName name="XRefCopy88">#REF!</definedName>
    <definedName name="XRefCopy88Row">#REF!</definedName>
    <definedName name="XRefCopy89">#REF!</definedName>
    <definedName name="XRefCopy89Row">#REF!</definedName>
    <definedName name="XRefCopy8Row" hidden="1">#REF!</definedName>
    <definedName name="XRefCopy9" hidden="1">#REF!</definedName>
    <definedName name="XRefCopy90">#REF!</definedName>
    <definedName name="XRefCopy90Row">#REF!</definedName>
    <definedName name="XRefCopy91">#REF!</definedName>
    <definedName name="XRefCopy91Row">#REF!</definedName>
    <definedName name="XRefCopy92">#REF!</definedName>
    <definedName name="XRefCopy92Row">#REF!</definedName>
    <definedName name="XRefCopy93">#REF!</definedName>
    <definedName name="XRefCopy93Row">#REF!</definedName>
    <definedName name="XRefCopy94">#REF!</definedName>
    <definedName name="XRefCopy94Row">#REF!</definedName>
    <definedName name="XRefCopy95">#REF!</definedName>
    <definedName name="XRefCopy95Row">#REF!</definedName>
    <definedName name="XRefCopy96">#REF!</definedName>
    <definedName name="XRefCopy96Row">#REF!</definedName>
    <definedName name="XRefCopy97">#REF!</definedName>
    <definedName name="XRefCopy97Row">#REF!</definedName>
    <definedName name="XRefCopy98">#REF!</definedName>
    <definedName name="XRefCopy98Row">#REF!</definedName>
    <definedName name="XRefCopy99">#REF!</definedName>
    <definedName name="XRefCopy99Row">#REF!</definedName>
    <definedName name="XRefCopy9Row" hidden="1">#REF!</definedName>
    <definedName name="XRefCopyRangeCount" hidden="1">1</definedName>
    <definedName name="XRefPaste1" hidden="1">#REF!</definedName>
    <definedName name="XRefPaste10" hidden="1">#REF!</definedName>
    <definedName name="XRefPaste100">#REF!</definedName>
    <definedName name="XRefPaste100Row">#REF!</definedName>
    <definedName name="XRefPaste101">#REF!</definedName>
    <definedName name="XRefPaste101Row">#REF!</definedName>
    <definedName name="XRefPaste102">#REF!</definedName>
    <definedName name="XRefPaste102Row">#REF!</definedName>
    <definedName name="XRefPaste103">#REF!</definedName>
    <definedName name="XRefPaste103Row">#REF!</definedName>
    <definedName name="XRefPaste104">#REF!</definedName>
    <definedName name="XRefPaste104Row">#REF!</definedName>
    <definedName name="XRefPaste105">#REF!</definedName>
    <definedName name="XRefPaste105Row">#REF!</definedName>
    <definedName name="XRefPaste106">#REF!</definedName>
    <definedName name="XRefPaste106Row">#REF!</definedName>
    <definedName name="XRefPaste107">#REF!</definedName>
    <definedName name="XRefPaste107Row">#REF!</definedName>
    <definedName name="XRefPaste108">#REF!</definedName>
    <definedName name="XRefPaste108Row">#REF!</definedName>
    <definedName name="XRefPaste109">#REF!</definedName>
    <definedName name="XRefPaste109Row">#REF!</definedName>
    <definedName name="XRefPaste10Row" hidden="1">#REF!</definedName>
    <definedName name="XRefPaste11" hidden="1">#REF!</definedName>
    <definedName name="XRefPaste110">#REF!</definedName>
    <definedName name="XRefPaste110Row">#REF!</definedName>
    <definedName name="XRefPaste11Row" hidden="1">#REF!</definedName>
    <definedName name="XRefPaste12" hidden="1">#REF!</definedName>
    <definedName name="XRefPaste12Row" hidden="1">#REF!</definedName>
    <definedName name="XRefPaste13">#REF!</definedName>
    <definedName name="XRefPaste13Row" hidden="1">#REF!</definedName>
    <definedName name="XRefPaste14">#REF!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#REF!</definedName>
    <definedName name="XRefPaste25Row">[60]XREF!#REF!</definedName>
    <definedName name="XRefPaste26">#REF!</definedName>
    <definedName name="XRefPaste26Row">#REF!</definedName>
    <definedName name="XRefPaste27">#REF!</definedName>
    <definedName name="XRefPaste27Row">#REF!</definedName>
    <definedName name="XRefPaste28">#REF!</definedName>
    <definedName name="XRefPaste28Row">#REF!</definedName>
    <definedName name="XRefPaste29Row">#REF!</definedName>
    <definedName name="XRefPaste2Row" hidden="1">#REF!</definedName>
    <definedName name="XRefPaste3" hidden="1">#REF!</definedName>
    <definedName name="XRefPaste30">#REF!</definedName>
    <definedName name="XRefPaste30Row">#REF!</definedName>
    <definedName name="XRefPaste31Row">#REF!</definedName>
    <definedName name="XRefPaste32Row">#REF!</definedName>
    <definedName name="XRefPaste33">#REF!</definedName>
    <definedName name="XRefPaste33Row">#REF!</definedName>
    <definedName name="XRefPaste34">#REF!</definedName>
    <definedName name="XRefPaste35">#REF!</definedName>
    <definedName name="XRefPaste36">#REF!</definedName>
    <definedName name="XRefPaste39">#REF!</definedName>
    <definedName name="XRefPaste3Row" hidden="1">#REF!</definedName>
    <definedName name="XRefPaste4" hidden="1">#REF!</definedName>
    <definedName name="XRefPaste40">#REF!</definedName>
    <definedName name="XRefPaste41">#REF!</definedName>
    <definedName name="XRefPaste44">#REF!</definedName>
    <definedName name="XRefPaste46">#REF!</definedName>
    <definedName name="XRefPaste47">#REF!</definedName>
    <definedName name="XRefPaste49">#REF!</definedName>
    <definedName name="XRefPaste4Row" hidden="1">#REF!</definedName>
    <definedName name="XRefPaste5" hidden="1">#REF!</definedName>
    <definedName name="XRefPaste50">#REF!</definedName>
    <definedName name="XRefPaste51">#REF!</definedName>
    <definedName name="XRefPaste52">#REF!</definedName>
    <definedName name="XRefPaste53">#REF!</definedName>
    <definedName name="XRefPaste54">#REF!</definedName>
    <definedName name="XRefPaste54Row">#REF!</definedName>
    <definedName name="XRefPaste55">#REF!</definedName>
    <definedName name="XRefPaste55Row">#REF!</definedName>
    <definedName name="XRefPaste56">#REF!</definedName>
    <definedName name="XRefPaste56Row">#REF!</definedName>
    <definedName name="XRefPaste57">#REF!</definedName>
    <definedName name="XRefPaste57Row">#REF!</definedName>
    <definedName name="XRefPaste58">#REF!</definedName>
    <definedName name="XRefPaste58Row">#REF!</definedName>
    <definedName name="XRefPaste59">#REF!</definedName>
    <definedName name="XRefPaste59Row">#REF!</definedName>
    <definedName name="XRefPaste5Row" hidden="1">#REF!</definedName>
    <definedName name="XRefPaste6" hidden="1">#REF!</definedName>
    <definedName name="XRefPaste60">#REF!</definedName>
    <definedName name="XRefPaste60Row">#REF!</definedName>
    <definedName name="XRefPaste61">#REF!</definedName>
    <definedName name="XRefPaste61Row">#REF!</definedName>
    <definedName name="XRefPaste62">#REF!</definedName>
    <definedName name="XRefPaste62Row">#REF!</definedName>
    <definedName name="XRefPaste63">#REF!</definedName>
    <definedName name="XRefPaste63Row">#REF!</definedName>
    <definedName name="XRefPaste64">#REF!</definedName>
    <definedName name="XRefPaste64Row">#REF!</definedName>
    <definedName name="XRefPaste65">#REF!</definedName>
    <definedName name="XRefPaste65Row">#REF!</definedName>
    <definedName name="XRefPaste66">#REF!</definedName>
    <definedName name="XRefPaste66Row">#REF!</definedName>
    <definedName name="XRefPaste67">#REF!</definedName>
    <definedName name="XRefPaste67Row">#REF!</definedName>
    <definedName name="XRefPaste68">#REF!</definedName>
    <definedName name="XRefPaste68Row">#REF!</definedName>
    <definedName name="XRefPaste6Row" hidden="1">#REF!</definedName>
    <definedName name="XRefPaste7" hidden="1">#REF!</definedName>
    <definedName name="XRefPaste70">#REF!</definedName>
    <definedName name="XRefPaste70Row">#REF!</definedName>
    <definedName name="XRefPaste71">#REF!</definedName>
    <definedName name="XRefPaste71Row">#REF!</definedName>
    <definedName name="XRefPaste72">#REF!</definedName>
    <definedName name="XRefPaste72Row">#REF!</definedName>
    <definedName name="XRefPaste73">#REF!</definedName>
    <definedName name="XRefPaste73Row">#REF!</definedName>
    <definedName name="XRefPaste74">#REF!</definedName>
    <definedName name="XRefPaste74Row">#REF!</definedName>
    <definedName name="XRefPaste75">#REF!</definedName>
    <definedName name="XRefPaste75Row">#REF!</definedName>
    <definedName name="XRefPaste76">#REF!</definedName>
    <definedName name="XRefPaste76Row">#REF!</definedName>
    <definedName name="XRefPaste77">#REF!</definedName>
    <definedName name="XRefPaste77Row">#REF!</definedName>
    <definedName name="XRefPaste78">#REF!</definedName>
    <definedName name="XRefPaste78Row">#REF!</definedName>
    <definedName name="XRefPaste79">#REF!</definedName>
    <definedName name="XRefPaste79Row">#REF!</definedName>
    <definedName name="XRefPaste7Row" hidden="1">#REF!</definedName>
    <definedName name="XRefPaste8" hidden="1">#REF!</definedName>
    <definedName name="XRefPaste80">#REF!</definedName>
    <definedName name="XRefPaste80Row">#REF!</definedName>
    <definedName name="XRefPaste81">#REF!</definedName>
    <definedName name="XRefPaste81Row">#REF!</definedName>
    <definedName name="XRefPaste82">#REF!</definedName>
    <definedName name="XRefPaste82Row">#REF!</definedName>
    <definedName name="XRefPaste83">#REF!</definedName>
    <definedName name="XRefPaste83Row">#REF!</definedName>
    <definedName name="XRefPaste84">#REF!</definedName>
    <definedName name="XRefPaste84Row">#REF!</definedName>
    <definedName name="XRefPaste85">#REF!</definedName>
    <definedName name="XRefPaste85Row">#REF!</definedName>
    <definedName name="XRefPaste86">#REF!</definedName>
    <definedName name="XRefPaste86Row">#REF!</definedName>
    <definedName name="XRefPaste87">#REF!</definedName>
    <definedName name="XRefPaste87Row">#REF!</definedName>
    <definedName name="XRefPaste88">#REF!</definedName>
    <definedName name="XRefPaste88Row">#REF!</definedName>
    <definedName name="XRefPaste89">#REF!</definedName>
    <definedName name="XRefPaste89Row">#REF!</definedName>
    <definedName name="XRefPaste8Row" hidden="1">#REF!</definedName>
    <definedName name="XRefPaste9" hidden="1">#REF!</definedName>
    <definedName name="XRefPaste90">#REF!</definedName>
    <definedName name="XRefPaste90Row">#REF!</definedName>
    <definedName name="XRefPaste91">#REF!</definedName>
    <definedName name="XRefPaste91Row">#REF!</definedName>
    <definedName name="XRefPaste92">#REF!</definedName>
    <definedName name="XRefPaste92Row">#REF!</definedName>
    <definedName name="XRefPaste93">#REF!</definedName>
    <definedName name="XRefPaste93Row">#REF!</definedName>
    <definedName name="XRefPaste94">#REF!</definedName>
    <definedName name="XRefPaste94Row">#REF!</definedName>
    <definedName name="XRefPaste95">#REF!</definedName>
    <definedName name="XRefPaste95Row">#REF!</definedName>
    <definedName name="XRefPaste96">#REF!</definedName>
    <definedName name="XRefPaste96Row">#REF!</definedName>
    <definedName name="XRefPaste97">#REF!</definedName>
    <definedName name="XRefPaste97Row">#REF!</definedName>
    <definedName name="XRefPaste98">#REF!</definedName>
    <definedName name="XRefPaste98Row">#REF!</definedName>
    <definedName name="XRefPaste99">#REF!</definedName>
    <definedName name="XRefPaste99Row">#REF!</definedName>
    <definedName name="XRefPaste9Row" hidden="1">#REF!</definedName>
    <definedName name="XRefPasteRangeCount" hidden="1">22</definedName>
    <definedName name="xrt">{#N/A,#N/A,FALSE,"OSBL"}</definedName>
    <definedName name="xt">{#N/A,#N/A,FALSE,"PGW"}</definedName>
    <definedName name="xx">{#N/A,#N/A,FALSE,"REPORT"}</definedName>
    <definedName name="XXX">{#N/A,#N/A,FALSE,"Other";#N/A,#N/A,FALSE,"Ace";#N/A,#N/A,FALSE,"Derm"}</definedName>
    <definedName name="xxxx">{"'I-1 and I-2'!$A$1:$G$190"}</definedName>
    <definedName name="xxxxx">{#N/A,#N/A,FALSE,"Pharm";#N/A,#N/A,FALSE,"WWCM"}</definedName>
    <definedName name="xxxxxx">{"10yp graphs",#N/A,FALSE,"Market Data"}</definedName>
    <definedName name="xy">{#N/A,#N/A,FALSE,"Mittelherkunft";#N/A,#N/A,FALSE,"Mittelverwendung"}</definedName>
    <definedName name="xyz">{"Deal information sheet",#N/A,TRUE,"MBOco";"Projected P and L Accounts",#N/A,TRUE,"MBOco";"Projected Balance Sheet",#N/A,TRUE,"MBOco";"Projected Cash Flows",#N/A,TRUE,"MBOco"}</definedName>
    <definedName name="y">{#N/A,#N/A,FALSE,"Pharm";#N/A,#N/A,FALSE,"WWCM"}</definedName>
    <definedName name="ydjmh">#REF!</definedName>
    <definedName name="Ye">#REF!</definedName>
    <definedName name="Yes">{"adj95mult",#N/A,FALSE,"COMPCO";"adj95est",#N/A,FALSE,"COMPCO"}</definedName>
    <definedName name="yhn">{#N/A,#N/A,FALSE,"Model";#N/A,#N/A,FALSE,"Division"}</definedName>
    <definedName name="yktyj">#REF!</definedName>
    <definedName name="YTD_DEPRN">#REF!</definedName>
    <definedName name="ytu7" hidden="1">{"Page1",#N/A,FALSE,"Segment Overview";"Page2",#N/A,FALSE,"Segment Overview";"Page3",#N/A,FALSE,"Summary";"Page4",#N/A,FALSE,"Summary";"Page5",#N/A,FALSE,"US Pubs Rev";"Page6",#N/A,FALSE,"US Pubs Rev";"Page7",#N/A,FALSE,"US Pubs EBITDA";"Page8",#N/A,FALSE,"US Pubs EBITDA"}</definedName>
    <definedName name="ytytyt">{"mgmt forecast",#N/A,FALSE,"Mgmt Forecast";"dcf table",#N/A,FALSE,"Mgmt Forecast";"sensitivity",#N/A,FALSE,"Mgmt Forecast";"table inputs",#N/A,FALSE,"Mgmt Forecast";"calculations",#N/A,FALSE,"Mgmt Forecast"}</definedName>
    <definedName name="yuuuuuuu">{"ratios",#N/A,FALSE,"Summary Accounts"}</definedName>
    <definedName name="yy">{"consolidated",#N/A,FALSE,"Sheet1";"cms",#N/A,FALSE,"Sheet1";"fse",#N/A,FALSE,"Sheet1"}</definedName>
    <definedName name="yyy">{#N/A,#N/A,FALSE,"Other";#N/A,#N/A,FALSE,"Ace";#N/A,#N/A,FALSE,"Derm"}</definedName>
    <definedName name="yyyyyy">{"p_l",#N/A,FALSE,"Summary Accounts"}</definedName>
    <definedName name="z">{"EVA",#N/A,FALSE,"EVA";"WACC",#N/A,FALSE,"WACC"}</definedName>
    <definedName name="Z_14630C72_F5A7_427C_8277_844AD49AAA2B_.wvu.FilterData" hidden="1">#REF!</definedName>
    <definedName name="Z_240F6A6C_A9C0_41D3_A95C_9C9FCBE9326E_.wvu.FilterData">#REF!</definedName>
    <definedName name="Z_240F6A6C_A9C0_41D3_A95C_9C9FCBE9326E_.wvu.Rows">#REF!</definedName>
    <definedName name="Z_2F5C3FD9_C8E7_4E40_AA1F_860552691881_.wvu.FilterData" hidden="1">#REF!</definedName>
    <definedName name="Z_33376133_CFCA_11D4_9FDE_000103021132_.wvu.Cols" hidden="1">#REF!,#REF!</definedName>
    <definedName name="Z_33376133_CFCA_11D4_9FDE_000103021132_.wvu.Rows" hidden="1">#REF!</definedName>
    <definedName name="Z_46643836_6218_4612_A19A_A73A8D1FDDD8_.wvu.PrintArea">#REF!</definedName>
    <definedName name="Z_46643836_6218_4612_A19A_A73A8D1FDDD8_.wvu.Rows">#REF!</definedName>
    <definedName name="Z_5EC7122A_2F1A_11D9_A08B_000129091764_.wvu.Cols">#REF!</definedName>
    <definedName name="Z_5EC7122A_2F1A_11D9_A08B_000129091764_.wvu.Rows">#REF!,#REF!</definedName>
    <definedName name="Z_65726B72_CEFC_11D4_AA53_00010301C464_.wvu.Cols" hidden="1">#REF!,#REF!</definedName>
    <definedName name="Z_65726B72_CEFC_11D4_AA53_00010301C464_.wvu.Rows" hidden="1">#REF!</definedName>
    <definedName name="Z_746852D3_BFD6_47E8_9DA9_56CF052FA174_.wvu.Rows">#REF!</definedName>
    <definedName name="Z_80D7F781_A108_11D6_996F_00D0B7ABA9C4_.wvu.FilterData" hidden="1">#REF!</definedName>
    <definedName name="Z_A0B35E21_CC83_11D6_BADB_00C04FCF8CCB_.wvu.Cols">#REF!</definedName>
    <definedName name="Z_A0B35E21_CC83_11D6_BADB_00C04FCF8CCB_.wvu.PrintArea">#REF!</definedName>
    <definedName name="Z_B2139880_CF18_4927_9323_924D78129684_.wvu.FilterData" hidden="1">#REF!</definedName>
    <definedName name="Z_B38843BF_DFDF_44FA_8E71_0A2E36B1AD6C_.wvu.Cols">#REF!</definedName>
    <definedName name="Z_B38843BF_DFDF_44FA_8E71_0A2E36B1AD6C_.wvu.PrintArea">#REF!</definedName>
    <definedName name="Z_B38843BF_DFDF_44FA_8E71_0A2E36B1AD6C_.wvu.Rows">#REF!</definedName>
    <definedName name="Z_B875DFD6_2A04_455F_ABF7_FC1F96C0A875_.wvu.FilterData" hidden="1">#REF!</definedName>
    <definedName name="Z_C00E0055_D79E_11D4_84AD_00D0B7B3CB09_.wvu.Cols" hidden="1">#REF!,#REF!</definedName>
    <definedName name="Z_C00E0055_D79E_11D4_84AD_00D0B7B3CB09_.wvu.Rows" hidden="1">#REF!</definedName>
    <definedName name="Z_DE54EB4E_7288_4CBC_B1F8_54C2468A83E6_.wvu.Cols">#REF!,#REF!</definedName>
    <definedName name="Z_DE54EB4E_7288_4CBC_B1F8_54C2468A83E6_.wvu.PrintArea">#REF!</definedName>
    <definedName name="Z_DE54EB4E_7288_4CBC_B1F8_54C2468A83E6_.wvu.Rows">#REF!,#REF!,#REF!,#REF!</definedName>
    <definedName name="Z_F427A64C_FE10_44C0_967F_4CBEA5B447DC_.wvu.Cols">[61]March!$D$1:$G$65536,[61]March!#REF!,[61]March!$AX$1:$AX$65536,[61]March!$AZ$1:$BC$65536,[61]March!$BA$1:$BA$65536,[61]March!$AV$1:$AV$65536,[61]March!$BF$1:$BF$65536,[61]March!$BJ$1:$BJ$65536</definedName>
    <definedName name="Z_F84989FE_9D34_4BB3_9316_3D16B4C8D8D5_.wvu.Rows">'[62]P&amp;L, Balance sheet'!$A$12:$IV$14,'[62]P&amp;L, Balance sheet'!$A$43:$IV$44,'[62]P&amp;L, Balance sheet'!#REF!,'[62]P&amp;L, Balance sheet'!#REF!,'[62]P&amp;L, Balance sheet'!#REF!,'[62]P&amp;L, Balance sheet'!#REF!,'[62]P&amp;L, Balance sheet'!#REF!,'[62]P&amp;L, Balance sheet'!#REF!,'[62]P&amp;L, Balance sheet'!#REF!,'[62]P&amp;L, Balance sheet'!#REF!,'[62]P&amp;L, Balance sheet'!#REF!,'[62]P&amp;L, Balance sheet'!$A$196:$IV$198,'[62]P&amp;L, Balance sheet'!#REF!,'[62]P&amp;L, Balance sheet'!#REF!,'[62]P&amp;L, Balance sheet'!$A$249:$IV$250,'[62]P&amp;L, Balance sheet'!#REF!,'[62]P&amp;L, Balance sheet'!$A$285:$IV$288,'[62]P&amp;L, Balance sheet'!#REF!,'[62]P&amp;L, Balance sheet'!#REF!,'[62]P&amp;L, Balance sheet'!$A$296:$IV$300,'[62]P&amp;L, Balance sheet'!#REF!,'[62]P&amp;L, Balance sheet'!#REF!,'[62]P&amp;L, Balance sheet'!#REF!,'[62]P&amp;L, Balance sheet'!$A$398:$IV$398</definedName>
    <definedName name="Z_FBD1CF78_3FBD_4E7B_B848_DD571187498D_.wvu.FilterData">#REF!</definedName>
    <definedName name="za">{#N/A,#N/A,FALSE,"Model";#N/A,#N/A,FALSE,"Division"}</definedName>
    <definedName name="zaCQW">{"turnover",#N/A,FALSE;"profits",#N/A,FALSE;"cash",#N/A,FALSE}</definedName>
    <definedName name="zaq">{#N/A,#N/A,FALSE,"Calc";#N/A,#N/A,FALSE,"Sensitivity";#N/A,#N/A,FALSE,"LT Earn.Dil.";#N/A,#N/A,FALSE,"Dil. AVP"}</definedName>
    <definedName name="zer">{#N/A,#N/A,FALSE,"Calc";#N/A,#N/A,FALSE,"Sensitivity";#N/A,#N/A,FALSE,"LT Earn.Dil.";#N/A,#N/A,FALSE,"Dil. AVP"}</definedName>
    <definedName name="zesewe">{#N/A,#N/A,FALSE,"FREE"}</definedName>
    <definedName name="zfw3" hidden="1">{"Page1",#N/A,FALSE,"Segment Overview";"Page2",#N/A,FALSE,"Segment Overview";"Page3",#N/A,FALSE,"Summary";"Page4",#N/A,FALSE,"Summary";"Page5",#N/A,FALSE,"US Pubs Rev";"Page6",#N/A,FALSE,"US Pubs Rev";"Page7",#N/A,FALSE,"US Pubs EBITDA";"Page8",#N/A,FALSE,"US Pubs EBITDA"}</definedName>
    <definedName name="zhu">{#N/A,#N/A,FALSE,"REPORT"}</definedName>
    <definedName name="zhutr">{#N/A,#N/A,FALSE,"REPORT"}</definedName>
    <definedName name="ZSZ">{#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z">{#N/A,#N/A,FALSE,"PGW"}</definedName>
    <definedName name="zza4pg">{#N/A,#N/A,FALSE,"REPORT"}</definedName>
    <definedName name="zzee">{#N/A,#N/A,FALSE,"Pharm";#N/A,#N/A,FALSE,"WWCM"}</definedName>
    <definedName name="ZZZ">{"AR",#N/A,FALSE,"ASMGTSUM";"INV",#N/A,FALSE,"ASMGTSUM";"HCCOMP",#N/A,FALSE,"ASMGTSUM";"cap.depr",#N/A,FALSE,"ASMGTSUM"}</definedName>
    <definedName name="zzz.com">{#N/A,#N/A,FALSE,"Title Page";#N/A,#N/A,FALSE,"Conclusions";#N/A,#N/A,FALSE,"Assum.";#N/A,#N/A,FALSE,"Sun  DCF-WC-Dep";#N/A,#N/A,FALSE,"MarketValue";#N/A,#N/A,FALSE,"BalSheet";#N/A,#N/A,FALSE,"WACC";#N/A,#N/A,FALSE,"PC+ Info.";#N/A,#N/A,FALSE,"PC+Info_2"}</definedName>
    <definedName name="zzzzz">{#N/A,#N/A,FALSE,"REPORT"}</definedName>
    <definedName name="あｓ" hidden="1">#REF!</definedName>
    <definedName name="ああああああ" hidden="1">#REF!</definedName>
    <definedName name="かか" hidden="1">#REF!</definedName>
    <definedName name="セグ">#REF!</definedName>
    <definedName name="ナイス小石川" hidden="1">{"ｹﾝﾄ（M)",#N/A,FALSE,"収支・日割";"ｹﾝﾄ（RD)",#N/A,FALSE,"収支・日割";"ｹﾝﾄ（PMC)",#N/A,FALSE,"収支・日割"}</definedName>
    <definedName name="ふぇふぁｆ" hidden="1">{"Page1",#N/A,FALSE,"Segment Overview";"Page2",#N/A,FALSE,"Segment Overview";"Page3",#N/A,FALSE,"Summary";"Page4",#N/A,FALSE,"Summary";"Page5",#N/A,FALSE,"US Pubs Rev";"Page6",#N/A,FALSE,"US Pubs Rev";"Page7",#N/A,FALSE,"US Pubs EBITDA";"Page8",#N/A,FALSE,"US Pubs EBITDA"}</definedName>
    <definedName name="リース" hidden="1">{"Actual",#N/A,FALSE,"(価格)";"Market",#N/A,FALSE,"(価格)";"Plan",#N/A,FALSE,"(価格)"}</definedName>
    <definedName name="レポート" hidden="1">#REF!</definedName>
    <definedName name="ㄱㄱㄱㄱㄱㄱ" hidden="1">#REF!</definedName>
    <definedName name="고">{#N/A,#N/A,FALSE,"REPORT"}</definedName>
    <definedName name="ㄶㅇ노ㅗㄶ호">{#N/A,#N/A,FALSE,"REPORT"}</definedName>
    <definedName name="ㄷㄷㄷㄷ" hidden="1">#REF!</definedName>
    <definedName name="미애">{#N/A,#N/A,FALSE,"REPORT"}</definedName>
    <definedName name="배부내역서2월"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三茶１０１７" hidden="1">{#N/A,#N/A,FALSE,"１";#N/A,#N/A,FALSE,"２";#N/A,#N/A,FALSE,"３";#N/A,#N/A,FALSE,"４"}</definedName>
    <definedName name="三茶PK1017" hidden="1">{"Actual",#N/A,FALSE,"(価格)";"Market",#N/A,FALSE,"(価格)";"Plan",#N/A,FALSE,"(価格)"}</definedName>
    <definedName name="九段南" hidden="1">{"Actual",#N/A,FALSE,"(価格)";"Market",#N/A,FALSE,"(価格)";"Plan",#N/A,FALSE,"(価格)"}</definedName>
    <definedName name="伊藤忠コムネット" hidden="1">{"Actual",#N/A,FALSE,"(価格)";"Market",#N/A,FALSE,"(価格)";"Plan",#N/A,FALSE,"(価格)"}</definedName>
    <definedName name="会社DDL">#REF!</definedName>
    <definedName name="会社リスト">#REF!</definedName>
    <definedName name="会計年度">#REF!</definedName>
    <definedName name="入力済" hidden="1">{"MonthlyRentRoll",#N/A,FALSE,"RentRoll"}</definedName>
    <definedName name="勘定科目テーブル">#REF!</definedName>
    <definedName name="収支" hidden="1">{"Actual",#N/A,FALSE,"(価格)";"Market",#N/A,FALSE,"(価格)";"Plan",#N/A,FALSE,"(価格)"}</definedName>
    <definedName name="収支２" hidden="1">{"ｹﾝﾄ（M)",#N/A,FALSE,"収支・日割";"ｹﾝﾄ（RD)",#N/A,FALSE,"収支・日割";"ｹﾝﾄ（PMC)",#N/A,FALSE,"収支・日割"}</definedName>
    <definedName name="取引科目">#REF!</definedName>
    <definedName name="在庫" hidden="1">{#N/A,#N/A,FALSE,"Aging Summary";#N/A,#N/A,FALSE,"Ratio Analysis";#N/A,#N/A,FALSE,"Test 120 Day Accts";#N/A,#N/A,FALSE,"Tickmarks"}</definedName>
    <definedName name="小石川" hidden="1">{#N/A,#N/A,FALSE,"１";#N/A,#N/A,FALSE,"２";#N/A,#N/A,FALSE,"３";#N/A,#N/A,FALSE,"４"}</definedName>
    <definedName name="決算月">#REF!</definedName>
    <definedName name="自社名">#REF!</definedName>
    <definedName name="金額変更案" hidden="1">{"p",#N/A,FALSE,"Sheet1";"p 2",#N/A,FALSE,"Sheet1";"p 3",#N/A,FALSE,"Sheet1"}</definedName>
    <definedName name="長谷工" hidden="1">{#N/A,#N/A,FALSE,"１";#N/A,#N/A,FALSE,"２";#N/A,#N/A,FALSE,"３";#N/A,#N/A,FALSE,"４"}</definedName>
    <definedName name="長谷工3" hidden="1">{"Actual",#N/A,FALSE,"(価格)";"Market",#N/A,FALSE,"(価格)";"Plan",#N/A,FALSE,"(価格)"}</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19" i="13" l="1"/>
  <c r="AZ172" i="13"/>
  <c r="BD288" i="7"/>
  <c r="BE288" i="7" s="1"/>
  <c r="BC288" i="7"/>
  <c r="BB288" i="7"/>
  <c r="AZ288" i="7"/>
  <c r="AZ155" i="13"/>
  <c r="BE143" i="13"/>
  <c r="BD143" i="13"/>
  <c r="BC143" i="13"/>
  <c r="BB143" i="13"/>
  <c r="T16" i="3"/>
  <c r="S16" i="3"/>
  <c r="R16" i="3"/>
  <c r="Q16" i="3"/>
  <c r="I24" i="53"/>
  <c r="J24" i="53" s="1"/>
  <c r="D24" i="53"/>
  <c r="L39" i="53" l="1"/>
  <c r="L27" i="53"/>
  <c r="I22" i="53"/>
  <c r="I23" i="53" l="1"/>
  <c r="I13" i="53"/>
  <c r="J13" i="53" s="1"/>
  <c r="L13" i="53" s="1"/>
  <c r="U14" i="53"/>
  <c r="P14" i="53"/>
  <c r="F70" i="63"/>
  <c r="G70" i="63"/>
  <c r="H70" i="63"/>
  <c r="I70" i="63"/>
  <c r="J70" i="63"/>
  <c r="K70" i="63"/>
  <c r="L70" i="63"/>
  <c r="E70" i="63"/>
  <c r="F38" i="63"/>
  <c r="G38" i="63"/>
  <c r="H38" i="63"/>
  <c r="I38" i="63"/>
  <c r="J38" i="63"/>
  <c r="K38" i="63"/>
  <c r="L38" i="63"/>
  <c r="E38" i="63"/>
  <c r="F65" i="63"/>
  <c r="G65" i="63"/>
  <c r="H65" i="63"/>
  <c r="I65" i="63"/>
  <c r="J65" i="63"/>
  <c r="K65" i="63"/>
  <c r="L65" i="63"/>
  <c r="E65" i="63"/>
  <c r="AZ787" i="7"/>
  <c r="I54" i="53" l="1"/>
  <c r="I55" i="53" s="1"/>
  <c r="I56" i="53" s="1"/>
  <c r="I57" i="53" s="1"/>
  <c r="I58" i="53" s="1"/>
  <c r="I59" i="53" s="1"/>
  <c r="H7" i="52"/>
  <c r="I29" i="53"/>
  <c r="I21" i="53"/>
  <c r="I19" i="53"/>
  <c r="L67" i="63" l="1"/>
  <c r="L34" i="63"/>
  <c r="F63" i="63"/>
  <c r="F64" i="63" s="1"/>
  <c r="G63" i="63"/>
  <c r="G64" i="63" s="1"/>
  <c r="H63" i="63"/>
  <c r="H64" i="63" s="1"/>
  <c r="I63" i="63"/>
  <c r="I64" i="63" s="1"/>
  <c r="J63" i="63"/>
  <c r="J64" i="63" s="1"/>
  <c r="K63" i="63"/>
  <c r="K64" i="63" s="1"/>
  <c r="L63" i="63"/>
  <c r="L64" i="63" s="1"/>
  <c r="E63" i="63"/>
  <c r="E64" i="63" s="1"/>
  <c r="K60" i="63"/>
  <c r="J60" i="63" s="1"/>
  <c r="Q18" i="3"/>
  <c r="Q5" i="3"/>
  <c r="F7" i="53"/>
  <c r="I60" i="63" l="1"/>
  <c r="J67" i="63"/>
  <c r="K67" i="63"/>
  <c r="H60" i="63" l="1"/>
  <c r="I67" i="63"/>
  <c r="G60" i="63" l="1"/>
  <c r="H67" i="63"/>
  <c r="F60" i="63" l="1"/>
  <c r="G67" i="63"/>
  <c r="E60" i="63" l="1"/>
  <c r="E67" i="63" s="1"/>
  <c r="F67" i="63"/>
  <c r="BN91" i="20" l="1"/>
  <c r="X17" i="47" l="1"/>
  <c r="X18" i="47"/>
  <c r="X19" i="47"/>
  <c r="W19" i="47"/>
  <c r="W18" i="47"/>
  <c r="W17" i="47"/>
  <c r="X16" i="47"/>
  <c r="W16" i="47"/>
  <c r="X9" i="47"/>
  <c r="AG699" i="42"/>
  <c r="AF699" i="42"/>
  <c r="AE699" i="42"/>
  <c r="AC699" i="42"/>
  <c r="AB699" i="42"/>
  <c r="AA699" i="42"/>
  <c r="Z699" i="42"/>
  <c r="X699" i="42"/>
  <c r="W699" i="42"/>
  <c r="V699" i="42"/>
  <c r="U699" i="42"/>
  <c r="Q699" i="42"/>
  <c r="R699" i="42"/>
  <c r="S699" i="42"/>
  <c r="P699" i="42"/>
  <c r="AM698" i="42"/>
  <c r="AL698" i="42"/>
  <c r="AK698" i="42"/>
  <c r="AJ698" i="42"/>
  <c r="AH698" i="42"/>
  <c r="AG698" i="42"/>
  <c r="AF698" i="42"/>
  <c r="AE698" i="42"/>
  <c r="AC698" i="42"/>
  <c r="AB698" i="42"/>
  <c r="AA698" i="42"/>
  <c r="Z698" i="42"/>
  <c r="X698" i="42"/>
  <c r="W698" i="42"/>
  <c r="V698" i="42"/>
  <c r="U698" i="42"/>
  <c r="Q698" i="42"/>
  <c r="R698" i="42"/>
  <c r="S698" i="42"/>
  <c r="P698" i="42"/>
  <c r="AY162" i="12"/>
  <c r="AZ70" i="44"/>
  <c r="V676" i="42"/>
  <c r="U676" i="42"/>
  <c r="W675" i="42"/>
  <c r="V675" i="42"/>
  <c r="U675" i="42"/>
  <c r="S676" i="42"/>
  <c r="R676" i="42"/>
  <c r="Q676" i="42"/>
  <c r="P676" i="42"/>
  <c r="S675" i="42"/>
  <c r="R675" i="42"/>
  <c r="Q675" i="42"/>
  <c r="P675" i="42"/>
  <c r="S18" i="3"/>
  <c r="R18" i="3"/>
  <c r="AZ27" i="44"/>
  <c r="AY109" i="43"/>
  <c r="AX109" i="43"/>
  <c r="AW109" i="43"/>
  <c r="AU109" i="43"/>
  <c r="AT109" i="43"/>
  <c r="AS109" i="43"/>
  <c r="AR109" i="43"/>
  <c r="AP109" i="43"/>
  <c r="AO109" i="43"/>
  <c r="P21" i="47" l="1"/>
  <c r="O21" i="47"/>
  <c r="N21" i="47"/>
  <c r="M21" i="47"/>
  <c r="Q21" i="47" s="1"/>
  <c r="I21" i="47"/>
  <c r="H21" i="47"/>
  <c r="D21" i="47"/>
  <c r="E21" i="47"/>
  <c r="F21" i="47"/>
  <c r="C21" i="47"/>
  <c r="BF57" i="44"/>
  <c r="BF58" i="44"/>
  <c r="BF59" i="44"/>
  <c r="BF60" i="44"/>
  <c r="P30" i="47"/>
  <c r="O30" i="47"/>
  <c r="N30" i="47"/>
  <c r="M30" i="47"/>
  <c r="P29" i="47"/>
  <c r="O29" i="47"/>
  <c r="N29" i="47"/>
  <c r="M29" i="47"/>
  <c r="P27" i="47"/>
  <c r="O27" i="47"/>
  <c r="N27" i="47"/>
  <c r="M27" i="47"/>
  <c r="P26" i="47"/>
  <c r="O26" i="47"/>
  <c r="N26" i="47"/>
  <c r="M26" i="47"/>
  <c r="P25" i="47"/>
  <c r="O25" i="47"/>
  <c r="N25" i="47"/>
  <c r="M25" i="47"/>
  <c r="P24" i="47"/>
  <c r="O24" i="47"/>
  <c r="N24" i="47"/>
  <c r="M24" i="47"/>
  <c r="P23" i="47"/>
  <c r="P22" i="47"/>
  <c r="N22" i="47"/>
  <c r="P18" i="47"/>
  <c r="O18" i="47"/>
  <c r="N18" i="47"/>
  <c r="P16" i="47"/>
  <c r="O16" i="47"/>
  <c r="N16" i="47"/>
  <c r="M16" i="47"/>
  <c r="O15" i="47"/>
  <c r="N14" i="47"/>
  <c r="P13" i="47"/>
  <c r="O13" i="47"/>
  <c r="N13" i="47"/>
  <c r="M13" i="47"/>
  <c r="P12" i="47"/>
  <c r="O12" i="47"/>
  <c r="N12" i="47"/>
  <c r="M12" i="47"/>
  <c r="P11" i="47"/>
  <c r="O11" i="47"/>
  <c r="N11" i="47"/>
  <c r="M11" i="47"/>
  <c r="P10" i="47"/>
  <c r="O10" i="47"/>
  <c r="N10" i="47"/>
  <c r="M10" i="47"/>
  <c r="W13" i="47" s="1"/>
  <c r="X13" i="47" s="1"/>
  <c r="P9" i="47"/>
  <c r="O9" i="47"/>
  <c r="N9" i="47"/>
  <c r="M9" i="47"/>
  <c r="K13" i="47"/>
  <c r="J13" i="47"/>
  <c r="I13" i="47"/>
  <c r="H13" i="47"/>
  <c r="K12" i="47"/>
  <c r="J12" i="47"/>
  <c r="I12" i="47"/>
  <c r="H12" i="47"/>
  <c r="D12" i="47"/>
  <c r="E12" i="47"/>
  <c r="F12" i="47"/>
  <c r="D13" i="47"/>
  <c r="E13" i="47"/>
  <c r="F13" i="47"/>
  <c r="C13" i="47"/>
  <c r="C12" i="47"/>
  <c r="F26" i="47"/>
  <c r="E26" i="47"/>
  <c r="D26" i="47"/>
  <c r="C26" i="47"/>
  <c r="F25" i="47"/>
  <c r="E25" i="47"/>
  <c r="D25" i="47"/>
  <c r="C25" i="47"/>
  <c r="K19" i="47"/>
  <c r="J19" i="47"/>
  <c r="I19" i="47"/>
  <c r="H19" i="47"/>
  <c r="D19" i="47"/>
  <c r="E19" i="47"/>
  <c r="F19" i="47"/>
  <c r="C19" i="47"/>
  <c r="K16" i="47"/>
  <c r="J16" i="47"/>
  <c r="I16" i="47"/>
  <c r="H16" i="47"/>
  <c r="F16" i="47"/>
  <c r="E16" i="47"/>
  <c r="D16" i="47"/>
  <c r="C16" i="47"/>
  <c r="K14" i="47"/>
  <c r="J14" i="47"/>
  <c r="I14" i="47"/>
  <c r="H14" i="47"/>
  <c r="F14" i="47"/>
  <c r="E14" i="47"/>
  <c r="D14" i="47"/>
  <c r="C14" i="47"/>
  <c r="F11" i="47"/>
  <c r="E11" i="47"/>
  <c r="D11" i="47"/>
  <c r="C11" i="47"/>
  <c r="G21" i="47" l="1"/>
  <c r="X675" i="42"/>
  <c r="Q9" i="47"/>
  <c r="G16" i="47"/>
  <c r="L12" i="47"/>
  <c r="L19" i="47"/>
  <c r="L14" i="47"/>
  <c r="G14" i="47"/>
  <c r="Q30" i="47"/>
  <c r="Q26" i="47"/>
  <c r="Q16" i="47"/>
  <c r="W7" i="47" s="1"/>
  <c r="X7" i="47" s="1"/>
  <c r="L13" i="47"/>
  <c r="G12" i="47"/>
  <c r="G13" i="47"/>
  <c r="Q29" i="47"/>
  <c r="Q24" i="47"/>
  <c r="Q25" i="47"/>
  <c r="Q10" i="47"/>
  <c r="L16" i="47"/>
  <c r="G25" i="47"/>
  <c r="G11" i="47"/>
  <c r="Q13" i="47"/>
  <c r="W11" i="47" s="1"/>
  <c r="X11" i="47" s="1"/>
  <c r="Q27" i="47"/>
  <c r="G19" i="47"/>
  <c r="Q12" i="47"/>
  <c r="Q11" i="47"/>
  <c r="G26" i="47"/>
  <c r="AZ169" i="13" l="1"/>
  <c r="BB152" i="13"/>
  <c r="AZ152" i="13"/>
  <c r="BB76" i="44"/>
  <c r="BB169" i="13"/>
  <c r="W630" i="42"/>
  <c r="V630" i="42"/>
  <c r="U630" i="42"/>
  <c r="S630" i="42"/>
  <c r="Q630" i="42"/>
  <c r="X628" i="42"/>
  <c r="W628" i="42"/>
  <c r="V628" i="42"/>
  <c r="U628" i="42"/>
  <c r="S628" i="42"/>
  <c r="R628" i="42"/>
  <c r="Q628" i="42"/>
  <c r="W627" i="42"/>
  <c r="V627" i="42"/>
  <c r="U627" i="42"/>
  <c r="R627" i="42"/>
  <c r="R630" i="42" s="1"/>
  <c r="S627" i="42"/>
  <c r="Q627" i="42"/>
  <c r="N601" i="42" l="1"/>
  <c r="M601" i="42"/>
  <c r="P22" i="66"/>
  <c r="P21" i="66"/>
  <c r="K22" i="66"/>
  <c r="K21" i="66"/>
  <c r="K7" i="66"/>
  <c r="J7" i="66"/>
  <c r="I7" i="66"/>
  <c r="I13" i="66" s="1"/>
  <c r="K6" i="66"/>
  <c r="K8" i="66" s="1"/>
  <c r="J6" i="66"/>
  <c r="I6" i="66"/>
  <c r="P7" i="66"/>
  <c r="O7" i="66"/>
  <c r="N7" i="66"/>
  <c r="N13" i="66" s="1"/>
  <c r="O13" i="66" s="1"/>
  <c r="O6" i="66"/>
  <c r="P6" i="66"/>
  <c r="N6" i="66"/>
  <c r="N12" i="66" s="1"/>
  <c r="O8" i="66" l="1"/>
  <c r="J13" i="66"/>
  <c r="K13" i="66" s="1"/>
  <c r="O12" i="66"/>
  <c r="P12" i="66" s="1"/>
  <c r="I8" i="66"/>
  <c r="N8" i="66"/>
  <c r="N9" i="66" s="1"/>
  <c r="O14" i="66"/>
  <c r="I12" i="66"/>
  <c r="P13" i="66"/>
  <c r="P14" i="66" s="1"/>
  <c r="P23" i="66" s="1"/>
  <c r="P8" i="66"/>
  <c r="P9" i="66" s="1"/>
  <c r="N14" i="66"/>
  <c r="J8" i="66"/>
  <c r="O9" i="66" s="1"/>
  <c r="I14" i="66" l="1"/>
  <c r="N15" i="66" s="1"/>
  <c r="J12" i="66"/>
  <c r="J14" i="66" l="1"/>
  <c r="O15" i="66" s="1"/>
  <c r="K12" i="66"/>
  <c r="K14" i="66" s="1"/>
  <c r="P15" i="66" l="1"/>
  <c r="K23" i="66"/>
  <c r="AZ58" i="44"/>
  <c r="BC313" i="14"/>
  <c r="BD313" i="14" s="1"/>
  <c r="BE313" i="14" s="1"/>
  <c r="BB313" i="14"/>
  <c r="AZ313" i="14"/>
  <c r="BB13" i="43"/>
  <c r="BA13" i="43"/>
  <c r="AZ13" i="43"/>
  <c r="AY13" i="43"/>
  <c r="AX13" i="43"/>
  <c r="AW13" i="43"/>
  <c r="AV13" i="43"/>
  <c r="AU13" i="43"/>
  <c r="AT13" i="43"/>
  <c r="AS13" i="43"/>
  <c r="AR13" i="43"/>
  <c r="BB160" i="43"/>
  <c r="BC160" i="43" s="1"/>
  <c r="BD160" i="43" s="1"/>
  <c r="BE160" i="43" s="1"/>
  <c r="AZ160" i="43"/>
  <c r="BA157" i="43"/>
  <c r="BB157" i="43" s="1"/>
  <c r="BC157" i="43" s="1"/>
  <c r="BD157" i="43" s="1"/>
  <c r="BE157" i="43" s="1"/>
  <c r="BF157" i="43" s="1"/>
  <c r="AV157" i="43"/>
  <c r="BC30" i="44"/>
  <c r="BF30" i="44" s="1"/>
  <c r="BA32" i="44"/>
  <c r="AX32" i="44"/>
  <c r="AY32" i="44"/>
  <c r="AZ32" i="44"/>
  <c r="AW32" i="44"/>
  <c r="BF61" i="44"/>
  <c r="BA62" i="44"/>
  <c r="AZ62" i="44"/>
  <c r="AY62" i="44"/>
  <c r="AX62" i="44"/>
  <c r="AW62" i="44"/>
  <c r="AV926" i="7"/>
  <c r="BF925" i="7"/>
  <c r="BE926" i="7"/>
  <c r="BE62" i="44" s="1"/>
  <c r="BD926" i="7"/>
  <c r="BD62" i="44" s="1"/>
  <c r="BC926" i="7"/>
  <c r="BC62" i="44" s="1"/>
  <c r="BC32" i="44" s="1"/>
  <c r="BB926" i="7"/>
  <c r="BB62" i="44" s="1"/>
  <c r="M14" i="47" s="1"/>
  <c r="BB924" i="7"/>
  <c r="BA926" i="7"/>
  <c r="BE32" i="44" l="1"/>
  <c r="P14" i="47"/>
  <c r="BD32" i="44"/>
  <c r="O14" i="47"/>
  <c r="Q14" i="47" s="1"/>
  <c r="W12" i="47" s="1"/>
  <c r="BC924" i="7"/>
  <c r="AO698" i="42"/>
  <c r="BC13" i="43"/>
  <c r="BD13" i="43"/>
  <c r="BE13" i="43"/>
  <c r="BF13" i="43" s="1"/>
  <c r="BF926" i="7"/>
  <c r="BF62" i="44"/>
  <c r="BB32" i="44"/>
  <c r="BF32" i="44" s="1"/>
  <c r="X12" i="47" l="1"/>
  <c r="W24" i="47"/>
  <c r="X24" i="47" s="1"/>
  <c r="BD924" i="7"/>
  <c r="AP698" i="42"/>
  <c r="AY339" i="11"/>
  <c r="AX339" i="11"/>
  <c r="AW339" i="11"/>
  <c r="AU339" i="11"/>
  <c r="AT339" i="11"/>
  <c r="AS339" i="11"/>
  <c r="AR339" i="11"/>
  <c r="AP339" i="11"/>
  <c r="AZ340" i="11"/>
  <c r="BB340" i="11" s="1"/>
  <c r="BC340" i="11" s="1"/>
  <c r="BD340" i="11" s="1"/>
  <c r="BE340" i="11" s="1"/>
  <c r="AY340" i="11"/>
  <c r="AX340" i="11"/>
  <c r="AW340" i="11"/>
  <c r="AU340" i="11"/>
  <c r="AT340" i="11"/>
  <c r="AS340" i="11"/>
  <c r="AR340" i="11"/>
  <c r="AP340" i="11"/>
  <c r="AY338" i="11"/>
  <c r="AX338" i="11"/>
  <c r="AW338" i="11"/>
  <c r="AU338" i="11"/>
  <c r="AT338" i="11"/>
  <c r="AS338" i="11"/>
  <c r="AR338" i="11"/>
  <c r="AP338" i="11"/>
  <c r="BB20" i="44"/>
  <c r="BE72" i="44"/>
  <c r="BD72" i="44"/>
  <c r="BC72" i="44"/>
  <c r="BB72" i="44"/>
  <c r="AZ23" i="13"/>
  <c r="AY165" i="13"/>
  <c r="AZ165" i="13"/>
  <c r="AX165" i="13"/>
  <c r="BF130" i="13"/>
  <c r="BE130" i="13"/>
  <c r="BD130" i="13"/>
  <c r="BC130" i="13"/>
  <c r="BB130" i="13"/>
  <c r="BB127" i="13"/>
  <c r="BC127" i="13"/>
  <c r="BD127" i="13"/>
  <c r="BE127" i="13"/>
  <c r="BF127" i="13"/>
  <c r="BF111" i="13"/>
  <c r="BF112" i="13"/>
  <c r="BF113" i="13"/>
  <c r="BF114" i="13"/>
  <c r="BF115" i="13"/>
  <c r="BF116" i="13"/>
  <c r="BF117" i="13"/>
  <c r="BF118" i="13"/>
  <c r="BF119" i="13"/>
  <c r="BF121" i="13"/>
  <c r="BF122" i="13"/>
  <c r="BF123" i="13"/>
  <c r="BF124" i="13"/>
  <c r="BF110" i="13"/>
  <c r="BF109" i="13"/>
  <c r="BF108" i="13"/>
  <c r="BF107" i="13"/>
  <c r="BF106" i="13"/>
  <c r="BF105" i="13"/>
  <c r="BF104" i="13"/>
  <c r="BF103" i="13"/>
  <c r="BC103" i="13"/>
  <c r="BD103" i="13" s="1"/>
  <c r="BE103" i="13" s="1"/>
  <c r="BC104" i="13"/>
  <c r="BD104" i="13"/>
  <c r="BE104" i="13" s="1"/>
  <c r="BC105" i="13"/>
  <c r="BD105" i="13"/>
  <c r="BE105" i="13" s="1"/>
  <c r="BC106" i="13"/>
  <c r="BD106" i="13"/>
  <c r="BE106" i="13"/>
  <c r="BC107" i="13"/>
  <c r="BD107" i="13" s="1"/>
  <c r="BE107" i="13" s="1"/>
  <c r="BC108" i="13"/>
  <c r="BD108" i="13"/>
  <c r="BE108" i="13"/>
  <c r="BC109" i="13"/>
  <c r="BD109" i="13"/>
  <c r="BE109" i="13" s="1"/>
  <c r="BC110" i="13"/>
  <c r="BD110" i="13" s="1"/>
  <c r="BE110" i="13" s="1"/>
  <c r="BC111" i="13"/>
  <c r="BD111" i="13"/>
  <c r="BE111" i="13"/>
  <c r="BC112" i="13"/>
  <c r="BD112" i="13"/>
  <c r="BE112" i="13"/>
  <c r="BC113" i="13"/>
  <c r="BD113" i="13"/>
  <c r="BE113" i="13"/>
  <c r="BC114" i="13"/>
  <c r="BD114" i="13"/>
  <c r="BE114" i="13"/>
  <c r="BC115" i="13"/>
  <c r="BD115" i="13"/>
  <c r="BE115" i="13"/>
  <c r="BC116" i="13"/>
  <c r="BD116" i="13" s="1"/>
  <c r="BE116" i="13" s="1"/>
  <c r="BC117" i="13"/>
  <c r="BD117" i="13"/>
  <c r="BE117" i="13"/>
  <c r="BC118" i="13"/>
  <c r="BD118" i="13"/>
  <c r="BE118" i="13"/>
  <c r="BC119" i="13"/>
  <c r="BD119" i="13"/>
  <c r="BE119" i="13"/>
  <c r="BC121" i="13"/>
  <c r="BD121" i="13"/>
  <c r="BE121" i="13"/>
  <c r="BC122" i="13"/>
  <c r="BD122" i="13"/>
  <c r="BE122" i="13"/>
  <c r="BC123" i="13"/>
  <c r="BD123" i="13"/>
  <c r="BE123" i="13"/>
  <c r="BC124" i="13"/>
  <c r="BD124" i="13"/>
  <c r="BE124" i="13" s="1"/>
  <c r="BA124" i="13"/>
  <c r="BB124" i="13" s="1"/>
  <c r="BB123" i="13"/>
  <c r="BB122" i="13"/>
  <c r="BB121" i="13"/>
  <c r="BB119" i="13"/>
  <c r="BB118" i="13"/>
  <c r="BB117" i="13"/>
  <c r="BB116" i="13"/>
  <c r="BB115" i="13"/>
  <c r="BB114" i="13"/>
  <c r="BB113" i="13"/>
  <c r="BB112" i="13"/>
  <c r="BB111" i="13"/>
  <c r="BB110" i="13"/>
  <c r="BB109" i="13"/>
  <c r="BB108" i="13"/>
  <c r="BB107" i="13"/>
  <c r="BB106" i="13"/>
  <c r="BB105" i="13"/>
  <c r="BB104" i="13"/>
  <c r="BB103" i="13"/>
  <c r="BC65" i="13"/>
  <c r="BD65" i="13" s="1"/>
  <c r="BE65" i="13" s="1"/>
  <c r="BF65" i="13" s="1"/>
  <c r="BB65" i="13"/>
  <c r="BB64" i="13"/>
  <c r="BC64" i="13" s="1"/>
  <c r="BD64" i="13" s="1"/>
  <c r="BE64" i="13" s="1"/>
  <c r="BF64" i="13" s="1"/>
  <c r="BB63" i="13"/>
  <c r="BC63" i="13" s="1"/>
  <c r="BD63" i="13" s="1"/>
  <c r="BE63" i="13" s="1"/>
  <c r="BF63" i="13" s="1"/>
  <c r="BB62" i="13"/>
  <c r="BC62" i="13" s="1"/>
  <c r="BD62" i="13" s="1"/>
  <c r="BE62" i="13" s="1"/>
  <c r="BF62" i="13" s="1"/>
  <c r="BB60" i="13"/>
  <c r="BC60" i="13" s="1"/>
  <c r="BD60" i="13" s="1"/>
  <c r="BE60" i="13" s="1"/>
  <c r="BF60" i="13" s="1"/>
  <c r="BB56" i="13"/>
  <c r="BC56" i="13"/>
  <c r="BD56" i="13" s="1"/>
  <c r="BE56" i="13" s="1"/>
  <c r="BF56" i="13" s="1"/>
  <c r="BB57" i="13"/>
  <c r="BC57" i="13"/>
  <c r="BD57" i="13"/>
  <c r="BE57" i="13"/>
  <c r="BF57" i="13"/>
  <c r="BB58" i="13"/>
  <c r="BC58" i="13"/>
  <c r="BD58" i="13"/>
  <c r="BE58" i="13"/>
  <c r="BF58" i="13"/>
  <c r="AZ55" i="13"/>
  <c r="AZ56" i="13"/>
  <c r="BF20" i="44" l="1"/>
  <c r="BB69" i="44"/>
  <c r="M18" i="47" s="1"/>
  <c r="Q18" i="47" s="1"/>
  <c r="BE924" i="7"/>
  <c r="AR698" i="42" s="1"/>
  <c r="AQ698" i="42"/>
  <c r="BF405" i="13" l="1"/>
  <c r="BA405" i="13"/>
  <c r="BF382" i="13"/>
  <c r="BA382" i="13"/>
  <c r="BC410" i="13"/>
  <c r="BD410" i="13" s="1"/>
  <c r="BE410" i="13" s="1"/>
  <c r="BB410" i="13"/>
  <c r="BB405" i="13"/>
  <c r="BC405" i="13" s="1"/>
  <c r="BD405" i="13" s="1"/>
  <c r="BE405" i="13" s="1"/>
  <c r="AY405" i="13"/>
  <c r="AY406" i="13" s="1"/>
  <c r="BB403" i="13"/>
  <c r="BB402" i="13"/>
  <c r="BB380" i="13"/>
  <c r="BC387" i="13"/>
  <c r="BD387" i="13" s="1"/>
  <c r="BE387" i="13" s="1"/>
  <c r="BB387" i="13"/>
  <c r="BD382" i="13"/>
  <c r="BE382" i="13"/>
  <c r="BC382" i="13"/>
  <c r="BB382" i="13"/>
  <c r="AY382" i="13"/>
  <c r="AY383" i="13" s="1"/>
  <c r="BB364" i="13"/>
  <c r="BC364" i="13" s="1"/>
  <c r="BD364" i="13" s="1"/>
  <c r="BE364" i="13" s="1"/>
  <c r="BB305" i="13"/>
  <c r="BE360" i="13"/>
  <c r="BD360" i="13"/>
  <c r="BC360" i="13"/>
  <c r="BB360" i="13"/>
  <c r="BB379" i="13"/>
  <c r="BB50" i="13" s="1"/>
  <c r="BB356" i="13"/>
  <c r="BA359" i="13"/>
  <c r="BB359" i="13" s="1"/>
  <c r="BC359" i="13" s="1"/>
  <c r="BD359" i="13" s="1"/>
  <c r="BE359" i="13" s="1"/>
  <c r="BF359" i="13" s="1"/>
  <c r="AY362" i="13"/>
  <c r="AY359" i="13"/>
  <c r="AY360" i="13" s="1"/>
  <c r="BB341" i="13"/>
  <c r="BC341" i="13" s="1"/>
  <c r="BD341" i="13" s="1"/>
  <c r="BE341" i="13" s="1"/>
  <c r="BB327" i="13"/>
  <c r="AY307" i="13"/>
  <c r="BB304" i="13"/>
  <c r="BB289" i="13"/>
  <c r="BC289" i="13" s="1"/>
  <c r="BD289" i="13" s="1"/>
  <c r="BE289" i="13" s="1"/>
  <c r="BA284" i="13"/>
  <c r="BB284" i="13" s="1"/>
  <c r="BB275" i="13"/>
  <c r="BC275" i="13" s="1"/>
  <c r="BD275" i="13" s="1"/>
  <c r="BE275" i="13" s="1"/>
  <c r="BA255" i="13"/>
  <c r="BB255" i="13" s="1"/>
  <c r="BB260" i="13"/>
  <c r="BC260" i="13" s="1"/>
  <c r="BD260" i="13" s="1"/>
  <c r="BE260" i="13" s="1"/>
  <c r="BC402" i="13" l="1"/>
  <c r="BB51" i="13"/>
  <c r="BC379" i="13"/>
  <c r="BC356" i="13"/>
  <c r="BB49" i="13"/>
  <c r="BC304" i="13"/>
  <c r="BB47" i="13"/>
  <c r="BC327" i="13"/>
  <c r="BB285" i="13"/>
  <c r="BC284" i="13"/>
  <c r="BB256" i="13"/>
  <c r="BC255" i="13"/>
  <c r="BD402" i="13" l="1"/>
  <c r="BC51" i="13"/>
  <c r="BC403" i="13"/>
  <c r="BD379" i="13"/>
  <c r="BC50" i="13"/>
  <c r="BC380" i="13"/>
  <c r="BD356" i="13"/>
  <c r="BC49" i="13"/>
  <c r="BD304" i="13"/>
  <c r="BC47" i="13"/>
  <c r="BC305" i="13"/>
  <c r="BD327" i="13"/>
  <c r="BC285" i="13"/>
  <c r="BD284" i="13"/>
  <c r="BD255" i="13"/>
  <c r="BC256" i="13"/>
  <c r="BE402" i="13" l="1"/>
  <c r="BD51" i="13"/>
  <c r="BD403" i="13"/>
  <c r="BE379" i="13"/>
  <c r="BD50" i="13"/>
  <c r="BD380" i="13"/>
  <c r="BE356" i="13"/>
  <c r="BE49" i="13" s="1"/>
  <c r="BF49" i="13" s="1"/>
  <c r="BD49" i="13"/>
  <c r="BE304" i="13"/>
  <c r="BD47" i="13"/>
  <c r="BD305" i="13"/>
  <c r="BE327" i="13"/>
  <c r="BD285" i="13"/>
  <c r="BE284" i="13"/>
  <c r="BE255" i="13"/>
  <c r="BD256" i="13"/>
  <c r="BE51" i="13" l="1"/>
  <c r="BF51" i="13" s="1"/>
  <c r="BE403" i="13"/>
  <c r="BE50" i="13"/>
  <c r="BF50" i="13" s="1"/>
  <c r="BE380" i="13"/>
  <c r="BE47" i="13"/>
  <c r="BF47" i="13" s="1"/>
  <c r="BE305" i="13"/>
  <c r="BE285" i="13"/>
  <c r="BF284" i="13"/>
  <c r="BF255" i="13"/>
  <c r="BE256" i="13"/>
  <c r="BB246" i="13" l="1"/>
  <c r="BC246" i="13" s="1"/>
  <c r="BD246" i="13" s="1"/>
  <c r="BE246" i="13" s="1"/>
  <c r="BB231" i="13"/>
  <c r="BC231" i="13" s="1"/>
  <c r="BD231" i="13" s="1"/>
  <c r="BE231" i="13" s="1"/>
  <c r="BB227" i="13"/>
  <c r="BC226" i="13"/>
  <c r="BD226" i="13"/>
  <c r="BE226" i="13"/>
  <c r="BB226" i="13"/>
  <c r="BF226" i="13"/>
  <c r="BA226" i="13"/>
  <c r="BB217" i="13"/>
  <c r="BC217" i="13" s="1"/>
  <c r="BD217" i="13" s="1"/>
  <c r="BE217" i="13" s="1"/>
  <c r="AY11" i="13"/>
  <c r="AY12" i="13" s="1"/>
  <c r="AY10" i="13"/>
  <c r="AY24" i="13"/>
  <c r="AY25" i="13"/>
  <c r="BF168" i="13"/>
  <c r="BE168" i="13"/>
  <c r="BD168" i="13"/>
  <c r="BC168" i="13"/>
  <c r="BB168" i="13"/>
  <c r="BF169" i="13"/>
  <c r="BE169" i="13"/>
  <c r="BD169" i="13"/>
  <c r="BC169" i="13"/>
  <c r="BA169" i="13"/>
  <c r="BF164" i="13"/>
  <c r="BF163" i="13"/>
  <c r="AW153" i="13"/>
  <c r="AW152" i="13"/>
  <c r="BC227" i="13" l="1"/>
  <c r="BB148" i="13"/>
  <c r="BC148" i="13"/>
  <c r="BD148" i="13"/>
  <c r="BE148" i="13"/>
  <c r="BF148" i="13" s="1"/>
  <c r="BB149" i="13"/>
  <c r="BC149" i="13" s="1"/>
  <c r="BD149" i="13" s="1"/>
  <c r="BE149" i="13" s="1"/>
  <c r="BF149" i="13" s="1"/>
  <c r="BF147" i="13"/>
  <c r="BC147" i="13"/>
  <c r="BD147" i="13" s="1"/>
  <c r="BE147" i="13" s="1"/>
  <c r="BB147" i="13"/>
  <c r="BF146" i="13"/>
  <c r="BC146" i="13"/>
  <c r="BD146" i="13" s="1"/>
  <c r="BE146" i="13" s="1"/>
  <c r="BB146" i="13"/>
  <c r="BD75" i="44"/>
  <c r="O23" i="47" s="1"/>
  <c r="BC75" i="44"/>
  <c r="N23" i="47" s="1"/>
  <c r="BB75" i="44"/>
  <c r="M23" i="47" s="1"/>
  <c r="Q19" i="3"/>
  <c r="T7" i="63"/>
  <c r="R8" i="63"/>
  <c r="R19" i="3" l="1"/>
  <c r="Q23" i="47"/>
  <c r="W15" i="47" s="1"/>
  <c r="X15" i="47" s="1"/>
  <c r="BE227" i="13"/>
  <c r="BD227" i="13"/>
  <c r="S19" i="3" l="1"/>
  <c r="T6" i="63"/>
  <c r="T5" i="63"/>
  <c r="T4" i="63"/>
  <c r="T3" i="63"/>
  <c r="T8" i="63" s="1"/>
  <c r="T19" i="3" l="1"/>
  <c r="S8" i="63"/>
  <c r="AZ184" i="13" l="1"/>
  <c r="BA184" i="13" s="1"/>
  <c r="BB191" i="13"/>
  <c r="BB188" i="13"/>
  <c r="BC188" i="13" s="1"/>
  <c r="BF69" i="44"/>
  <c r="BC27" i="44"/>
  <c r="BC21" i="43" s="1"/>
  <c r="BD21" i="43" s="1"/>
  <c r="BE21" i="43" s="1"/>
  <c r="BF21" i="43" s="1"/>
  <c r="BE27" i="44"/>
  <c r="BE26" i="44"/>
  <c r="BD26" i="44"/>
  <c r="BC26" i="44"/>
  <c r="BB26" i="44"/>
  <c r="BB787" i="7" s="1"/>
  <c r="BD76" i="44"/>
  <c r="BF76" i="44" s="1"/>
  <c r="BD77" i="44"/>
  <c r="BF64" i="44"/>
  <c r="BF72" i="44"/>
  <c r="BF75" i="44"/>
  <c r="BF78" i="44"/>
  <c r="BF79" i="44"/>
  <c r="BF81" i="44"/>
  <c r="BF82" i="44"/>
  <c r="AY63" i="44"/>
  <c r="AW63" i="44"/>
  <c r="AU63" i="44"/>
  <c r="AZ112" i="44"/>
  <c r="AY112" i="44"/>
  <c r="AT112" i="44"/>
  <c r="AS112" i="44"/>
  <c r="AR112" i="44"/>
  <c r="AW112" i="44"/>
  <c r="AX112" i="44"/>
  <c r="BA111" i="44"/>
  <c r="BA110" i="44"/>
  <c r="BA112" i="44" s="1"/>
  <c r="AV110" i="44"/>
  <c r="AV112" i="44" s="1"/>
  <c r="AU112" i="44"/>
  <c r="AY64" i="44"/>
  <c r="BA64" i="44" s="1"/>
  <c r="BB791" i="7" l="1"/>
  <c r="BC787" i="7"/>
  <c r="BD27" i="44"/>
  <c r="BD18" i="43" s="1"/>
  <c r="BE18" i="43" s="1"/>
  <c r="BF18" i="43" s="1"/>
  <c r="BF27" i="44"/>
  <c r="BF26" i="44"/>
  <c r="BB194" i="13"/>
  <c r="BD188" i="13"/>
  <c r="BC191" i="13"/>
  <c r="BB192" i="13"/>
  <c r="BD787" i="7" l="1"/>
  <c r="BD791" i="7" s="1"/>
  <c r="BC791" i="7"/>
  <c r="BC192" i="13"/>
  <c r="BD191" i="13"/>
  <c r="BD194" i="13"/>
  <c r="BE188" i="13"/>
  <c r="BC194" i="13"/>
  <c r="BC195" i="13" l="1"/>
  <c r="BD195" i="13"/>
  <c r="BE191" i="13"/>
  <c r="BE192" i="13" s="1"/>
  <c r="BD192" i="13"/>
  <c r="BE194" i="13" l="1"/>
  <c r="BE195" i="13" l="1"/>
  <c r="BF20" i="43" l="1"/>
  <c r="BA20" i="43"/>
  <c r="AV20" i="43"/>
  <c r="BF15" i="43"/>
  <c r="BF9" i="43"/>
  <c r="BF6" i="43"/>
  <c r="BA172" i="43"/>
  <c r="BB172" i="43" s="1"/>
  <c r="BB124" i="43"/>
  <c r="BC124" i="43" s="1"/>
  <c r="BD124" i="43" s="1"/>
  <c r="BE124" i="43" s="1"/>
  <c r="BF124" i="43" s="1"/>
  <c r="BC172" i="43" l="1"/>
  <c r="BD172" i="43" s="1"/>
  <c r="BE172" i="43" s="1"/>
  <c r="BF172" i="43" s="1"/>
  <c r="H3" i="65" l="1"/>
  <c r="I3" i="65" s="1"/>
  <c r="H4" i="65"/>
  <c r="H5" i="65"/>
  <c r="I5" i="65" s="1"/>
  <c r="H47" i="65"/>
  <c r="I47" i="65" s="1"/>
  <c r="H51" i="65"/>
  <c r="I51" i="65" s="1"/>
  <c r="H46" i="65"/>
  <c r="I46" i="65" s="1"/>
  <c r="H45" i="65"/>
  <c r="I45" i="65" s="1"/>
  <c r="H44" i="65"/>
  <c r="I44" i="65" s="1"/>
  <c r="H43" i="65"/>
  <c r="I43" i="65" s="1"/>
  <c r="H42" i="65"/>
  <c r="I42" i="65" s="1"/>
  <c r="H41" i="65"/>
  <c r="I41" i="65" s="1"/>
  <c r="H40" i="65"/>
  <c r="I40" i="65" s="1"/>
  <c r="H39" i="65"/>
  <c r="I39" i="65" s="1"/>
  <c r="H38" i="65"/>
  <c r="I38" i="65" s="1"/>
  <c r="H37" i="65"/>
  <c r="I37" i="65" s="1"/>
  <c r="H36" i="65"/>
  <c r="I36" i="65" s="1"/>
  <c r="H35" i="65"/>
  <c r="I35" i="65" s="1"/>
  <c r="H34" i="65"/>
  <c r="I34" i="65" s="1"/>
  <c r="H33" i="65"/>
  <c r="I33" i="65" s="1"/>
  <c r="H32" i="65"/>
  <c r="I32" i="65" s="1"/>
  <c r="H31" i="65"/>
  <c r="I31" i="65" s="1"/>
  <c r="H30" i="65"/>
  <c r="I30" i="65" s="1"/>
  <c r="H29" i="65"/>
  <c r="I29" i="65" s="1"/>
  <c r="H28" i="65"/>
  <c r="I28" i="65" s="1"/>
  <c r="H27" i="65"/>
  <c r="I27" i="65" s="1"/>
  <c r="H26" i="65"/>
  <c r="I26" i="65" s="1"/>
  <c r="H25" i="65"/>
  <c r="I25" i="65" s="1"/>
  <c r="H24" i="65"/>
  <c r="I24" i="65" s="1"/>
  <c r="H23" i="65"/>
  <c r="I23" i="65" s="1"/>
  <c r="H22" i="65"/>
  <c r="I22" i="65" s="1"/>
  <c r="H21" i="65"/>
  <c r="I21" i="65" s="1"/>
  <c r="H20" i="65"/>
  <c r="I20" i="65" s="1"/>
  <c r="H19" i="65"/>
  <c r="I19" i="65" s="1"/>
  <c r="H18" i="65"/>
  <c r="I18" i="65" s="1"/>
  <c r="H17" i="65"/>
  <c r="I17" i="65" s="1"/>
  <c r="H16" i="65"/>
  <c r="I16" i="65" s="1"/>
  <c r="H15" i="65"/>
  <c r="I15" i="65" s="1"/>
  <c r="H14" i="65"/>
  <c r="I14" i="65" s="1"/>
  <c r="H13" i="65"/>
  <c r="I13" i="65" s="1"/>
  <c r="H12" i="65"/>
  <c r="I12" i="65" s="1"/>
  <c r="H11" i="65"/>
  <c r="I11" i="65" s="1"/>
  <c r="H10" i="65"/>
  <c r="I10" i="65" s="1"/>
  <c r="H9" i="65"/>
  <c r="I9" i="65" s="1"/>
  <c r="H8" i="65"/>
  <c r="I8" i="65" s="1"/>
  <c r="K7" i="65"/>
  <c r="K8" i="65" s="1"/>
  <c r="K9" i="65" s="1"/>
  <c r="H7" i="65"/>
  <c r="BE105" i="44" s="1"/>
  <c r="BE63" i="44" s="1"/>
  <c r="P15" i="47" s="1"/>
  <c r="H6" i="65"/>
  <c r="I6" i="65" s="1"/>
  <c r="L3" i="65"/>
  <c r="H2" i="65"/>
  <c r="L5" i="65" s="1"/>
  <c r="BE77" i="44"/>
  <c r="BC77" i="44"/>
  <c r="BB77" i="44"/>
  <c r="BF77" i="44" s="1"/>
  <c r="BD63" i="44"/>
  <c r="BC105" i="44" l="1"/>
  <c r="BC63" i="44" s="1"/>
  <c r="N15" i="47" s="1"/>
  <c r="I4" i="65"/>
  <c r="I2" i="65"/>
  <c r="H48" i="65"/>
  <c r="J13" i="65"/>
  <c r="BB105" i="44"/>
  <c r="BB63" i="44" s="1"/>
  <c r="M15" i="47" s="1"/>
  <c r="Q15" i="47" s="1"/>
  <c r="I7" i="65"/>
  <c r="M5" i="65"/>
  <c r="BF63" i="44" l="1"/>
  <c r="I48" i="65"/>
  <c r="K13" i="65"/>
  <c r="L11" i="65"/>
  <c r="M11" i="65" s="1"/>
  <c r="J52" i="65" l="1"/>
  <c r="I49" i="65"/>
  <c r="BF28" i="44" l="1"/>
  <c r="BE25" i="44"/>
  <c r="BE74" i="44" s="1"/>
  <c r="BC25" i="44"/>
  <c r="BC74" i="44" s="1"/>
  <c r="BE16" i="44"/>
  <c r="BE65" i="44" s="1"/>
  <c r="BC16" i="44"/>
  <c r="BC65" i="44" s="1"/>
  <c r="AZ69" i="44" l="1"/>
  <c r="AW69" i="44"/>
  <c r="AU69" i="44"/>
  <c r="AX308" i="11"/>
  <c r="AY292" i="11"/>
  <c r="AY315" i="11" s="1"/>
  <c r="BB293" i="11"/>
  <c r="BC293" i="11" s="1"/>
  <c r="BD293" i="11" s="1"/>
  <c r="BE293" i="11" s="1"/>
  <c r="AY293" i="11"/>
  <c r="AY314" i="11" s="1"/>
  <c r="BF287" i="11"/>
  <c r="BE137" i="44"/>
  <c r="BC137" i="44"/>
  <c r="BD130" i="44"/>
  <c r="BB130" i="44"/>
  <c r="AY20" i="44"/>
  <c r="AY69" i="44" s="1"/>
  <c r="AY60" i="44" l="1"/>
  <c r="BA60" i="44" s="1"/>
  <c r="AU60" i="44"/>
  <c r="BN152" i="20"/>
  <c r="W601" i="42" s="1"/>
  <c r="AY31" i="44" l="1"/>
  <c r="BA31" i="44" s="1"/>
  <c r="AY318" i="14"/>
  <c r="AX318" i="14"/>
  <c r="AY315" i="14"/>
  <c r="AX315" i="14"/>
  <c r="AY313" i="14"/>
  <c r="AX313" i="14"/>
  <c r="AY308" i="14"/>
  <c r="AX308" i="14"/>
  <c r="AW308" i="14"/>
  <c r="AY302" i="14"/>
  <c r="AX302" i="14"/>
  <c r="AY297" i="14"/>
  <c r="AX297" i="14"/>
  <c r="AW297" i="14"/>
  <c r="AW290" i="14"/>
  <c r="AW291" i="14" s="1"/>
  <c r="AW289" i="14"/>
  <c r="AW288" i="14"/>
  <c r="AY281" i="14"/>
  <c r="AX281" i="14"/>
  <c r="AW281" i="14"/>
  <c r="AY280" i="14"/>
  <c r="AY282" i="14" s="1"/>
  <c r="AX280" i="14"/>
  <c r="AX282" i="14" s="1"/>
  <c r="AW280" i="14"/>
  <c r="AW282" i="14" s="1"/>
  <c r="AY264" i="14"/>
  <c r="AX264" i="14"/>
  <c r="AW264" i="14"/>
  <c r="AW294" i="14" s="1"/>
  <c r="AW302" i="14" s="1"/>
  <c r="AY263" i="14"/>
  <c r="AY285" i="14" s="1"/>
  <c r="AX263" i="14"/>
  <c r="AX285" i="14" s="1"/>
  <c r="AW263" i="14"/>
  <c r="AW285" i="14" s="1"/>
  <c r="AX254" i="14"/>
  <c r="AX253" i="14"/>
  <c r="AX252" i="14"/>
  <c r="AX251" i="14"/>
  <c r="AY53" i="14"/>
  <c r="AY52" i="14"/>
  <c r="AY51" i="14"/>
  <c r="AY50" i="14"/>
  <c r="AY49" i="14"/>
  <c r="AY48" i="14"/>
  <c r="AY56" i="14" s="1"/>
  <c r="AY57" i="14" s="1"/>
  <c r="AY46" i="14"/>
  <c r="AY30" i="14"/>
  <c r="AY27" i="14"/>
  <c r="AY26" i="14"/>
  <c r="AY24" i="14"/>
  <c r="AY23" i="14"/>
  <c r="AY22" i="14"/>
  <c r="AY20" i="14"/>
  <c r="AY18" i="14"/>
  <c r="AY200" i="14"/>
  <c r="BY182" i="14"/>
  <c r="AW293" i="14" l="1"/>
  <c r="AW284" i="14"/>
  <c r="AY284" i="14"/>
  <c r="AX284" i="14"/>
  <c r="AY54" i="14"/>
  <c r="BY136" i="14"/>
  <c r="AY98" i="14" l="1"/>
  <c r="AY95" i="14"/>
  <c r="AY980" i="7" l="1"/>
  <c r="AY977" i="7"/>
  <c r="AY975" i="7"/>
  <c r="AY1097" i="7"/>
  <c r="AY1100" i="7" s="1"/>
  <c r="AY1093" i="7"/>
  <c r="AY1092" i="7" s="1"/>
  <c r="AY971" i="7"/>
  <c r="AY1036" i="7"/>
  <c r="AY1035" i="7"/>
  <c r="AY1031" i="7"/>
  <c r="AY1029" i="7"/>
  <c r="AY1074" i="7"/>
  <c r="AY1071" i="7"/>
  <c r="AY302" i="7" s="1"/>
  <c r="AY966" i="7"/>
  <c r="AY956" i="7"/>
  <c r="AY959" i="7" s="1"/>
  <c r="AY952" i="7"/>
  <c r="AY951" i="7" s="1"/>
  <c r="AY846" i="7"/>
  <c r="AY845" i="7"/>
  <c r="AY900" i="7"/>
  <c r="AY901" i="7"/>
  <c r="AY903" i="7" s="1"/>
  <c r="AY893" i="7"/>
  <c r="AY892" i="7"/>
  <c r="AY887" i="7"/>
  <c r="AY877" i="7"/>
  <c r="AY876" i="7"/>
  <c r="AY869" i="7"/>
  <c r="AY780" i="7"/>
  <c r="AY961" i="7" l="1"/>
  <c r="AY293" i="7"/>
  <c r="AY295" i="7" s="1"/>
  <c r="AY989" i="7"/>
  <c r="AY902" i="7"/>
  <c r="AY280" i="11" l="1"/>
  <c r="AY269" i="11" s="1"/>
  <c r="AY230" i="11"/>
  <c r="AY270" i="11" s="1"/>
  <c r="AY228" i="11"/>
  <c r="AY221" i="11"/>
  <c r="AY220" i="11"/>
  <c r="AY219" i="11"/>
  <c r="AY218" i="11"/>
  <c r="AY210" i="11"/>
  <c r="AY248" i="11" s="1"/>
  <c r="AY156" i="11"/>
  <c r="AY148" i="11"/>
  <c r="AY138" i="11"/>
  <c r="AY64" i="11"/>
  <c r="AY235" i="11" s="1"/>
  <c r="AY275" i="11" l="1"/>
  <c r="AY163" i="11"/>
  <c r="AY200" i="11" s="1"/>
  <c r="AY305" i="14"/>
  <c r="AY258" i="11"/>
  <c r="AY75" i="11"/>
  <c r="AY259" i="11"/>
  <c r="AY260" i="11"/>
  <c r="AY261" i="11"/>
  <c r="AY268" i="11"/>
  <c r="AY185" i="11"/>
  <c r="AY192" i="11"/>
  <c r="AY171" i="11"/>
  <c r="AY196" i="11"/>
  <c r="AY172" i="11"/>
  <c r="AY173" i="11"/>
  <c r="AY302" i="11" s="1"/>
  <c r="AY181" i="11"/>
  <c r="AY183" i="11"/>
  <c r="AY184" i="11"/>
  <c r="AY188" i="11"/>
  <c r="AY123" i="11"/>
  <c r="AY174" i="11"/>
  <c r="AY140" i="11"/>
  <c r="AY177" i="11" s="1"/>
  <c r="AY190" i="11"/>
  <c r="AY195" i="11"/>
  <c r="AY197" i="11"/>
  <c r="AY175" i="11"/>
  <c r="AY178" i="11"/>
  <c r="AY182" i="11"/>
  <c r="AY189" i="11"/>
  <c r="AY191" i="11"/>
  <c r="AY99" i="11"/>
  <c r="AY103" i="11"/>
  <c r="AY104" i="11"/>
  <c r="AY105" i="11"/>
  <c r="AY106" i="11"/>
  <c r="AY126" i="11"/>
  <c r="AY85" i="11"/>
  <c r="AY92" i="11"/>
  <c r="AY122" i="11"/>
  <c r="AY110" i="11"/>
  <c r="AY111" i="11"/>
  <c r="AY84" i="11"/>
  <c r="AY116" i="11"/>
  <c r="AY118" i="11"/>
  <c r="AY96" i="11"/>
  <c r="AY97" i="11"/>
  <c r="AY125" i="11"/>
  <c r="AY112" i="11"/>
  <c r="AY117" i="11"/>
  <c r="AY89" i="11"/>
  <c r="AY121" i="11"/>
  <c r="AY98" i="11"/>
  <c r="AY76" i="11"/>
  <c r="AY77" i="11"/>
  <c r="AY78" i="11"/>
  <c r="AY164" i="11" l="1"/>
  <c r="AY83" i="44"/>
  <c r="AY301" i="11"/>
  <c r="AY81" i="11"/>
  <c r="AY198" i="11"/>
  <c r="AY303" i="11" l="1"/>
  <c r="AY9" i="44"/>
  <c r="AY54" i="11"/>
  <c r="AY47" i="11"/>
  <c r="AY226" i="11" s="1"/>
  <c r="AY266" i="11" s="1"/>
  <c r="AY40" i="11"/>
  <c r="AY30" i="11"/>
  <c r="AY26" i="11"/>
  <c r="AY21" i="11"/>
  <c r="AY346" i="7"/>
  <c r="AY332" i="7" s="1"/>
  <c r="AY567" i="7"/>
  <c r="AY520" i="7"/>
  <c r="AY514" i="7"/>
  <c r="AY516" i="7" s="1"/>
  <c r="AY491" i="7"/>
  <c r="AY384" i="7"/>
  <c r="AY401" i="7" s="1"/>
  <c r="AY372" i="7"/>
  <c r="AY447" i="7" s="1"/>
  <c r="AY326" i="7"/>
  <c r="AY323" i="7" s="1"/>
  <c r="AY312" i="7"/>
  <c r="AY324" i="7" s="1"/>
  <c r="AY192" i="7"/>
  <c r="AY189" i="7"/>
  <c r="AY167" i="7"/>
  <c r="AY148" i="7"/>
  <c r="AY685" i="7"/>
  <c r="AY682" i="7"/>
  <c r="AX682" i="7"/>
  <c r="AY680" i="7"/>
  <c r="AX680" i="7"/>
  <c r="BN31" i="20"/>
  <c r="AY647" i="7"/>
  <c r="AY666" i="7" s="1"/>
  <c r="AY737" i="7"/>
  <c r="AY736" i="7"/>
  <c r="AY720" i="7"/>
  <c r="AY733" i="7"/>
  <c r="AY732" i="7"/>
  <c r="AY738" i="7" s="1"/>
  <c r="AY727" i="7"/>
  <c r="AY717" i="7"/>
  <c r="AY721" i="7" s="1"/>
  <c r="AY708" i="7"/>
  <c r="AY699" i="7"/>
  <c r="AY698" i="7"/>
  <c r="AY697" i="7"/>
  <c r="AY694" i="7"/>
  <c r="AY237" i="7"/>
  <c r="AY223" i="7"/>
  <c r="AY217" i="7"/>
  <c r="AY218" i="7" s="1"/>
  <c r="AY214" i="7"/>
  <c r="AY102" i="7"/>
  <c r="AY634" i="7" s="1"/>
  <c r="AT22" i="7"/>
  <c r="AY22" i="7"/>
  <c r="AZ104" i="13"/>
  <c r="BA104" i="13" s="1"/>
  <c r="AZ106" i="13"/>
  <c r="AZ108" i="13"/>
  <c r="AZ103" i="13"/>
  <c r="AX68" i="13"/>
  <c r="AW68" i="13"/>
  <c r="AZ260" i="13"/>
  <c r="AZ256" i="13" s="1"/>
  <c r="AZ247" i="13"/>
  <c r="AZ249" i="13"/>
  <c r="AY249" i="13"/>
  <c r="AY252" i="13" s="1"/>
  <c r="AY255" i="13" s="1"/>
  <c r="AY256" i="13" s="1"/>
  <c r="AY220" i="13"/>
  <c r="AY229" i="13"/>
  <c r="AZ231" i="13"/>
  <c r="AZ227" i="13" s="1"/>
  <c r="AZ220" i="13"/>
  <c r="BB220" i="13" s="1"/>
  <c r="AY278" i="13"/>
  <c r="AZ218" i="13"/>
  <c r="AY174" i="13"/>
  <c r="AY157" i="13"/>
  <c r="AY179" i="13"/>
  <c r="AY178" i="13"/>
  <c r="AT150" i="13"/>
  <c r="AU152" i="13" s="1"/>
  <c r="AV152" i="13" s="1"/>
  <c r="AX152" i="13" s="1"/>
  <c r="AY152" i="13" s="1"/>
  <c r="BA152" i="13" s="1"/>
  <c r="BC152" i="13" s="1"/>
  <c r="BD152" i="13" s="1"/>
  <c r="BE152" i="13" s="1"/>
  <c r="BF152" i="13" s="1"/>
  <c r="AY169" i="13"/>
  <c r="AX169" i="13"/>
  <c r="AW169" i="13"/>
  <c r="AU169" i="13"/>
  <c r="AV169" i="13" s="1"/>
  <c r="AY459" i="7" l="1"/>
  <c r="AY496" i="7" s="1"/>
  <c r="AY665" i="7"/>
  <c r="AY119" i="7"/>
  <c r="AY632" i="7"/>
  <c r="AY633" i="7"/>
  <c r="AY739" i="7"/>
  <c r="AY390" i="7"/>
  <c r="AY465" i="7" s="1"/>
  <c r="AY228" i="7"/>
  <c r="AY924" i="7"/>
  <c r="AZ252" i="13"/>
  <c r="AZ253" i="13" s="1"/>
  <c r="BB249" i="13"/>
  <c r="BB221" i="13"/>
  <c r="BB223" i="13"/>
  <c r="BC220" i="13"/>
  <c r="AY79" i="11"/>
  <c r="AY287" i="11" s="1"/>
  <c r="AY8" i="44" s="1"/>
  <c r="AY10" i="44" s="1"/>
  <c r="AY215" i="11"/>
  <c r="AY253" i="11" s="1"/>
  <c r="AY207" i="11"/>
  <c r="AY86" i="11"/>
  <c r="AY265" i="14"/>
  <c r="AY277" i="14" s="1"/>
  <c r="AY276" i="14" s="1"/>
  <c r="AY208" i="11"/>
  <c r="AY246" i="11" s="1"/>
  <c r="AY298" i="14"/>
  <c r="AY209" i="11"/>
  <c r="AY247" i="11" s="1"/>
  <c r="AY100" i="11"/>
  <c r="AY222" i="11"/>
  <c r="AY113" i="11"/>
  <c r="AY227" i="11"/>
  <c r="AY267" i="11" s="1"/>
  <c r="AY33" i="11"/>
  <c r="AY90" i="11"/>
  <c r="AY60" i="11"/>
  <c r="AY107" i="11"/>
  <c r="AY765" i="7"/>
  <c r="AY229" i="7"/>
  <c r="AY230" i="7"/>
  <c r="AY297" i="7" s="1"/>
  <c r="AY299" i="7" s="1"/>
  <c r="AY300" i="7" s="1"/>
  <c r="AY222" i="7"/>
  <c r="AY248" i="7" s="1"/>
  <c r="AY232" i="7"/>
  <c r="AZ221" i="13"/>
  <c r="AY97" i="7"/>
  <c r="AZ223" i="13"/>
  <c r="AZ44" i="13" s="1"/>
  <c r="AZ229" i="13" s="1"/>
  <c r="BA103" i="13"/>
  <c r="AZ250" i="13"/>
  <c r="AY223" i="13"/>
  <c r="AZ45" i="13" l="1"/>
  <c r="BA45" i="13" s="1"/>
  <c r="AY36" i="44"/>
  <c r="AY348" i="11"/>
  <c r="AY962" i="7"/>
  <c r="AY963" i="7" s="1"/>
  <c r="AY965" i="7" s="1"/>
  <c r="AY231" i="7"/>
  <c r="AY260" i="7"/>
  <c r="AY409" i="7"/>
  <c r="AY504" i="7" s="1"/>
  <c r="BC223" i="13"/>
  <c r="BD220" i="13"/>
  <c r="BC221" i="13"/>
  <c r="BB44" i="13"/>
  <c r="BB224" i="13"/>
  <c r="BB250" i="13"/>
  <c r="BB252" i="13"/>
  <c r="BC249" i="13"/>
  <c r="AY119" i="11"/>
  <c r="AY231" i="11"/>
  <c r="AY300" i="14"/>
  <c r="AY303" i="14" s="1"/>
  <c r="AY306" i="14" s="1"/>
  <c r="AY211" i="11"/>
  <c r="AY214" i="11"/>
  <c r="AY252" i="11" s="1"/>
  <c r="AY245" i="11"/>
  <c r="AY223" i="11"/>
  <c r="AY262" i="11"/>
  <c r="AY263" i="11" s="1"/>
  <c r="AY93" i="11"/>
  <c r="AY68" i="11"/>
  <c r="AY234" i="7"/>
  <c r="AY235" i="7" s="1"/>
  <c r="AY224" i="7"/>
  <c r="BA44" i="13"/>
  <c r="AY226" i="13"/>
  <c r="AY227" i="13" s="1"/>
  <c r="AZ224" i="13"/>
  <c r="BB45" i="13" l="1"/>
  <c r="BB253" i="13"/>
  <c r="BD223" i="13"/>
  <c r="BD221" i="13"/>
  <c r="BE220" i="13"/>
  <c r="BC252" i="13"/>
  <c r="BC250" i="13"/>
  <c r="BD249" i="13"/>
  <c r="BC44" i="13"/>
  <c r="BC224" i="13"/>
  <c r="AY127" i="11"/>
  <c r="AY237" i="11"/>
  <c r="AY212" i="11"/>
  <c r="AY249" i="11"/>
  <c r="AY250" i="11" s="1"/>
  <c r="AY271" i="11"/>
  <c r="AY272" i="11" s="1"/>
  <c r="AY232" i="11"/>
  <c r="AY147" i="13"/>
  <c r="AW132" i="12"/>
  <c r="AX132" i="12" s="1"/>
  <c r="AY132" i="12" s="1"/>
  <c r="AZ132" i="12" s="1"/>
  <c r="AY477" i="12"/>
  <c r="AY425" i="12"/>
  <c r="AY324" i="12"/>
  <c r="AY315" i="12"/>
  <c r="AY240" i="12"/>
  <c r="AY217" i="12"/>
  <c r="AY194" i="12"/>
  <c r="AY153" i="12"/>
  <c r="AY152" i="12"/>
  <c r="AY149" i="12"/>
  <c r="AY137" i="12"/>
  <c r="BE221" i="13" l="1"/>
  <c r="BE223" i="13"/>
  <c r="BD252" i="13"/>
  <c r="BD250" i="13"/>
  <c r="BE249" i="13"/>
  <c r="BD44" i="13"/>
  <c r="BD224" i="13"/>
  <c r="BC45" i="13"/>
  <c r="BC253" i="13"/>
  <c r="AY238" i="11"/>
  <c r="AY277" i="11"/>
  <c r="AY154" i="12"/>
  <c r="AY171" i="12"/>
  <c r="BD253" i="13" l="1"/>
  <c r="BD45" i="13"/>
  <c r="BE44" i="13"/>
  <c r="BF44" i="13" s="1"/>
  <c r="BE224" i="13"/>
  <c r="BE250" i="13"/>
  <c r="BE252" i="13"/>
  <c r="AZ95" i="14"/>
  <c r="H15" i="63"/>
  <c r="BE253" i="13" l="1"/>
  <c r="BE45" i="13"/>
  <c r="BF45" i="13" s="1"/>
  <c r="BP351" i="20" l="1"/>
  <c r="BP352" i="20" s="1"/>
  <c r="BP353" i="20" s="1"/>
  <c r="BQ341" i="20"/>
  <c r="BP354" i="20" l="1"/>
  <c r="D5" i="3"/>
  <c r="G63" i="62"/>
  <c r="I12" i="53" l="1"/>
  <c r="J12" i="53" s="1"/>
  <c r="L12" i="53" s="1"/>
  <c r="F12" i="53"/>
  <c r="AY26" i="44"/>
  <c r="L579" i="42"/>
  <c r="L583" i="42"/>
  <c r="D92" i="62"/>
  <c r="D88" i="62"/>
  <c r="D83" i="62"/>
  <c r="D80" i="62"/>
  <c r="BP341" i="20"/>
  <c r="BP357" i="20" s="1"/>
  <c r="D84" i="62" l="1"/>
  <c r="D85" i="62" s="1"/>
  <c r="D87" i="62" s="1"/>
  <c r="D89" i="62" s="1"/>
  <c r="G72" i="62"/>
  <c r="G64" i="62"/>
  <c r="D79" i="62" s="1"/>
  <c r="AZ153" i="44"/>
  <c r="D10" i="3"/>
  <c r="G65" i="62" s="1"/>
  <c r="D78" i="62" s="1"/>
  <c r="B19" i="46"/>
  <c r="B18" i="46"/>
  <c r="B17" i="46"/>
  <c r="B16" i="46"/>
  <c r="B14" i="46"/>
  <c r="B13" i="46"/>
  <c r="B10" i="46"/>
  <c r="B9" i="46"/>
  <c r="B8" i="46"/>
  <c r="D86" i="62" l="1"/>
  <c r="D81" i="62"/>
  <c r="D90" i="62"/>
  <c r="AY42" i="44" l="1"/>
  <c r="AZ105" i="44"/>
  <c r="AZ63" i="44" s="1"/>
  <c r="D11" i="3"/>
  <c r="BA142" i="43"/>
  <c r="BB142" i="43" s="1"/>
  <c r="AZ143" i="43"/>
  <c r="BA124" i="43"/>
  <c r="AZ127" i="43"/>
  <c r="BA121" i="43"/>
  <c r="BB121" i="43" s="1"/>
  <c r="AZ122" i="43"/>
  <c r="BA61" i="43"/>
  <c r="BB61" i="43" s="1"/>
  <c r="BA76" i="43"/>
  <c r="BB76" i="43" s="1"/>
  <c r="AZ106" i="43"/>
  <c r="AZ62" i="43"/>
  <c r="AZ77" i="43"/>
  <c r="F35" i="63"/>
  <c r="F30" i="63"/>
  <c r="E35" i="63"/>
  <c r="G35" i="63"/>
  <c r="H35" i="63"/>
  <c r="I35" i="63"/>
  <c r="J35" i="63"/>
  <c r="K35" i="63"/>
  <c r="E30" i="63"/>
  <c r="G30" i="63"/>
  <c r="H30" i="63"/>
  <c r="I30" i="63"/>
  <c r="J30" i="63"/>
  <c r="K30" i="63"/>
  <c r="K27" i="63"/>
  <c r="J27" i="63" s="1"/>
  <c r="L35" i="63"/>
  <c r="L30" i="63"/>
  <c r="C4" i="18"/>
  <c r="Q4" i="3"/>
  <c r="AZ201" i="14"/>
  <c r="AY140" i="14"/>
  <c r="AZ140" i="14"/>
  <c r="D4" i="24"/>
  <c r="D5" i="24"/>
  <c r="AY43" i="44" l="1"/>
  <c r="AY39" i="44"/>
  <c r="BC142" i="43"/>
  <c r="BB77" i="43"/>
  <c r="BC76" i="43"/>
  <c r="BB122" i="43"/>
  <c r="BB127" i="43"/>
  <c r="BC121" i="43"/>
  <c r="BA127" i="43"/>
  <c r="BB62" i="43"/>
  <c r="BC61" i="43"/>
  <c r="BA106" i="43"/>
  <c r="BB106" i="43" s="1"/>
  <c r="L41" i="63"/>
  <c r="K41" i="63"/>
  <c r="I41" i="63"/>
  <c r="H41" i="63"/>
  <c r="G41" i="63"/>
  <c r="E41" i="63"/>
  <c r="J41" i="63"/>
  <c r="F41" i="63"/>
  <c r="I27" i="63"/>
  <c r="BB107" i="43" l="1"/>
  <c r="BC106" i="43"/>
  <c r="BC127" i="43"/>
  <c r="BC122" i="43"/>
  <c r="BD121" i="43"/>
  <c r="BB128" i="43"/>
  <c r="BD76" i="43"/>
  <c r="BC77" i="43"/>
  <c r="BD142" i="43"/>
  <c r="BC62" i="43"/>
  <c r="BD61" i="43"/>
  <c r="H27" i="63"/>
  <c r="BE142" i="43" l="1"/>
  <c r="BD77" i="43"/>
  <c r="BE76" i="43"/>
  <c r="BD127" i="43"/>
  <c r="BD122" i="43"/>
  <c r="BE121" i="43"/>
  <c r="BC128" i="43"/>
  <c r="BC107" i="43"/>
  <c r="BD106" i="43"/>
  <c r="BE61" i="43"/>
  <c r="BD62" i="43"/>
  <c r="G27" i="63"/>
  <c r="F27" i="63" s="1"/>
  <c r="BE106" i="43" l="1"/>
  <c r="BD107" i="43"/>
  <c r="BE127" i="43"/>
  <c r="BF121" i="43"/>
  <c r="BF127" i="43" s="1"/>
  <c r="BE122" i="43"/>
  <c r="BD128" i="43"/>
  <c r="BE77" i="43"/>
  <c r="BF76" i="43"/>
  <c r="BF142" i="43"/>
  <c r="BF61" i="43"/>
  <c r="BE62" i="43"/>
  <c r="E27" i="63"/>
  <c r="BE128" i="43" l="1"/>
  <c r="BE107" i="43"/>
  <c r="BF106" i="43"/>
  <c r="E54" i="63"/>
  <c r="AR87" i="45"/>
  <c r="AR86" i="45"/>
  <c r="AR85" i="45"/>
  <c r="AR84" i="45"/>
  <c r="AZ39" i="45"/>
  <c r="AY39" i="45"/>
  <c r="AZ78" i="45"/>
  <c r="AZ75" i="45"/>
  <c r="AZ73" i="45"/>
  <c r="AZ68" i="45"/>
  <c r="AZ66" i="45"/>
  <c r="AZ63" i="45"/>
  <c r="AZ61" i="45"/>
  <c r="AZ56" i="45"/>
  <c r="AZ49" i="45"/>
  <c r="AZ44" i="45"/>
  <c r="AZ40" i="45"/>
  <c r="AZ37" i="45"/>
  <c r="AZ32" i="45"/>
  <c r="AZ25" i="45"/>
  <c r="G9" i="63"/>
  <c r="H7" i="63"/>
  <c r="G7" i="63"/>
  <c r="D2" i="63"/>
  <c r="D3" i="63"/>
  <c r="D4" i="63"/>
  <c r="D5" i="63"/>
  <c r="D12" i="63"/>
  <c r="D13" i="63"/>
  <c r="B13" i="63"/>
  <c r="B12" i="63"/>
  <c r="B5" i="63"/>
  <c r="B4" i="63"/>
  <c r="B3" i="63"/>
  <c r="B2" i="63"/>
  <c r="G53" i="62"/>
  <c r="G50" i="62"/>
  <c r="G40" i="62"/>
  <c r="AZ22" i="12"/>
  <c r="AZ21" i="12"/>
  <c r="AZ741" i="7" s="1"/>
  <c r="BJ50" i="13"/>
  <c r="BJ49" i="13"/>
  <c r="AZ23" i="12" l="1"/>
  <c r="AZ742" i="7"/>
  <c r="AZ17" i="12"/>
  <c r="AZ42" i="45"/>
  <c r="B6" i="63"/>
  <c r="B14" i="63" s="1"/>
  <c r="L28" i="63" l="1"/>
  <c r="L31" i="63" s="1"/>
  <c r="F28" i="63"/>
  <c r="F31" i="63" s="1"/>
  <c r="I28" i="63"/>
  <c r="I31" i="63" s="1"/>
  <c r="J28" i="63"/>
  <c r="J31" i="63" s="1"/>
  <c r="E28" i="63"/>
  <c r="E31" i="63" s="1"/>
  <c r="G28" i="63"/>
  <c r="G31" i="63" s="1"/>
  <c r="H28" i="63"/>
  <c r="H31" i="63" s="1"/>
  <c r="K28" i="63"/>
  <c r="K31" i="63" s="1"/>
  <c r="AZ98" i="13" l="1"/>
  <c r="AZ91" i="13"/>
  <c r="AZ90" i="13"/>
  <c r="AZ88" i="13"/>
  <c r="AZ84" i="13"/>
  <c r="BA84" i="13" s="1"/>
  <c r="AY84" i="13"/>
  <c r="AX84" i="13"/>
  <c r="BA83" i="13"/>
  <c r="BA82" i="13"/>
  <c r="AZ81" i="13"/>
  <c r="BA81" i="13" s="1"/>
  <c r="AY81" i="13"/>
  <c r="AZ77" i="13"/>
  <c r="AZ79" i="13"/>
  <c r="BA79" i="13" s="1"/>
  <c r="AY79" i="13"/>
  <c r="BA77" i="13"/>
  <c r="AY77" i="13"/>
  <c r="AZ76" i="13"/>
  <c r="AY76" i="13"/>
  <c r="AY71" i="13"/>
  <c r="BA75" i="13"/>
  <c r="BA74" i="13"/>
  <c r="AZ73" i="13"/>
  <c r="AY73" i="13"/>
  <c r="AX71" i="13"/>
  <c r="AW71" i="13"/>
  <c r="AZ71" i="13"/>
  <c r="AZ51" i="13"/>
  <c r="AX405" i="13"/>
  <c r="AW405" i="13"/>
  <c r="AW406" i="13" s="1"/>
  <c r="AZ403" i="13"/>
  <c r="AZ380" i="13"/>
  <c r="AX382" i="13"/>
  <c r="AY181" i="13"/>
  <c r="AY310" i="13"/>
  <c r="AX310" i="13"/>
  <c r="AX307" i="13"/>
  <c r="AZ305" i="13"/>
  <c r="AY305" i="13"/>
  <c r="AX359" i="13"/>
  <c r="AZ49" i="13"/>
  <c r="BA49" i="13" s="1"/>
  <c r="AZ357" i="13"/>
  <c r="AY357" i="13"/>
  <c r="AZ330" i="13"/>
  <c r="AZ328" i="13"/>
  <c r="AZ278" i="13"/>
  <c r="AZ276" i="13"/>
  <c r="AZ281" i="13" l="1"/>
  <c r="BB278" i="13"/>
  <c r="AZ333" i="13"/>
  <c r="BB330" i="13"/>
  <c r="AZ47" i="13"/>
  <c r="BA47" i="13" s="1"/>
  <c r="BA307" i="13"/>
  <c r="BB307" i="13" s="1"/>
  <c r="BC307" i="13" s="1"/>
  <c r="BD307" i="13" s="1"/>
  <c r="BE307" i="13" s="1"/>
  <c r="BF307" i="13" s="1"/>
  <c r="AZ93" i="13"/>
  <c r="AZ92" i="13"/>
  <c r="AZ87" i="13"/>
  <c r="AZ95" i="13"/>
  <c r="AZ97" i="13"/>
  <c r="AZ89" i="13"/>
  <c r="AZ65" i="13"/>
  <c r="BA65" i="13" s="1"/>
  <c r="BA51" i="13"/>
  <c r="BA73" i="13"/>
  <c r="BA106" i="13"/>
  <c r="BA76" i="13"/>
  <c r="BA71" i="13"/>
  <c r="AZ46" i="13"/>
  <c r="BJ59" i="12"/>
  <c r="BJ54" i="12"/>
  <c r="BJ53" i="12"/>
  <c r="BA148" i="12"/>
  <c r="BA147" i="12"/>
  <c r="BA146" i="12"/>
  <c r="BA145" i="12"/>
  <c r="BA132" i="12"/>
  <c r="BA83" i="12"/>
  <c r="BA81" i="12"/>
  <c r="BA80" i="12"/>
  <c r="BA79" i="12"/>
  <c r="BA78" i="12"/>
  <c r="BA77" i="12"/>
  <c r="AZ149" i="12"/>
  <c r="BA149" i="12" s="1"/>
  <c r="AZ137" i="12"/>
  <c r="BA137" i="12" s="1"/>
  <c r="AZ136" i="12"/>
  <c r="BA136" i="12" s="1"/>
  <c r="AY157" i="12"/>
  <c r="C4" i="16"/>
  <c r="G4" i="16" s="1"/>
  <c r="H41" i="17" s="1"/>
  <c r="AZ68" i="12"/>
  <c r="BA68" i="12" s="1"/>
  <c r="AZ86" i="12"/>
  <c r="AZ87" i="12"/>
  <c r="AZ88" i="12"/>
  <c r="AZ89" i="12"/>
  <c r="AZ90" i="12"/>
  <c r="AZ91" i="12"/>
  <c r="AZ92" i="12"/>
  <c r="AZ503" i="12"/>
  <c r="AZ501" i="12"/>
  <c r="AZ498" i="12"/>
  <c r="AX477" i="12"/>
  <c r="AZ64" i="12"/>
  <c r="BA64" i="12" s="1"/>
  <c r="AZ475" i="12"/>
  <c r="AZ425" i="12"/>
  <c r="AX425" i="12"/>
  <c r="AW425" i="12"/>
  <c r="AZ423" i="12"/>
  <c r="AZ396" i="12"/>
  <c r="AZ399" i="12" s="1"/>
  <c r="AZ394" i="12"/>
  <c r="AZ103" i="12"/>
  <c r="BA103" i="12" s="1"/>
  <c r="AT324" i="12"/>
  <c r="AZ341" i="12"/>
  <c r="AZ339" i="12"/>
  <c r="AZ336" i="12"/>
  <c r="AT249" i="12"/>
  <c r="AU249" i="12"/>
  <c r="AX324" i="12"/>
  <c r="AZ102" i="12"/>
  <c r="BA102" i="12" s="1"/>
  <c r="AZ315" i="12"/>
  <c r="AZ58" i="12" s="1"/>
  <c r="BA58" i="12" s="1"/>
  <c r="AX315" i="12"/>
  <c r="AZ313" i="12"/>
  <c r="AT274" i="12"/>
  <c r="AU274" i="12" s="1"/>
  <c r="AW274" i="12" s="1"/>
  <c r="AX274" i="12" s="1"/>
  <c r="AY274" i="12" s="1"/>
  <c r="AZ274" i="12" s="1"/>
  <c r="AZ266" i="12"/>
  <c r="AZ264" i="12"/>
  <c r="AZ261" i="12"/>
  <c r="AZ240" i="12"/>
  <c r="AZ55" i="12" s="1"/>
  <c r="BA55" i="12" s="1"/>
  <c r="AX249" i="12"/>
  <c r="AX240" i="12"/>
  <c r="AU240" i="12"/>
  <c r="AZ238" i="12"/>
  <c r="AZ54" i="12"/>
  <c r="BA54" i="12" s="1"/>
  <c r="AZ215" i="12"/>
  <c r="AX217" i="12"/>
  <c r="AZ194" i="12"/>
  <c r="AZ53" i="12" s="1"/>
  <c r="L581" i="42" s="1"/>
  <c r="AZ192" i="12"/>
  <c r="AX194" i="12"/>
  <c r="AZ96" i="12"/>
  <c r="BA96" i="12" s="1"/>
  <c r="BB331" i="13" l="1"/>
  <c r="BB333" i="13"/>
  <c r="BC330" i="13"/>
  <c r="BC278" i="13"/>
  <c r="BB279" i="13"/>
  <c r="BB281" i="13"/>
  <c r="AY322" i="12"/>
  <c r="AY325" i="12"/>
  <c r="AY329" i="12" s="1"/>
  <c r="AZ62" i="12"/>
  <c r="BA62" i="12" s="1"/>
  <c r="AZ310" i="13"/>
  <c r="AZ150" i="12"/>
  <c r="AZ318" i="12"/>
  <c r="BA53" i="12"/>
  <c r="AZ157" i="12"/>
  <c r="D4" i="16"/>
  <c r="E41" i="17" s="1"/>
  <c r="BA46" i="13"/>
  <c r="BB334" i="13" l="1"/>
  <c r="BB282" i="13"/>
  <c r="BB46" i="13"/>
  <c r="BC281" i="13"/>
  <c r="BC279" i="13"/>
  <c r="BD278" i="13"/>
  <c r="BC333" i="13"/>
  <c r="BC331" i="13"/>
  <c r="BD330" i="13"/>
  <c r="AY323" i="12"/>
  <c r="AY330" i="12"/>
  <c r="AY326" i="12"/>
  <c r="AZ153" i="12"/>
  <c r="BA150" i="12"/>
  <c r="BA153" i="12" s="1"/>
  <c r="AZ181" i="13"/>
  <c r="AZ15" i="45" s="1"/>
  <c r="BA157" i="12"/>
  <c r="AZ158" i="12"/>
  <c r="AX176" i="12"/>
  <c r="AZ171" i="12"/>
  <c r="AX174" i="12"/>
  <c r="AX171" i="12"/>
  <c r="AZ169" i="12"/>
  <c r="AW172" i="13"/>
  <c r="AV172" i="13"/>
  <c r="BB289" i="7"/>
  <c r="BC289" i="7" s="1"/>
  <c r="BD289" i="7" s="1"/>
  <c r="BE289" i="7" s="1"/>
  <c r="BG289" i="7" s="1"/>
  <c r="BH289" i="7" s="1"/>
  <c r="BI289" i="7" s="1"/>
  <c r="BJ289" i="7" s="1"/>
  <c r="BL289" i="7" s="1"/>
  <c r="BM289" i="7" s="1"/>
  <c r="BN289" i="7" s="1"/>
  <c r="BO289" i="7" s="1"/>
  <c r="BQ289" i="7" s="1"/>
  <c r="BR289" i="7" s="1"/>
  <c r="BS289" i="7" s="1"/>
  <c r="BT289" i="7" s="1"/>
  <c r="BV289" i="7" s="1"/>
  <c r="BW289" i="7" s="1"/>
  <c r="BX289" i="7" s="1"/>
  <c r="BY289" i="7" s="1"/>
  <c r="AE289" i="7"/>
  <c r="AX276" i="7"/>
  <c r="AW276" i="7"/>
  <c r="AU276" i="7"/>
  <c r="BB184" i="13" l="1"/>
  <c r="BA155" i="13"/>
  <c r="BC334" i="13"/>
  <c r="BD331" i="13"/>
  <c r="BE330" i="13"/>
  <c r="BD333" i="13"/>
  <c r="BD281" i="13"/>
  <c r="BD279" i="13"/>
  <c r="BE278" i="13"/>
  <c r="BC282" i="13"/>
  <c r="BC46" i="13"/>
  <c r="AY331" i="12"/>
  <c r="AZ277" i="7"/>
  <c r="AX172" i="13"/>
  <c r="AY172" i="13" s="1"/>
  <c r="AZ52" i="12"/>
  <c r="BA52" i="12" s="1"/>
  <c r="L580" i="42"/>
  <c r="AO275" i="7"/>
  <c r="BC184" i="13" l="1"/>
  <c r="BB155" i="13"/>
  <c r="BE279" i="13"/>
  <c r="BE281" i="13"/>
  <c r="BD282" i="13"/>
  <c r="BD46" i="13"/>
  <c r="BE331" i="13"/>
  <c r="BE333" i="13"/>
  <c r="BD334" i="13"/>
  <c r="BA172" i="13"/>
  <c r="BB172" i="13"/>
  <c r="BC172" i="13" s="1"/>
  <c r="I28" i="53"/>
  <c r="F28" i="53"/>
  <c r="F22" i="53"/>
  <c r="AY187" i="43"/>
  <c r="AY59" i="44"/>
  <c r="AX20" i="44"/>
  <c r="AX69" i="44" s="1"/>
  <c r="AX42" i="44"/>
  <c r="AX43" i="44" s="1"/>
  <c r="AY44" i="44" s="1"/>
  <c r="BM222" i="20"/>
  <c r="BO105" i="20"/>
  <c r="BN105" i="20"/>
  <c r="BM105" i="20"/>
  <c r="BM104" i="20"/>
  <c r="AZ320" i="14"/>
  <c r="BA320" i="14" s="1"/>
  <c r="AY320" i="14"/>
  <c r="BA313" i="14"/>
  <c r="AX27" i="14"/>
  <c r="AX26" i="14"/>
  <c r="AX24" i="14"/>
  <c r="AX23" i="14"/>
  <c r="AX22" i="14"/>
  <c r="AX17" i="14"/>
  <c r="AX16" i="14"/>
  <c r="AX15" i="14"/>
  <c r="AX14" i="14"/>
  <c r="AX13" i="14"/>
  <c r="AX12" i="14"/>
  <c r="AX11" i="14"/>
  <c r="AX9" i="14"/>
  <c r="AX8" i="14"/>
  <c r="BM79" i="20"/>
  <c r="AU132" i="12"/>
  <c r="AT132" i="12"/>
  <c r="AS132" i="12"/>
  <c r="AR132" i="12"/>
  <c r="AP132" i="12"/>
  <c r="AO132" i="12"/>
  <c r="AW264" i="7"/>
  <c r="AN264" i="7"/>
  <c r="F28" i="62"/>
  <c r="F12" i="63" s="1"/>
  <c r="F27" i="62"/>
  <c r="F5" i="63" s="1"/>
  <c r="F26" i="62"/>
  <c r="F4" i="63" s="1"/>
  <c r="F25" i="62"/>
  <c r="F3" i="63" s="1"/>
  <c r="AX157" i="13"/>
  <c r="B30" i="62"/>
  <c r="D30" i="62" s="1"/>
  <c r="E29" i="62"/>
  <c r="E13" i="63" s="1"/>
  <c r="C29" i="62"/>
  <c r="C13" i="63" s="1"/>
  <c r="E28" i="62"/>
  <c r="E12" i="63" s="1"/>
  <c r="C28" i="62"/>
  <c r="C12" i="63" s="1"/>
  <c r="E27" i="62"/>
  <c r="E5" i="63" s="1"/>
  <c r="C27" i="62"/>
  <c r="C5" i="63" s="1"/>
  <c r="E26" i="62"/>
  <c r="E4" i="63" s="1"/>
  <c r="C26" i="62"/>
  <c r="C4" i="63" s="1"/>
  <c r="E25" i="62"/>
  <c r="E3" i="63" s="1"/>
  <c r="C25" i="62"/>
  <c r="C3" i="63" s="1"/>
  <c r="E24" i="62"/>
  <c r="E2" i="63" s="1"/>
  <c r="C24" i="62"/>
  <c r="C2" i="63" s="1"/>
  <c r="D22" i="53" l="1"/>
  <c r="J22" i="53" s="1"/>
  <c r="L22" i="53" s="1"/>
  <c r="BQ106" i="20"/>
  <c r="BB320" i="14"/>
  <c r="BD172" i="13"/>
  <c r="BC155" i="13"/>
  <c r="BE334" i="13"/>
  <c r="BE282" i="13"/>
  <c r="BE46" i="13"/>
  <c r="BF46" i="13" s="1"/>
  <c r="AY48" i="44"/>
  <c r="F29" i="62"/>
  <c r="F13" i="63" s="1"/>
  <c r="E6" i="63"/>
  <c r="BM70" i="20"/>
  <c r="BM256" i="20" s="1"/>
  <c r="B27" i="46"/>
  <c r="E10" i="63"/>
  <c r="E14" i="63"/>
  <c r="F24" i="62"/>
  <c r="BM63" i="20"/>
  <c r="BM55" i="20"/>
  <c r="C9" i="46" s="1"/>
  <c r="BM65" i="20"/>
  <c r="BM54" i="20"/>
  <c r="BM64" i="20"/>
  <c r="C18" i="46" s="1"/>
  <c r="BM68" i="20"/>
  <c r="BM59" i="20"/>
  <c r="C13" i="46" s="1"/>
  <c r="BM60" i="20"/>
  <c r="BM62" i="20"/>
  <c r="C16" i="46" s="1"/>
  <c r="BM69" i="20"/>
  <c r="BM255" i="20" s="1"/>
  <c r="BM56" i="20"/>
  <c r="C30" i="62"/>
  <c r="E30" i="62"/>
  <c r="BR106" i="20" l="1"/>
  <c r="BC320" i="14"/>
  <c r="BD155" i="13"/>
  <c r="BE172" i="13"/>
  <c r="BF172" i="13" s="1"/>
  <c r="BD184" i="13"/>
  <c r="C10" i="46"/>
  <c r="AX687" i="7"/>
  <c r="BM155" i="20"/>
  <c r="BM200" i="20" s="1"/>
  <c r="BM245" i="20" s="1"/>
  <c r="C14" i="46"/>
  <c r="BM149" i="20"/>
  <c r="BM194" i="20" s="1"/>
  <c r="BM239" i="20" s="1"/>
  <c r="C8" i="46"/>
  <c r="BM160" i="20"/>
  <c r="BM205" i="20" s="1"/>
  <c r="BM250" i="20" s="1"/>
  <c r="C19" i="46"/>
  <c r="BM158" i="20"/>
  <c r="BM203" i="20" s="1"/>
  <c r="BM248" i="20" s="1"/>
  <c r="C17" i="46"/>
  <c r="F2" i="63"/>
  <c r="F6" i="63" s="1"/>
  <c r="F30" i="62"/>
  <c r="G62" i="62" s="1"/>
  <c r="G66" i="62" s="1"/>
  <c r="BM74" i="20"/>
  <c r="BM157" i="20"/>
  <c r="BM61" i="20"/>
  <c r="BM151" i="20"/>
  <c r="BM219" i="20" s="1"/>
  <c r="BM71" i="20"/>
  <c r="C21" i="46" s="1"/>
  <c r="BM254" i="20"/>
  <c r="V12" i="3"/>
  <c r="AZ30" i="43"/>
  <c r="BA30" i="43" s="1"/>
  <c r="AY30" i="43"/>
  <c r="AX143" i="13"/>
  <c r="BA161" i="13"/>
  <c r="AW162" i="13"/>
  <c r="AT143" i="13"/>
  <c r="AS143" i="13"/>
  <c r="AS162" i="13"/>
  <c r="AW141" i="13"/>
  <c r="AX141" i="13" s="1"/>
  <c r="AX140" i="13" s="1"/>
  <c r="AV171" i="13"/>
  <c r="AV154" i="13"/>
  <c r="AV276" i="7" s="1"/>
  <c r="H21" i="62"/>
  <c r="B17" i="62"/>
  <c r="D17" i="62" s="1"/>
  <c r="G21" i="62" s="1"/>
  <c r="E16" i="62"/>
  <c r="C16" i="62"/>
  <c r="E15" i="62"/>
  <c r="F15" i="62" s="1"/>
  <c r="G15" i="62" s="1"/>
  <c r="C15" i="62"/>
  <c r="H12" i="62"/>
  <c r="G12" i="62"/>
  <c r="B8" i="62"/>
  <c r="D8" i="62" s="1"/>
  <c r="D6" i="63" s="1"/>
  <c r="E7" i="62"/>
  <c r="F7" i="62" s="1"/>
  <c r="G7" i="62" s="1"/>
  <c r="G5" i="63" s="1"/>
  <c r="C7" i="62"/>
  <c r="E6" i="62"/>
  <c r="F6" i="62" s="1"/>
  <c r="G6" i="62" s="1"/>
  <c r="G4" i="63" s="1"/>
  <c r="C6" i="62"/>
  <c r="E5" i="62"/>
  <c r="F5" i="62" s="1"/>
  <c r="C5" i="62"/>
  <c r="E4" i="62"/>
  <c r="F4" i="62" s="1"/>
  <c r="G4" i="62" s="1"/>
  <c r="G2" i="63" s="1"/>
  <c r="C4" i="62"/>
  <c r="AX159" i="13"/>
  <c r="AY159" i="13" s="1"/>
  <c r="AZ159" i="13" s="1"/>
  <c r="AZ162" i="13" s="1"/>
  <c r="BS106" i="20" l="1"/>
  <c r="BD320" i="14"/>
  <c r="BM202" i="20"/>
  <c r="BM247" i="20" s="1"/>
  <c r="AX337" i="11"/>
  <c r="BE155" i="13"/>
  <c r="BF155" i="13" s="1"/>
  <c r="BG288" i="7"/>
  <c r="BH288" i="7" s="1"/>
  <c r="BI288" i="7" s="1"/>
  <c r="BJ288" i="7" s="1"/>
  <c r="BL288" i="7" s="1"/>
  <c r="BM288" i="7" s="1"/>
  <c r="BN288" i="7" s="1"/>
  <c r="BO288" i="7" s="1"/>
  <c r="BQ288" i="7" s="1"/>
  <c r="BR288" i="7" s="1"/>
  <c r="BS288" i="7" s="1"/>
  <c r="BT288" i="7" s="1"/>
  <c r="BV288" i="7" s="1"/>
  <c r="BW288" i="7" s="1"/>
  <c r="BX288" i="7" s="1"/>
  <c r="BY288" i="7" s="1"/>
  <c r="BE184" i="13"/>
  <c r="BF184" i="13" s="1"/>
  <c r="BM66" i="20"/>
  <c r="C20" i="46" s="1"/>
  <c r="C15" i="46"/>
  <c r="G73" i="62"/>
  <c r="F10" i="63"/>
  <c r="D10" i="63" s="1"/>
  <c r="F14" i="63"/>
  <c r="BM257" i="20"/>
  <c r="BM77" i="20"/>
  <c r="V606" i="42" s="1"/>
  <c r="BM73" i="20"/>
  <c r="BM343" i="20" s="1"/>
  <c r="BM152" i="20"/>
  <c r="AX29" i="43"/>
  <c r="AW29" i="43"/>
  <c r="G27" i="62"/>
  <c r="H5" i="63" s="1"/>
  <c r="K5" i="63" s="1"/>
  <c r="G29" i="62"/>
  <c r="H13" i="63" s="1"/>
  <c r="K13" i="63" s="1"/>
  <c r="G24" i="62"/>
  <c r="H2" i="63" s="1"/>
  <c r="K2" i="63" s="1"/>
  <c r="G26" i="62"/>
  <c r="H4" i="63" s="1"/>
  <c r="K4" i="63" s="1"/>
  <c r="G28" i="62"/>
  <c r="H12" i="63" s="1"/>
  <c r="K12" i="63" s="1"/>
  <c r="G25" i="62"/>
  <c r="H3" i="63" s="1"/>
  <c r="K3" i="63" s="1"/>
  <c r="G33" i="62"/>
  <c r="F16" i="62"/>
  <c r="G16" i="62" s="1"/>
  <c r="F8" i="62"/>
  <c r="G5" i="62"/>
  <c r="G3" i="63" s="1"/>
  <c r="G6" i="63" s="1"/>
  <c r="G10" i="63" s="1"/>
  <c r="F17" i="62"/>
  <c r="C17" i="62"/>
  <c r="E8" i="62"/>
  <c r="C8" i="62"/>
  <c r="C6" i="63" s="1"/>
  <c r="E17" i="62"/>
  <c r="G17" i="62"/>
  <c r="G18" i="62" s="1"/>
  <c r="AX162" i="13"/>
  <c r="AY162" i="13"/>
  <c r="D14" i="63" l="1"/>
  <c r="H17" i="63" s="1"/>
  <c r="M13" i="63"/>
  <c r="M4" i="63"/>
  <c r="M2" i="63"/>
  <c r="L4" i="63"/>
  <c r="AY141" i="13" s="1"/>
  <c r="AY140" i="13" s="1"/>
  <c r="AY28" i="43" s="1"/>
  <c r="M12" i="63"/>
  <c r="M3" i="63"/>
  <c r="M5" i="63"/>
  <c r="L13" i="63"/>
  <c r="L12" i="63"/>
  <c r="L5" i="63"/>
  <c r="L2" i="63"/>
  <c r="L3" i="63"/>
  <c r="K6" i="63"/>
  <c r="K14" i="63" s="1"/>
  <c r="BM57" i="20"/>
  <c r="V601" i="42"/>
  <c r="BT106" i="20"/>
  <c r="BF313" i="14"/>
  <c r="BG313" i="14" s="1"/>
  <c r="BE320" i="14"/>
  <c r="BF320" i="14" s="1"/>
  <c r="BM75" i="20"/>
  <c r="C11" i="46"/>
  <c r="BM341" i="20"/>
  <c r="G8" i="62"/>
  <c r="BM197" i="20"/>
  <c r="BM242" i="20" s="1"/>
  <c r="H6" i="63"/>
  <c r="H23" i="63"/>
  <c r="C10" i="63"/>
  <c r="C14" i="63"/>
  <c r="G9" i="62"/>
  <c r="G49" i="62"/>
  <c r="G51" i="62" s="1"/>
  <c r="G39" i="62"/>
  <c r="G41" i="62" s="1"/>
  <c r="H14" i="63"/>
  <c r="G11" i="63"/>
  <c r="AZ141" i="13"/>
  <c r="AZ140" i="13"/>
  <c r="AZ28" i="43" s="1"/>
  <c r="G30" i="62"/>
  <c r="AT28" i="43"/>
  <c r="AT31" i="43" s="1"/>
  <c r="AX174" i="13"/>
  <c r="L6" i="63" l="1"/>
  <c r="L14" i="63" s="1"/>
  <c r="M6" i="63"/>
  <c r="M14" i="63" s="1"/>
  <c r="BH313" i="14"/>
  <c r="BG320" i="14"/>
  <c r="BU106" i="20"/>
  <c r="BM347" i="20"/>
  <c r="H20" i="63"/>
  <c r="H22" i="63" s="1"/>
  <c r="H16" i="63"/>
  <c r="AY62" i="43"/>
  <c r="AY91" i="43"/>
  <c r="AX27" i="44" s="1"/>
  <c r="AX7" i="43"/>
  <c r="AY67" i="43"/>
  <c r="AZ67" i="43" s="1"/>
  <c r="BB67" i="43" s="1"/>
  <c r="BC67" i="43" s="1"/>
  <c r="BD67" i="43" s="1"/>
  <c r="BE67" i="43" s="1"/>
  <c r="AY64" i="43"/>
  <c r="AX65" i="43"/>
  <c r="AY46" i="43"/>
  <c r="AX49" i="43"/>
  <c r="AW49" i="43"/>
  <c r="AX1097" i="7"/>
  <c r="AX1100" i="7" s="1"/>
  <c r="AX1022" i="7"/>
  <c r="AY1022" i="7" s="1"/>
  <c r="AX1020" i="7"/>
  <c r="AY1020" i="7" s="1"/>
  <c r="AY1030" i="7" s="1"/>
  <c r="AW1064" i="7"/>
  <c r="AX1056" i="7"/>
  <c r="AW1051" i="7"/>
  <c r="AX1043" i="7"/>
  <c r="AX980" i="7"/>
  <c r="AW980" i="7"/>
  <c r="AW293" i="7" s="1"/>
  <c r="AW295" i="7" s="1"/>
  <c r="AX977" i="7"/>
  <c r="AX975" i="7"/>
  <c r="AX971" i="7"/>
  <c r="AY976" i="7" s="1"/>
  <c r="AX1093" i="7"/>
  <c r="AX1092" i="7" s="1"/>
  <c r="AX995" i="7"/>
  <c r="AX994" i="7"/>
  <c r="AX966" i="7"/>
  <c r="AX956" i="7"/>
  <c r="AX959" i="7" s="1"/>
  <c r="AX856" i="7"/>
  <c r="AX853" i="7"/>
  <c r="AX861" i="7" s="1"/>
  <c r="AX846" i="7"/>
  <c r="AX845" i="7"/>
  <c r="AX832" i="7"/>
  <c r="AW827" i="7"/>
  <c r="AX819" i="7"/>
  <c r="BI313" i="14" l="1"/>
  <c r="BH320" i="14"/>
  <c r="AX989" i="7"/>
  <c r="AX293" i="7"/>
  <c r="AX295" i="7" s="1"/>
  <c r="AY981" i="7"/>
  <c r="AX827" i="7"/>
  <c r="AY819" i="7"/>
  <c r="AY827" i="7" s="1"/>
  <c r="AX1051" i="7"/>
  <c r="AY1043" i="7"/>
  <c r="AY1051" i="7" s="1"/>
  <c r="AX1064" i="7"/>
  <c r="AY1056" i="7"/>
  <c r="AY1064" i="7" s="1"/>
  <c r="AX840" i="7"/>
  <c r="AY832" i="7"/>
  <c r="AY840" i="7" s="1"/>
  <c r="AY7" i="43"/>
  <c r="AY65" i="43"/>
  <c r="AZ64" i="43"/>
  <c r="AX981" i="7"/>
  <c r="BJ313" i="14" l="1"/>
  <c r="BI320" i="14"/>
  <c r="AZ65" i="43"/>
  <c r="BB64" i="43"/>
  <c r="AZ7" i="43"/>
  <c r="AX901" i="7"/>
  <c r="AX900" i="7"/>
  <c r="AY905" i="7" s="1"/>
  <c r="AX181" i="13"/>
  <c r="AY182" i="13" s="1"/>
  <c r="AX179" i="13"/>
  <c r="AX178" i="13"/>
  <c r="AX877" i="7"/>
  <c r="AX876" i="7"/>
  <c r="AX869" i="7"/>
  <c r="AX788" i="7"/>
  <c r="AX567" i="7"/>
  <c r="AX514" i="7"/>
  <c r="AX516" i="7" s="1"/>
  <c r="AW514" i="7"/>
  <c r="AX491" i="7"/>
  <c r="AY290" i="11"/>
  <c r="AZ290" i="11" s="1"/>
  <c r="BB290" i="11" s="1"/>
  <c r="BC290" i="11" s="1"/>
  <c r="BD290" i="11" s="1"/>
  <c r="BE290" i="11" s="1"/>
  <c r="AX647" i="7"/>
  <c r="H46" i="61"/>
  <c r="I46" i="61" s="1"/>
  <c r="H45" i="61"/>
  <c r="I45" i="61" s="1"/>
  <c r="H44" i="61"/>
  <c r="I44" i="61" s="1"/>
  <c r="H43" i="61"/>
  <c r="I43" i="61" s="1"/>
  <c r="H42" i="61"/>
  <c r="I42" i="61" s="1"/>
  <c r="H41" i="61"/>
  <c r="I41" i="61" s="1"/>
  <c r="H40" i="61"/>
  <c r="I40" i="61" s="1"/>
  <c r="H39" i="61"/>
  <c r="I39" i="61" s="1"/>
  <c r="H38" i="61"/>
  <c r="I38" i="61" s="1"/>
  <c r="H37" i="61"/>
  <c r="I37" i="61" s="1"/>
  <c r="H36" i="61"/>
  <c r="I36" i="61" s="1"/>
  <c r="H35" i="61"/>
  <c r="I35" i="61" s="1"/>
  <c r="H34" i="61"/>
  <c r="I34" i="61" s="1"/>
  <c r="H33" i="61"/>
  <c r="I33" i="61" s="1"/>
  <c r="H32" i="61"/>
  <c r="I32" i="61" s="1"/>
  <c r="H31" i="61"/>
  <c r="I31" i="61" s="1"/>
  <c r="H30" i="61"/>
  <c r="I30" i="61" s="1"/>
  <c r="H29" i="61"/>
  <c r="I29" i="61" s="1"/>
  <c r="H28" i="61"/>
  <c r="I28" i="61" s="1"/>
  <c r="H27" i="61"/>
  <c r="H26" i="61"/>
  <c r="I26" i="61" s="1"/>
  <c r="H25" i="61"/>
  <c r="I25" i="61" s="1"/>
  <c r="H24" i="61"/>
  <c r="I24" i="61" s="1"/>
  <c r="H23" i="61"/>
  <c r="I23" i="61" s="1"/>
  <c r="H22" i="61"/>
  <c r="I22" i="61" s="1"/>
  <c r="H21" i="61"/>
  <c r="I21" i="61" s="1"/>
  <c r="H20" i="61"/>
  <c r="I20" i="61" s="1"/>
  <c r="H19" i="61"/>
  <c r="I19" i="61" s="1"/>
  <c r="H18" i="61"/>
  <c r="I18" i="61" s="1"/>
  <c r="H17" i="61"/>
  <c r="I17" i="61" s="1"/>
  <c r="H16" i="61"/>
  <c r="I16" i="61" s="1"/>
  <c r="H15" i="61"/>
  <c r="I15" i="61" s="1"/>
  <c r="H14" i="61"/>
  <c r="I14" i="61" s="1"/>
  <c r="H13" i="61"/>
  <c r="I13" i="61" s="1"/>
  <c r="H12" i="61"/>
  <c r="I12" i="61" s="1"/>
  <c r="H11" i="61"/>
  <c r="I11" i="61" s="1"/>
  <c r="H10" i="61"/>
  <c r="I10" i="61" s="1"/>
  <c r="H9" i="61"/>
  <c r="I9" i="61" s="1"/>
  <c r="H8" i="61"/>
  <c r="I8" i="61" s="1"/>
  <c r="H7" i="61"/>
  <c r="I7" i="61" s="1"/>
  <c r="H6" i="61"/>
  <c r="I6" i="61" s="1"/>
  <c r="H2" i="61"/>
  <c r="I2" i="61" s="1"/>
  <c r="H50" i="61"/>
  <c r="I50" i="61" s="1"/>
  <c r="K7" i="61"/>
  <c r="K8" i="61" s="1"/>
  <c r="K9" i="61" s="1"/>
  <c r="K10" i="61" s="1"/>
  <c r="L3" i="61"/>
  <c r="L6" i="61"/>
  <c r="M6" i="61" s="1"/>
  <c r="AX314" i="11"/>
  <c r="AW315" i="11"/>
  <c r="AW314" i="11"/>
  <c r="AW308" i="11"/>
  <c r="AU293" i="11"/>
  <c r="AX292" i="11"/>
  <c r="AX315" i="11" s="1"/>
  <c r="AX280" i="11"/>
  <c r="AX125" i="11" s="1"/>
  <c r="AX230" i="11"/>
  <c r="AX228" i="11"/>
  <c r="AX221" i="11"/>
  <c r="AX220" i="11"/>
  <c r="AX219" i="11"/>
  <c r="AX218" i="11"/>
  <c r="AX210" i="11"/>
  <c r="AX156" i="11"/>
  <c r="AX148" i="11"/>
  <c r="AX138" i="11"/>
  <c r="AX305" i="14" s="1"/>
  <c r="AX64" i="11"/>
  <c r="AX235" i="11" s="1"/>
  <c r="AX54" i="11"/>
  <c r="AX227" i="11" s="1"/>
  <c r="AX47" i="11"/>
  <c r="AX226" i="11" s="1"/>
  <c r="AX40" i="11"/>
  <c r="AX30" i="11"/>
  <c r="AX298" i="14" s="1"/>
  <c r="AX26" i="11"/>
  <c r="AX265" i="14" s="1"/>
  <c r="AX277" i="14" s="1"/>
  <c r="AX276" i="14" s="1"/>
  <c r="AX21" i="11"/>
  <c r="AX207" i="11" s="1"/>
  <c r="AX737" i="7"/>
  <c r="AY742" i="7" s="1"/>
  <c r="AX736" i="7"/>
  <c r="AY741" i="7" s="1"/>
  <c r="AY743" i="7" s="1"/>
  <c r="AX733" i="7"/>
  <c r="AX732" i="7"/>
  <c r="AX738" i="7" s="1"/>
  <c r="AX727" i="7"/>
  <c r="AX717" i="7"/>
  <c r="AW717" i="7"/>
  <c r="AX708" i="7"/>
  <c r="AY525" i="7" s="1"/>
  <c r="AX699" i="7"/>
  <c r="AX698" i="7"/>
  <c r="AX697" i="7"/>
  <c r="AX694" i="7"/>
  <c r="AY700" i="7" s="1"/>
  <c r="AW694" i="7"/>
  <c r="AX384" i="7"/>
  <c r="AX380" i="7"/>
  <c r="AY380" i="7" s="1"/>
  <c r="AX379" i="7"/>
  <c r="AY379" i="7" s="1"/>
  <c r="AY454" i="7" s="1"/>
  <c r="AX375" i="7"/>
  <c r="AX374" i="7"/>
  <c r="AX372" i="7"/>
  <c r="AX390" i="7" s="1"/>
  <c r="AW332" i="7"/>
  <c r="AX332" i="7"/>
  <c r="AW333" i="7"/>
  <c r="AX333" i="7"/>
  <c r="AW338" i="7"/>
  <c r="AX338" i="7"/>
  <c r="AW339" i="7"/>
  <c r="AX339" i="7"/>
  <c r="AW313" i="7"/>
  <c r="AW314" i="7" s="1"/>
  <c r="AX312" i="7"/>
  <c r="AX308" i="7"/>
  <c r="AY308" i="7" s="1"/>
  <c r="AX307" i="7"/>
  <c r="AY307" i="7" s="1"/>
  <c r="AX237" i="7"/>
  <c r="AW237" i="7"/>
  <c r="AW230" i="7" s="1"/>
  <c r="AW297" i="7" s="1"/>
  <c r="AW299" i="7" s="1"/>
  <c r="AW300" i="7" s="1"/>
  <c r="AX223" i="7"/>
  <c r="AW223" i="7"/>
  <c r="AX217" i="7"/>
  <c r="AX218" i="7" s="1"/>
  <c r="AW217" i="7"/>
  <c r="AW218" i="7" s="1"/>
  <c r="AX214" i="7"/>
  <c r="AW51" i="7"/>
  <c r="AW58" i="7"/>
  <c r="AW65" i="7"/>
  <c r="AX66" i="7"/>
  <c r="AY66" i="7" s="1"/>
  <c r="AY128" i="7" s="1"/>
  <c r="AX102" i="7"/>
  <c r="AX77" i="7"/>
  <c r="AY77" i="7" s="1"/>
  <c r="AX73" i="7"/>
  <c r="AY73" i="7" s="1"/>
  <c r="AY136" i="7" s="1"/>
  <c r="AX72" i="7"/>
  <c r="AY72" i="7" s="1"/>
  <c r="AX71" i="7"/>
  <c r="AX70" i="7"/>
  <c r="AX33" i="7"/>
  <c r="AY33" i="7" s="1"/>
  <c r="AY99" i="7" s="1"/>
  <c r="AX32" i="7"/>
  <c r="AY32" i="7" s="1"/>
  <c r="AY98" i="7" s="1"/>
  <c r="AX29" i="7"/>
  <c r="AX24" i="7"/>
  <c r="AY24" i="7" s="1"/>
  <c r="AY92" i="7" s="1"/>
  <c r="AY104" i="7" s="1"/>
  <c r="AX14" i="7"/>
  <c r="AY14" i="7" s="1"/>
  <c r="AY89" i="7" s="1"/>
  <c r="AX12" i="7"/>
  <c r="AX11" i="7"/>
  <c r="AX10" i="7"/>
  <c r="AX8" i="7"/>
  <c r="AX7" i="7"/>
  <c r="AX6" i="7"/>
  <c r="AX157" i="12"/>
  <c r="AY158" i="12" s="1"/>
  <c r="AX137" i="12"/>
  <c r="AX149" i="12"/>
  <c r="AX118" i="12"/>
  <c r="AX74" i="12"/>
  <c r="AX25" i="43"/>
  <c r="AX10" i="9"/>
  <c r="AX9" i="9"/>
  <c r="BM31" i="20"/>
  <c r="B21" i="46" s="1"/>
  <c r="AW372" i="7"/>
  <c r="AW389" i="7"/>
  <c r="I18" i="53"/>
  <c r="J18" i="53" s="1"/>
  <c r="L18" i="53" s="1"/>
  <c r="F18" i="53"/>
  <c r="AX209" i="11" l="1"/>
  <c r="BJ320" i="14"/>
  <c r="BK320" i="14" s="1"/>
  <c r="BK313" i="14"/>
  <c r="BL313" i="14" s="1"/>
  <c r="AX389" i="7"/>
  <c r="AY374" i="7"/>
  <c r="AX924" i="7"/>
  <c r="AY238" i="7"/>
  <c r="AX928" i="7"/>
  <c r="AY29" i="7"/>
  <c r="AX58" i="7"/>
  <c r="AY71" i="7"/>
  <c r="AY140" i="7"/>
  <c r="AX410" i="7"/>
  <c r="AY375" i="7"/>
  <c r="AX961" i="7"/>
  <c r="AY906" i="7"/>
  <c r="AY907" i="7" s="1"/>
  <c r="AX51" i="7"/>
  <c r="AX111" i="7" s="1"/>
  <c r="AY70" i="7"/>
  <c r="AY65" i="7"/>
  <c r="AY127" i="7" s="1"/>
  <c r="AY135" i="7"/>
  <c r="AX952" i="7"/>
  <c r="AX951" i="7" s="1"/>
  <c r="AY875" i="7"/>
  <c r="AX401" i="7"/>
  <c r="AY371" i="7"/>
  <c r="AX192" i="11"/>
  <c r="AX23" i="43"/>
  <c r="BB65" i="43"/>
  <c r="BC64" i="43"/>
  <c r="BB7" i="43"/>
  <c r="AX215" i="11"/>
  <c r="AX214" i="11" s="1"/>
  <c r="AX252" i="11" s="1"/>
  <c r="AX255" i="14"/>
  <c r="AY255" i="14" s="1"/>
  <c r="AX163" i="11"/>
  <c r="AX200" i="11" s="1"/>
  <c r="AX270" i="11"/>
  <c r="AX222" i="11"/>
  <c r="AX262" i="11" s="1"/>
  <c r="AX33" i="11"/>
  <c r="AX300" i="14" s="1"/>
  <c r="AX303" i="14" s="1"/>
  <c r="AX306" i="14" s="1"/>
  <c r="AY309" i="14" s="1"/>
  <c r="AX123" i="11"/>
  <c r="AX164" i="11"/>
  <c r="AX275" i="11"/>
  <c r="AX140" i="11"/>
  <c r="AX177" i="11" s="1"/>
  <c r="AZ292" i="11"/>
  <c r="AX96" i="11"/>
  <c r="AX189" i="11"/>
  <c r="AX188" i="11"/>
  <c r="AX60" i="11"/>
  <c r="AX231" i="11" s="1"/>
  <c r="AX208" i="11"/>
  <c r="AX447" i="7"/>
  <c r="AX260" i="11"/>
  <c r="AX77" i="11"/>
  <c r="AX84" i="11"/>
  <c r="AX116" i="11"/>
  <c r="AX261" i="11"/>
  <c r="AX76" i="11"/>
  <c r="AX172" i="11"/>
  <c r="AX78" i="11"/>
  <c r="AX174" i="11"/>
  <c r="AX113" i="11"/>
  <c r="AX85" i="11"/>
  <c r="AX117" i="11"/>
  <c r="AX178" i="11"/>
  <c r="AX245" i="11"/>
  <c r="AX247" i="11"/>
  <c r="AX173" i="11"/>
  <c r="AX302" i="11" s="1"/>
  <c r="AX112" i="11"/>
  <c r="AX75" i="11"/>
  <c r="AX86" i="11"/>
  <c r="AX118" i="11"/>
  <c r="AX181" i="11"/>
  <c r="AX266" i="11"/>
  <c r="AX191" i="11"/>
  <c r="AX99" i="11"/>
  <c r="AX195" i="11"/>
  <c r="AX197" i="11"/>
  <c r="AX104" i="11"/>
  <c r="AX105" i="11"/>
  <c r="AX171" i="11"/>
  <c r="AX253" i="11"/>
  <c r="AX111" i="11"/>
  <c r="AX79" i="11"/>
  <c r="AX287" i="11" s="1"/>
  <c r="AX8" i="44" s="1"/>
  <c r="AX259" i="11"/>
  <c r="AX175" i="11"/>
  <c r="AX89" i="11"/>
  <c r="AX182" i="11"/>
  <c r="AX267" i="11"/>
  <c r="AX190" i="11"/>
  <c r="AX110" i="11"/>
  <c r="AX90" i="11"/>
  <c r="AX121" i="11"/>
  <c r="AX184" i="11"/>
  <c r="AX268" i="11"/>
  <c r="AX97" i="11"/>
  <c r="AX98" i="11"/>
  <c r="AX100" i="11"/>
  <c r="AX103" i="11"/>
  <c r="AX248" i="11"/>
  <c r="AX107" i="11"/>
  <c r="AX258" i="11"/>
  <c r="AX92" i="11"/>
  <c r="AX122" i="11"/>
  <c r="AX185" i="11"/>
  <c r="AX269" i="11"/>
  <c r="AX140" i="7"/>
  <c r="AX700" i="7"/>
  <c r="AX230" i="7"/>
  <c r="AX297" i="7" s="1"/>
  <c r="AX299" i="7" s="1"/>
  <c r="AX300" i="7" s="1"/>
  <c r="AX255" i="11"/>
  <c r="AX152" i="14"/>
  <c r="AX929" i="7"/>
  <c r="AX962" i="7"/>
  <c r="AX857" i="7"/>
  <c r="AX9" i="7"/>
  <c r="AX84" i="7" s="1"/>
  <c r="AX465" i="7"/>
  <c r="AX464" i="7"/>
  <c r="AX505" i="7"/>
  <c r="AX118" i="7"/>
  <c r="AX632" i="7"/>
  <c r="AX135" i="7"/>
  <c r="AX136" i="7"/>
  <c r="AX238" i="7"/>
  <c r="AX449" i="7"/>
  <c r="AX86" i="7"/>
  <c r="AX222" i="7"/>
  <c r="AX454" i="7"/>
  <c r="AX739" i="7"/>
  <c r="AX87" i="7"/>
  <c r="AX459" i="7"/>
  <c r="AY446" i="7" s="1"/>
  <c r="AX633" i="7"/>
  <c r="AX409" i="7"/>
  <c r="AX504" i="7" s="1"/>
  <c r="AX83" i="7"/>
  <c r="AX450" i="7"/>
  <c r="AW228" i="7"/>
  <c r="AX228" i="7"/>
  <c r="AX326" i="7"/>
  <c r="AX323" i="7" s="1"/>
  <c r="AX89" i="7"/>
  <c r="AW229" i="7"/>
  <c r="AX634" i="7"/>
  <c r="AX229" i="7"/>
  <c r="AX902" i="7"/>
  <c r="AX903" i="7"/>
  <c r="L9" i="61"/>
  <c r="M9" i="61" s="1"/>
  <c r="L11" i="61"/>
  <c r="M11" i="61" s="1"/>
  <c r="H47" i="61"/>
  <c r="I27" i="61"/>
  <c r="I47" i="61" s="1"/>
  <c r="J13" i="61"/>
  <c r="L5" i="61"/>
  <c r="M5" i="61" s="1"/>
  <c r="L7" i="61"/>
  <c r="M7" i="61" s="1"/>
  <c r="L8" i="61"/>
  <c r="M8" i="61" s="1"/>
  <c r="L10" i="61"/>
  <c r="M10" i="61" s="1"/>
  <c r="K13" i="61"/>
  <c r="AX106" i="11"/>
  <c r="AX183" i="11"/>
  <c r="AW232" i="7"/>
  <c r="AW260" i="7" s="1"/>
  <c r="AX232" i="7"/>
  <c r="AX260" i="7" s="1"/>
  <c r="AW222" i="7"/>
  <c r="AX99" i="7"/>
  <c r="AX65" i="7"/>
  <c r="AX127" i="7" s="1"/>
  <c r="AX133" i="7"/>
  <c r="AX134" i="7"/>
  <c r="AX81" i="7"/>
  <c r="AX82" i="7"/>
  <c r="AX92" i="7"/>
  <c r="AX104" i="7" s="1"/>
  <c r="AX128" i="7"/>
  <c r="AX85" i="7"/>
  <c r="AX119" i="7"/>
  <c r="AX97" i="7"/>
  <c r="AX95" i="7"/>
  <c r="AX98" i="7"/>
  <c r="L582" i="42"/>
  <c r="AZ76" i="44"/>
  <c r="AX36" i="44" l="1"/>
  <c r="AX39" i="44" s="1"/>
  <c r="AY40" i="44" s="1"/>
  <c r="AX348" i="11"/>
  <c r="AX211" i="11"/>
  <c r="AX249" i="11" s="1"/>
  <c r="BM313" i="14"/>
  <c r="BL320" i="14"/>
  <c r="AX119" i="11"/>
  <c r="BM101" i="20"/>
  <c r="AX350" i="11" s="1"/>
  <c r="AY925" i="7"/>
  <c r="AY133" i="7"/>
  <c r="AY51" i="7"/>
  <c r="AY111" i="7" s="1"/>
  <c r="AY928" i="7"/>
  <c r="AY929" i="7" s="1"/>
  <c r="AY931" i="7" s="1"/>
  <c r="AY95" i="7"/>
  <c r="AY410" i="7"/>
  <c r="AY505" i="7" s="1"/>
  <c r="AY450" i="7"/>
  <c r="AY58" i="7"/>
  <c r="AY118" i="7" s="1"/>
  <c r="AY134" i="7"/>
  <c r="AY449" i="7"/>
  <c r="AY389" i="7"/>
  <c r="AY464" i="7" s="1"/>
  <c r="AX963" i="7"/>
  <c r="AX965" i="7" s="1"/>
  <c r="AX212" i="11"/>
  <c r="AX83" i="44"/>
  <c r="AX301" i="11"/>
  <c r="AX9" i="44" s="1"/>
  <c r="AX223" i="11"/>
  <c r="AX93" i="11"/>
  <c r="BD64" i="43"/>
  <c r="BC65" i="43"/>
  <c r="BC7" i="43"/>
  <c r="AY49" i="44"/>
  <c r="AX68" i="11"/>
  <c r="AX127" i="11" s="1"/>
  <c r="AX246" i="11"/>
  <c r="AX250" i="11" s="1"/>
  <c r="AX198" i="11"/>
  <c r="AX81" i="11"/>
  <c r="AX232" i="11"/>
  <c r="AX271" i="11"/>
  <c r="AX272" i="11" s="1"/>
  <c r="AX263" i="11"/>
  <c r="AX237" i="11"/>
  <c r="AX254" i="11"/>
  <c r="AX13" i="7"/>
  <c r="AX88" i="7" s="1"/>
  <c r="AX224" i="7"/>
  <c r="AX248" i="7"/>
  <c r="AX496" i="7"/>
  <c r="AX268" i="7"/>
  <c r="AX219" i="14"/>
  <c r="AX865" i="7"/>
  <c r="AW231" i="7"/>
  <c r="AX234" i="7"/>
  <c r="AX235" i="7" s="1"/>
  <c r="AX324" i="7"/>
  <c r="AX320" i="7"/>
  <c r="AX319" i="7"/>
  <c r="AX231" i="7"/>
  <c r="J51" i="61"/>
  <c r="I48" i="61"/>
  <c r="L12" i="61"/>
  <c r="M12" i="61" s="1"/>
  <c r="AW224" i="7"/>
  <c r="AW234" i="7"/>
  <c r="AW10" i="45"/>
  <c r="P536" i="42"/>
  <c r="Q536" i="42"/>
  <c r="N533" i="42"/>
  <c r="O533" i="42"/>
  <c r="P533" i="42"/>
  <c r="Q533" i="42"/>
  <c r="R533" i="42"/>
  <c r="Q532" i="42"/>
  <c r="P531" i="42"/>
  <c r="O530" i="42"/>
  <c r="P530" i="42" s="1"/>
  <c r="Q530" i="42" s="1"/>
  <c r="R530" i="42" s="1"/>
  <c r="S530" i="42" s="1"/>
  <c r="AR540" i="12"/>
  <c r="AQ540" i="12"/>
  <c r="BN313" i="14" l="1"/>
  <c r="BM320" i="14"/>
  <c r="BM103" i="20"/>
  <c r="BM100" i="20"/>
  <c r="BM154" i="20"/>
  <c r="AX256" i="7"/>
  <c r="AX681" i="7"/>
  <c r="AX683" i="7" s="1"/>
  <c r="AY50" i="44"/>
  <c r="AY34" i="44" s="1"/>
  <c r="AX10" i="44"/>
  <c r="AX303" i="11"/>
  <c r="AY321" i="11" s="1"/>
  <c r="BE64" i="43"/>
  <c r="BD65" i="43"/>
  <c r="BD7" i="43"/>
  <c r="AX238" i="11"/>
  <c r="AX277" i="11"/>
  <c r="BM83" i="20"/>
  <c r="AX211" i="14"/>
  <c r="AW235" i="7"/>
  <c r="AW254" i="7"/>
  <c r="AW887" i="7"/>
  <c r="AW149" i="12"/>
  <c r="AU149" i="12"/>
  <c r="AT149" i="12"/>
  <c r="AS149" i="12"/>
  <c r="AR149" i="12"/>
  <c r="AP149" i="12"/>
  <c r="AO149" i="12"/>
  <c r="AO133" i="12"/>
  <c r="AV132" i="12"/>
  <c r="AQ132" i="12"/>
  <c r="AV148" i="12"/>
  <c r="AQ148" i="12"/>
  <c r="AR536" i="12"/>
  <c r="AR530" i="12" s="1"/>
  <c r="G7" i="16"/>
  <c r="D7" i="16"/>
  <c r="E40" i="17" s="1"/>
  <c r="H40" i="17"/>
  <c r="E9" i="18"/>
  <c r="E11" i="18"/>
  <c r="E12" i="18"/>
  <c r="E13" i="18"/>
  <c r="E14" i="18"/>
  <c r="E15" i="18"/>
  <c r="Y61" i="18"/>
  <c r="Y64" i="18"/>
  <c r="Y67" i="18"/>
  <c r="Y70" i="18"/>
  <c r="Y73" i="18"/>
  <c r="Y76" i="18"/>
  <c r="D6" i="24"/>
  <c r="D7" i="24"/>
  <c r="D8" i="24"/>
  <c r="D9" i="24"/>
  <c r="K30" i="47"/>
  <c r="AX76" i="44"/>
  <c r="BO313" i="14" l="1"/>
  <c r="BN320" i="14"/>
  <c r="BM156" i="20"/>
  <c r="BM153" i="20"/>
  <c r="R532" i="42"/>
  <c r="AR539" i="12"/>
  <c r="BE65" i="43"/>
  <c r="BE7" i="43"/>
  <c r="AY102" i="44"/>
  <c r="AX102" i="44"/>
  <c r="AX101" i="44"/>
  <c r="BU182" i="14"/>
  <c r="BP182" i="14"/>
  <c r="BK182" i="14"/>
  <c r="BU136" i="14"/>
  <c r="BP136" i="14"/>
  <c r="BK136" i="14"/>
  <c r="BP313" i="14" l="1"/>
  <c r="BQ313" i="14" s="1"/>
  <c r="BO320" i="14"/>
  <c r="BP320" i="14" s="1"/>
  <c r="BM231" i="20"/>
  <c r="BM58" i="20"/>
  <c r="C12" i="46" s="1"/>
  <c r="BF7" i="43"/>
  <c r="AX140" i="14"/>
  <c r="AX200" i="14"/>
  <c r="AX204" i="14" s="1"/>
  <c r="BR313" i="14" l="1"/>
  <c r="BQ320" i="14"/>
  <c r="AX209" i="14"/>
  <c r="H45" i="55"/>
  <c r="I45" i="55" s="1"/>
  <c r="H41" i="55"/>
  <c r="I41" i="55" s="1"/>
  <c r="H40" i="55"/>
  <c r="I40" i="55" s="1"/>
  <c r="H39" i="55"/>
  <c r="I39" i="55" s="1"/>
  <c r="H38" i="55"/>
  <c r="I38" i="55" s="1"/>
  <c r="H37" i="55"/>
  <c r="I37" i="55" s="1"/>
  <c r="H36" i="55"/>
  <c r="I36" i="55" s="1"/>
  <c r="H35" i="55"/>
  <c r="I35" i="55" s="1"/>
  <c r="H34" i="55"/>
  <c r="I34" i="55" s="1"/>
  <c r="H33" i="55"/>
  <c r="I33" i="55" s="1"/>
  <c r="H32" i="55"/>
  <c r="I32" i="55" s="1"/>
  <c r="H31" i="55"/>
  <c r="I31" i="55" s="1"/>
  <c r="H30" i="55"/>
  <c r="I30" i="55" s="1"/>
  <c r="H29" i="55"/>
  <c r="I29" i="55" s="1"/>
  <c r="H28" i="55"/>
  <c r="I28" i="55" s="1"/>
  <c r="H27" i="55"/>
  <c r="I27" i="55" s="1"/>
  <c r="H26" i="55"/>
  <c r="H25" i="55"/>
  <c r="I25" i="55" s="1"/>
  <c r="H24" i="55"/>
  <c r="I24" i="55" s="1"/>
  <c r="H23" i="55"/>
  <c r="I23" i="55" s="1"/>
  <c r="H22" i="55"/>
  <c r="I22" i="55" s="1"/>
  <c r="H21" i="55"/>
  <c r="I21" i="55" s="1"/>
  <c r="H20" i="55"/>
  <c r="H19" i="55"/>
  <c r="I19" i="55" s="1"/>
  <c r="H18" i="55"/>
  <c r="I18" i="55" s="1"/>
  <c r="H17" i="55"/>
  <c r="H16" i="55"/>
  <c r="I16" i="55" s="1"/>
  <c r="H15" i="55"/>
  <c r="I15" i="55" s="1"/>
  <c r="H14" i="55"/>
  <c r="H13" i="55"/>
  <c r="I13" i="55" s="1"/>
  <c r="H12" i="55"/>
  <c r="I12" i="55" s="1"/>
  <c r="H11" i="55"/>
  <c r="I11" i="55" s="1"/>
  <c r="H10" i="55"/>
  <c r="I10" i="55" s="1"/>
  <c r="H9" i="55"/>
  <c r="I9" i="55" s="1"/>
  <c r="H8" i="55"/>
  <c r="I8" i="55" s="1"/>
  <c r="K7" i="55"/>
  <c r="K8" i="55" s="1"/>
  <c r="K9" i="55" s="1"/>
  <c r="K10" i="55" s="1"/>
  <c r="H7" i="55"/>
  <c r="I7" i="55" s="1"/>
  <c r="H6" i="55"/>
  <c r="H5" i="55"/>
  <c r="I5" i="55" s="1"/>
  <c r="H4" i="55"/>
  <c r="I4" i="55" s="1"/>
  <c r="L3" i="55"/>
  <c r="H3" i="55"/>
  <c r="I3" i="55" s="1"/>
  <c r="H2" i="55"/>
  <c r="I2" i="55" s="1"/>
  <c r="AX105" i="44" l="1"/>
  <c r="AX63" i="44" s="1"/>
  <c r="BA63" i="44" s="1"/>
  <c r="BS313" i="14"/>
  <c r="BR320" i="14"/>
  <c r="L11" i="55"/>
  <c r="M11" i="55" s="1"/>
  <c r="L7" i="55"/>
  <c r="M7" i="55" s="1"/>
  <c r="I20" i="55"/>
  <c r="K25" i="55" s="1"/>
  <c r="J25" i="55"/>
  <c r="L6" i="55"/>
  <c r="M6" i="55" s="1"/>
  <c r="I26" i="55"/>
  <c r="K35" i="55" s="1"/>
  <c r="J35" i="55"/>
  <c r="L10" i="55"/>
  <c r="M10" i="55" s="1"/>
  <c r="I17" i="55"/>
  <c r="K19" i="55" s="1"/>
  <c r="J19" i="55"/>
  <c r="J16" i="55"/>
  <c r="L8" i="55"/>
  <c r="M8" i="55" s="1"/>
  <c r="L9" i="55"/>
  <c r="M9" i="55" s="1"/>
  <c r="L5" i="55"/>
  <c r="H42" i="55"/>
  <c r="I6" i="55"/>
  <c r="I14" i="55"/>
  <c r="K16" i="55" s="1"/>
  <c r="BT313" i="14" l="1"/>
  <c r="BS320" i="14"/>
  <c r="L12" i="55"/>
  <c r="M12" i="55" s="1"/>
  <c r="M5" i="55"/>
  <c r="I42" i="55"/>
  <c r="J43" i="55" s="1"/>
  <c r="BU313" i="14" l="1"/>
  <c r="BV313" i="14" s="1"/>
  <c r="BT320" i="14"/>
  <c r="BU320" i="14" s="1"/>
  <c r="I43" i="55"/>
  <c r="BW313" i="14" l="1"/>
  <c r="BV320" i="14"/>
  <c r="AR210" i="11"/>
  <c r="BL212" i="20"/>
  <c r="AW989" i="7"/>
  <c r="AW254" i="14"/>
  <c r="AW253" i="14"/>
  <c r="AW252" i="14"/>
  <c r="AW251" i="14"/>
  <c r="BX313" i="14" l="1"/>
  <c r="BW320" i="14"/>
  <c r="AW9" i="45"/>
  <c r="AY190" i="43"/>
  <c r="AY15" i="43" s="1"/>
  <c r="AZ15" i="43" s="1"/>
  <c r="AW178" i="43"/>
  <c r="AU178" i="43"/>
  <c r="AY173" i="43"/>
  <c r="AY143" i="43"/>
  <c r="AY127" i="43"/>
  <c r="AZ128" i="43" s="1"/>
  <c r="AY125" i="43"/>
  <c r="AY122" i="43"/>
  <c r="AY38" i="43"/>
  <c r="AX38" i="43"/>
  <c r="AY106" i="43"/>
  <c r="AZ107" i="43" s="1"/>
  <c r="AY77" i="43"/>
  <c r="AY47" i="43"/>
  <c r="AY78" i="45"/>
  <c r="AY75" i="45"/>
  <c r="AY73" i="45"/>
  <c r="AY63" i="45"/>
  <c r="AY66" i="45" s="1"/>
  <c r="AY68" i="45"/>
  <c r="AW68" i="45"/>
  <c r="AY61" i="45"/>
  <c r="AY51" i="45"/>
  <c r="AY56" i="45"/>
  <c r="AW56" i="45"/>
  <c r="AY49" i="45"/>
  <c r="AY42" i="45"/>
  <c r="AY32" i="45"/>
  <c r="AY27" i="45"/>
  <c r="AZ27" i="45" s="1"/>
  <c r="AY37" i="45"/>
  <c r="AY25" i="45"/>
  <c r="AW1097" i="7"/>
  <c r="AW1100" i="7" s="1"/>
  <c r="AW1093" i="7"/>
  <c r="AW1092" i="7" s="1"/>
  <c r="AW971" i="7"/>
  <c r="AX976" i="7" s="1"/>
  <c r="AW966" i="7"/>
  <c r="AW956" i="7"/>
  <c r="AW959" i="7" s="1"/>
  <c r="AU166" i="13"/>
  <c r="AV166" i="13" s="1"/>
  <c r="AW166" i="13" s="1"/>
  <c r="AT149" i="13"/>
  <c r="AU149" i="13" s="1"/>
  <c r="AV149" i="13" s="1"/>
  <c r="AW149" i="13" s="1"/>
  <c r="AX149" i="13" s="1"/>
  <c r="AY149" i="13" s="1"/>
  <c r="AV165" i="13"/>
  <c r="AW165" i="13" s="1"/>
  <c r="AU148" i="13"/>
  <c r="BA164" i="13"/>
  <c r="AZ189" i="13"/>
  <c r="BA163" i="13"/>
  <c r="BA160" i="13"/>
  <c r="BA159" i="13"/>
  <c r="BA162" i="13"/>
  <c r="BB162" i="13" s="1"/>
  <c r="AW174" i="13"/>
  <c r="BI152" i="20"/>
  <c r="R601" i="42" s="1"/>
  <c r="BH152" i="20"/>
  <c r="Q601" i="42" s="1"/>
  <c r="AW157" i="13"/>
  <c r="AY98" i="13"/>
  <c r="AY91" i="13"/>
  <c r="AY90" i="13"/>
  <c r="AY88" i="13"/>
  <c r="AY87" i="13"/>
  <c r="AX88" i="13"/>
  <c r="AX90" i="13"/>
  <c r="AX91" i="13"/>
  <c r="AX98" i="13"/>
  <c r="AX81" i="13"/>
  <c r="AX79" i="13"/>
  <c r="AX77" i="13"/>
  <c r="AX76" i="13"/>
  <c r="BA56" i="13"/>
  <c r="AX73" i="13"/>
  <c r="AW364" i="13"/>
  <c r="AX364" i="13" s="1"/>
  <c r="AX360" i="13" s="1"/>
  <c r="BA108" i="13"/>
  <c r="AW362" i="13"/>
  <c r="AW359" i="13"/>
  <c r="AY403" i="13"/>
  <c r="AX403" i="13"/>
  <c r="BC162" i="13" l="1"/>
  <c r="Z628" i="42"/>
  <c r="BY313" i="14"/>
  <c r="BX320" i="14"/>
  <c r="AY52" i="45"/>
  <c r="AZ51" i="45"/>
  <c r="AY54" i="45"/>
  <c r="AZ30" i="45"/>
  <c r="AZ28" i="45"/>
  <c r="AY28" i="45"/>
  <c r="AY30" i="45"/>
  <c r="AW173" i="13"/>
  <c r="AY7" i="45"/>
  <c r="AZ149" i="13"/>
  <c r="BA149" i="13" s="1"/>
  <c r="AW11" i="45"/>
  <c r="AV148" i="13"/>
  <c r="AW148" i="13" s="1"/>
  <c r="AX148" i="13" s="1"/>
  <c r="AY148" i="13" s="1"/>
  <c r="K567" i="42"/>
  <c r="AX166" i="13"/>
  <c r="AY166" i="13" s="1"/>
  <c r="AZ166" i="13" s="1"/>
  <c r="BA166" i="13" s="1"/>
  <c r="BB166" i="13" s="1"/>
  <c r="BC166" i="13" s="1"/>
  <c r="BD166" i="13" s="1"/>
  <c r="BE166" i="13" s="1"/>
  <c r="BF166" i="13" s="1"/>
  <c r="AZ147" i="13"/>
  <c r="BA147" i="13" s="1"/>
  <c r="AY64" i="45"/>
  <c r="AZ194" i="13"/>
  <c r="BB195" i="13" s="1"/>
  <c r="AZ192" i="13"/>
  <c r="AW360" i="13"/>
  <c r="AY97" i="13"/>
  <c r="AY92" i="13"/>
  <c r="AX362" i="13"/>
  <c r="AY89" i="13"/>
  <c r="AY93" i="13"/>
  <c r="AY95" i="13"/>
  <c r="AY364" i="13"/>
  <c r="BD162" i="13" l="1"/>
  <c r="AA628" i="42"/>
  <c r="BY320" i="14"/>
  <c r="BZ320" i="14" s="1"/>
  <c r="BZ313" i="14"/>
  <c r="BA165" i="13"/>
  <c r="BB165" i="13" s="1"/>
  <c r="BJ51" i="13"/>
  <c r="AZ148" i="13"/>
  <c r="AZ54" i="45"/>
  <c r="AZ7" i="45" s="1"/>
  <c r="AZ52" i="45"/>
  <c r="AZ364" i="13"/>
  <c r="AZ360" i="13" s="1"/>
  <c r="AX173" i="13"/>
  <c r="BK51" i="13"/>
  <c r="AW385" i="13"/>
  <c r="AW382" i="13"/>
  <c r="AW383" i="13" s="1"/>
  <c r="AY380" i="13"/>
  <c r="AY330" i="13"/>
  <c r="AY328" i="13"/>
  <c r="AZ279" i="13"/>
  <c r="AY276" i="13"/>
  <c r="AW181" i="13"/>
  <c r="AX182" i="13" s="1"/>
  <c r="AZ115" i="13"/>
  <c r="BA115" i="13" s="1"/>
  <c r="AW127" i="13"/>
  <c r="AX357" i="13"/>
  <c r="AU202" i="13"/>
  <c r="AY194" i="13"/>
  <c r="AZ195" i="13" s="1"/>
  <c r="AY192" i="13"/>
  <c r="AY189" i="13"/>
  <c r="BE162" i="13" l="1"/>
  <c r="AB628" i="42"/>
  <c r="BC165" i="13"/>
  <c r="BA7" i="45"/>
  <c r="AZ18" i="45"/>
  <c r="G10" i="52"/>
  <c r="AY333" i="13"/>
  <c r="AZ331" i="13"/>
  <c r="K568" i="42"/>
  <c r="BA148" i="13"/>
  <c r="AY281" i="13"/>
  <c r="BF162" i="13" l="1"/>
  <c r="AC628" i="42"/>
  <c r="AZ334" i="13"/>
  <c r="AY336" i="13"/>
  <c r="BD165" i="13"/>
  <c r="AZ282" i="13"/>
  <c r="AY284" i="13"/>
  <c r="AW928" i="7"/>
  <c r="AW901" i="7"/>
  <c r="AX906" i="7" s="1"/>
  <c r="AX24" i="13" s="1"/>
  <c r="AW900" i="7"/>
  <c r="AX905" i="7" s="1"/>
  <c r="AX23" i="13" s="1"/>
  <c r="AW869" i="7"/>
  <c r="AW853" i="7"/>
  <c r="AW856" i="7"/>
  <c r="AW861" i="7"/>
  <c r="AW846" i="7"/>
  <c r="AW845" i="7"/>
  <c r="AW840" i="7"/>
  <c r="AW780" i="7"/>
  <c r="AW782" i="7" s="1"/>
  <c r="AW791" i="7"/>
  <c r="AW799" i="7" s="1"/>
  <c r="AW634" i="7"/>
  <c r="AW633" i="7"/>
  <c r="AW632" i="7"/>
  <c r="AW567" i="7"/>
  <c r="AW516" i="7"/>
  <c r="AU491" i="7"/>
  <c r="AU492" i="7" s="1"/>
  <c r="AW410" i="7"/>
  <c r="AW384" i="7"/>
  <c r="AU275" i="7"/>
  <c r="AW266" i="7"/>
  <c r="AW244" i="7" s="1"/>
  <c r="AW214" i="7"/>
  <c r="AW52" i="7"/>
  <c r="AW102" i="7"/>
  <c r="AW326" i="7" s="1"/>
  <c r="AW9" i="7"/>
  <c r="AW13" i="7" s="1"/>
  <c r="AW737" i="7"/>
  <c r="AX742" i="7" s="1"/>
  <c r="AX22" i="12" s="1"/>
  <c r="AW736" i="7"/>
  <c r="AX741" i="7" s="1"/>
  <c r="AX21" i="12" s="1"/>
  <c r="AW707" i="7"/>
  <c r="AW708" i="7" s="1"/>
  <c r="AX525" i="7" s="1"/>
  <c r="AW647" i="7"/>
  <c r="AY92" i="12"/>
  <c r="AY91" i="12"/>
  <c r="AY90" i="12"/>
  <c r="AY89" i="12"/>
  <c r="AY88" i="12"/>
  <c r="AY87" i="12"/>
  <c r="AY86" i="12"/>
  <c r="AY511" i="12"/>
  <c r="AZ511" i="12" s="1"/>
  <c r="AY503" i="12"/>
  <c r="AY498" i="12"/>
  <c r="AW480" i="12"/>
  <c r="AW477" i="12"/>
  <c r="AW478" i="12" s="1"/>
  <c r="AY475" i="12"/>
  <c r="AY396" i="12"/>
  <c r="AY394" i="12"/>
  <c r="AY407" i="12"/>
  <c r="AZ407" i="12" s="1"/>
  <c r="AY423" i="12"/>
  <c r="AY341" i="12"/>
  <c r="AY339" i="12"/>
  <c r="AY336" i="12"/>
  <c r="AW315" i="12"/>
  <c r="AY313" i="12"/>
  <c r="AW240" i="12"/>
  <c r="AY266" i="12"/>
  <c r="AY264" i="12"/>
  <c r="AY261" i="12"/>
  <c r="AT222" i="12"/>
  <c r="AU222" i="12" s="1"/>
  <c r="AW222" i="12" s="1"/>
  <c r="AX222" i="12" s="1"/>
  <c r="AX218" i="12" s="1"/>
  <c r="AY238" i="12"/>
  <c r="AW194" i="12"/>
  <c r="AW217" i="12"/>
  <c r="AY215" i="12"/>
  <c r="AY192" i="12"/>
  <c r="AX192" i="12"/>
  <c r="AW192" i="12"/>
  <c r="AW176" i="12"/>
  <c r="AW171" i="12"/>
  <c r="AW137" i="12"/>
  <c r="AY169" i="12"/>
  <c r="AY337" i="13" l="1"/>
  <c r="AZ336" i="13"/>
  <c r="BE165" i="13"/>
  <c r="AX178" i="12"/>
  <c r="AX186" i="12" s="1"/>
  <c r="AY269" i="12"/>
  <c r="AZ267" i="12"/>
  <c r="AY344" i="12"/>
  <c r="AZ342" i="12"/>
  <c r="AX250" i="12"/>
  <c r="AX254" i="12" s="1"/>
  <c r="AX247" i="12"/>
  <c r="AW316" i="12"/>
  <c r="AX322" i="12"/>
  <c r="AX325" i="12"/>
  <c r="AX329" i="12" s="1"/>
  <c r="AY399" i="12"/>
  <c r="AZ397" i="12"/>
  <c r="AY506" i="12"/>
  <c r="AZ504" i="12"/>
  <c r="AX23" i="12"/>
  <c r="AX17" i="12"/>
  <c r="AX21" i="44" s="1"/>
  <c r="AX70" i="44" s="1"/>
  <c r="AW98" i="7"/>
  <c r="AW99" i="7"/>
  <c r="AX25" i="13"/>
  <c r="AX19" i="13"/>
  <c r="AW929" i="7"/>
  <c r="AW464" i="7"/>
  <c r="AX743" i="7"/>
  <c r="AW320" i="7"/>
  <c r="AW319" i="7"/>
  <c r="AW324" i="7"/>
  <c r="AW323" i="7"/>
  <c r="AW401" i="7"/>
  <c r="AX371" i="7"/>
  <c r="AW952" i="7"/>
  <c r="AW951" i="7" s="1"/>
  <c r="AW225" i="7"/>
  <c r="AW226" i="7" s="1"/>
  <c r="AX875" i="7"/>
  <c r="AX907" i="7"/>
  <c r="AW796" i="7"/>
  <c r="AW798" i="7"/>
  <c r="AW800" i="7"/>
  <c r="AW797" i="7"/>
  <c r="AW454" i="7"/>
  <c r="AW140" i="7"/>
  <c r="AW119" i="7"/>
  <c r="AW118" i="7"/>
  <c r="AW128" i="7"/>
  <c r="AW136" i="7"/>
  <c r="AW135" i="7"/>
  <c r="AW134" i="7"/>
  <c r="AW133" i="7"/>
  <c r="AW127" i="7"/>
  <c r="AW111" i="7"/>
  <c r="AW373" i="7"/>
  <c r="AW448" i="7" s="1"/>
  <c r="AW112" i="7"/>
  <c r="AX52" i="7"/>
  <c r="AY52" i="7" s="1"/>
  <c r="AW45" i="7"/>
  <c r="AW739" i="7"/>
  <c r="AW902" i="7"/>
  <c r="AW961" i="7"/>
  <c r="AW44" i="7"/>
  <c r="AW449" i="7"/>
  <c r="AW505" i="7"/>
  <c r="AW248" i="7"/>
  <c r="AW450" i="7"/>
  <c r="AW924" i="7"/>
  <c r="AW97" i="7"/>
  <c r="AW459" i="7"/>
  <c r="AY501" i="12"/>
  <c r="AY15" i="45"/>
  <c r="AZ16" i="45" s="1"/>
  <c r="AW903" i="7"/>
  <c r="AW81" i="7"/>
  <c r="AW82" i="7"/>
  <c r="AW83" i="7"/>
  <c r="AW84" i="7"/>
  <c r="AW85" i="7"/>
  <c r="AW86" i="7"/>
  <c r="AW87" i="7"/>
  <c r="AW88" i="7"/>
  <c r="AW89" i="7"/>
  <c r="AW92" i="7"/>
  <c r="AW104" i="7" s="1"/>
  <c r="AW95" i="7"/>
  <c r="AY397" i="12"/>
  <c r="AX181" i="12"/>
  <c r="AW218" i="12"/>
  <c r="AW172" i="12"/>
  <c r="AX931" i="7" l="1"/>
  <c r="AX925" i="7"/>
  <c r="AY373" i="7"/>
  <c r="AY112" i="7"/>
  <c r="BA336" i="13"/>
  <c r="BB336" i="13" s="1"/>
  <c r="AZ48" i="13"/>
  <c r="BA48" i="13" s="1"/>
  <c r="BF165" i="13"/>
  <c r="AX330" i="12"/>
  <c r="AX326" i="12"/>
  <c r="AX323" i="12"/>
  <c r="AX331" i="12"/>
  <c r="AX248" i="12"/>
  <c r="AX255" i="12"/>
  <c r="AX256" i="12" s="1"/>
  <c r="AX251" i="12"/>
  <c r="AY507" i="12"/>
  <c r="AZ506" i="12"/>
  <c r="AY402" i="12"/>
  <c r="AZ400" i="12"/>
  <c r="AZ344" i="12"/>
  <c r="AY270" i="12"/>
  <c r="AZ269" i="12"/>
  <c r="AX179" i="12"/>
  <c r="AW496" i="7"/>
  <c r="AX446" i="7"/>
  <c r="AX112" i="7"/>
  <c r="AX373" i="7"/>
  <c r="AX448" i="7" s="1"/>
  <c r="AX456" i="7" s="1"/>
  <c r="AX458" i="7" s="1"/>
  <c r="AZ924" i="7"/>
  <c r="AW962" i="7"/>
  <c r="AW963" i="7" s="1"/>
  <c r="AW965" i="7" s="1"/>
  <c r="BA181" i="13"/>
  <c r="BA15" i="45" s="1"/>
  <c r="AZ182" i="13"/>
  <c r="AX185" i="12"/>
  <c r="AX182" i="12"/>
  <c r="BA924" i="7" l="1"/>
  <c r="AZ925" i="7"/>
  <c r="BQ101" i="20"/>
  <c r="BB350" i="11" s="1"/>
  <c r="BB857" i="7"/>
  <c r="AY381" i="7"/>
  <c r="AY383" i="7" s="1"/>
  <c r="AY448" i="7"/>
  <c r="AY456" i="7" s="1"/>
  <c r="AY458" i="7" s="1"/>
  <c r="BC336" i="13"/>
  <c r="BB337" i="13"/>
  <c r="BB48" i="13"/>
  <c r="AZ270" i="12"/>
  <c r="AZ56" i="12"/>
  <c r="BA56" i="12" s="1"/>
  <c r="AZ59" i="12"/>
  <c r="AZ507" i="12"/>
  <c r="AZ65" i="12"/>
  <c r="BA65" i="12" s="1"/>
  <c r="AY403" i="12"/>
  <c r="AZ402" i="12"/>
  <c r="AX381" i="7"/>
  <c r="AX383" i="7" s="1"/>
  <c r="AX187" i="12"/>
  <c r="AW230" i="11"/>
  <c r="AW228" i="11"/>
  <c r="AW221" i="11"/>
  <c r="AW220" i="11"/>
  <c r="AW219" i="11"/>
  <c r="AW218" i="11"/>
  <c r="AW210" i="11"/>
  <c r="AW156" i="11"/>
  <c r="AW148" i="11"/>
  <c r="AW138" i="11"/>
  <c r="AW305" i="14" s="1"/>
  <c r="AW280" i="11"/>
  <c r="AW64" i="11"/>
  <c r="AW235" i="11" s="1"/>
  <c r="AW54" i="11"/>
  <c r="AW227" i="11" s="1"/>
  <c r="AW47" i="11"/>
  <c r="AW226" i="11" s="1"/>
  <c r="AW40" i="11"/>
  <c r="AW30" i="11"/>
  <c r="AW298" i="14" s="1"/>
  <c r="AW26" i="11"/>
  <c r="AW265" i="14" s="1"/>
  <c r="AW277" i="14" s="1"/>
  <c r="AW276" i="14" s="1"/>
  <c r="AW21" i="11"/>
  <c r="BK147" i="20"/>
  <c r="BL104" i="20"/>
  <c r="BR101" i="20" l="1"/>
  <c r="BC350" i="11" s="1"/>
  <c r="BQ103" i="20"/>
  <c r="BQ100" i="20"/>
  <c r="BC337" i="13"/>
  <c r="BD336" i="13"/>
  <c r="BC48" i="13"/>
  <c r="AZ61" i="12"/>
  <c r="BA61" i="12" s="1"/>
  <c r="AZ403" i="12"/>
  <c r="BA59" i="12"/>
  <c r="AZ347" i="12"/>
  <c r="AW275" i="11"/>
  <c r="AW163" i="11"/>
  <c r="AW200" i="11" s="1"/>
  <c r="AW197" i="11"/>
  <c r="AW191" i="11"/>
  <c r="AW190" i="11"/>
  <c r="AW181" i="11"/>
  <c r="AW172" i="11"/>
  <c r="AW182" i="11"/>
  <c r="AW195" i="11"/>
  <c r="AW189" i="11"/>
  <c r="AW184" i="11"/>
  <c r="AW183" i="11"/>
  <c r="AW178" i="11"/>
  <c r="AW174" i="11"/>
  <c r="AW171" i="11"/>
  <c r="AW192" i="11"/>
  <c r="AW175" i="11"/>
  <c r="AW173" i="11"/>
  <c r="AW302" i="11" s="1"/>
  <c r="AW188" i="11"/>
  <c r="AW185" i="11"/>
  <c r="AW140" i="11"/>
  <c r="AW177" i="11" s="1"/>
  <c r="AW215" i="11"/>
  <c r="AW253" i="11" s="1"/>
  <c r="AW255" i="14"/>
  <c r="AW266" i="11"/>
  <c r="AW267" i="11"/>
  <c r="AW260" i="11"/>
  <c r="AW248" i="11"/>
  <c r="AW258" i="11"/>
  <c r="AW270" i="11"/>
  <c r="AW259" i="11"/>
  <c r="AW268" i="11"/>
  <c r="AW269" i="11"/>
  <c r="AW261" i="11"/>
  <c r="AW90" i="11"/>
  <c r="AW100" i="11"/>
  <c r="AW106" i="11"/>
  <c r="AW118" i="11"/>
  <c r="AW117" i="11"/>
  <c r="AW121" i="11"/>
  <c r="AW105" i="11"/>
  <c r="AW84" i="11"/>
  <c r="AW85" i="11"/>
  <c r="AW103" i="11"/>
  <c r="AW104" i="11"/>
  <c r="AW107" i="11"/>
  <c r="AW110" i="11"/>
  <c r="AW111" i="11"/>
  <c r="AW112" i="11"/>
  <c r="AW79" i="11"/>
  <c r="AW287" i="11" s="1"/>
  <c r="AW113" i="11"/>
  <c r="AW86" i="11"/>
  <c r="AW116" i="11"/>
  <c r="AW89" i="11"/>
  <c r="AW92" i="11"/>
  <c r="AW207" i="11"/>
  <c r="AW208" i="11"/>
  <c r="AW246" i="11" s="1"/>
  <c r="AW33" i="11"/>
  <c r="AW300" i="14" s="1"/>
  <c r="AW303" i="14" s="1"/>
  <c r="AW306" i="14" s="1"/>
  <c r="AX309" i="14" s="1"/>
  <c r="AW60" i="11"/>
  <c r="AW209" i="11"/>
  <c r="AW247" i="11" s="1"/>
  <c r="AW222" i="11"/>
  <c r="AW262" i="11" s="1"/>
  <c r="AW122" i="11"/>
  <c r="AW75" i="11"/>
  <c r="AW96" i="11"/>
  <c r="AW123" i="11"/>
  <c r="AW76" i="11"/>
  <c r="AW97" i="11"/>
  <c r="AW125" i="11"/>
  <c r="AW77" i="11"/>
  <c r="AW98" i="11"/>
  <c r="AW78" i="11"/>
  <c r="AW99" i="11"/>
  <c r="BL79" i="20"/>
  <c r="BL56" i="20" s="1"/>
  <c r="AW687" i="7" s="1"/>
  <c r="AW10" i="9"/>
  <c r="AW9" i="9"/>
  <c r="BL31" i="20"/>
  <c r="AW36" i="44" l="1"/>
  <c r="AW348" i="11"/>
  <c r="AW198" i="11"/>
  <c r="BS101" i="20"/>
  <c r="BD350" i="11" s="1"/>
  <c r="BR103" i="20"/>
  <c r="BR100" i="20"/>
  <c r="BD337" i="13"/>
  <c r="BE336" i="13"/>
  <c r="BD48" i="13"/>
  <c r="AW83" i="44"/>
  <c r="AW301" i="11"/>
  <c r="AW9" i="44" s="1"/>
  <c r="AW68" i="11"/>
  <c r="BL62" i="20"/>
  <c r="AW152" i="14" s="1"/>
  <c r="BL63" i="20"/>
  <c r="AW219" i="14" s="1"/>
  <c r="AX206" i="14" s="1"/>
  <c r="BL69" i="20"/>
  <c r="BL255" i="20" s="1"/>
  <c r="AW303" i="11"/>
  <c r="AX321" i="11" s="1"/>
  <c r="AX323" i="11" s="1"/>
  <c r="AW8" i="44"/>
  <c r="BL68" i="20"/>
  <c r="BL254" i="20" s="1"/>
  <c r="BL55" i="20"/>
  <c r="BL64" i="20"/>
  <c r="BL60" i="20"/>
  <c r="BL70" i="20"/>
  <c r="BL256" i="20" s="1"/>
  <c r="BL54" i="20"/>
  <c r="BL59" i="20"/>
  <c r="AW865" i="7" s="1"/>
  <c r="BL151" i="20"/>
  <c r="BL219" i="20" s="1"/>
  <c r="AW245" i="11"/>
  <c r="AW214" i="11"/>
  <c r="AW252" i="11" s="1"/>
  <c r="AW263" i="11"/>
  <c r="AW81" i="11"/>
  <c r="AW223" i="11"/>
  <c r="AW231" i="11"/>
  <c r="AW271" i="11" s="1"/>
  <c r="AW272" i="11" s="1"/>
  <c r="AW119" i="11"/>
  <c r="AW211" i="11"/>
  <c r="AW249" i="11" s="1"/>
  <c r="AW93" i="11"/>
  <c r="AW164" i="11"/>
  <c r="BL65" i="20"/>
  <c r="BL157" i="20" l="1"/>
  <c r="BL202" i="20"/>
  <c r="BL247" i="20" s="1"/>
  <c r="BS100" i="20"/>
  <c r="BS103" i="20"/>
  <c r="BT101" i="20"/>
  <c r="BE350" i="11" s="1"/>
  <c r="BF924" i="7"/>
  <c r="BG924" i="7" s="1"/>
  <c r="BH924" i="7" s="1"/>
  <c r="BI924" i="7" s="1"/>
  <c r="BJ924" i="7" s="1"/>
  <c r="BK924" i="7" s="1"/>
  <c r="BL924" i="7" s="1"/>
  <c r="BM924" i="7" s="1"/>
  <c r="BN924" i="7" s="1"/>
  <c r="BO924" i="7" s="1"/>
  <c r="BP924" i="7" s="1"/>
  <c r="BQ924" i="7" s="1"/>
  <c r="BR924" i="7" s="1"/>
  <c r="BS924" i="7" s="1"/>
  <c r="BT924" i="7" s="1"/>
  <c r="BU924" i="7" s="1"/>
  <c r="BV924" i="7" s="1"/>
  <c r="BW924" i="7" s="1"/>
  <c r="BX924" i="7" s="1"/>
  <c r="BY924" i="7" s="1"/>
  <c r="BZ924" i="7" s="1"/>
  <c r="BF336" i="13"/>
  <c r="BE337" i="13"/>
  <c r="BE48" i="13"/>
  <c r="BF48" i="13" s="1"/>
  <c r="AX86" i="44"/>
  <c r="AY323" i="11"/>
  <c r="AY86" i="44" s="1"/>
  <c r="BL61" i="20"/>
  <c r="BL66" i="20" s="1"/>
  <c r="AW250" i="11"/>
  <c r="BL71" i="20"/>
  <c r="AW255" i="11" s="1"/>
  <c r="AW254" i="11" s="1"/>
  <c r="BL74" i="20"/>
  <c r="AX324" i="11"/>
  <c r="BL149" i="20"/>
  <c r="BL194" i="20" s="1"/>
  <c r="BL239" i="20" s="1"/>
  <c r="AW10" i="44"/>
  <c r="BL155" i="20"/>
  <c r="BL200" i="20" s="1"/>
  <c r="BL245" i="20" s="1"/>
  <c r="BL84" i="20"/>
  <c r="AW25" i="43"/>
  <c r="AX26" i="43" s="1"/>
  <c r="BL160" i="20"/>
  <c r="BL205" i="20" s="1"/>
  <c r="BL250" i="20" s="1"/>
  <c r="Y13" i="18"/>
  <c r="AW211" i="14"/>
  <c r="AX212" i="14" s="1"/>
  <c r="AW127" i="11"/>
  <c r="AW237" i="11"/>
  <c r="AW277" i="11" s="1"/>
  <c r="AW232" i="11"/>
  <c r="AW212" i="11"/>
  <c r="BL77" i="20" l="1"/>
  <c r="U606" i="42" s="1"/>
  <c r="BU101" i="20"/>
  <c r="BT103" i="20"/>
  <c r="BT100" i="20"/>
  <c r="BU100" i="20" s="1"/>
  <c r="AX326" i="11"/>
  <c r="AX328" i="11" s="1"/>
  <c r="AY324" i="11"/>
  <c r="AY326" i="11" s="1"/>
  <c r="AY328" i="11" s="1"/>
  <c r="BL73" i="20"/>
  <c r="BL83" i="20"/>
  <c r="AW238" i="11"/>
  <c r="I7" i="53"/>
  <c r="J7" i="53" s="1"/>
  <c r="L7" i="53" s="1"/>
  <c r="BU103" i="20" l="1"/>
  <c r="BL75" i="20"/>
  <c r="BL343" i="20"/>
  <c r="I33" i="53"/>
  <c r="I30" i="53"/>
  <c r="J8" i="53"/>
  <c r="L8" i="53" s="1"/>
  <c r="I25" i="53"/>
  <c r="J25" i="53" s="1"/>
  <c r="L25" i="53" s="1"/>
  <c r="J21" i="53"/>
  <c r="L21" i="53" s="1"/>
  <c r="I20" i="53"/>
  <c r="J20" i="53" s="1"/>
  <c r="L20" i="53" s="1"/>
  <c r="J19" i="53"/>
  <c r="L19" i="53" s="1"/>
  <c r="I32" i="53"/>
  <c r="I11" i="53"/>
  <c r="J11" i="53" s="1"/>
  <c r="L11" i="53" s="1"/>
  <c r="F25" i="53"/>
  <c r="D23" i="53"/>
  <c r="J23" i="53" s="1"/>
  <c r="L23" i="53" s="1"/>
  <c r="F21" i="53"/>
  <c r="F20" i="53"/>
  <c r="F19" i="53"/>
  <c r="F26" i="53" s="1"/>
  <c r="D32" i="53"/>
  <c r="F13" i="53"/>
  <c r="F9" i="53"/>
  <c r="F8" i="53"/>
  <c r="E71" i="52"/>
  <c r="E73" i="52"/>
  <c r="E72" i="52"/>
  <c r="D74" i="52"/>
  <c r="D73" i="52"/>
  <c r="F73" i="52" s="1"/>
  <c r="D72" i="52"/>
  <c r="F72" i="52" s="1"/>
  <c r="E74" i="52"/>
  <c r="F46" i="52"/>
  <c r="J26" i="53" l="1"/>
  <c r="L26" i="53" s="1"/>
  <c r="J10" i="53"/>
  <c r="L10" i="53" s="1"/>
  <c r="J32" i="53"/>
  <c r="L32" i="53" s="1"/>
  <c r="D28" i="53"/>
  <c r="J28" i="53" s="1"/>
  <c r="L28" i="53" s="1"/>
  <c r="I34" i="53"/>
  <c r="F10" i="53"/>
  <c r="F74" i="52"/>
  <c r="F75" i="52"/>
  <c r="F45" i="52" l="1"/>
  <c r="F44" i="52"/>
  <c r="F47" i="52" l="1"/>
  <c r="E78" i="52" l="1"/>
  <c r="F78" i="52" s="1"/>
  <c r="E67" i="52"/>
  <c r="E64" i="52"/>
  <c r="F64" i="52" s="1"/>
  <c r="F60" i="52"/>
  <c r="E63" i="52" l="1"/>
  <c r="E49" i="52"/>
  <c r="D49" i="52" s="1"/>
  <c r="D77" i="52" s="1"/>
  <c r="F77" i="52" s="1"/>
  <c r="F39" i="52"/>
  <c r="D39" i="52" s="1"/>
  <c r="D67" i="52" s="1"/>
  <c r="F67" i="52" s="1"/>
  <c r="F32" i="52"/>
  <c r="F33" i="52"/>
  <c r="F50" i="52"/>
  <c r="F31" i="52"/>
  <c r="E35" i="52"/>
  <c r="F34" i="52" l="1"/>
  <c r="L10" i="3"/>
  <c r="AW95" i="14"/>
  <c r="BA7" i="43" l="1"/>
  <c r="BA38" i="43" s="1"/>
  <c r="AZ38" i="43"/>
  <c r="Q14" i="3"/>
  <c r="E76" i="52" l="1"/>
  <c r="E69" i="52"/>
  <c r="E68" i="52"/>
  <c r="E79" i="52" l="1"/>
  <c r="D69" i="52" l="1"/>
  <c r="D68" i="52"/>
  <c r="D65" i="52"/>
  <c r="F37" i="52"/>
  <c r="D43" i="52"/>
  <c r="D71" i="52" s="1"/>
  <c r="F71" i="52" s="1"/>
  <c r="F65" i="52" l="1"/>
  <c r="BI197" i="20" l="1"/>
  <c r="BH57" i="20"/>
  <c r="BH341" i="20" s="1"/>
  <c r="BG152" i="20"/>
  <c r="AN17" i="20"/>
  <c r="AO17" i="20"/>
  <c r="AP17" i="20"/>
  <c r="AR17" i="20"/>
  <c r="AS17" i="20"/>
  <c r="AT17" i="20"/>
  <c r="AU17" i="20"/>
  <c r="AW17" i="20"/>
  <c r="AX17" i="20"/>
  <c r="AY17" i="20"/>
  <c r="AZ17" i="20"/>
  <c r="BB17" i="20"/>
  <c r="BC17" i="20"/>
  <c r="BD17" i="20"/>
  <c r="BE17" i="20"/>
  <c r="BG17" i="20"/>
  <c r="BH17" i="20"/>
  <c r="BI17" i="20"/>
  <c r="BJ17" i="20"/>
  <c r="AM17" i="20"/>
  <c r="AW17" i="43"/>
  <c r="AW19" i="43"/>
  <c r="AX19" i="43" s="1"/>
  <c r="AW161" i="44"/>
  <c r="AU159" i="44"/>
  <c r="AU149" i="44" s="1"/>
  <c r="AV152" i="44"/>
  <c r="AW159" i="44" s="1"/>
  <c r="AV151" i="44"/>
  <c r="AV153" i="44" s="1"/>
  <c r="BG57" i="20" l="1"/>
  <c r="BG341" i="20" s="1"/>
  <c r="P601" i="42"/>
  <c r="AX17" i="43"/>
  <c r="AW160" i="44"/>
  <c r="AW149" i="44"/>
  <c r="BI57" i="20"/>
  <c r="BI341" i="20" s="1"/>
  <c r="BI242" i="20"/>
  <c r="BG197" i="20"/>
  <c r="BH197" i="20"/>
  <c r="BH242" i="20" l="1"/>
  <c r="BG242" i="20"/>
  <c r="K24" i="47"/>
  <c r="AY76" i="44"/>
  <c r="J24" i="47" s="1"/>
  <c r="I24" i="47"/>
  <c r="AW76" i="44"/>
  <c r="AT76" i="44"/>
  <c r="E24" i="47" s="1"/>
  <c r="BA76" i="44" l="1"/>
  <c r="H24" i="47"/>
  <c r="L24" i="47"/>
  <c r="BA27" i="44"/>
  <c r="AR27" i="44"/>
  <c r="AR76" i="44" s="1"/>
  <c r="C24" i="47" s="1"/>
  <c r="AS27" i="44"/>
  <c r="AP293" i="11"/>
  <c r="AS293" i="11"/>
  <c r="AS314" i="11" s="1"/>
  <c r="AU315" i="11"/>
  <c r="AT292" i="11"/>
  <c r="AT315" i="11" s="1"/>
  <c r="AS292" i="11"/>
  <c r="AS315" i="11" s="1"/>
  <c r="AQ40" i="43"/>
  <c r="AP40" i="43"/>
  <c r="AQ39" i="43"/>
  <c r="AP39" i="43"/>
  <c r="AS40" i="43"/>
  <c r="AR40" i="43"/>
  <c r="AS39" i="43"/>
  <c r="AR39" i="43"/>
  <c r="AT40" i="43"/>
  <c r="AT39" i="43"/>
  <c r="AS76" i="44" l="1"/>
  <c r="D24" i="47" s="1"/>
  <c r="AW232" i="14"/>
  <c r="AR232" i="14"/>
  <c r="AW200" i="14"/>
  <c r="AU200" i="14"/>
  <c r="AT200" i="14"/>
  <c r="AW140" i="14"/>
  <c r="AU227" i="14" l="1"/>
  <c r="D10" i="24"/>
  <c r="D11" i="24"/>
  <c r="D12" i="24"/>
  <c r="AU95" i="14" l="1"/>
  <c r="AT95" i="14"/>
  <c r="AS95" i="14"/>
  <c r="AU25" i="14"/>
  <c r="AU10" i="14"/>
  <c r="AT29" i="14"/>
  <c r="AT19" i="14"/>
  <c r="AS27" i="14"/>
  <c r="AT27" i="14" s="1"/>
  <c r="AS26" i="14"/>
  <c r="AT26" i="14" s="1"/>
  <c r="AU26" i="14" s="1"/>
  <c r="AS24" i="14"/>
  <c r="AT24" i="14" s="1"/>
  <c r="AS23" i="14"/>
  <c r="AT23" i="14" s="1"/>
  <c r="AS22" i="14"/>
  <c r="AT22" i="14" s="1"/>
  <c r="AU22" i="14" s="1"/>
  <c r="AS14" i="14"/>
  <c r="AT14" i="14" s="1"/>
  <c r="AS13" i="14"/>
  <c r="AT13" i="14" s="1"/>
  <c r="AS17" i="14"/>
  <c r="AS16" i="14"/>
  <c r="AT16" i="14" s="1"/>
  <c r="AS15" i="14"/>
  <c r="AS12" i="14"/>
  <c r="AT12" i="14" s="1"/>
  <c r="AS11" i="14"/>
  <c r="AT11" i="14" s="1"/>
  <c r="AU11" i="14" s="1"/>
  <c r="AS9" i="14"/>
  <c r="AT9" i="14" s="1"/>
  <c r="AU9" i="14" s="1"/>
  <c r="AS8" i="14"/>
  <c r="AT8" i="14" s="1"/>
  <c r="AU980" i="7"/>
  <c r="AU293" i="7" s="1"/>
  <c r="AU295" i="7" s="1"/>
  <c r="AT980" i="7"/>
  <c r="AU10" i="45"/>
  <c r="AT10" i="45"/>
  <c r="AT9" i="45"/>
  <c r="AU7" i="45"/>
  <c r="AV7" i="45" s="1"/>
  <c r="AT7" i="45"/>
  <c r="AV993" i="7"/>
  <c r="AV992" i="7"/>
  <c r="AU1021" i="7"/>
  <c r="AU1019" i="7"/>
  <c r="AV1023" i="7"/>
  <c r="AV1060" i="7"/>
  <c r="AV1055" i="7"/>
  <c r="AV1047" i="7"/>
  <c r="AV1042" i="7"/>
  <c r="AV1099" i="7"/>
  <c r="AV1096" i="7"/>
  <c r="AV1095" i="7"/>
  <c r="AV1091" i="7"/>
  <c r="AU1097" i="7"/>
  <c r="AV1097" i="7" s="1"/>
  <c r="AU1093" i="7"/>
  <c r="AV1093" i="7" s="1"/>
  <c r="AU977" i="7"/>
  <c r="AU975" i="7"/>
  <c r="AV972" i="7"/>
  <c r="AW977" i="7" s="1"/>
  <c r="AV970" i="7"/>
  <c r="AW975" i="7" s="1"/>
  <c r="AU971" i="7"/>
  <c r="AV971" i="7" s="1"/>
  <c r="AW976" i="7" s="1"/>
  <c r="AU68" i="45"/>
  <c r="AV75" i="45"/>
  <c r="AV63" i="45"/>
  <c r="AV51" i="45"/>
  <c r="AX75" i="45"/>
  <c r="AX78" i="45" s="1"/>
  <c r="AX73" i="45"/>
  <c r="AX63" i="45"/>
  <c r="AX66" i="45" s="1"/>
  <c r="AX61" i="45"/>
  <c r="AX49" i="45"/>
  <c r="AX42" i="45"/>
  <c r="AX37" i="45"/>
  <c r="AV39" i="45"/>
  <c r="AX25" i="45"/>
  <c r="C10" i="18"/>
  <c r="E10" i="18" s="1"/>
  <c r="AU1092" i="7" l="1"/>
  <c r="AV1092" i="7" s="1"/>
  <c r="AU981" i="7"/>
  <c r="AU1100" i="7"/>
  <c r="AV1100" i="7" s="1"/>
  <c r="AV995" i="7"/>
  <c r="AT11" i="45"/>
  <c r="AT4" i="45"/>
  <c r="AT5" i="45" s="1"/>
  <c r="AU8" i="14"/>
  <c r="AU23" i="14"/>
  <c r="AU27" i="14"/>
  <c r="AU12" i="14"/>
  <c r="AU13" i="14"/>
  <c r="AU24" i="14"/>
  <c r="AT15" i="14"/>
  <c r="AU16" i="14"/>
  <c r="AT17" i="14"/>
  <c r="AU14" i="14"/>
  <c r="AT8" i="45"/>
  <c r="AV994" i="7"/>
  <c r="AU15" i="43"/>
  <c r="AV15" i="43" s="1"/>
  <c r="AX15" i="43"/>
  <c r="BA15" i="43" s="1"/>
  <c r="AV187" i="43"/>
  <c r="AW188" i="43" s="1"/>
  <c r="AX188" i="43"/>
  <c r="AX173" i="43"/>
  <c r="AX143" i="43"/>
  <c r="AV124" i="43"/>
  <c r="AW125" i="43"/>
  <c r="AU125" i="43"/>
  <c r="AX125" i="43"/>
  <c r="AX122" i="43"/>
  <c r="AU9" i="43"/>
  <c r="AV91" i="43"/>
  <c r="AW92" i="43" s="1"/>
  <c r="AX92" i="43"/>
  <c r="AU8" i="43"/>
  <c r="AU49" i="43"/>
  <c r="AV76" i="43"/>
  <c r="AW77" i="43" s="1"/>
  <c r="AX77" i="43"/>
  <c r="AX106" i="43"/>
  <c r="AY107" i="43" s="1"/>
  <c r="AU157" i="13"/>
  <c r="AU174" i="13"/>
  <c r="AX87" i="13"/>
  <c r="AW84" i="13"/>
  <c r="AW79" i="13"/>
  <c r="AX95" i="13" s="1"/>
  <c r="AW81" i="13"/>
  <c r="AX97" i="13" s="1"/>
  <c r="AW77" i="13"/>
  <c r="AX93" i="13" s="1"/>
  <c r="AW76" i="13"/>
  <c r="AX92" i="13" s="1"/>
  <c r="AW73" i="13"/>
  <c r="AX89" i="13" s="1"/>
  <c r="AV72" i="13"/>
  <c r="AW88" i="13" s="1"/>
  <c r="AU405" i="13"/>
  <c r="AU406" i="13" s="1"/>
  <c r="AU382" i="13"/>
  <c r="AU383" i="13" s="1"/>
  <c r="AV174" i="13" l="1"/>
  <c r="AV157" i="13"/>
  <c r="AX8" i="43"/>
  <c r="AY79" i="43"/>
  <c r="AX9" i="43"/>
  <c r="AX40" i="43" s="1"/>
  <c r="AY94" i="43"/>
  <c r="AY9" i="43" s="1"/>
  <c r="AZ9" i="43" s="1"/>
  <c r="AP37" i="43"/>
  <c r="AP41" i="43" s="1"/>
  <c r="AS37" i="43"/>
  <c r="AS41" i="43" s="1"/>
  <c r="AQ37" i="43"/>
  <c r="AQ41" i="43" s="1"/>
  <c r="AR37" i="43"/>
  <c r="AR41" i="43" s="1"/>
  <c r="AU27" i="44" s="1"/>
  <c r="AX39" i="43"/>
  <c r="AV9" i="43"/>
  <c r="AV40" i="43" s="1"/>
  <c r="AU40" i="43"/>
  <c r="AV8" i="43"/>
  <c r="AV39" i="43" s="1"/>
  <c r="AU39" i="43"/>
  <c r="AW15" i="43"/>
  <c r="AU17" i="14"/>
  <c r="AU15" i="14"/>
  <c r="AX127" i="43"/>
  <c r="AY128" i="43" s="1"/>
  <c r="AW9" i="43"/>
  <c r="AW40" i="43" s="1"/>
  <c r="AW8" i="43"/>
  <c r="AW39" i="43" s="1"/>
  <c r="AY8" i="43" l="1"/>
  <c r="AZ79" i="43"/>
  <c r="BJ47" i="13"/>
  <c r="AZ382" i="13"/>
  <c r="AU76" i="44"/>
  <c r="AV27" i="44"/>
  <c r="AY40" i="43"/>
  <c r="AY39" i="43"/>
  <c r="BB79" i="43" l="1"/>
  <c r="AZ8" i="43"/>
  <c r="AZ39" i="43" s="1"/>
  <c r="AZ50" i="13"/>
  <c r="F24" i="47"/>
  <c r="G24" i="47" s="1"/>
  <c r="AV76" i="44"/>
  <c r="BA8" i="43"/>
  <c r="BA9" i="43"/>
  <c r="AZ40" i="43"/>
  <c r="AX380" i="13"/>
  <c r="AX330" i="13"/>
  <c r="AW330" i="13"/>
  <c r="AW333" i="13" s="1"/>
  <c r="AX328" i="13"/>
  <c r="AX278" i="13"/>
  <c r="AY279" i="13" s="1"/>
  <c r="AW278" i="13"/>
  <c r="AX276" i="13"/>
  <c r="AX194" i="13"/>
  <c r="AY195" i="13" s="1"/>
  <c r="AW194" i="13"/>
  <c r="AX192" i="13"/>
  <c r="AX189" i="13"/>
  <c r="AU181" i="13"/>
  <c r="AV136" i="13"/>
  <c r="AV112" i="13"/>
  <c r="AZ112" i="13" s="1"/>
  <c r="BA112" i="13" s="1"/>
  <c r="AV113" i="13"/>
  <c r="AZ113" i="13" s="1"/>
  <c r="BA113" i="13" s="1"/>
  <c r="AV114" i="13"/>
  <c r="AZ114" i="13" s="1"/>
  <c r="BA114" i="13" s="1"/>
  <c r="AV53" i="13"/>
  <c r="AV923" i="7"/>
  <c r="AQ923" i="7"/>
  <c r="AL923" i="7"/>
  <c r="AU856" i="7"/>
  <c r="AU853" i="7"/>
  <c r="AV836" i="7"/>
  <c r="AV834" i="7"/>
  <c r="AV831" i="7"/>
  <c r="AV823" i="7"/>
  <c r="AV821" i="7"/>
  <c r="AV818" i="7"/>
  <c r="AV612" i="7"/>
  <c r="AU467" i="7"/>
  <c r="BP467" i="7"/>
  <c r="BP466" i="7"/>
  <c r="BP465" i="7"/>
  <c r="BP464" i="7"/>
  <c r="BC79" i="43" l="1"/>
  <c r="BB8" i="43"/>
  <c r="AY19" i="13"/>
  <c r="BA50" i="13"/>
  <c r="F29" i="53"/>
  <c r="J29" i="53" s="1"/>
  <c r="L29" i="53" s="1"/>
  <c r="AV853" i="7"/>
  <c r="AV861" i="7" s="1"/>
  <c r="J30" i="53"/>
  <c r="L30" i="53" s="1"/>
  <c r="AW336" i="13"/>
  <c r="AX333" i="13"/>
  <c r="AX334" i="13" s="1"/>
  <c r="AY331" i="13"/>
  <c r="BJ45" i="13"/>
  <c r="BA40" i="43"/>
  <c r="F41" i="52"/>
  <c r="G26" i="52"/>
  <c r="H26" i="52" s="1"/>
  <c r="BA39" i="43"/>
  <c r="F40" i="52"/>
  <c r="G25" i="52"/>
  <c r="H25" i="52" s="1"/>
  <c r="AX279" i="13"/>
  <c r="AX281" i="13"/>
  <c r="AX284" i="13" s="1"/>
  <c r="AX195" i="13"/>
  <c r="AX331" i="13"/>
  <c r="AU861" i="7"/>
  <c r="BD79" i="43" l="1"/>
  <c r="BC8" i="43"/>
  <c r="AY334" i="13"/>
  <c r="AX336" i="13"/>
  <c r="AX343" i="13" s="1"/>
  <c r="AX345" i="13"/>
  <c r="AY282" i="13"/>
  <c r="AX346" i="13"/>
  <c r="F69" i="52"/>
  <c r="F68" i="52"/>
  <c r="AX153" i="12"/>
  <c r="AU137" i="12"/>
  <c r="AV150" i="12"/>
  <c r="AV147" i="12"/>
  <c r="AV146" i="12"/>
  <c r="AV145" i="12"/>
  <c r="D10" i="16"/>
  <c r="E37" i="17" s="1"/>
  <c r="AX92" i="12"/>
  <c r="AX91" i="12"/>
  <c r="AX90" i="12"/>
  <c r="AX89" i="12"/>
  <c r="AX88" i="12"/>
  <c r="AX87" i="12"/>
  <c r="AX86" i="12"/>
  <c r="AX501" i="12"/>
  <c r="AX498" i="12"/>
  <c r="AU477" i="12"/>
  <c r="AU478" i="12" s="1"/>
  <c r="AX475" i="12"/>
  <c r="AX423" i="12"/>
  <c r="AU405" i="12"/>
  <c r="AW397" i="12"/>
  <c r="AX397" i="12"/>
  <c r="AX394" i="12"/>
  <c r="AX341" i="12"/>
  <c r="AX339" i="12"/>
  <c r="AX336" i="12"/>
  <c r="AY320" i="12"/>
  <c r="AX313" i="12"/>
  <c r="AU315" i="12"/>
  <c r="AU316" i="12" s="1"/>
  <c r="AX266" i="12"/>
  <c r="AX264" i="12"/>
  <c r="AX261" i="12"/>
  <c r="AX238" i="12"/>
  <c r="AU243" i="12"/>
  <c r="AU220" i="12"/>
  <c r="AU217" i="12"/>
  <c r="AX215" i="12"/>
  <c r="AU194" i="12"/>
  <c r="AW180" i="12"/>
  <c r="AU176" i="12"/>
  <c r="AU171" i="12"/>
  <c r="AX169" i="12"/>
  <c r="AU966" i="7"/>
  <c r="AV958" i="7"/>
  <c r="AV966" i="7" s="1"/>
  <c r="AV955" i="7"/>
  <c r="AV954" i="7"/>
  <c r="AU956" i="7"/>
  <c r="AV956" i="7" s="1"/>
  <c r="AV950" i="7"/>
  <c r="AV928" i="7"/>
  <c r="AV891" i="7"/>
  <c r="AV890" i="7"/>
  <c r="AV886" i="7"/>
  <c r="AV885" i="7"/>
  <c r="AU901" i="7"/>
  <c r="AT901" i="7"/>
  <c r="AS901" i="7"/>
  <c r="AR901" i="7"/>
  <c r="AU900" i="7"/>
  <c r="AT900" i="7"/>
  <c r="AS900" i="7"/>
  <c r="AR900" i="7"/>
  <c r="AU893" i="7"/>
  <c r="AU892" i="7"/>
  <c r="AV871" i="7"/>
  <c r="AW877" i="7" s="1"/>
  <c r="AV870" i="7"/>
  <c r="AU876" i="7"/>
  <c r="AU869" i="7"/>
  <c r="AV869" i="7" s="1"/>
  <c r="AV781" i="7"/>
  <c r="AU780" i="7"/>
  <c r="AV780" i="7" s="1"/>
  <c r="AV790" i="7"/>
  <c r="AV789" i="7"/>
  <c r="AV788" i="7"/>
  <c r="AV787" i="7"/>
  <c r="AU791" i="7"/>
  <c r="AV791" i="7" s="1"/>
  <c r="AU737" i="7"/>
  <c r="AU736" i="7"/>
  <c r="AV736" i="7" s="1"/>
  <c r="AW741" i="7" s="1"/>
  <c r="AW21" i="12" s="1"/>
  <c r="AV731" i="7"/>
  <c r="AV730" i="7"/>
  <c r="AV726" i="7"/>
  <c r="AV725" i="7"/>
  <c r="AT716" i="7"/>
  <c r="AU716" i="7"/>
  <c r="AV709" i="7"/>
  <c r="AU707" i="7"/>
  <c r="AV707" i="7" s="1"/>
  <c r="AS716" i="7"/>
  <c r="AU699" i="7"/>
  <c r="AU698" i="7"/>
  <c r="AU697" i="7"/>
  <c r="AV603" i="7"/>
  <c r="AV646" i="7"/>
  <c r="AV645" i="7"/>
  <c r="AU647" i="7"/>
  <c r="AV647" i="7" s="1"/>
  <c r="AV490" i="7"/>
  <c r="AW491" i="7" s="1"/>
  <c r="AV485" i="7"/>
  <c r="AV479" i="7"/>
  <c r="AU429" i="7"/>
  <c r="AU428" i="7"/>
  <c r="AU427" i="7"/>
  <c r="AU426" i="7"/>
  <c r="AR389" i="7"/>
  <c r="AU384" i="7"/>
  <c r="AT372" i="7"/>
  <c r="AT390" i="7" s="1"/>
  <c r="AS372" i="7"/>
  <c r="AS390" i="7" s="1"/>
  <c r="AR372" i="7"/>
  <c r="AU311" i="7"/>
  <c r="AX47" i="43"/>
  <c r="AU237" i="7"/>
  <c r="AU232" i="7" s="1"/>
  <c r="AU260" i="7" s="1"/>
  <c r="AV223" i="7"/>
  <c r="AU223" i="7"/>
  <c r="AV215" i="7"/>
  <c r="AV213" i="7"/>
  <c r="AV212" i="7"/>
  <c r="AV211" i="7"/>
  <c r="AV384" i="7" s="1"/>
  <c r="AW371" i="7" s="1"/>
  <c r="AV209" i="7"/>
  <c r="AU214" i="7"/>
  <c r="AV205" i="7"/>
  <c r="AU167" i="7"/>
  <c r="AU163" i="7"/>
  <c r="AU162" i="7"/>
  <c r="AU179" i="7"/>
  <c r="AV179" i="7" s="1"/>
  <c r="AV180" i="7"/>
  <c r="AW167" i="7" s="1"/>
  <c r="AV177" i="7"/>
  <c r="AV176" i="7"/>
  <c r="AU59" i="7"/>
  <c r="AV52" i="7"/>
  <c r="AV45" i="7" s="1"/>
  <c r="AU102" i="7"/>
  <c r="AV9" i="7"/>
  <c r="AV13" i="7" s="1"/>
  <c r="AV15" i="7" s="1"/>
  <c r="AW157" i="12"/>
  <c r="AX158" i="12" s="1"/>
  <c r="AU157" i="12"/>
  <c r="AV101" i="12"/>
  <c r="AV57" i="12"/>
  <c r="BA20" i="44"/>
  <c r="BA69" i="44"/>
  <c r="AR69" i="44"/>
  <c r="AU75" i="44"/>
  <c r="AZ6" i="9"/>
  <c r="AZ5" i="9"/>
  <c r="BA5" i="9" s="1"/>
  <c r="BJ34" i="20"/>
  <c r="BK30" i="20"/>
  <c r="BK29" i="20"/>
  <c r="BK28" i="20"/>
  <c r="AR308" i="14"/>
  <c r="AU297" i="14"/>
  <c r="AU290" i="14"/>
  <c r="AV290" i="14" s="1"/>
  <c r="AU289" i="14"/>
  <c r="AV289" i="14" s="1"/>
  <c r="AU288" i="14"/>
  <c r="AV288" i="14" s="1"/>
  <c r="AU281" i="14"/>
  <c r="AU280" i="14"/>
  <c r="AU264" i="14"/>
  <c r="AU294" i="14" s="1"/>
  <c r="AU263" i="14"/>
  <c r="AU285" i="14" s="1"/>
  <c r="AU254" i="14"/>
  <c r="AU253" i="14"/>
  <c r="AU252" i="14"/>
  <c r="AU251" i="14"/>
  <c r="AV272" i="14"/>
  <c r="P525" i="42"/>
  <c r="O526" i="42"/>
  <c r="N524" i="42"/>
  <c r="P524" i="42" s="1"/>
  <c r="BA6" i="9" l="1"/>
  <c r="BA42" i="44" s="1"/>
  <c r="BA43" i="44" s="1"/>
  <c r="AZ42" i="44"/>
  <c r="AZ43" i="44" s="1"/>
  <c r="AZ44" i="44" s="1"/>
  <c r="AY316" i="12"/>
  <c r="AZ320" i="12"/>
  <c r="AY342" i="12"/>
  <c r="AX344" i="12"/>
  <c r="AY267" i="12"/>
  <c r="AX269" i="12"/>
  <c r="BE79" i="43"/>
  <c r="BE8" i="43" s="1"/>
  <c r="BD8" i="43"/>
  <c r="AZ316" i="12"/>
  <c r="AV217" i="7"/>
  <c r="AV218" i="7" s="1"/>
  <c r="AU222" i="7"/>
  <c r="AU234" i="7" s="1"/>
  <c r="AU228" i="7"/>
  <c r="AU229" i="7"/>
  <c r="AT905" i="7"/>
  <c r="AS905" i="7"/>
  <c r="AU924" i="7"/>
  <c r="AU952" i="7"/>
  <c r="AU951" i="7" s="1"/>
  <c r="AV951" i="7" s="1"/>
  <c r="AU905" i="7"/>
  <c r="AU23" i="13" s="1"/>
  <c r="AS906" i="7"/>
  <c r="AW875" i="7"/>
  <c r="AV893" i="7"/>
  <c r="AV901" i="7"/>
  <c r="AR903" i="7"/>
  <c r="AT903" i="7"/>
  <c r="AU903" i="7"/>
  <c r="AU708" i="7"/>
  <c r="AV708" i="7" s="1"/>
  <c r="AW525" i="7" s="1"/>
  <c r="AU959" i="7"/>
  <c r="AV959" i="7" s="1"/>
  <c r="AU739" i="7"/>
  <c r="AU372" i="7"/>
  <c r="AV372" i="7" s="1"/>
  <c r="AV275" i="7"/>
  <c r="AV733" i="7"/>
  <c r="AW148" i="7"/>
  <c r="AU224" i="7"/>
  <c r="AU248" i="7"/>
  <c r="AW876" i="7"/>
  <c r="AS903" i="7"/>
  <c r="AT906" i="7"/>
  <c r="AU906" i="7"/>
  <c r="AV900" i="7"/>
  <c r="AW905" i="7" s="1"/>
  <c r="AW23" i="13" s="1"/>
  <c r="AU961" i="7"/>
  <c r="AX347" i="13"/>
  <c r="AX344" i="13"/>
  <c r="AU119" i="7"/>
  <c r="AU230" i="7"/>
  <c r="AU297" i="7" s="1"/>
  <c r="AU633" i="7"/>
  <c r="AU634" i="7"/>
  <c r="AU632" i="7"/>
  <c r="AV237" i="7"/>
  <c r="AW238" i="7" s="1"/>
  <c r="AU459" i="7"/>
  <c r="AU496" i="7" s="1"/>
  <c r="BK31" i="20"/>
  <c r="G10" i="16"/>
  <c r="H37" i="17" s="1"/>
  <c r="AU282" i="14"/>
  <c r="AU284" i="14" s="1"/>
  <c r="AV887" i="7"/>
  <c r="AV856" i="7"/>
  <c r="AX503" i="12"/>
  <c r="AX399" i="12"/>
  <c r="AV727" i="7"/>
  <c r="AV149" i="12"/>
  <c r="AV240" i="12"/>
  <c r="AV194" i="12"/>
  <c r="AV892" i="7"/>
  <c r="AR902" i="7"/>
  <c r="AS902" i="7"/>
  <c r="AT902" i="7"/>
  <c r="AU902" i="7"/>
  <c r="AV737" i="7"/>
  <c r="AV214" i="7"/>
  <c r="AR390" i="7"/>
  <c r="AU97" i="7"/>
  <c r="AU181" i="7"/>
  <c r="AU291" i="14"/>
  <c r="N523" i="42"/>
  <c r="P523" i="42" s="1"/>
  <c r="N522" i="42"/>
  <c r="P522" i="42" s="1"/>
  <c r="N521" i="42"/>
  <c r="N518" i="42"/>
  <c r="N505" i="42"/>
  <c r="N510" i="42" s="1"/>
  <c r="AV141" i="11"/>
  <c r="AQ141" i="11"/>
  <c r="H6" i="38"/>
  <c r="AU228" i="11"/>
  <c r="AU230" i="11"/>
  <c r="AU218" i="11"/>
  <c r="AU219" i="11"/>
  <c r="AU220" i="11"/>
  <c r="AU221" i="11"/>
  <c r="AU210" i="11"/>
  <c r="AT210" i="11"/>
  <c r="AV161" i="11"/>
  <c r="AV159" i="11"/>
  <c r="AV155" i="11"/>
  <c r="AV153" i="11"/>
  <c r="AV152" i="11"/>
  <c r="AV151" i="11"/>
  <c r="AU156" i="11"/>
  <c r="AV147" i="11"/>
  <c r="AV146" i="11"/>
  <c r="AV145" i="11"/>
  <c r="AV144" i="11"/>
  <c r="AU148" i="11"/>
  <c r="AV148" i="11" s="1"/>
  <c r="AV137" i="11"/>
  <c r="AV136" i="11"/>
  <c r="AV135" i="11"/>
  <c r="AV134" i="11"/>
  <c r="AU138" i="11"/>
  <c r="AU280" i="11"/>
  <c r="AU117" i="11" s="1"/>
  <c r="AV117" i="11" s="1"/>
  <c r="AV66" i="11"/>
  <c r="AV63" i="11"/>
  <c r="AV62" i="11"/>
  <c r="AU64" i="11"/>
  <c r="AV59" i="11"/>
  <c r="AV230" i="11" s="1"/>
  <c r="AV57" i="11"/>
  <c r="AV53" i="11"/>
  <c r="AV52" i="11"/>
  <c r="AV51" i="11"/>
  <c r="AV50" i="11"/>
  <c r="AU54" i="11"/>
  <c r="AU227" i="11" s="1"/>
  <c r="AV46" i="11"/>
  <c r="AV45" i="11"/>
  <c r="AV44" i="11"/>
  <c r="AV43" i="11"/>
  <c r="AU47" i="11"/>
  <c r="AU226" i="11" s="1"/>
  <c r="AV39" i="11"/>
  <c r="AV38" i="11"/>
  <c r="AV37" i="11"/>
  <c r="AV36" i="11"/>
  <c r="AU40" i="11"/>
  <c r="AV40" i="11" s="1"/>
  <c r="AV32" i="11"/>
  <c r="AU30" i="11"/>
  <c r="AV29" i="11"/>
  <c r="AV297" i="14" s="1"/>
  <c r="AV25" i="11"/>
  <c r="AV264" i="14" s="1"/>
  <c r="AV24" i="11"/>
  <c r="AV263" i="14" s="1"/>
  <c r="AV285" i="14" s="1"/>
  <c r="AU26" i="11"/>
  <c r="AU265" i="14" s="1"/>
  <c r="AU277" i="14" s="1"/>
  <c r="AV20" i="11"/>
  <c r="AV254" i="14" s="1"/>
  <c r="AV19" i="11"/>
  <c r="AV253" i="14" s="1"/>
  <c r="AV18" i="11"/>
  <c r="AV252" i="14" s="1"/>
  <c r="AV17" i="11"/>
  <c r="AV251" i="14" s="1"/>
  <c r="AU21" i="11"/>
  <c r="AU215" i="11" s="1"/>
  <c r="BJ79" i="20"/>
  <c r="BJ31" i="20"/>
  <c r="L479" i="42"/>
  <c r="AZ50" i="44" l="1"/>
  <c r="AZ49" i="44"/>
  <c r="AZ34" i="44" s="1"/>
  <c r="AZ48" i="44"/>
  <c r="AU258" i="7"/>
  <c r="AU299" i="7"/>
  <c r="AU300" i="7" s="1"/>
  <c r="AV300" i="7" s="1"/>
  <c r="AX402" i="12"/>
  <c r="AY400" i="12"/>
  <c r="AY504" i="12"/>
  <c r="AY515" i="12"/>
  <c r="AX506" i="12"/>
  <c r="BF8" i="43"/>
  <c r="AV64" i="11"/>
  <c r="AV235" i="11" s="1"/>
  <c r="AU235" i="11"/>
  <c r="AU275" i="11" s="1"/>
  <c r="AV275" i="11" s="1"/>
  <c r="AU140" i="11"/>
  <c r="AU177" i="11" s="1"/>
  <c r="AV177" i="11" s="1"/>
  <c r="AU163" i="11"/>
  <c r="AV163" i="11" s="1"/>
  <c r="N526" i="42"/>
  <c r="AU253" i="11"/>
  <c r="AU348" i="11" s="1"/>
  <c r="AU235" i="7"/>
  <c r="AU254" i="7"/>
  <c r="AS907" i="7"/>
  <c r="AU231" i="7"/>
  <c r="AT907" i="7"/>
  <c r="AV952" i="7"/>
  <c r="AU857" i="7"/>
  <c r="AU962" i="7"/>
  <c r="AU963" i="7" s="1"/>
  <c r="AU965" i="7" s="1"/>
  <c r="AV903" i="7"/>
  <c r="AV902" i="7"/>
  <c r="AW906" i="7"/>
  <c r="AV961" i="7"/>
  <c r="AU390" i="7"/>
  <c r="AU465" i="7" s="1"/>
  <c r="AU409" i="7"/>
  <c r="AV739" i="7"/>
  <c r="AW742" i="7"/>
  <c r="AV230" i="7"/>
  <c r="AU907" i="7"/>
  <c r="AU24" i="13"/>
  <c r="AU447" i="7"/>
  <c r="AX15" i="45"/>
  <c r="AY16" i="45" s="1"/>
  <c r="AU207" i="11"/>
  <c r="AU214" i="11" s="1"/>
  <c r="AU252" i="11" s="1"/>
  <c r="AV252" i="11" s="1"/>
  <c r="AU255" i="14"/>
  <c r="AV30" i="11"/>
  <c r="AV298" i="14" s="1"/>
  <c r="AU298" i="14"/>
  <c r="AV232" i="7"/>
  <c r="AV260" i="7" s="1"/>
  <c r="AV924" i="7"/>
  <c r="AW925" i="7" s="1"/>
  <c r="BA925" i="7" s="1"/>
  <c r="AV228" i="7"/>
  <c r="AV222" i="7"/>
  <c r="AV224" i="7" s="1"/>
  <c r="AV229" i="7"/>
  <c r="BJ64" i="20"/>
  <c r="BJ56" i="20"/>
  <c r="AU687" i="7" s="1"/>
  <c r="BJ55" i="20"/>
  <c r="BK55" i="20" s="1"/>
  <c r="BJ54" i="20"/>
  <c r="BJ149" i="20" s="1"/>
  <c r="BK149" i="20" s="1"/>
  <c r="BJ59" i="20"/>
  <c r="BJ69" i="20"/>
  <c r="BJ255" i="20" s="1"/>
  <c r="BJ60" i="20"/>
  <c r="BJ68" i="20"/>
  <c r="BJ254" i="20" s="1"/>
  <c r="BJ65" i="20"/>
  <c r="BJ70" i="20"/>
  <c r="AV181" i="7"/>
  <c r="AV291" i="14"/>
  <c r="AU293" i="14"/>
  <c r="AV293" i="14" s="1"/>
  <c r="P521" i="42"/>
  <c r="P526" i="42" s="1"/>
  <c r="N519" i="42"/>
  <c r="AV138" i="11"/>
  <c r="AV140" i="11" s="1"/>
  <c r="AV221" i="11"/>
  <c r="AU178" i="11"/>
  <c r="AU301" i="11" s="1"/>
  <c r="AV219" i="11"/>
  <c r="AV220" i="11"/>
  <c r="AU266" i="11"/>
  <c r="AV266" i="11" s="1"/>
  <c r="AV54" i="11"/>
  <c r="AV227" i="11" s="1"/>
  <c r="AU222" i="11"/>
  <c r="AU223" i="11" s="1"/>
  <c r="AU267" i="11"/>
  <c r="AV267" i="11" s="1"/>
  <c r="AV47" i="11"/>
  <c r="AV226" i="11" s="1"/>
  <c r="AU260" i="11"/>
  <c r="AV260" i="11" s="1"/>
  <c r="AU261" i="11"/>
  <c r="AV261" i="11" s="1"/>
  <c r="AV218" i="11"/>
  <c r="AU86" i="11"/>
  <c r="AV86" i="11" s="1"/>
  <c r="AV21" i="11"/>
  <c r="AV215" i="11" s="1"/>
  <c r="AV228" i="11"/>
  <c r="AV222" i="11"/>
  <c r="AU96" i="11"/>
  <c r="AV96" i="11" s="1"/>
  <c r="AV164" i="11"/>
  <c r="AU97" i="11"/>
  <c r="AV97" i="11" s="1"/>
  <c r="AV210" i="11"/>
  <c r="AU118" i="11"/>
  <c r="AV118" i="11" s="1"/>
  <c r="AU175" i="11"/>
  <c r="AV175" i="11" s="1"/>
  <c r="AU248" i="11"/>
  <c r="AV248" i="11" s="1"/>
  <c r="AU258" i="11"/>
  <c r="AV258" i="11" s="1"/>
  <c r="AU98" i="11"/>
  <c r="AV98" i="11" s="1"/>
  <c r="AU181" i="11"/>
  <c r="AV181" i="11" s="1"/>
  <c r="AU259" i="11"/>
  <c r="AV259" i="11" s="1"/>
  <c r="AU76" i="11"/>
  <c r="AV76" i="11" s="1"/>
  <c r="AU123" i="11"/>
  <c r="AV123" i="11" s="1"/>
  <c r="AU182" i="11"/>
  <c r="AV182" i="11" s="1"/>
  <c r="AV26" i="11"/>
  <c r="AU77" i="11"/>
  <c r="AV77" i="11" s="1"/>
  <c r="AU78" i="11"/>
  <c r="AV78" i="11" s="1"/>
  <c r="AU125" i="11"/>
  <c r="AV125" i="11" s="1"/>
  <c r="AU183" i="11"/>
  <c r="AV183" i="11" s="1"/>
  <c r="AU208" i="11"/>
  <c r="AU246" i="11" s="1"/>
  <c r="AV246" i="11" s="1"/>
  <c r="AU104" i="11"/>
  <c r="AV104" i="11" s="1"/>
  <c r="AU268" i="11"/>
  <c r="AV268" i="11" s="1"/>
  <c r="AU33" i="11"/>
  <c r="AU84" i="11"/>
  <c r="AV84" i="11" s="1"/>
  <c r="AU106" i="11"/>
  <c r="AV106" i="11" s="1"/>
  <c r="AU188" i="11"/>
  <c r="AV188" i="11" s="1"/>
  <c r="AU112" i="11"/>
  <c r="AV112" i="11" s="1"/>
  <c r="AU173" i="11"/>
  <c r="AU191" i="11"/>
  <c r="AV191" i="11" s="1"/>
  <c r="AU113" i="11"/>
  <c r="AV113" i="11" s="1"/>
  <c r="AU174" i="11"/>
  <c r="AV174" i="11" s="1"/>
  <c r="AU192" i="11"/>
  <c r="AV192" i="11" s="1"/>
  <c r="AU92" i="11"/>
  <c r="AV92" i="11" s="1"/>
  <c r="AU116" i="11"/>
  <c r="AV116" i="11" s="1"/>
  <c r="AU195" i="11"/>
  <c r="AU197" i="11"/>
  <c r="AV197" i="11" s="1"/>
  <c r="AU121" i="11"/>
  <c r="AV121" i="11" s="1"/>
  <c r="AU75" i="11"/>
  <c r="AU122" i="11"/>
  <c r="AV122" i="11" s="1"/>
  <c r="AU99" i="11"/>
  <c r="AV99" i="11" s="1"/>
  <c r="AU100" i="11"/>
  <c r="AV100" i="11" s="1"/>
  <c r="AV156" i="11"/>
  <c r="AU103" i="11"/>
  <c r="AV103" i="11" s="1"/>
  <c r="AU184" i="11"/>
  <c r="AV184" i="11" s="1"/>
  <c r="AU79" i="11"/>
  <c r="AU209" i="11"/>
  <c r="AU247" i="11" s="1"/>
  <c r="AV247" i="11" s="1"/>
  <c r="AU105" i="11"/>
  <c r="AV105" i="11" s="1"/>
  <c r="AU185" i="11"/>
  <c r="AV185" i="11" s="1"/>
  <c r="AU269" i="11"/>
  <c r="AV269" i="11" s="1"/>
  <c r="AU60" i="11"/>
  <c r="AU85" i="11"/>
  <c r="AV85" i="11" s="1"/>
  <c r="AU270" i="11"/>
  <c r="AV270" i="11" s="1"/>
  <c r="AU107" i="11"/>
  <c r="AV107" i="11" s="1"/>
  <c r="AU89" i="11"/>
  <c r="AV89" i="11" s="1"/>
  <c r="AU110" i="11"/>
  <c r="AV110" i="11" s="1"/>
  <c r="AU171" i="11"/>
  <c r="AU189" i="11"/>
  <c r="AV189" i="11" s="1"/>
  <c r="AU90" i="11"/>
  <c r="AV90" i="11" s="1"/>
  <c r="AU111" i="11"/>
  <c r="AV111" i="11" s="1"/>
  <c r="AU172" i="11"/>
  <c r="AV172" i="11" s="1"/>
  <c r="AU190" i="11"/>
  <c r="AV190" i="11" s="1"/>
  <c r="BJ62" i="20"/>
  <c r="AU152" i="14" s="1"/>
  <c r="BJ63" i="20"/>
  <c r="AT237" i="7"/>
  <c r="AT230" i="7" s="1"/>
  <c r="AS237" i="7"/>
  <c r="AS222" i="7" s="1"/>
  <c r="AT223" i="7"/>
  <c r="AS223" i="7"/>
  <c r="AS980" i="7"/>
  <c r="AT981" i="7" s="1"/>
  <c r="AR980" i="7"/>
  <c r="AV6" i="9"/>
  <c r="AV42" i="44" s="1"/>
  <c r="AV43" i="44" s="1"/>
  <c r="AV5" i="9"/>
  <c r="AW42" i="44"/>
  <c r="BK68" i="20" l="1"/>
  <c r="AX507" i="12"/>
  <c r="AY516" i="12"/>
  <c r="AY513" i="12"/>
  <c r="AU245" i="11"/>
  <c r="AV245" i="11" s="1"/>
  <c r="AU68" i="11"/>
  <c r="AV79" i="11"/>
  <c r="BO79" i="11" s="1"/>
  <c r="AU287" i="11"/>
  <c r="AV178" i="11"/>
  <c r="AV301" i="11" s="1"/>
  <c r="AU83" i="44"/>
  <c r="AV253" i="11"/>
  <c r="AU36" i="44"/>
  <c r="BK69" i="20"/>
  <c r="BK255" i="20" s="1"/>
  <c r="AV152" i="14"/>
  <c r="AV857" i="7"/>
  <c r="AW931" i="7"/>
  <c r="AV390" i="7"/>
  <c r="AT229" i="7"/>
  <c r="AS232" i="7"/>
  <c r="AV231" i="7"/>
  <c r="AT228" i="7"/>
  <c r="AS229" i="7"/>
  <c r="AS230" i="7"/>
  <c r="AU19" i="13"/>
  <c r="AU25" i="13"/>
  <c r="AW743" i="7"/>
  <c r="AW22" i="12"/>
  <c r="AW728" i="7"/>
  <c r="AW907" i="7"/>
  <c r="AW24" i="13"/>
  <c r="AW888" i="7"/>
  <c r="AW937" i="7" s="1"/>
  <c r="AV234" i="7"/>
  <c r="AV248" i="7"/>
  <c r="AU504" i="7"/>
  <c r="AW43" i="44"/>
  <c r="AX44" i="44" s="1"/>
  <c r="AW39" i="44"/>
  <c r="AX40" i="44" s="1"/>
  <c r="AV209" i="11"/>
  <c r="AV207" i="11"/>
  <c r="AV214" i="11" s="1"/>
  <c r="AV255" i="14"/>
  <c r="AV208" i="11"/>
  <c r="AV265" i="14"/>
  <c r="AV277" i="14" s="1"/>
  <c r="AV173" i="11"/>
  <c r="AV302" i="11" s="1"/>
  <c r="AU302" i="11"/>
  <c r="AV75" i="11"/>
  <c r="AV81" i="11" s="1"/>
  <c r="BO81" i="11" s="1"/>
  <c r="AU81" i="11"/>
  <c r="AV171" i="11"/>
  <c r="AU9" i="44"/>
  <c r="AS228" i="7"/>
  <c r="BK54" i="20"/>
  <c r="BK59" i="20"/>
  <c r="AV865" i="7" s="1"/>
  <c r="BK56" i="20"/>
  <c r="BK62" i="20"/>
  <c r="BK60" i="20"/>
  <c r="BK64" i="20"/>
  <c r="BJ155" i="20"/>
  <c r="BK155" i="20" s="1"/>
  <c r="AU865" i="7"/>
  <c r="BJ151" i="20"/>
  <c r="BJ219" i="20" s="1"/>
  <c r="BJ71" i="20"/>
  <c r="AU255" i="11" s="1"/>
  <c r="AU254" i="11" s="1"/>
  <c r="BJ61" i="20"/>
  <c r="BK70" i="20"/>
  <c r="BK256" i="20" s="1"/>
  <c r="BJ256" i="20"/>
  <c r="BK254" i="20"/>
  <c r="BK63" i="20"/>
  <c r="AV219" i="14" s="1"/>
  <c r="AU219" i="14"/>
  <c r="AU25" i="43"/>
  <c r="AU23" i="43" s="1"/>
  <c r="BJ160" i="20"/>
  <c r="BK160" i="20" s="1"/>
  <c r="BK65" i="20"/>
  <c r="AV25" i="43" s="1"/>
  <c r="AS981" i="7"/>
  <c r="AS224" i="7"/>
  <c r="AT222" i="7"/>
  <c r="AT224" i="7" s="1"/>
  <c r="AU238" i="7"/>
  <c r="AV294" i="14"/>
  <c r="AV223" i="11"/>
  <c r="AU262" i="11"/>
  <c r="AV262" i="11" s="1"/>
  <c r="AV263" i="11" s="1"/>
  <c r="AU200" i="11"/>
  <c r="AV200" i="11" s="1"/>
  <c r="AU164" i="11"/>
  <c r="AU211" i="11"/>
  <c r="AU93" i="11"/>
  <c r="AV93" i="11" s="1"/>
  <c r="AV60" i="11"/>
  <c r="AV231" i="11" s="1"/>
  <c r="AV232" i="11" s="1"/>
  <c r="AU231" i="11"/>
  <c r="AU119" i="11"/>
  <c r="AV119" i="11" s="1"/>
  <c r="AU198" i="11"/>
  <c r="AV198" i="11" s="1"/>
  <c r="AV195" i="11"/>
  <c r="AV33" i="11"/>
  <c r="BJ74" i="20"/>
  <c r="AT232" i="7"/>
  <c r="AS234" i="7" l="1"/>
  <c r="AS260" i="7"/>
  <c r="AY517" i="12"/>
  <c r="AY514" i="12"/>
  <c r="AY520" i="12"/>
  <c r="AY21" i="12" s="1"/>
  <c r="AY521" i="12"/>
  <c r="AY22" i="12" s="1"/>
  <c r="AV68" i="11"/>
  <c r="AX48" i="44"/>
  <c r="AX49" i="44"/>
  <c r="AX50" i="44"/>
  <c r="AW44" i="44"/>
  <c r="AW48" i="44" s="1"/>
  <c r="AS231" i="7"/>
  <c r="AV303" i="11"/>
  <c r="AW321" i="11" s="1"/>
  <c r="AW323" i="11" s="1"/>
  <c r="AW86" i="44" s="1"/>
  <c r="AV9" i="44"/>
  <c r="BK61" i="20"/>
  <c r="BK66" i="20" s="1"/>
  <c r="AV687" i="7"/>
  <c r="AV235" i="7"/>
  <c r="AV254" i="7"/>
  <c r="AS235" i="7"/>
  <c r="AS254" i="7"/>
  <c r="AT231" i="7"/>
  <c r="AW19" i="13"/>
  <c r="AW25" i="13"/>
  <c r="AW23" i="12"/>
  <c r="AW17" i="12"/>
  <c r="AW21" i="44" s="1"/>
  <c r="AU211" i="14"/>
  <c r="AV211" i="14" s="1"/>
  <c r="AW212" i="14" s="1"/>
  <c r="Y16" i="18"/>
  <c r="AV23" i="43"/>
  <c r="AW26" i="43"/>
  <c r="AU303" i="11"/>
  <c r="BJ84" i="20"/>
  <c r="AT234" i="7"/>
  <c r="AU263" i="11"/>
  <c r="BK151" i="20"/>
  <c r="BK219" i="20" s="1"/>
  <c r="BK71" i="20"/>
  <c r="BJ66" i="20"/>
  <c r="BJ73" i="20" s="1"/>
  <c r="BK74" i="20"/>
  <c r="AV211" i="11"/>
  <c r="AV212" i="11" s="1"/>
  <c r="AV237" i="11"/>
  <c r="AU271" i="11"/>
  <c r="AU232" i="11"/>
  <c r="AU212" i="11"/>
  <c r="AU249" i="11"/>
  <c r="AU237" i="11"/>
  <c r="AU127" i="11"/>
  <c r="AV127" i="11" s="1"/>
  <c r="AR14" i="43"/>
  <c r="AS14" i="43"/>
  <c r="AT14" i="43"/>
  <c r="AT178" i="43"/>
  <c r="AT176" i="43" s="1"/>
  <c r="AS178" i="43"/>
  <c r="AS176" i="43" s="1"/>
  <c r="AR178" i="43"/>
  <c r="AR176" i="43" s="1"/>
  <c r="AV172" i="43"/>
  <c r="AW173" i="43" s="1"/>
  <c r="AU173" i="43"/>
  <c r="AT173" i="43"/>
  <c r="AS173" i="43"/>
  <c r="AY23" i="12" l="1"/>
  <c r="AY17" i="12"/>
  <c r="AY522" i="12"/>
  <c r="BJ75" i="20"/>
  <c r="BJ343" i="20"/>
  <c r="AW324" i="11"/>
  <c r="AW326" i="11" s="1"/>
  <c r="AW328" i="11" s="1"/>
  <c r="AX34" i="44"/>
  <c r="BK84" i="20"/>
  <c r="AV255" i="11"/>
  <c r="AV254" i="11" s="1"/>
  <c r="AT235" i="7"/>
  <c r="AT254" i="7"/>
  <c r="BK73" i="20"/>
  <c r="BK75" i="20" s="1"/>
  <c r="BK83" i="20"/>
  <c r="BJ83" i="20"/>
  <c r="BJ85" i="20" s="1"/>
  <c r="BJ77" i="20"/>
  <c r="S606" i="42" s="1"/>
  <c r="BK77" i="20"/>
  <c r="AW14" i="43"/>
  <c r="AY175" i="43"/>
  <c r="AZ175" i="43" s="1"/>
  <c r="AU14" i="43"/>
  <c r="AV14" i="43" s="1"/>
  <c r="AV238" i="11"/>
  <c r="AU272" i="11"/>
  <c r="AV271" i="11"/>
  <c r="AV272" i="11" s="1"/>
  <c r="AU277" i="11"/>
  <c r="AV277" i="11" s="1"/>
  <c r="AU238" i="11"/>
  <c r="AV249" i="11"/>
  <c r="AV250" i="11" s="1"/>
  <c r="AU250" i="11"/>
  <c r="I70" i="16"/>
  <c r="H70" i="16"/>
  <c r="F109" i="16"/>
  <c r="E109" i="16"/>
  <c r="G16" i="16"/>
  <c r="D16" i="16"/>
  <c r="BB175" i="43" l="1"/>
  <c r="AZ14" i="43"/>
  <c r="BA14" i="43" s="1"/>
  <c r="BK85" i="20"/>
  <c r="AY14" i="43"/>
  <c r="AX14" i="43"/>
  <c r="AU176" i="43"/>
  <c r="AU161" i="44"/>
  <c r="AZ94" i="44"/>
  <c r="AZ103" i="44"/>
  <c r="AX103" i="44"/>
  <c r="AX58" i="44" s="1"/>
  <c r="AU94" i="44"/>
  <c r="AU103" i="44"/>
  <c r="AU58" i="44" s="1"/>
  <c r="AV142" i="43"/>
  <c r="AW143" i="43" s="1"/>
  <c r="AW127" i="43"/>
  <c r="AV121" i="43"/>
  <c r="AW122" i="43" s="1"/>
  <c r="AW73" i="45"/>
  <c r="AW49" i="45"/>
  <c r="AT68" i="45"/>
  <c r="AS68" i="45"/>
  <c r="AW61" i="45"/>
  <c r="AU61" i="45"/>
  <c r="AT61" i="45"/>
  <c r="AS61" i="45"/>
  <c r="AR61" i="45"/>
  <c r="AP61" i="45"/>
  <c r="AW37" i="45"/>
  <c r="AW25" i="45"/>
  <c r="BQ45" i="13"/>
  <c r="AU147" i="13"/>
  <c r="AV147" i="13" s="1"/>
  <c r="AW147" i="13" s="1"/>
  <c r="AX147" i="13" s="1"/>
  <c r="AS147" i="13"/>
  <c r="AT147" i="13" s="1"/>
  <c r="AR147" i="13"/>
  <c r="AV164" i="13"/>
  <c r="AT174" i="13"/>
  <c r="AT28" i="13"/>
  <c r="AT27" i="13"/>
  <c r="AS21" i="13"/>
  <c r="AT21" i="13" s="1"/>
  <c r="AU21" i="13" s="1"/>
  <c r="AV64" i="13"/>
  <c r="AV63" i="13"/>
  <c r="AU84" i="13"/>
  <c r="AV65" i="13" s="1"/>
  <c r="AV83" i="13"/>
  <c r="AW97" i="13" s="1"/>
  <c r="AV82" i="13"/>
  <c r="AW96" i="13" s="1"/>
  <c r="AU81" i="13"/>
  <c r="AV81" i="13" s="1"/>
  <c r="AU79" i="13"/>
  <c r="AV79" i="13" s="1"/>
  <c r="AU77" i="13"/>
  <c r="AV77" i="13" s="1"/>
  <c r="AU76" i="13"/>
  <c r="AV76" i="13" s="1"/>
  <c r="AW90" i="13" s="1"/>
  <c r="AV74" i="13"/>
  <c r="AW89" i="13" s="1"/>
  <c r="AU73" i="13"/>
  <c r="AV73" i="13" s="1"/>
  <c r="AV71" i="13"/>
  <c r="AW87" i="13" s="1"/>
  <c r="AT408" i="13"/>
  <c r="AS408" i="13"/>
  <c r="AR408" i="13"/>
  <c r="AP408" i="13"/>
  <c r="AO408" i="13"/>
  <c r="AT405" i="13"/>
  <c r="AW403" i="13"/>
  <c r="AT382" i="13"/>
  <c r="AV105" i="13"/>
  <c r="AW328" i="13"/>
  <c r="AT287" i="13"/>
  <c r="AU289" i="13"/>
  <c r="AW281" i="13"/>
  <c r="AU278" i="13"/>
  <c r="AT278" i="13"/>
  <c r="AT281" i="13" s="1"/>
  <c r="AT284" i="13" s="1"/>
  <c r="AT285" i="13" s="1"/>
  <c r="AT330" i="13"/>
  <c r="AW276" i="13"/>
  <c r="AU276" i="13"/>
  <c r="AS202" i="13"/>
  <c r="AW192" i="13"/>
  <c r="AW189" i="13"/>
  <c r="AR174" i="13"/>
  <c r="AR173" i="13" s="1"/>
  <c r="AR157" i="13"/>
  <c r="AT157" i="13"/>
  <c r="AT181" i="13"/>
  <c r="AV163" i="13"/>
  <c r="AT146" i="13"/>
  <c r="AU146" i="13" s="1"/>
  <c r="AS146" i="13"/>
  <c r="AX128" i="43" l="1"/>
  <c r="AW11" i="43"/>
  <c r="BB14" i="43"/>
  <c r="BC175" i="43"/>
  <c r="F48" i="52"/>
  <c r="D48" i="52" s="1"/>
  <c r="D76" i="52" s="1"/>
  <c r="F76" i="52" s="1"/>
  <c r="F33" i="53"/>
  <c r="D33" i="53" s="1"/>
  <c r="J33" i="53" s="1"/>
  <c r="L33" i="53" s="1"/>
  <c r="AX282" i="13"/>
  <c r="AW284" i="13"/>
  <c r="AX287" i="13"/>
  <c r="AZ105" i="13"/>
  <c r="BA105" i="13" s="1"/>
  <c r="AV146" i="13"/>
  <c r="AT15" i="45"/>
  <c r="AU182" i="13"/>
  <c r="AW176" i="43"/>
  <c r="AX178" i="43"/>
  <c r="BK49" i="13"/>
  <c r="BU46" i="13"/>
  <c r="BV46" i="13" s="1"/>
  <c r="AV127" i="43"/>
  <c r="AW128" i="43" s="1"/>
  <c r="AW95" i="13"/>
  <c r="AW289" i="13"/>
  <c r="AU279" i="13"/>
  <c r="AZ64" i="13"/>
  <c r="AT29" i="13"/>
  <c r="AW91" i="13"/>
  <c r="AW93" i="13"/>
  <c r="AV84" i="13"/>
  <c r="AW98" i="13" s="1"/>
  <c r="AW279" i="13"/>
  <c r="AU281" i="13"/>
  <c r="AU284" i="13" s="1"/>
  <c r="AT383" i="13"/>
  <c r="AT737" i="7"/>
  <c r="AT736" i="7"/>
  <c r="AS19" i="12"/>
  <c r="AW91" i="12"/>
  <c r="AV83" i="12"/>
  <c r="AW92" i="12" s="1"/>
  <c r="AV81" i="12"/>
  <c r="AW90" i="12" s="1"/>
  <c r="AV80" i="12"/>
  <c r="AW89" i="12" s="1"/>
  <c r="AV79" i="12"/>
  <c r="AW88" i="12" s="1"/>
  <c r="AV78" i="12"/>
  <c r="AW87" i="12" s="1"/>
  <c r="AV77" i="12"/>
  <c r="AW86" i="12" s="1"/>
  <c r="AW503" i="12"/>
  <c r="AX515" i="12" s="1"/>
  <c r="AW501" i="12"/>
  <c r="AW498" i="12"/>
  <c r="AT477" i="12"/>
  <c r="AT478" i="12" s="1"/>
  <c r="AS477" i="12"/>
  <c r="AS478" i="12" s="1"/>
  <c r="AW475" i="12"/>
  <c r="AU440" i="12"/>
  <c r="AU435" i="12"/>
  <c r="AU436" i="12" s="1"/>
  <c r="AU433" i="12"/>
  <c r="AW423" i="12"/>
  <c r="AW394" i="12"/>
  <c r="AW399" i="12"/>
  <c r="AY349" i="12"/>
  <c r="AW341" i="12"/>
  <c r="AW339" i="12"/>
  <c r="AW336" i="12"/>
  <c r="AU336" i="12"/>
  <c r="AT315" i="12"/>
  <c r="AT316" i="12" s="1"/>
  <c r="AS315" i="12"/>
  <c r="AW313" i="12"/>
  <c r="AT272" i="12"/>
  <c r="AW266" i="12"/>
  <c r="AW264" i="12"/>
  <c r="AW261" i="12"/>
  <c r="AT240" i="12"/>
  <c r="AO245" i="12"/>
  <c r="AT245" i="12"/>
  <c r="AU245" i="12" s="1"/>
  <c r="AW238" i="12"/>
  <c r="AW215" i="12"/>
  <c r="AT217" i="12"/>
  <c r="AT199" i="12"/>
  <c r="AU199" i="12" s="1"/>
  <c r="AT194" i="12"/>
  <c r="AT176" i="12"/>
  <c r="AW169" i="12"/>
  <c r="AT171" i="12"/>
  <c r="AT1097" i="7"/>
  <c r="AT1100" i="7" s="1"/>
  <c r="AT1093" i="7"/>
  <c r="AT1092" i="7" s="1"/>
  <c r="AT1074" i="7"/>
  <c r="AT1071" i="7"/>
  <c r="AS1056" i="7"/>
  <c r="AS1043" i="7"/>
  <c r="AS1020" i="7"/>
  <c r="AT1020" i="7" s="1"/>
  <c r="AS1022" i="7"/>
  <c r="AT995" i="7"/>
  <c r="AT994" i="7"/>
  <c r="AT977" i="7"/>
  <c r="AT975" i="7"/>
  <c r="AT971" i="7"/>
  <c r="AU976" i="7" s="1"/>
  <c r="AT966" i="7"/>
  <c r="AT956" i="7"/>
  <c r="AT959" i="7" s="1"/>
  <c r="AT924" i="7"/>
  <c r="AT893" i="7"/>
  <c r="AT892" i="7"/>
  <c r="AT887" i="7"/>
  <c r="AT877" i="7"/>
  <c r="AT876" i="7"/>
  <c r="AT869" i="7"/>
  <c r="AT780" i="7"/>
  <c r="AT782" i="7" s="1"/>
  <c r="AT717" i="7"/>
  <c r="AT707" i="7"/>
  <c r="AT708" i="7" s="1"/>
  <c r="AT699" i="7"/>
  <c r="AT698" i="7"/>
  <c r="AT697" i="7"/>
  <c r="AT647" i="7"/>
  <c r="AT491" i="7"/>
  <c r="AT467" i="7" s="1"/>
  <c r="AT409" i="7"/>
  <c r="AT384" i="7"/>
  <c r="AT459" i="7" s="1"/>
  <c r="AO277" i="7"/>
  <c r="AO289" i="7" s="1"/>
  <c r="AT217" i="7"/>
  <c r="AT218" i="7" s="1"/>
  <c r="AT214" i="7"/>
  <c r="AT179" i="7"/>
  <c r="AU166" i="7" s="1"/>
  <c r="AU164" i="7" s="1"/>
  <c r="AT102" i="7"/>
  <c r="AT157" i="12"/>
  <c r="AT137" i="12"/>
  <c r="AT118" i="12"/>
  <c r="AU925" i="7" l="1"/>
  <c r="AS316" i="12"/>
  <c r="AT325" i="12"/>
  <c r="AT322" i="12"/>
  <c r="AU250" i="12"/>
  <c r="AU247" i="12"/>
  <c r="AZ349" i="12"/>
  <c r="AZ345" i="12" s="1"/>
  <c r="AY345" i="12"/>
  <c r="AW402" i="12"/>
  <c r="AW403" i="12" s="1"/>
  <c r="AX400" i="12"/>
  <c r="BD175" i="43"/>
  <c r="BC14" i="43"/>
  <c r="BA64" i="13"/>
  <c r="AX176" i="43"/>
  <c r="AY178" i="43"/>
  <c r="AU741" i="7"/>
  <c r="AU21" i="12" s="1"/>
  <c r="AT401" i="7"/>
  <c r="AU1020" i="7"/>
  <c r="AT225" i="7"/>
  <c r="AT226" i="7" s="1"/>
  <c r="AU875" i="7"/>
  <c r="AT1022" i="7"/>
  <c r="AU1022" i="7" s="1"/>
  <c r="AS1051" i="7"/>
  <c r="AT1043" i="7"/>
  <c r="AU742" i="7"/>
  <c r="AT1056" i="7"/>
  <c r="AU1056" i="7" s="1"/>
  <c r="AU1064" i="7" s="1"/>
  <c r="AY287" i="13"/>
  <c r="AZ287" i="13"/>
  <c r="AX504" i="12"/>
  <c r="AW506" i="12"/>
  <c r="AW285" i="13"/>
  <c r="AZ63" i="13"/>
  <c r="BA63" i="13" s="1"/>
  <c r="AX267" i="12"/>
  <c r="AW269" i="12"/>
  <c r="AX342" i="12"/>
  <c r="AW344" i="12"/>
  <c r="AW345" i="12" s="1"/>
  <c r="AU195" i="12"/>
  <c r="AW199" i="12"/>
  <c r="AT634" i="7"/>
  <c r="AT504" i="7"/>
  <c r="AT962" i="7"/>
  <c r="AT392" i="7"/>
  <c r="AU446" i="7"/>
  <c r="AT496" i="7"/>
  <c r="AU282" i="13"/>
  <c r="AW287" i="13"/>
  <c r="AX289" i="13"/>
  <c r="AX285" i="13" s="1"/>
  <c r="AU285" i="13"/>
  <c r="AV284" i="13"/>
  <c r="AW146" i="13"/>
  <c r="AX146" i="13" s="1"/>
  <c r="BK50" i="13"/>
  <c r="BU45" i="13"/>
  <c r="BV45" i="13" s="1"/>
  <c r="AY222" i="12"/>
  <c r="AU218" i="12"/>
  <c r="AT632" i="7"/>
  <c r="AT952" i="7"/>
  <c r="AT951" i="7" s="1"/>
  <c r="AT633" i="7"/>
  <c r="AS1064" i="7"/>
  <c r="AT961" i="7"/>
  <c r="AT119" i="7"/>
  <c r="AT739" i="7"/>
  <c r="AT447" i="7"/>
  <c r="AT465" i="7"/>
  <c r="AT97" i="7"/>
  <c r="AW282" i="13"/>
  <c r="AT172" i="12"/>
  <c r="AU439" i="12"/>
  <c r="AU441" i="12" s="1"/>
  <c r="AT241" i="12"/>
  <c r="AT195" i="12"/>
  <c r="AW106" i="43"/>
  <c r="AX107" i="43" s="1"/>
  <c r="AW380" i="13"/>
  <c r="AX513" i="12" l="1"/>
  <c r="AX516" i="12"/>
  <c r="AX520" i="12" s="1"/>
  <c r="AY218" i="12"/>
  <c r="AZ222" i="12"/>
  <c r="AZ218" i="12" s="1"/>
  <c r="AW195" i="12"/>
  <c r="AX199" i="12"/>
  <c r="AX195" i="12" s="1"/>
  <c r="AT323" i="12"/>
  <c r="AT326" i="12"/>
  <c r="AT330" i="12"/>
  <c r="AT331" i="12" s="1"/>
  <c r="AT329" i="12"/>
  <c r="AU248" i="12"/>
  <c r="AU251" i="12"/>
  <c r="AU255" i="12"/>
  <c r="AU254" i="12"/>
  <c r="AY176" i="43"/>
  <c r="AZ178" i="43"/>
  <c r="BE175" i="43"/>
  <c r="BD14" i="43"/>
  <c r="AV1056" i="7"/>
  <c r="AT963" i="7"/>
  <c r="AT965" i="7" s="1"/>
  <c r="AT1051" i="7"/>
  <c r="AU1043" i="7"/>
  <c r="AU1051" i="7" s="1"/>
  <c r="AT1064" i="7"/>
  <c r="AU743" i="7"/>
  <c r="AU728" i="7"/>
  <c r="AU22" i="12"/>
  <c r="AY146" i="13"/>
  <c r="AY289" i="13"/>
  <c r="AY285" i="13" s="1"/>
  <c r="AU287" i="13"/>
  <c r="AV46" i="13"/>
  <c r="AV287" i="13" s="1"/>
  <c r="AU256" i="12" l="1"/>
  <c r="AX517" i="12"/>
  <c r="AX514" i="12"/>
  <c r="AX521" i="12"/>
  <c r="AX522" i="12" s="1"/>
  <c r="BE14" i="43"/>
  <c r="BF14" i="43" s="1"/>
  <c r="BB178" i="43"/>
  <c r="AZ176" i="43"/>
  <c r="BJ44" i="13"/>
  <c r="AZ289" i="13"/>
  <c r="AZ285" i="13" s="1"/>
  <c r="AU17" i="12"/>
  <c r="AU21" i="44" s="1"/>
  <c r="AU23" i="12"/>
  <c r="AV1043" i="7"/>
  <c r="F34" i="53"/>
  <c r="F51" i="52"/>
  <c r="BU44" i="13"/>
  <c r="BV44" i="13" s="1"/>
  <c r="BK44" i="13"/>
  <c r="AZ146" i="13"/>
  <c r="BA146" i="13" s="1"/>
  <c r="K29" i="47"/>
  <c r="J29" i="47"/>
  <c r="I29" i="47"/>
  <c r="H29" i="47"/>
  <c r="BA81" i="44"/>
  <c r="AZ106" i="44"/>
  <c r="K18" i="47"/>
  <c r="W8" i="47" s="1"/>
  <c r="J18" i="47"/>
  <c r="I18" i="47"/>
  <c r="H18" i="47"/>
  <c r="K9" i="47"/>
  <c r="J9" i="47"/>
  <c r="H9" i="47"/>
  <c r="V16" i="18"/>
  <c r="W16" i="18" s="1"/>
  <c r="V19" i="18"/>
  <c r="W19" i="18" s="1"/>
  <c r="V22" i="18"/>
  <c r="W22" i="18" s="1"/>
  <c r="V25" i="18"/>
  <c r="W25" i="18" s="1"/>
  <c r="V28" i="18"/>
  <c r="W28" i="18" s="1"/>
  <c r="V31" i="18"/>
  <c r="W31" i="18" s="1"/>
  <c r="V34" i="18"/>
  <c r="W34" i="18" s="1"/>
  <c r="V37" i="18"/>
  <c r="W37" i="18" s="1"/>
  <c r="V40" i="18"/>
  <c r="W40" i="18" s="1"/>
  <c r="V43" i="18"/>
  <c r="W43" i="18" s="1"/>
  <c r="V46" i="18"/>
  <c r="W46" i="18" s="1"/>
  <c r="V49" i="18"/>
  <c r="W49" i="18" s="1"/>
  <c r="V52" i="18"/>
  <c r="W52" i="18" s="1"/>
  <c r="V55" i="18"/>
  <c r="W55" i="18" s="1"/>
  <c r="V58" i="18"/>
  <c r="W58" i="18" s="1"/>
  <c r="V61" i="18"/>
  <c r="W61" i="18" s="1"/>
  <c r="V64" i="18"/>
  <c r="W64" i="18" s="1"/>
  <c r="V67" i="18"/>
  <c r="W67" i="18" s="1"/>
  <c r="V70" i="18"/>
  <c r="W70" i="18" s="1"/>
  <c r="V73" i="18"/>
  <c r="W73" i="18" s="1"/>
  <c r="V76" i="18"/>
  <c r="W76" i="18" s="1"/>
  <c r="V79" i="18"/>
  <c r="W79" i="18" s="1"/>
  <c r="V82" i="18"/>
  <c r="W82" i="18" s="1"/>
  <c r="V85" i="18"/>
  <c r="W85" i="18" s="1"/>
  <c r="V88" i="18"/>
  <c r="W88" i="18" s="1"/>
  <c r="V91" i="18"/>
  <c r="BP222" i="20"/>
  <c r="BO222" i="20"/>
  <c r="BN222" i="20"/>
  <c r="BL222" i="20"/>
  <c r="BP209" i="20"/>
  <c r="BK209" i="20"/>
  <c r="BM212" i="20"/>
  <c r="BN210" i="20"/>
  <c r="BO210" i="20"/>
  <c r="BO212" i="20" s="1"/>
  <c r="AY19" i="43"/>
  <c r="AZ19" i="43" s="1"/>
  <c r="BA19" i="43" s="1"/>
  <c r="BB19" i="43" s="1"/>
  <c r="BC19" i="43" s="1"/>
  <c r="BD19" i="43" s="1"/>
  <c r="BE19" i="43" s="1"/>
  <c r="BF19" i="43" s="1"/>
  <c r="AV46" i="43"/>
  <c r="AW47" i="43" s="1"/>
  <c r="AZ78" i="44"/>
  <c r="K26" i="47" s="1"/>
  <c r="AY78" i="44"/>
  <c r="J26" i="47" s="1"/>
  <c r="AX78" i="44"/>
  <c r="I26" i="47" s="1"/>
  <c r="AW78" i="44"/>
  <c r="H26" i="47" s="1"/>
  <c r="AY75" i="44"/>
  <c r="J23" i="47" s="1"/>
  <c r="AX75" i="44"/>
  <c r="I23" i="47" s="1"/>
  <c r="J11" i="47"/>
  <c r="I11" i="47"/>
  <c r="AR75" i="44"/>
  <c r="K15" i="47"/>
  <c r="J15" i="47"/>
  <c r="BA29" i="44"/>
  <c r="K10" i="47"/>
  <c r="I10" i="47"/>
  <c r="AZ77" i="44"/>
  <c r="K25" i="47" s="1"/>
  <c r="AY77" i="44"/>
  <c r="J25" i="47" s="1"/>
  <c r="AX77" i="44"/>
  <c r="I25" i="47" s="1"/>
  <c r="AZ75" i="44"/>
  <c r="K23" i="47" s="1"/>
  <c r="BA26" i="44"/>
  <c r="AZ25" i="44"/>
  <c r="AZ74" i="44" s="1"/>
  <c r="K22" i="47" s="1"/>
  <c r="AX25" i="44"/>
  <c r="AX74" i="44" s="1"/>
  <c r="I22" i="47" s="1"/>
  <c r="AZ149" i="44"/>
  <c r="AY149" i="44"/>
  <c r="AX149" i="44"/>
  <c r="AZ144" i="44"/>
  <c r="AZ18" i="44" s="1"/>
  <c r="AZ67" i="44" s="1"/>
  <c r="AY144" i="44"/>
  <c r="AX144" i="44"/>
  <c r="AX18" i="44" s="1"/>
  <c r="AX67" i="44" s="1"/>
  <c r="AZ130" i="44"/>
  <c r="AY130" i="44"/>
  <c r="AX130" i="44"/>
  <c r="AW130" i="44"/>
  <c r="AW114" i="44"/>
  <c r="AZ160" i="44"/>
  <c r="AZ161" i="44" s="1"/>
  <c r="AY160" i="44"/>
  <c r="AY161" i="44" s="1"/>
  <c r="AX160" i="44"/>
  <c r="AX161" i="44" s="1"/>
  <c r="AU160" i="44"/>
  <c r="AQ152" i="44"/>
  <c r="AP153" i="44"/>
  <c r="AQ151" i="44"/>
  <c r="AT159" i="44"/>
  <c r="AT149" i="44" s="1"/>
  <c r="BO104" i="20"/>
  <c r="BP104" i="20" s="1"/>
  <c r="D14" i="39" s="1"/>
  <c r="BN104" i="20"/>
  <c r="BI104" i="20"/>
  <c r="AV200" i="14"/>
  <c r="AU140" i="14"/>
  <c r="AT297" i="14"/>
  <c r="AT290" i="14"/>
  <c r="AT289" i="14"/>
  <c r="AT288" i="14"/>
  <c r="AT281" i="14"/>
  <c r="AT280" i="14"/>
  <c r="AT282" i="14" s="1"/>
  <c r="AT264" i="14"/>
  <c r="AT294" i="14" s="1"/>
  <c r="AT302" i="14" s="1"/>
  <c r="AT263" i="14"/>
  <c r="AT285" i="14" s="1"/>
  <c r="AT254" i="14"/>
  <c r="AT253" i="14"/>
  <c r="AT252" i="14"/>
  <c r="AT251" i="14"/>
  <c r="AT280" i="11"/>
  <c r="AT178" i="11" s="1"/>
  <c r="AT230" i="11"/>
  <c r="AT228" i="11"/>
  <c r="AT221" i="11"/>
  <c r="AT220" i="11"/>
  <c r="AT219" i="11"/>
  <c r="AT218" i="11"/>
  <c r="AR280" i="11"/>
  <c r="AR248" i="11" s="1"/>
  <c r="AS280" i="11"/>
  <c r="AS178" i="11" s="1"/>
  <c r="AT156" i="11"/>
  <c r="AT148" i="11"/>
  <c r="AT138" i="11"/>
  <c r="AT64" i="11"/>
  <c r="AT235" i="11" s="1"/>
  <c r="AT54" i="11"/>
  <c r="AT227" i="11" s="1"/>
  <c r="AT47" i="11"/>
  <c r="AT40" i="11"/>
  <c r="AT30" i="11"/>
  <c r="AT298" i="14" s="1"/>
  <c r="AT26" i="11"/>
  <c r="AT265" i="14" s="1"/>
  <c r="AT277" i="14" s="1"/>
  <c r="AT21" i="11"/>
  <c r="BI79" i="20"/>
  <c r="BI13" i="20" s="1"/>
  <c r="D13" i="24"/>
  <c r="D14" i="24"/>
  <c r="D15" i="24"/>
  <c r="E16" i="18"/>
  <c r="E17" i="18"/>
  <c r="E18" i="18"/>
  <c r="BI34" i="20"/>
  <c r="J19" i="18" s="1"/>
  <c r="BI31" i="20"/>
  <c r="AT140" i="14"/>
  <c r="D16" i="24"/>
  <c r="D17" i="24"/>
  <c r="D18" i="24"/>
  <c r="L452" i="42"/>
  <c r="Q421" i="42"/>
  <c r="R421" i="42" s="1"/>
  <c r="S426" i="42"/>
  <c r="R426" i="42"/>
  <c r="P426" i="42"/>
  <c r="S424" i="42"/>
  <c r="R424" i="42"/>
  <c r="P424" i="42"/>
  <c r="S425" i="42"/>
  <c r="R425" i="42"/>
  <c r="P425" i="42"/>
  <c r="S423" i="42"/>
  <c r="R423" i="42"/>
  <c r="P423" i="42"/>
  <c r="P421" i="42"/>
  <c r="S422" i="42"/>
  <c r="R422" i="42"/>
  <c r="P422" i="42"/>
  <c r="S420" i="42"/>
  <c r="R420" i="42"/>
  <c r="P420" i="42"/>
  <c r="S418" i="42"/>
  <c r="R418" i="42"/>
  <c r="P418" i="42"/>
  <c r="S416" i="42"/>
  <c r="R416" i="42"/>
  <c r="P416" i="42"/>
  <c r="S419" i="42"/>
  <c r="R419" i="42"/>
  <c r="P419" i="42"/>
  <c r="S415" i="42"/>
  <c r="R415" i="42"/>
  <c r="P415" i="42"/>
  <c r="R417" i="42"/>
  <c r="P417" i="42"/>
  <c r="N417" i="42"/>
  <c r="S417" i="42" s="1"/>
  <c r="T417" i="42" s="1"/>
  <c r="R382" i="42"/>
  <c r="P382" i="42"/>
  <c r="N382" i="42"/>
  <c r="S382" i="42" s="1"/>
  <c r="S384" i="42"/>
  <c r="R384" i="42"/>
  <c r="P384" i="42"/>
  <c r="S390" i="42"/>
  <c r="R390" i="42"/>
  <c r="P390" i="42"/>
  <c r="S389" i="42"/>
  <c r="R389" i="42"/>
  <c r="P389" i="42"/>
  <c r="S388" i="42"/>
  <c r="R388" i="42"/>
  <c r="P388" i="42"/>
  <c r="S391" i="42"/>
  <c r="R391" i="42"/>
  <c r="P391" i="42"/>
  <c r="S386" i="42"/>
  <c r="R386" i="42"/>
  <c r="P386" i="42"/>
  <c r="S387" i="42"/>
  <c r="R387" i="42"/>
  <c r="P387" i="42"/>
  <c r="S392" i="42"/>
  <c r="R392" i="42"/>
  <c r="P392" i="42"/>
  <c r="S385" i="42"/>
  <c r="R385" i="42"/>
  <c r="P385" i="42"/>
  <c r="S393" i="42"/>
  <c r="R393" i="42"/>
  <c r="P393" i="42"/>
  <c r="S383" i="42"/>
  <c r="R383" i="42"/>
  <c r="P383" i="42"/>
  <c r="N360" i="42"/>
  <c r="S360" i="42" s="1"/>
  <c r="S358" i="42"/>
  <c r="S355" i="42"/>
  <c r="S357" i="42"/>
  <c r="S352" i="42"/>
  <c r="S356" i="42"/>
  <c r="S350" i="42"/>
  <c r="S349" i="42"/>
  <c r="S354" i="42"/>
  <c r="S359" i="42"/>
  <c r="S351" i="42"/>
  <c r="S353" i="42"/>
  <c r="R360" i="42"/>
  <c r="P360" i="42"/>
  <c r="P351" i="42"/>
  <c r="R351" i="42"/>
  <c r="R359" i="42"/>
  <c r="P359" i="42"/>
  <c r="P354" i="42"/>
  <c r="R354" i="42"/>
  <c r="P349" i="42"/>
  <c r="R349" i="42"/>
  <c r="R350" i="42"/>
  <c r="P350" i="42"/>
  <c r="P356" i="42"/>
  <c r="R356" i="42"/>
  <c r="R352" i="42"/>
  <c r="P352" i="42"/>
  <c r="R357" i="42"/>
  <c r="P357" i="42"/>
  <c r="R355" i="42"/>
  <c r="P355" i="42"/>
  <c r="R358" i="42"/>
  <c r="P358" i="42"/>
  <c r="R353" i="42"/>
  <c r="P353" i="42"/>
  <c r="M324" i="42"/>
  <c r="M323" i="42"/>
  <c r="M322" i="42"/>
  <c r="BH211" i="20"/>
  <c r="BH104" i="20"/>
  <c r="AS297" i="14"/>
  <c r="AS290" i="14"/>
  <c r="AS289" i="14"/>
  <c r="AS288" i="14"/>
  <c r="AS281" i="14"/>
  <c r="AS280" i="14"/>
  <c r="AS264" i="14"/>
  <c r="AS294" i="14" s="1"/>
  <c r="AS302" i="14" s="1"/>
  <c r="AS263" i="14"/>
  <c r="AS285" i="14" s="1"/>
  <c r="AS254" i="14"/>
  <c r="AS253" i="14"/>
  <c r="AS252" i="14"/>
  <c r="AS251" i="14"/>
  <c r="AU73" i="45"/>
  <c r="AU49" i="45"/>
  <c r="AU37" i="45"/>
  <c r="AU25" i="45"/>
  <c r="AU143" i="43"/>
  <c r="AU127" i="43"/>
  <c r="AU122" i="43"/>
  <c r="AU106" i="43"/>
  <c r="AV106" i="43" s="1"/>
  <c r="AW107" i="43" s="1"/>
  <c r="AU47" i="43"/>
  <c r="AT161" i="44"/>
  <c r="AR96" i="44"/>
  <c r="AS230" i="11"/>
  <c r="AS228" i="11"/>
  <c r="AS221" i="11"/>
  <c r="AS220" i="11"/>
  <c r="AS219" i="11"/>
  <c r="AS218" i="11"/>
  <c r="AS210" i="11"/>
  <c r="AS156" i="11"/>
  <c r="AS148" i="11"/>
  <c r="AS138" i="11"/>
  <c r="AS64" i="11"/>
  <c r="AS235" i="11" s="1"/>
  <c r="AS54" i="11"/>
  <c r="AS227" i="11" s="1"/>
  <c r="AS47" i="11"/>
  <c r="AS226" i="11" s="1"/>
  <c r="AS40" i="11"/>
  <c r="AS30" i="11"/>
  <c r="AS298" i="14" s="1"/>
  <c r="AS26" i="11"/>
  <c r="AS265" i="14" s="1"/>
  <c r="AS277" i="14" s="1"/>
  <c r="AS21" i="11"/>
  <c r="BH79" i="20"/>
  <c r="AS159" i="44"/>
  <c r="BH31" i="20"/>
  <c r="AV137" i="12"/>
  <c r="AV136" i="12"/>
  <c r="E19" i="18"/>
  <c r="E20" i="18"/>
  <c r="E21" i="18"/>
  <c r="AU87" i="13"/>
  <c r="AU89" i="13"/>
  <c r="AU96" i="13"/>
  <c r="AU97" i="13"/>
  <c r="AU98" i="13"/>
  <c r="AT81" i="13"/>
  <c r="AT79" i="13"/>
  <c r="AT77" i="13"/>
  <c r="AT76" i="13"/>
  <c r="AT73" i="13"/>
  <c r="AS405" i="13"/>
  <c r="AS406" i="13" s="1"/>
  <c r="AU403" i="13"/>
  <c r="AS382" i="13"/>
  <c r="AU380" i="13"/>
  <c r="AV107" i="13"/>
  <c r="AS339" i="13"/>
  <c r="AT341" i="13"/>
  <c r="AU341" i="13" s="1"/>
  <c r="AU328" i="13"/>
  <c r="AT328" i="13"/>
  <c r="AU330" i="13"/>
  <c r="AT333" i="13"/>
  <c r="AS330" i="13"/>
  <c r="AS333" i="13" s="1"/>
  <c r="AU194" i="13"/>
  <c r="AU192" i="13"/>
  <c r="AU189" i="13"/>
  <c r="AT159" i="13"/>
  <c r="AT162" i="13" s="1"/>
  <c r="AT173" i="13" s="1"/>
  <c r="AS174" i="13"/>
  <c r="AS173" i="13" s="1"/>
  <c r="AS157" i="13"/>
  <c r="AS181" i="13"/>
  <c r="AS1097" i="7"/>
  <c r="AS1100" i="7" s="1"/>
  <c r="AS1093" i="7"/>
  <c r="AS1092" i="7" s="1"/>
  <c r="AS567" i="7"/>
  <c r="AS491" i="7"/>
  <c r="AS384" i="7"/>
  <c r="AT371" i="7" s="1"/>
  <c r="AS380" i="7"/>
  <c r="AS379" i="7"/>
  <c r="AS375" i="7"/>
  <c r="AS410" i="7" s="1"/>
  <c r="AS374" i="7"/>
  <c r="AR313" i="7"/>
  <c r="AS312" i="7"/>
  <c r="AS308" i="7"/>
  <c r="AS307" i="7"/>
  <c r="AS977" i="7"/>
  <c r="AS975" i="7"/>
  <c r="AS971" i="7"/>
  <c r="AT976" i="7" s="1"/>
  <c r="AS966" i="7"/>
  <c r="AS956" i="7"/>
  <c r="AS959" i="7" s="1"/>
  <c r="AT23" i="13"/>
  <c r="AS877" i="7"/>
  <c r="AS876" i="7"/>
  <c r="AS869" i="7"/>
  <c r="AS832" i="7"/>
  <c r="AS830" i="7"/>
  <c r="AS838" i="7" s="1"/>
  <c r="AS819" i="7"/>
  <c r="AS780" i="7"/>
  <c r="AS782" i="7" s="1"/>
  <c r="AS737" i="7"/>
  <c r="AS736" i="7"/>
  <c r="AS264" i="7"/>
  <c r="AS214" i="7"/>
  <c r="AS102" i="7"/>
  <c r="AV116" i="12"/>
  <c r="AZ116" i="12" s="1"/>
  <c r="BA116" i="12" s="1"/>
  <c r="AV114" i="12"/>
  <c r="AZ114" i="12" s="1"/>
  <c r="BA114" i="12" s="1"/>
  <c r="AV113" i="12"/>
  <c r="AZ113" i="12" s="1"/>
  <c r="BA113" i="12" s="1"/>
  <c r="AV112" i="12"/>
  <c r="AZ112" i="12" s="1"/>
  <c r="BA112" i="12" s="1"/>
  <c r="AV111" i="12"/>
  <c r="AZ111" i="12" s="1"/>
  <c r="BA111" i="12" s="1"/>
  <c r="AV110" i="12"/>
  <c r="AZ110" i="12" s="1"/>
  <c r="BA110" i="12" s="1"/>
  <c r="AU92" i="12"/>
  <c r="AU91" i="12"/>
  <c r="AU90" i="12"/>
  <c r="AU89" i="12"/>
  <c r="AU88" i="12"/>
  <c r="AU87" i="12"/>
  <c r="AU86" i="12"/>
  <c r="AV511" i="12"/>
  <c r="AW511" i="12" s="1"/>
  <c r="AW507" i="12" s="1"/>
  <c r="AU503" i="12"/>
  <c r="AU506" i="12" s="1"/>
  <c r="AU507" i="12" s="1"/>
  <c r="AU501" i="12"/>
  <c r="AU498" i="12"/>
  <c r="AU475" i="12"/>
  <c r="AT440" i="12"/>
  <c r="AT435" i="12"/>
  <c r="AT439" i="12" s="1"/>
  <c r="AT433" i="12"/>
  <c r="AV430" i="12"/>
  <c r="AY430" i="12" s="1"/>
  <c r="AU423" i="12"/>
  <c r="AU399" i="12"/>
  <c r="AS397" i="12"/>
  <c r="AU397" i="12"/>
  <c r="AT397" i="12"/>
  <c r="AU394" i="12"/>
  <c r="AU341" i="12"/>
  <c r="AU344" i="12" s="1"/>
  <c r="AU345" i="12" s="1"/>
  <c r="AU339" i="12"/>
  <c r="AV108" i="12"/>
  <c r="AV109" i="12"/>
  <c r="AZ109" i="12" s="1"/>
  <c r="BO57" i="12"/>
  <c r="BT57" i="12" s="1"/>
  <c r="AU313" i="12"/>
  <c r="AS297" i="12"/>
  <c r="AS292" i="12"/>
  <c r="AV100" i="12"/>
  <c r="AZ100" i="12" s="1"/>
  <c r="AS272" i="12"/>
  <c r="AU266" i="12"/>
  <c r="AU269" i="12" s="1"/>
  <c r="AT266" i="12"/>
  <c r="AT269" i="12" s="1"/>
  <c r="AT270" i="12" s="1"/>
  <c r="AS266" i="12"/>
  <c r="AS269" i="12" s="1"/>
  <c r="AS270" i="12" s="1"/>
  <c r="AU264" i="12"/>
  <c r="AT264" i="12"/>
  <c r="AU261" i="12"/>
  <c r="AT261" i="12"/>
  <c r="AS240" i="12"/>
  <c r="AU238" i="12"/>
  <c r="AS217" i="12"/>
  <c r="AS194" i="12"/>
  <c r="AS171" i="12"/>
  <c r="AV171" i="12"/>
  <c r="AW178" i="12" s="1"/>
  <c r="AW186" i="12" s="1"/>
  <c r="AU215" i="12"/>
  <c r="AU192" i="12"/>
  <c r="AS176" i="12"/>
  <c r="AR171" i="12"/>
  <c r="AU169" i="12"/>
  <c r="AS157" i="12"/>
  <c r="AT158" i="12" s="1"/>
  <c r="H35" i="17"/>
  <c r="AS137" i="12"/>
  <c r="AS74" i="12"/>
  <c r="AS717" i="7"/>
  <c r="AS707" i="7"/>
  <c r="AS708" i="7" s="1"/>
  <c r="AS699" i="7"/>
  <c r="AS698" i="7"/>
  <c r="AS697" i="7"/>
  <c r="AS647" i="7"/>
  <c r="AS66" i="7"/>
  <c r="AS77" i="7"/>
  <c r="AS73" i="7"/>
  <c r="AT73" i="7" s="1"/>
  <c r="AS72" i="7"/>
  <c r="AT72" i="7" s="1"/>
  <c r="AS71" i="7"/>
  <c r="AT71" i="7" s="1"/>
  <c r="AS70" i="7"/>
  <c r="AT70" i="7" s="1"/>
  <c r="AS24" i="7"/>
  <c r="AS33" i="7"/>
  <c r="AS32" i="7"/>
  <c r="AS29" i="7"/>
  <c r="AS928" i="7" s="1"/>
  <c r="AS14" i="7"/>
  <c r="AS12" i="7"/>
  <c r="AS11" i="7"/>
  <c r="AS10" i="7"/>
  <c r="AS8" i="7"/>
  <c r="AS7" i="7"/>
  <c r="AS6" i="7"/>
  <c r="X8" i="47" l="1"/>
  <c r="W14" i="47"/>
  <c r="T356" i="42"/>
  <c r="AT163" i="11"/>
  <c r="AU402" i="12"/>
  <c r="AU403" i="12" s="1"/>
  <c r="AW400" i="12"/>
  <c r="AY426" i="12"/>
  <c r="AZ430" i="12"/>
  <c r="AZ426" i="12" s="1"/>
  <c r="AT250" i="12"/>
  <c r="AT247" i="12"/>
  <c r="AT83" i="44"/>
  <c r="AT301" i="11"/>
  <c r="AS83" i="44"/>
  <c r="AS301" i="11"/>
  <c r="BC178" i="43"/>
  <c r="BB176" i="43"/>
  <c r="AS140" i="11"/>
  <c r="AS177" i="11" s="1"/>
  <c r="AS163" i="11"/>
  <c r="AS164" i="11" s="1"/>
  <c r="BA109" i="12"/>
  <c r="AZ509" i="12"/>
  <c r="AZ272" i="12"/>
  <c r="BA100" i="12"/>
  <c r="T355" i="42"/>
  <c r="T357" i="42"/>
  <c r="T353" i="42"/>
  <c r="AS9" i="7"/>
  <c r="AS84" i="7" s="1"/>
  <c r="AT832" i="7"/>
  <c r="AT741" i="7"/>
  <c r="AT742" i="7"/>
  <c r="AS401" i="7"/>
  <c r="S421" i="42"/>
  <c r="T421" i="42" s="1"/>
  <c r="T354" i="42"/>
  <c r="AU270" i="12"/>
  <c r="AX480" i="12"/>
  <c r="AU159" i="13"/>
  <c r="AU162" i="13" s="1"/>
  <c r="D34" i="53"/>
  <c r="J34" i="53"/>
  <c r="AW270" i="12"/>
  <c r="AT255" i="14"/>
  <c r="AT215" i="11"/>
  <c r="AT253" i="11" s="1"/>
  <c r="AS207" i="11"/>
  <c r="AS245" i="11" s="1"/>
  <c r="AS215" i="11"/>
  <c r="AS253" i="11" s="1"/>
  <c r="AT222" i="11"/>
  <c r="AT262" i="11" s="1"/>
  <c r="AR178" i="11"/>
  <c r="AR75" i="11"/>
  <c r="AS505" i="7"/>
  <c r="D51" i="52"/>
  <c r="D79" i="52" s="1"/>
  <c r="F79" i="52"/>
  <c r="BH65" i="20"/>
  <c r="AS25" i="43" s="1"/>
  <c r="BH13" i="20"/>
  <c r="AU197" i="13"/>
  <c r="AW195" i="13"/>
  <c r="AW339" i="13"/>
  <c r="AX348" i="13" s="1"/>
  <c r="AW77" i="44"/>
  <c r="H25" i="47" s="1"/>
  <c r="L25" i="47" s="1"/>
  <c r="L586" i="42" s="1"/>
  <c r="BI287" i="20"/>
  <c r="BJ287" i="20"/>
  <c r="AT33" i="7"/>
  <c r="AT99" i="7" s="1"/>
  <c r="AT307" i="7"/>
  <c r="AU307" i="7" s="1"/>
  <c r="AT312" i="7"/>
  <c r="AS389" i="7"/>
  <c r="AT374" i="7"/>
  <c r="AU374" i="7" s="1"/>
  <c r="AS835" i="7"/>
  <c r="AT375" i="7"/>
  <c r="AT6" i="7"/>
  <c r="AS313" i="7"/>
  <c r="AS314" i="7" s="1"/>
  <c r="AT379" i="7"/>
  <c r="AT454" i="7" s="1"/>
  <c r="AT7" i="7"/>
  <c r="AS840" i="7"/>
  <c r="AS839" i="7" s="1"/>
  <c r="AT380" i="7"/>
  <c r="AU380" i="7" s="1"/>
  <c r="AT8" i="7"/>
  <c r="AT83" i="7" s="1"/>
  <c r="AS225" i="7"/>
  <c r="AS226" i="7" s="1"/>
  <c r="AT875" i="7"/>
  <c r="AT32" i="7"/>
  <c r="AT98" i="7" s="1"/>
  <c r="AS97" i="7"/>
  <c r="AS119" i="7"/>
  <c r="AT24" i="7"/>
  <c r="AT92" i="7" s="1"/>
  <c r="AT104" i="7" s="1"/>
  <c r="AY105" i="7" s="1"/>
  <c r="AU70" i="7"/>
  <c r="AT51" i="7"/>
  <c r="AT133" i="7"/>
  <c r="AU71" i="7"/>
  <c r="AT58" i="7"/>
  <c r="AT118" i="7" s="1"/>
  <c r="AT134" i="7"/>
  <c r="AU72" i="7"/>
  <c r="AT135" i="7"/>
  <c r="AT65" i="7"/>
  <c r="AT127" i="7" s="1"/>
  <c r="AU73" i="7"/>
  <c r="AU136" i="7" s="1"/>
  <c r="AT136" i="7"/>
  <c r="AT308" i="7"/>
  <c r="AU308" i="7" s="1"/>
  <c r="AT77" i="7"/>
  <c r="AS827" i="7"/>
  <c r="AT819" i="7"/>
  <c r="AS128" i="7"/>
  <c r="AT66" i="7"/>
  <c r="AT128" i="7" s="1"/>
  <c r="AT10" i="7"/>
  <c r="AT85" i="7" s="1"/>
  <c r="AT11" i="7"/>
  <c r="AT86" i="7" s="1"/>
  <c r="AT12" i="7"/>
  <c r="AT87" i="7" s="1"/>
  <c r="AS961" i="7"/>
  <c r="AT14" i="7"/>
  <c r="AT89" i="7" s="1"/>
  <c r="AT29" i="7"/>
  <c r="L26" i="47"/>
  <c r="L18" i="47"/>
  <c r="AT291" i="14"/>
  <c r="AT293" i="14" s="1"/>
  <c r="T359" i="42"/>
  <c r="T360" i="42"/>
  <c r="T350" i="42"/>
  <c r="T382" i="42"/>
  <c r="AT305" i="14"/>
  <c r="AT140" i="11"/>
  <c r="AT177" i="11" s="1"/>
  <c r="AT261" i="11"/>
  <c r="AT185" i="11"/>
  <c r="AS171" i="11"/>
  <c r="AS92" i="11"/>
  <c r="AT173" i="11"/>
  <c r="AT302" i="11" s="1"/>
  <c r="AT92" i="11"/>
  <c r="AT248" i="11"/>
  <c r="AS209" i="11"/>
  <c r="BH70" i="20"/>
  <c r="BH256" i="20" s="1"/>
  <c r="AT259" i="11"/>
  <c r="AW125" i="44"/>
  <c r="AW100" i="44"/>
  <c r="BI69" i="20"/>
  <c r="BI255" i="20" s="1"/>
  <c r="AT258" i="11"/>
  <c r="AT260" i="11"/>
  <c r="G13" i="16"/>
  <c r="H36" i="17" s="1"/>
  <c r="D13" i="16"/>
  <c r="E36" i="17" s="1"/>
  <c r="AT182" i="13"/>
  <c r="AS15" i="45"/>
  <c r="L29" i="47"/>
  <c r="AU95" i="13"/>
  <c r="AV62" i="13"/>
  <c r="AZ62" i="13" s="1"/>
  <c r="BA62" i="13" s="1"/>
  <c r="AU333" i="13"/>
  <c r="AW331" i="13"/>
  <c r="AW341" i="13"/>
  <c r="AW337" i="13" s="1"/>
  <c r="AT336" i="13"/>
  <c r="AT337" i="13" s="1"/>
  <c r="AU93" i="13"/>
  <c r="AU90" i="13"/>
  <c r="AU91" i="13"/>
  <c r="AT334" i="13"/>
  <c r="AV157" i="12"/>
  <c r="AW158" i="12" s="1"/>
  <c r="AW179" i="12"/>
  <c r="BO58" i="12"/>
  <c r="BT58" i="12" s="1"/>
  <c r="AV103" i="12"/>
  <c r="AV102" i="12"/>
  <c r="AW504" i="12"/>
  <c r="AW342" i="12"/>
  <c r="BP57" i="12"/>
  <c r="BU57" i="12" s="1"/>
  <c r="AV315" i="12"/>
  <c r="AV269" i="12"/>
  <c r="AU267" i="12"/>
  <c r="AW267" i="12"/>
  <c r="AT267" i="12"/>
  <c r="AV217" i="12"/>
  <c r="AT331" i="13"/>
  <c r="AU331" i="13"/>
  <c r="AT436" i="12"/>
  <c r="AT441" i="12"/>
  <c r="AS336" i="13"/>
  <c r="AS337" i="13" s="1"/>
  <c r="AT339" i="13"/>
  <c r="BN211" i="20"/>
  <c r="K19" i="18"/>
  <c r="L19" i="18"/>
  <c r="N19" i="18"/>
  <c r="P19" i="18" s="1"/>
  <c r="BI70" i="20"/>
  <c r="BI256" i="20" s="1"/>
  <c r="BM211" i="20"/>
  <c r="BI68" i="20"/>
  <c r="BI65" i="20"/>
  <c r="BI60" i="20"/>
  <c r="BI55" i="20"/>
  <c r="BI54" i="20"/>
  <c r="BI64" i="20"/>
  <c r="BI62" i="20"/>
  <c r="AT152" i="14" s="1"/>
  <c r="BI63" i="20"/>
  <c r="BI59" i="20"/>
  <c r="BI56" i="20"/>
  <c r="BN212" i="20"/>
  <c r="BO211" i="20"/>
  <c r="BH64" i="20"/>
  <c r="AY17" i="43"/>
  <c r="BA78" i="44"/>
  <c r="AW131" i="44"/>
  <c r="AW137" i="44" s="1"/>
  <c r="AW143" i="44" s="1"/>
  <c r="AW165" i="44" s="1"/>
  <c r="AW167" i="44" s="1"/>
  <c r="H11" i="47"/>
  <c r="AQ153" i="44"/>
  <c r="K11" i="47"/>
  <c r="AW75" i="44"/>
  <c r="BA149" i="44"/>
  <c r="BA28" i="44"/>
  <c r="AT160" i="44"/>
  <c r="AY18" i="44"/>
  <c r="AY67" i="44" s="1"/>
  <c r="AS255" i="14"/>
  <c r="AS222" i="11"/>
  <c r="AS223" i="11" s="1"/>
  <c r="AT275" i="11"/>
  <c r="AT188" i="11"/>
  <c r="AT98" i="11"/>
  <c r="AT190" i="11"/>
  <c r="AT103" i="11"/>
  <c r="AT104" i="11"/>
  <c r="AT118" i="11"/>
  <c r="AT90" i="11"/>
  <c r="AT121" i="11"/>
  <c r="AT122" i="11"/>
  <c r="AT123" i="11"/>
  <c r="AT113" i="11"/>
  <c r="AT125" i="11"/>
  <c r="AT175" i="11"/>
  <c r="AT164" i="11"/>
  <c r="AT99" i="11"/>
  <c r="AT191" i="11"/>
  <c r="AT100" i="11"/>
  <c r="AT267" i="11"/>
  <c r="AT105" i="11"/>
  <c r="AT182" i="11"/>
  <c r="AT270" i="11"/>
  <c r="AT181" i="11"/>
  <c r="AT183" i="11"/>
  <c r="AT192" i="11"/>
  <c r="AT107" i="11"/>
  <c r="AT184" i="11"/>
  <c r="AT269" i="11"/>
  <c r="AT208" i="11"/>
  <c r="AT246" i="11" s="1"/>
  <c r="AT209" i="11"/>
  <c r="AT247" i="11" s="1"/>
  <c r="AT86" i="11"/>
  <c r="AT89" i="11"/>
  <c r="AT172" i="11"/>
  <c r="AT174" i="11"/>
  <c r="AT96" i="11"/>
  <c r="AT207" i="11"/>
  <c r="AT226" i="11"/>
  <c r="AT266" i="11" s="1"/>
  <c r="AT97" i="11"/>
  <c r="AT106" i="11"/>
  <c r="AT60" i="11"/>
  <c r="AT77" i="11"/>
  <c r="AT171" i="11"/>
  <c r="AT78" i="11"/>
  <c r="AT112" i="11"/>
  <c r="AT33" i="11"/>
  <c r="AT195" i="11"/>
  <c r="AT75" i="11"/>
  <c r="AT79" i="11"/>
  <c r="AT287" i="11" s="1"/>
  <c r="AT8" i="44" s="1"/>
  <c r="AT284" i="14"/>
  <c r="AT268" i="11"/>
  <c r="AT110" i="11"/>
  <c r="AT111" i="11"/>
  <c r="AT84" i="11"/>
  <c r="AT116" i="11"/>
  <c r="AT197" i="11"/>
  <c r="AT76" i="11"/>
  <c r="AT85" i="11"/>
  <c r="AT117" i="11"/>
  <c r="AT189" i="11"/>
  <c r="AS305" i="14"/>
  <c r="AS60" i="11"/>
  <c r="AS231" i="11" s="1"/>
  <c r="AS232" i="11" s="1"/>
  <c r="AS208" i="11"/>
  <c r="AS33" i="11"/>
  <c r="AS282" i="14"/>
  <c r="AS284" i="14"/>
  <c r="AS291" i="14"/>
  <c r="AS293" i="14" s="1"/>
  <c r="AS633" i="7"/>
  <c r="AS634" i="7"/>
  <c r="AS136" i="7"/>
  <c r="AS140" i="7"/>
  <c r="AS632" i="7"/>
  <c r="AS450" i="7"/>
  <c r="AS449" i="7"/>
  <c r="AS326" i="7"/>
  <c r="AS323" i="7" s="1"/>
  <c r="AS82" i="7"/>
  <c r="AS133" i="7"/>
  <c r="AS135" i="7"/>
  <c r="AS85" i="7"/>
  <c r="AS86" i="7"/>
  <c r="AS81" i="7"/>
  <c r="AS98" i="7"/>
  <c r="AS99" i="7"/>
  <c r="AS83" i="7"/>
  <c r="AS134" i="7"/>
  <c r="AS87" i="7"/>
  <c r="E35" i="17"/>
  <c r="BJ211" i="20"/>
  <c r="BI211" i="20"/>
  <c r="T351" i="42"/>
  <c r="T419" i="42"/>
  <c r="T349" i="42"/>
  <c r="T420" i="42"/>
  <c r="T387" i="42"/>
  <c r="T352" i="42"/>
  <c r="T386" i="42"/>
  <c r="T358" i="42"/>
  <c r="T422" i="42"/>
  <c r="T415" i="42"/>
  <c r="T423" i="42"/>
  <c r="T418" i="42"/>
  <c r="T425" i="42"/>
  <c r="T416" i="42"/>
  <c r="T424" i="42"/>
  <c r="T426" i="42"/>
  <c r="T390" i="42"/>
  <c r="T384" i="42"/>
  <c r="T391" i="42"/>
  <c r="T383" i="42"/>
  <c r="T393" i="42"/>
  <c r="T385" i="42"/>
  <c r="T388" i="42"/>
  <c r="T389" i="42"/>
  <c r="T392" i="42"/>
  <c r="BH59" i="20"/>
  <c r="BH55" i="20"/>
  <c r="BH60" i="20"/>
  <c r="BH62" i="20"/>
  <c r="AS152" i="14" s="1"/>
  <c r="BH54" i="20"/>
  <c r="BH63" i="20"/>
  <c r="AS219" i="14" s="1"/>
  <c r="BH56" i="20"/>
  <c r="BH68" i="20"/>
  <c r="BH69" i="20"/>
  <c r="BH255" i="20" s="1"/>
  <c r="AS51" i="7"/>
  <c r="AS454" i="7"/>
  <c r="AS58" i="7"/>
  <c r="AS118" i="7" s="1"/>
  <c r="AS739" i="7"/>
  <c r="AS929" i="7"/>
  <c r="AS952" i="7"/>
  <c r="AS951" i="7" s="1"/>
  <c r="AS65" i="7"/>
  <c r="AS127" i="7" s="1"/>
  <c r="AS89" i="7"/>
  <c r="AS92" i="7"/>
  <c r="AS104" i="7" s="1"/>
  <c r="AX105" i="7" s="1"/>
  <c r="AS95" i="7"/>
  <c r="AS293" i="12"/>
  <c r="AS172" i="12"/>
  <c r="J35" i="53" l="1"/>
  <c r="L35" i="53" s="1"/>
  <c r="L34" i="53"/>
  <c r="X14" i="47"/>
  <c r="W25" i="47"/>
  <c r="X25" i="47" s="1"/>
  <c r="AS36" i="44"/>
  <c r="AS348" i="11"/>
  <c r="AT36" i="44"/>
  <c r="AT348" i="11"/>
  <c r="AT223" i="11"/>
  <c r="AT248" i="12"/>
  <c r="AT255" i="12"/>
  <c r="AT251" i="12"/>
  <c r="AT254" i="12"/>
  <c r="AR83" i="44"/>
  <c r="AR301" i="11"/>
  <c r="BD178" i="43"/>
  <c r="BC176" i="43"/>
  <c r="AZ17" i="43"/>
  <c r="BA17" i="43" s="1"/>
  <c r="BB17" i="43" s="1"/>
  <c r="BC17" i="43" s="1"/>
  <c r="BD17" i="43" s="1"/>
  <c r="BE17" i="43" s="1"/>
  <c r="BF17" i="43" s="1"/>
  <c r="AT68" i="11"/>
  <c r="AS68" i="11"/>
  <c r="AS237" i="11" s="1"/>
  <c r="AS13" i="7"/>
  <c r="AS88" i="7" s="1"/>
  <c r="AV159" i="13"/>
  <c r="AY480" i="12"/>
  <c r="AZ108" i="12"/>
  <c r="BH160" i="20"/>
  <c r="AV162" i="13"/>
  <c r="AU173" i="13"/>
  <c r="AX270" i="12"/>
  <c r="AU140" i="13"/>
  <c r="AU143" i="13" s="1"/>
  <c r="AU312" i="7"/>
  <c r="AT743" i="7"/>
  <c r="AT728" i="7"/>
  <c r="AU389" i="7"/>
  <c r="AU449" i="7"/>
  <c r="AU10" i="7"/>
  <c r="AU85" i="7" s="1"/>
  <c r="AT111" i="7"/>
  <c r="AU32" i="7"/>
  <c r="AU98" i="7" s="1"/>
  <c r="AT840" i="7"/>
  <c r="AU832" i="7"/>
  <c r="AS111" i="7"/>
  <c r="AT827" i="7"/>
  <c r="AU819" i="7"/>
  <c r="AU827" i="7" s="1"/>
  <c r="AV819" i="7"/>
  <c r="AS211" i="14"/>
  <c r="Y22" i="18"/>
  <c r="AS9" i="44"/>
  <c r="AT81" i="11"/>
  <c r="AX339" i="13"/>
  <c r="AZ107" i="13"/>
  <c r="BA107" i="13" s="1"/>
  <c r="AT245" i="11"/>
  <c r="AT214" i="11"/>
  <c r="AT252" i="11" s="1"/>
  <c r="AS214" i="11"/>
  <c r="AS252" i="11" s="1"/>
  <c r="BA77" i="44"/>
  <c r="BI61" i="20"/>
  <c r="AS687" i="7"/>
  <c r="BH61" i="20"/>
  <c r="AU334" i="13"/>
  <c r="AU336" i="13"/>
  <c r="AW334" i="13"/>
  <c r="AX341" i="13"/>
  <c r="AX337" i="13" s="1"/>
  <c r="AW15" i="45"/>
  <c r="AX16" i="45" s="1"/>
  <c r="AX316" i="12"/>
  <c r="AT140" i="7"/>
  <c r="AU77" i="7"/>
  <c r="AT928" i="7"/>
  <c r="AT929" i="7" s="1"/>
  <c r="AT95" i="7"/>
  <c r="AU29" i="7"/>
  <c r="AU8" i="7"/>
  <c r="AU83" i="7" s="1"/>
  <c r="AU14" i="7"/>
  <c r="AU89" i="7" s="1"/>
  <c r="AT24" i="13"/>
  <c r="AU65" i="7"/>
  <c r="AU127" i="7" s="1"/>
  <c r="AU135" i="7"/>
  <c r="AU33" i="7"/>
  <c r="AU99" i="7" s="1"/>
  <c r="AT82" i="7"/>
  <c r="AT9" i="7"/>
  <c r="AT84" i="7" s="1"/>
  <c r="AU12" i="7"/>
  <c r="AU87" i="7" s="1"/>
  <c r="AU7" i="7"/>
  <c r="AU134" i="7"/>
  <c r="AU58" i="7"/>
  <c r="AU118" i="7" s="1"/>
  <c r="AU11" i="7"/>
  <c r="AU86" i="7" s="1"/>
  <c r="AU379" i="7"/>
  <c r="AU454" i="7" s="1"/>
  <c r="AU133" i="7"/>
  <c r="AU51" i="7"/>
  <c r="AT81" i="7"/>
  <c r="AU6" i="7"/>
  <c r="AU66" i="7"/>
  <c r="AU128" i="7" s="1"/>
  <c r="AU24" i="7"/>
  <c r="AT410" i="7"/>
  <c r="AT505" i="7" s="1"/>
  <c r="AT450" i="7"/>
  <c r="AU375" i="7"/>
  <c r="AS464" i="7"/>
  <c r="AT389" i="7"/>
  <c r="AT464" i="7" s="1"/>
  <c r="AT449" i="7"/>
  <c r="AR121" i="44"/>
  <c r="BF268" i="20"/>
  <c r="AT200" i="11"/>
  <c r="AT865" i="7"/>
  <c r="AT687" i="7"/>
  <c r="BI157" i="20"/>
  <c r="AT263" i="11"/>
  <c r="BI149" i="20"/>
  <c r="AW91" i="44"/>
  <c r="AW94" i="44" s="1"/>
  <c r="AW103" i="44"/>
  <c r="BI155" i="20"/>
  <c r="L11" i="47"/>
  <c r="BA75" i="44"/>
  <c r="H23" i="47"/>
  <c r="L23" i="47" s="1"/>
  <c r="BA59" i="44"/>
  <c r="AT16" i="45"/>
  <c r="AV181" i="13"/>
  <c r="AW182" i="13" s="1"/>
  <c r="AU15" i="45"/>
  <c r="AU16" i="45" s="1"/>
  <c r="AW33" i="44"/>
  <c r="AW79" i="44" s="1"/>
  <c r="H27" i="47" s="1"/>
  <c r="BA105" i="44"/>
  <c r="AW96" i="44"/>
  <c r="AX106" i="44"/>
  <c r="AX6" i="44" s="1"/>
  <c r="I15" i="47"/>
  <c r="BU47" i="13"/>
  <c r="BV47" i="13" s="1"/>
  <c r="AU339" i="13"/>
  <c r="AV48" i="13"/>
  <c r="AV339" i="13" s="1"/>
  <c r="AV55" i="12"/>
  <c r="BP56" i="12"/>
  <c r="AV52" i="12"/>
  <c r="BP53" i="12"/>
  <c r="AV58" i="12"/>
  <c r="AV318" i="12" s="1"/>
  <c r="AU318" i="12"/>
  <c r="AV54" i="12"/>
  <c r="BP55" i="12"/>
  <c r="AU272" i="12"/>
  <c r="AV56" i="12"/>
  <c r="AV272" i="12" s="1"/>
  <c r="AW272" i="12"/>
  <c r="H15" i="47"/>
  <c r="O19" i="18"/>
  <c r="M19" i="18"/>
  <c r="BI71" i="20"/>
  <c r="BI254" i="20"/>
  <c r="BI151" i="20"/>
  <c r="BI74" i="20"/>
  <c r="AT219" i="14"/>
  <c r="AT25" i="43"/>
  <c r="BI160" i="20"/>
  <c r="AW132" i="44"/>
  <c r="AW166" i="44"/>
  <c r="AT198" i="11"/>
  <c r="AT231" i="11"/>
  <c r="AT119" i="11"/>
  <c r="AT211" i="11"/>
  <c r="AT212" i="11" s="1"/>
  <c r="AT300" i="14"/>
  <c r="AT303" i="14" s="1"/>
  <c r="AT306" i="14" s="1"/>
  <c r="AT93" i="11"/>
  <c r="AS300" i="14"/>
  <c r="AS303" i="14" s="1"/>
  <c r="AS306" i="14" s="1"/>
  <c r="AS211" i="11"/>
  <c r="AS320" i="7"/>
  <c r="AS324" i="7"/>
  <c r="AS319" i="7"/>
  <c r="BH74" i="20"/>
  <c r="BH149" i="20"/>
  <c r="BH157" i="20"/>
  <c r="BH155" i="20"/>
  <c r="AS865" i="7"/>
  <c r="BH71" i="20"/>
  <c r="BH254" i="20"/>
  <c r="BH151" i="20"/>
  <c r="AW106" i="44" l="1"/>
  <c r="AW58" i="44"/>
  <c r="AS44" i="7"/>
  <c r="AT256" i="12"/>
  <c r="AX7" i="44"/>
  <c r="AW16" i="44"/>
  <c r="AW65" i="44" s="1"/>
  <c r="BE178" i="43"/>
  <c r="BE176" i="43" s="1"/>
  <c r="BD176" i="43"/>
  <c r="AZ480" i="12"/>
  <c r="BA108" i="12"/>
  <c r="BI84" i="20"/>
  <c r="AT255" i="11"/>
  <c r="AT254" i="11" s="1"/>
  <c r="BH84" i="20"/>
  <c r="AS255" i="11"/>
  <c r="AS254" i="11" s="1"/>
  <c r="AV143" i="13"/>
  <c r="AV140" i="13"/>
  <c r="AU28" i="43"/>
  <c r="AU31" i="43" s="1"/>
  <c r="AU840" i="7"/>
  <c r="AV832" i="7"/>
  <c r="AU410" i="7"/>
  <c r="AU450" i="7"/>
  <c r="AU95" i="7"/>
  <c r="AU928" i="7"/>
  <c r="AU929" i="7" s="1"/>
  <c r="AU931" i="7" s="1"/>
  <c r="AV389" i="7"/>
  <c r="AT13" i="7"/>
  <c r="AU111" i="7"/>
  <c r="AU464" i="7"/>
  <c r="AU29" i="12" s="1"/>
  <c r="AX272" i="12"/>
  <c r="AT211" i="14"/>
  <c r="AU212" i="14" s="1"/>
  <c r="Y19" i="18"/>
  <c r="AY339" i="13"/>
  <c r="AZ339" i="13"/>
  <c r="AY341" i="13"/>
  <c r="Q19" i="18"/>
  <c r="BH219" i="20"/>
  <c r="BI219" i="20"/>
  <c r="AU337" i="13"/>
  <c r="AV336" i="13"/>
  <c r="AT206" i="14"/>
  <c r="AU206" i="14"/>
  <c r="AT26" i="43"/>
  <c r="AU26" i="43"/>
  <c r="AW318" i="12"/>
  <c r="AX327" i="12" s="1"/>
  <c r="AU140" i="7"/>
  <c r="AU9" i="7"/>
  <c r="AU84" i="7" s="1"/>
  <c r="AU82" i="7"/>
  <c r="AU92" i="7"/>
  <c r="AU104" i="7" s="1"/>
  <c r="AT25" i="13"/>
  <c r="AT19" i="13"/>
  <c r="AU81" i="7"/>
  <c r="L15" i="47"/>
  <c r="AW97" i="44"/>
  <c r="BI66" i="20"/>
  <c r="BI83" i="20" s="1"/>
  <c r="BI257" i="20"/>
  <c r="BJ257" i="20" s="1"/>
  <c r="BK257" i="20" s="1"/>
  <c r="BL257" i="20" s="1"/>
  <c r="AV15" i="45"/>
  <c r="AW16" i="45" s="1"/>
  <c r="AT237" i="11"/>
  <c r="AT127" i="11"/>
  <c r="AT9" i="44"/>
  <c r="AT303" i="11"/>
  <c r="AT249" i="11"/>
  <c r="AT250" i="11" s="1"/>
  <c r="AT232" i="11"/>
  <c r="AT271" i="11"/>
  <c r="AT272" i="11" s="1"/>
  <c r="AS238" i="11"/>
  <c r="AS212" i="11"/>
  <c r="BH66" i="20"/>
  <c r="BH83" i="20" s="1"/>
  <c r="BH257" i="20"/>
  <c r="AZ341" i="13" l="1"/>
  <c r="AZ337" i="13" s="1"/>
  <c r="AT212" i="14"/>
  <c r="AV28" i="43"/>
  <c r="AV31" i="43" s="1"/>
  <c r="AW140" i="13"/>
  <c r="AW143" i="13" s="1"/>
  <c r="BJ152" i="20"/>
  <c r="S601" i="42" s="1"/>
  <c r="AT88" i="7"/>
  <c r="AT44" i="7"/>
  <c r="AU505" i="7"/>
  <c r="AX318" i="12"/>
  <c r="AY327" i="12" s="1"/>
  <c r="AY318" i="12"/>
  <c r="AU321" i="11"/>
  <c r="BI335" i="20"/>
  <c r="AU13" i="7"/>
  <c r="AU44" i="7" s="1"/>
  <c r="BI77" i="20"/>
  <c r="R606" i="42" s="1"/>
  <c r="H10" i="47"/>
  <c r="BI73" i="20"/>
  <c r="BI343" i="20" s="1"/>
  <c r="BI347" i="20" s="1"/>
  <c r="BH77" i="20"/>
  <c r="Q606" i="42" s="1"/>
  <c r="BH335" i="20"/>
  <c r="AT10" i="44"/>
  <c r="AT238" i="11"/>
  <c r="AT277" i="11"/>
  <c r="BH73" i="20"/>
  <c r="BH75" i="20" l="1"/>
  <c r="BH343" i="20"/>
  <c r="BH347" i="20" s="1"/>
  <c r="AW28" i="43"/>
  <c r="AW31" i="43" s="1"/>
  <c r="BK152" i="20"/>
  <c r="BJ57" i="20"/>
  <c r="BJ341" i="20" s="1"/>
  <c r="BJ197" i="20"/>
  <c r="AU15" i="7"/>
  <c r="AU88" i="7"/>
  <c r="BI75" i="20"/>
  <c r="AT33" i="43"/>
  <c r="AR157" i="12"/>
  <c r="AU158" i="12"/>
  <c r="AR181" i="13"/>
  <c r="AS140" i="14"/>
  <c r="AS200" i="14"/>
  <c r="H10" i="38"/>
  <c r="I10" i="38" s="1"/>
  <c r="AU845" i="7"/>
  <c r="C27" i="47"/>
  <c r="D18" i="47"/>
  <c r="AS149" i="44"/>
  <c r="AD96" i="14"/>
  <c r="AE96" i="14" s="1"/>
  <c r="AI92" i="14"/>
  <c r="AJ92" i="14" s="1"/>
  <c r="AK92" i="14" s="1"/>
  <c r="AL92" i="14" s="1"/>
  <c r="AM92" i="14" s="1"/>
  <c r="AN92" i="14" s="1"/>
  <c r="AO92" i="14" s="1"/>
  <c r="AP92" i="14" s="1"/>
  <c r="AQ92" i="14" s="1"/>
  <c r="AE191" i="14"/>
  <c r="AE192" i="14" s="1"/>
  <c r="AR245" i="14"/>
  <c r="AR225" i="14" s="1"/>
  <c r="X25" i="48"/>
  <c r="X24" i="48"/>
  <c r="X23" i="48"/>
  <c r="X22" i="48"/>
  <c r="X21" i="48"/>
  <c r="X20" i="48"/>
  <c r="AR140" i="14"/>
  <c r="AS75" i="44"/>
  <c r="AS245" i="14"/>
  <c r="AS130" i="44"/>
  <c r="AS114" i="44"/>
  <c r="AS144" i="44"/>
  <c r="AS18" i="44" s="1"/>
  <c r="AS67" i="44" s="1"/>
  <c r="AS25" i="44"/>
  <c r="AS74" i="44" s="1"/>
  <c r="D22" i="47" s="1"/>
  <c r="AS42" i="44"/>
  <c r="AS43" i="44" s="1"/>
  <c r="AR42" i="44"/>
  <c r="AR43" i="44" s="1"/>
  <c r="AO245" i="14"/>
  <c r="AO315" i="14" s="1"/>
  <c r="BD97" i="20" s="1"/>
  <c r="AT78" i="45"/>
  <c r="AT73" i="45"/>
  <c r="AX68" i="45"/>
  <c r="AX64" i="45" s="1"/>
  <c r="AR68" i="45"/>
  <c r="AO68" i="45"/>
  <c r="AO64" i="45" s="1"/>
  <c r="AP68" i="45"/>
  <c r="AP64" i="45" s="1"/>
  <c r="AS66" i="45"/>
  <c r="AS78" i="45"/>
  <c r="AR66" i="45"/>
  <c r="AR78" i="45"/>
  <c r="AT49" i="45"/>
  <c r="AW42" i="45"/>
  <c r="AW7" i="45" s="1"/>
  <c r="AW8" i="45" s="1"/>
  <c r="AX8" i="45" s="1"/>
  <c r="AY8" i="45" s="1"/>
  <c r="AZ8" i="45" s="1"/>
  <c r="AR40" i="45"/>
  <c r="AT37" i="45"/>
  <c r="AX32" i="45"/>
  <c r="AV27" i="45"/>
  <c r="AR28" i="45"/>
  <c r="AT25" i="45"/>
  <c r="AS194" i="13"/>
  <c r="AS197" i="13" s="1"/>
  <c r="AR382" i="13"/>
  <c r="AR405" i="13"/>
  <c r="AV52" i="13"/>
  <c r="AS73" i="13"/>
  <c r="AR73" i="13"/>
  <c r="AV55" i="13"/>
  <c r="BA55" i="13" s="1"/>
  <c r="BB55" i="13" s="1"/>
  <c r="AS76" i="13"/>
  <c r="AR76" i="13"/>
  <c r="AS77" i="13"/>
  <c r="AR77" i="13"/>
  <c r="AS79" i="13"/>
  <c r="AR79" i="13"/>
  <c r="AS81" i="13"/>
  <c r="AR81" i="13"/>
  <c r="BK59" i="12"/>
  <c r="C23" i="47"/>
  <c r="AQ162" i="12"/>
  <c r="AR162" i="12" s="1"/>
  <c r="AR164" i="12" s="1"/>
  <c r="AP130" i="12"/>
  <c r="AQ130" i="12" s="1"/>
  <c r="AR130" i="12" s="1"/>
  <c r="AS130" i="12" s="1"/>
  <c r="AP131" i="12"/>
  <c r="AQ131" i="12" s="1"/>
  <c r="AR131" i="12" s="1"/>
  <c r="AS131" i="12" s="1"/>
  <c r="AT131" i="12" s="1"/>
  <c r="AU131" i="12" s="1"/>
  <c r="AP171" i="12"/>
  <c r="AQ171" i="12" s="1"/>
  <c r="BK53" i="12"/>
  <c r="AR194" i="12"/>
  <c r="AR217" i="12"/>
  <c r="AR292" i="12"/>
  <c r="AS341" i="12"/>
  <c r="AS344" i="12" s="1"/>
  <c r="AS345" i="12" s="1"/>
  <c r="AR341" i="12"/>
  <c r="AS399" i="12"/>
  <c r="AR240" i="12"/>
  <c r="AR315" i="12"/>
  <c r="AS503" i="12"/>
  <c r="AR503" i="12"/>
  <c r="AV70" i="12"/>
  <c r="AZ70" i="12" s="1"/>
  <c r="AV72" i="12"/>
  <c r="AZ72" i="12" s="1"/>
  <c r="BA72" i="12" s="1"/>
  <c r="AR405" i="12"/>
  <c r="AR399" i="12"/>
  <c r="AS411" i="12"/>
  <c r="AS440" i="12"/>
  <c r="AS174" i="12"/>
  <c r="AS318" i="12"/>
  <c r="AT327" i="12" s="1"/>
  <c r="AS433" i="12"/>
  <c r="AV106" i="12"/>
  <c r="AS480" i="12"/>
  <c r="AT341" i="12"/>
  <c r="AT399" i="12"/>
  <c r="AT503" i="12"/>
  <c r="AV67" i="12"/>
  <c r="AZ67" i="12" s="1"/>
  <c r="BA67" i="12" s="1"/>
  <c r="AV68" i="12"/>
  <c r="AV69" i="12"/>
  <c r="AZ69" i="12" s="1"/>
  <c r="BA69" i="12" s="1"/>
  <c r="AS435" i="12"/>
  <c r="AR74" i="12"/>
  <c r="AQ52" i="12"/>
  <c r="AQ53" i="12"/>
  <c r="AQ54" i="12"/>
  <c r="AQ55" i="12"/>
  <c r="AQ57" i="12"/>
  <c r="AQ58" i="12"/>
  <c r="AQ59" i="12"/>
  <c r="AQ60" i="12"/>
  <c r="AQ61" i="12"/>
  <c r="AQ62" i="12"/>
  <c r="AQ63" i="12"/>
  <c r="AQ64" i="12"/>
  <c r="AQ65" i="12"/>
  <c r="AQ66" i="12"/>
  <c r="AQ67" i="12"/>
  <c r="AQ68" i="12"/>
  <c r="AQ69" i="12"/>
  <c r="AQ70" i="12"/>
  <c r="AQ71" i="12"/>
  <c r="AQ72" i="12"/>
  <c r="AP74" i="12"/>
  <c r="AO74" i="12"/>
  <c r="AO120" i="12" s="1"/>
  <c r="AP118" i="12"/>
  <c r="AP121" i="12" s="1"/>
  <c r="AO118" i="12"/>
  <c r="AO121" i="12" s="1"/>
  <c r="AV98" i="14"/>
  <c r="AW98" i="14" s="1"/>
  <c r="AX98" i="14" s="1"/>
  <c r="AZ98" i="14" s="1"/>
  <c r="BA98" i="14" s="1"/>
  <c r="BB98" i="14" s="1"/>
  <c r="BC98" i="14" s="1"/>
  <c r="BD98" i="14" s="1"/>
  <c r="BE98" i="14" s="1"/>
  <c r="BF98" i="14" s="1"/>
  <c r="BG98" i="14" s="1"/>
  <c r="BH98" i="14" s="1"/>
  <c r="BI98" i="14" s="1"/>
  <c r="BJ98" i="14" s="1"/>
  <c r="BK98" i="14" s="1"/>
  <c r="BL98" i="14" s="1"/>
  <c r="BM98" i="14" s="1"/>
  <c r="BN98" i="14" s="1"/>
  <c r="BO98" i="14" s="1"/>
  <c r="BP98" i="14" s="1"/>
  <c r="BQ98" i="14" s="1"/>
  <c r="BR98" i="14" s="1"/>
  <c r="BS98" i="14" s="1"/>
  <c r="BT98" i="14" s="1"/>
  <c r="BU98" i="14" s="1"/>
  <c r="BV98" i="14" s="1"/>
  <c r="BW98" i="14" s="1"/>
  <c r="BX98" i="14" s="1"/>
  <c r="BY98" i="14" s="1"/>
  <c r="BZ98" i="14" s="1"/>
  <c r="BZ136" i="14"/>
  <c r="BF136" i="14"/>
  <c r="BA136" i="14"/>
  <c r="AV136" i="14"/>
  <c r="AH98" i="14"/>
  <c r="AI98" i="14" s="1"/>
  <c r="AI175" i="14" s="1"/>
  <c r="X94" i="14"/>
  <c r="AQ136" i="14"/>
  <c r="AR130" i="44"/>
  <c r="AR114" i="44"/>
  <c r="BR15" i="12"/>
  <c r="AR90" i="44"/>
  <c r="AR94" i="44" s="1"/>
  <c r="C18" i="47"/>
  <c r="AT130" i="44"/>
  <c r="AU130" i="44"/>
  <c r="AT144" i="44"/>
  <c r="AT18" i="44" s="1"/>
  <c r="AT67" i="44" s="1"/>
  <c r="AU144" i="44"/>
  <c r="AU18" i="44" s="1"/>
  <c r="AU67" i="44" s="1"/>
  <c r="AS13" i="12"/>
  <c r="AT19" i="12"/>
  <c r="AS15" i="13"/>
  <c r="AR30" i="45"/>
  <c r="AR42" i="45"/>
  <c r="AR54" i="45"/>
  <c r="AS30" i="45"/>
  <c r="AS42" i="45"/>
  <c r="AS161" i="44"/>
  <c r="AS160" i="44" s="1"/>
  <c r="AR26" i="12"/>
  <c r="AS101" i="44"/>
  <c r="AS103" i="44" s="1"/>
  <c r="AS58" i="44" s="1"/>
  <c r="AS105" i="44"/>
  <c r="AT75" i="44"/>
  <c r="E23" i="47" s="1"/>
  <c r="F10" i="47"/>
  <c r="F15" i="47"/>
  <c r="AU25" i="44"/>
  <c r="AU74" i="44" s="1"/>
  <c r="F22" i="47" s="1"/>
  <c r="AT194" i="13"/>
  <c r="AS200" i="13"/>
  <c r="AV109" i="13"/>
  <c r="AV111" i="13"/>
  <c r="AZ111" i="13" s="1"/>
  <c r="BA111" i="13" s="1"/>
  <c r="AV121" i="13"/>
  <c r="AZ121" i="13" s="1"/>
  <c r="BA121" i="13" s="1"/>
  <c r="AV122" i="13"/>
  <c r="AZ122" i="13" s="1"/>
  <c r="BA122" i="13" s="1"/>
  <c r="AV123" i="13"/>
  <c r="AZ123" i="13" s="1"/>
  <c r="BA123" i="13" s="1"/>
  <c r="AV124" i="13"/>
  <c r="AZ124" i="13" s="1"/>
  <c r="AS333" i="7"/>
  <c r="AU138" i="14"/>
  <c r="BJ104" i="20"/>
  <c r="AU187" i="14"/>
  <c r="L6" i="3"/>
  <c r="AS106" i="43"/>
  <c r="AR106" i="43"/>
  <c r="AT106" i="43"/>
  <c r="AU107" i="43" s="1"/>
  <c r="AV116" i="13"/>
  <c r="AZ116" i="13" s="1"/>
  <c r="BA116" i="13" s="1"/>
  <c r="AV117" i="13"/>
  <c r="AZ117" i="13" s="1"/>
  <c r="BA117" i="13" s="1"/>
  <c r="AV118" i="13"/>
  <c r="AZ118" i="13" s="1"/>
  <c r="BA118" i="13" s="1"/>
  <c r="AV119" i="13"/>
  <c r="AZ119" i="13" s="1"/>
  <c r="BA119" i="13" s="1"/>
  <c r="AS155" i="44"/>
  <c r="AS157" i="44" s="1"/>
  <c r="AV148" i="44"/>
  <c r="AS153" i="44"/>
  <c r="BH268" i="20" s="1"/>
  <c r="BG79" i="20"/>
  <c r="BE79" i="20"/>
  <c r="BE59" i="20" s="1"/>
  <c r="AR153" i="44"/>
  <c r="AR20" i="44"/>
  <c r="AV20" i="44" s="1"/>
  <c r="AR314" i="11"/>
  <c r="AR315" i="11"/>
  <c r="AP315" i="11"/>
  <c r="AP138" i="11"/>
  <c r="AT314" i="11"/>
  <c r="AP314" i="11"/>
  <c r="BG222" i="20"/>
  <c r="AR68" i="13"/>
  <c r="BD79" i="20"/>
  <c r="BD68" i="20" s="1"/>
  <c r="BD254" i="20" s="1"/>
  <c r="BI212" i="20"/>
  <c r="BG31" i="20"/>
  <c r="AR264" i="14"/>
  <c r="AR294" i="14" s="1"/>
  <c r="AP264" i="14"/>
  <c r="AP294" i="14" s="1"/>
  <c r="AP302" i="14" s="1"/>
  <c r="AQ302" i="14" s="1"/>
  <c r="AR297" i="14"/>
  <c r="AR288" i="14"/>
  <c r="AR289" i="14"/>
  <c r="AR290" i="14"/>
  <c r="AR263" i="14"/>
  <c r="AR285" i="14" s="1"/>
  <c r="AR280" i="14"/>
  <c r="AR281" i="14"/>
  <c r="AR274" i="14"/>
  <c r="AR318" i="14" s="1"/>
  <c r="AX258" i="14"/>
  <c r="AY258" i="14" s="1"/>
  <c r="AZ258" i="14" s="1"/>
  <c r="BA258" i="14" s="1"/>
  <c r="BB258" i="14" s="1"/>
  <c r="BC258" i="14" s="1"/>
  <c r="BD258" i="14" s="1"/>
  <c r="BE258" i="14" s="1"/>
  <c r="BF258" i="14" s="1"/>
  <c r="BG258" i="14" s="1"/>
  <c r="BH258" i="14" s="1"/>
  <c r="BI258" i="14" s="1"/>
  <c r="BJ258" i="14" s="1"/>
  <c r="BK258" i="14" s="1"/>
  <c r="BL258" i="14" s="1"/>
  <c r="BM258" i="14" s="1"/>
  <c r="BN258" i="14" s="1"/>
  <c r="BO258" i="14" s="1"/>
  <c r="BP258" i="14" s="1"/>
  <c r="BQ258" i="14" s="1"/>
  <c r="BR258" i="14" s="1"/>
  <c r="BS258" i="14" s="1"/>
  <c r="BT258" i="14" s="1"/>
  <c r="BU258" i="14" s="1"/>
  <c r="BV258" i="14" s="1"/>
  <c r="BW258" i="14" s="1"/>
  <c r="BX258" i="14" s="1"/>
  <c r="BY258" i="14" s="1"/>
  <c r="BZ258" i="14" s="1"/>
  <c r="AX259" i="14"/>
  <c r="AY259" i="14" s="1"/>
  <c r="AZ259" i="14" s="1"/>
  <c r="BA259" i="14" s="1"/>
  <c r="BB259" i="14" s="1"/>
  <c r="BC259" i="14" s="1"/>
  <c r="BD259" i="14" s="1"/>
  <c r="BE259" i="14" s="1"/>
  <c r="BF259" i="14" s="1"/>
  <c r="BG259" i="14" s="1"/>
  <c r="BH259" i="14" s="1"/>
  <c r="BI259" i="14" s="1"/>
  <c r="BJ259" i="14" s="1"/>
  <c r="BK259" i="14" s="1"/>
  <c r="BL259" i="14" s="1"/>
  <c r="BM259" i="14" s="1"/>
  <c r="BN259" i="14" s="1"/>
  <c r="BO259" i="14" s="1"/>
  <c r="BP259" i="14" s="1"/>
  <c r="BQ259" i="14" s="1"/>
  <c r="BR259" i="14" s="1"/>
  <c r="BS259" i="14" s="1"/>
  <c r="BT259" i="14" s="1"/>
  <c r="BU259" i="14" s="1"/>
  <c r="BV259" i="14" s="1"/>
  <c r="BW259" i="14" s="1"/>
  <c r="BX259" i="14" s="1"/>
  <c r="BY259" i="14" s="1"/>
  <c r="BZ259" i="14" s="1"/>
  <c r="AX260" i="14"/>
  <c r="AY260" i="14" s="1"/>
  <c r="AZ260" i="14" s="1"/>
  <c r="BA260" i="14" s="1"/>
  <c r="BB260" i="14" s="1"/>
  <c r="BC260" i="14" s="1"/>
  <c r="BD260" i="14" s="1"/>
  <c r="BE260" i="14" s="1"/>
  <c r="BF260" i="14" s="1"/>
  <c r="BG260" i="14" s="1"/>
  <c r="BH260" i="14" s="1"/>
  <c r="BI260" i="14" s="1"/>
  <c r="BJ260" i="14" s="1"/>
  <c r="BK260" i="14" s="1"/>
  <c r="BL260" i="14" s="1"/>
  <c r="BM260" i="14" s="1"/>
  <c r="BN260" i="14" s="1"/>
  <c r="BO260" i="14" s="1"/>
  <c r="BP260" i="14" s="1"/>
  <c r="BQ260" i="14" s="1"/>
  <c r="BR260" i="14" s="1"/>
  <c r="BS260" i="14" s="1"/>
  <c r="BT260" i="14" s="1"/>
  <c r="BU260" i="14" s="1"/>
  <c r="BV260" i="14" s="1"/>
  <c r="BW260" i="14" s="1"/>
  <c r="BX260" i="14" s="1"/>
  <c r="BY260" i="14" s="1"/>
  <c r="BZ260" i="14" s="1"/>
  <c r="AR254" i="14"/>
  <c r="AR253" i="14"/>
  <c r="AR252" i="14"/>
  <c r="AR251" i="14"/>
  <c r="AR64" i="11"/>
  <c r="AR235" i="11" s="1"/>
  <c r="AR138" i="11"/>
  <c r="AR148" i="11"/>
  <c r="AR156" i="11"/>
  <c r="AR192" i="11" s="1"/>
  <c r="AR21" i="11"/>
  <c r="AR215" i="11" s="1"/>
  <c r="AR253" i="11" s="1"/>
  <c r="AR26" i="11"/>
  <c r="AR208" i="11" s="1"/>
  <c r="AR30" i="11"/>
  <c r="AR298" i="14" s="1"/>
  <c r="AR40" i="11"/>
  <c r="AR47" i="11"/>
  <c r="AR107" i="11" s="1"/>
  <c r="AR54" i="11"/>
  <c r="AR227" i="11" s="1"/>
  <c r="AQ159" i="11"/>
  <c r="AP64" i="11"/>
  <c r="AP235" i="11" s="1"/>
  <c r="AQ161" i="11"/>
  <c r="AR228" i="11"/>
  <c r="AR230" i="11"/>
  <c r="AR218" i="11"/>
  <c r="AR219" i="11"/>
  <c r="AR220" i="11"/>
  <c r="AR221" i="11"/>
  <c r="AR191" i="11"/>
  <c r="AR189" i="11"/>
  <c r="AR188" i="11"/>
  <c r="AR184" i="11"/>
  <c r="AR183" i="11"/>
  <c r="AR181" i="11"/>
  <c r="AR173" i="11"/>
  <c r="AR302" i="11" s="1"/>
  <c r="AR172" i="11"/>
  <c r="AP280" i="11"/>
  <c r="AP148" i="11"/>
  <c r="AP156" i="11"/>
  <c r="AQ156" i="11" s="1"/>
  <c r="AQ155" i="11"/>
  <c r="AQ153" i="11"/>
  <c r="AQ152" i="11"/>
  <c r="AQ151" i="11"/>
  <c r="AR118" i="11"/>
  <c r="AR117" i="11"/>
  <c r="AR116" i="11"/>
  <c r="AR112" i="11"/>
  <c r="AR111" i="11"/>
  <c r="AR110" i="11"/>
  <c r="AR104" i="11"/>
  <c r="AM280" i="11"/>
  <c r="AQ52" i="11"/>
  <c r="AR200" i="14"/>
  <c r="AP200" i="14"/>
  <c r="AP245" i="14"/>
  <c r="AP215" i="14" s="1"/>
  <c r="AQ215" i="14" s="1"/>
  <c r="AO200" i="14"/>
  <c r="BC79" i="20"/>
  <c r="BC65" i="20" s="1"/>
  <c r="BC160" i="20" s="1"/>
  <c r="AN200" i="14"/>
  <c r="AN245" i="14"/>
  <c r="AN82" i="14" s="1"/>
  <c r="BB79" i="20"/>
  <c r="BB60" i="20" s="1"/>
  <c r="AM200" i="14"/>
  <c r="AM245" i="14"/>
  <c r="AZ79" i="20"/>
  <c r="AZ55" i="20" s="1"/>
  <c r="AK200" i="14"/>
  <c r="AK245" i="14"/>
  <c r="AK225" i="14" s="1"/>
  <c r="AY79" i="20"/>
  <c r="AJ200" i="14"/>
  <c r="AJ245" i="14"/>
  <c r="AJ215" i="14" s="1"/>
  <c r="AX79" i="20"/>
  <c r="AX62" i="20" s="1"/>
  <c r="AI152" i="14" s="1"/>
  <c r="X46" i="18" s="1"/>
  <c r="AI200" i="14"/>
  <c r="AI245" i="14"/>
  <c r="AI215" i="14" s="1"/>
  <c r="AW79" i="20"/>
  <c r="AW63" i="20" s="1"/>
  <c r="AH200" i="14"/>
  <c r="AH245" i="14"/>
  <c r="AH215" i="14" s="1"/>
  <c r="AU79" i="20"/>
  <c r="AU62" i="20" s="1"/>
  <c r="AV62" i="20" s="1"/>
  <c r="AF200" i="14"/>
  <c r="AF245" i="14"/>
  <c r="AF172" i="14" s="1"/>
  <c r="AT79" i="20"/>
  <c r="AT59" i="20" s="1"/>
  <c r="AE865" i="7" s="1"/>
  <c r="AE200" i="14"/>
  <c r="AE245" i="14"/>
  <c r="AE215" i="14" s="1"/>
  <c r="AS79" i="20"/>
  <c r="AS62" i="20" s="1"/>
  <c r="AD152" i="14" s="1"/>
  <c r="X58" i="18" s="1"/>
  <c r="AD200" i="14"/>
  <c r="AD204" i="14" s="1"/>
  <c r="AD216" i="14" s="1"/>
  <c r="AK79" i="20"/>
  <c r="AK62" i="20" s="1"/>
  <c r="V140" i="14"/>
  <c r="V144" i="14" s="1"/>
  <c r="V149" i="14" s="1"/>
  <c r="AM79" i="20"/>
  <c r="AM64" i="20" s="1"/>
  <c r="X140" i="14"/>
  <c r="W96" i="14"/>
  <c r="X116" i="14"/>
  <c r="X245" i="14"/>
  <c r="AN79" i="20"/>
  <c r="AN59" i="20" s="1"/>
  <c r="Y140" i="14"/>
  <c r="Y245" i="14"/>
  <c r="Y147" i="14" s="1"/>
  <c r="Y148" i="14"/>
  <c r="Z148" i="14" s="1"/>
  <c r="AA148" i="14" s="1"/>
  <c r="AB148" i="14" s="1"/>
  <c r="AC148" i="14" s="1"/>
  <c r="AO79" i="20"/>
  <c r="AO62" i="20" s="1"/>
  <c r="Z152" i="14" s="1"/>
  <c r="X67" i="18" s="1"/>
  <c r="W22" i="48" s="1"/>
  <c r="Z140" i="14"/>
  <c r="Z245" i="14"/>
  <c r="Z147" i="14" s="1"/>
  <c r="AP79" i="20"/>
  <c r="AP62" i="20" s="1"/>
  <c r="AA152" i="14" s="1"/>
  <c r="AA140" i="14"/>
  <c r="AA245" i="14"/>
  <c r="AR79" i="20"/>
  <c r="AR56" i="20" s="1"/>
  <c r="AC140" i="14"/>
  <c r="AC144" i="14" s="1"/>
  <c r="AC245" i="14"/>
  <c r="AD140" i="14"/>
  <c r="AD245" i="14"/>
  <c r="AE140" i="14"/>
  <c r="AE159" i="14"/>
  <c r="AF140" i="14"/>
  <c r="AF159" i="14"/>
  <c r="AG159" i="14" s="1"/>
  <c r="AH140" i="14"/>
  <c r="AH159" i="14"/>
  <c r="AI140" i="14"/>
  <c r="AI159" i="14"/>
  <c r="AJ140" i="14"/>
  <c r="AJ159" i="14"/>
  <c r="AK140" i="14"/>
  <c r="AK159" i="14"/>
  <c r="AL159" i="14" s="1"/>
  <c r="AM140" i="14"/>
  <c r="AM159" i="14"/>
  <c r="AN140" i="14"/>
  <c r="AN177" i="14" s="1"/>
  <c r="AN159" i="14"/>
  <c r="AO140" i="14"/>
  <c r="AO159" i="14"/>
  <c r="AP140" i="14"/>
  <c r="AQ140" i="14" s="1"/>
  <c r="AP159" i="14"/>
  <c r="AQ159" i="14" s="1"/>
  <c r="BE196" i="14"/>
  <c r="BJ196" i="14" s="1"/>
  <c r="BO196" i="14" s="1"/>
  <c r="BT196" i="14" s="1"/>
  <c r="BY196" i="14" s="1"/>
  <c r="BD196" i="14"/>
  <c r="BI196" i="14" s="1"/>
  <c r="BN196" i="14" s="1"/>
  <c r="BS196" i="14" s="1"/>
  <c r="BX196" i="14" s="1"/>
  <c r="BC196" i="14"/>
  <c r="BH196" i="14" s="1"/>
  <c r="BM196" i="14" s="1"/>
  <c r="BR196" i="14" s="1"/>
  <c r="BW196" i="14" s="1"/>
  <c r="BB196" i="14"/>
  <c r="BG196" i="14" s="1"/>
  <c r="BL196" i="14" s="1"/>
  <c r="BQ196" i="14" s="1"/>
  <c r="BV196" i="14" s="1"/>
  <c r="E23" i="18"/>
  <c r="E24" i="18"/>
  <c r="E25" i="18"/>
  <c r="BG287" i="20" s="1"/>
  <c r="BG306" i="20" s="1"/>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22" i="18"/>
  <c r="AS80" i="14"/>
  <c r="AR78" i="14"/>
  <c r="AR80" i="14" s="1"/>
  <c r="AR244" i="14"/>
  <c r="AM244" i="14"/>
  <c r="AQ270" i="14"/>
  <c r="D19" i="24"/>
  <c r="D20" i="24"/>
  <c r="D21" i="24"/>
  <c r="AR18" i="14"/>
  <c r="AR20" i="14" s="1"/>
  <c r="AT143" i="43"/>
  <c r="AT127" i="43"/>
  <c r="AT125" i="43"/>
  <c r="AT122" i="43"/>
  <c r="AP131" i="43"/>
  <c r="AR131" i="43"/>
  <c r="AT47" i="43"/>
  <c r="AR112" i="43"/>
  <c r="AZ109" i="43"/>
  <c r="BG34" i="20"/>
  <c r="J25" i="18" s="1"/>
  <c r="BG22" i="20"/>
  <c r="BG321" i="20" s="1"/>
  <c r="BG330" i="20" s="1"/>
  <c r="AP106" i="43"/>
  <c r="AR6" i="43"/>
  <c r="AR127" i="43"/>
  <c r="AR11" i="43" s="1"/>
  <c r="AR12" i="43"/>
  <c r="AR137" i="12"/>
  <c r="AT98" i="13"/>
  <c r="AT97" i="13"/>
  <c r="AT96" i="13"/>
  <c r="AT94" i="13"/>
  <c r="AT89" i="13"/>
  <c r="AT87" i="13"/>
  <c r="AT403" i="13"/>
  <c r="AT380" i="13"/>
  <c r="AP202" i="13"/>
  <c r="AR194" i="13"/>
  <c r="AR197" i="13" s="1"/>
  <c r="AR198" i="13" s="1"/>
  <c r="AT192" i="13"/>
  <c r="AT189" i="13"/>
  <c r="AP129" i="12"/>
  <c r="AP137" i="12"/>
  <c r="AQ137" i="12" s="1"/>
  <c r="AT92" i="12"/>
  <c r="AT91" i="12"/>
  <c r="AT90" i="12"/>
  <c r="AT89" i="12"/>
  <c r="AT88" i="12"/>
  <c r="AT87" i="12"/>
  <c r="AS89" i="12"/>
  <c r="AT86" i="12"/>
  <c r="AT501" i="12"/>
  <c r="AS501" i="12"/>
  <c r="AT498" i="12"/>
  <c r="AR477" i="12"/>
  <c r="AR478" i="12" s="1"/>
  <c r="AT475" i="12"/>
  <c r="AR428" i="12"/>
  <c r="AS437" i="12" s="1"/>
  <c r="AT423" i="12"/>
  <c r="AT394" i="12"/>
  <c r="AS394" i="12"/>
  <c r="AT339" i="12"/>
  <c r="AT336" i="12"/>
  <c r="AT313" i="12"/>
  <c r="AR297" i="12"/>
  <c r="AT297" i="12" s="1"/>
  <c r="AP297" i="12"/>
  <c r="AT290" i="12"/>
  <c r="AP245" i="12"/>
  <c r="AR245" i="12" s="1"/>
  <c r="AT238" i="12"/>
  <c r="AO222" i="12"/>
  <c r="AP222" i="12" s="1"/>
  <c r="AR222" i="12" s="1"/>
  <c r="AT215" i="12"/>
  <c r="AR197" i="12"/>
  <c r="AP199" i="12"/>
  <c r="AR199" i="12" s="1"/>
  <c r="AT192" i="12"/>
  <c r="AR176" i="12"/>
  <c r="AR172" i="12" s="1"/>
  <c r="AT169" i="12"/>
  <c r="AQ269" i="14"/>
  <c r="AQ280" i="14" s="1"/>
  <c r="AQ272" i="14"/>
  <c r="AQ273" i="14"/>
  <c r="G19" i="16"/>
  <c r="H34" i="17" s="1"/>
  <c r="AR339" i="7"/>
  <c r="AR338" i="7"/>
  <c r="AR333" i="7"/>
  <c r="AR332" i="7"/>
  <c r="AR850" i="7"/>
  <c r="AR280" i="7" s="1"/>
  <c r="AR257" i="7" s="1"/>
  <c r="AR237" i="7"/>
  <c r="AR223" i="7"/>
  <c r="AR51" i="7"/>
  <c r="AR52" i="7"/>
  <c r="AR45" i="7" s="1"/>
  <c r="AR58" i="7"/>
  <c r="AR65" i="7"/>
  <c r="AQ52" i="7"/>
  <c r="AR127" i="13"/>
  <c r="AR130" i="13" s="1"/>
  <c r="AR1097" i="7"/>
  <c r="AR1100" i="7" s="1"/>
  <c r="AR1093" i="7"/>
  <c r="AR1092" i="7" s="1"/>
  <c r="AR1064" i="7"/>
  <c r="AR1051" i="7"/>
  <c r="AR971" i="7"/>
  <c r="AS976" i="7" s="1"/>
  <c r="AR966" i="7"/>
  <c r="AR956" i="7"/>
  <c r="AR959" i="7" s="1"/>
  <c r="AR928" i="7"/>
  <c r="AS23" i="13"/>
  <c r="AR869" i="7"/>
  <c r="AR872" i="7" s="1"/>
  <c r="AR840" i="7"/>
  <c r="AR827" i="7"/>
  <c r="AQ149" i="12"/>
  <c r="AQ113" i="12"/>
  <c r="AQ112" i="12"/>
  <c r="AR410" i="7"/>
  <c r="AV410" i="7" s="1"/>
  <c r="AP402" i="7"/>
  <c r="AP405" i="7" s="1"/>
  <c r="AQ448" i="7"/>
  <c r="AQ456" i="7" s="1"/>
  <c r="AQ474" i="7"/>
  <c r="AV463" i="7" s="1"/>
  <c r="AR791" i="7"/>
  <c r="AR800" i="7" s="1"/>
  <c r="AR780" i="7"/>
  <c r="AR782" i="7" s="1"/>
  <c r="AR737" i="7"/>
  <c r="AR736" i="7"/>
  <c r="AR733" i="7"/>
  <c r="AR732" i="7"/>
  <c r="AR738" i="7" s="1"/>
  <c r="AR716" i="7"/>
  <c r="AR720" i="7" s="1"/>
  <c r="AP716" i="7"/>
  <c r="AP720" i="7" s="1"/>
  <c r="AO716" i="7"/>
  <c r="AO717" i="7" s="1"/>
  <c r="AO721" i="7" s="1"/>
  <c r="AP707" i="7"/>
  <c r="AR707" i="7"/>
  <c r="AR711" i="7" s="1"/>
  <c r="AR653" i="7"/>
  <c r="AR647" i="7"/>
  <c r="AR666" i="7" s="1"/>
  <c r="AR214" i="7"/>
  <c r="AR384" i="7"/>
  <c r="AS371" i="7" s="1"/>
  <c r="AM372" i="7"/>
  <c r="AR102" i="7"/>
  <c r="AR9" i="7"/>
  <c r="BF10" i="20"/>
  <c r="BF11" i="20"/>
  <c r="BF12" i="20"/>
  <c r="BF15" i="20"/>
  <c r="BF16" i="20"/>
  <c r="BF18" i="20"/>
  <c r="BF19" i="20"/>
  <c r="BF20" i="20"/>
  <c r="BF21" i="20"/>
  <c r="BF28" i="20"/>
  <c r="BF29" i="20"/>
  <c r="BF30" i="20"/>
  <c r="BE22" i="20"/>
  <c r="BE334" i="20" s="1"/>
  <c r="BE31" i="20"/>
  <c r="BD22" i="20"/>
  <c r="BD31" i="20"/>
  <c r="BC22" i="20"/>
  <c r="BC31" i="20"/>
  <c r="BB22" i="20"/>
  <c r="BB334" i="20" s="1"/>
  <c r="BB31" i="20"/>
  <c r="AR665" i="7"/>
  <c r="E18" i="47"/>
  <c r="F18" i="47"/>
  <c r="AQ296" i="11"/>
  <c r="AQ297" i="11"/>
  <c r="AR297" i="11" s="1"/>
  <c r="AS297" i="11" s="1"/>
  <c r="AT297" i="11" s="1"/>
  <c r="AU297" i="11" s="1"/>
  <c r="AQ298" i="11"/>
  <c r="AP21" i="11"/>
  <c r="AQ308" i="11"/>
  <c r="AQ309" i="11"/>
  <c r="AV309" i="11" s="1"/>
  <c r="C9" i="47"/>
  <c r="E9" i="47"/>
  <c r="BH291" i="20"/>
  <c r="BH310" i="20" s="1"/>
  <c r="AP10" i="45"/>
  <c r="AO10" i="45"/>
  <c r="AN10" i="45"/>
  <c r="AM10" i="45"/>
  <c r="AU106" i="44"/>
  <c r="AU6" i="44" s="1"/>
  <c r="AO280" i="11"/>
  <c r="AO178" i="11" s="1"/>
  <c r="AO301" i="11" s="1"/>
  <c r="AZ291" i="11"/>
  <c r="BB291" i="11" s="1"/>
  <c r="BC291" i="11" s="1"/>
  <c r="BD291" i="11" s="1"/>
  <c r="BE291" i="11" s="1"/>
  <c r="AQ75" i="45"/>
  <c r="AP78" i="45"/>
  <c r="AO78" i="45"/>
  <c r="AS73" i="45"/>
  <c r="AR73" i="45"/>
  <c r="AP73" i="45"/>
  <c r="AP66" i="45"/>
  <c r="AO66" i="45"/>
  <c r="AQ63" i="45"/>
  <c r="AP52" i="45"/>
  <c r="AO52" i="45"/>
  <c r="AP54" i="45"/>
  <c r="AO54" i="45"/>
  <c r="AQ51" i="45"/>
  <c r="AS49" i="45"/>
  <c r="AR49" i="45"/>
  <c r="AP49" i="45"/>
  <c r="AP40" i="45"/>
  <c r="AO40" i="45"/>
  <c r="AP42" i="45"/>
  <c r="AO42" i="45"/>
  <c r="AQ39" i="45"/>
  <c r="AQ27" i="45"/>
  <c r="AS37" i="45"/>
  <c r="AR37" i="45"/>
  <c r="AP37" i="45"/>
  <c r="AP30" i="45"/>
  <c r="AP28" i="45"/>
  <c r="AO28" i="45"/>
  <c r="AO30" i="45"/>
  <c r="AQ1060" i="7"/>
  <c r="AV1054" i="7" s="1"/>
  <c r="AV1059" i="7" s="1"/>
  <c r="AQ1055" i="7"/>
  <c r="AQ1047" i="7"/>
  <c r="AV1041" i="7" s="1"/>
  <c r="AV1046" i="7" s="1"/>
  <c r="AQ1042" i="7"/>
  <c r="AS25" i="45"/>
  <c r="AR25" i="45"/>
  <c r="AP25" i="45"/>
  <c r="AO21" i="11"/>
  <c r="AQ134" i="11"/>
  <c r="AP194" i="14"/>
  <c r="AQ194" i="14" s="1"/>
  <c r="AR194" i="14" s="1"/>
  <c r="AQ181" i="14"/>
  <c r="BQ232" i="14"/>
  <c r="BL232" i="14"/>
  <c r="BG232" i="14"/>
  <c r="BB232" i="14"/>
  <c r="AQ20" i="11"/>
  <c r="AQ254" i="14" s="1"/>
  <c r="AP254" i="14"/>
  <c r="AQ19" i="11"/>
  <c r="AQ253" i="14" s="1"/>
  <c r="AP253" i="14"/>
  <c r="AQ18" i="11"/>
  <c r="AQ252" i="14" s="1"/>
  <c r="AP252" i="14"/>
  <c r="AQ17" i="11"/>
  <c r="AQ251" i="14" s="1"/>
  <c r="AP251" i="14"/>
  <c r="AQ182" i="14"/>
  <c r="AR64" i="45"/>
  <c r="AR52" i="45"/>
  <c r="AS64" i="45"/>
  <c r="AS40" i="45"/>
  <c r="AS28" i="45"/>
  <c r="AQ155" i="14"/>
  <c r="AP311" i="11"/>
  <c r="AP312" i="11" s="1"/>
  <c r="AQ6" i="9"/>
  <c r="AQ42" i="44" s="1"/>
  <c r="AQ43" i="44" s="1"/>
  <c r="AQ5" i="9"/>
  <c r="BH212" i="20"/>
  <c r="BG212" i="20"/>
  <c r="BE212" i="20"/>
  <c r="BF210" i="20"/>
  <c r="BG211" i="20" s="1"/>
  <c r="BF209" i="20"/>
  <c r="BE222" i="20"/>
  <c r="BF222" i="20"/>
  <c r="BH222" i="20"/>
  <c r="BI222" i="20"/>
  <c r="BJ222" i="20"/>
  <c r="BK222" i="20"/>
  <c r="BD222" i="20"/>
  <c r="BD218" i="20" s="1"/>
  <c r="AP164" i="12"/>
  <c r="AQ164" i="12" s="1"/>
  <c r="AO164" i="12"/>
  <c r="AO163" i="12" s="1"/>
  <c r="BD221" i="20" s="1"/>
  <c r="AR311" i="11"/>
  <c r="AR312" i="11" s="1"/>
  <c r="AP12" i="43"/>
  <c r="AQ12" i="43" s="1"/>
  <c r="AO12" i="43"/>
  <c r="AP146" i="43"/>
  <c r="AO146" i="43"/>
  <c r="AX148" i="43"/>
  <c r="AY148" i="43" s="1"/>
  <c r="AZ148" i="43" s="1"/>
  <c r="BB148" i="43" s="1"/>
  <c r="BC148" i="43" s="1"/>
  <c r="BD148" i="43" s="1"/>
  <c r="BE148" i="43" s="1"/>
  <c r="AS143" i="43"/>
  <c r="AP143" i="43"/>
  <c r="AQ142" i="43"/>
  <c r="AR143" i="43" s="1"/>
  <c r="AO131" i="43"/>
  <c r="AX133" i="43"/>
  <c r="AY133" i="43" s="1"/>
  <c r="AZ133" i="43" s="1"/>
  <c r="BB133" i="43" s="1"/>
  <c r="BC133" i="43" s="1"/>
  <c r="BD133" i="43" s="1"/>
  <c r="BE133" i="43" s="1"/>
  <c r="AS127" i="43"/>
  <c r="AP127" i="43"/>
  <c r="AP11" i="43" s="1"/>
  <c r="AQ11" i="43" s="1"/>
  <c r="AO127" i="43"/>
  <c r="AO11" i="43" s="1"/>
  <c r="AQ124" i="43"/>
  <c r="AR125" i="43" s="1"/>
  <c r="AS125" i="43"/>
  <c r="AP125" i="43"/>
  <c r="AS122" i="43"/>
  <c r="AP122" i="43"/>
  <c r="AQ121" i="43"/>
  <c r="AR146" i="43"/>
  <c r="AO106" i="43"/>
  <c r="AO50" i="43"/>
  <c r="AX52" i="43"/>
  <c r="AY52" i="43" s="1"/>
  <c r="AP50" i="43"/>
  <c r="AP6" i="43"/>
  <c r="AO6" i="43"/>
  <c r="AS47" i="43"/>
  <c r="AQ46" i="43"/>
  <c r="AR47" i="43" s="1"/>
  <c r="AP47" i="43"/>
  <c r="AR50" i="43"/>
  <c r="V134" i="14"/>
  <c r="AI93" i="14"/>
  <c r="AJ93" i="14" s="1"/>
  <c r="AK93" i="14" s="1"/>
  <c r="AL93" i="14" s="1"/>
  <c r="AM93" i="14" s="1"/>
  <c r="AN93" i="14" s="1"/>
  <c r="AO93" i="14" s="1"/>
  <c r="AP93" i="14" s="1"/>
  <c r="AQ93" i="14" s="1"/>
  <c r="Y92" i="14"/>
  <c r="Z92" i="14" s="1"/>
  <c r="AA92" i="14" s="1"/>
  <c r="AB92" i="14" s="1"/>
  <c r="AC92" i="14" s="1"/>
  <c r="AD92" i="14" s="1"/>
  <c r="Y93" i="14"/>
  <c r="Z93" i="14"/>
  <c r="AA93" i="14" s="1"/>
  <c r="AB93" i="14" s="1"/>
  <c r="AC93" i="14" s="1"/>
  <c r="AD93" i="14" s="1"/>
  <c r="AE93" i="14" s="1"/>
  <c r="AF93" i="14" s="1"/>
  <c r="AG93" i="14" s="1"/>
  <c r="AQ1099" i="7"/>
  <c r="AQ1096" i="7"/>
  <c r="AQ1095" i="7"/>
  <c r="AP1097" i="7"/>
  <c r="AP1100" i="7" s="1"/>
  <c r="AQ1100" i="7" s="1"/>
  <c r="AQ1091" i="7"/>
  <c r="AP1093" i="7"/>
  <c r="AQ1093" i="7" s="1"/>
  <c r="AP1021" i="7"/>
  <c r="AP1019" i="7"/>
  <c r="AQ1023" i="7"/>
  <c r="AQ993" i="7"/>
  <c r="AQ992" i="7"/>
  <c r="AR356" i="7" s="1"/>
  <c r="AP977" i="7"/>
  <c r="AP975" i="7"/>
  <c r="AQ972" i="7"/>
  <c r="AQ970" i="7"/>
  <c r="AP971" i="7"/>
  <c r="AQ971" i="7" s="1"/>
  <c r="AV976" i="7" s="1"/>
  <c r="AQ999" i="7"/>
  <c r="AQ10" i="45" s="1"/>
  <c r="AP966" i="7"/>
  <c r="AQ958" i="7"/>
  <c r="AQ966" i="7" s="1"/>
  <c r="AQ955" i="7"/>
  <c r="AQ954" i="7"/>
  <c r="AP956" i="7"/>
  <c r="AQ956" i="7" s="1"/>
  <c r="AQ950" i="7"/>
  <c r="AQ490" i="7"/>
  <c r="AR491" i="7" s="1"/>
  <c r="AV491" i="7" s="1"/>
  <c r="AQ485" i="7"/>
  <c r="AQ479" i="7"/>
  <c r="AP429" i="7"/>
  <c r="AP428" i="7"/>
  <c r="AP427" i="7"/>
  <c r="AP426" i="7"/>
  <c r="AQ519" i="7"/>
  <c r="AQ517" i="7"/>
  <c r="AP491" i="7"/>
  <c r="AP514" i="7"/>
  <c r="AP516" i="7" s="1"/>
  <c r="AQ339" i="7"/>
  <c r="AQ338" i="7"/>
  <c r="AQ333" i="7"/>
  <c r="AQ332" i="7"/>
  <c r="AP352" i="7"/>
  <c r="AP339" i="7" s="1"/>
  <c r="AP351" i="7"/>
  <c r="AP333" i="7" s="1"/>
  <c r="AP347" i="7"/>
  <c r="AP338" i="7" s="1"/>
  <c r="AP346" i="7"/>
  <c r="AP332" i="7" s="1"/>
  <c r="AQ223" i="7"/>
  <c r="AP223" i="7"/>
  <c r="AP167" i="7"/>
  <c r="AP163" i="7"/>
  <c r="AP162" i="7"/>
  <c r="AS87" i="13"/>
  <c r="AS89" i="13"/>
  <c r="AS92" i="13"/>
  <c r="AS94" i="13"/>
  <c r="AS96" i="13"/>
  <c r="AS97" i="13"/>
  <c r="AS98" i="13"/>
  <c r="AP405" i="13"/>
  <c r="AS403" i="13"/>
  <c r="AP112" i="43"/>
  <c r="AP382" i="13"/>
  <c r="AQ382" i="13" s="1"/>
  <c r="AS380" i="13"/>
  <c r="AS192" i="13"/>
  <c r="AS189" i="13"/>
  <c r="G26" i="16"/>
  <c r="G27" i="16"/>
  <c r="D26" i="16"/>
  <c r="D27" i="16"/>
  <c r="G22" i="16"/>
  <c r="H33" i="17"/>
  <c r="D22" i="16"/>
  <c r="E33" i="17" s="1"/>
  <c r="AS86" i="12"/>
  <c r="AS87" i="12"/>
  <c r="AS88" i="12"/>
  <c r="AS90" i="12"/>
  <c r="AS91" i="12"/>
  <c r="AS92" i="12"/>
  <c r="AP511" i="12"/>
  <c r="AP509" i="12"/>
  <c r="AS498" i="12"/>
  <c r="AP477" i="12"/>
  <c r="AQ477" i="12" s="1"/>
  <c r="AP459" i="12"/>
  <c r="AP454" i="12" s="1"/>
  <c r="AR461" i="12" s="1"/>
  <c r="AS475" i="12"/>
  <c r="AS448" i="12"/>
  <c r="AS451" i="12" s="1"/>
  <c r="AR448" i="12"/>
  <c r="AR451" i="12" s="1"/>
  <c r="AP448" i="12"/>
  <c r="AP451" i="12" s="1"/>
  <c r="AS446" i="12"/>
  <c r="AR440" i="12"/>
  <c r="AQ425" i="12"/>
  <c r="AR433" i="12" s="1"/>
  <c r="AP217" i="12"/>
  <c r="AS423" i="12"/>
  <c r="AP407" i="12"/>
  <c r="AS378" i="12"/>
  <c r="AP378" i="12"/>
  <c r="AS370" i="12"/>
  <c r="AS368" i="12"/>
  <c r="AS365" i="12"/>
  <c r="AS339" i="12"/>
  <c r="AS336" i="12"/>
  <c r="AP315" i="12"/>
  <c r="AQ315" i="12" s="1"/>
  <c r="AO315" i="12"/>
  <c r="AO316" i="12" s="1"/>
  <c r="AS313" i="12"/>
  <c r="AR313" i="12"/>
  <c r="AP313" i="12"/>
  <c r="AP292" i="12"/>
  <c r="AP194" i="12"/>
  <c r="AS290" i="12"/>
  <c r="AR290" i="12"/>
  <c r="AS238" i="12"/>
  <c r="AS215" i="12"/>
  <c r="AS192" i="12"/>
  <c r="AP176" i="12"/>
  <c r="AO176" i="12"/>
  <c r="AO171" i="12"/>
  <c r="AS169" i="12"/>
  <c r="H40" i="38"/>
  <c r="I40" i="38" s="1"/>
  <c r="H39" i="38"/>
  <c r="I39" i="38" s="1"/>
  <c r="H38" i="38"/>
  <c r="I38" i="38" s="1"/>
  <c r="H37" i="38"/>
  <c r="I37" i="38" s="1"/>
  <c r="H36" i="38"/>
  <c r="I36" i="38" s="1"/>
  <c r="H35" i="38"/>
  <c r="I35" i="38" s="1"/>
  <c r="H34" i="38"/>
  <c r="I34" i="38" s="1"/>
  <c r="H33" i="38"/>
  <c r="I33" i="38" s="1"/>
  <c r="H32" i="38"/>
  <c r="I32" i="38" s="1"/>
  <c r="H31" i="38"/>
  <c r="I31" i="38" s="1"/>
  <c r="H30" i="38"/>
  <c r="I30" i="38" s="1"/>
  <c r="H29" i="38"/>
  <c r="H28" i="38"/>
  <c r="I28" i="38" s="1"/>
  <c r="H27" i="38"/>
  <c r="I27" i="38" s="1"/>
  <c r="H26" i="38"/>
  <c r="I26" i="38" s="1"/>
  <c r="H25" i="38"/>
  <c r="I25" i="38" s="1"/>
  <c r="H24" i="38"/>
  <c r="I24" i="38" s="1"/>
  <c r="H23" i="38"/>
  <c r="I23" i="38" s="1"/>
  <c r="H22" i="38"/>
  <c r="I22" i="38" s="1"/>
  <c r="H21" i="38"/>
  <c r="H20" i="38"/>
  <c r="I20" i="38" s="1"/>
  <c r="H19" i="38"/>
  <c r="I19" i="38" s="1"/>
  <c r="H18" i="38"/>
  <c r="I18" i="38" s="1"/>
  <c r="H17" i="38"/>
  <c r="I17" i="38" s="1"/>
  <c r="H16" i="38"/>
  <c r="I16" i="38" s="1"/>
  <c r="H15" i="38"/>
  <c r="I15" i="38" s="1"/>
  <c r="H14" i="38"/>
  <c r="I14" i="38" s="1"/>
  <c r="H13" i="38"/>
  <c r="I13" i="38" s="1"/>
  <c r="H12" i="38"/>
  <c r="I12" i="38" s="1"/>
  <c r="H11" i="38"/>
  <c r="I11" i="38" s="1"/>
  <c r="H9" i="38"/>
  <c r="I9" i="38" s="1"/>
  <c r="H8" i="38"/>
  <c r="I8" i="38" s="1"/>
  <c r="H7" i="38"/>
  <c r="I7" i="38" s="1"/>
  <c r="I6" i="38"/>
  <c r="H5" i="38"/>
  <c r="I5" i="38" s="1"/>
  <c r="H4" i="38"/>
  <c r="I4" i="38" s="1"/>
  <c r="H3" i="38"/>
  <c r="I3" i="38" s="1"/>
  <c r="H2" i="38"/>
  <c r="L5" i="38" s="1"/>
  <c r="M5" i="38" s="1"/>
  <c r="K7" i="38"/>
  <c r="K8" i="38"/>
  <c r="K9" i="38"/>
  <c r="K10" i="38"/>
  <c r="K11" i="38"/>
  <c r="H45" i="38"/>
  <c r="I45" i="38"/>
  <c r="H44" i="38"/>
  <c r="I44" i="38"/>
  <c r="L3" i="38"/>
  <c r="AP230" i="11"/>
  <c r="AP228" i="11"/>
  <c r="AP221" i="11"/>
  <c r="AP220" i="11"/>
  <c r="AP219" i="11"/>
  <c r="AP218" i="11"/>
  <c r="AQ147" i="11"/>
  <c r="AQ146" i="11"/>
  <c r="AQ145" i="11"/>
  <c r="AQ144" i="11"/>
  <c r="AQ136" i="11"/>
  <c r="AQ135" i="11"/>
  <c r="AQ928" i="7"/>
  <c r="BE34" i="20"/>
  <c r="J28" i="18" s="1"/>
  <c r="AP297" i="14"/>
  <c r="AP290" i="14"/>
  <c r="AQ290" i="14" s="1"/>
  <c r="AP289" i="14"/>
  <c r="AQ289" i="14" s="1"/>
  <c r="AP288" i="14"/>
  <c r="AP281" i="14"/>
  <c r="AP280" i="14"/>
  <c r="AQ25" i="11"/>
  <c r="AQ264" i="14" s="1"/>
  <c r="AQ24" i="11"/>
  <c r="AQ263" i="14" s="1"/>
  <c r="AQ285" i="14" s="1"/>
  <c r="AP263" i="14"/>
  <c r="AP285" i="14" s="1"/>
  <c r="AQ271" i="14"/>
  <c r="AQ281" i="14" s="1"/>
  <c r="AQ63" i="11"/>
  <c r="AQ62" i="11"/>
  <c r="AQ59" i="11"/>
  <c r="AQ57" i="11"/>
  <c r="AQ51" i="11"/>
  <c r="AQ50" i="11"/>
  <c r="AQ46" i="11"/>
  <c r="AQ45" i="11"/>
  <c r="AQ44" i="11"/>
  <c r="AQ43" i="11"/>
  <c r="AQ39" i="11"/>
  <c r="AQ38" i="11"/>
  <c r="AQ37" i="11"/>
  <c r="AQ36" i="11"/>
  <c r="AQ29" i="11"/>
  <c r="AQ297" i="14" s="1"/>
  <c r="AP54" i="11"/>
  <c r="AP227" i="11" s="1"/>
  <c r="AP47" i="11"/>
  <c r="AQ47" i="11" s="1"/>
  <c r="AP40" i="11"/>
  <c r="AQ40" i="11" s="1"/>
  <c r="AP30" i="11"/>
  <c r="AQ30" i="11" s="1"/>
  <c r="AQ298" i="14" s="1"/>
  <c r="AP26" i="11"/>
  <c r="AP265" i="14" s="1"/>
  <c r="AP277" i="14" s="1"/>
  <c r="AP27" i="14"/>
  <c r="AP26" i="14"/>
  <c r="V96" i="15" s="1"/>
  <c r="V98" i="15" s="1"/>
  <c r="AP23" i="14"/>
  <c r="AP308" i="14" s="1"/>
  <c r="AP24" i="14"/>
  <c r="V85" i="15" s="1"/>
  <c r="V87" i="15" s="1"/>
  <c r="W87" i="15" s="1"/>
  <c r="AP25" i="14"/>
  <c r="AP22" i="14"/>
  <c r="V55" i="15" s="1"/>
  <c r="AP17" i="14"/>
  <c r="AP15" i="14"/>
  <c r="AP12" i="14"/>
  <c r="AP11" i="14"/>
  <c r="AP10" i="14"/>
  <c r="AP9" i="14"/>
  <c r="AP8" i="14"/>
  <c r="AP384" i="7"/>
  <c r="AP401" i="7" s="1"/>
  <c r="AP311" i="7"/>
  <c r="AP372" i="7" s="1"/>
  <c r="AP390" i="7" s="1"/>
  <c r="AP409" i="7" s="1"/>
  <c r="AQ215" i="7"/>
  <c r="AQ213" i="7"/>
  <c r="AQ212" i="7"/>
  <c r="AQ211" i="7"/>
  <c r="AQ384" i="7" s="1"/>
  <c r="AQ401" i="7" s="1"/>
  <c r="AQ209" i="7"/>
  <c r="AP214" i="7"/>
  <c r="AP901" i="7"/>
  <c r="AP900" i="7"/>
  <c r="AQ886" i="7"/>
  <c r="AQ885" i="7"/>
  <c r="AQ891" i="7"/>
  <c r="AQ28" i="13" s="1"/>
  <c r="AQ890" i="7"/>
  <c r="AQ27" i="13" s="1"/>
  <c r="AP877" i="7"/>
  <c r="AP876" i="7"/>
  <c r="AQ871" i="7"/>
  <c r="AQ870" i="7"/>
  <c r="AP869" i="7"/>
  <c r="AP872" i="7" s="1"/>
  <c r="AQ872" i="7" s="1"/>
  <c r="AQ836" i="7"/>
  <c r="AV830" i="7" s="1"/>
  <c r="AV835" i="7" s="1"/>
  <c r="AQ834" i="7"/>
  <c r="AQ831" i="7"/>
  <c r="AQ823" i="7"/>
  <c r="AV817" i="7" s="1"/>
  <c r="AV822" i="7" s="1"/>
  <c r="AQ821" i="7"/>
  <c r="AQ818" i="7"/>
  <c r="AQ790" i="7"/>
  <c r="AQ789" i="7"/>
  <c r="AQ788" i="7"/>
  <c r="AQ787" i="7"/>
  <c r="AQ804" i="7" s="1"/>
  <c r="AQ781" i="7"/>
  <c r="AP780" i="7"/>
  <c r="AP791" i="7"/>
  <c r="AP797" i="7" s="1"/>
  <c r="AP737" i="7"/>
  <c r="AQ737" i="7" s="1"/>
  <c r="AP736" i="7"/>
  <c r="AQ731" i="7"/>
  <c r="AQ730" i="7"/>
  <c r="AQ25" i="12" s="1"/>
  <c r="AQ718" i="7"/>
  <c r="AQ709" i="7"/>
  <c r="AP699" i="7"/>
  <c r="AP698" i="7"/>
  <c r="AP697" i="7"/>
  <c r="AQ693" i="7"/>
  <c r="AQ692" i="7"/>
  <c r="AR698" i="7" s="1"/>
  <c r="AQ691" i="7"/>
  <c r="AQ646" i="7"/>
  <c r="AQ645" i="7"/>
  <c r="AQ653" i="7" s="1"/>
  <c r="AP647" i="7"/>
  <c r="AQ647" i="7" s="1"/>
  <c r="AP59" i="7"/>
  <c r="AQ9" i="7"/>
  <c r="AQ13" i="7" s="1"/>
  <c r="AQ15" i="7" s="1"/>
  <c r="BE310" i="20"/>
  <c r="BF310" i="20"/>
  <c r="BG310" i="20"/>
  <c r="BD310" i="20"/>
  <c r="BQ46" i="13"/>
  <c r="U5" i="17"/>
  <c r="U6" i="17"/>
  <c r="U7" i="17"/>
  <c r="U8" i="17"/>
  <c r="U9" i="17"/>
  <c r="U10" i="17"/>
  <c r="U11" i="17"/>
  <c r="U12" i="17"/>
  <c r="U13" i="17"/>
  <c r="U14" i="17"/>
  <c r="U15" i="17"/>
  <c r="U16" i="17"/>
  <c r="U17" i="17"/>
  <c r="U18" i="17"/>
  <c r="U19" i="17"/>
  <c r="U4" i="17"/>
  <c r="V5" i="17"/>
  <c r="V6" i="17"/>
  <c r="V7" i="17"/>
  <c r="V8" i="17"/>
  <c r="V9" i="17"/>
  <c r="V10" i="17"/>
  <c r="V11" i="17"/>
  <c r="V12" i="17"/>
  <c r="V13" i="17"/>
  <c r="V14" i="17"/>
  <c r="V15" i="17"/>
  <c r="V16" i="17"/>
  <c r="V4" i="17"/>
  <c r="T4" i="17"/>
  <c r="S29" i="17"/>
  <c r="S30" i="17"/>
  <c r="S31" i="17"/>
  <c r="S32" i="17"/>
  <c r="S4" i="17"/>
  <c r="N203" i="42"/>
  <c r="N202" i="42"/>
  <c r="N201" i="42"/>
  <c r="N200" i="42"/>
  <c r="N199" i="42"/>
  <c r="N198" i="42"/>
  <c r="M203" i="42"/>
  <c r="M202" i="42"/>
  <c r="M201" i="42"/>
  <c r="M200" i="42"/>
  <c r="M199" i="42"/>
  <c r="M198" i="42"/>
  <c r="M145" i="42"/>
  <c r="M144" i="42"/>
  <c r="M142" i="42"/>
  <c r="M143" i="42"/>
  <c r="M139" i="42"/>
  <c r="M140" i="42"/>
  <c r="M141" i="42" s="1"/>
  <c r="M109" i="42"/>
  <c r="M113" i="42"/>
  <c r="M112" i="42"/>
  <c r="V230" i="11"/>
  <c r="V221" i="11"/>
  <c r="V219" i="11"/>
  <c r="V218" i="11"/>
  <c r="W195" i="11"/>
  <c r="W152" i="11"/>
  <c r="W151" i="11"/>
  <c r="W155" i="11"/>
  <c r="W161" i="11"/>
  <c r="V156" i="11"/>
  <c r="W156" i="11" s="1"/>
  <c r="W147" i="11"/>
  <c r="W145" i="11"/>
  <c r="W219" i="11" s="1"/>
  <c r="W144" i="11"/>
  <c r="V138" i="11"/>
  <c r="W136" i="11"/>
  <c r="W135" i="11"/>
  <c r="W134" i="11"/>
  <c r="V148" i="11"/>
  <c r="W148" i="11" s="1"/>
  <c r="V280" i="11"/>
  <c r="V118" i="11" s="1"/>
  <c r="W118" i="11" s="1"/>
  <c r="U280" i="11"/>
  <c r="T280" i="11"/>
  <c r="S280" i="11"/>
  <c r="W63" i="11"/>
  <c r="W62" i="11"/>
  <c r="V64" i="11"/>
  <c r="V235" i="11" s="1"/>
  <c r="W59" i="11"/>
  <c r="W52" i="11"/>
  <c r="W51" i="11"/>
  <c r="W50" i="11"/>
  <c r="V54" i="11"/>
  <c r="W54" i="11" s="1"/>
  <c r="W46" i="11"/>
  <c r="W45" i="11"/>
  <c r="W44" i="11"/>
  <c r="W43" i="11"/>
  <c r="V47" i="11"/>
  <c r="V226" i="11" s="1"/>
  <c r="V40" i="11"/>
  <c r="W40" i="11" s="1"/>
  <c r="W39" i="11"/>
  <c r="W36" i="11"/>
  <c r="V30" i="11"/>
  <c r="V209" i="11" s="1"/>
  <c r="W29" i="11"/>
  <c r="W25" i="11"/>
  <c r="W24" i="11"/>
  <c r="V26" i="11"/>
  <c r="V21" i="11"/>
  <c r="W20" i="11"/>
  <c r="W19" i="11"/>
  <c r="W18" i="11"/>
  <c r="W17" i="11"/>
  <c r="AA230" i="11"/>
  <c r="AA221" i="11"/>
  <c r="AA219" i="11"/>
  <c r="AA280" i="11"/>
  <c r="AA188" i="11" s="1"/>
  <c r="AB188" i="11" s="1"/>
  <c r="AA218" i="11"/>
  <c r="AB161" i="11"/>
  <c r="AB155" i="11"/>
  <c r="AB152" i="11"/>
  <c r="AB151" i="11"/>
  <c r="AA156" i="11"/>
  <c r="AB156" i="11" s="1"/>
  <c r="AB147" i="11"/>
  <c r="AB145" i="11"/>
  <c r="AB219" i="11" s="1"/>
  <c r="AB144" i="11"/>
  <c r="AA148" i="11"/>
  <c r="AB148" i="11" s="1"/>
  <c r="AB136" i="11"/>
  <c r="AB135" i="11"/>
  <c r="AB134" i="11"/>
  <c r="AA138" i="11"/>
  <c r="AB138" i="11" s="1"/>
  <c r="Z280" i="11"/>
  <c r="Y280" i="11"/>
  <c r="X280" i="11"/>
  <c r="AB63" i="11"/>
  <c r="AB62" i="11"/>
  <c r="AA64" i="11"/>
  <c r="AA235" i="11" s="1"/>
  <c r="AB59" i="11"/>
  <c r="AB52" i="11"/>
  <c r="AB51" i="11"/>
  <c r="AB50" i="11"/>
  <c r="AA54" i="11"/>
  <c r="AB54" i="11" s="1"/>
  <c r="AB46" i="11"/>
  <c r="AB45" i="11"/>
  <c r="AB44" i="11"/>
  <c r="AB43" i="11"/>
  <c r="AA47" i="11"/>
  <c r="AA226" i="11" s="1"/>
  <c r="AB39" i="11"/>
  <c r="AB36" i="11"/>
  <c r="AA40" i="11"/>
  <c r="AB29" i="11"/>
  <c r="AA30" i="11"/>
  <c r="AA209" i="11" s="1"/>
  <c r="AB25" i="11"/>
  <c r="AB24" i="11"/>
  <c r="AA26" i="11"/>
  <c r="AB26" i="11" s="1"/>
  <c r="AB20" i="11"/>
  <c r="AB19" i="11"/>
  <c r="AB18" i="11"/>
  <c r="AB17" i="11"/>
  <c r="AA21" i="11"/>
  <c r="AO230" i="11"/>
  <c r="AO228" i="11"/>
  <c r="AN230" i="11"/>
  <c r="AN229" i="11"/>
  <c r="AN228" i="11"/>
  <c r="AM230" i="11"/>
  <c r="AM229" i="11"/>
  <c r="AM228" i="11"/>
  <c r="AK230" i="11"/>
  <c r="AK229" i="11"/>
  <c r="AK228" i="11"/>
  <c r="AF230" i="11"/>
  <c r="AF229" i="11"/>
  <c r="AF228" i="11"/>
  <c r="AO221" i="11"/>
  <c r="AO220" i="11"/>
  <c r="AO219" i="11"/>
  <c r="AO218" i="11"/>
  <c r="AN221" i="11"/>
  <c r="AN220" i="11"/>
  <c r="AN219" i="11"/>
  <c r="AN218" i="11"/>
  <c r="AM221" i="11"/>
  <c r="AM220" i="11"/>
  <c r="AM219" i="11"/>
  <c r="AM218" i="11"/>
  <c r="AK221" i="11"/>
  <c r="AK220" i="11"/>
  <c r="AK219" i="11"/>
  <c r="AK218" i="11"/>
  <c r="AF221" i="11"/>
  <c r="AF220" i="11"/>
  <c r="AF219" i="11"/>
  <c r="AF218" i="11"/>
  <c r="Z5" i="3"/>
  <c r="AE5" i="3" s="1"/>
  <c r="X30" i="42"/>
  <c r="X29" i="42"/>
  <c r="X28" i="42"/>
  <c r="X32" i="42"/>
  <c r="X31" i="42"/>
  <c r="BD133" i="20"/>
  <c r="AE7" i="3"/>
  <c r="BD130" i="20" s="1"/>
  <c r="AE6" i="3"/>
  <c r="BD129" i="20" s="1"/>
  <c r="Z4" i="3"/>
  <c r="AE4" i="3" s="1"/>
  <c r="BD128" i="20" s="1"/>
  <c r="BK26" i="27"/>
  <c r="BJ26" i="27"/>
  <c r="BI26" i="27"/>
  <c r="BH26" i="27"/>
  <c r="BG26" i="27"/>
  <c r="BF26" i="27"/>
  <c r="BE26" i="27"/>
  <c r="BD26" i="27"/>
  <c r="BC26" i="27"/>
  <c r="BA26" i="27"/>
  <c r="AZ26" i="27"/>
  <c r="AY26" i="27"/>
  <c r="AX26" i="27"/>
  <c r="AV26" i="27"/>
  <c r="AU26" i="27"/>
  <c r="AT26" i="27"/>
  <c r="AS26" i="27"/>
  <c r="BL31" i="27"/>
  <c r="BG31" i="27"/>
  <c r="BB31" i="27"/>
  <c r="AW31" i="27"/>
  <c r="AR31" i="27"/>
  <c r="AM32" i="27"/>
  <c r="AM31" i="27"/>
  <c r="BK69" i="15"/>
  <c r="BK11" i="15"/>
  <c r="BS10" i="15"/>
  <c r="BR10" i="15"/>
  <c r="BQ10" i="15"/>
  <c r="BP10" i="15"/>
  <c r="BO10" i="15"/>
  <c r="BN10" i="15"/>
  <c r="BM10" i="15"/>
  <c r="BL10" i="15"/>
  <c r="BK10" i="15"/>
  <c r="BK9" i="15"/>
  <c r="BL8" i="15"/>
  <c r="BM8" i="15"/>
  <c r="BN8" i="15"/>
  <c r="BO8" i="15"/>
  <c r="BP8" i="15"/>
  <c r="BQ8" i="15"/>
  <c r="BR8" i="15"/>
  <c r="BS8" i="15"/>
  <c r="BK8" i="15"/>
  <c r="BK47" i="33"/>
  <c r="BJ47" i="33"/>
  <c r="BI47" i="33"/>
  <c r="BH47" i="33"/>
  <c r="BF47" i="33"/>
  <c r="BE47" i="33"/>
  <c r="BD47" i="33"/>
  <c r="BC47" i="33"/>
  <c r="BA47" i="33"/>
  <c r="AZ47" i="33"/>
  <c r="AY47" i="33"/>
  <c r="AX47" i="33"/>
  <c r="AV47" i="33"/>
  <c r="AU47" i="33"/>
  <c r="AT47" i="33"/>
  <c r="AS47" i="33"/>
  <c r="AQ47" i="33"/>
  <c r="AP47" i="33"/>
  <c r="AO47" i="33"/>
  <c r="AN47" i="33"/>
  <c r="AL47" i="33"/>
  <c r="BF32" i="33"/>
  <c r="BE32" i="33"/>
  <c r="BD32" i="33"/>
  <c r="BC32" i="33"/>
  <c r="BA32" i="33"/>
  <c r="AZ32" i="33"/>
  <c r="AY32" i="33"/>
  <c r="AX32" i="33"/>
  <c r="AV32" i="33"/>
  <c r="AU32" i="33"/>
  <c r="AT32" i="33"/>
  <c r="AS32" i="33"/>
  <c r="BK8" i="33"/>
  <c r="BJ8" i="33"/>
  <c r="BI8" i="33"/>
  <c r="BH8" i="33"/>
  <c r="BF8" i="33"/>
  <c r="BE8" i="33"/>
  <c r="BD8" i="33"/>
  <c r="BC8" i="33"/>
  <c r="BA8" i="33"/>
  <c r="AZ8" i="33"/>
  <c r="AY8" i="33"/>
  <c r="AX8" i="33"/>
  <c r="AV8" i="33"/>
  <c r="AU8" i="33"/>
  <c r="AT8" i="33"/>
  <c r="AS8" i="33"/>
  <c r="BH115" i="33"/>
  <c r="BI115" i="33"/>
  <c r="BJ115" i="33"/>
  <c r="BK115" i="33"/>
  <c r="BC115" i="33"/>
  <c r="BD115" i="33"/>
  <c r="BE115" i="33"/>
  <c r="BF115" i="33"/>
  <c r="AZ115" i="33"/>
  <c r="BA115" i="33"/>
  <c r="AY115" i="33"/>
  <c r="AX115" i="33"/>
  <c r="AS115" i="33"/>
  <c r="AT115" i="33"/>
  <c r="AU115" i="33"/>
  <c r="AV115" i="33"/>
  <c r="AQ115" i="33"/>
  <c r="AP115" i="33"/>
  <c r="AO115" i="33"/>
  <c r="AN115" i="33"/>
  <c r="AK115" i="33"/>
  <c r="AL85" i="33"/>
  <c r="AL70" i="33"/>
  <c r="AQ39" i="34"/>
  <c r="AP39" i="34"/>
  <c r="AO39" i="34"/>
  <c r="BK20" i="34"/>
  <c r="BJ20" i="34"/>
  <c r="BI20" i="34"/>
  <c r="BH20" i="34"/>
  <c r="BF20" i="34"/>
  <c r="BE20" i="34"/>
  <c r="BD20" i="34"/>
  <c r="BC20" i="34"/>
  <c r="BA20" i="34"/>
  <c r="AZ20" i="34"/>
  <c r="AY20" i="34"/>
  <c r="AX20" i="34"/>
  <c r="AV20" i="34"/>
  <c r="AU20" i="34"/>
  <c r="AT20" i="34"/>
  <c r="AS20" i="34"/>
  <c r="AQ20" i="34"/>
  <c r="AP20" i="34"/>
  <c r="AO20" i="34"/>
  <c r="AN20" i="34"/>
  <c r="AQ8" i="33"/>
  <c r="AP8" i="33"/>
  <c r="AO8" i="33"/>
  <c r="AN8" i="33"/>
  <c r="BP8" i="28"/>
  <c r="BP9" i="28"/>
  <c r="BQ9" i="28"/>
  <c r="BP10" i="28"/>
  <c r="BQ10" i="28"/>
  <c r="BR10" i="28"/>
  <c r="BS10" i="28"/>
  <c r="BT10" i="28"/>
  <c r="BU10" i="28"/>
  <c r="BV10" i="28"/>
  <c r="BP11" i="28"/>
  <c r="BQ11" i="28"/>
  <c r="BR11" i="28"/>
  <c r="BS11" i="28"/>
  <c r="BT11" i="28"/>
  <c r="BU11" i="28"/>
  <c r="BV11" i="28"/>
  <c r="BP12" i="28"/>
  <c r="BP79" i="28"/>
  <c r="BV7" i="28"/>
  <c r="BU7" i="28"/>
  <c r="BT7" i="28"/>
  <c r="BS7" i="28"/>
  <c r="BR7" i="28"/>
  <c r="BQ7" i="28"/>
  <c r="BP7" i="28"/>
  <c r="BS6" i="28"/>
  <c r="BR6" i="28"/>
  <c r="BQ6" i="28"/>
  <c r="BP6" i="28"/>
  <c r="BV5" i="28"/>
  <c r="BU5" i="28"/>
  <c r="BT5" i="28"/>
  <c r="BS5" i="28"/>
  <c r="BR5" i="28"/>
  <c r="BQ5" i="28"/>
  <c r="BP5" i="28"/>
  <c r="AE159" i="30"/>
  <c r="AD159" i="30"/>
  <c r="AB159" i="30"/>
  <c r="AA159" i="30"/>
  <c r="Z159" i="30"/>
  <c r="Y159" i="30"/>
  <c r="AL159" i="30"/>
  <c r="AL9" i="28"/>
  <c r="AK159" i="30"/>
  <c r="AJ159" i="30"/>
  <c r="AI159" i="30"/>
  <c r="AG159" i="30"/>
  <c r="AF159" i="30"/>
  <c r="AF9" i="28"/>
  <c r="BK158" i="30"/>
  <c r="BJ158" i="30"/>
  <c r="BI158" i="30"/>
  <c r="BH158" i="30"/>
  <c r="BF158" i="30"/>
  <c r="BE158" i="30"/>
  <c r="BD158" i="30"/>
  <c r="BC158" i="30"/>
  <c r="BA158" i="30"/>
  <c r="AZ158" i="30"/>
  <c r="AY158" i="30"/>
  <c r="AX158" i="30"/>
  <c r="AV158" i="30"/>
  <c r="AU158" i="30"/>
  <c r="AT158" i="30"/>
  <c r="AS158" i="30"/>
  <c r="AQ158" i="30"/>
  <c r="AP158" i="30"/>
  <c r="AO158" i="30"/>
  <c r="AN158" i="30"/>
  <c r="AL158" i="30"/>
  <c r="AK158" i="30"/>
  <c r="AJ158" i="30"/>
  <c r="AI158" i="30"/>
  <c r="AG158" i="30"/>
  <c r="AF158" i="30"/>
  <c r="AL157" i="30"/>
  <c r="AK157" i="30"/>
  <c r="AJ157" i="30"/>
  <c r="AI157" i="30"/>
  <c r="AG157" i="30"/>
  <c r="AF157" i="30"/>
  <c r="AK128" i="30"/>
  <c r="AJ128" i="30"/>
  <c r="AI128" i="30"/>
  <c r="AI8" i="28"/>
  <c r="AG128" i="30"/>
  <c r="AF128" i="30"/>
  <c r="AE128" i="30"/>
  <c r="AD128" i="30"/>
  <c r="AB128" i="30"/>
  <c r="AB8" i="28"/>
  <c r="AA128" i="30"/>
  <c r="AA8" i="28"/>
  <c r="Z128" i="30"/>
  <c r="Z8" i="28"/>
  <c r="Y128" i="30"/>
  <c r="Y8" i="28"/>
  <c r="W128" i="30"/>
  <c r="V128" i="30"/>
  <c r="U128" i="30"/>
  <c r="T128" i="30"/>
  <c r="R128" i="30"/>
  <c r="Q128" i="30"/>
  <c r="P128" i="30"/>
  <c r="O128" i="30"/>
  <c r="M128" i="30"/>
  <c r="L128" i="30"/>
  <c r="K128" i="30"/>
  <c r="J128" i="30"/>
  <c r="BK7" i="30"/>
  <c r="BJ7" i="30"/>
  <c r="BI7" i="30"/>
  <c r="BH7" i="30"/>
  <c r="BF7" i="30"/>
  <c r="BE7" i="30"/>
  <c r="BD7" i="30"/>
  <c r="BC7" i="30"/>
  <c r="BA7" i="30"/>
  <c r="AZ7" i="30"/>
  <c r="AY7" i="30"/>
  <c r="AX7" i="30"/>
  <c r="AV7" i="30"/>
  <c r="AU7" i="30"/>
  <c r="AT7" i="30"/>
  <c r="AS7" i="30"/>
  <c r="AQ7" i="30"/>
  <c r="AP7" i="30"/>
  <c r="AO7" i="30"/>
  <c r="AN7" i="30"/>
  <c r="AL7" i="30"/>
  <c r="AK7" i="30"/>
  <c r="AJ7" i="30"/>
  <c r="AI7" i="30"/>
  <c r="AG7" i="30"/>
  <c r="AF7" i="30"/>
  <c r="AE7" i="30"/>
  <c r="AD7" i="30"/>
  <c r="AB7" i="30"/>
  <c r="AA7" i="30"/>
  <c r="Z7" i="30"/>
  <c r="Y7" i="30"/>
  <c r="W7" i="30"/>
  <c r="V7" i="30"/>
  <c r="U7" i="30"/>
  <c r="T7" i="30"/>
  <c r="R7" i="30"/>
  <c r="Q7" i="30"/>
  <c r="P7" i="30"/>
  <c r="O7" i="30"/>
  <c r="M7" i="30"/>
  <c r="L7" i="30"/>
  <c r="K7" i="30"/>
  <c r="J7" i="30"/>
  <c r="BL73" i="30"/>
  <c r="BK73" i="30"/>
  <c r="BJ73" i="30"/>
  <c r="BI73" i="30"/>
  <c r="BH73" i="30"/>
  <c r="BG73" i="30"/>
  <c r="BF73" i="30"/>
  <c r="BE73" i="30"/>
  <c r="BD73" i="30"/>
  <c r="BC73" i="30"/>
  <c r="BB73" i="30"/>
  <c r="BA73" i="30"/>
  <c r="AZ73" i="30"/>
  <c r="AY73" i="30"/>
  <c r="AX73" i="30"/>
  <c r="AW73" i="30"/>
  <c r="AV73" i="30"/>
  <c r="AU73" i="30"/>
  <c r="AT73" i="30"/>
  <c r="AS73" i="30"/>
  <c r="AR73" i="30"/>
  <c r="AQ73" i="30"/>
  <c r="AP73" i="30"/>
  <c r="AO73" i="30"/>
  <c r="AN73" i="30"/>
  <c r="AM73" i="30"/>
  <c r="AL73" i="30"/>
  <c r="AK73" i="30"/>
  <c r="AJ73" i="30"/>
  <c r="AI73" i="30"/>
  <c r="AH73" i="30"/>
  <c r="AG73" i="30"/>
  <c r="AF73" i="30"/>
  <c r="AE73" i="30"/>
  <c r="AD73" i="30"/>
  <c r="AC73" i="30"/>
  <c r="AB73" i="30"/>
  <c r="AA73" i="30"/>
  <c r="Z73" i="30"/>
  <c r="Y73" i="30"/>
  <c r="X73" i="30"/>
  <c r="W73" i="30"/>
  <c r="V73" i="30"/>
  <c r="U73" i="30"/>
  <c r="T73" i="30"/>
  <c r="S73" i="30"/>
  <c r="R73" i="30"/>
  <c r="Q73" i="30"/>
  <c r="P73" i="30"/>
  <c r="O73" i="30"/>
  <c r="M73" i="30"/>
  <c r="L73" i="30"/>
  <c r="K73" i="30"/>
  <c r="J73" i="30"/>
  <c r="BK6" i="30"/>
  <c r="BJ6" i="30"/>
  <c r="BI6" i="30"/>
  <c r="BH6" i="30"/>
  <c r="BF6" i="30"/>
  <c r="BE6" i="30"/>
  <c r="BD6" i="30"/>
  <c r="BC6" i="30"/>
  <c r="BA6" i="30"/>
  <c r="AZ6" i="30"/>
  <c r="AY6" i="30"/>
  <c r="AX6" i="30"/>
  <c r="AV6" i="30"/>
  <c r="AU6" i="30"/>
  <c r="AT6" i="30"/>
  <c r="AS6" i="30"/>
  <c r="AQ6" i="30"/>
  <c r="AP6" i="30"/>
  <c r="AO6" i="30"/>
  <c r="AN6" i="30"/>
  <c r="AL6" i="30"/>
  <c r="AK6" i="30"/>
  <c r="AJ6" i="30"/>
  <c r="AI6" i="30"/>
  <c r="AG6" i="30"/>
  <c r="AF6" i="30"/>
  <c r="AE6" i="30"/>
  <c r="AD6" i="30"/>
  <c r="AB6" i="30"/>
  <c r="AA6" i="30"/>
  <c r="Z6" i="30"/>
  <c r="Y6" i="30"/>
  <c r="W6" i="30"/>
  <c r="V6" i="30"/>
  <c r="U6" i="30"/>
  <c r="T6" i="30"/>
  <c r="R6" i="30"/>
  <c r="Q6" i="30"/>
  <c r="P6" i="30"/>
  <c r="O6" i="30"/>
  <c r="M6" i="30"/>
  <c r="L6" i="30"/>
  <c r="K6" i="30"/>
  <c r="J6" i="30"/>
  <c r="AK47" i="34"/>
  <c r="AJ47" i="34"/>
  <c r="AI47" i="34"/>
  <c r="AH47" i="34"/>
  <c r="AG47" i="34"/>
  <c r="AF47" i="34"/>
  <c r="AE47" i="34"/>
  <c r="AD47" i="34"/>
  <c r="AC47" i="34"/>
  <c r="AB47" i="34"/>
  <c r="AA47" i="34"/>
  <c r="Z47" i="34"/>
  <c r="Y47" i="34"/>
  <c r="X47" i="34"/>
  <c r="W47" i="34"/>
  <c r="V47" i="34"/>
  <c r="U47" i="34"/>
  <c r="T47" i="34"/>
  <c r="AK112" i="33"/>
  <c r="AJ112" i="33"/>
  <c r="AI112" i="33"/>
  <c r="AH112" i="33"/>
  <c r="AG112" i="33"/>
  <c r="AF112" i="33"/>
  <c r="AE112" i="33"/>
  <c r="AD112" i="33"/>
  <c r="AC112" i="33"/>
  <c r="AB112" i="33"/>
  <c r="AA112" i="33"/>
  <c r="Z112" i="33"/>
  <c r="Y112" i="33"/>
  <c r="BK11" i="32"/>
  <c r="BJ11" i="32"/>
  <c r="BI11" i="32"/>
  <c r="BH11" i="32"/>
  <c r="BF11" i="32"/>
  <c r="BE11" i="32"/>
  <c r="BD11" i="32"/>
  <c r="BC11" i="32"/>
  <c r="BA11" i="32"/>
  <c r="AZ11" i="32"/>
  <c r="AY11" i="32"/>
  <c r="AX11" i="32"/>
  <c r="AV11" i="32"/>
  <c r="AU11" i="32"/>
  <c r="AT11" i="32"/>
  <c r="AS11" i="32"/>
  <c r="AQ11" i="32"/>
  <c r="AP11" i="32"/>
  <c r="AO11" i="32"/>
  <c r="AN11" i="32"/>
  <c r="AL11" i="32"/>
  <c r="AK11" i="32"/>
  <c r="AJ11" i="32"/>
  <c r="AI11" i="32"/>
  <c r="AG11" i="32"/>
  <c r="AF11" i="32"/>
  <c r="AE11" i="32"/>
  <c r="AD11" i="32"/>
  <c r="AB11" i="32"/>
  <c r="AA11" i="32"/>
  <c r="Z11" i="32"/>
  <c r="Y11" i="32"/>
  <c r="W11" i="32"/>
  <c r="V11" i="32"/>
  <c r="U11" i="32"/>
  <c r="T11" i="32"/>
  <c r="R11" i="32"/>
  <c r="Q11" i="32"/>
  <c r="P11" i="32"/>
  <c r="O11" i="32"/>
  <c r="M11" i="32"/>
  <c r="L11" i="32"/>
  <c r="K11" i="32"/>
  <c r="J11" i="32"/>
  <c r="BL78" i="31"/>
  <c r="BK78" i="31"/>
  <c r="BJ78" i="31"/>
  <c r="BI78" i="31"/>
  <c r="BH78" i="31"/>
  <c r="BG78" i="31"/>
  <c r="BF78" i="31"/>
  <c r="BE78" i="31"/>
  <c r="BD78" i="31"/>
  <c r="BC78" i="31"/>
  <c r="BB78" i="31"/>
  <c r="BA78" i="31"/>
  <c r="AZ78" i="31"/>
  <c r="AY78" i="31"/>
  <c r="AX78" i="31"/>
  <c r="AW78" i="31"/>
  <c r="AV78" i="31"/>
  <c r="AU78" i="31"/>
  <c r="AT78" i="31"/>
  <c r="AS78" i="31"/>
  <c r="AR78" i="31"/>
  <c r="AQ78" i="31"/>
  <c r="AP78" i="31"/>
  <c r="AO78" i="31"/>
  <c r="AN78" i="31"/>
  <c r="AM78" i="31"/>
  <c r="AL78" i="31"/>
  <c r="AK78" i="31"/>
  <c r="AJ78" i="31"/>
  <c r="AI78" i="31"/>
  <c r="AH78" i="31"/>
  <c r="AG78" i="31"/>
  <c r="AF78" i="31"/>
  <c r="AE78" i="31"/>
  <c r="AD78" i="31"/>
  <c r="AC78" i="31"/>
  <c r="AB78" i="31"/>
  <c r="AA78" i="31"/>
  <c r="Z78" i="31"/>
  <c r="Y78" i="31"/>
  <c r="X78" i="31"/>
  <c r="W78" i="31"/>
  <c r="V78" i="31"/>
  <c r="U78" i="31"/>
  <c r="T78" i="31"/>
  <c r="S78" i="31"/>
  <c r="R78" i="31"/>
  <c r="Q78" i="31"/>
  <c r="P78" i="31"/>
  <c r="O78" i="31"/>
  <c r="N78" i="31"/>
  <c r="M78" i="31"/>
  <c r="L78" i="31"/>
  <c r="K78" i="31"/>
  <c r="J78" i="31"/>
  <c r="I78" i="31"/>
  <c r="AK77" i="31"/>
  <c r="AJ77" i="31"/>
  <c r="AI77" i="31"/>
  <c r="AH77" i="31"/>
  <c r="AG77" i="31"/>
  <c r="AF77" i="31"/>
  <c r="AE77" i="31"/>
  <c r="AD77" i="31"/>
  <c r="AC77" i="31"/>
  <c r="AB77" i="31"/>
  <c r="AA77" i="31"/>
  <c r="Z77" i="31"/>
  <c r="Y77" i="31"/>
  <c r="X77" i="31"/>
  <c r="W77" i="31"/>
  <c r="V77" i="31"/>
  <c r="U77" i="31"/>
  <c r="T77" i="31"/>
  <c r="S77" i="31"/>
  <c r="R77" i="31"/>
  <c r="Q77" i="31"/>
  <c r="P77" i="31"/>
  <c r="O77" i="31"/>
  <c r="N77" i="31"/>
  <c r="M77" i="31"/>
  <c r="L77" i="31"/>
  <c r="K77" i="31"/>
  <c r="J77" i="31"/>
  <c r="I77" i="31"/>
  <c r="BL9" i="31"/>
  <c r="BK9" i="31"/>
  <c r="BJ9" i="31"/>
  <c r="BI9" i="31"/>
  <c r="BH9" i="31"/>
  <c r="BG9" i="31"/>
  <c r="BF9" i="31"/>
  <c r="BE9" i="31"/>
  <c r="BD9" i="31"/>
  <c r="BC9" i="31"/>
  <c r="BB9" i="31"/>
  <c r="BA9" i="31"/>
  <c r="AZ9" i="31"/>
  <c r="AY9" i="31"/>
  <c r="AX9" i="31"/>
  <c r="AW9" i="31"/>
  <c r="AV9" i="31"/>
  <c r="AU9" i="31"/>
  <c r="AT9" i="31"/>
  <c r="AS9" i="31"/>
  <c r="AR9" i="31"/>
  <c r="AQ9" i="31"/>
  <c r="AP9" i="31"/>
  <c r="AO9" i="31"/>
  <c r="AN9" i="31"/>
  <c r="AM9" i="31"/>
  <c r="AL9" i="31"/>
  <c r="AK9" i="31"/>
  <c r="AJ9" i="31"/>
  <c r="AI9" i="31"/>
  <c r="AH9" i="31"/>
  <c r="AG9" i="31"/>
  <c r="AF9" i="31"/>
  <c r="AE9" i="31"/>
  <c r="AD9" i="31"/>
  <c r="AC9" i="31"/>
  <c r="AB9" i="31"/>
  <c r="AA9" i="31"/>
  <c r="Z9" i="31"/>
  <c r="Y9" i="31"/>
  <c r="X9" i="31"/>
  <c r="W9" i="31"/>
  <c r="V9" i="31"/>
  <c r="U9" i="31"/>
  <c r="T9" i="31"/>
  <c r="S9" i="31"/>
  <c r="R9" i="31"/>
  <c r="Q9" i="31"/>
  <c r="P9" i="31"/>
  <c r="O9" i="31"/>
  <c r="I9" i="31"/>
  <c r="AK69" i="30"/>
  <c r="AJ69" i="30"/>
  <c r="AI69" i="30"/>
  <c r="AH69" i="30"/>
  <c r="AG69" i="30"/>
  <c r="AF69" i="30"/>
  <c r="AE69" i="30"/>
  <c r="AD69" i="30"/>
  <c r="AC69" i="30"/>
  <c r="AB69" i="30"/>
  <c r="AA69" i="30"/>
  <c r="Z69" i="30"/>
  <c r="Y69" i="30"/>
  <c r="X69" i="30"/>
  <c r="W69" i="30"/>
  <c r="V69" i="30"/>
  <c r="U69" i="30"/>
  <c r="T69" i="30"/>
  <c r="BL208" i="30"/>
  <c r="BK208" i="30"/>
  <c r="BJ208" i="30"/>
  <c r="BI208" i="30"/>
  <c r="BH208" i="30"/>
  <c r="BG208" i="30"/>
  <c r="BF208" i="30"/>
  <c r="BE208" i="30"/>
  <c r="BD208" i="30"/>
  <c r="BC208" i="30"/>
  <c r="BB208" i="30"/>
  <c r="BA208" i="30"/>
  <c r="AZ208" i="30"/>
  <c r="AY208" i="30"/>
  <c r="AX208" i="30"/>
  <c r="AW208" i="30"/>
  <c r="AV208" i="30"/>
  <c r="AU208" i="30"/>
  <c r="AT208" i="30"/>
  <c r="AS208" i="30"/>
  <c r="AR208" i="30"/>
  <c r="AQ208" i="30"/>
  <c r="AP208" i="30"/>
  <c r="AO208" i="30"/>
  <c r="AN208" i="30"/>
  <c r="AM208" i="30"/>
  <c r="AL208" i="30"/>
  <c r="AK208" i="30"/>
  <c r="AJ208" i="30"/>
  <c r="AI208" i="30"/>
  <c r="AH208" i="30"/>
  <c r="BL163" i="30"/>
  <c r="BK163" i="30"/>
  <c r="BJ163" i="30"/>
  <c r="BI163" i="30"/>
  <c r="BH163" i="30"/>
  <c r="BG163" i="30"/>
  <c r="BF163" i="30"/>
  <c r="BE163" i="30"/>
  <c r="BD163" i="30"/>
  <c r="BC163" i="30"/>
  <c r="BB163" i="30"/>
  <c r="BA163" i="30"/>
  <c r="AZ163" i="30"/>
  <c r="AY163" i="30"/>
  <c r="AX163" i="30"/>
  <c r="AW163" i="30"/>
  <c r="AV163" i="30"/>
  <c r="AU163" i="30"/>
  <c r="AT163" i="30"/>
  <c r="AS163" i="30"/>
  <c r="AR163" i="30"/>
  <c r="AQ163" i="30"/>
  <c r="AP163" i="30"/>
  <c r="AO163" i="30"/>
  <c r="AN163" i="30"/>
  <c r="AM163" i="30"/>
  <c r="AL163" i="30"/>
  <c r="AK163" i="30"/>
  <c r="AJ163" i="30"/>
  <c r="AI163" i="30"/>
  <c r="AH163" i="30"/>
  <c r="BL162" i="30"/>
  <c r="BK162" i="30"/>
  <c r="BJ162" i="30"/>
  <c r="BI162" i="30"/>
  <c r="BH162" i="30"/>
  <c r="BG162" i="30"/>
  <c r="BF162" i="30"/>
  <c r="BE162" i="30"/>
  <c r="BD162" i="30"/>
  <c r="BC162" i="30"/>
  <c r="BB162" i="30"/>
  <c r="BA162" i="30"/>
  <c r="AZ162" i="30"/>
  <c r="AY162" i="30"/>
  <c r="AX162" i="30"/>
  <c r="AW162" i="30"/>
  <c r="AV162" i="30"/>
  <c r="AU162" i="30"/>
  <c r="AT162" i="30"/>
  <c r="AS162" i="30"/>
  <c r="AR162" i="30"/>
  <c r="AQ162" i="30"/>
  <c r="AP162" i="30"/>
  <c r="AO162" i="30"/>
  <c r="AN162" i="30"/>
  <c r="AM162" i="30"/>
  <c r="AL162" i="30"/>
  <c r="AK162" i="30"/>
  <c r="AJ162" i="30"/>
  <c r="AI162" i="30"/>
  <c r="AH162" i="30"/>
  <c r="K43" i="26"/>
  <c r="J43" i="26"/>
  <c r="I43" i="26"/>
  <c r="H43" i="26"/>
  <c r="G43" i="26"/>
  <c r="F43" i="26"/>
  <c r="E43" i="26"/>
  <c r="Z9" i="25" a="1"/>
  <c r="Z9" i="25"/>
  <c r="S9" i="25" a="1"/>
  <c r="S9" i="25"/>
  <c r="BL145" i="28"/>
  <c r="BK145" i="28"/>
  <c r="BJ145" i="28"/>
  <c r="BI145" i="28"/>
  <c r="BH145" i="28"/>
  <c r="BG145" i="28"/>
  <c r="BF145" i="28"/>
  <c r="BE145" i="28"/>
  <c r="BD145" i="28"/>
  <c r="BC145" i="28"/>
  <c r="BB145" i="28"/>
  <c r="BA145" i="28"/>
  <c r="AZ145" i="28"/>
  <c r="AY145" i="28"/>
  <c r="AX145" i="28"/>
  <c r="AW145" i="28"/>
  <c r="AV145" i="28"/>
  <c r="AU145" i="28"/>
  <c r="AT145" i="28"/>
  <c r="AS145" i="28"/>
  <c r="AR145" i="28"/>
  <c r="AQ145" i="28"/>
  <c r="AP145" i="28"/>
  <c r="AO145" i="28"/>
  <c r="AN145" i="28"/>
  <c r="AM145" i="28"/>
  <c r="AL145" i="28"/>
  <c r="AK145" i="28"/>
  <c r="AJ145" i="28"/>
  <c r="AI145" i="28"/>
  <c r="AH145" i="28"/>
  <c r="AG145" i="28"/>
  <c r="AF145" i="28"/>
  <c r="AE145" i="28"/>
  <c r="AD145" i="28"/>
  <c r="AC145" i="28"/>
  <c r="AB145" i="28"/>
  <c r="AA145" i="28"/>
  <c r="Z145" i="28"/>
  <c r="Y145" i="28"/>
  <c r="AK144" i="28"/>
  <c r="AJ144" i="28"/>
  <c r="AI144" i="28"/>
  <c r="AH144" i="28"/>
  <c r="AG144" i="28"/>
  <c r="AF144" i="28"/>
  <c r="AE144" i="28"/>
  <c r="AD144" i="28"/>
  <c r="AC144" i="28"/>
  <c r="AB144" i="28"/>
  <c r="AA144" i="28"/>
  <c r="Z144" i="28"/>
  <c r="Y144" i="28"/>
  <c r="BL143" i="28"/>
  <c r="BK143" i="28"/>
  <c r="BJ143" i="28"/>
  <c r="BI143" i="28"/>
  <c r="BH143" i="28"/>
  <c r="BG143" i="28"/>
  <c r="BF143" i="28"/>
  <c r="BE143" i="28"/>
  <c r="BD143" i="28"/>
  <c r="BC143" i="28"/>
  <c r="BB143" i="28"/>
  <c r="BA143" i="28"/>
  <c r="AZ143" i="28"/>
  <c r="AY143" i="28"/>
  <c r="AX143" i="28"/>
  <c r="AW143" i="28"/>
  <c r="AV143" i="28"/>
  <c r="AU143" i="28"/>
  <c r="AT143" i="28"/>
  <c r="AS143" i="28"/>
  <c r="AR143" i="28"/>
  <c r="AQ143" i="28"/>
  <c r="AP143" i="28"/>
  <c r="AO143" i="28"/>
  <c r="AN143" i="28"/>
  <c r="AM143" i="28"/>
  <c r="AL143" i="28"/>
  <c r="AK143" i="28"/>
  <c r="AJ143" i="28"/>
  <c r="AI143" i="28"/>
  <c r="AH143" i="28"/>
  <c r="AG143" i="28"/>
  <c r="AF143" i="28"/>
  <c r="AE143" i="28"/>
  <c r="AD143" i="28"/>
  <c r="AC143" i="28"/>
  <c r="AB143" i="28"/>
  <c r="AA143" i="28"/>
  <c r="Z143" i="28"/>
  <c r="Y143" i="28"/>
  <c r="BL142" i="28"/>
  <c r="BK142" i="28"/>
  <c r="BJ142" i="28"/>
  <c r="BI142" i="28"/>
  <c r="BH142" i="28"/>
  <c r="BG142" i="28"/>
  <c r="BF142" i="28"/>
  <c r="BE142" i="28"/>
  <c r="BD142" i="28"/>
  <c r="BC142" i="28"/>
  <c r="BB142" i="28"/>
  <c r="BA142" i="28"/>
  <c r="AZ142" i="28"/>
  <c r="AY142" i="28"/>
  <c r="AX142" i="28"/>
  <c r="AW142" i="28"/>
  <c r="AV142" i="28"/>
  <c r="AU142" i="28"/>
  <c r="AT142" i="28"/>
  <c r="AS142" i="28"/>
  <c r="AR142" i="28"/>
  <c r="AQ142" i="28"/>
  <c r="AP142" i="28"/>
  <c r="AO142" i="28"/>
  <c r="AN142" i="28"/>
  <c r="AM142" i="28"/>
  <c r="AL142" i="28"/>
  <c r="AK142" i="28"/>
  <c r="AJ142" i="28"/>
  <c r="AI142" i="28"/>
  <c r="AH142" i="28"/>
  <c r="AG142" i="28"/>
  <c r="AF142" i="28"/>
  <c r="AE142" i="28"/>
  <c r="AD142" i="28"/>
  <c r="AC142" i="28"/>
  <c r="AB142" i="28"/>
  <c r="AA142" i="28"/>
  <c r="Z142" i="28"/>
  <c r="Y142" i="28"/>
  <c r="BL141" i="28"/>
  <c r="BK141" i="28"/>
  <c r="BJ141" i="28"/>
  <c r="BI141" i="28"/>
  <c r="BH141" i="28"/>
  <c r="BG141" i="28"/>
  <c r="BF141" i="28"/>
  <c r="BE141" i="28"/>
  <c r="BD141" i="28"/>
  <c r="BC141" i="28"/>
  <c r="BB141" i="28"/>
  <c r="BA141" i="28"/>
  <c r="AZ141" i="28"/>
  <c r="AY141" i="28"/>
  <c r="AX141" i="28"/>
  <c r="AW141" i="28"/>
  <c r="AV141" i="28"/>
  <c r="AU141" i="28"/>
  <c r="AT141" i="28"/>
  <c r="AS141" i="28"/>
  <c r="AR141" i="28"/>
  <c r="AQ141" i="28"/>
  <c r="AP141" i="28"/>
  <c r="AO141" i="28"/>
  <c r="AN141" i="28"/>
  <c r="AM141" i="28"/>
  <c r="AL141" i="28"/>
  <c r="AK141" i="28"/>
  <c r="AJ141" i="28"/>
  <c r="AI141" i="28"/>
  <c r="AH141" i="28"/>
  <c r="AG141" i="28"/>
  <c r="AF141" i="28"/>
  <c r="AE141" i="28"/>
  <c r="AD141" i="28"/>
  <c r="AC141" i="28"/>
  <c r="AB141" i="28"/>
  <c r="AA141" i="28"/>
  <c r="Z141" i="28"/>
  <c r="Y141" i="28"/>
  <c r="BL140" i="28"/>
  <c r="BK140" i="28"/>
  <c r="BJ140" i="28"/>
  <c r="BI140" i="28"/>
  <c r="BH140" i="28"/>
  <c r="BG140" i="28"/>
  <c r="BF140" i="28"/>
  <c r="BE140" i="28"/>
  <c r="BD140" i="28"/>
  <c r="BC140" i="28"/>
  <c r="BB140" i="28"/>
  <c r="BA140" i="28"/>
  <c r="AZ140" i="28"/>
  <c r="AY140" i="28"/>
  <c r="AX140" i="28"/>
  <c r="AW140" i="28"/>
  <c r="AV140" i="28"/>
  <c r="AU140" i="28"/>
  <c r="AT140" i="28"/>
  <c r="AS140" i="28"/>
  <c r="AR140" i="28"/>
  <c r="AQ140" i="28"/>
  <c r="AP140" i="28"/>
  <c r="AO140" i="28"/>
  <c r="AN140" i="28"/>
  <c r="AM140" i="28"/>
  <c r="AL140" i="28"/>
  <c r="AK140" i="28"/>
  <c r="AJ140" i="28"/>
  <c r="AI140" i="28"/>
  <c r="AH140" i="28"/>
  <c r="AG140" i="28"/>
  <c r="AF140" i="28"/>
  <c r="AE140" i="28"/>
  <c r="AD140" i="28"/>
  <c r="AC140" i="28"/>
  <c r="AB140" i="28"/>
  <c r="AA140" i="28"/>
  <c r="Z140" i="28"/>
  <c r="Y140" i="28"/>
  <c r="BL77" i="28"/>
  <c r="BK77" i="28"/>
  <c r="BJ77" i="28"/>
  <c r="BI77" i="28"/>
  <c r="BH77" i="28"/>
  <c r="BG77" i="28"/>
  <c r="BF77" i="28"/>
  <c r="BE77" i="28"/>
  <c r="BD77" i="28"/>
  <c r="BC77" i="28"/>
  <c r="BB77" i="28"/>
  <c r="BA77" i="28"/>
  <c r="AZ77" i="28"/>
  <c r="AY77" i="28"/>
  <c r="AX77" i="28"/>
  <c r="AW77" i="28"/>
  <c r="AV77" i="28"/>
  <c r="AU77" i="28"/>
  <c r="AT77" i="28"/>
  <c r="AS77" i="28"/>
  <c r="AR77" i="28"/>
  <c r="AQ77" i="28"/>
  <c r="AP77" i="28"/>
  <c r="AO77" i="28"/>
  <c r="AN77" i="28"/>
  <c r="AM77" i="28"/>
  <c r="AL77" i="28"/>
  <c r="AK77" i="28"/>
  <c r="AJ77" i="28"/>
  <c r="AI77" i="28"/>
  <c r="AH77" i="28"/>
  <c r="AG77" i="28"/>
  <c r="AF77" i="28"/>
  <c r="AE77" i="28"/>
  <c r="AD77" i="28"/>
  <c r="AC77" i="28"/>
  <c r="AB77" i="28"/>
  <c r="AA77" i="28"/>
  <c r="Z77" i="28"/>
  <c r="Y77" i="28"/>
  <c r="BL74" i="28"/>
  <c r="BK74" i="28"/>
  <c r="BJ74" i="28"/>
  <c r="BI74" i="28"/>
  <c r="BH74" i="28"/>
  <c r="BG74" i="28"/>
  <c r="BF74" i="28"/>
  <c r="BE74" i="28"/>
  <c r="BD74" i="28"/>
  <c r="BC74" i="28"/>
  <c r="BB74" i="28"/>
  <c r="BA74" i="28"/>
  <c r="AZ74" i="28"/>
  <c r="AY74" i="28"/>
  <c r="AX74" i="28"/>
  <c r="AW74" i="28"/>
  <c r="AV74" i="28"/>
  <c r="AU74" i="28"/>
  <c r="AT74" i="28"/>
  <c r="AS74" i="28"/>
  <c r="AR74" i="28"/>
  <c r="AQ74" i="28"/>
  <c r="AP74" i="28"/>
  <c r="AO74" i="28"/>
  <c r="AN74" i="28"/>
  <c r="AM74" i="28"/>
  <c r="AL74" i="28"/>
  <c r="AK74" i="28"/>
  <c r="AJ74" i="28"/>
  <c r="AI74" i="28"/>
  <c r="AH74" i="28"/>
  <c r="AG74" i="28"/>
  <c r="AF74" i="28"/>
  <c r="AE74" i="28"/>
  <c r="AD74" i="28"/>
  <c r="AC74" i="28"/>
  <c r="AB74" i="28"/>
  <c r="AA74" i="28"/>
  <c r="Z74" i="28"/>
  <c r="Y74" i="28"/>
  <c r="AI29" i="28"/>
  <c r="AG29" i="28"/>
  <c r="AF29" i="28"/>
  <c r="AE29" i="28"/>
  <c r="AD29" i="28"/>
  <c r="BL10" i="28"/>
  <c r="BK10" i="28"/>
  <c r="BJ10" i="28"/>
  <c r="BI10" i="28"/>
  <c r="BH10" i="28"/>
  <c r="BG10" i="28"/>
  <c r="BF10" i="28"/>
  <c r="BE10" i="28"/>
  <c r="BD10" i="28"/>
  <c r="BC10" i="28"/>
  <c r="BB10" i="28"/>
  <c r="BA10" i="28"/>
  <c r="AZ10" i="28"/>
  <c r="AY10" i="28"/>
  <c r="AX10" i="28"/>
  <c r="AW10" i="28"/>
  <c r="AV10" i="28"/>
  <c r="AU10" i="28"/>
  <c r="AT10" i="28"/>
  <c r="AS10" i="28"/>
  <c r="AR10" i="28"/>
  <c r="AQ10" i="28"/>
  <c r="AP10" i="28"/>
  <c r="AO10" i="28"/>
  <c r="AN10" i="28"/>
  <c r="AM10" i="28"/>
  <c r="AL10" i="28"/>
  <c r="AK10" i="28"/>
  <c r="AJ10" i="28"/>
  <c r="AI10" i="28"/>
  <c r="AH10" i="28"/>
  <c r="AG10" i="28"/>
  <c r="AF10" i="28"/>
  <c r="AE10" i="28"/>
  <c r="AD10" i="28"/>
  <c r="AC10" i="28"/>
  <c r="AB10" i="28"/>
  <c r="AA10" i="28"/>
  <c r="Z10" i="28"/>
  <c r="Y10" i="28"/>
  <c r="AK9" i="28"/>
  <c r="AJ9" i="28"/>
  <c r="AI9" i="28"/>
  <c r="AG9" i="28"/>
  <c r="AE9" i="28"/>
  <c r="AD9" i="28"/>
  <c r="AB9" i="28"/>
  <c r="AA9" i="28"/>
  <c r="Z9" i="28"/>
  <c r="Y9" i="28"/>
  <c r="AJ8" i="28"/>
  <c r="AG8" i="28"/>
  <c r="AF8" i="28"/>
  <c r="AE8" i="28"/>
  <c r="AD8" i="28"/>
  <c r="BL7" i="28"/>
  <c r="BK7" i="28"/>
  <c r="BJ7" i="28"/>
  <c r="BI7" i="28"/>
  <c r="BH7" i="28"/>
  <c r="BG7" i="28"/>
  <c r="BF7" i="28"/>
  <c r="BE7" i="28"/>
  <c r="BD7" i="28"/>
  <c r="BC7" i="28"/>
  <c r="BB7" i="28"/>
  <c r="BA7" i="28"/>
  <c r="AZ7" i="28"/>
  <c r="AY7" i="28"/>
  <c r="AX7" i="28"/>
  <c r="AW7" i="28"/>
  <c r="AV7" i="28"/>
  <c r="AU7" i="28"/>
  <c r="AT7" i="28"/>
  <c r="AS7" i="28"/>
  <c r="AR7" i="28"/>
  <c r="AQ7" i="28"/>
  <c r="AP7" i="28"/>
  <c r="AO7" i="28"/>
  <c r="AN7" i="28"/>
  <c r="AM7" i="28"/>
  <c r="AL7" i="28"/>
  <c r="AK7" i="28"/>
  <c r="AJ7" i="28"/>
  <c r="AI7" i="28"/>
  <c r="AH7" i="28"/>
  <c r="AG7" i="28"/>
  <c r="AF7" i="28"/>
  <c r="AE7" i="28"/>
  <c r="AD7" i="28"/>
  <c r="AC7" i="28"/>
  <c r="AB7" i="28"/>
  <c r="AA7" i="28"/>
  <c r="Z7" i="28"/>
  <c r="Y7" i="28"/>
  <c r="AK294" i="27"/>
  <c r="AJ294" i="27"/>
  <c r="AI294" i="27"/>
  <c r="AH294" i="27"/>
  <c r="AG294" i="27"/>
  <c r="AF294" i="27"/>
  <c r="AE294" i="27"/>
  <c r="AD294" i="27"/>
  <c r="AK286" i="27"/>
  <c r="AJ286" i="27"/>
  <c r="AI286" i="27"/>
  <c r="AH286" i="27"/>
  <c r="AG286" i="27"/>
  <c r="AF286" i="27"/>
  <c r="AE286" i="27"/>
  <c r="AD286" i="27"/>
  <c r="AK269" i="27"/>
  <c r="AJ269" i="27"/>
  <c r="AI269" i="27"/>
  <c r="AH269" i="27"/>
  <c r="AG269" i="27"/>
  <c r="AF269" i="27"/>
  <c r="AE269" i="27"/>
  <c r="AD269" i="27"/>
  <c r="AK262" i="27"/>
  <c r="AJ262" i="27"/>
  <c r="AI262" i="27"/>
  <c r="AH262" i="27"/>
  <c r="AG262" i="27"/>
  <c r="AF262" i="27"/>
  <c r="AE262" i="27"/>
  <c r="AD262" i="27"/>
  <c r="AL107" i="27"/>
  <c r="AK68" i="27"/>
  <c r="AJ68" i="27"/>
  <c r="AI68" i="27"/>
  <c r="AH68" i="27"/>
  <c r="AG68" i="27"/>
  <c r="AF68" i="27"/>
  <c r="AE68" i="27"/>
  <c r="AD68" i="27"/>
  <c r="AK67" i="27"/>
  <c r="AJ67" i="27"/>
  <c r="AI67" i="27"/>
  <c r="AH67" i="27"/>
  <c r="AG67" i="27"/>
  <c r="AF67" i="27"/>
  <c r="AE67" i="27"/>
  <c r="AD67" i="27"/>
  <c r="AK64" i="27"/>
  <c r="AJ64" i="27"/>
  <c r="AI64" i="27"/>
  <c r="AH64" i="27"/>
  <c r="AG64" i="27"/>
  <c r="AF64" i="27"/>
  <c r="AE64" i="27"/>
  <c r="AD64" i="27"/>
  <c r="AK63" i="27"/>
  <c r="AJ63" i="27"/>
  <c r="AI63" i="27"/>
  <c r="AH63" i="27"/>
  <c r="AG63" i="27"/>
  <c r="AF63" i="27"/>
  <c r="AE63" i="27"/>
  <c r="AD63" i="27"/>
  <c r="AK25" i="27"/>
  <c r="AJ25" i="27"/>
  <c r="AI25" i="27"/>
  <c r="AH25" i="27"/>
  <c r="AG25" i="27"/>
  <c r="AF25" i="27"/>
  <c r="AE25" i="27"/>
  <c r="AD25" i="27"/>
  <c r="AK10" i="27"/>
  <c r="AJ10" i="27"/>
  <c r="AI10" i="27"/>
  <c r="AH10" i="27"/>
  <c r="AG10" i="27"/>
  <c r="AF10" i="27"/>
  <c r="AE10" i="27"/>
  <c r="AD10" i="27"/>
  <c r="AK6" i="27"/>
  <c r="AJ6" i="27"/>
  <c r="AI6" i="27"/>
  <c r="AH6" i="27"/>
  <c r="AG6" i="27"/>
  <c r="AF6" i="27"/>
  <c r="AE6" i="27"/>
  <c r="AD6" i="27"/>
  <c r="AC6" i="27"/>
  <c r="AB6" i="27"/>
  <c r="AA6" i="27"/>
  <c r="Z6" i="27"/>
  <c r="Y6" i="27"/>
  <c r="AK29" i="28"/>
  <c r="AK8" i="28"/>
  <c r="AJ29" i="28"/>
  <c r="BF74" i="31"/>
  <c r="BE74" i="31"/>
  <c r="BD74" i="31"/>
  <c r="BC74" i="31"/>
  <c r="BA74" i="31"/>
  <c r="AZ74" i="31"/>
  <c r="AY74" i="31"/>
  <c r="AX74" i="31"/>
  <c r="AV74" i="31"/>
  <c r="AU74" i="31"/>
  <c r="AT74" i="31"/>
  <c r="AS74" i="31"/>
  <c r="BF42" i="32"/>
  <c r="BE42" i="32"/>
  <c r="BD42" i="32"/>
  <c r="BC42" i="32"/>
  <c r="BA42" i="32"/>
  <c r="AZ42" i="32"/>
  <c r="AY42" i="32"/>
  <c r="AX42" i="32"/>
  <c r="AV42" i="32"/>
  <c r="AU42" i="32"/>
  <c r="AT42" i="32"/>
  <c r="AS42" i="32"/>
  <c r="I22" i="39"/>
  <c r="C22" i="39"/>
  <c r="D37" i="39"/>
  <c r="G37" i="39"/>
  <c r="G35" i="39"/>
  <c r="G34" i="39"/>
  <c r="G32" i="39"/>
  <c r="G31" i="39"/>
  <c r="G30" i="39"/>
  <c r="F35" i="39"/>
  <c r="F34" i="39"/>
  <c r="F32" i="39"/>
  <c r="F31" i="39"/>
  <c r="F30" i="39"/>
  <c r="G17" i="39"/>
  <c r="G15" i="39"/>
  <c r="G14" i="39"/>
  <c r="G7" i="39"/>
  <c r="G6" i="39"/>
  <c r="F16" i="39"/>
  <c r="F15" i="39"/>
  <c r="F14" i="39"/>
  <c r="F7" i="39"/>
  <c r="F6" i="39"/>
  <c r="G25" i="16"/>
  <c r="H32" i="17" s="1"/>
  <c r="D25" i="16"/>
  <c r="E32" i="17" s="1"/>
  <c r="Q6" i="3"/>
  <c r="Z39" i="1"/>
  <c r="Z40" i="1"/>
  <c r="V39" i="1"/>
  <c r="V40" i="1"/>
  <c r="U39" i="1"/>
  <c r="U40" i="1"/>
  <c r="T39" i="1"/>
  <c r="T40" i="1"/>
  <c r="S39" i="1"/>
  <c r="S40" i="1"/>
  <c r="Q39" i="1"/>
  <c r="Q40" i="1"/>
  <c r="P39" i="1"/>
  <c r="P40" i="1"/>
  <c r="O39" i="1"/>
  <c r="O40" i="1"/>
  <c r="AB16" i="1"/>
  <c r="AB26" i="1"/>
  <c r="AB23" i="1"/>
  <c r="Z36" i="1"/>
  <c r="Z35" i="1"/>
  <c r="Z51" i="1"/>
  <c r="Y36" i="1"/>
  <c r="Y35" i="1"/>
  <c r="Y51" i="1"/>
  <c r="X36" i="1"/>
  <c r="X35" i="1"/>
  <c r="X51" i="1"/>
  <c r="V36" i="1"/>
  <c r="V35" i="1"/>
  <c r="V51" i="1"/>
  <c r="U36" i="1"/>
  <c r="U35" i="1"/>
  <c r="U51" i="1"/>
  <c r="T36" i="1"/>
  <c r="S36" i="1"/>
  <c r="T35" i="1"/>
  <c r="T51" i="1"/>
  <c r="S35" i="1"/>
  <c r="S51" i="1"/>
  <c r="W34" i="1"/>
  <c r="Q36" i="1"/>
  <c r="Q35" i="1"/>
  <c r="P36" i="1"/>
  <c r="P35" i="1"/>
  <c r="O36" i="1"/>
  <c r="O35" i="1"/>
  <c r="N36" i="1"/>
  <c r="N35" i="1"/>
  <c r="R34" i="1"/>
  <c r="Z44" i="1"/>
  <c r="Y44" i="1"/>
  <c r="X44" i="1"/>
  <c r="W44" i="1"/>
  <c r="V44" i="1"/>
  <c r="U44" i="1"/>
  <c r="T44" i="1"/>
  <c r="S44" i="1"/>
  <c r="W42" i="1"/>
  <c r="AA42" i="1"/>
  <c r="X39" i="1"/>
  <c r="X40" i="1"/>
  <c r="Y39" i="1"/>
  <c r="Y40" i="1"/>
  <c r="N39" i="1"/>
  <c r="N40" i="1"/>
  <c r="S45" i="1"/>
  <c r="T45" i="1"/>
  <c r="U45" i="1"/>
  <c r="V45" i="1"/>
  <c r="W45" i="1"/>
  <c r="X45" i="1"/>
  <c r="Y45" i="1"/>
  <c r="Z45" i="1"/>
  <c r="T117" i="15"/>
  <c r="U117" i="15"/>
  <c r="S117" i="15"/>
  <c r="R117" i="15"/>
  <c r="Q117" i="15"/>
  <c r="P117" i="15"/>
  <c r="O117" i="15"/>
  <c r="N117" i="15"/>
  <c r="W31" i="1"/>
  <c r="W36" i="1"/>
  <c r="R31" i="1"/>
  <c r="R36" i="1"/>
  <c r="BF105" i="15"/>
  <c r="BA105" i="15"/>
  <c r="AV105" i="15"/>
  <c r="AQ105" i="15"/>
  <c r="AL105" i="15"/>
  <c r="AG105" i="15"/>
  <c r="AB105" i="15"/>
  <c r="R106" i="15"/>
  <c r="M106" i="15"/>
  <c r="W26" i="1"/>
  <c r="W23" i="1"/>
  <c r="R23" i="1"/>
  <c r="R26" i="1"/>
  <c r="Z24" i="1"/>
  <c r="Y24" i="1"/>
  <c r="X24" i="1"/>
  <c r="V24" i="1"/>
  <c r="U24" i="1"/>
  <c r="T24" i="1"/>
  <c r="S24" i="1"/>
  <c r="Q24" i="1"/>
  <c r="P24" i="1"/>
  <c r="O24" i="1"/>
  <c r="N24" i="1"/>
  <c r="U96" i="15"/>
  <c r="U97" i="15" s="1"/>
  <c r="T96" i="15"/>
  <c r="T97" i="15" s="1"/>
  <c r="S96" i="15"/>
  <c r="S97" i="15" s="1"/>
  <c r="Q96" i="15"/>
  <c r="Q97" i="15" s="1"/>
  <c r="P96" i="15"/>
  <c r="P97" i="15" s="1"/>
  <c r="O96" i="15"/>
  <c r="O97" i="15" s="1"/>
  <c r="N96" i="15"/>
  <c r="N97" i="15" s="1"/>
  <c r="R98" i="15"/>
  <c r="W24" i="1"/>
  <c r="M98" i="15"/>
  <c r="R24" i="1"/>
  <c r="Z22" i="1"/>
  <c r="Y22" i="1"/>
  <c r="X22" i="1"/>
  <c r="V22" i="1"/>
  <c r="U22" i="1"/>
  <c r="T22" i="1"/>
  <c r="S22" i="1"/>
  <c r="Q22" i="1"/>
  <c r="P22" i="1"/>
  <c r="O22" i="1"/>
  <c r="N22" i="1"/>
  <c r="Y92" i="15"/>
  <c r="X92" i="15"/>
  <c r="Y89" i="15"/>
  <c r="X89" i="15"/>
  <c r="X90" i="15" s="1"/>
  <c r="U92" i="15"/>
  <c r="T92" i="15"/>
  <c r="S92" i="15"/>
  <c r="R92" i="15"/>
  <c r="Q92" i="15"/>
  <c r="P92" i="15"/>
  <c r="O92" i="15"/>
  <c r="N92" i="15"/>
  <c r="M92" i="15"/>
  <c r="L92" i="15"/>
  <c r="K92" i="15"/>
  <c r="J92" i="15"/>
  <c r="I92" i="15"/>
  <c r="U89" i="15"/>
  <c r="T89" i="15"/>
  <c r="S89" i="15"/>
  <c r="R89" i="15"/>
  <c r="Q89" i="15"/>
  <c r="P89" i="15"/>
  <c r="O89" i="15"/>
  <c r="N89" i="15"/>
  <c r="L89" i="15"/>
  <c r="K89" i="15"/>
  <c r="J89" i="15"/>
  <c r="I89" i="15"/>
  <c r="U85" i="15"/>
  <c r="U86" i="15" s="1"/>
  <c r="T85" i="15"/>
  <c r="T86" i="15" s="1"/>
  <c r="S85" i="15"/>
  <c r="S86" i="15" s="1"/>
  <c r="Q85" i="15"/>
  <c r="Q86" i="15" s="1"/>
  <c r="P85" i="15"/>
  <c r="P86" i="15" s="1"/>
  <c r="O85" i="15"/>
  <c r="O86" i="15" s="1"/>
  <c r="N85" i="15"/>
  <c r="N86" i="15" s="1"/>
  <c r="R87" i="15"/>
  <c r="W22" i="1"/>
  <c r="M87" i="15"/>
  <c r="R22" i="1"/>
  <c r="X25" i="1"/>
  <c r="W25" i="1"/>
  <c r="S25" i="1"/>
  <c r="R25" i="1"/>
  <c r="N25" i="1"/>
  <c r="O21" i="1"/>
  <c r="P21" i="1"/>
  <c r="Q21" i="1"/>
  <c r="S21" i="1"/>
  <c r="T21" i="1"/>
  <c r="U21" i="1"/>
  <c r="V21" i="1"/>
  <c r="X21" i="1"/>
  <c r="Y21" i="1"/>
  <c r="Z21" i="1"/>
  <c r="N21" i="1"/>
  <c r="S80" i="15"/>
  <c r="R80" i="15"/>
  <c r="N80" i="15"/>
  <c r="U79" i="15"/>
  <c r="T79" i="15"/>
  <c r="S79" i="15"/>
  <c r="Q79" i="15"/>
  <c r="P79" i="15"/>
  <c r="O79" i="15"/>
  <c r="N79" i="15"/>
  <c r="W77" i="15"/>
  <c r="V77" i="15"/>
  <c r="U77" i="15"/>
  <c r="T77" i="15"/>
  <c r="S77" i="15"/>
  <c r="R77" i="15"/>
  <c r="Q77" i="15"/>
  <c r="P77" i="15"/>
  <c r="O77" i="15"/>
  <c r="N77" i="15"/>
  <c r="R82" i="15"/>
  <c r="W21" i="1"/>
  <c r="M82" i="15"/>
  <c r="R21" i="1"/>
  <c r="AV271" i="14"/>
  <c r="AO274" i="14"/>
  <c r="AO308" i="14"/>
  <c r="AN308" i="14"/>
  <c r="AM308" i="14"/>
  <c r="AK308" i="14"/>
  <c r="AJ308" i="14"/>
  <c r="AI308" i="14"/>
  <c r="AH308" i="14"/>
  <c r="AF308" i="14"/>
  <c r="AE308" i="14"/>
  <c r="AD308" i="14"/>
  <c r="AC308" i="14"/>
  <c r="AO297" i="14"/>
  <c r="AO290" i="14"/>
  <c r="AO289" i="14"/>
  <c r="AO288" i="14"/>
  <c r="AO281" i="14"/>
  <c r="AO280" i="14"/>
  <c r="AN297" i="14"/>
  <c r="AN290" i="14"/>
  <c r="AN289" i="14"/>
  <c r="AN288" i="14"/>
  <c r="AN281" i="14"/>
  <c r="AN280" i="14"/>
  <c r="AN282" i="14" s="1"/>
  <c r="AU76" i="14"/>
  <c r="AT78" i="14" s="1"/>
  <c r="AP78" i="14"/>
  <c r="AQ78" i="14" s="1"/>
  <c r="AQ74" i="14"/>
  <c r="AS74" i="14"/>
  <c r="AS72" i="14" s="1"/>
  <c r="W35" i="1"/>
  <c r="W51" i="1"/>
  <c r="W39" i="1"/>
  <c r="W40" i="1"/>
  <c r="R35" i="1"/>
  <c r="R39" i="1"/>
  <c r="R40" i="1"/>
  <c r="AQ71" i="14"/>
  <c r="AP72" i="14"/>
  <c r="G49" i="38"/>
  <c r="G50" i="38"/>
  <c r="G57" i="38"/>
  <c r="F50" i="38"/>
  <c r="F57" i="38"/>
  <c r="F49" i="38"/>
  <c r="F56" i="38"/>
  <c r="G48" i="38"/>
  <c r="G55" i="38"/>
  <c r="F48" i="38"/>
  <c r="F55" i="38"/>
  <c r="AN274" i="14"/>
  <c r="AM297" i="14"/>
  <c r="AK297" i="14"/>
  <c r="AF297" i="14"/>
  <c r="AM290" i="14"/>
  <c r="AM289" i="14"/>
  <c r="AM288" i="14"/>
  <c r="AM281" i="14"/>
  <c r="AM280" i="14"/>
  <c r="AM282" i="14" s="1"/>
  <c r="AM274" i="14"/>
  <c r="AO264" i="14"/>
  <c r="AO294" i="14" s="1"/>
  <c r="AO263" i="14"/>
  <c r="AO285" i="14" s="1"/>
  <c r="AN264" i="14"/>
  <c r="AN294" i="14" s="1"/>
  <c r="AN263" i="14"/>
  <c r="AN285" i="14" s="1"/>
  <c r="AM264" i="14"/>
  <c r="AM294" i="14" s="1"/>
  <c r="AM263" i="14"/>
  <c r="AM285" i="14" s="1"/>
  <c r="AK264" i="14"/>
  <c r="AK294" i="14" s="1"/>
  <c r="AK302" i="14" s="1"/>
  <c r="AK263" i="14"/>
  <c r="AK285" i="14" s="1"/>
  <c r="AF264" i="14"/>
  <c r="AF294" i="14" s="1"/>
  <c r="AF302" i="14" s="1"/>
  <c r="AF263" i="14"/>
  <c r="AF285" i="14" s="1"/>
  <c r="AO254" i="14"/>
  <c r="AO253" i="14"/>
  <c r="AO252" i="14"/>
  <c r="AO251" i="14"/>
  <c r="AN254" i="14"/>
  <c r="AN253" i="14"/>
  <c r="AN252" i="14"/>
  <c r="AN251" i="14"/>
  <c r="AM254" i="14"/>
  <c r="AM253" i="14"/>
  <c r="AM252" i="14"/>
  <c r="AM251" i="14"/>
  <c r="AK254" i="14"/>
  <c r="AK253" i="14"/>
  <c r="AK252" i="14"/>
  <c r="AK251" i="14"/>
  <c r="AF254" i="14"/>
  <c r="AF253" i="14"/>
  <c r="AF252" i="14"/>
  <c r="AF251" i="14"/>
  <c r="AO64" i="11"/>
  <c r="AO235" i="11" s="1"/>
  <c r="AF54" i="11"/>
  <c r="AG54" i="11" s="1"/>
  <c r="AK54" i="11"/>
  <c r="AM54" i="11"/>
  <c r="AN54" i="11"/>
  <c r="AN227" i="11" s="1"/>
  <c r="AO54" i="11"/>
  <c r="AO227" i="11" s="1"/>
  <c r="AO47" i="11"/>
  <c r="AO40" i="11"/>
  <c r="AO30" i="11"/>
  <c r="AO298" i="14" s="1"/>
  <c r="AO26" i="11"/>
  <c r="AO265" i="14" s="1"/>
  <c r="AO277" i="14" s="1"/>
  <c r="AN64" i="11"/>
  <c r="AN235" i="11" s="1"/>
  <c r="AN47" i="11"/>
  <c r="AN40" i="11"/>
  <c r="AN30" i="11"/>
  <c r="AN298" i="14" s="1"/>
  <c r="AN26" i="11"/>
  <c r="AN21" i="11"/>
  <c r="AM64" i="11"/>
  <c r="AM235" i="11" s="1"/>
  <c r="AM47" i="11"/>
  <c r="AM40" i="11"/>
  <c r="AM30" i="11"/>
  <c r="AM209" i="11" s="1"/>
  <c r="AM26" i="11"/>
  <c r="AM208" i="11" s="1"/>
  <c r="AM21" i="11"/>
  <c r="AM255" i="14" s="1"/>
  <c r="AL63" i="11"/>
  <c r="AL62" i="11"/>
  <c r="AL59" i="11"/>
  <c r="AL58" i="11"/>
  <c r="AL57" i="11"/>
  <c r="AL153" i="11"/>
  <c r="AL51" i="11"/>
  <c r="AL50" i="11"/>
  <c r="AL46" i="11"/>
  <c r="AL45" i="11"/>
  <c r="AL44" i="11"/>
  <c r="AL43" i="11"/>
  <c r="AL39" i="11"/>
  <c r="AL38" i="11"/>
  <c r="AL37" i="11"/>
  <c r="AL36" i="11"/>
  <c r="AL29" i="11"/>
  <c r="AL297" i="14" s="1"/>
  <c r="AL25" i="11"/>
  <c r="AL264" i="14" s="1"/>
  <c r="AL294" i="14" s="1"/>
  <c r="AL302" i="14" s="1"/>
  <c r="AL24" i="11"/>
  <c r="AL263" i="14" s="1"/>
  <c r="AL285" i="14" s="1"/>
  <c r="AL20" i="11"/>
  <c r="AL254" i="14" s="1"/>
  <c r="AL19" i="11"/>
  <c r="AL253" i="14" s="1"/>
  <c r="AL18" i="11"/>
  <c r="AL252" i="14" s="1"/>
  <c r="AL17" i="11"/>
  <c r="AL251" i="14" s="1"/>
  <c r="AG63" i="11"/>
  <c r="AG62" i="11"/>
  <c r="AG59" i="11"/>
  <c r="AG58" i="11"/>
  <c r="AG57" i="11"/>
  <c r="AG51" i="11"/>
  <c r="AG50" i="11"/>
  <c r="AG46" i="11"/>
  <c r="AG45" i="11"/>
  <c r="AG44" i="11"/>
  <c r="AG43" i="11"/>
  <c r="AG39" i="11"/>
  <c r="AG38" i="11"/>
  <c r="AG37" i="11"/>
  <c r="AG36" i="11"/>
  <c r="AG29" i="11"/>
  <c r="AG297" i="14" s="1"/>
  <c r="AG25" i="11"/>
  <c r="AG264" i="14" s="1"/>
  <c r="AG294" i="14" s="1"/>
  <c r="AG302" i="14" s="1"/>
  <c r="AG24" i="11"/>
  <c r="AG263" i="14" s="1"/>
  <c r="AG285" i="14" s="1"/>
  <c r="AG20" i="11"/>
  <c r="AG254" i="14" s="1"/>
  <c r="AG19" i="11"/>
  <c r="AG253" i="14" s="1"/>
  <c r="AG18" i="11"/>
  <c r="AG252" i="14" s="1"/>
  <c r="AG17" i="11"/>
  <c r="AG251" i="14" s="1"/>
  <c r="AK64" i="11"/>
  <c r="AL64" i="11" s="1"/>
  <c r="AK280" i="11"/>
  <c r="AK184" i="11" s="1"/>
  <c r="AL184" i="11" s="1"/>
  <c r="AF64" i="11"/>
  <c r="AK47" i="11"/>
  <c r="AK226" i="11" s="1"/>
  <c r="AF47" i="11"/>
  <c r="AG47" i="11" s="1"/>
  <c r="AK40" i="11"/>
  <c r="AL40" i="11" s="1"/>
  <c r="AF40" i="11"/>
  <c r="AG40" i="11" s="1"/>
  <c r="AK30" i="11"/>
  <c r="AL30" i="11" s="1"/>
  <c r="AL298" i="14" s="1"/>
  <c r="AF30" i="11"/>
  <c r="AG30" i="11" s="1"/>
  <c r="AK26" i="11"/>
  <c r="AL26" i="11" s="1"/>
  <c r="AL265" i="14" s="1"/>
  <c r="AL277" i="14" s="1"/>
  <c r="AF26" i="11"/>
  <c r="AG26" i="11" s="1"/>
  <c r="AK21" i="11"/>
  <c r="AL21" i="11" s="1"/>
  <c r="AL255" i="14" s="1"/>
  <c r="AF21" i="11"/>
  <c r="AN280" i="11"/>
  <c r="AJ280" i="11"/>
  <c r="AI280" i="11"/>
  <c r="AH280" i="11"/>
  <c r="AF280" i="11"/>
  <c r="AF189" i="11" s="1"/>
  <c r="AG189" i="11" s="1"/>
  <c r="AE280" i="11"/>
  <c r="AD280" i="11"/>
  <c r="AC280" i="11"/>
  <c r="AO156" i="11"/>
  <c r="AO148" i="11"/>
  <c r="AO138" i="11"/>
  <c r="AO140" i="11" s="1"/>
  <c r="AN156" i="11"/>
  <c r="AN148" i="11"/>
  <c r="AN138" i="11"/>
  <c r="AN140" i="11" s="1"/>
  <c r="AM156" i="11"/>
  <c r="AM148" i="11"/>
  <c r="AM138" i="11"/>
  <c r="AM140" i="11" s="1"/>
  <c r="AM177" i="11" s="1"/>
  <c r="AL161" i="11"/>
  <c r="AL155" i="11"/>
  <c r="AL154" i="11"/>
  <c r="AL152" i="11"/>
  <c r="AL151" i="11"/>
  <c r="AL147" i="11"/>
  <c r="AL146" i="11"/>
  <c r="AL145" i="11"/>
  <c r="AL144" i="11"/>
  <c r="AL136" i="11"/>
  <c r="AL135" i="11"/>
  <c r="AL134" i="11"/>
  <c r="AG161" i="11"/>
  <c r="AG155" i="11"/>
  <c r="AG154" i="11"/>
  <c r="AG153" i="11"/>
  <c r="AG152" i="11"/>
  <c r="AG151" i="11"/>
  <c r="AG147" i="11"/>
  <c r="AG146" i="11"/>
  <c r="AG145" i="11"/>
  <c r="AG144" i="11"/>
  <c r="AG136" i="11"/>
  <c r="AG135" i="11"/>
  <c r="AG134" i="11"/>
  <c r="AK156" i="11"/>
  <c r="AL156" i="11" s="1"/>
  <c r="AF156" i="11"/>
  <c r="AG156" i="11" s="1"/>
  <c r="AF148" i="11"/>
  <c r="AG148" i="11" s="1"/>
  <c r="AK148" i="11"/>
  <c r="AF138" i="11"/>
  <c r="AG138" i="11" s="1"/>
  <c r="AG305" i="14" s="1"/>
  <c r="AK138" i="11"/>
  <c r="AL138" i="11" s="1"/>
  <c r="AL305" i="14" s="1"/>
  <c r="Q179" i="1"/>
  <c r="Q138" i="1" s="1"/>
  <c r="R138" i="1" s="1"/>
  <c r="P179" i="1"/>
  <c r="O179" i="1"/>
  <c r="N179" i="1"/>
  <c r="AD179" i="1"/>
  <c r="AC179" i="1"/>
  <c r="Z179" i="1"/>
  <c r="Z156" i="1" s="1"/>
  <c r="Y179" i="1"/>
  <c r="Y123" i="1" s="1"/>
  <c r="X179" i="1"/>
  <c r="X169" i="1" s="1"/>
  <c r="V179" i="1"/>
  <c r="V174" i="1" s="1"/>
  <c r="W174" i="1" s="1"/>
  <c r="U179" i="1"/>
  <c r="T179" i="1"/>
  <c r="S179" i="1"/>
  <c r="Z108" i="1"/>
  <c r="Z111" i="1"/>
  <c r="Z98" i="1"/>
  <c r="Z88" i="1"/>
  <c r="Z75" i="1"/>
  <c r="Z61" i="1"/>
  <c r="Y108" i="1"/>
  <c r="Y111" i="1"/>
  <c r="Y98" i="1"/>
  <c r="Y88" i="1"/>
  <c r="Y100" i="1"/>
  <c r="Y75" i="1"/>
  <c r="Y61" i="1"/>
  <c r="BU45" i="36"/>
  <c r="BT45" i="36"/>
  <c r="BS45" i="36"/>
  <c r="BR45" i="36"/>
  <c r="BQ45" i="36"/>
  <c r="BP45" i="36"/>
  <c r="BO45" i="36"/>
  <c r="BN45" i="36"/>
  <c r="BM45" i="36"/>
  <c r="BL45" i="36"/>
  <c r="BK45" i="36"/>
  <c r="BJ45" i="36"/>
  <c r="BI45" i="36"/>
  <c r="BH45" i="36"/>
  <c r="BG45" i="36"/>
  <c r="BF45" i="36"/>
  <c r="BE45" i="36"/>
  <c r="BD45" i="36"/>
  <c r="BC45" i="36"/>
  <c r="BB45" i="36"/>
  <c r="BA45" i="36"/>
  <c r="AZ45" i="36"/>
  <c r="AY45" i="36"/>
  <c r="AX45" i="36"/>
  <c r="AW45" i="36"/>
  <c r="AV45" i="36"/>
  <c r="AU45" i="36"/>
  <c r="AT45" i="36"/>
  <c r="AS45" i="36"/>
  <c r="AR45" i="36"/>
  <c r="AQ45" i="36"/>
  <c r="AP45" i="36"/>
  <c r="AO45" i="36"/>
  <c r="AN45" i="36"/>
  <c r="AM45" i="36"/>
  <c r="AL45" i="36"/>
  <c r="AK45" i="36"/>
  <c r="AJ45" i="36"/>
  <c r="AI45" i="36"/>
  <c r="AH45" i="36"/>
  <c r="AG45" i="36"/>
  <c r="AF45" i="36"/>
  <c r="AB45" i="36"/>
  <c r="BU43" i="36"/>
  <c r="BT43" i="36"/>
  <c r="BS43" i="36"/>
  <c r="BR43" i="36"/>
  <c r="BQ43" i="36"/>
  <c r="BP43" i="36"/>
  <c r="BO43" i="36"/>
  <c r="BN43" i="36"/>
  <c r="BM43" i="36"/>
  <c r="BL43" i="36"/>
  <c r="BK43" i="36"/>
  <c r="BJ43" i="36"/>
  <c r="BI43" i="36"/>
  <c r="BH43" i="36"/>
  <c r="BG43" i="36"/>
  <c r="BF43" i="36"/>
  <c r="BE43" i="36"/>
  <c r="BD43" i="36"/>
  <c r="BC43" i="36"/>
  <c r="BB43" i="36"/>
  <c r="BA43" i="36"/>
  <c r="AZ43" i="36"/>
  <c r="AY43" i="36"/>
  <c r="AX43" i="36"/>
  <c r="AW43" i="36"/>
  <c r="AV43" i="36"/>
  <c r="AU43" i="36"/>
  <c r="AT43" i="36"/>
  <c r="AS43" i="36"/>
  <c r="AR43" i="36"/>
  <c r="AQ43" i="36"/>
  <c r="AP43" i="36"/>
  <c r="AO43" i="36"/>
  <c r="AN43" i="36"/>
  <c r="AM43" i="36"/>
  <c r="AL43" i="36"/>
  <c r="AK43" i="36"/>
  <c r="AJ43" i="36"/>
  <c r="AI43" i="36"/>
  <c r="AH43" i="36"/>
  <c r="AG43" i="36"/>
  <c r="AF43" i="36"/>
  <c r="AB43" i="36"/>
  <c r="BQ39" i="36"/>
  <c r="BQ117" i="35" s="1"/>
  <c r="AV41" i="36"/>
  <c r="AV155" i="35" s="1"/>
  <c r="AW41" i="36"/>
  <c r="AW155" i="35" s="1"/>
  <c r="BI41" i="36"/>
  <c r="BI155" i="35" s="1"/>
  <c r="BJ41" i="36"/>
  <c r="BJ155" i="35" s="1"/>
  <c r="BK41" i="36"/>
  <c r="BK155" i="35" s="1"/>
  <c r="BO41" i="36"/>
  <c r="BO155" i="35" s="1"/>
  <c r="BP41" i="36"/>
  <c r="BP155" i="35" s="1"/>
  <c r="BQ41" i="36"/>
  <c r="BQ155" i="35" s="1"/>
  <c r="AF39" i="36"/>
  <c r="AF117" i="35" s="1"/>
  <c r="AB39" i="36"/>
  <c r="AB117" i="35" s="1"/>
  <c r="BU41" i="36"/>
  <c r="BU155" i="35" s="1"/>
  <c r="BT41" i="36"/>
  <c r="BT155" i="35" s="1"/>
  <c r="BS41" i="36"/>
  <c r="BS155" i="35" s="1"/>
  <c r="BR41" i="36"/>
  <c r="BR155" i="35" s="1"/>
  <c r="BN41" i="36"/>
  <c r="BN155" i="35" s="1"/>
  <c r="BM41" i="36"/>
  <c r="BM155" i="35" s="1"/>
  <c r="BL41" i="36"/>
  <c r="BL155" i="35" s="1"/>
  <c r="BH41" i="36"/>
  <c r="BH155" i="35" s="1"/>
  <c r="BG41" i="36"/>
  <c r="BG155" i="35" s="1"/>
  <c r="BF41" i="36"/>
  <c r="BF155" i="35" s="1"/>
  <c r="BE41" i="36"/>
  <c r="BE155" i="35" s="1"/>
  <c r="BD41" i="36"/>
  <c r="BD155" i="35" s="1"/>
  <c r="BC41" i="36"/>
  <c r="BC155" i="35" s="1"/>
  <c r="BB41" i="36"/>
  <c r="BB155" i="35" s="1"/>
  <c r="BA41" i="36"/>
  <c r="BA155" i="35" s="1"/>
  <c r="AZ41" i="36"/>
  <c r="AZ155" i="35" s="1"/>
  <c r="AY41" i="36"/>
  <c r="AY155" i="35" s="1"/>
  <c r="AX41" i="36"/>
  <c r="AX155" i="35" s="1"/>
  <c r="AU41" i="36"/>
  <c r="AU155" i="35" s="1"/>
  <c r="AT41" i="36"/>
  <c r="AT155" i="35" s="1"/>
  <c r="AS41" i="36"/>
  <c r="AS155" i="35" s="1"/>
  <c r="AR41" i="36"/>
  <c r="AR155" i="35" s="1"/>
  <c r="AQ41" i="36"/>
  <c r="AQ155" i="35" s="1"/>
  <c r="AP41" i="36"/>
  <c r="AP155" i="35" s="1"/>
  <c r="AO41" i="36"/>
  <c r="AO155" i="35" s="1"/>
  <c r="AN41" i="36"/>
  <c r="AN155" i="35" s="1"/>
  <c r="AM41" i="36"/>
  <c r="AM155" i="35" s="1"/>
  <c r="AL41" i="36"/>
  <c r="AL155" i="35" s="1"/>
  <c r="AK41" i="36"/>
  <c r="AK155" i="35" s="1"/>
  <c r="AJ41" i="36"/>
  <c r="AJ155" i="35" s="1"/>
  <c r="AI41" i="36"/>
  <c r="AI155" i="35" s="1"/>
  <c r="AH41" i="36"/>
  <c r="AH155" i="35" s="1"/>
  <c r="AG41" i="36"/>
  <c r="AG155" i="35" s="1"/>
  <c r="AF41" i="36"/>
  <c r="AF155" i="35" s="1"/>
  <c r="AB41" i="36"/>
  <c r="AB155" i="35" s="1"/>
  <c r="BU39" i="36"/>
  <c r="BU117" i="35" s="1"/>
  <c r="BT39" i="36"/>
  <c r="BT117" i="35" s="1"/>
  <c r="BS39" i="36"/>
  <c r="BS117" i="35" s="1"/>
  <c r="BR39" i="36"/>
  <c r="BR117" i="35" s="1"/>
  <c r="BP39" i="36"/>
  <c r="BP117" i="35" s="1"/>
  <c r="BO39" i="36"/>
  <c r="BO117" i="35" s="1"/>
  <c r="BN39" i="36"/>
  <c r="BN117" i="35" s="1"/>
  <c r="BM39" i="36"/>
  <c r="BM117" i="35" s="1"/>
  <c r="BL39" i="36"/>
  <c r="BL117" i="35" s="1"/>
  <c r="BK39" i="36"/>
  <c r="BK117" i="35" s="1"/>
  <c r="BJ39" i="36"/>
  <c r="BJ117" i="35" s="1"/>
  <c r="BI39" i="36"/>
  <c r="BI117" i="35" s="1"/>
  <c r="BH39" i="36"/>
  <c r="BH117" i="35" s="1"/>
  <c r="BG39" i="36"/>
  <c r="BG117" i="35" s="1"/>
  <c r="BF39" i="36"/>
  <c r="BF117" i="35" s="1"/>
  <c r="BE39" i="36"/>
  <c r="BE117" i="35" s="1"/>
  <c r="BD39" i="36"/>
  <c r="BD117" i="35" s="1"/>
  <c r="BC39" i="36"/>
  <c r="BC117" i="35" s="1"/>
  <c r="BB39" i="36"/>
  <c r="BB117" i="35" s="1"/>
  <c r="BA39" i="36"/>
  <c r="BA117" i="35" s="1"/>
  <c r="AZ39" i="36"/>
  <c r="AZ117" i="35" s="1"/>
  <c r="AY39" i="36"/>
  <c r="AY117" i="35" s="1"/>
  <c r="AX39" i="36"/>
  <c r="AX117" i="35" s="1"/>
  <c r="AW39" i="36"/>
  <c r="AW117" i="35" s="1"/>
  <c r="AV39" i="36"/>
  <c r="AV117" i="35" s="1"/>
  <c r="AU39" i="36"/>
  <c r="AU117" i="35" s="1"/>
  <c r="AT39" i="36"/>
  <c r="AT117" i="35" s="1"/>
  <c r="AS39" i="36"/>
  <c r="AS117" i="35" s="1"/>
  <c r="AR39" i="36"/>
  <c r="AR117" i="35" s="1"/>
  <c r="AQ39" i="36"/>
  <c r="AQ117" i="35" s="1"/>
  <c r="AP39" i="36"/>
  <c r="AP117" i="35" s="1"/>
  <c r="AO39" i="36"/>
  <c r="AO117" i="35" s="1"/>
  <c r="AN39" i="36"/>
  <c r="AN117" i="35" s="1"/>
  <c r="AM39" i="36"/>
  <c r="AM117" i="35" s="1"/>
  <c r="AL39" i="36"/>
  <c r="AL117" i="35" s="1"/>
  <c r="AK39" i="36"/>
  <c r="AK117" i="35" s="1"/>
  <c r="AJ39" i="36"/>
  <c r="AJ117" i="35" s="1"/>
  <c r="AI39" i="36"/>
  <c r="AI117" i="35" s="1"/>
  <c r="AH39" i="36"/>
  <c r="AH117" i="35" s="1"/>
  <c r="AG39" i="36"/>
  <c r="AG117" i="35" s="1"/>
  <c r="AI37" i="36"/>
  <c r="AJ37" i="36"/>
  <c r="AK37" i="36"/>
  <c r="AL37" i="36"/>
  <c r="AM37" i="36"/>
  <c r="AN37" i="36"/>
  <c r="AO37" i="36"/>
  <c r="AP37" i="36"/>
  <c r="AQ37" i="36"/>
  <c r="AR37" i="36"/>
  <c r="AS37" i="36"/>
  <c r="AT37" i="36"/>
  <c r="AU37" i="36"/>
  <c r="AV37" i="36"/>
  <c r="AW37" i="36"/>
  <c r="AX37" i="36"/>
  <c r="AY37" i="36"/>
  <c r="AZ37" i="36"/>
  <c r="BA37" i="36"/>
  <c r="BB37" i="36"/>
  <c r="BC37" i="36"/>
  <c r="BD37" i="36"/>
  <c r="BE37" i="36"/>
  <c r="BF37" i="36"/>
  <c r="BG37" i="36"/>
  <c r="BH37" i="36"/>
  <c r="BI37" i="36"/>
  <c r="BJ37" i="36"/>
  <c r="BK37" i="36"/>
  <c r="BL37" i="36"/>
  <c r="BM37" i="36"/>
  <c r="BN37" i="36"/>
  <c r="BO37" i="36"/>
  <c r="BP37" i="36"/>
  <c r="BQ37" i="36"/>
  <c r="BR37" i="36"/>
  <c r="BS37" i="36"/>
  <c r="BT37" i="36"/>
  <c r="BU37" i="36"/>
  <c r="AH37" i="36"/>
  <c r="AG37" i="36"/>
  <c r="AF37" i="36"/>
  <c r="AB37" i="36"/>
  <c r="BH35" i="36"/>
  <c r="AJ35" i="36"/>
  <c r="BU35" i="36"/>
  <c r="BT35" i="36"/>
  <c r="BS35" i="36"/>
  <c r="BR35" i="36"/>
  <c r="BQ35" i="36"/>
  <c r="BP35" i="36"/>
  <c r="BO35" i="36"/>
  <c r="BN35" i="36"/>
  <c r="BM35" i="36"/>
  <c r="BL35" i="36"/>
  <c r="BK35" i="36"/>
  <c r="BJ35" i="36"/>
  <c r="BI35" i="36"/>
  <c r="BG35" i="36"/>
  <c r="BF35" i="36"/>
  <c r="BE35" i="36"/>
  <c r="BD35" i="36"/>
  <c r="BC35" i="36"/>
  <c r="BB35" i="36"/>
  <c r="BA35" i="36"/>
  <c r="AZ35" i="36"/>
  <c r="AY35" i="36"/>
  <c r="AX35" i="36"/>
  <c r="AW35" i="36"/>
  <c r="AV35" i="36"/>
  <c r="AU35" i="36"/>
  <c r="AT35" i="36"/>
  <c r="AS35" i="36"/>
  <c r="AR35" i="36"/>
  <c r="AQ35" i="36"/>
  <c r="AP35" i="36"/>
  <c r="AO35" i="36"/>
  <c r="AN35" i="36"/>
  <c r="AM35" i="36"/>
  <c r="AL35" i="36"/>
  <c r="AK35" i="36"/>
  <c r="AI35" i="36"/>
  <c r="AH35" i="36"/>
  <c r="AG35" i="36"/>
  <c r="AF35" i="36"/>
  <c r="AB35" i="36"/>
  <c r="AO52" i="36"/>
  <c r="AO165" i="35" s="1"/>
  <c r="AN52" i="36"/>
  <c r="AN165" i="35" s="1"/>
  <c r="AM52" i="36"/>
  <c r="AM165" i="35" s="1"/>
  <c r="AL52" i="36"/>
  <c r="AL165" i="35" s="1"/>
  <c r="AK52" i="36"/>
  <c r="AK165" i="35" s="1"/>
  <c r="AJ52" i="36"/>
  <c r="AJ165" i="35" s="1"/>
  <c r="AI52" i="36"/>
  <c r="AI165" i="35" s="1"/>
  <c r="AH52" i="36"/>
  <c r="AH165" i="35" s="1"/>
  <c r="AO51" i="36"/>
  <c r="AO164" i="35" s="1"/>
  <c r="AN51" i="36"/>
  <c r="AN164" i="35" s="1"/>
  <c r="AM51" i="36"/>
  <c r="AM164" i="35" s="1"/>
  <c r="AL51" i="36"/>
  <c r="AL164" i="35" s="1"/>
  <c r="AK51" i="36"/>
  <c r="AK164" i="35" s="1"/>
  <c r="AJ51" i="36"/>
  <c r="AJ164" i="35" s="1"/>
  <c r="AI51" i="36"/>
  <c r="AI164" i="35" s="1"/>
  <c r="AH51" i="36"/>
  <c r="AH164" i="35" s="1"/>
  <c r="AG52" i="36"/>
  <c r="AG165" i="35" s="1"/>
  <c r="AG51" i="36"/>
  <c r="AG164" i="35" s="1"/>
  <c r="AF52" i="36"/>
  <c r="AF165" i="35" s="1"/>
  <c r="AF51" i="36"/>
  <c r="AF164" i="35" s="1"/>
  <c r="AB52" i="36"/>
  <c r="AB165" i="35" s="1"/>
  <c r="AB51" i="36"/>
  <c r="AB164" i="35" s="1"/>
  <c r="AP33" i="36"/>
  <c r="AP149" i="35" s="1"/>
  <c r="BI33" i="36"/>
  <c r="BI149" i="35" s="1"/>
  <c r="BM29" i="36"/>
  <c r="BM110" i="35" s="1"/>
  <c r="BK30" i="36"/>
  <c r="BK111" i="35" s="1"/>
  <c r="BU33" i="36"/>
  <c r="BU149" i="35" s="1"/>
  <c r="BT33" i="36"/>
  <c r="BT149" i="35" s="1"/>
  <c r="BS33" i="36"/>
  <c r="BS149" i="35" s="1"/>
  <c r="BR33" i="36"/>
  <c r="BR149" i="35" s="1"/>
  <c r="BQ33" i="36"/>
  <c r="BQ149" i="35" s="1"/>
  <c r="BP33" i="36"/>
  <c r="BP149" i="35" s="1"/>
  <c r="BO33" i="36"/>
  <c r="BO149" i="35" s="1"/>
  <c r="BN33" i="36"/>
  <c r="BN149" i="35" s="1"/>
  <c r="BM33" i="36"/>
  <c r="BM149" i="35" s="1"/>
  <c r="BL33" i="36"/>
  <c r="BL149" i="35" s="1"/>
  <c r="BK33" i="36"/>
  <c r="BK149" i="35" s="1"/>
  <c r="BJ33" i="36"/>
  <c r="BJ149" i="35" s="1"/>
  <c r="BH33" i="36"/>
  <c r="BH149" i="35" s="1"/>
  <c r="BG33" i="36"/>
  <c r="BG149" i="35" s="1"/>
  <c r="BF33" i="36"/>
  <c r="BF149" i="35" s="1"/>
  <c r="BE33" i="36"/>
  <c r="BE149" i="35" s="1"/>
  <c r="BD33" i="36"/>
  <c r="BD149" i="35" s="1"/>
  <c r="BC33" i="36"/>
  <c r="BC149" i="35" s="1"/>
  <c r="BB33" i="36"/>
  <c r="BB149" i="35" s="1"/>
  <c r="BA33" i="36"/>
  <c r="BA149" i="35" s="1"/>
  <c r="AZ33" i="36"/>
  <c r="AZ149" i="35" s="1"/>
  <c r="AY33" i="36"/>
  <c r="AY149" i="35" s="1"/>
  <c r="AX33" i="36"/>
  <c r="AX149" i="35" s="1"/>
  <c r="AW33" i="36"/>
  <c r="AW149" i="35" s="1"/>
  <c r="AV33" i="36"/>
  <c r="AV149" i="35" s="1"/>
  <c r="AU33" i="36"/>
  <c r="AU149" i="35" s="1"/>
  <c r="AT33" i="36"/>
  <c r="AT149" i="35" s="1"/>
  <c r="AS33" i="36"/>
  <c r="AS149" i="35" s="1"/>
  <c r="AR33" i="36"/>
  <c r="AR149" i="35" s="1"/>
  <c r="AQ33" i="36"/>
  <c r="AQ149" i="35" s="1"/>
  <c r="AO33" i="36"/>
  <c r="AO149" i="35" s="1"/>
  <c r="AO170" i="35" s="1"/>
  <c r="AN33" i="36"/>
  <c r="AN149" i="35" s="1"/>
  <c r="AN170" i="35" s="1"/>
  <c r="AM33" i="36"/>
  <c r="AM149" i="35" s="1"/>
  <c r="AM170" i="35" s="1"/>
  <c r="AL33" i="36"/>
  <c r="AL149" i="35" s="1"/>
  <c r="AL170" i="35" s="1"/>
  <c r="AK33" i="36"/>
  <c r="AK149" i="35" s="1"/>
  <c r="AK170" i="35" s="1"/>
  <c r="AJ33" i="36"/>
  <c r="AJ149" i="35" s="1"/>
  <c r="AJ170" i="35" s="1"/>
  <c r="AI33" i="36"/>
  <c r="AI149" i="35" s="1"/>
  <c r="AI170" i="35" s="1"/>
  <c r="AH33" i="36"/>
  <c r="AH149" i="35" s="1"/>
  <c r="AH170" i="35" s="1"/>
  <c r="AG33" i="36"/>
  <c r="AG149" i="35" s="1"/>
  <c r="AG170" i="35" s="1"/>
  <c r="AF33" i="36"/>
  <c r="AF149" i="35" s="1"/>
  <c r="AF170" i="35" s="1"/>
  <c r="AB33" i="36"/>
  <c r="AB149" i="35" s="1"/>
  <c r="AB170" i="35" s="1"/>
  <c r="BU30" i="36"/>
  <c r="BU111" i="35" s="1"/>
  <c r="BT30" i="36"/>
  <c r="BT111" i="35" s="1"/>
  <c r="BS30" i="36"/>
  <c r="BS111" i="35" s="1"/>
  <c r="BR30" i="36"/>
  <c r="BR111" i="35" s="1"/>
  <c r="BQ30" i="36"/>
  <c r="BQ111" i="35" s="1"/>
  <c r="BP30" i="36"/>
  <c r="BP111" i="35" s="1"/>
  <c r="BO30" i="36"/>
  <c r="BO111" i="35" s="1"/>
  <c r="BN30" i="36"/>
  <c r="BN111" i="35" s="1"/>
  <c r="BM30" i="36"/>
  <c r="BM111" i="35" s="1"/>
  <c r="BL30" i="36"/>
  <c r="BL111" i="35" s="1"/>
  <c r="BJ30" i="36"/>
  <c r="BJ111" i="35" s="1"/>
  <c r="BI30" i="36"/>
  <c r="BI111" i="35" s="1"/>
  <c r="BH30" i="36"/>
  <c r="BH111" i="35" s="1"/>
  <c r="BG30" i="36"/>
  <c r="BG111" i="35" s="1"/>
  <c r="BF30" i="36"/>
  <c r="BF111" i="35" s="1"/>
  <c r="BE30" i="36"/>
  <c r="BE111" i="35" s="1"/>
  <c r="BD30" i="36"/>
  <c r="BD111" i="35" s="1"/>
  <c r="BC30" i="36"/>
  <c r="BC111" i="35" s="1"/>
  <c r="BB30" i="36"/>
  <c r="BB111" i="35" s="1"/>
  <c r="BA30" i="36"/>
  <c r="BA111" i="35" s="1"/>
  <c r="AZ30" i="36"/>
  <c r="AZ111" i="35" s="1"/>
  <c r="AY30" i="36"/>
  <c r="AY111" i="35" s="1"/>
  <c r="AX30" i="36"/>
  <c r="AX111" i="35" s="1"/>
  <c r="AW30" i="36"/>
  <c r="AW111" i="35" s="1"/>
  <c r="AV30" i="36"/>
  <c r="AV111" i="35" s="1"/>
  <c r="AU30" i="36"/>
  <c r="AU111" i="35" s="1"/>
  <c r="AT30" i="36"/>
  <c r="AT111" i="35" s="1"/>
  <c r="AS30" i="36"/>
  <c r="AS111" i="35" s="1"/>
  <c r="AR30" i="36"/>
  <c r="AR111" i="35" s="1"/>
  <c r="AQ30" i="36"/>
  <c r="AQ111" i="35" s="1"/>
  <c r="AP30" i="36"/>
  <c r="AP111" i="35" s="1"/>
  <c r="AO30" i="36"/>
  <c r="AO111" i="35" s="1"/>
  <c r="AN30" i="36"/>
  <c r="AN111" i="35" s="1"/>
  <c r="AM30" i="36"/>
  <c r="AM111" i="35" s="1"/>
  <c r="AL30" i="36"/>
  <c r="AL111" i="35" s="1"/>
  <c r="AK30" i="36"/>
  <c r="AK111" i="35" s="1"/>
  <c r="AJ30" i="36"/>
  <c r="AJ111" i="35" s="1"/>
  <c r="AI30" i="36"/>
  <c r="AI111" i="35" s="1"/>
  <c r="AH30" i="36"/>
  <c r="AH111" i="35" s="1"/>
  <c r="BU29" i="36"/>
  <c r="BU110" i="35" s="1"/>
  <c r="BT29" i="36"/>
  <c r="BT110" i="35" s="1"/>
  <c r="BS29" i="36"/>
  <c r="BS110" i="35" s="1"/>
  <c r="BR29" i="36"/>
  <c r="BR110" i="35" s="1"/>
  <c r="BQ29" i="36"/>
  <c r="BQ110" i="35" s="1"/>
  <c r="BP29" i="36"/>
  <c r="BP110" i="35" s="1"/>
  <c r="BO29" i="36"/>
  <c r="BO110" i="35" s="1"/>
  <c r="BN29" i="36"/>
  <c r="BN110" i="35" s="1"/>
  <c r="BL29" i="36"/>
  <c r="BL110" i="35" s="1"/>
  <c r="BK29" i="36"/>
  <c r="BK110" i="35" s="1"/>
  <c r="BJ29" i="36"/>
  <c r="BJ110" i="35" s="1"/>
  <c r="BI29" i="36"/>
  <c r="BI110" i="35" s="1"/>
  <c r="BH29" i="36"/>
  <c r="BH110" i="35" s="1"/>
  <c r="BG29" i="36"/>
  <c r="BG110" i="35" s="1"/>
  <c r="BF29" i="36"/>
  <c r="BF110" i="35" s="1"/>
  <c r="BE29" i="36"/>
  <c r="BE110" i="35" s="1"/>
  <c r="BD29" i="36"/>
  <c r="BD110" i="35" s="1"/>
  <c r="BC29" i="36"/>
  <c r="BC110" i="35" s="1"/>
  <c r="BB29" i="36"/>
  <c r="BB110" i="35" s="1"/>
  <c r="BA29" i="36"/>
  <c r="BA110" i="35" s="1"/>
  <c r="AZ29" i="36"/>
  <c r="AZ110" i="35" s="1"/>
  <c r="AY29" i="36"/>
  <c r="AY110" i="35" s="1"/>
  <c r="AX29" i="36"/>
  <c r="AX110" i="35" s="1"/>
  <c r="AW29" i="36"/>
  <c r="AW110" i="35" s="1"/>
  <c r="AV29" i="36"/>
  <c r="AV110" i="35" s="1"/>
  <c r="AU29" i="36"/>
  <c r="AU110" i="35" s="1"/>
  <c r="AT29" i="36"/>
  <c r="AT110" i="35" s="1"/>
  <c r="AS29" i="36"/>
  <c r="AS110" i="35" s="1"/>
  <c r="AR29" i="36"/>
  <c r="AR110" i="35" s="1"/>
  <c r="AQ29" i="36"/>
  <c r="AQ110" i="35" s="1"/>
  <c r="AP29" i="36"/>
  <c r="AP110" i="35" s="1"/>
  <c r="AO29" i="36"/>
  <c r="AO110" i="35" s="1"/>
  <c r="AN29" i="36"/>
  <c r="AN110" i="35" s="1"/>
  <c r="AM29" i="36"/>
  <c r="AM110" i="35" s="1"/>
  <c r="AL29" i="36"/>
  <c r="AL110" i="35" s="1"/>
  <c r="AK29" i="36"/>
  <c r="AK110" i="35" s="1"/>
  <c r="AJ29" i="36"/>
  <c r="AJ110" i="35" s="1"/>
  <c r="AI29" i="36"/>
  <c r="AI110" i="35" s="1"/>
  <c r="AH29" i="36"/>
  <c r="AH110" i="35" s="1"/>
  <c r="AG30" i="36"/>
  <c r="AG111" i="35" s="1"/>
  <c r="AF30" i="36"/>
  <c r="AF111" i="35" s="1"/>
  <c r="AG29" i="36"/>
  <c r="AG110" i="35" s="1"/>
  <c r="AF29" i="36"/>
  <c r="AF110" i="35" s="1"/>
  <c r="AB30" i="36"/>
  <c r="AB111" i="35" s="1"/>
  <c r="AB29" i="36"/>
  <c r="AB110" i="35" s="1"/>
  <c r="BU28" i="36"/>
  <c r="BU109" i="35" s="1"/>
  <c r="BT28" i="36"/>
  <c r="BT109" i="35" s="1"/>
  <c r="BS28" i="36"/>
  <c r="BS109" i="35" s="1"/>
  <c r="BR28" i="36"/>
  <c r="BR109" i="35" s="1"/>
  <c r="BQ28" i="36"/>
  <c r="BQ109" i="35" s="1"/>
  <c r="BP28" i="36"/>
  <c r="BP109" i="35" s="1"/>
  <c r="BO28" i="36"/>
  <c r="BO109" i="35" s="1"/>
  <c r="BN28" i="36"/>
  <c r="BN109" i="35" s="1"/>
  <c r="BM28" i="36"/>
  <c r="BM109" i="35" s="1"/>
  <c r="BL28" i="36"/>
  <c r="BL109" i="35" s="1"/>
  <c r="BK28" i="36"/>
  <c r="BK109" i="35" s="1"/>
  <c r="BJ28" i="36"/>
  <c r="BJ109" i="35" s="1"/>
  <c r="BI28" i="36"/>
  <c r="BI109" i="35" s="1"/>
  <c r="BH28" i="36"/>
  <c r="BH109" i="35" s="1"/>
  <c r="BG28" i="36"/>
  <c r="BG109" i="35" s="1"/>
  <c r="BF28" i="36"/>
  <c r="BF109" i="35" s="1"/>
  <c r="BE28" i="36"/>
  <c r="BE109" i="35" s="1"/>
  <c r="BD28" i="36"/>
  <c r="BD109" i="35" s="1"/>
  <c r="BC28" i="36"/>
  <c r="BC109" i="35" s="1"/>
  <c r="BB28" i="36"/>
  <c r="BB109" i="35" s="1"/>
  <c r="BA28" i="36"/>
  <c r="BA109" i="35" s="1"/>
  <c r="AZ28" i="36"/>
  <c r="AZ109" i="35" s="1"/>
  <c r="AY28" i="36"/>
  <c r="AY109" i="35" s="1"/>
  <c r="AX28" i="36"/>
  <c r="AX109" i="35" s="1"/>
  <c r="AW28" i="36"/>
  <c r="AW109" i="35" s="1"/>
  <c r="AV28" i="36"/>
  <c r="AV109" i="35" s="1"/>
  <c r="AU28" i="36"/>
  <c r="AU109" i="35" s="1"/>
  <c r="AT28" i="36"/>
  <c r="AT109" i="35" s="1"/>
  <c r="AS28" i="36"/>
  <c r="AS109" i="35" s="1"/>
  <c r="AR28" i="36"/>
  <c r="AR109" i="35" s="1"/>
  <c r="AQ28" i="36"/>
  <c r="AQ109" i="35" s="1"/>
  <c r="AP28" i="36"/>
  <c r="AP109" i="35" s="1"/>
  <c r="AO28" i="36"/>
  <c r="AO109" i="35" s="1"/>
  <c r="AN28" i="36"/>
  <c r="AN109" i="35" s="1"/>
  <c r="AM28" i="36"/>
  <c r="AM109" i="35" s="1"/>
  <c r="AL28" i="36"/>
  <c r="AL109" i="35" s="1"/>
  <c r="AK28" i="36"/>
  <c r="AK109" i="35" s="1"/>
  <c r="AJ28" i="36"/>
  <c r="AJ109" i="35" s="1"/>
  <c r="AI28" i="36"/>
  <c r="AI109" i="35" s="1"/>
  <c r="AH28" i="36"/>
  <c r="AH109" i="35" s="1"/>
  <c r="AG28" i="36"/>
  <c r="AG109" i="35" s="1"/>
  <c r="AF28" i="36"/>
  <c r="AF109" i="35" s="1"/>
  <c r="AB28" i="36"/>
  <c r="AB109" i="35" s="1"/>
  <c r="W16" i="1"/>
  <c r="R16" i="1"/>
  <c r="Z18" i="1"/>
  <c r="Y18" i="1"/>
  <c r="X18" i="1"/>
  <c r="V18" i="1"/>
  <c r="U18" i="1"/>
  <c r="T18" i="1"/>
  <c r="S18" i="1"/>
  <c r="Q18" i="1"/>
  <c r="P18" i="1"/>
  <c r="O18" i="1"/>
  <c r="N18" i="1"/>
  <c r="U55" i="15"/>
  <c r="T55" i="15"/>
  <c r="S55" i="15"/>
  <c r="Q55" i="15"/>
  <c r="P55" i="15"/>
  <c r="O55" i="15"/>
  <c r="N55" i="15"/>
  <c r="R15" i="1"/>
  <c r="X14" i="1"/>
  <c r="AL74" i="14"/>
  <c r="AL71" i="14"/>
  <c r="AK72" i="14"/>
  <c r="AH78" i="14"/>
  <c r="AI78" i="14"/>
  <c r="AJ78" i="14"/>
  <c r="AK78" i="14"/>
  <c r="AK80" i="14" s="1"/>
  <c r="AO78" i="14"/>
  <c r="AO80" i="14" s="1"/>
  <c r="AN78" i="14"/>
  <c r="AN80" i="14" s="1"/>
  <c r="AM78" i="14"/>
  <c r="AM80" i="14" s="1"/>
  <c r="AO72" i="14"/>
  <c r="AN72" i="14"/>
  <c r="AM72" i="14"/>
  <c r="AG27" i="14"/>
  <c r="AG26" i="14"/>
  <c r="AG25" i="14"/>
  <c r="AG24" i="14"/>
  <c r="AG23" i="14"/>
  <c r="AG22" i="14"/>
  <c r="AG16" i="14"/>
  <c r="AG19" i="14"/>
  <c r="AG17" i="14"/>
  <c r="AG15" i="14"/>
  <c r="AG12" i="14"/>
  <c r="AG11" i="14"/>
  <c r="AG10" i="14"/>
  <c r="AG9" i="14"/>
  <c r="AG8" i="14"/>
  <c r="AG7" i="14"/>
  <c r="AG6" i="14"/>
  <c r="AF18" i="14"/>
  <c r="AF20" i="14" s="1"/>
  <c r="AE18" i="14"/>
  <c r="P13" i="1" s="1"/>
  <c r="AD18" i="14"/>
  <c r="AD20" i="14" s="1"/>
  <c r="AC18" i="14"/>
  <c r="AC28" i="14" s="1"/>
  <c r="AO18" i="14"/>
  <c r="AO28" i="14" s="1"/>
  <c r="AN18" i="14"/>
  <c r="AN20" i="14" s="1"/>
  <c r="AM18" i="14"/>
  <c r="AM20" i="14" s="1"/>
  <c r="AL27" i="14"/>
  <c r="AL26" i="14"/>
  <c r="R96" i="15" s="1"/>
  <c r="R97" i="15" s="1"/>
  <c r="AL25" i="14"/>
  <c r="AL24" i="14"/>
  <c r="AL23" i="14"/>
  <c r="R79" i="15" s="1"/>
  <c r="AL22" i="14"/>
  <c r="R55" i="15" s="1"/>
  <c r="AK18" i="14"/>
  <c r="AJ18" i="14"/>
  <c r="P71" i="15" s="1"/>
  <c r="AI18" i="14"/>
  <c r="AH18" i="14"/>
  <c r="AL17" i="14"/>
  <c r="AL15" i="14"/>
  <c r="AL12" i="14"/>
  <c r="AL11" i="14"/>
  <c r="AL10" i="14"/>
  <c r="AL9" i="14"/>
  <c r="AL8" i="14"/>
  <c r="AL7" i="14"/>
  <c r="AL6" i="14"/>
  <c r="AL19" i="14"/>
  <c r="X153" i="1"/>
  <c r="Y113" i="1"/>
  <c r="Z77" i="1"/>
  <c r="AR72" i="14"/>
  <c r="H55" i="38"/>
  <c r="H57" i="38"/>
  <c r="H49" i="38"/>
  <c r="G56" i="38"/>
  <c r="G58" i="38"/>
  <c r="G59" i="38"/>
  <c r="G51" i="38"/>
  <c r="H50" i="38"/>
  <c r="H48" i="38"/>
  <c r="Y77" i="1"/>
  <c r="Z100" i="1"/>
  <c r="I48" i="38"/>
  <c r="G52" i="38"/>
  <c r="Z113" i="1"/>
  <c r="Y114" i="1"/>
  <c r="AT71" i="14"/>
  <c r="AU71" i="14" s="1"/>
  <c r="AV71" i="14" s="1"/>
  <c r="AW71" i="14" s="1"/>
  <c r="I55" i="38"/>
  <c r="I57" i="38"/>
  <c r="I49" i="38"/>
  <c r="I56" i="38"/>
  <c r="H56" i="38"/>
  <c r="I50" i="38"/>
  <c r="Z114" i="1"/>
  <c r="AS244" i="14"/>
  <c r="AO244" i="14"/>
  <c r="AN244" i="14"/>
  <c r="AK244" i="14"/>
  <c r="AK37" i="14" s="1"/>
  <c r="AJ244" i="14"/>
  <c r="AI244" i="14"/>
  <c r="AI50" i="14" s="1"/>
  <c r="AH244" i="14"/>
  <c r="AH52" i="14" s="1"/>
  <c r="AF244" i="14"/>
  <c r="AF39" i="14" s="1"/>
  <c r="AE244" i="14"/>
  <c r="AE48" i="14" s="1"/>
  <c r="AD244" i="14"/>
  <c r="AD50" i="14" s="1"/>
  <c r="AC244" i="14"/>
  <c r="AC49" i="14" s="1"/>
  <c r="AA244" i="14"/>
  <c r="Z244" i="14"/>
  <c r="Y244" i="14"/>
  <c r="X244" i="14"/>
  <c r="V244" i="14"/>
  <c r="U244" i="14"/>
  <c r="T244" i="14"/>
  <c r="S244" i="14"/>
  <c r="W14" i="1"/>
  <c r="S14" i="1"/>
  <c r="R14" i="1"/>
  <c r="N14" i="1"/>
  <c r="Z6" i="1"/>
  <c r="Y6" i="1"/>
  <c r="X6" i="1"/>
  <c r="V6" i="1"/>
  <c r="U6" i="1"/>
  <c r="T6" i="1"/>
  <c r="S6" i="1"/>
  <c r="Q6" i="1"/>
  <c r="P6" i="1"/>
  <c r="O6" i="1"/>
  <c r="N6" i="1"/>
  <c r="AU65" i="15"/>
  <c r="AZ65" i="15"/>
  <c r="BE65" i="15"/>
  <c r="AT65" i="15"/>
  <c r="AY65" i="15"/>
  <c r="BD65" i="15"/>
  <c r="AS65" i="15"/>
  <c r="AX65" i="15"/>
  <c r="BC65" i="15"/>
  <c r="AR65" i="15"/>
  <c r="AW65" i="15"/>
  <c r="BB65" i="15"/>
  <c r="U66" i="15"/>
  <c r="T66" i="15"/>
  <c r="S66" i="15"/>
  <c r="Q66" i="15"/>
  <c r="P66" i="15"/>
  <c r="O66" i="15"/>
  <c r="N66" i="15"/>
  <c r="M58" i="15"/>
  <c r="R18" i="1"/>
  <c r="R58" i="15"/>
  <c r="W18" i="1"/>
  <c r="S56" i="15"/>
  <c r="R56" i="15"/>
  <c r="N56" i="15"/>
  <c r="U53" i="15"/>
  <c r="T53" i="15"/>
  <c r="S53" i="15"/>
  <c r="R53" i="15"/>
  <c r="Q53" i="15"/>
  <c r="P53" i="15"/>
  <c r="O53" i="15"/>
  <c r="N53" i="15"/>
  <c r="BU20" i="36"/>
  <c r="BT20" i="36"/>
  <c r="BS20" i="36"/>
  <c r="BR20" i="36"/>
  <c r="BQ20" i="36"/>
  <c r="BU18" i="36"/>
  <c r="BU90" i="35" s="1"/>
  <c r="BT18" i="36"/>
  <c r="BT90" i="35" s="1"/>
  <c r="BS18" i="36"/>
  <c r="BS90" i="35" s="1"/>
  <c r="BR18" i="36"/>
  <c r="BR90" i="35" s="1"/>
  <c r="BQ18" i="36"/>
  <c r="BQ90" i="35" s="1"/>
  <c r="BU17" i="36"/>
  <c r="BU89" i="35" s="1"/>
  <c r="BT17" i="36"/>
  <c r="BT89" i="35" s="1"/>
  <c r="BS17" i="36"/>
  <c r="BS89" i="35" s="1"/>
  <c r="BR17" i="36"/>
  <c r="BR89" i="35" s="1"/>
  <c r="BQ17" i="36"/>
  <c r="BQ89" i="35" s="1"/>
  <c r="BP20" i="36"/>
  <c r="BO20" i="36"/>
  <c r="BN20" i="36"/>
  <c r="BM20" i="36"/>
  <c r="BP18" i="36"/>
  <c r="BP90" i="35" s="1"/>
  <c r="BO18" i="36"/>
  <c r="BO90" i="35" s="1"/>
  <c r="BN18" i="36"/>
  <c r="BN90" i="35" s="1"/>
  <c r="BM18" i="36"/>
  <c r="BM90" i="35" s="1"/>
  <c r="BL18" i="36"/>
  <c r="BL90" i="35" s="1"/>
  <c r="BO17" i="36"/>
  <c r="BO89" i="35" s="1"/>
  <c r="BL17" i="36"/>
  <c r="BL89" i="35" s="1"/>
  <c r="BK20" i="36"/>
  <c r="BJ20" i="36"/>
  <c r="BI20" i="36"/>
  <c r="BK18" i="36"/>
  <c r="BK90" i="35" s="1"/>
  <c r="BJ18" i="36"/>
  <c r="BJ90" i="35" s="1"/>
  <c r="BI18" i="36"/>
  <c r="BI90" i="35" s="1"/>
  <c r="BH18" i="36"/>
  <c r="BH90" i="35" s="1"/>
  <c r="BG18" i="36"/>
  <c r="BG90" i="35" s="1"/>
  <c r="BH17" i="36"/>
  <c r="BH89" i="35" s="1"/>
  <c r="BG17" i="36"/>
  <c r="BG89" i="35" s="1"/>
  <c r="BF20" i="36"/>
  <c r="BE20" i="36"/>
  <c r="BD20" i="36"/>
  <c r="BF18" i="36"/>
  <c r="BF90" i="35" s="1"/>
  <c r="BE18" i="36"/>
  <c r="BE90" i="35" s="1"/>
  <c r="BD18" i="36"/>
  <c r="BD90" i="35" s="1"/>
  <c r="BC18" i="36"/>
  <c r="BC90" i="35" s="1"/>
  <c r="BB18" i="36"/>
  <c r="BB90" i="35" s="1"/>
  <c r="BF17" i="36"/>
  <c r="BF89" i="35" s="1"/>
  <c r="BE17" i="36"/>
  <c r="BE89" i="35" s="1"/>
  <c r="BD17" i="36"/>
  <c r="BD89" i="35" s="1"/>
  <c r="BC17" i="36"/>
  <c r="BC89" i="35" s="1"/>
  <c r="BB17" i="36"/>
  <c r="BB89" i="35" s="1"/>
  <c r="BA20" i="36"/>
  <c r="AZ20" i="36"/>
  <c r="AY20" i="36"/>
  <c r="BA18" i="36"/>
  <c r="BA90" i="35" s="1"/>
  <c r="AZ18" i="36"/>
  <c r="AZ90" i="35" s="1"/>
  <c r="AY18" i="36"/>
  <c r="AY90" i="35" s="1"/>
  <c r="AX18" i="36"/>
  <c r="AX90" i="35" s="1"/>
  <c r="AW18" i="36"/>
  <c r="AW90" i="35" s="1"/>
  <c r="BA17" i="36"/>
  <c r="BA89" i="35" s="1"/>
  <c r="AZ17" i="36"/>
  <c r="AZ89" i="35" s="1"/>
  <c r="AY17" i="36"/>
  <c r="AY89" i="35" s="1"/>
  <c r="AX17" i="36"/>
  <c r="AX89" i="35" s="1"/>
  <c r="AW17" i="36"/>
  <c r="AW89" i="35" s="1"/>
  <c r="AV20" i="36"/>
  <c r="AU20" i="36"/>
  <c r="AT20" i="36"/>
  <c r="AS20" i="36"/>
  <c r="AR20" i="36"/>
  <c r="AV18" i="36"/>
  <c r="AV90" i="35" s="1"/>
  <c r="AU18" i="36"/>
  <c r="AU90" i="35" s="1"/>
  <c r="AT18" i="36"/>
  <c r="AT90" i="35" s="1"/>
  <c r="AS18" i="36"/>
  <c r="AS90" i="35" s="1"/>
  <c r="AR18" i="36"/>
  <c r="AR90" i="35" s="1"/>
  <c r="AT17" i="36"/>
  <c r="AT89" i="35" s="1"/>
  <c r="AS17" i="36"/>
  <c r="AS89" i="35" s="1"/>
  <c r="AR17" i="36"/>
  <c r="AR89" i="35" s="1"/>
  <c r="AQ20" i="36"/>
  <c r="AP20" i="36"/>
  <c r="AO20" i="36"/>
  <c r="AN20" i="36"/>
  <c r="AM20" i="36"/>
  <c r="AQ18" i="36"/>
  <c r="AQ90" i="35" s="1"/>
  <c r="AP18" i="36"/>
  <c r="AP90" i="35" s="1"/>
  <c r="AO18" i="36"/>
  <c r="AO90" i="35" s="1"/>
  <c r="AN18" i="36"/>
  <c r="AN90" i="35" s="1"/>
  <c r="AM18" i="36"/>
  <c r="AM90" i="35" s="1"/>
  <c r="AM17" i="36"/>
  <c r="AM89" i="35" s="1"/>
  <c r="AK18" i="36"/>
  <c r="AK90" i="35" s="1"/>
  <c r="AK17" i="36"/>
  <c r="AK89" i="35" s="1"/>
  <c r="AJ20" i="36"/>
  <c r="AJ18" i="36"/>
  <c r="AJ90" i="35" s="1"/>
  <c r="AI20" i="36"/>
  <c r="AI18" i="36"/>
  <c r="AI90" i="35" s="1"/>
  <c r="AI17" i="36"/>
  <c r="AI89" i="35" s="1"/>
  <c r="AH20" i="36"/>
  <c r="AH18" i="36"/>
  <c r="AH90" i="35" s="1"/>
  <c r="AH17" i="36"/>
  <c r="AH89" i="35" s="1"/>
  <c r="AF20" i="36"/>
  <c r="AF18" i="36"/>
  <c r="AF90" i="35" s="1"/>
  <c r="AL20" i="36"/>
  <c r="AL18" i="36"/>
  <c r="AL90" i="35" s="1"/>
  <c r="AG18" i="36"/>
  <c r="AG90" i="35" s="1"/>
  <c r="AG17" i="36"/>
  <c r="AG89" i="35" s="1"/>
  <c r="AB20" i="36"/>
  <c r="AB18" i="36"/>
  <c r="AB90" i="35" s="1"/>
  <c r="AB17" i="36"/>
  <c r="AB89" i="35" s="1"/>
  <c r="BU25" i="36"/>
  <c r="BU136" i="35" s="1"/>
  <c r="BT25" i="36"/>
  <c r="BT136" i="35" s="1"/>
  <c r="BS25" i="36"/>
  <c r="BS136" i="35" s="1"/>
  <c r="BR25" i="36"/>
  <c r="BR136" i="35" s="1"/>
  <c r="BQ25" i="36"/>
  <c r="BQ136" i="35" s="1"/>
  <c r="BU24" i="36"/>
  <c r="BU135" i="35" s="1"/>
  <c r="BT24" i="36"/>
  <c r="BT135" i="35" s="1"/>
  <c r="BS24" i="36"/>
  <c r="BS135" i="35" s="1"/>
  <c r="BR24" i="36"/>
  <c r="BR135" i="35" s="1"/>
  <c r="BQ24" i="36"/>
  <c r="BQ135" i="35" s="1"/>
  <c r="BU23" i="36"/>
  <c r="BU134" i="35" s="1"/>
  <c r="BT23" i="36"/>
  <c r="BT134" i="35" s="1"/>
  <c r="BS23" i="36"/>
  <c r="BS134" i="35" s="1"/>
  <c r="BR23" i="36"/>
  <c r="BR134" i="35" s="1"/>
  <c r="BQ23" i="36"/>
  <c r="BQ134" i="35" s="1"/>
  <c r="BP25" i="36"/>
  <c r="BP136" i="35" s="1"/>
  <c r="BO25" i="36"/>
  <c r="BO136" i="35" s="1"/>
  <c r="BN25" i="36"/>
  <c r="BN136" i="35" s="1"/>
  <c r="BM25" i="36"/>
  <c r="BM136" i="35" s="1"/>
  <c r="BL25" i="36"/>
  <c r="BL136" i="35" s="1"/>
  <c r="BP24" i="36"/>
  <c r="BP135" i="35" s="1"/>
  <c r="BO24" i="36"/>
  <c r="BO135" i="35" s="1"/>
  <c r="BN24" i="36"/>
  <c r="BN135" i="35" s="1"/>
  <c r="BM24" i="36"/>
  <c r="BM135" i="35" s="1"/>
  <c r="BL24" i="36"/>
  <c r="BL135" i="35" s="1"/>
  <c r="BP23" i="36"/>
  <c r="BP134" i="35" s="1"/>
  <c r="BO23" i="36"/>
  <c r="BO134" i="35" s="1"/>
  <c r="BN23" i="36"/>
  <c r="BN134" i="35" s="1"/>
  <c r="BM23" i="36"/>
  <c r="BM134" i="35" s="1"/>
  <c r="BL23" i="36"/>
  <c r="BL134" i="35" s="1"/>
  <c r="BK25" i="36"/>
  <c r="BK136" i="35" s="1"/>
  <c r="BJ25" i="36"/>
  <c r="BJ136" i="35" s="1"/>
  <c r="BI25" i="36"/>
  <c r="BI136" i="35" s="1"/>
  <c r="BH25" i="36"/>
  <c r="BH136" i="35" s="1"/>
  <c r="BG25" i="36"/>
  <c r="BG136" i="35" s="1"/>
  <c r="BK24" i="36"/>
  <c r="BK135" i="35" s="1"/>
  <c r="BJ24" i="36"/>
  <c r="BJ135" i="35" s="1"/>
  <c r="BI24" i="36"/>
  <c r="BI135" i="35" s="1"/>
  <c r="BH24" i="36"/>
  <c r="BH135" i="35" s="1"/>
  <c r="BG24" i="36"/>
  <c r="BG135" i="35" s="1"/>
  <c r="BK23" i="36"/>
  <c r="BK134" i="35" s="1"/>
  <c r="BJ23" i="36"/>
  <c r="BJ134" i="35" s="1"/>
  <c r="BI23" i="36"/>
  <c r="BI134" i="35" s="1"/>
  <c r="BH23" i="36"/>
  <c r="BH134" i="35" s="1"/>
  <c r="BG23" i="36"/>
  <c r="BG134" i="35" s="1"/>
  <c r="BF25" i="36"/>
  <c r="BF136" i="35" s="1"/>
  <c r="BE25" i="36"/>
  <c r="BE136" i="35" s="1"/>
  <c r="BD25" i="36"/>
  <c r="BD136" i="35" s="1"/>
  <c r="BC25" i="36"/>
  <c r="BC136" i="35" s="1"/>
  <c r="BB25" i="36"/>
  <c r="BB136" i="35" s="1"/>
  <c r="BF24" i="36"/>
  <c r="BF135" i="35" s="1"/>
  <c r="BE24" i="36"/>
  <c r="BE135" i="35" s="1"/>
  <c r="BD24" i="36"/>
  <c r="BD135" i="35" s="1"/>
  <c r="BC24" i="36"/>
  <c r="BC135" i="35" s="1"/>
  <c r="BB24" i="36"/>
  <c r="BB135" i="35" s="1"/>
  <c r="BF23" i="36"/>
  <c r="BF134" i="35" s="1"/>
  <c r="BE23" i="36"/>
  <c r="BE134" i="35" s="1"/>
  <c r="BD23" i="36"/>
  <c r="BD134" i="35" s="1"/>
  <c r="BC23" i="36"/>
  <c r="BC134" i="35" s="1"/>
  <c r="BB23" i="36"/>
  <c r="BB134" i="35" s="1"/>
  <c r="BA25" i="36"/>
  <c r="BA136" i="35" s="1"/>
  <c r="AZ25" i="36"/>
  <c r="AZ136" i="35" s="1"/>
  <c r="AY25" i="36"/>
  <c r="AY136" i="35" s="1"/>
  <c r="AX25" i="36"/>
  <c r="AX136" i="35" s="1"/>
  <c r="AW25" i="36"/>
  <c r="AW136" i="35" s="1"/>
  <c r="BA24" i="36"/>
  <c r="BA135" i="35" s="1"/>
  <c r="AZ24" i="36"/>
  <c r="AZ135" i="35" s="1"/>
  <c r="AY24" i="36"/>
  <c r="AY135" i="35" s="1"/>
  <c r="AX24" i="36"/>
  <c r="AX135" i="35" s="1"/>
  <c r="AW24" i="36"/>
  <c r="AW135" i="35" s="1"/>
  <c r="BA23" i="36"/>
  <c r="BA134" i="35" s="1"/>
  <c r="AZ23" i="36"/>
  <c r="AZ134" i="35" s="1"/>
  <c r="AY23" i="36"/>
  <c r="AY134" i="35" s="1"/>
  <c r="AX23" i="36"/>
  <c r="AX134" i="35" s="1"/>
  <c r="AW23" i="36"/>
  <c r="AW134" i="35" s="1"/>
  <c r="AV25" i="36"/>
  <c r="AV136" i="35" s="1"/>
  <c r="AU25" i="36"/>
  <c r="AU136" i="35" s="1"/>
  <c r="AT25" i="36"/>
  <c r="AT136" i="35" s="1"/>
  <c r="AS25" i="36"/>
  <c r="AS136" i="35" s="1"/>
  <c r="AR25" i="36"/>
  <c r="AR136" i="35" s="1"/>
  <c r="AV24" i="36"/>
  <c r="AV135" i="35" s="1"/>
  <c r="AU24" i="36"/>
  <c r="AU135" i="35" s="1"/>
  <c r="AT24" i="36"/>
  <c r="AT135" i="35" s="1"/>
  <c r="AS24" i="36"/>
  <c r="AS135" i="35" s="1"/>
  <c r="AR24" i="36"/>
  <c r="AR135" i="35" s="1"/>
  <c r="AV23" i="36"/>
  <c r="AV134" i="35" s="1"/>
  <c r="AU23" i="36"/>
  <c r="AU134" i="35" s="1"/>
  <c r="AT23" i="36"/>
  <c r="AT134" i="35" s="1"/>
  <c r="AS23" i="36"/>
  <c r="AS134" i="35" s="1"/>
  <c r="AR23" i="36"/>
  <c r="AR134" i="35" s="1"/>
  <c r="AQ25" i="36"/>
  <c r="AQ136" i="35" s="1"/>
  <c r="AP25" i="36"/>
  <c r="AP136" i="35" s="1"/>
  <c r="AO25" i="36"/>
  <c r="AO136" i="35" s="1"/>
  <c r="AN25" i="36"/>
  <c r="AN136" i="35" s="1"/>
  <c r="AM25" i="36"/>
  <c r="AM136" i="35" s="1"/>
  <c r="AQ24" i="36"/>
  <c r="AQ135" i="35" s="1"/>
  <c r="AP24" i="36"/>
  <c r="AP135" i="35" s="1"/>
  <c r="AO24" i="36"/>
  <c r="AO135" i="35" s="1"/>
  <c r="AN24" i="36"/>
  <c r="AN135" i="35" s="1"/>
  <c r="AM24" i="36"/>
  <c r="AM135" i="35" s="1"/>
  <c r="AQ23" i="36"/>
  <c r="AQ134" i="35" s="1"/>
  <c r="AP23" i="36"/>
  <c r="AP134" i="35" s="1"/>
  <c r="AO23" i="36"/>
  <c r="AO134" i="35" s="1"/>
  <c r="AN23" i="36"/>
  <c r="AN134" i="35" s="1"/>
  <c r="AM23" i="36"/>
  <c r="AM134" i="35" s="1"/>
  <c r="AL25" i="36"/>
  <c r="AL136" i="35" s="1"/>
  <c r="AL24" i="36"/>
  <c r="AL135" i="35" s="1"/>
  <c r="AL23" i="36"/>
  <c r="AL134" i="35" s="1"/>
  <c r="AK25" i="36"/>
  <c r="AK136" i="35" s="1"/>
  <c r="AK24" i="36"/>
  <c r="AK135" i="35" s="1"/>
  <c r="AK23" i="36"/>
  <c r="AK134" i="35" s="1"/>
  <c r="AJ25" i="36"/>
  <c r="AJ136" i="35" s="1"/>
  <c r="AJ24" i="36"/>
  <c r="AJ135" i="35" s="1"/>
  <c r="AJ23" i="36"/>
  <c r="AJ134" i="35" s="1"/>
  <c r="AI25" i="36"/>
  <c r="AI136" i="35" s="1"/>
  <c r="AI24" i="36"/>
  <c r="AI135" i="35" s="1"/>
  <c r="AI23" i="36"/>
  <c r="AI134" i="35" s="1"/>
  <c r="AH25" i="36"/>
  <c r="AH136" i="35" s="1"/>
  <c r="AH24" i="36"/>
  <c r="AH135" i="35" s="1"/>
  <c r="AH23" i="36"/>
  <c r="AH134" i="35" s="1"/>
  <c r="AF25" i="36"/>
  <c r="AF136" i="35" s="1"/>
  <c r="AF24" i="36"/>
  <c r="AF135" i="35" s="1"/>
  <c r="AF23" i="36"/>
  <c r="AF134" i="35" s="1"/>
  <c r="AG25" i="36"/>
  <c r="AG136" i="35" s="1"/>
  <c r="AG24" i="36"/>
  <c r="AG135" i="35" s="1"/>
  <c r="AG23" i="36"/>
  <c r="AG134" i="35" s="1"/>
  <c r="AB25" i="36"/>
  <c r="AB136" i="35" s="1"/>
  <c r="AB24" i="36"/>
  <c r="AB135" i="35" s="1"/>
  <c r="AB23" i="36"/>
  <c r="AB134" i="35" s="1"/>
  <c r="U49" i="15"/>
  <c r="T49" i="15"/>
  <c r="S49" i="15"/>
  <c r="Q49" i="15"/>
  <c r="P49" i="15"/>
  <c r="O49" i="15"/>
  <c r="N49" i="15"/>
  <c r="L49" i="15"/>
  <c r="K49" i="15"/>
  <c r="J49" i="15"/>
  <c r="I49" i="15"/>
  <c r="AF42" i="15"/>
  <c r="AK42" i="15"/>
  <c r="AE42" i="15"/>
  <c r="AJ42" i="15"/>
  <c r="AO42" i="15"/>
  <c r="AD42" i="15"/>
  <c r="AI42" i="15"/>
  <c r="AN42" i="15"/>
  <c r="AC42" i="15"/>
  <c r="AH42" i="15"/>
  <c r="AM42" i="15"/>
  <c r="U43" i="15"/>
  <c r="T43" i="15"/>
  <c r="S43" i="15"/>
  <c r="Q43" i="15"/>
  <c r="P43" i="15"/>
  <c r="O43" i="15"/>
  <c r="N43" i="15"/>
  <c r="L43" i="15"/>
  <c r="K43" i="15"/>
  <c r="J43" i="15"/>
  <c r="I43" i="15"/>
  <c r="U30" i="15"/>
  <c r="Z7" i="1"/>
  <c r="T30" i="15"/>
  <c r="Y7" i="1"/>
  <c r="S30" i="15"/>
  <c r="X7" i="1"/>
  <c r="Q30" i="15"/>
  <c r="V7" i="1"/>
  <c r="P30" i="15"/>
  <c r="U7" i="1"/>
  <c r="O30" i="15"/>
  <c r="T7" i="1"/>
  <c r="N30" i="15"/>
  <c r="S7" i="1"/>
  <c r="L30" i="15"/>
  <c r="Q7" i="1"/>
  <c r="K30" i="15"/>
  <c r="P7" i="1"/>
  <c r="J30" i="15"/>
  <c r="O7" i="1"/>
  <c r="I30" i="15"/>
  <c r="N7" i="1"/>
  <c r="R37" i="15"/>
  <c r="M37" i="15"/>
  <c r="M49" i="15"/>
  <c r="I34" i="15"/>
  <c r="Y14" i="27"/>
  <c r="AC13" i="27"/>
  <c r="AC14" i="27"/>
  <c r="AB13" i="27"/>
  <c r="AB14" i="27"/>
  <c r="AA13" i="27"/>
  <c r="AA14" i="27"/>
  <c r="Z13" i="27"/>
  <c r="Z14" i="27"/>
  <c r="Y13" i="27"/>
  <c r="AC11" i="27"/>
  <c r="AB11" i="27"/>
  <c r="AB9" i="27"/>
  <c r="AA11" i="27"/>
  <c r="Z11" i="27"/>
  <c r="AA9" i="27"/>
  <c r="Z9" i="27"/>
  <c r="Y11" i="27"/>
  <c r="BU13" i="36"/>
  <c r="BU130" i="35" s="1"/>
  <c r="BT13" i="36"/>
  <c r="BT130" i="35" s="1"/>
  <c r="BS13" i="36"/>
  <c r="BS130" i="35" s="1"/>
  <c r="BR13" i="36"/>
  <c r="BR130" i="35" s="1"/>
  <c r="BU10" i="36"/>
  <c r="BT10" i="36"/>
  <c r="BT85" i="35" s="1"/>
  <c r="BS10" i="36"/>
  <c r="BS85" i="35" s="1"/>
  <c r="BR10" i="36"/>
  <c r="BR85" i="35" s="1"/>
  <c r="BQ10" i="36"/>
  <c r="BQ85" i="35" s="1"/>
  <c r="BP13" i="36"/>
  <c r="BO13" i="36"/>
  <c r="BO130" i="35" s="1"/>
  <c r="BN13" i="36"/>
  <c r="BM13" i="36"/>
  <c r="BM130" i="35" s="1"/>
  <c r="BL13" i="36"/>
  <c r="BL130" i="35" s="1"/>
  <c r="BP10" i="36"/>
  <c r="BP85" i="35" s="1"/>
  <c r="BO10" i="36"/>
  <c r="BN10" i="36"/>
  <c r="BN85" i="35" s="1"/>
  <c r="BM10" i="36"/>
  <c r="BL10" i="36"/>
  <c r="BL85" i="35" s="1"/>
  <c r="BK13" i="36"/>
  <c r="BK130" i="35" s="1"/>
  <c r="BJ13" i="36"/>
  <c r="BI13" i="36"/>
  <c r="BI130" i="35" s="1"/>
  <c r="BH13" i="36"/>
  <c r="BH130" i="35" s="1"/>
  <c r="BG13" i="36"/>
  <c r="BK10" i="36"/>
  <c r="BJ10" i="36"/>
  <c r="BJ85" i="35" s="1"/>
  <c r="BI10" i="36"/>
  <c r="BI85" i="35" s="1"/>
  <c r="BH10" i="36"/>
  <c r="BH85" i="35" s="1"/>
  <c r="BG10" i="36"/>
  <c r="BG85" i="35" s="1"/>
  <c r="BF13" i="36"/>
  <c r="BF130" i="35" s="1"/>
  <c r="BE13" i="36"/>
  <c r="BE130" i="35" s="1"/>
  <c r="BC13" i="36"/>
  <c r="BC130" i="35" s="1"/>
  <c r="BB13" i="36"/>
  <c r="BB130" i="35" s="1"/>
  <c r="BF10" i="36"/>
  <c r="BF85" i="35" s="1"/>
  <c r="BD10" i="36"/>
  <c r="BD85" i="35" s="1"/>
  <c r="BC10" i="36"/>
  <c r="BC85" i="35" s="1"/>
  <c r="BB10" i="36"/>
  <c r="BB85" i="35" s="1"/>
  <c r="BA13" i="36"/>
  <c r="BA130" i="35" s="1"/>
  <c r="AZ13" i="36"/>
  <c r="AZ130" i="35" s="1"/>
  <c r="AY13" i="36"/>
  <c r="AX13" i="36"/>
  <c r="AX130" i="35" s="1"/>
  <c r="BA10" i="36"/>
  <c r="BA85" i="35" s="1"/>
  <c r="AZ10" i="36"/>
  <c r="AX10" i="36"/>
  <c r="AW10" i="36"/>
  <c r="AW85" i="35" s="1"/>
  <c r="AV13" i="36"/>
  <c r="AV130" i="35" s="1"/>
  <c r="AU13" i="36"/>
  <c r="AU130" i="35" s="1"/>
  <c r="AT13" i="36"/>
  <c r="AT130" i="35" s="1"/>
  <c r="AS13" i="36"/>
  <c r="AS130" i="35" s="1"/>
  <c r="AR13" i="36"/>
  <c r="AV10" i="36"/>
  <c r="AV85" i="35" s="1"/>
  <c r="AU10" i="36"/>
  <c r="AU85" i="35" s="1"/>
  <c r="AT10" i="36"/>
  <c r="AT85" i="35" s="1"/>
  <c r="AS10" i="36"/>
  <c r="AR10" i="36"/>
  <c r="AR85" i="35" s="1"/>
  <c r="AQ13" i="36"/>
  <c r="AQ130" i="35" s="1"/>
  <c r="AP13" i="36"/>
  <c r="AP130" i="35" s="1"/>
  <c r="AO13" i="36"/>
  <c r="AO130" i="35" s="1"/>
  <c r="AN13" i="36"/>
  <c r="AM13" i="36"/>
  <c r="AM130" i="35" s="1"/>
  <c r="AQ10" i="36"/>
  <c r="AQ85" i="35" s="1"/>
  <c r="AP10" i="36"/>
  <c r="AP85" i="35" s="1"/>
  <c r="AO10" i="36"/>
  <c r="AO85" i="35" s="1"/>
  <c r="AN10" i="36"/>
  <c r="AM10" i="36"/>
  <c r="AM85" i="35" s="1"/>
  <c r="AL13" i="36"/>
  <c r="AK13" i="36"/>
  <c r="AI13" i="36"/>
  <c r="AI130" i="35" s="1"/>
  <c r="AH13" i="36"/>
  <c r="AH130" i="35" s="1"/>
  <c r="AL10" i="36"/>
  <c r="AL85" i="35" s="1"/>
  <c r="AK10" i="36"/>
  <c r="AK85" i="35" s="1"/>
  <c r="AJ10" i="36"/>
  <c r="AJ85" i="35" s="1"/>
  <c r="AI10" i="36"/>
  <c r="AI85" i="35" s="1"/>
  <c r="AH10" i="36"/>
  <c r="AH85" i="35" s="1"/>
  <c r="AG13" i="36"/>
  <c r="AG130" i="35" s="1"/>
  <c r="AF13" i="36"/>
  <c r="AF130" i="35" s="1"/>
  <c r="AG10" i="36"/>
  <c r="AG85" i="35" s="1"/>
  <c r="AF10" i="36"/>
  <c r="AF85" i="35" s="1"/>
  <c r="AB13" i="36"/>
  <c r="AB130" i="35" s="1"/>
  <c r="AB10" i="36"/>
  <c r="AB85" i="35" s="1"/>
  <c r="U23" i="15"/>
  <c r="T23" i="15"/>
  <c r="S23" i="15"/>
  <c r="O23" i="15"/>
  <c r="P23" i="15"/>
  <c r="Q23" i="15"/>
  <c r="N23" i="15"/>
  <c r="AK16" i="15"/>
  <c r="AP16" i="15"/>
  <c r="AJ16" i="15"/>
  <c r="AO16" i="15"/>
  <c r="AT16" i="15"/>
  <c r="AY16" i="15"/>
  <c r="BD16" i="15"/>
  <c r="AI16" i="15"/>
  <c r="AN16" i="15"/>
  <c r="AS16" i="15"/>
  <c r="AX16" i="15"/>
  <c r="BC16" i="15"/>
  <c r="AH16" i="15"/>
  <c r="AM16" i="15"/>
  <c r="AR16" i="15"/>
  <c r="AW16" i="15"/>
  <c r="BB16" i="15"/>
  <c r="U9" i="15"/>
  <c r="U17" i="15"/>
  <c r="T17" i="15"/>
  <c r="S17" i="15"/>
  <c r="Q17" i="15"/>
  <c r="P17" i="15"/>
  <c r="O17" i="15"/>
  <c r="N17" i="15"/>
  <c r="R11" i="15"/>
  <c r="M11" i="15"/>
  <c r="T9" i="15"/>
  <c r="S9" i="15"/>
  <c r="Q9" i="15"/>
  <c r="P9" i="15"/>
  <c r="O9" i="15"/>
  <c r="N9" i="15"/>
  <c r="L9" i="15"/>
  <c r="K9" i="15"/>
  <c r="J9" i="15"/>
  <c r="I9" i="15"/>
  <c r="U8" i="15"/>
  <c r="T8" i="15"/>
  <c r="S8" i="15"/>
  <c r="R8" i="15"/>
  <c r="Q8" i="15"/>
  <c r="P8" i="15"/>
  <c r="O8" i="15"/>
  <c r="N8" i="15"/>
  <c r="M8" i="15"/>
  <c r="L8" i="15"/>
  <c r="K8" i="15"/>
  <c r="J8" i="15"/>
  <c r="I8" i="15"/>
  <c r="AO11" i="35"/>
  <c r="AN11" i="35"/>
  <c r="AM11" i="35"/>
  <c r="AO76" i="35"/>
  <c r="AN76" i="35"/>
  <c r="AM76" i="35"/>
  <c r="AO75" i="35"/>
  <c r="AN75" i="35"/>
  <c r="AM75" i="35"/>
  <c r="AK76" i="35"/>
  <c r="AJ76" i="35"/>
  <c r="AI76" i="35"/>
  <c r="AH76" i="35"/>
  <c r="AK75" i="35"/>
  <c r="AJ75" i="35"/>
  <c r="AI75" i="35"/>
  <c r="AH75" i="35"/>
  <c r="AF76" i="35"/>
  <c r="AE76" i="35"/>
  <c r="AD76" i="35"/>
  <c r="AC76" i="35"/>
  <c r="AF75" i="35"/>
  <c r="AE75" i="35"/>
  <c r="AD75" i="35"/>
  <c r="AC75" i="35"/>
  <c r="AL71" i="35"/>
  <c r="AL70" i="35"/>
  <c r="AK72" i="35"/>
  <c r="AO72" i="35"/>
  <c r="AN72" i="35"/>
  <c r="AM72" i="35"/>
  <c r="AJ72" i="35"/>
  <c r="AI72" i="35"/>
  <c r="AH72" i="35"/>
  <c r="AF72" i="35"/>
  <c r="AE72" i="35"/>
  <c r="AD72" i="35"/>
  <c r="AC72" i="35"/>
  <c r="AG71" i="35"/>
  <c r="AG70" i="35"/>
  <c r="AB70" i="35"/>
  <c r="AB71" i="35"/>
  <c r="X72" i="35"/>
  <c r="Y72" i="35"/>
  <c r="Z72" i="35"/>
  <c r="AA72" i="35"/>
  <c r="BU7" i="36"/>
  <c r="BU61" i="35" s="1"/>
  <c r="BT7" i="36"/>
  <c r="BT61" i="35" s="1"/>
  <c r="BT71" i="35" s="1"/>
  <c r="BS7" i="36"/>
  <c r="BS61" i="35" s="1"/>
  <c r="BS71" i="35" s="1"/>
  <c r="BR7" i="36"/>
  <c r="BR61" i="35" s="1"/>
  <c r="BR71" i="35" s="1"/>
  <c r="BQ7" i="36"/>
  <c r="BQ61" i="35" s="1"/>
  <c r="BQ71" i="35" s="1"/>
  <c r="BU6" i="36"/>
  <c r="BU60" i="35" s="1"/>
  <c r="BT6" i="36"/>
  <c r="BT60" i="35" s="1"/>
  <c r="BT70" i="35" s="1"/>
  <c r="BS6" i="36"/>
  <c r="BS60" i="35" s="1"/>
  <c r="BS70" i="35" s="1"/>
  <c r="BR6" i="36"/>
  <c r="BR60" i="35" s="1"/>
  <c r="BR70" i="35" s="1"/>
  <c r="BQ6" i="36"/>
  <c r="BQ60" i="35" s="1"/>
  <c r="BQ70" i="35" s="1"/>
  <c r="BP7" i="36"/>
  <c r="BP61" i="35" s="1"/>
  <c r="BO7" i="36"/>
  <c r="BO61" i="35" s="1"/>
  <c r="BO71" i="35" s="1"/>
  <c r="BN7" i="36"/>
  <c r="BN61" i="35" s="1"/>
  <c r="BN71" i="35" s="1"/>
  <c r="BM7" i="36"/>
  <c r="BM61" i="35" s="1"/>
  <c r="BM71" i="35" s="1"/>
  <c r="BL7" i="36"/>
  <c r="BL61" i="35" s="1"/>
  <c r="BL71" i="35" s="1"/>
  <c r="BP6" i="36"/>
  <c r="BP60" i="35" s="1"/>
  <c r="BO6" i="36"/>
  <c r="BO60" i="35" s="1"/>
  <c r="BO70" i="35" s="1"/>
  <c r="BN6" i="36"/>
  <c r="BN60" i="35" s="1"/>
  <c r="BN70" i="35" s="1"/>
  <c r="BM6" i="36"/>
  <c r="BM60" i="35" s="1"/>
  <c r="BM70" i="35" s="1"/>
  <c r="BL6" i="36"/>
  <c r="BL60" i="35" s="1"/>
  <c r="BL70" i="35" s="1"/>
  <c r="BG7" i="36"/>
  <c r="BG61" i="35" s="1"/>
  <c r="BG71" i="35" s="1"/>
  <c r="BK6" i="36"/>
  <c r="BK60" i="35" s="1"/>
  <c r="BJ6" i="36"/>
  <c r="BJ60" i="35" s="1"/>
  <c r="BJ70" i="35" s="1"/>
  <c r="BI6" i="36"/>
  <c r="BI60" i="35" s="1"/>
  <c r="BI70" i="35" s="1"/>
  <c r="BH6" i="36"/>
  <c r="BH60" i="35" s="1"/>
  <c r="BH70" i="35" s="1"/>
  <c r="BG6" i="36"/>
  <c r="BG60" i="35" s="1"/>
  <c r="BG70" i="35" s="1"/>
  <c r="BF7" i="36"/>
  <c r="BF61" i="35" s="1"/>
  <c r="BE7" i="36"/>
  <c r="BE61" i="35" s="1"/>
  <c r="BE71" i="35" s="1"/>
  <c r="BD7" i="36"/>
  <c r="BD61" i="35" s="1"/>
  <c r="BD71" i="35" s="1"/>
  <c r="BC7" i="36"/>
  <c r="BC61" i="35" s="1"/>
  <c r="BC71" i="35" s="1"/>
  <c r="BB7" i="36"/>
  <c r="BB61" i="35" s="1"/>
  <c r="BB71" i="35" s="1"/>
  <c r="BE6" i="36"/>
  <c r="BE60" i="35" s="1"/>
  <c r="BE70" i="35" s="1"/>
  <c r="BD6" i="36"/>
  <c r="BD60" i="35" s="1"/>
  <c r="BD70" i="35" s="1"/>
  <c r="BC6" i="36"/>
  <c r="BC60" i="35" s="1"/>
  <c r="BC70" i="35" s="1"/>
  <c r="BB6" i="36"/>
  <c r="BB60" i="35" s="1"/>
  <c r="BB70" i="35" s="1"/>
  <c r="BA7" i="36"/>
  <c r="BA61" i="35" s="1"/>
  <c r="AZ7" i="36"/>
  <c r="AZ61" i="35" s="1"/>
  <c r="AZ71" i="35" s="1"/>
  <c r="AY7" i="36"/>
  <c r="AY61" i="35" s="1"/>
  <c r="AY71" i="35" s="1"/>
  <c r="AX7" i="36"/>
  <c r="AX61" i="35" s="1"/>
  <c r="AX71" i="35" s="1"/>
  <c r="AW7" i="36"/>
  <c r="AW61" i="35" s="1"/>
  <c r="AW71" i="35" s="1"/>
  <c r="BA6" i="36"/>
  <c r="BA60" i="35" s="1"/>
  <c r="AZ6" i="36"/>
  <c r="AZ60" i="35" s="1"/>
  <c r="AZ70" i="35" s="1"/>
  <c r="AY6" i="36"/>
  <c r="AY60" i="35" s="1"/>
  <c r="AY70" i="35" s="1"/>
  <c r="AX6" i="36"/>
  <c r="AX60" i="35" s="1"/>
  <c r="AX70" i="35" s="1"/>
  <c r="AW6" i="36"/>
  <c r="AW60" i="35" s="1"/>
  <c r="AW70" i="35" s="1"/>
  <c r="AV7" i="36"/>
  <c r="AV61" i="35" s="1"/>
  <c r="AU7" i="36"/>
  <c r="AU61" i="35" s="1"/>
  <c r="AU71" i="35" s="1"/>
  <c r="AT7" i="36"/>
  <c r="AT61" i="35" s="1"/>
  <c r="AT71" i="35" s="1"/>
  <c r="AT76" i="35" s="1"/>
  <c r="AS7" i="36"/>
  <c r="AS61" i="35" s="1"/>
  <c r="AS71" i="35" s="1"/>
  <c r="AS76" i="35" s="1"/>
  <c r="AR7" i="36"/>
  <c r="AR61" i="35" s="1"/>
  <c r="AR71" i="35" s="1"/>
  <c r="AV6" i="36"/>
  <c r="AV60" i="35" s="1"/>
  <c r="AU6" i="36"/>
  <c r="AU60" i="35" s="1"/>
  <c r="AU70" i="35" s="1"/>
  <c r="AT6" i="36"/>
  <c r="AT60" i="35" s="1"/>
  <c r="AT70" i="35" s="1"/>
  <c r="AS6" i="36"/>
  <c r="AS60" i="35" s="1"/>
  <c r="AS70" i="35" s="1"/>
  <c r="AR6" i="36"/>
  <c r="AR60" i="35" s="1"/>
  <c r="AR70" i="35" s="1"/>
  <c r="Y7" i="36"/>
  <c r="Y61" i="35" s="1"/>
  <c r="Y66" i="35" s="1"/>
  <c r="Y6" i="36"/>
  <c r="Y60" i="35" s="1"/>
  <c r="Y65" i="35" s="1"/>
  <c r="X6" i="36"/>
  <c r="X60" i="35" s="1"/>
  <c r="X65" i="35" s="1"/>
  <c r="AE7" i="36"/>
  <c r="AE61" i="35" s="1"/>
  <c r="AE66" i="35" s="1"/>
  <c r="AD7" i="36"/>
  <c r="AD61" i="35" s="1"/>
  <c r="AD66" i="35" s="1"/>
  <c r="AC7" i="36"/>
  <c r="AC61" i="35" s="1"/>
  <c r="AC66" i="35" s="1"/>
  <c r="AQ7" i="36"/>
  <c r="AQ61" i="35" s="1"/>
  <c r="AP7" i="36"/>
  <c r="AP61" i="35" s="1"/>
  <c r="AP71" i="35" s="1"/>
  <c r="AO7" i="36"/>
  <c r="AO61" i="35" s="1"/>
  <c r="AO66" i="35" s="1"/>
  <c r="AN7" i="36"/>
  <c r="AN61" i="35" s="1"/>
  <c r="AN66" i="35" s="1"/>
  <c r="AM7" i="36"/>
  <c r="AM61" i="35" s="1"/>
  <c r="AM66" i="35" s="1"/>
  <c r="AN6" i="36"/>
  <c r="AN60" i="35" s="1"/>
  <c r="AN65" i="35" s="1"/>
  <c r="AM6" i="36"/>
  <c r="AM60" i="35" s="1"/>
  <c r="AM65" i="35" s="1"/>
  <c r="AL7" i="36"/>
  <c r="AL61" i="35" s="1"/>
  <c r="AL66" i="35" s="1"/>
  <c r="AK6" i="36"/>
  <c r="AK60" i="35" s="1"/>
  <c r="AK65" i="35" s="1"/>
  <c r="AI7" i="36"/>
  <c r="AI61" i="35" s="1"/>
  <c r="AI66" i="35" s="1"/>
  <c r="AJ7" i="36"/>
  <c r="AJ61" i="35" s="1"/>
  <c r="AJ66" i="35" s="1"/>
  <c r="AK7" i="36"/>
  <c r="AK61" i="35" s="1"/>
  <c r="AK66" i="35" s="1"/>
  <c r="AH7" i="36"/>
  <c r="AH61" i="35" s="1"/>
  <c r="AH66" i="35" s="1"/>
  <c r="AH6" i="36"/>
  <c r="AH60" i="35" s="1"/>
  <c r="AH65" i="35" s="1"/>
  <c r="AF7" i="36"/>
  <c r="AF61" i="35" s="1"/>
  <c r="AF66" i="35" s="1"/>
  <c r="AF6" i="36"/>
  <c r="AF60" i="35" s="1"/>
  <c r="AF65" i="35" s="1"/>
  <c r="AG7" i="36"/>
  <c r="AG61" i="35" s="1"/>
  <c r="AG66" i="35" s="1"/>
  <c r="AG6" i="36"/>
  <c r="AG60" i="35" s="1"/>
  <c r="AG65" i="35" s="1"/>
  <c r="AB7" i="36"/>
  <c r="AB61" i="35" s="1"/>
  <c r="AB66" i="35" s="1"/>
  <c r="AK11" i="35"/>
  <c r="AJ11" i="35"/>
  <c r="AI11" i="35"/>
  <c r="AH11" i="35"/>
  <c r="AL10" i="35"/>
  <c r="R9" i="15"/>
  <c r="AC11" i="35"/>
  <c r="AF11" i="35"/>
  <c r="AE11" i="35"/>
  <c r="AD11" i="35"/>
  <c r="AG10" i="35"/>
  <c r="M9" i="15"/>
  <c r="AA11" i="35"/>
  <c r="Z11" i="35"/>
  <c r="Y11" i="35"/>
  <c r="X11" i="35"/>
  <c r="AB10" i="35"/>
  <c r="V11" i="35"/>
  <c r="U11" i="35"/>
  <c r="T11" i="35"/>
  <c r="S11" i="35"/>
  <c r="W10" i="35"/>
  <c r="L55" i="35"/>
  <c r="K55" i="35"/>
  <c r="J55" i="35"/>
  <c r="I55" i="35"/>
  <c r="L54" i="35"/>
  <c r="K54" i="35"/>
  <c r="J54" i="35"/>
  <c r="I54" i="35"/>
  <c r="Q11" i="35"/>
  <c r="P11" i="35"/>
  <c r="O11" i="35"/>
  <c r="N11" i="35"/>
  <c r="R10" i="35"/>
  <c r="M10" i="35"/>
  <c r="AS55" i="35"/>
  <c r="AR55" i="35"/>
  <c r="AS54" i="35"/>
  <c r="AR54" i="35"/>
  <c r="AO55" i="35"/>
  <c r="AN55" i="35"/>
  <c r="AM55" i="35"/>
  <c r="AO54" i="35"/>
  <c r="AN54" i="35"/>
  <c r="AM54" i="35"/>
  <c r="AK55" i="35"/>
  <c r="AJ55" i="35"/>
  <c r="AI55" i="35"/>
  <c r="AH55" i="35"/>
  <c r="AK54" i="35"/>
  <c r="AJ54" i="35"/>
  <c r="AI54" i="35"/>
  <c r="AH54" i="35"/>
  <c r="AF55" i="35"/>
  <c r="AE55" i="35"/>
  <c r="AD55" i="35"/>
  <c r="AC55" i="35"/>
  <c r="AF54" i="35"/>
  <c r="AE54" i="35"/>
  <c r="AD54" i="35"/>
  <c r="AC54" i="35"/>
  <c r="AA55" i="35"/>
  <c r="Z55" i="35"/>
  <c r="Y55" i="35"/>
  <c r="X55" i="35"/>
  <c r="AA54" i="35"/>
  <c r="Z54" i="35"/>
  <c r="Y54" i="35"/>
  <c r="X54" i="35"/>
  <c r="V55" i="35"/>
  <c r="U55" i="35"/>
  <c r="T55" i="35"/>
  <c r="S55" i="35"/>
  <c r="V54" i="35"/>
  <c r="U54" i="35"/>
  <c r="T54" i="35"/>
  <c r="S54" i="35"/>
  <c r="Q55" i="35"/>
  <c r="Q54" i="35"/>
  <c r="P55" i="35"/>
  <c r="P54" i="35"/>
  <c r="O55" i="35"/>
  <c r="O54" i="35"/>
  <c r="N55" i="35"/>
  <c r="N54" i="35"/>
  <c r="BT8" i="36"/>
  <c r="BT62" i="35" s="1"/>
  <c r="BS8" i="36"/>
  <c r="BR8" i="36"/>
  <c r="BQ8" i="36"/>
  <c r="BP8" i="36"/>
  <c r="BK8" i="36"/>
  <c r="BJ8" i="36"/>
  <c r="BJ62" i="35" s="1"/>
  <c r="BI8" i="36"/>
  <c r="BI62" i="35" s="1"/>
  <c r="BH8" i="36"/>
  <c r="BG8" i="36"/>
  <c r="BF8" i="36"/>
  <c r="BF62" i="35" s="1"/>
  <c r="BE8" i="36"/>
  <c r="BE62" i="35" s="1"/>
  <c r="BD8" i="36"/>
  <c r="BD62" i="35" s="1"/>
  <c r="BC8" i="36"/>
  <c r="BB8" i="36"/>
  <c r="BA8" i="36"/>
  <c r="AZ8" i="36"/>
  <c r="AZ62" i="35" s="1"/>
  <c r="AY8" i="36"/>
  <c r="AY62" i="35" s="1"/>
  <c r="AX8" i="36"/>
  <c r="AX62" i="35" s="1"/>
  <c r="AW8" i="36"/>
  <c r="AQ8" i="36"/>
  <c r="AP8" i="36"/>
  <c r="AO8" i="36"/>
  <c r="AO62" i="35" s="1"/>
  <c r="AN8" i="36"/>
  <c r="AN62" i="35" s="1"/>
  <c r="AM8" i="36"/>
  <c r="AL8" i="36"/>
  <c r="AL62" i="35" s="1"/>
  <c r="AL67" i="35" s="1"/>
  <c r="AK8" i="36"/>
  <c r="AK62" i="35" s="1"/>
  <c r="AJ8" i="36"/>
  <c r="AJ62" i="35" s="1"/>
  <c r="AI8" i="36"/>
  <c r="AI62" i="35" s="1"/>
  <c r="AH8" i="36"/>
  <c r="AG8" i="36"/>
  <c r="L34" i="15"/>
  <c r="L46" i="15"/>
  <c r="M34" i="15"/>
  <c r="J34" i="15"/>
  <c r="J46" i="15"/>
  <c r="K34" i="15"/>
  <c r="K46" i="15"/>
  <c r="Q21" i="15"/>
  <c r="S21" i="15"/>
  <c r="T21" i="15"/>
  <c r="U21" i="15"/>
  <c r="Q20" i="15"/>
  <c r="P21" i="15"/>
  <c r="P20" i="15"/>
  <c r="O20" i="15"/>
  <c r="N21" i="15"/>
  <c r="W79" i="15"/>
  <c r="AL19" i="36"/>
  <c r="AL91" i="35" s="1"/>
  <c r="AB19" i="36"/>
  <c r="AB91" i="35" s="1"/>
  <c r="AX19" i="36"/>
  <c r="AX91" i="35" s="1"/>
  <c r="AO19" i="36"/>
  <c r="AO91" i="35" s="1"/>
  <c r="BK19" i="36"/>
  <c r="BK91" i="35" s="1"/>
  <c r="AF19" i="36"/>
  <c r="AF91" i="35" s="1"/>
  <c r="AN19" i="36"/>
  <c r="AN91" i="35" s="1"/>
  <c r="BI19" i="36"/>
  <c r="BI91" i="35" s="1"/>
  <c r="AP19" i="36"/>
  <c r="AP91" i="35" s="1"/>
  <c r="BJ19" i="36"/>
  <c r="BJ91" i="35" s="1"/>
  <c r="AQ19" i="36"/>
  <c r="AQ91" i="35" s="1"/>
  <c r="AI19" i="36"/>
  <c r="AI91" i="35" s="1"/>
  <c r="AJ19" i="36"/>
  <c r="AJ91" i="35" s="1"/>
  <c r="BB19" i="36"/>
  <c r="BB91" i="35" s="1"/>
  <c r="AJ17" i="36"/>
  <c r="AJ89" i="35" s="1"/>
  <c r="AU19" i="36"/>
  <c r="AU91" i="35" s="1"/>
  <c r="BE19" i="36"/>
  <c r="BE91" i="35" s="1"/>
  <c r="BI17" i="36"/>
  <c r="BI89" i="35" s="1"/>
  <c r="BC19" i="36"/>
  <c r="BC91" i="35" s="1"/>
  <c r="BM19" i="36"/>
  <c r="BM91" i="35" s="1"/>
  <c r="BD19" i="36"/>
  <c r="BD91" i="35" s="1"/>
  <c r="BN19" i="36"/>
  <c r="BN91" i="35" s="1"/>
  <c r="AV19" i="36"/>
  <c r="AV91" i="35" s="1"/>
  <c r="BF19" i="36"/>
  <c r="BF91" i="35" s="1"/>
  <c r="BP19" i="36"/>
  <c r="BP91" i="35" s="1"/>
  <c r="BJ17" i="36"/>
  <c r="BJ89" i="35" s="1"/>
  <c r="AG19" i="36"/>
  <c r="AG91" i="35" s="1"/>
  <c r="AM19" i="36"/>
  <c r="AM91" i="35" s="1"/>
  <c r="AW19" i="36"/>
  <c r="AW91" i="35" s="1"/>
  <c r="BK17" i="36"/>
  <c r="BK89" i="35" s="1"/>
  <c r="AK19" i="36"/>
  <c r="AK91" i="35" s="1"/>
  <c r="AG20" i="36"/>
  <c r="AH19" i="36"/>
  <c r="AH91" i="35" s="1"/>
  <c r="BL19" i="36"/>
  <c r="BL91" i="35" s="1"/>
  <c r="AN17" i="36"/>
  <c r="AN89" i="35" s="1"/>
  <c r="BM17" i="36"/>
  <c r="BM89" i="35" s="1"/>
  <c r="AU17" i="36"/>
  <c r="AU89" i="35" s="1"/>
  <c r="AV17" i="36"/>
  <c r="AV89" i="35" s="1"/>
  <c r="BP17" i="36"/>
  <c r="BP89" i="35" s="1"/>
  <c r="BG19" i="36"/>
  <c r="BG91" i="35" s="1"/>
  <c r="BH19" i="36"/>
  <c r="BH91" i="35" s="1"/>
  <c r="AR19" i="36"/>
  <c r="AR91" i="35" s="1"/>
  <c r="AS19" i="36"/>
  <c r="AS91" i="35" s="1"/>
  <c r="BT19" i="36"/>
  <c r="BT91" i="35" s="1"/>
  <c r="AK20" i="36"/>
  <c r="AW20" i="36"/>
  <c r="BB20" i="36"/>
  <c r="BG20" i="36"/>
  <c r="BL20" i="36"/>
  <c r="AO17" i="36"/>
  <c r="AO89" i="35" s="1"/>
  <c r="BN17" i="36"/>
  <c r="BN89" i="35" s="1"/>
  <c r="AP17" i="36"/>
  <c r="AP89" i="35" s="1"/>
  <c r="AQ17" i="36"/>
  <c r="AQ89" i="35" s="1"/>
  <c r="BO19" i="36"/>
  <c r="BO91" i="35" s="1"/>
  <c r="AY19" i="36"/>
  <c r="AY91" i="35" s="1"/>
  <c r="AZ19" i="36"/>
  <c r="AZ91" i="35" s="1"/>
  <c r="BQ19" i="36"/>
  <c r="BQ91" i="35" s="1"/>
  <c r="AF17" i="36"/>
  <c r="AF89" i="35" s="1"/>
  <c r="BA19" i="36"/>
  <c r="BA91" i="35" s="1"/>
  <c r="BR19" i="36"/>
  <c r="BR91" i="35" s="1"/>
  <c r="BS19" i="36"/>
  <c r="BS91" i="35" s="1"/>
  <c r="AT19" i="36"/>
  <c r="AT91" i="35" s="1"/>
  <c r="BU19" i="36"/>
  <c r="BU91" i="35" s="1"/>
  <c r="AL17" i="36"/>
  <c r="AL89" i="35" s="1"/>
  <c r="AX20" i="36"/>
  <c r="BC20" i="36"/>
  <c r="BH20" i="36"/>
  <c r="Z81" i="35"/>
  <c r="Z126" i="35"/>
  <c r="Y81" i="35"/>
  <c r="Y126" i="35"/>
  <c r="X126" i="35"/>
  <c r="X81" i="35"/>
  <c r="AJ126" i="35"/>
  <c r="AJ81" i="35"/>
  <c r="AK126" i="35"/>
  <c r="AK81" i="35"/>
  <c r="AC81" i="35"/>
  <c r="AC126" i="35"/>
  <c r="AF126" i="35"/>
  <c r="AF81" i="35"/>
  <c r="AA126" i="35"/>
  <c r="AA81" i="35"/>
  <c r="AD81" i="35"/>
  <c r="AD126" i="35"/>
  <c r="AE126" i="35"/>
  <c r="AE81" i="35"/>
  <c r="AH126" i="35"/>
  <c r="AH81" i="35"/>
  <c r="AM81" i="35"/>
  <c r="AM126" i="35"/>
  <c r="AN126" i="35"/>
  <c r="AN81" i="35"/>
  <c r="AO126" i="35"/>
  <c r="AO81" i="35"/>
  <c r="AI126" i="35"/>
  <c r="AI81" i="35"/>
  <c r="R66" i="15"/>
  <c r="J40" i="15"/>
  <c r="R30" i="15"/>
  <c r="W7" i="1"/>
  <c r="BP7" i="1"/>
  <c r="M30" i="15"/>
  <c r="R7" i="1"/>
  <c r="BO7" i="1"/>
  <c r="M46" i="15"/>
  <c r="T61" i="15"/>
  <c r="X8" i="1"/>
  <c r="S61" i="15"/>
  <c r="U61" i="15"/>
  <c r="O8" i="1"/>
  <c r="P8" i="1"/>
  <c r="R43" i="15"/>
  <c r="L40" i="15"/>
  <c r="S8" i="1"/>
  <c r="K27" i="15"/>
  <c r="T8" i="1"/>
  <c r="U8" i="1"/>
  <c r="V8" i="1"/>
  <c r="M43" i="15"/>
  <c r="N8" i="1"/>
  <c r="R6" i="1"/>
  <c r="BO6" i="1"/>
  <c r="Q8" i="1"/>
  <c r="Y8" i="1"/>
  <c r="Z8" i="1"/>
  <c r="W6" i="1"/>
  <c r="BP6" i="1"/>
  <c r="AY10" i="36"/>
  <c r="AY85" i="35" s="1"/>
  <c r="BQ13" i="36"/>
  <c r="BQ130" i="35" s="1"/>
  <c r="AW13" i="36"/>
  <c r="AW130" i="35" s="1"/>
  <c r="BE10" i="36"/>
  <c r="BD13" i="36"/>
  <c r="BD130" i="35" s="1"/>
  <c r="AJ13" i="36"/>
  <c r="AJ130" i="35" s="1"/>
  <c r="AS42" i="15"/>
  <c r="AR42" i="15"/>
  <c r="AT42" i="15"/>
  <c r="J27" i="15"/>
  <c r="K40" i="15"/>
  <c r="K10" i="15"/>
  <c r="AP42" i="15"/>
  <c r="L10" i="15"/>
  <c r="R49" i="15"/>
  <c r="I27" i="15"/>
  <c r="I40" i="15"/>
  <c r="R20" i="15"/>
  <c r="M27" i="15"/>
  <c r="M40" i="15"/>
  <c r="I46" i="15"/>
  <c r="L27" i="15"/>
  <c r="N14" i="15"/>
  <c r="AG72" i="35"/>
  <c r="AO77" i="35"/>
  <c r="AH77" i="35"/>
  <c r="AC77" i="35"/>
  <c r="AG76" i="35"/>
  <c r="AL76" i="35"/>
  <c r="O15" i="15"/>
  <c r="AM77" i="35"/>
  <c r="AL75" i="35"/>
  <c r="R21" i="15"/>
  <c r="AG75" i="35"/>
  <c r="O21" i="15"/>
  <c r="T14" i="15"/>
  <c r="U10" i="15"/>
  <c r="I10" i="15"/>
  <c r="J10" i="15"/>
  <c r="U20" i="15"/>
  <c r="R17" i="15"/>
  <c r="P15" i="15"/>
  <c r="R23" i="15"/>
  <c r="S14" i="15"/>
  <c r="S20" i="15"/>
  <c r="N20" i="15"/>
  <c r="T20" i="15"/>
  <c r="Q15" i="15"/>
  <c r="R15" i="15"/>
  <c r="AF8" i="36"/>
  <c r="AE8" i="36"/>
  <c r="AE62" i="35" s="1"/>
  <c r="AE67" i="35" s="1"/>
  <c r="BL8" i="36"/>
  <c r="BL62" i="35" s="1"/>
  <c r="AC8" i="36"/>
  <c r="AC62" i="35" s="1"/>
  <c r="AC67" i="35" s="1"/>
  <c r="BM8" i="36"/>
  <c r="BN8" i="36"/>
  <c r="BN62" i="35" s="1"/>
  <c r="BO8" i="36"/>
  <c r="BO62" i="35" s="1"/>
  <c r="BF6" i="36"/>
  <c r="BF60" i="35" s="1"/>
  <c r="BU8" i="36"/>
  <c r="BU62" i="35" s="1"/>
  <c r="AE6" i="36"/>
  <c r="AE60" i="35" s="1"/>
  <c r="AE65" i="35" s="1"/>
  <c r="AD8" i="36"/>
  <c r="AD62" i="35" s="1"/>
  <c r="AD67" i="35" s="1"/>
  <c r="AI6" i="36"/>
  <c r="AI60" i="35" s="1"/>
  <c r="AI65" i="35" s="1"/>
  <c r="AR8" i="36"/>
  <c r="AR62" i="35" s="1"/>
  <c r="Y8" i="36"/>
  <c r="Y62" i="35" s="1"/>
  <c r="Y67" i="35" s="1"/>
  <c r="AJ6" i="36"/>
  <c r="AJ60" i="35" s="1"/>
  <c r="AJ65" i="35" s="1"/>
  <c r="AS8" i="36"/>
  <c r="AP6" i="36"/>
  <c r="AP60" i="35" s="1"/>
  <c r="AP70" i="35" s="1"/>
  <c r="AV8" i="36"/>
  <c r="AV62" i="35" s="1"/>
  <c r="BH7" i="36"/>
  <c r="BH61" i="35" s="1"/>
  <c r="BH71" i="35" s="1"/>
  <c r="BJ7" i="36"/>
  <c r="BJ61" i="35" s="1"/>
  <c r="BJ71" i="35" s="1"/>
  <c r="AQ6" i="36"/>
  <c r="AQ60" i="35" s="1"/>
  <c r="BK7" i="36"/>
  <c r="BK61" i="35" s="1"/>
  <c r="X8" i="36"/>
  <c r="X62" i="35" s="1"/>
  <c r="X67" i="35" s="1"/>
  <c r="X7" i="36"/>
  <c r="X61" i="35" s="1"/>
  <c r="X66" i="35" s="1"/>
  <c r="AT8" i="36"/>
  <c r="AO6" i="36"/>
  <c r="AO60" i="35" s="1"/>
  <c r="AO65" i="35" s="1"/>
  <c r="AL6" i="36"/>
  <c r="AL60" i="35" s="1"/>
  <c r="AL65" i="35" s="1"/>
  <c r="AU8" i="36"/>
  <c r="AU62" i="35" s="1"/>
  <c r="AB6" i="36"/>
  <c r="AB60" i="35" s="1"/>
  <c r="AB65" i="35" s="1"/>
  <c r="BI7" i="36"/>
  <c r="BI61" i="35" s="1"/>
  <c r="BI71" i="35" s="1"/>
  <c r="AD6" i="36"/>
  <c r="AD60" i="35" s="1"/>
  <c r="AD65" i="35" s="1"/>
  <c r="AC6" i="36"/>
  <c r="AC60" i="35" s="1"/>
  <c r="AC65" i="35" s="1"/>
  <c r="U15" i="15"/>
  <c r="M10" i="15"/>
  <c r="S15" i="15"/>
  <c r="N15" i="15"/>
  <c r="T15" i="15"/>
  <c r="O14" i="15"/>
  <c r="P14" i="15"/>
  <c r="Q14" i="15"/>
  <c r="R14" i="15"/>
  <c r="U14" i="15"/>
  <c r="S10" i="15"/>
  <c r="T10" i="15"/>
  <c r="N10" i="15"/>
  <c r="O10" i="15"/>
  <c r="P10" i="15"/>
  <c r="Q10" i="15"/>
  <c r="Q22" i="15"/>
  <c r="R10" i="15"/>
  <c r="R22" i="15"/>
  <c r="AB72" i="35"/>
  <c r="AI77" i="35"/>
  <c r="AJ77" i="35"/>
  <c r="AK77" i="35"/>
  <c r="AL72" i="35"/>
  <c r="AD77" i="35"/>
  <c r="AE77" i="35"/>
  <c r="AF77" i="35"/>
  <c r="AN77" i="35"/>
  <c r="AB11" i="35"/>
  <c r="R11" i="35"/>
  <c r="W11" i="35"/>
  <c r="AG11" i="35"/>
  <c r="AL11" i="35"/>
  <c r="U9" i="1"/>
  <c r="O9" i="1"/>
  <c r="S9" i="1"/>
  <c r="Q9" i="1"/>
  <c r="T9" i="1"/>
  <c r="P9" i="1"/>
  <c r="V9" i="1"/>
  <c r="X9" i="1"/>
  <c r="N9" i="1"/>
  <c r="AD82" i="35"/>
  <c r="AE127" i="35"/>
  <c r="AD127" i="35"/>
  <c r="AE82" i="35"/>
  <c r="AJ127" i="35"/>
  <c r="AN82" i="35"/>
  <c r="AN127" i="35"/>
  <c r="AK82" i="35"/>
  <c r="AK127" i="35"/>
  <c r="AM127" i="35"/>
  <c r="AM82" i="35"/>
  <c r="AJ82" i="35"/>
  <c r="AO82" i="35"/>
  <c r="AC127" i="35"/>
  <c r="AO127" i="35"/>
  <c r="AC82" i="35"/>
  <c r="AL126" i="35"/>
  <c r="AL81" i="35"/>
  <c r="AH82" i="35"/>
  <c r="AH127" i="35"/>
  <c r="AG126" i="35"/>
  <c r="AG81" i="35"/>
  <c r="AI82" i="35"/>
  <c r="AF82" i="35"/>
  <c r="AB81" i="35"/>
  <c r="AB126" i="35"/>
  <c r="AF127" i="35"/>
  <c r="AI127" i="35"/>
  <c r="W8" i="1"/>
  <c r="R8" i="1"/>
  <c r="U10" i="1"/>
  <c r="X10" i="1"/>
  <c r="S10" i="1"/>
  <c r="T10" i="1"/>
  <c r="Y9" i="1"/>
  <c r="Y10" i="1"/>
  <c r="V10" i="1"/>
  <c r="Z9" i="1"/>
  <c r="Z10" i="1"/>
  <c r="AY42" i="15"/>
  <c r="AW42" i="15"/>
  <c r="AU42" i="15"/>
  <c r="AX42" i="15"/>
  <c r="O16" i="15"/>
  <c r="O22" i="15"/>
  <c r="N16" i="15"/>
  <c r="N22" i="15"/>
  <c r="Y10" i="15"/>
  <c r="T22" i="15"/>
  <c r="Z10" i="15"/>
  <c r="U22" i="15"/>
  <c r="P16" i="15"/>
  <c r="P22" i="15"/>
  <c r="X10" i="15"/>
  <c r="S22" i="15"/>
  <c r="AB8" i="36"/>
  <c r="R16" i="15"/>
  <c r="Q16" i="15"/>
  <c r="V10" i="15"/>
  <c r="T16" i="15"/>
  <c r="S16" i="15"/>
  <c r="U16" i="15"/>
  <c r="AL77" i="35"/>
  <c r="AG77" i="35"/>
  <c r="BO8" i="1"/>
  <c r="BP8" i="1"/>
  <c r="W9" i="1"/>
  <c r="R9" i="1"/>
  <c r="W10" i="1"/>
  <c r="AG127" i="35"/>
  <c r="AG82" i="35"/>
  <c r="AL127" i="35"/>
  <c r="AL82" i="35"/>
  <c r="AC10" i="15"/>
  <c r="AC36" i="15"/>
  <c r="X36" i="15"/>
  <c r="BC42" i="15"/>
  <c r="AE10" i="15"/>
  <c r="Z36" i="15"/>
  <c r="BD42" i="15"/>
  <c r="AZ42" i="15"/>
  <c r="W10" i="15"/>
  <c r="W16" i="15"/>
  <c r="V36" i="15"/>
  <c r="BB42" i="15"/>
  <c r="AD10" i="15"/>
  <c r="Y36" i="15"/>
  <c r="AA10" i="15"/>
  <c r="AA36" i="15"/>
  <c r="X55" i="15"/>
  <c r="AH10" i="15"/>
  <c r="AH36" i="15"/>
  <c r="AH29" i="15"/>
  <c r="X29" i="15"/>
  <c r="AB36" i="15"/>
  <c r="Y29" i="15"/>
  <c r="AI10" i="15"/>
  <c r="AD36" i="15"/>
  <c r="Z29" i="15"/>
  <c r="AJ10" i="15"/>
  <c r="AE36" i="15"/>
  <c r="V29" i="15"/>
  <c r="BE42" i="15"/>
  <c r="AA29" i="15"/>
  <c r="AC29" i="15"/>
  <c r="AF10" i="15"/>
  <c r="AF36" i="15"/>
  <c r="AB10" i="15"/>
  <c r="AM10" i="15"/>
  <c r="AM36" i="15"/>
  <c r="AE29" i="15"/>
  <c r="AB42" i="15"/>
  <c r="AB29" i="15"/>
  <c r="AN10" i="15"/>
  <c r="AI36" i="15"/>
  <c r="AD29" i="15"/>
  <c r="AF29" i="15"/>
  <c r="AO10" i="15"/>
  <c r="AJ36" i="15"/>
  <c r="AG36" i="15"/>
  <c r="AB16" i="15"/>
  <c r="AK10" i="15"/>
  <c r="AK36" i="15"/>
  <c r="AG10" i="15"/>
  <c r="AR10" i="15"/>
  <c r="AR36" i="15"/>
  <c r="AM29" i="15"/>
  <c r="AJ29" i="15"/>
  <c r="AG29" i="15"/>
  <c r="AG42" i="15"/>
  <c r="AT10" i="15"/>
  <c r="AO36" i="15"/>
  <c r="AK29" i="15"/>
  <c r="AI29" i="15"/>
  <c r="AL36" i="15"/>
  <c r="AS10" i="15"/>
  <c r="AN36" i="15"/>
  <c r="AG16" i="15"/>
  <c r="AL10" i="15"/>
  <c r="AR29" i="15"/>
  <c r="AW10" i="15"/>
  <c r="AW36" i="15"/>
  <c r="AW29" i="15"/>
  <c r="AL42" i="15"/>
  <c r="AL29" i="15"/>
  <c r="AO29" i="15"/>
  <c r="AY10" i="15"/>
  <c r="AT36" i="15"/>
  <c r="AN29" i="15"/>
  <c r="AX10" i="15"/>
  <c r="AS36" i="15"/>
  <c r="AL16" i="15"/>
  <c r="BB10" i="15"/>
  <c r="BB36" i="15"/>
  <c r="AS29" i="15"/>
  <c r="AT29" i="15"/>
  <c r="BD10" i="15"/>
  <c r="AY36" i="15"/>
  <c r="BC10" i="15"/>
  <c r="AX36" i="15"/>
  <c r="BB29" i="15"/>
  <c r="BC36" i="15"/>
  <c r="AX29" i="15"/>
  <c r="AY29" i="15"/>
  <c r="BD36" i="15"/>
  <c r="BD29" i="15"/>
  <c r="BC29" i="15"/>
  <c r="AK87" i="34"/>
  <c r="AJ87" i="34"/>
  <c r="AI87" i="34"/>
  <c r="AH86" i="34"/>
  <c r="AK84" i="34"/>
  <c r="AJ84" i="34"/>
  <c r="AI84" i="34"/>
  <c r="AH83" i="34"/>
  <c r="AK81" i="34"/>
  <c r="AJ81" i="34"/>
  <c r="AI81" i="34"/>
  <c r="AH80" i="34"/>
  <c r="AK76" i="34"/>
  <c r="AJ76" i="34"/>
  <c r="AI76" i="34"/>
  <c r="AH75" i="34"/>
  <c r="AK73" i="34"/>
  <c r="AJ73" i="34"/>
  <c r="AI73" i="34"/>
  <c r="AH72" i="34"/>
  <c r="AK70" i="34"/>
  <c r="AJ70" i="34"/>
  <c r="AI70" i="34"/>
  <c r="AH69" i="34"/>
  <c r="AK63" i="34"/>
  <c r="AJ63" i="34"/>
  <c r="AI63" i="34"/>
  <c r="AH62" i="34"/>
  <c r="AK58" i="34"/>
  <c r="AJ58" i="34"/>
  <c r="AI58" i="34"/>
  <c r="AG58" i="34"/>
  <c r="AF58" i="34"/>
  <c r="AE58" i="34"/>
  <c r="AD58" i="34"/>
  <c r="AK56" i="34"/>
  <c r="AJ56" i="34"/>
  <c r="AI56" i="34"/>
  <c r="AH55" i="34"/>
  <c r="AH58" i="34"/>
  <c r="AK53" i="34"/>
  <c r="AJ53" i="34"/>
  <c r="AI53" i="34"/>
  <c r="AG53" i="34"/>
  <c r="AF53" i="34"/>
  <c r="AE53" i="34"/>
  <c r="AD53" i="34"/>
  <c r="AC53" i="34"/>
  <c r="AB53" i="34"/>
  <c r="AA53" i="34"/>
  <c r="Z53" i="34"/>
  <c r="Y53" i="34"/>
  <c r="X53" i="34"/>
  <c r="W53" i="34"/>
  <c r="V53" i="34"/>
  <c r="U53" i="34"/>
  <c r="T53" i="34"/>
  <c r="S53" i="34"/>
  <c r="AH52" i="34"/>
  <c r="AH53" i="34"/>
  <c r="AC52" i="34"/>
  <c r="X52" i="34"/>
  <c r="S52" i="34"/>
  <c r="N52" i="34"/>
  <c r="Y48" i="34"/>
  <c r="AG45" i="34"/>
  <c r="Y45" i="34"/>
  <c r="AG44" i="34"/>
  <c r="AF44" i="34"/>
  <c r="AE44" i="34"/>
  <c r="AD44" i="34"/>
  <c r="AB44" i="34"/>
  <c r="AB45" i="34"/>
  <c r="AA44" i="34"/>
  <c r="AA45" i="34"/>
  <c r="Z44" i="34"/>
  <c r="Y44" i="34"/>
  <c r="W44" i="34"/>
  <c r="V44" i="34"/>
  <c r="U44" i="34"/>
  <c r="T44" i="34"/>
  <c r="AK42" i="34"/>
  <c r="AJ42" i="34"/>
  <c r="AI42" i="34"/>
  <c r="AG42" i="34"/>
  <c r="AF42" i="34"/>
  <c r="AE42" i="34"/>
  <c r="AD42" i="34"/>
  <c r="AC42" i="34"/>
  <c r="AB42" i="34"/>
  <c r="AA42" i="34"/>
  <c r="Z42" i="34"/>
  <c r="Y42" i="34"/>
  <c r="AH41" i="34"/>
  <c r="AH42" i="34"/>
  <c r="AC41" i="34"/>
  <c r="X41" i="34"/>
  <c r="R41" i="34"/>
  <c r="Q41" i="34"/>
  <c r="P41" i="34"/>
  <c r="O41" i="34"/>
  <c r="S41" i="34"/>
  <c r="AK39" i="34"/>
  <c r="AL39" i="34"/>
  <c r="AJ39" i="34"/>
  <c r="AI39" i="34"/>
  <c r="AG39" i="34"/>
  <c r="AF39" i="34"/>
  <c r="AE39" i="34"/>
  <c r="AD39" i="34"/>
  <c r="AB39" i="34"/>
  <c r="AA39" i="34"/>
  <c r="Z39" i="34"/>
  <c r="Y39" i="34"/>
  <c r="AK38" i="34"/>
  <c r="AJ38" i="34"/>
  <c r="AI38" i="34"/>
  <c r="AI44" i="34"/>
  <c r="AI45" i="34"/>
  <c r="AH38" i="34"/>
  <c r="AH44" i="34"/>
  <c r="AC38" i="34"/>
  <c r="X38" i="34"/>
  <c r="X44" i="34"/>
  <c r="R38" i="34"/>
  <c r="Q38" i="34"/>
  <c r="P38" i="34"/>
  <c r="O38" i="34"/>
  <c r="S38" i="34"/>
  <c r="AK36" i="34"/>
  <c r="AJ36" i="34"/>
  <c r="AI36" i="34"/>
  <c r="AF36" i="34"/>
  <c r="AE36" i="34"/>
  <c r="AD36" i="34"/>
  <c r="AC36" i="34"/>
  <c r="AB36" i="34"/>
  <c r="AA36" i="34"/>
  <c r="Z36" i="34"/>
  <c r="AG35" i="34"/>
  <c r="AF35" i="34"/>
  <c r="AE35" i="34"/>
  <c r="AD35" i="34"/>
  <c r="AB35" i="34"/>
  <c r="AA35" i="34"/>
  <c r="Z35" i="34"/>
  <c r="Y35" i="34"/>
  <c r="AC35" i="34"/>
  <c r="W35" i="34"/>
  <c r="V35" i="34"/>
  <c r="U35" i="34"/>
  <c r="T35" i="34"/>
  <c r="X35" i="34"/>
  <c r="BF33" i="34"/>
  <c r="BK33" i="34"/>
  <c r="BE33" i="34"/>
  <c r="BJ33" i="34"/>
  <c r="BD33" i="34"/>
  <c r="BI33" i="34"/>
  <c r="BC33" i="34"/>
  <c r="BH33" i="34"/>
  <c r="AI33" i="34"/>
  <c r="AN32" i="34"/>
  <c r="AK32" i="34"/>
  <c r="AP32" i="34"/>
  <c r="AJ32" i="34"/>
  <c r="AI32" i="34"/>
  <c r="AF32" i="34"/>
  <c r="AE32" i="34"/>
  <c r="AD32" i="34"/>
  <c r="AK30" i="34"/>
  <c r="AJ30" i="34"/>
  <c r="AI30" i="34"/>
  <c r="AH29" i="34"/>
  <c r="BI23" i="34"/>
  <c r="BH23" i="34"/>
  <c r="BF23" i="34"/>
  <c r="BK23" i="34"/>
  <c r="BE23" i="34"/>
  <c r="BJ23" i="34"/>
  <c r="BD23" i="34"/>
  <c r="BC23" i="34"/>
  <c r="BA23" i="34"/>
  <c r="AZ23" i="34"/>
  <c r="AY23" i="34"/>
  <c r="AX23" i="34"/>
  <c r="AE22" i="34"/>
  <c r="AD22" i="34"/>
  <c r="AI19" i="34"/>
  <c r="AF19" i="34"/>
  <c r="AE19" i="34"/>
  <c r="AD19" i="34"/>
  <c r="AF17" i="34"/>
  <c r="BA16" i="34"/>
  <c r="AZ16" i="34"/>
  <c r="AY16" i="34"/>
  <c r="AX16" i="34"/>
  <c r="AV16" i="34"/>
  <c r="AU16" i="34"/>
  <c r="AT16" i="34"/>
  <c r="AS16" i="34"/>
  <c r="AQ16" i="34"/>
  <c r="AP16" i="34"/>
  <c r="AO16" i="34"/>
  <c r="AN16" i="34"/>
  <c r="AF16" i="34"/>
  <c r="AE16" i="34"/>
  <c r="AD16" i="34"/>
  <c r="AD15" i="34"/>
  <c r="AB16" i="34"/>
  <c r="AB15" i="34"/>
  <c r="AB6" i="34"/>
  <c r="AA16" i="34"/>
  <c r="AA15" i="34"/>
  <c r="AA6" i="34"/>
  <c r="Z16" i="34"/>
  <c r="Z15" i="34"/>
  <c r="Y16" i="34"/>
  <c r="Y15" i="34"/>
  <c r="AC15" i="34"/>
  <c r="W16" i="34"/>
  <c r="W15" i="34"/>
  <c r="V16" i="34"/>
  <c r="V15" i="34"/>
  <c r="U16" i="34"/>
  <c r="U15" i="34"/>
  <c r="T16" i="34"/>
  <c r="M16" i="34"/>
  <c r="AK15" i="34"/>
  <c r="AK17" i="34"/>
  <c r="AJ15" i="34"/>
  <c r="AI15" i="34"/>
  <c r="AG15" i="34"/>
  <c r="AF15" i="34"/>
  <c r="AF6" i="34"/>
  <c r="AE15" i="34"/>
  <c r="M15" i="34"/>
  <c r="N15" i="34"/>
  <c r="AK13" i="34"/>
  <c r="AJ13" i="34"/>
  <c r="AI13" i="34"/>
  <c r="AG13" i="34"/>
  <c r="AF13" i="34"/>
  <c r="AE13" i="34"/>
  <c r="AD13" i="34"/>
  <c r="AH8" i="34"/>
  <c r="AC8" i="34"/>
  <c r="AC7" i="34"/>
  <c r="AB7" i="34"/>
  <c r="AA7" i="34"/>
  <c r="Z7" i="34"/>
  <c r="Y7" i="34"/>
  <c r="AD6" i="34"/>
  <c r="Z6" i="34"/>
  <c r="Y6" i="34"/>
  <c r="AC6" i="34"/>
  <c r="AK143" i="33"/>
  <c r="AJ143" i="33"/>
  <c r="AI143" i="33"/>
  <c r="AH143" i="33"/>
  <c r="AG143" i="33"/>
  <c r="AF143" i="33"/>
  <c r="AE143" i="33"/>
  <c r="AD143" i="33"/>
  <c r="AH142" i="33"/>
  <c r="AC142" i="33"/>
  <c r="AK140" i="33"/>
  <c r="AJ140" i="33"/>
  <c r="AI140" i="33"/>
  <c r="AG140" i="33"/>
  <c r="AF140" i="33"/>
  <c r="AE140" i="33"/>
  <c r="AD140" i="33"/>
  <c r="AH139" i="33"/>
  <c r="AH140" i="33"/>
  <c r="AC139" i="33"/>
  <c r="AK137" i="33"/>
  <c r="AJ137" i="33"/>
  <c r="AI137" i="33"/>
  <c r="AH137" i="33"/>
  <c r="AG137" i="33"/>
  <c r="AF137" i="33"/>
  <c r="AE137" i="33"/>
  <c r="AD137" i="33"/>
  <c r="AH136" i="33"/>
  <c r="AC136" i="33"/>
  <c r="AJ134" i="33"/>
  <c r="AI134" i="33"/>
  <c r="AG134" i="33"/>
  <c r="AF134" i="33"/>
  <c r="AE134" i="33"/>
  <c r="AD134" i="33"/>
  <c r="AK133" i="33"/>
  <c r="AJ133" i="33"/>
  <c r="AI133" i="33"/>
  <c r="AH133" i="33"/>
  <c r="AG133" i="33"/>
  <c r="AF133" i="33"/>
  <c r="AE133" i="33"/>
  <c r="AD133" i="33"/>
  <c r="AK132" i="33"/>
  <c r="AJ132" i="33"/>
  <c r="AD132" i="33"/>
  <c r="AS131" i="33"/>
  <c r="AL131" i="33"/>
  <c r="AK131" i="33"/>
  <c r="AJ131" i="33"/>
  <c r="AI131" i="33"/>
  <c r="AH131" i="33"/>
  <c r="AG131" i="33"/>
  <c r="AF131" i="33"/>
  <c r="AE131" i="33"/>
  <c r="AD131" i="33"/>
  <c r="AJ130" i="33"/>
  <c r="AI130" i="33"/>
  <c r="AG130" i="33"/>
  <c r="AF130" i="33"/>
  <c r="AE130" i="33"/>
  <c r="AD130" i="33"/>
  <c r="AH127" i="33"/>
  <c r="AH134" i="33"/>
  <c r="AC127" i="33"/>
  <c r="AI126" i="33"/>
  <c r="AE126" i="33"/>
  <c r="AD126" i="33"/>
  <c r="AP125" i="33"/>
  <c r="AU125" i="33"/>
  <c r="AO125" i="33"/>
  <c r="AT125" i="33"/>
  <c r="AY125" i="33"/>
  <c r="AN125" i="33"/>
  <c r="AN59" i="33"/>
  <c r="AM125" i="33"/>
  <c r="AM133" i="33"/>
  <c r="AL125" i="33"/>
  <c r="AQ125" i="33"/>
  <c r="AV125" i="33"/>
  <c r="AH125" i="33"/>
  <c r="AC125" i="33"/>
  <c r="AO124" i="33"/>
  <c r="AN124" i="33"/>
  <c r="AL124" i="33"/>
  <c r="AK124" i="33"/>
  <c r="AK127" i="33"/>
  <c r="AJ124" i="33"/>
  <c r="AJ67" i="33"/>
  <c r="AI124" i="33"/>
  <c r="AG124" i="33"/>
  <c r="AG132" i="33"/>
  <c r="AF124" i="33"/>
  <c r="AF132" i="33"/>
  <c r="AE124" i="33"/>
  <c r="AD124" i="33"/>
  <c r="AB124" i="33"/>
  <c r="AB126" i="33"/>
  <c r="AA124" i="33"/>
  <c r="AA126" i="33"/>
  <c r="Z124" i="33"/>
  <c r="Z126" i="33"/>
  <c r="Y124" i="33"/>
  <c r="BD123" i="33"/>
  <c r="AY123" i="33"/>
  <c r="AY131" i="33"/>
  <c r="AX123" i="33"/>
  <c r="AS123" i="33"/>
  <c r="AO123" i="33"/>
  <c r="AT123" i="33"/>
  <c r="AT131" i="33"/>
  <c r="AN123" i="33"/>
  <c r="AN131" i="33"/>
  <c r="AM123" i="33"/>
  <c r="AL123" i="33"/>
  <c r="AH123" i="33"/>
  <c r="AC123" i="33"/>
  <c r="BK122" i="33"/>
  <c r="BA122" i="33"/>
  <c r="BF122" i="33"/>
  <c r="AV122" i="33"/>
  <c r="AQ122" i="33"/>
  <c r="AP122" i="33"/>
  <c r="AO122" i="33"/>
  <c r="AT122" i="33"/>
  <c r="AN122" i="33"/>
  <c r="AL122" i="33"/>
  <c r="AK122" i="33"/>
  <c r="AM122" i="33"/>
  <c r="AM130" i="33"/>
  <c r="AH122" i="33"/>
  <c r="AH130" i="33"/>
  <c r="AC122" i="33"/>
  <c r="AK117" i="33"/>
  <c r="AP117" i="33"/>
  <c r="AJ117" i="33"/>
  <c r="AH117" i="33"/>
  <c r="AH118" i="33"/>
  <c r="AG117" i="33"/>
  <c r="AG118" i="33"/>
  <c r="AF117" i="33"/>
  <c r="AF118" i="33"/>
  <c r="AE117" i="33"/>
  <c r="AE118" i="33"/>
  <c r="AD117" i="33"/>
  <c r="AD118" i="33"/>
  <c r="AC117" i="33"/>
  <c r="AB117" i="33"/>
  <c r="AA117" i="33"/>
  <c r="Z117" i="33"/>
  <c r="Y117" i="33"/>
  <c r="AL115" i="33"/>
  <c r="AL114" i="33"/>
  <c r="AJ115" i="33"/>
  <c r="AI115" i="33"/>
  <c r="AG115" i="33"/>
  <c r="AF115" i="33"/>
  <c r="AE115" i="33"/>
  <c r="AD115" i="33"/>
  <c r="AK114" i="33"/>
  <c r="AH114" i="33"/>
  <c r="AH115" i="33"/>
  <c r="AC114" i="33"/>
  <c r="AF110" i="33"/>
  <c r="AO109" i="33"/>
  <c r="AL109" i="33"/>
  <c r="AL84" i="33"/>
  <c r="AJ109" i="33"/>
  <c r="AJ110" i="33"/>
  <c r="AG109" i="33"/>
  <c r="AF109" i="33"/>
  <c r="AE109" i="33"/>
  <c r="AD109" i="33"/>
  <c r="AB109" i="33"/>
  <c r="AA109" i="33"/>
  <c r="Z109" i="33"/>
  <c r="Y109" i="33"/>
  <c r="AK107" i="33"/>
  <c r="AJ107" i="33"/>
  <c r="AI107" i="33"/>
  <c r="AH107" i="33"/>
  <c r="AG107" i="33"/>
  <c r="AF107" i="33"/>
  <c r="AE107" i="33"/>
  <c r="AD107" i="33"/>
  <c r="AB107" i="33"/>
  <c r="AA107" i="33"/>
  <c r="Z107" i="33"/>
  <c r="Y107" i="33"/>
  <c r="AK105" i="33"/>
  <c r="AJ105" i="33"/>
  <c r="AI105" i="33"/>
  <c r="AH105" i="33"/>
  <c r="AG105" i="33"/>
  <c r="AF105" i="33"/>
  <c r="AE105" i="33"/>
  <c r="AD105" i="33"/>
  <c r="AQ104" i="33"/>
  <c r="AR104" i="33"/>
  <c r="AP104" i="33"/>
  <c r="AU104" i="33"/>
  <c r="AZ104" i="33"/>
  <c r="BE104" i="33"/>
  <c r="BJ104" i="33"/>
  <c r="AO104" i="33"/>
  <c r="AT104" i="33"/>
  <c r="AY104" i="33"/>
  <c r="BD104" i="33"/>
  <c r="BI104" i="33"/>
  <c r="AN104" i="33"/>
  <c r="AS104" i="33"/>
  <c r="AX104" i="33"/>
  <c r="BC104" i="33"/>
  <c r="BH104" i="33"/>
  <c r="AL104" i="33"/>
  <c r="AM104" i="33"/>
  <c r="AM105" i="33"/>
  <c r="AH104" i="33"/>
  <c r="AI109" i="33"/>
  <c r="AC104" i="33"/>
  <c r="AH102" i="33"/>
  <c r="AC102" i="33"/>
  <c r="AC107" i="33"/>
  <c r="AK100" i="33"/>
  <c r="AJ100" i="33"/>
  <c r="AI100" i="33"/>
  <c r="AG100" i="33"/>
  <c r="AF100" i="33"/>
  <c r="AE100" i="33"/>
  <c r="AD100" i="33"/>
  <c r="AC100" i="33"/>
  <c r="AB100" i="33"/>
  <c r="AA100" i="33"/>
  <c r="Z100" i="33"/>
  <c r="Y100" i="33"/>
  <c r="AK98" i="33"/>
  <c r="AJ98" i="33"/>
  <c r="AI98" i="33"/>
  <c r="AH98" i="33"/>
  <c r="AG98" i="33"/>
  <c r="AF98" i="33"/>
  <c r="AE98" i="33"/>
  <c r="AD98" i="33"/>
  <c r="AH97" i="33"/>
  <c r="AC97" i="33"/>
  <c r="AH95" i="33"/>
  <c r="AH100" i="33"/>
  <c r="AC95" i="33"/>
  <c r="AJ93" i="33"/>
  <c r="AI93" i="33"/>
  <c r="AG93" i="33"/>
  <c r="AF93" i="33"/>
  <c r="AE93" i="33"/>
  <c r="AD93" i="33"/>
  <c r="BK92" i="33"/>
  <c r="BJ92" i="33"/>
  <c r="BI92" i="33"/>
  <c r="BH92" i="33"/>
  <c r="BF92" i="33"/>
  <c r="BE92" i="33"/>
  <c r="BD92" i="33"/>
  <c r="BC92" i="33"/>
  <c r="BB92" i="33"/>
  <c r="BA92" i="33"/>
  <c r="AZ92" i="33"/>
  <c r="AY92" i="33"/>
  <c r="AX92" i="33"/>
  <c r="AV92" i="33"/>
  <c r="AU92" i="33"/>
  <c r="AT92" i="33"/>
  <c r="AS92" i="33"/>
  <c r="AQ92" i="33"/>
  <c r="AP92" i="33"/>
  <c r="AO92" i="33"/>
  <c r="AJ92" i="33"/>
  <c r="AI92" i="33"/>
  <c r="AH92" i="33"/>
  <c r="AG92" i="33"/>
  <c r="AF92" i="33"/>
  <c r="AE92" i="33"/>
  <c r="AD92" i="33"/>
  <c r="AK91" i="33"/>
  <c r="AJ91" i="33"/>
  <c r="AI91" i="33"/>
  <c r="AG91" i="33"/>
  <c r="AF91" i="33"/>
  <c r="AE91" i="33"/>
  <c r="AD91" i="33"/>
  <c r="AJ90" i="33"/>
  <c r="AI90" i="33"/>
  <c r="AG90" i="33"/>
  <c r="AF90" i="33"/>
  <c r="AE90" i="33"/>
  <c r="AD90" i="33"/>
  <c r="AH87" i="33"/>
  <c r="AC87" i="33"/>
  <c r="BL86" i="33"/>
  <c r="BG86" i="33"/>
  <c r="BB86" i="33"/>
  <c r="AW86" i="33"/>
  <c r="AR86" i="33"/>
  <c r="AJ86" i="33"/>
  <c r="AI86" i="33"/>
  <c r="AH86" i="33"/>
  <c r="AG86" i="33"/>
  <c r="AL92" i="33"/>
  <c r="AF86" i="33"/>
  <c r="AK92" i="33"/>
  <c r="AE86" i="33"/>
  <c r="AD86" i="33"/>
  <c r="AB86" i="33"/>
  <c r="AA86" i="33"/>
  <c r="AC86" i="33"/>
  <c r="Z86" i="33"/>
  <c r="Y86" i="33"/>
  <c r="AH85" i="33"/>
  <c r="AH91" i="33"/>
  <c r="AC85" i="33"/>
  <c r="AH84" i="33"/>
  <c r="AC84" i="33"/>
  <c r="AG80" i="33"/>
  <c r="BK79" i="33"/>
  <c r="BJ79" i="33"/>
  <c r="BI79" i="33"/>
  <c r="BH79" i="33"/>
  <c r="BF79" i="33"/>
  <c r="BE79" i="33"/>
  <c r="BD79" i="33"/>
  <c r="BC79" i="33"/>
  <c r="BA79" i="33"/>
  <c r="AZ79" i="33"/>
  <c r="AY79" i="33"/>
  <c r="AX79" i="33"/>
  <c r="AW79" i="33"/>
  <c r="AV79" i="33"/>
  <c r="AU79" i="33"/>
  <c r="AT79" i="33"/>
  <c r="AS79" i="33"/>
  <c r="AQ79" i="33"/>
  <c r="AL79" i="33"/>
  <c r="AK78" i="33"/>
  <c r="AJ78" i="33"/>
  <c r="AI78" i="33"/>
  <c r="AG78" i="33"/>
  <c r="AF78" i="33"/>
  <c r="AK77" i="33"/>
  <c r="AJ77" i="33"/>
  <c r="AI77" i="33"/>
  <c r="AG77" i="33"/>
  <c r="AF77" i="33"/>
  <c r="AG74" i="33"/>
  <c r="AG60" i="33"/>
  <c r="AE74" i="33"/>
  <c r="AE80" i="33"/>
  <c r="AD74" i="33"/>
  <c r="AD80" i="33"/>
  <c r="AB74" i="33"/>
  <c r="AB73" i="33"/>
  <c r="AG79" i="33"/>
  <c r="Z74" i="33"/>
  <c r="BL73" i="33"/>
  <c r="BL79" i="33"/>
  <c r="BG73" i="33"/>
  <c r="BB73" i="33"/>
  <c r="BB79" i="33"/>
  <c r="AW73" i="33"/>
  <c r="AR73" i="33"/>
  <c r="AI73" i="33"/>
  <c r="AN79" i="33"/>
  <c r="AG73" i="33"/>
  <c r="AH72" i="33"/>
  <c r="AC72" i="33"/>
  <c r="AB72" i="33"/>
  <c r="Z72" i="33"/>
  <c r="AE78" i="33"/>
  <c r="Y72" i="33"/>
  <c r="AD78" i="33"/>
  <c r="AC71" i="33"/>
  <c r="AK70" i="33"/>
  <c r="AK71" i="33"/>
  <c r="AJ70" i="33"/>
  <c r="AJ71" i="33"/>
  <c r="AI70" i="33"/>
  <c r="AI71" i="33"/>
  <c r="AH70" i="33"/>
  <c r="AG70" i="33"/>
  <c r="AG71" i="33"/>
  <c r="AF70" i="33"/>
  <c r="AF71" i="33"/>
  <c r="AE70" i="33"/>
  <c r="AE71" i="33"/>
  <c r="AD70" i="33"/>
  <c r="AD71" i="33"/>
  <c r="AC70" i="33"/>
  <c r="AB70" i="33"/>
  <c r="AA70" i="33"/>
  <c r="AA72" i="33"/>
  <c r="Z70" i="33"/>
  <c r="Y70" i="33"/>
  <c r="AH69" i="33"/>
  <c r="AA69" i="33"/>
  <c r="Z69" i="33"/>
  <c r="AE77" i="33"/>
  <c r="Y69" i="33"/>
  <c r="AD77" i="33"/>
  <c r="AJ68" i="33"/>
  <c r="AC68" i="33"/>
  <c r="AI67" i="33"/>
  <c r="AI68" i="33"/>
  <c r="AG67" i="33"/>
  <c r="AG68" i="33"/>
  <c r="AF67" i="33"/>
  <c r="AF68" i="33"/>
  <c r="AE67" i="33"/>
  <c r="AE68" i="33"/>
  <c r="AB67" i="33"/>
  <c r="AB69" i="33"/>
  <c r="AA67" i="33"/>
  <c r="Z67" i="33"/>
  <c r="Y67" i="33"/>
  <c r="AK63" i="33"/>
  <c r="AJ63" i="33"/>
  <c r="AI63" i="33"/>
  <c r="AG63" i="33"/>
  <c r="AF63" i="33"/>
  <c r="AE63" i="33"/>
  <c r="AD63" i="33"/>
  <c r="AH62" i="33"/>
  <c r="AC62" i="33"/>
  <c r="AC74" i="33"/>
  <c r="AD60" i="33"/>
  <c r="AB60" i="33"/>
  <c r="Z60" i="33"/>
  <c r="AT59" i="33"/>
  <c r="AQ59" i="33"/>
  <c r="AP59" i="33"/>
  <c r="AM59" i="33"/>
  <c r="AL59" i="33"/>
  <c r="AK59" i="33"/>
  <c r="AK74" i="33"/>
  <c r="AJ59" i="33"/>
  <c r="AJ74" i="33"/>
  <c r="AI59" i="33"/>
  <c r="AI74" i="33"/>
  <c r="AH59" i="33"/>
  <c r="AG59" i="33"/>
  <c r="AF59" i="33"/>
  <c r="AF74" i="33"/>
  <c r="AE59" i="33"/>
  <c r="AD59" i="33"/>
  <c r="AC59" i="33"/>
  <c r="AB59" i="33"/>
  <c r="AA59" i="33"/>
  <c r="AA74" i="33"/>
  <c r="Z59" i="33"/>
  <c r="Y59" i="33"/>
  <c r="Y74" i="33"/>
  <c r="AD53" i="33"/>
  <c r="BK52" i="33"/>
  <c r="BJ52" i="33"/>
  <c r="BI52" i="33"/>
  <c r="BH52" i="33"/>
  <c r="BF52" i="33"/>
  <c r="BE52" i="33"/>
  <c r="BD52" i="33"/>
  <c r="BC52" i="33"/>
  <c r="BA52" i="33"/>
  <c r="AZ52" i="33"/>
  <c r="AY52" i="33"/>
  <c r="AX52" i="33"/>
  <c r="AW52" i="33"/>
  <c r="AV52" i="33"/>
  <c r="AU52" i="33"/>
  <c r="AT52" i="33"/>
  <c r="AS52" i="33"/>
  <c r="AQ52" i="33"/>
  <c r="AF52" i="33"/>
  <c r="AF51" i="33"/>
  <c r="AK48" i="33"/>
  <c r="AJ48" i="33"/>
  <c r="AI48" i="33"/>
  <c r="AG48" i="33"/>
  <c r="AG53" i="33"/>
  <c r="AF48" i="33"/>
  <c r="AE48" i="33"/>
  <c r="AE47" i="33"/>
  <c r="AE52" i="33"/>
  <c r="AD48" i="33"/>
  <c r="AB48" i="33"/>
  <c r="AA48" i="33"/>
  <c r="Z48" i="33"/>
  <c r="Y48" i="33"/>
  <c r="BL47" i="33"/>
  <c r="BG47" i="33"/>
  <c r="BB47" i="33"/>
  <c r="AW47" i="33"/>
  <c r="AR47" i="33"/>
  <c r="AK47" i="33"/>
  <c r="AP52" i="33"/>
  <c r="AF47" i="33"/>
  <c r="AK52" i="33"/>
  <c r="AB47" i="33"/>
  <c r="AA47" i="33"/>
  <c r="Z47" i="33"/>
  <c r="AK46" i="33"/>
  <c r="AK51" i="33"/>
  <c r="AJ46" i="33"/>
  <c r="AI46" i="33"/>
  <c r="AG46" i="33"/>
  <c r="AG51" i="33"/>
  <c r="AF46" i="33"/>
  <c r="AE46" i="33"/>
  <c r="AE51" i="33"/>
  <c r="AD46" i="33"/>
  <c r="AD51" i="33"/>
  <c r="AB46" i="33"/>
  <c r="AA46" i="33"/>
  <c r="Z46" i="33"/>
  <c r="Y46" i="33"/>
  <c r="Y47" i="33"/>
  <c r="AK43" i="33"/>
  <c r="AJ43" i="33"/>
  <c r="AI43" i="33"/>
  <c r="AG43" i="33"/>
  <c r="AF43" i="33"/>
  <c r="AE43" i="33"/>
  <c r="AD43" i="33"/>
  <c r="AB43" i="33"/>
  <c r="AA43" i="33"/>
  <c r="Z43" i="33"/>
  <c r="Y43" i="33"/>
  <c r="X43" i="33"/>
  <c r="W43" i="33"/>
  <c r="V43" i="33"/>
  <c r="U43" i="33"/>
  <c r="T43" i="33"/>
  <c r="S43" i="33"/>
  <c r="R43" i="33"/>
  <c r="Q43" i="33"/>
  <c r="P43" i="33"/>
  <c r="O43" i="33"/>
  <c r="AH42" i="33"/>
  <c r="AH43" i="33"/>
  <c r="AC42" i="33"/>
  <c r="AC43" i="33"/>
  <c r="X42" i="33"/>
  <c r="S42" i="33"/>
  <c r="N42" i="33"/>
  <c r="AK39" i="33"/>
  <c r="AL39" i="33"/>
  <c r="AN39" i="33"/>
  <c r="AJ39" i="33"/>
  <c r="AI39" i="33"/>
  <c r="AG39" i="33"/>
  <c r="AF39" i="33"/>
  <c r="AE39" i="33"/>
  <c r="AD39" i="33"/>
  <c r="AB39" i="33"/>
  <c r="AA39" i="33"/>
  <c r="Z39" i="33"/>
  <c r="Y39" i="33"/>
  <c r="V39" i="33"/>
  <c r="W37" i="33"/>
  <c r="AB36" i="33"/>
  <c r="AD36" i="33"/>
  <c r="AA36" i="33"/>
  <c r="Z36" i="33"/>
  <c r="Y36" i="33"/>
  <c r="V36" i="33"/>
  <c r="V37" i="33"/>
  <c r="AK33" i="33"/>
  <c r="AJ33" i="33"/>
  <c r="AI33" i="33"/>
  <c r="AG33" i="33"/>
  <c r="AF33" i="33"/>
  <c r="AE33" i="33"/>
  <c r="AD33" i="33"/>
  <c r="BI32" i="33"/>
  <c r="BK32" i="33"/>
  <c r="BJ32" i="33"/>
  <c r="BH32" i="33"/>
  <c r="BK31" i="33"/>
  <c r="BJ31" i="33"/>
  <c r="BI31" i="33"/>
  <c r="BH31" i="33"/>
  <c r="Y31" i="33"/>
  <c r="W31" i="33"/>
  <c r="AB28" i="33"/>
  <c r="AA28" i="33"/>
  <c r="Z28" i="33"/>
  <c r="Y28" i="33"/>
  <c r="W28" i="33"/>
  <c r="V28" i="33"/>
  <c r="U28" i="33"/>
  <c r="T28" i="33"/>
  <c r="S28" i="33"/>
  <c r="R28" i="33"/>
  <c r="Q28" i="33"/>
  <c r="P28" i="33"/>
  <c r="O28" i="33"/>
  <c r="AC27" i="33"/>
  <c r="AC28" i="33"/>
  <c r="X27" i="33"/>
  <c r="X28" i="33"/>
  <c r="S27" i="33"/>
  <c r="N27" i="33"/>
  <c r="AK25" i="33"/>
  <c r="AJ25" i="33"/>
  <c r="AI25" i="33"/>
  <c r="AG25" i="33"/>
  <c r="AF25" i="33"/>
  <c r="AE25" i="33"/>
  <c r="AD25" i="33"/>
  <c r="AA25" i="33"/>
  <c r="AH24" i="33"/>
  <c r="AC24" i="33"/>
  <c r="W24" i="33"/>
  <c r="AA23" i="33"/>
  <c r="AA32" i="33"/>
  <c r="Y23" i="33"/>
  <c r="V23" i="33"/>
  <c r="AB22" i="33"/>
  <c r="AB23" i="33"/>
  <c r="AA22" i="33"/>
  <c r="Z22" i="33"/>
  <c r="Z31" i="33"/>
  <c r="Y22" i="33"/>
  <c r="W22" i="33"/>
  <c r="V22" i="33"/>
  <c r="V24" i="33"/>
  <c r="U22" i="33"/>
  <c r="T22" i="33"/>
  <c r="R22" i="33"/>
  <c r="Q22" i="33"/>
  <c r="P22" i="33"/>
  <c r="O22" i="33"/>
  <c r="M22" i="33"/>
  <c r="L22" i="33"/>
  <c r="K22" i="33"/>
  <c r="J22" i="33"/>
  <c r="AK17" i="33"/>
  <c r="AJ17" i="33"/>
  <c r="AI17" i="33"/>
  <c r="AG17" i="33"/>
  <c r="AF17" i="33"/>
  <c r="AE17" i="33"/>
  <c r="AD17" i="33"/>
  <c r="AB17" i="33"/>
  <c r="AA17" i="33"/>
  <c r="Z17" i="33"/>
  <c r="Y17" i="33"/>
  <c r="W17" i="33"/>
  <c r="V17" i="33"/>
  <c r="U17" i="33"/>
  <c r="T17" i="33"/>
  <c r="R17" i="33"/>
  <c r="Q17" i="33"/>
  <c r="P17" i="33"/>
  <c r="BL16" i="33"/>
  <c r="BK16" i="33"/>
  <c r="BJ16" i="33"/>
  <c r="BI16" i="33"/>
  <c r="BH16" i="33"/>
  <c r="BF16" i="33"/>
  <c r="BE16" i="33"/>
  <c r="BD16" i="33"/>
  <c r="BC16" i="33"/>
  <c r="BA16" i="33"/>
  <c r="AZ16" i="33"/>
  <c r="AY16" i="33"/>
  <c r="AX16" i="33"/>
  <c r="AW16" i="33"/>
  <c r="AV16" i="33"/>
  <c r="AU16" i="33"/>
  <c r="AT16" i="33"/>
  <c r="AS16" i="33"/>
  <c r="AR16" i="33"/>
  <c r="AQ16" i="33"/>
  <c r="AP16" i="33"/>
  <c r="AO16" i="33"/>
  <c r="AI16" i="33"/>
  <c r="Y16" i="33"/>
  <c r="W16" i="33"/>
  <c r="V16" i="33"/>
  <c r="U16" i="33"/>
  <c r="T16" i="33"/>
  <c r="AL15" i="33"/>
  <c r="AK15" i="33"/>
  <c r="AJ15" i="33"/>
  <c r="AI15" i="33"/>
  <c r="AG15" i="33"/>
  <c r="AF15" i="33"/>
  <c r="AE15" i="33"/>
  <c r="AD15" i="33"/>
  <c r="AC15" i="33"/>
  <c r="AB15" i="33"/>
  <c r="AA15" i="33"/>
  <c r="Z15" i="33"/>
  <c r="Y15" i="33"/>
  <c r="AK14" i="33"/>
  <c r="AJ14" i="33"/>
  <c r="AI14" i="33"/>
  <c r="AG14" i="33"/>
  <c r="AF14" i="33"/>
  <c r="AE14" i="33"/>
  <c r="AD14" i="33"/>
  <c r="AB14" i="33"/>
  <c r="AA14" i="33"/>
  <c r="Z14" i="33"/>
  <c r="Y14" i="33"/>
  <c r="W14" i="33"/>
  <c r="V14" i="33"/>
  <c r="U14" i="33"/>
  <c r="T14" i="33"/>
  <c r="R14" i="33"/>
  <c r="AK13" i="33"/>
  <c r="AJ13" i="33"/>
  <c r="AI13" i="33"/>
  <c r="AG13" i="33"/>
  <c r="AF13" i="33"/>
  <c r="AE13" i="33"/>
  <c r="AD13" i="33"/>
  <c r="AC13" i="33"/>
  <c r="AB13" i="33"/>
  <c r="AA13" i="33"/>
  <c r="Z13" i="33"/>
  <c r="Y13" i="33"/>
  <c r="X13" i="33"/>
  <c r="W13" i="33"/>
  <c r="V13" i="33"/>
  <c r="U13" i="33"/>
  <c r="T13" i="33"/>
  <c r="R13" i="33"/>
  <c r="P13" i="33"/>
  <c r="AH10" i="33"/>
  <c r="AC10" i="33"/>
  <c r="AC17" i="33"/>
  <c r="X10" i="33"/>
  <c r="S10" i="33"/>
  <c r="O17" i="33"/>
  <c r="BL9" i="33"/>
  <c r="BG9" i="33"/>
  <c r="BG16" i="33"/>
  <c r="BB9" i="33"/>
  <c r="AW9" i="33"/>
  <c r="BB16" i="33"/>
  <c r="AR9" i="33"/>
  <c r="AM9" i="33"/>
  <c r="AK9" i="33"/>
  <c r="AK16" i="33"/>
  <c r="AJ9" i="33"/>
  <c r="AI9" i="33"/>
  <c r="AN16" i="33"/>
  <c r="AG9" i="33"/>
  <c r="AF9" i="33"/>
  <c r="AE9" i="33"/>
  <c r="AD9" i="33"/>
  <c r="AB9" i="33"/>
  <c r="AB16" i="33"/>
  <c r="AA9" i="33"/>
  <c r="AA16" i="33"/>
  <c r="Z9" i="33"/>
  <c r="Z16" i="33"/>
  <c r="Y9" i="33"/>
  <c r="W9" i="33"/>
  <c r="V9" i="33"/>
  <c r="U9" i="33"/>
  <c r="T9" i="33"/>
  <c r="R9" i="33"/>
  <c r="Q9" i="33"/>
  <c r="P9" i="33"/>
  <c r="O9" i="33"/>
  <c r="AR8" i="33"/>
  <c r="AR15" i="33"/>
  <c r="AM8" i="33"/>
  <c r="AH8" i="33"/>
  <c r="AC8" i="33"/>
  <c r="X8" i="33"/>
  <c r="AH7" i="33"/>
  <c r="AH14" i="33"/>
  <c r="AC7" i="33"/>
  <c r="AC14" i="33"/>
  <c r="X7" i="33"/>
  <c r="S7" i="33"/>
  <c r="Q14" i="33"/>
  <c r="P14" i="33"/>
  <c r="AH6" i="33"/>
  <c r="AH13" i="33"/>
  <c r="AC6" i="33"/>
  <c r="AC48" i="33"/>
  <c r="X6" i="33"/>
  <c r="X9" i="33"/>
  <c r="S6" i="33"/>
  <c r="N6" i="33"/>
  <c r="AE45" i="32"/>
  <c r="AK44" i="32"/>
  <c r="AJ44" i="32"/>
  <c r="AI44" i="32"/>
  <c r="AH44" i="32"/>
  <c r="AG44" i="32"/>
  <c r="AF44" i="32"/>
  <c r="AE44" i="32"/>
  <c r="AD44" i="32"/>
  <c r="AC44" i="32"/>
  <c r="AB44" i="32"/>
  <c r="AA44" i="32"/>
  <c r="Z44" i="32"/>
  <c r="Y44" i="32"/>
  <c r="X44" i="32"/>
  <c r="W44" i="32"/>
  <c r="V44" i="32"/>
  <c r="U44" i="32"/>
  <c r="T44" i="32"/>
  <c r="S44" i="32"/>
  <c r="R44" i="32"/>
  <c r="Q44" i="32"/>
  <c r="P44" i="32"/>
  <c r="O44" i="32"/>
  <c r="BI43" i="32"/>
  <c r="BE43" i="32"/>
  <c r="BJ43" i="32"/>
  <c r="BD43" i="32"/>
  <c r="AY43" i="32"/>
  <c r="AV43" i="32"/>
  <c r="BA43" i="32"/>
  <c r="BF43" i="32"/>
  <c r="BK43" i="32"/>
  <c r="AU43" i="32"/>
  <c r="AZ43" i="32"/>
  <c r="AT43" i="32"/>
  <c r="AS43" i="32"/>
  <c r="AX43" i="32"/>
  <c r="BC43" i="32"/>
  <c r="BH43" i="32"/>
  <c r="AK43" i="32"/>
  <c r="AJ43" i="32"/>
  <c r="AI43" i="32"/>
  <c r="AH43" i="32"/>
  <c r="AG43" i="32"/>
  <c r="AF43" i="32"/>
  <c r="AE43" i="32"/>
  <c r="AD43" i="32"/>
  <c r="AC43" i="32"/>
  <c r="AB43" i="32"/>
  <c r="AA43" i="32"/>
  <c r="Z43" i="32"/>
  <c r="Y43" i="32"/>
  <c r="X43" i="32"/>
  <c r="W43" i="32"/>
  <c r="V43" i="32"/>
  <c r="U43" i="32"/>
  <c r="T43" i="32"/>
  <c r="S43" i="32"/>
  <c r="R43" i="32"/>
  <c r="Q43" i="32"/>
  <c r="P43" i="32"/>
  <c r="O43" i="32"/>
  <c r="AK42" i="32"/>
  <c r="AJ42" i="32"/>
  <c r="AI42" i="32"/>
  <c r="AH42" i="32"/>
  <c r="AG42" i="32"/>
  <c r="AF42" i="32"/>
  <c r="AE42" i="32"/>
  <c r="AD42" i="32"/>
  <c r="AC42" i="32"/>
  <c r="AB42" i="32"/>
  <c r="AA42" i="32"/>
  <c r="Z42" i="32"/>
  <c r="Y42" i="32"/>
  <c r="X42" i="32"/>
  <c r="W42" i="32"/>
  <c r="V42" i="32"/>
  <c r="U42" i="32"/>
  <c r="T42" i="32"/>
  <c r="S42" i="32"/>
  <c r="R42" i="32"/>
  <c r="Q42" i="32"/>
  <c r="P42" i="32"/>
  <c r="O42" i="32"/>
  <c r="AG39" i="32"/>
  <c r="AE39" i="32"/>
  <c r="AB39" i="32"/>
  <c r="AA39" i="32"/>
  <c r="Z39" i="32"/>
  <c r="AT38" i="32"/>
  <c r="AP38" i="32"/>
  <c r="AU38" i="32"/>
  <c r="AO38" i="32"/>
  <c r="AN38" i="32"/>
  <c r="AS38" i="32"/>
  <c r="AL38" i="32"/>
  <c r="AL8" i="32"/>
  <c r="AL16" i="32"/>
  <c r="AU37" i="32"/>
  <c r="AT37" i="32"/>
  <c r="AS37" i="32"/>
  <c r="AP37" i="32"/>
  <c r="AO37" i="32"/>
  <c r="AN37" i="32"/>
  <c r="AL37" i="32"/>
  <c r="AQ37" i="32"/>
  <c r="AV36" i="32"/>
  <c r="BA36" i="32"/>
  <c r="BF36" i="32"/>
  <c r="AT36" i="32"/>
  <c r="AY36" i="32"/>
  <c r="BD36" i="32"/>
  <c r="AQ36" i="32"/>
  <c r="AP36" i="32"/>
  <c r="AO36" i="32"/>
  <c r="AN36" i="32"/>
  <c r="AS36" i="32"/>
  <c r="AX36" i="32"/>
  <c r="AL36" i="32"/>
  <c r="AG33" i="32"/>
  <c r="AF33" i="32"/>
  <c r="AB33" i="32"/>
  <c r="AA33" i="32"/>
  <c r="Z33" i="32"/>
  <c r="BK32" i="32"/>
  <c r="BJ32" i="32"/>
  <c r="BI32" i="32"/>
  <c r="BH32" i="32"/>
  <c r="BL32" i="32"/>
  <c r="BF32" i="32"/>
  <c r="BG32" i="32"/>
  <c r="BE32" i="32"/>
  <c r="BD32" i="32"/>
  <c r="BC32" i="32"/>
  <c r="BA32" i="32"/>
  <c r="AZ32" i="32"/>
  <c r="AY32" i="32"/>
  <c r="AL32" i="32"/>
  <c r="AK32" i="32"/>
  <c r="AJ32" i="32"/>
  <c r="AG32" i="32"/>
  <c r="AF32" i="32"/>
  <c r="AE32" i="32"/>
  <c r="AB32" i="32"/>
  <c r="AA32" i="32"/>
  <c r="Z32" i="32"/>
  <c r="W32" i="32"/>
  <c r="V32" i="32"/>
  <c r="U32" i="32"/>
  <c r="T32" i="32"/>
  <c r="X32" i="32"/>
  <c r="R32" i="32"/>
  <c r="Q32" i="32"/>
  <c r="S32" i="32"/>
  <c r="P32" i="32"/>
  <c r="O32" i="32"/>
  <c r="AK31" i="32"/>
  <c r="AJ31" i="32"/>
  <c r="AI31" i="32"/>
  <c r="AG31" i="32"/>
  <c r="AF31" i="32"/>
  <c r="AE31" i="32"/>
  <c r="AE33" i="32"/>
  <c r="AD31" i="32"/>
  <c r="AH31" i="32"/>
  <c r="AB31" i="32"/>
  <c r="AA31" i="32"/>
  <c r="Z31" i="32"/>
  <c r="W31" i="32"/>
  <c r="V31" i="32"/>
  <c r="U31" i="32"/>
  <c r="R31" i="32"/>
  <c r="Q31" i="32"/>
  <c r="P31" i="32"/>
  <c r="AK30" i="32"/>
  <c r="AK33" i="32"/>
  <c r="AJ30" i="32"/>
  <c r="AJ33" i="32"/>
  <c r="AI30" i="32"/>
  <c r="AG30" i="32"/>
  <c r="AF30" i="32"/>
  <c r="AE30" i="32"/>
  <c r="AD30" i="32"/>
  <c r="AH30" i="32"/>
  <c r="AB30" i="32"/>
  <c r="AA30" i="32"/>
  <c r="Z30" i="32"/>
  <c r="Y30" i="32"/>
  <c r="W30" i="32"/>
  <c r="W33" i="32"/>
  <c r="V30" i="32"/>
  <c r="V33" i="32"/>
  <c r="U30" i="32"/>
  <c r="U33" i="32"/>
  <c r="T30" i="32"/>
  <c r="R30" i="32"/>
  <c r="R33" i="32"/>
  <c r="Q30" i="32"/>
  <c r="Q33" i="32"/>
  <c r="P30" i="32"/>
  <c r="P33" i="32"/>
  <c r="AV27" i="32"/>
  <c r="BA27" i="32"/>
  <c r="BF27" i="32"/>
  <c r="BK27" i="32"/>
  <c r="AU27" i="32"/>
  <c r="AZ27" i="32"/>
  <c r="BE27" i="32"/>
  <c r="BJ27" i="32"/>
  <c r="AT27" i="32"/>
  <c r="AY27" i="32"/>
  <c r="BD27" i="32"/>
  <c r="BI27" i="32"/>
  <c r="AS27" i="32"/>
  <c r="AX27" i="32"/>
  <c r="BC27" i="32"/>
  <c r="BH27" i="32"/>
  <c r="AI27" i="32"/>
  <c r="AN26" i="32"/>
  <c r="AL26" i="32"/>
  <c r="AK26" i="32"/>
  <c r="AJ26" i="32"/>
  <c r="AI26" i="32"/>
  <c r="AG26" i="32"/>
  <c r="AG27" i="32"/>
  <c r="AF26" i="32"/>
  <c r="AF27" i="32"/>
  <c r="AE26" i="32"/>
  <c r="AE27" i="32"/>
  <c r="AD26" i="32"/>
  <c r="AD27" i="32"/>
  <c r="AB26" i="32"/>
  <c r="AB27" i="32"/>
  <c r="AA26" i="32"/>
  <c r="AA27" i="32"/>
  <c r="Z26" i="32"/>
  <c r="Y26" i="32"/>
  <c r="W26" i="32"/>
  <c r="V26" i="32"/>
  <c r="W39" i="32"/>
  <c r="W45" i="32"/>
  <c r="U26" i="32"/>
  <c r="V39" i="32"/>
  <c r="V45" i="32"/>
  <c r="T26" i="32"/>
  <c r="U39" i="32"/>
  <c r="U45" i="32"/>
  <c r="S26" i="32"/>
  <c r="X39" i="32"/>
  <c r="R26" i="32"/>
  <c r="Q26" i="32"/>
  <c r="R39" i="32"/>
  <c r="P26" i="32"/>
  <c r="Q39" i="32"/>
  <c r="O26" i="32"/>
  <c r="P39" i="32"/>
  <c r="M26" i="32"/>
  <c r="L26" i="32"/>
  <c r="K26" i="32"/>
  <c r="J26" i="32"/>
  <c r="AM25" i="32"/>
  <c r="AN25" i="32"/>
  <c r="AL25" i="32"/>
  <c r="AH25" i="32"/>
  <c r="AI32" i="32"/>
  <c r="AM32" i="32"/>
  <c r="AC25" i="32"/>
  <c r="X25" i="32"/>
  <c r="S25" i="32"/>
  <c r="N25" i="32"/>
  <c r="AL24" i="32"/>
  <c r="AL31" i="32"/>
  <c r="AH24" i="32"/>
  <c r="AC24" i="32"/>
  <c r="AC26" i="32"/>
  <c r="X24" i="32"/>
  <c r="S24" i="32"/>
  <c r="N24" i="32"/>
  <c r="O31" i="32"/>
  <c r="S31" i="32"/>
  <c r="AH23" i="32"/>
  <c r="AC23" i="32"/>
  <c r="X23" i="32"/>
  <c r="S23" i="32"/>
  <c r="N23" i="32"/>
  <c r="O30" i="32"/>
  <c r="O33" i="32"/>
  <c r="AK18" i="32"/>
  <c r="AJ18" i="32"/>
  <c r="AI18" i="32"/>
  <c r="AH18" i="32"/>
  <c r="AG18" i="32"/>
  <c r="AF18" i="32"/>
  <c r="AE18" i="32"/>
  <c r="AD18" i="32"/>
  <c r="AB18" i="32"/>
  <c r="AA18" i="32"/>
  <c r="Z18" i="32"/>
  <c r="Y18" i="32"/>
  <c r="W18" i="32"/>
  <c r="V18" i="32"/>
  <c r="U18" i="32"/>
  <c r="T18" i="32"/>
  <c r="P18" i="32"/>
  <c r="O18" i="32"/>
  <c r="W17" i="32"/>
  <c r="AF16" i="32"/>
  <c r="W16" i="32"/>
  <c r="V16" i="32"/>
  <c r="U16" i="32"/>
  <c r="T16" i="32"/>
  <c r="R16" i="32"/>
  <c r="Q16" i="32"/>
  <c r="AG15" i="32"/>
  <c r="AF15" i="32"/>
  <c r="AE15" i="32"/>
  <c r="AB15" i="32"/>
  <c r="AA15" i="32"/>
  <c r="Z15" i="32"/>
  <c r="AK14" i="32"/>
  <c r="AJ14" i="32"/>
  <c r="W14" i="32"/>
  <c r="V14" i="32"/>
  <c r="U14" i="32"/>
  <c r="T14" i="32"/>
  <c r="P14" i="32"/>
  <c r="AH11" i="32"/>
  <c r="S11" i="32"/>
  <c r="AH10" i="32"/>
  <c r="AH39" i="32"/>
  <c r="AC10" i="32"/>
  <c r="AC18" i="32"/>
  <c r="X10" i="32"/>
  <c r="X18" i="32"/>
  <c r="S10" i="32"/>
  <c r="M9" i="32"/>
  <c r="Q18" i="32"/>
  <c r="K39" i="32"/>
  <c r="AQ9" i="32"/>
  <c r="AV9" i="32"/>
  <c r="BA9" i="32"/>
  <c r="BA17" i="32"/>
  <c r="AK9" i="32"/>
  <c r="AP9" i="32"/>
  <c r="AJ9" i="32"/>
  <c r="AI9" i="32"/>
  <c r="W9" i="32"/>
  <c r="Q9" i="32"/>
  <c r="P9" i="32"/>
  <c r="AK8" i="32"/>
  <c r="AK16" i="32"/>
  <c r="AJ8" i="32"/>
  <c r="AJ16" i="32"/>
  <c r="AI8" i="32"/>
  <c r="AM8" i="32"/>
  <c r="AG8" i="32"/>
  <c r="AF8" i="32"/>
  <c r="AE8" i="32"/>
  <c r="AE16" i="32"/>
  <c r="AB8" i="32"/>
  <c r="AG16" i="32"/>
  <c r="AA8" i="32"/>
  <c r="Z8" i="32"/>
  <c r="W8" i="32"/>
  <c r="V8" i="32"/>
  <c r="AA16" i="32"/>
  <c r="U8" i="32"/>
  <c r="U9" i="32"/>
  <c r="U17" i="32"/>
  <c r="T8" i="32"/>
  <c r="X8" i="32"/>
  <c r="R8" i="32"/>
  <c r="R9" i="32"/>
  <c r="Q8" i="32"/>
  <c r="P8" i="32"/>
  <c r="P16" i="32"/>
  <c r="O8" i="32"/>
  <c r="O16" i="32"/>
  <c r="M8" i="32"/>
  <c r="L8" i="32"/>
  <c r="K8" i="32"/>
  <c r="J8" i="32"/>
  <c r="N8" i="32"/>
  <c r="AL7" i="32"/>
  <c r="AL15" i="32"/>
  <c r="AK7" i="32"/>
  <c r="AJ7" i="32"/>
  <c r="AI7" i="32"/>
  <c r="AG7" i="32"/>
  <c r="AF7" i="32"/>
  <c r="AE7" i="32"/>
  <c r="AD7" i="32"/>
  <c r="AH7" i="32"/>
  <c r="AB7" i="32"/>
  <c r="AA7" i="32"/>
  <c r="Z7" i="32"/>
  <c r="W7" i="32"/>
  <c r="W15" i="32"/>
  <c r="V7" i="32"/>
  <c r="U7" i="32"/>
  <c r="U15" i="32"/>
  <c r="R7" i="32"/>
  <c r="Q7" i="32"/>
  <c r="P7" i="32"/>
  <c r="M7" i="32"/>
  <c r="L7" i="32"/>
  <c r="K7" i="32"/>
  <c r="J7" i="32"/>
  <c r="N7" i="32"/>
  <c r="AK6" i="32"/>
  <c r="AJ6" i="32"/>
  <c r="AI6" i="32"/>
  <c r="AG6" i="32"/>
  <c r="AF6" i="32"/>
  <c r="AE6" i="32"/>
  <c r="AD6" i="32"/>
  <c r="AB6" i="32"/>
  <c r="AA6" i="32"/>
  <c r="Z6" i="32"/>
  <c r="AC6" i="32"/>
  <c r="AC14" i="32"/>
  <c r="Y6" i="32"/>
  <c r="W6" i="32"/>
  <c r="V6" i="32"/>
  <c r="U6" i="32"/>
  <c r="T6" i="32"/>
  <c r="X6" i="32"/>
  <c r="R6" i="32"/>
  <c r="Q6" i="32"/>
  <c r="P6" i="32"/>
  <c r="O6" i="32"/>
  <c r="O14" i="32"/>
  <c r="M6" i="32"/>
  <c r="R14" i="32"/>
  <c r="L6" i="32"/>
  <c r="Q14" i="32"/>
  <c r="K6" i="32"/>
  <c r="J6" i="32"/>
  <c r="BK74" i="31"/>
  <c r="BJ74" i="31"/>
  <c r="BI74" i="31"/>
  <c r="BH74" i="31"/>
  <c r="AA74" i="31"/>
  <c r="Z74" i="31"/>
  <c r="AK73" i="31"/>
  <c r="AJ73" i="31"/>
  <c r="AI73" i="31"/>
  <c r="AH73" i="31"/>
  <c r="AG73" i="31"/>
  <c r="AF73" i="31"/>
  <c r="AE73" i="31"/>
  <c r="AD73" i="31"/>
  <c r="AC73" i="31"/>
  <c r="AB73" i="31"/>
  <c r="AA73" i="31"/>
  <c r="Z73" i="31"/>
  <c r="Y73" i="31"/>
  <c r="X73" i="31"/>
  <c r="W73" i="31"/>
  <c r="V73" i="31"/>
  <c r="U73" i="31"/>
  <c r="T73" i="31"/>
  <c r="S73" i="31"/>
  <c r="R73" i="31"/>
  <c r="Q73" i="31"/>
  <c r="P73" i="31"/>
  <c r="O73" i="31"/>
  <c r="N73" i="31"/>
  <c r="AL70" i="31"/>
  <c r="AK70" i="31"/>
  <c r="AJ70" i="31"/>
  <c r="AI70" i="31"/>
  <c r="AH70" i="31"/>
  <c r="AG70" i="31"/>
  <c r="AG22" i="31"/>
  <c r="AG27" i="31"/>
  <c r="AF70" i="31"/>
  <c r="AE70" i="31"/>
  <c r="AE22" i="31"/>
  <c r="AD70" i="31"/>
  <c r="AC70" i="31"/>
  <c r="AH74" i="31"/>
  <c r="AB70" i="31"/>
  <c r="AG74" i="31"/>
  <c r="AA70" i="31"/>
  <c r="AF74" i="31"/>
  <c r="Z70" i="31"/>
  <c r="AE74" i="31"/>
  <c r="Y70" i="31"/>
  <c r="X70" i="31"/>
  <c r="W70" i="31"/>
  <c r="V70" i="31"/>
  <c r="U70" i="31"/>
  <c r="T70" i="31"/>
  <c r="S70" i="31"/>
  <c r="R70" i="31"/>
  <c r="Q70" i="31"/>
  <c r="P70" i="31"/>
  <c r="O70" i="31"/>
  <c r="N70" i="31"/>
  <c r="M70" i="31"/>
  <c r="M22" i="31"/>
  <c r="L70" i="31"/>
  <c r="K70" i="31"/>
  <c r="K22" i="31"/>
  <c r="J70" i="31"/>
  <c r="I70" i="31"/>
  <c r="N74" i="31"/>
  <c r="AK64" i="31"/>
  <c r="AF64" i="31"/>
  <c r="AE64" i="31"/>
  <c r="R64" i="31"/>
  <c r="AK60" i="31"/>
  <c r="AJ60" i="31"/>
  <c r="AJ58" i="31"/>
  <c r="AB60" i="31"/>
  <c r="W60" i="31"/>
  <c r="V60" i="31"/>
  <c r="U60" i="31"/>
  <c r="R60" i="31"/>
  <c r="Q60" i="31"/>
  <c r="P60" i="31"/>
  <c r="O60" i="31"/>
  <c r="M60" i="31"/>
  <c r="AK59" i="31"/>
  <c r="AJ59" i="31"/>
  <c r="AJ64" i="31"/>
  <c r="AG59" i="31"/>
  <c r="AF59" i="31"/>
  <c r="AE59" i="31"/>
  <c r="AB59" i="31"/>
  <c r="AG64" i="31"/>
  <c r="AA59" i="31"/>
  <c r="Z59" i="31"/>
  <c r="W59" i="31"/>
  <c r="W64" i="31"/>
  <c r="V59" i="31"/>
  <c r="AA64" i="31"/>
  <c r="U59" i="31"/>
  <c r="R59" i="31"/>
  <c r="Q59" i="31"/>
  <c r="P59" i="31"/>
  <c r="P64" i="31"/>
  <c r="M59" i="31"/>
  <c r="L59" i="31"/>
  <c r="Q64" i="31"/>
  <c r="K59" i="31"/>
  <c r="J59" i="31"/>
  <c r="M58" i="31"/>
  <c r="Q51" i="31"/>
  <c r="M51" i="31"/>
  <c r="AG50" i="31"/>
  <c r="AF50" i="31"/>
  <c r="AE50" i="31"/>
  <c r="AC50" i="31"/>
  <c r="AB50" i="31"/>
  <c r="AA50" i="31"/>
  <c r="Z50" i="31"/>
  <c r="W50" i="31"/>
  <c r="V50" i="31"/>
  <c r="U50" i="31"/>
  <c r="T50" i="31"/>
  <c r="X50" i="31"/>
  <c r="R50" i="31"/>
  <c r="Q50" i="31"/>
  <c r="P50" i="31"/>
  <c r="M50" i="31"/>
  <c r="N50" i="31"/>
  <c r="L50" i="31"/>
  <c r="K50" i="31"/>
  <c r="J50" i="31"/>
  <c r="AX49" i="31"/>
  <c r="BC49" i="31"/>
  <c r="BH49" i="31"/>
  <c r="AV49" i="31"/>
  <c r="BA49" i="31"/>
  <c r="BF49" i="31"/>
  <c r="BK49" i="31"/>
  <c r="AU49" i="31"/>
  <c r="AZ49" i="31"/>
  <c r="BE49" i="31"/>
  <c r="BJ49" i="31"/>
  <c r="AT49" i="31"/>
  <c r="AS49" i="31"/>
  <c r="AQ49" i="31"/>
  <c r="AK49" i="31"/>
  <c r="AP49" i="31"/>
  <c r="AR49" i="31"/>
  <c r="AJ49" i="31"/>
  <c r="AG49" i="31"/>
  <c r="AF49" i="31"/>
  <c r="AE49" i="31"/>
  <c r="AB49" i="31"/>
  <c r="AA49" i="31"/>
  <c r="Z49" i="31"/>
  <c r="Y49" i="31"/>
  <c r="AC49" i="31"/>
  <c r="W49" i="31"/>
  <c r="V49" i="31"/>
  <c r="U49" i="31"/>
  <c r="R49" i="31"/>
  <c r="Q49" i="31"/>
  <c r="P49" i="31"/>
  <c r="M49" i="31"/>
  <c r="L49" i="31"/>
  <c r="K49" i="31"/>
  <c r="J49" i="31"/>
  <c r="N49" i="31"/>
  <c r="BL47" i="31"/>
  <c r="BG47" i="31"/>
  <c r="BB47" i="31"/>
  <c r="AW47" i="31"/>
  <c r="AR47" i="31"/>
  <c r="AK47" i="31"/>
  <c r="AJ47" i="31"/>
  <c r="AG47" i="31"/>
  <c r="AF47" i="31"/>
  <c r="Y47" i="31"/>
  <c r="W47" i="31"/>
  <c r="W48" i="31"/>
  <c r="W51" i="31"/>
  <c r="V47" i="31"/>
  <c r="U47" i="31"/>
  <c r="U48" i="31"/>
  <c r="U51" i="31"/>
  <c r="Q47" i="31"/>
  <c r="P47" i="31"/>
  <c r="M47" i="31"/>
  <c r="AN46" i="31"/>
  <c r="AL46" i="31"/>
  <c r="AK46" i="31"/>
  <c r="AP46" i="31"/>
  <c r="AU46" i="31"/>
  <c r="AZ46" i="31"/>
  <c r="BE46" i="31"/>
  <c r="BJ46" i="31"/>
  <c r="AJ46" i="31"/>
  <c r="AI46" i="31"/>
  <c r="AG46" i="31"/>
  <c r="AF46" i="31"/>
  <c r="AE46" i="31"/>
  <c r="AD46" i="31"/>
  <c r="AH46" i="31"/>
  <c r="AB46" i="31"/>
  <c r="AA46" i="31"/>
  <c r="AC46" i="31"/>
  <c r="Z46" i="31"/>
  <c r="W46" i="31"/>
  <c r="V46" i="31"/>
  <c r="V48" i="31"/>
  <c r="V51" i="31"/>
  <c r="U46" i="31"/>
  <c r="R46" i="31"/>
  <c r="Q46" i="31"/>
  <c r="P46" i="31"/>
  <c r="P48" i="31"/>
  <c r="P51" i="31"/>
  <c r="O46" i="31"/>
  <c r="N46" i="31"/>
  <c r="M46" i="31"/>
  <c r="M48" i="31"/>
  <c r="L46" i="31"/>
  <c r="K46" i="31"/>
  <c r="J46" i="31"/>
  <c r="AP45" i="31"/>
  <c r="AK45" i="31"/>
  <c r="AJ45" i="31"/>
  <c r="AO45" i="31"/>
  <c r="AI45" i="31"/>
  <c r="AG45" i="31"/>
  <c r="AF45" i="31"/>
  <c r="AE45" i="31"/>
  <c r="AB45" i="31"/>
  <c r="AA45" i="31"/>
  <c r="AA60" i="31"/>
  <c r="Z45" i="31"/>
  <c r="Z60" i="31"/>
  <c r="W45" i="31"/>
  <c r="V45" i="31"/>
  <c r="U45" i="31"/>
  <c r="R45" i="31"/>
  <c r="Q45" i="31"/>
  <c r="Q48" i="31"/>
  <c r="P45" i="31"/>
  <c r="O45" i="31"/>
  <c r="M45" i="31"/>
  <c r="L45" i="31"/>
  <c r="K45" i="31"/>
  <c r="J45" i="31"/>
  <c r="AK42" i="31"/>
  <c r="AI42" i="31"/>
  <c r="AF42" i="31"/>
  <c r="AD42" i="31"/>
  <c r="AB42" i="31"/>
  <c r="AA42" i="31"/>
  <c r="V42" i="31"/>
  <c r="U42" i="31"/>
  <c r="T42" i="31"/>
  <c r="Q42" i="31"/>
  <c r="O42" i="31"/>
  <c r="L42" i="31"/>
  <c r="J42" i="31"/>
  <c r="AK40" i="31"/>
  <c r="AJ40" i="31"/>
  <c r="AI40" i="31"/>
  <c r="AG40" i="31"/>
  <c r="AF40" i="31"/>
  <c r="AE40" i="31"/>
  <c r="AD40" i="31"/>
  <c r="AB40" i="31"/>
  <c r="AA40" i="31"/>
  <c r="Z40" i="31"/>
  <c r="Y40" i="31"/>
  <c r="W40" i="31"/>
  <c r="V40" i="31"/>
  <c r="U40" i="31"/>
  <c r="T40" i="31"/>
  <c r="R40" i="31"/>
  <c r="Q40" i="31"/>
  <c r="P40" i="31"/>
  <c r="O40" i="31"/>
  <c r="M40" i="31"/>
  <c r="L40" i="31"/>
  <c r="K40" i="31"/>
  <c r="J40" i="31"/>
  <c r="I40" i="31"/>
  <c r="AH39" i="31"/>
  <c r="AI50" i="31"/>
  <c r="AM50" i="31"/>
  <c r="AC39" i="31"/>
  <c r="AD50" i="31"/>
  <c r="AH50" i="31"/>
  <c r="X39" i="31"/>
  <c r="Y50" i="31"/>
  <c r="S39" i="31"/>
  <c r="N39" i="31"/>
  <c r="O50" i="31"/>
  <c r="S50" i="31"/>
  <c r="AL38" i="31"/>
  <c r="AM38" i="31"/>
  <c r="AN38" i="31"/>
  <c r="AO38" i="31"/>
  <c r="AP38" i="31"/>
  <c r="AQ38" i="31"/>
  <c r="AR38" i="31"/>
  <c r="AS38" i="31"/>
  <c r="AH38" i="31"/>
  <c r="AI49" i="31"/>
  <c r="AM49" i="31"/>
  <c r="AC38" i="31"/>
  <c r="AD49" i="31"/>
  <c r="AH49" i="31"/>
  <c r="X38" i="31"/>
  <c r="S38" i="31"/>
  <c r="T49" i="31"/>
  <c r="X49" i="31"/>
  <c r="N38" i="31"/>
  <c r="O49" i="31"/>
  <c r="S49" i="31"/>
  <c r="AT36" i="31"/>
  <c r="AU36" i="31"/>
  <c r="AV36" i="31"/>
  <c r="AW36" i="31"/>
  <c r="AX36" i="31"/>
  <c r="AY36" i="31"/>
  <c r="AZ36" i="31"/>
  <c r="BA36" i="31"/>
  <c r="BB36" i="31"/>
  <c r="BC36" i="31"/>
  <c r="BD36" i="31"/>
  <c r="BE36" i="31"/>
  <c r="BF36" i="31"/>
  <c r="BG36" i="31"/>
  <c r="BH36" i="31"/>
  <c r="BI36" i="31"/>
  <c r="BJ36" i="31"/>
  <c r="BK36" i="31"/>
  <c r="BL36" i="31"/>
  <c r="AL36" i="31"/>
  <c r="AM36" i="31"/>
  <c r="AN36" i="31"/>
  <c r="AO36" i="31"/>
  <c r="AP36" i="31"/>
  <c r="AQ36" i="31"/>
  <c r="AR36" i="31"/>
  <c r="AS36" i="31"/>
  <c r="AK36" i="31"/>
  <c r="AJ36" i="31"/>
  <c r="AJ42" i="31"/>
  <c r="AI36" i="31"/>
  <c r="AG36" i="31"/>
  <c r="AF36" i="31"/>
  <c r="AE36" i="31"/>
  <c r="AD36" i="31"/>
  <c r="AC36" i="31"/>
  <c r="AD47" i="31"/>
  <c r="AB36" i="31"/>
  <c r="AA36" i="31"/>
  <c r="Z36" i="31"/>
  <c r="Z47" i="31"/>
  <c r="Z48" i="31"/>
  <c r="Z51" i="31"/>
  <c r="Y36" i="31"/>
  <c r="Y42" i="31"/>
  <c r="X36" i="31"/>
  <c r="W36" i="31"/>
  <c r="W42" i="31"/>
  <c r="V36" i="31"/>
  <c r="U36" i="31"/>
  <c r="T36" i="31"/>
  <c r="R36" i="31"/>
  <c r="R47" i="31"/>
  <c r="R48" i="31"/>
  <c r="Q36" i="31"/>
  <c r="P36" i="31"/>
  <c r="P42" i="31"/>
  <c r="O36" i="31"/>
  <c r="M36" i="31"/>
  <c r="L36" i="31"/>
  <c r="K36" i="31"/>
  <c r="J36" i="31"/>
  <c r="I36" i="31"/>
  <c r="AH35" i="31"/>
  <c r="AC35" i="31"/>
  <c r="X35" i="31"/>
  <c r="Y46" i="31"/>
  <c r="S35" i="31"/>
  <c r="T46" i="31"/>
  <c r="X46" i="31"/>
  <c r="N35" i="31"/>
  <c r="AH34" i="31"/>
  <c r="AC34" i="31"/>
  <c r="X34" i="31"/>
  <c r="X37" i="31"/>
  <c r="X40" i="31"/>
  <c r="S34" i="31"/>
  <c r="N34" i="31"/>
  <c r="AE29" i="31"/>
  <c r="AE24" i="31"/>
  <c r="AD24" i="31"/>
  <c r="AB24" i="31"/>
  <c r="AB23" i="31"/>
  <c r="AA24" i="31"/>
  <c r="V24" i="31"/>
  <c r="R24" i="31"/>
  <c r="Q24" i="31"/>
  <c r="P24" i="31"/>
  <c r="O24" i="31"/>
  <c r="I24" i="31"/>
  <c r="AA23" i="31"/>
  <c r="Z23" i="31"/>
  <c r="AF22" i="31"/>
  <c r="AF27" i="31"/>
  <c r="AD22" i="31"/>
  <c r="AB22" i="31"/>
  <c r="AA22" i="31"/>
  <c r="Z22" i="31"/>
  <c r="V22" i="31"/>
  <c r="L22" i="31"/>
  <c r="J22" i="31"/>
  <c r="N22" i="31"/>
  <c r="I22" i="31"/>
  <c r="I23" i="31"/>
  <c r="AE18" i="31"/>
  <c r="Z18" i="31"/>
  <c r="T18" i="31"/>
  <c r="R18" i="31"/>
  <c r="P18" i="31"/>
  <c r="O18" i="31"/>
  <c r="I18" i="31"/>
  <c r="AJ17" i="31"/>
  <c r="AO17" i="31"/>
  <c r="AI17" i="31"/>
  <c r="AN17" i="31"/>
  <c r="AG17" i="31"/>
  <c r="AF17" i="31"/>
  <c r="AE17" i="31"/>
  <c r="AE19" i="31"/>
  <c r="AD17" i="31"/>
  <c r="AB17" i="31"/>
  <c r="R17" i="31"/>
  <c r="I17" i="31"/>
  <c r="I19" i="31"/>
  <c r="AE14" i="31"/>
  <c r="AD14" i="31"/>
  <c r="AB14" i="31"/>
  <c r="W14" i="31"/>
  <c r="AK13" i="31"/>
  <c r="AJ13" i="31"/>
  <c r="AI13" i="31"/>
  <c r="AH13" i="31"/>
  <c r="AG13" i="31"/>
  <c r="AF13" i="31"/>
  <c r="AE13" i="31"/>
  <c r="AD13" i="31"/>
  <c r="AB13" i="31"/>
  <c r="AA13" i="31"/>
  <c r="Z13" i="31"/>
  <c r="Y13" i="31"/>
  <c r="W13" i="31"/>
  <c r="V13" i="31"/>
  <c r="U13" i="31"/>
  <c r="T13" i="31"/>
  <c r="AK12" i="31"/>
  <c r="AJ12" i="31"/>
  <c r="AI12" i="31"/>
  <c r="AG12" i="31"/>
  <c r="AF12" i="31"/>
  <c r="AE12" i="31"/>
  <c r="AD12" i="31"/>
  <c r="AC12" i="31"/>
  <c r="AB12" i="31"/>
  <c r="AA12" i="31"/>
  <c r="Z12" i="31"/>
  <c r="Y12" i="31"/>
  <c r="W12" i="31"/>
  <c r="V12" i="31"/>
  <c r="U12" i="31"/>
  <c r="T12" i="31"/>
  <c r="R12" i="31"/>
  <c r="Q12" i="31"/>
  <c r="P12" i="31"/>
  <c r="O12" i="31"/>
  <c r="N12" i="31"/>
  <c r="AK8" i="31"/>
  <c r="AJ8" i="31"/>
  <c r="AI8" i="31"/>
  <c r="AG8" i="31"/>
  <c r="AF8" i="31"/>
  <c r="AE8" i="31"/>
  <c r="AD8" i="31"/>
  <c r="AD18" i="31"/>
  <c r="AD19" i="31"/>
  <c r="AB8" i="31"/>
  <c r="AB18" i="31"/>
  <c r="AB19" i="31"/>
  <c r="AA8" i="31"/>
  <c r="AA18" i="31"/>
  <c r="Z8" i="31"/>
  <c r="Z24" i="31"/>
  <c r="Y8" i="31"/>
  <c r="W8" i="31"/>
  <c r="V8" i="31"/>
  <c r="U8" i="31"/>
  <c r="U18" i="31"/>
  <c r="T8" i="31"/>
  <c r="R8" i="31"/>
  <c r="Q8" i="31"/>
  <c r="P8" i="31"/>
  <c r="O8" i="31"/>
  <c r="O17" i="31"/>
  <c r="O19" i="31"/>
  <c r="I8" i="31"/>
  <c r="AH7" i="31"/>
  <c r="AC7" i="31"/>
  <c r="X7" i="31"/>
  <c r="S7" i="31"/>
  <c r="R13" i="31"/>
  <c r="L8" i="31"/>
  <c r="L9" i="31"/>
  <c r="P13" i="31"/>
  <c r="AH6" i="31"/>
  <c r="AH12" i="31"/>
  <c r="AC6" i="31"/>
  <c r="X6" i="31"/>
  <c r="S6" i="31"/>
  <c r="N6" i="31"/>
  <c r="AK247" i="30"/>
  <c r="AJ247" i="30"/>
  <c r="AI247" i="30"/>
  <c r="AG247" i="30"/>
  <c r="AF247" i="30"/>
  <c r="AE247" i="30"/>
  <c r="AD247" i="30"/>
  <c r="AK246" i="30"/>
  <c r="AJ246" i="30"/>
  <c r="AI246" i="30"/>
  <c r="AG246" i="30"/>
  <c r="AF246" i="30"/>
  <c r="AE246" i="30"/>
  <c r="AD246" i="30"/>
  <c r="AH245" i="30"/>
  <c r="AC245" i="30"/>
  <c r="AH247" i="30"/>
  <c r="AH244" i="30"/>
  <c r="AJ242" i="30"/>
  <c r="AG242" i="30"/>
  <c r="AE242" i="30"/>
  <c r="AK241" i="30"/>
  <c r="AJ241" i="30"/>
  <c r="AI241" i="30"/>
  <c r="AG241" i="30"/>
  <c r="AE241" i="30"/>
  <c r="AD241" i="30"/>
  <c r="AB241" i="30"/>
  <c r="AK240" i="30"/>
  <c r="AJ240" i="30"/>
  <c r="AI240" i="30"/>
  <c r="AG240" i="30"/>
  <c r="AF240" i="30"/>
  <c r="AE240" i="30"/>
  <c r="AE221" i="30"/>
  <c r="AD240" i="30"/>
  <c r="AI242" i="30"/>
  <c r="AC240" i="30"/>
  <c r="AC241" i="30"/>
  <c r="AB240" i="30"/>
  <c r="AA240" i="30"/>
  <c r="Z240" i="30"/>
  <c r="Y240" i="30"/>
  <c r="AN234" i="30"/>
  <c r="AI234" i="30"/>
  <c r="AI235" i="30"/>
  <c r="AL231" i="30"/>
  <c r="AK231" i="30"/>
  <c r="AJ231" i="30"/>
  <c r="AI231" i="30"/>
  <c r="AG231" i="30"/>
  <c r="AF231" i="30"/>
  <c r="AE231" i="30"/>
  <c r="AD231" i="30"/>
  <c r="AE227" i="30"/>
  <c r="AB227" i="30"/>
  <c r="AV226" i="30"/>
  <c r="AU226" i="30"/>
  <c r="AT226" i="30"/>
  <c r="AS226" i="30"/>
  <c r="AL226" i="30"/>
  <c r="AK226" i="30"/>
  <c r="AJ226" i="30"/>
  <c r="AI226" i="30"/>
  <c r="AG226" i="30"/>
  <c r="AF226" i="30"/>
  <c r="AE226" i="30"/>
  <c r="AD226" i="30"/>
  <c r="AB226" i="30"/>
  <c r="AA226" i="30"/>
  <c r="Z226" i="30"/>
  <c r="Y226" i="30"/>
  <c r="BF225" i="30"/>
  <c r="AY225" i="30"/>
  <c r="BD225" i="30"/>
  <c r="AV225" i="30"/>
  <c r="BA225" i="30"/>
  <c r="AU225" i="30"/>
  <c r="AT225" i="30"/>
  <c r="AS225" i="30"/>
  <c r="AI225" i="30"/>
  <c r="AJ221" i="30"/>
  <c r="AI221" i="30"/>
  <c r="AI227" i="30"/>
  <c r="AG221" i="30"/>
  <c r="AD221" i="30"/>
  <c r="AB221" i="30"/>
  <c r="AN220" i="30"/>
  <c r="AM220" i="30"/>
  <c r="AM231" i="30"/>
  <c r="AH220" i="30"/>
  <c r="AC220" i="30"/>
  <c r="AC226" i="30"/>
  <c r="AN219" i="30"/>
  <c r="AI219" i="30"/>
  <c r="AE219" i="30"/>
  <c r="AB219" i="30"/>
  <c r="AK217" i="30"/>
  <c r="AJ217" i="30"/>
  <c r="AI217" i="30"/>
  <c r="AG217" i="30"/>
  <c r="AF217" i="30"/>
  <c r="AE217" i="30"/>
  <c r="AD217" i="30"/>
  <c r="AQ216" i="30"/>
  <c r="AP216" i="30"/>
  <c r="AO216" i="30"/>
  <c r="AN216" i="30"/>
  <c r="AL216" i="30"/>
  <c r="AH216" i="30"/>
  <c r="AC216" i="30"/>
  <c r="BB206" i="30"/>
  <c r="BA206" i="30"/>
  <c r="AH206" i="30"/>
  <c r="BL205" i="30"/>
  <c r="BK205" i="30"/>
  <c r="BK207" i="30"/>
  <c r="BA205" i="30"/>
  <c r="AX205" i="30"/>
  <c r="AW205" i="30"/>
  <c r="AQ201" i="30"/>
  <c r="AO201" i="30"/>
  <c r="AQ198" i="30"/>
  <c r="AP198" i="30"/>
  <c r="AL198" i="30"/>
  <c r="AK198" i="30"/>
  <c r="AK197" i="30"/>
  <c r="AG197" i="30"/>
  <c r="AL194" i="30"/>
  <c r="AI185" i="30"/>
  <c r="AK179" i="30"/>
  <c r="AJ179" i="30"/>
  <c r="AI179" i="30"/>
  <c r="AH179" i="30"/>
  <c r="AG179" i="30"/>
  <c r="AF179" i="30"/>
  <c r="AE179" i="30"/>
  <c r="AD179" i="30"/>
  <c r="AK178" i="30"/>
  <c r="AJ178" i="30"/>
  <c r="AI178" i="30"/>
  <c r="AG178" i="30"/>
  <c r="AF178" i="30"/>
  <c r="AE178" i="30"/>
  <c r="AD178" i="30"/>
  <c r="AJ177" i="30"/>
  <c r="AI177" i="30"/>
  <c r="Z174" i="30"/>
  <c r="BK173" i="30"/>
  <c r="AZ173" i="30"/>
  <c r="AV173" i="30"/>
  <c r="BA173" i="30"/>
  <c r="BF173" i="30"/>
  <c r="AU173" i="30"/>
  <c r="AT173" i="30"/>
  <c r="AS173" i="30"/>
  <c r="BJ172" i="30"/>
  <c r="BE172" i="30"/>
  <c r="BA172" i="30"/>
  <c r="AY172" i="30"/>
  <c r="AX172" i="30"/>
  <c r="AV172" i="30"/>
  <c r="AU172" i="30"/>
  <c r="AZ172" i="30"/>
  <c r="AT172" i="30"/>
  <c r="AS172" i="30"/>
  <c r="AH169" i="30"/>
  <c r="AC169" i="30"/>
  <c r="AH168" i="30"/>
  <c r="AC168" i="30"/>
  <c r="AL167" i="30"/>
  <c r="AL177" i="30"/>
  <c r="AK167" i="30"/>
  <c r="AJ167" i="30"/>
  <c r="AI167" i="30"/>
  <c r="AG167" i="30"/>
  <c r="AF167" i="30"/>
  <c r="AE167" i="30"/>
  <c r="AE177" i="30"/>
  <c r="AD167" i="30"/>
  <c r="AB167" i="30"/>
  <c r="AA167" i="30"/>
  <c r="Z167" i="30"/>
  <c r="Z172" i="30"/>
  <c r="Y167" i="30"/>
  <c r="BK164" i="30"/>
  <c r="BA164" i="30"/>
  <c r="AY164" i="30"/>
  <c r="AR164" i="30"/>
  <c r="AJ164" i="30"/>
  <c r="BK206" i="30"/>
  <c r="BI206" i="30"/>
  <c r="BH206" i="30"/>
  <c r="BG206" i="30"/>
  <c r="BF206" i="30"/>
  <c r="BE206" i="30"/>
  <c r="BD206" i="30"/>
  <c r="BC206" i="30"/>
  <c r="AZ206" i="30"/>
  <c r="AY206" i="30"/>
  <c r="AX206" i="30"/>
  <c r="AW206" i="30"/>
  <c r="AV206" i="30"/>
  <c r="AU206" i="30"/>
  <c r="AT206" i="30"/>
  <c r="AS206" i="30"/>
  <c r="AR206" i="30"/>
  <c r="AP206" i="30"/>
  <c r="AO206" i="30"/>
  <c r="AN206" i="30"/>
  <c r="AM206" i="30"/>
  <c r="AL206" i="30"/>
  <c r="AK206" i="30"/>
  <c r="AJ206" i="30"/>
  <c r="AI206" i="30"/>
  <c r="BJ205" i="30"/>
  <c r="AZ205" i="30"/>
  <c r="AY205" i="30"/>
  <c r="AV205" i="30"/>
  <c r="AT205" i="30"/>
  <c r="AS205" i="30"/>
  <c r="AS207" i="30"/>
  <c r="AR205" i="30"/>
  <c r="AQ205" i="30"/>
  <c r="AP205" i="30"/>
  <c r="AM205" i="30"/>
  <c r="AL205" i="30"/>
  <c r="AL207" i="30"/>
  <c r="AK205" i="30"/>
  <c r="AJ205" i="30"/>
  <c r="AJ207" i="30"/>
  <c r="AI205" i="30"/>
  <c r="AI207" i="30"/>
  <c r="AH164" i="30"/>
  <c r="AL168" i="30"/>
  <c r="AL144" i="28"/>
  <c r="AL147" i="28"/>
  <c r="AK181" i="30"/>
  <c r="AB185" i="30"/>
  <c r="AB197" i="30"/>
  <c r="AR158" i="30"/>
  <c r="AL197" i="30"/>
  <c r="AM158" i="30"/>
  <c r="AF197" i="30"/>
  <c r="AL200" i="30"/>
  <c r="AL193" i="30"/>
  <c r="U152" i="30"/>
  <c r="T152" i="30"/>
  <c r="L152" i="30"/>
  <c r="AK151" i="30"/>
  <c r="AJ151" i="30"/>
  <c r="AI151" i="30"/>
  <c r="Y151" i="30"/>
  <c r="X151" i="30"/>
  <c r="R153" i="30"/>
  <c r="U153" i="30"/>
  <c r="O153" i="30"/>
  <c r="N151" i="30"/>
  <c r="BH149" i="30"/>
  <c r="BF149" i="30"/>
  <c r="BK149" i="30"/>
  <c r="BE149" i="30"/>
  <c r="BJ149" i="30"/>
  <c r="BD149" i="30"/>
  <c r="BI149" i="30"/>
  <c r="AZ149" i="30"/>
  <c r="AY149" i="30"/>
  <c r="AV149" i="30"/>
  <c r="BA149" i="30"/>
  <c r="AU149" i="30"/>
  <c r="AT149" i="30"/>
  <c r="AS149" i="30"/>
  <c r="AX149" i="30"/>
  <c r="BC149" i="30"/>
  <c r="AJ145" i="30"/>
  <c r="AK143" i="30"/>
  <c r="AJ143" i="30"/>
  <c r="AI143" i="30"/>
  <c r="AG143" i="30"/>
  <c r="AF143" i="30"/>
  <c r="AE143" i="30"/>
  <c r="AD143" i="30"/>
  <c r="BK142" i="30"/>
  <c r="BE142" i="30"/>
  <c r="BJ142" i="30"/>
  <c r="BD142" i="30"/>
  <c r="BI142" i="30"/>
  <c r="BC142" i="30"/>
  <c r="BH142" i="30"/>
  <c r="BA142" i="30"/>
  <c r="BF142" i="30"/>
  <c r="AV142" i="30"/>
  <c r="AU142" i="30"/>
  <c r="AZ142" i="30"/>
  <c r="AT142" i="30"/>
  <c r="AY142" i="30"/>
  <c r="AS142" i="30"/>
  <c r="AX142" i="30"/>
  <c r="AK142" i="30"/>
  <c r="AJ142" i="30"/>
  <c r="AI142" i="30"/>
  <c r="AG142" i="30"/>
  <c r="AF142" i="30"/>
  <c r="AE142" i="30"/>
  <c r="AD142" i="30"/>
  <c r="AC142" i="30"/>
  <c r="AB142" i="30"/>
  <c r="AA142" i="30"/>
  <c r="Z142" i="30"/>
  <c r="Y142" i="30"/>
  <c r="W142" i="30"/>
  <c r="V142" i="30"/>
  <c r="U142" i="30"/>
  <c r="T142" i="30"/>
  <c r="R142" i="30"/>
  <c r="Q142" i="30"/>
  <c r="P142" i="30"/>
  <c r="O142" i="30"/>
  <c r="AF141" i="30"/>
  <c r="AJ137" i="30"/>
  <c r="AI137" i="30"/>
  <c r="W137" i="30"/>
  <c r="Q137" i="30"/>
  <c r="L137" i="30"/>
  <c r="J137" i="30"/>
  <c r="AA136" i="30"/>
  <c r="Z136" i="30"/>
  <c r="AH133" i="30"/>
  <c r="AC133" i="30"/>
  <c r="L133" i="30"/>
  <c r="L138" i="30"/>
  <c r="K133" i="30"/>
  <c r="AQ132" i="30"/>
  <c r="AP132" i="30"/>
  <c r="AO132" i="30"/>
  <c r="AN132" i="30"/>
  <c r="AM132" i="30"/>
  <c r="AL132" i="30"/>
  <c r="AH132" i="30"/>
  <c r="AC132" i="30"/>
  <c r="X132" i="30"/>
  <c r="S132" i="30"/>
  <c r="X142" i="30"/>
  <c r="N132" i="30"/>
  <c r="AK131" i="30"/>
  <c r="AJ131" i="30"/>
  <c r="AI131" i="30"/>
  <c r="AG131" i="30"/>
  <c r="AF131" i="30"/>
  <c r="AE131" i="30"/>
  <c r="AD131" i="30"/>
  <c r="AC131" i="30"/>
  <c r="AB131" i="30"/>
  <c r="AA131" i="30"/>
  <c r="Z131" i="30"/>
  <c r="Y131" i="30"/>
  <c r="AJ138" i="30"/>
  <c r="AI145" i="30"/>
  <c r="AF138" i="30"/>
  <c r="AE151" i="30"/>
  <c r="AE152" i="30"/>
  <c r="Y136" i="30"/>
  <c r="U137" i="30"/>
  <c r="R137" i="30"/>
  <c r="Q129" i="30"/>
  <c r="O129" i="30"/>
  <c r="K137" i="30"/>
  <c r="J152" i="30"/>
  <c r="AK124" i="30"/>
  <c r="AC124" i="30"/>
  <c r="AA124" i="30"/>
  <c r="Z124" i="30"/>
  <c r="U124" i="30"/>
  <c r="AK123" i="30"/>
  <c r="AJ123" i="30"/>
  <c r="AI123" i="30"/>
  <c r="W123" i="30"/>
  <c r="V123" i="30"/>
  <c r="U123" i="30"/>
  <c r="T123" i="30"/>
  <c r="R123" i="30"/>
  <c r="P123" i="30"/>
  <c r="AK122" i="30"/>
  <c r="AJ122" i="30"/>
  <c r="AI122" i="30"/>
  <c r="AG122" i="30"/>
  <c r="AF122" i="30"/>
  <c r="AE122" i="30"/>
  <c r="AD122" i="30"/>
  <c r="AC122" i="30"/>
  <c r="AC123" i="30"/>
  <c r="AB122" i="30"/>
  <c r="AA122" i="30"/>
  <c r="AA123" i="30"/>
  <c r="Z122" i="30"/>
  <c r="Z123" i="30"/>
  <c r="Y122" i="30"/>
  <c r="X122" i="30"/>
  <c r="W124" i="30"/>
  <c r="V124" i="30"/>
  <c r="M123" i="30"/>
  <c r="K123" i="30"/>
  <c r="J123" i="30"/>
  <c r="AK120" i="30"/>
  <c r="AJ120" i="30"/>
  <c r="AF118" i="30"/>
  <c r="AA118" i="30"/>
  <c r="AO117" i="30"/>
  <c r="AJ117" i="30"/>
  <c r="AE117" i="30"/>
  <c r="V117" i="30"/>
  <c r="U117" i="30"/>
  <c r="AO116" i="30"/>
  <c r="AK116" i="30"/>
  <c r="AG116" i="30"/>
  <c r="AF116" i="30"/>
  <c r="AE116" i="30"/>
  <c r="AA116" i="30"/>
  <c r="Z116" i="30"/>
  <c r="U116" i="30"/>
  <c r="AK114" i="30"/>
  <c r="AJ114" i="30"/>
  <c r="AI114" i="30"/>
  <c r="AH114" i="30"/>
  <c r="AG114" i="30"/>
  <c r="AF114" i="30"/>
  <c r="AE114" i="30"/>
  <c r="AD114" i="30"/>
  <c r="AC114" i="30"/>
  <c r="AB114" i="30"/>
  <c r="AA114" i="30"/>
  <c r="Z114" i="30"/>
  <c r="Y114" i="30"/>
  <c r="V114" i="30"/>
  <c r="U114" i="30"/>
  <c r="AH113" i="30"/>
  <c r="AC113" i="30"/>
  <c r="W113" i="30"/>
  <c r="V113" i="30"/>
  <c r="U113" i="30"/>
  <c r="T113" i="30"/>
  <c r="T114" i="30"/>
  <c r="R113" i="30"/>
  <c r="Q113" i="30"/>
  <c r="P113" i="30"/>
  <c r="K113" i="30"/>
  <c r="J113" i="30"/>
  <c r="J111" i="30"/>
  <c r="BL112" i="30"/>
  <c r="BG112" i="30"/>
  <c r="BB112" i="30"/>
  <c r="AW112" i="30"/>
  <c r="AR112" i="30"/>
  <c r="AM112" i="30"/>
  <c r="AH112" i="30"/>
  <c r="AC112" i="30"/>
  <c r="X112" i="30"/>
  <c r="S112" i="30"/>
  <c r="AK111" i="30"/>
  <c r="AJ111" i="30"/>
  <c r="AJ116" i="30"/>
  <c r="AJ118" i="30"/>
  <c r="AI111" i="30"/>
  <c r="AG111" i="30"/>
  <c r="AF111" i="30"/>
  <c r="AE111" i="30"/>
  <c r="AD111" i="30"/>
  <c r="AB111" i="30"/>
  <c r="AB116" i="30"/>
  <c r="AA111" i="30"/>
  <c r="Z111" i="30"/>
  <c r="Y111" i="30"/>
  <c r="V111" i="30"/>
  <c r="V116" i="30"/>
  <c r="U111" i="30"/>
  <c r="BF109" i="30"/>
  <c r="BK109" i="30"/>
  <c r="BE109" i="30"/>
  <c r="BJ109" i="30"/>
  <c r="BA109" i="30"/>
  <c r="AZ109" i="30"/>
  <c r="AY109" i="30"/>
  <c r="BD109" i="30"/>
  <c r="BI109" i="30"/>
  <c r="AX109" i="30"/>
  <c r="BC109" i="30"/>
  <c r="BH109" i="30"/>
  <c r="AJ109" i="30"/>
  <c r="AI109" i="30"/>
  <c r="AG109" i="30"/>
  <c r="AF109" i="30"/>
  <c r="AE109" i="30"/>
  <c r="AD109" i="30"/>
  <c r="AB109" i="30"/>
  <c r="AA109" i="30"/>
  <c r="Z109" i="30"/>
  <c r="Y109" i="30"/>
  <c r="W109" i="30"/>
  <c r="V109" i="30"/>
  <c r="U109" i="30"/>
  <c r="T109" i="30"/>
  <c r="R109" i="30"/>
  <c r="Q109" i="30"/>
  <c r="P109" i="30"/>
  <c r="O109" i="30"/>
  <c r="AU108" i="30"/>
  <c r="AT108" i="30"/>
  <c r="AP108" i="30"/>
  <c r="AO108" i="30"/>
  <c r="AN108" i="30"/>
  <c r="AL108" i="30"/>
  <c r="AH108" i="30"/>
  <c r="AC108" i="30"/>
  <c r="X108" i="30"/>
  <c r="S108" i="30"/>
  <c r="N108" i="30"/>
  <c r="X104" i="30"/>
  <c r="W104" i="30"/>
  <c r="V104" i="30"/>
  <c r="U104" i="30"/>
  <c r="T104" i="30"/>
  <c r="O104" i="30"/>
  <c r="Y102" i="30"/>
  <c r="Y103" i="30"/>
  <c r="X102" i="30"/>
  <c r="S102" i="30"/>
  <c r="P104" i="30"/>
  <c r="Y96" i="30"/>
  <c r="Y73" i="28"/>
  <c r="Y85" i="28"/>
  <c r="BJ91" i="30"/>
  <c r="BI91" i="30"/>
  <c r="BH91" i="30"/>
  <c r="BF91" i="30"/>
  <c r="BK91" i="30"/>
  <c r="BD91" i="30"/>
  <c r="BC91" i="30"/>
  <c r="BA91" i="30"/>
  <c r="AZ91" i="30"/>
  <c r="BE91" i="30"/>
  <c r="AY91" i="30"/>
  <c r="AX91" i="30"/>
  <c r="AH87" i="30"/>
  <c r="AH85" i="30"/>
  <c r="AC87" i="30"/>
  <c r="BE86" i="30"/>
  <c r="BJ86" i="30"/>
  <c r="BD86" i="30"/>
  <c r="BC86" i="30"/>
  <c r="BA86" i="30"/>
  <c r="BF86" i="30"/>
  <c r="AZ86" i="30"/>
  <c r="AY86" i="30"/>
  <c r="AX86" i="30"/>
  <c r="AW86" i="30"/>
  <c r="AV86" i="30"/>
  <c r="AU86" i="30"/>
  <c r="AT86" i="30"/>
  <c r="AS86" i="30"/>
  <c r="AR86" i="30"/>
  <c r="AM86" i="30"/>
  <c r="AH86" i="30"/>
  <c r="AC86" i="30"/>
  <c r="X86" i="30"/>
  <c r="S86" i="30"/>
  <c r="N86" i="30"/>
  <c r="AK85" i="30"/>
  <c r="AJ85" i="30"/>
  <c r="AI85" i="30"/>
  <c r="AG85" i="30"/>
  <c r="AF85" i="30"/>
  <c r="AE85" i="30"/>
  <c r="AD85" i="30"/>
  <c r="AB85" i="30"/>
  <c r="AA85" i="30"/>
  <c r="Z85" i="30"/>
  <c r="Y85" i="30"/>
  <c r="AY75" i="30"/>
  <c r="AK82" i="30"/>
  <c r="AJ82" i="30"/>
  <c r="AI82" i="30"/>
  <c r="AG82" i="30"/>
  <c r="AF82" i="30"/>
  <c r="AE82" i="30"/>
  <c r="AD82" i="30"/>
  <c r="AC82" i="30"/>
  <c r="AB82" i="30"/>
  <c r="AA82" i="30"/>
  <c r="Z82" i="30"/>
  <c r="Y82" i="30"/>
  <c r="X82" i="30"/>
  <c r="W82" i="30"/>
  <c r="V82" i="30"/>
  <c r="U82" i="30"/>
  <c r="T82" i="30"/>
  <c r="S82" i="30"/>
  <c r="R82" i="30"/>
  <c r="Q82" i="30"/>
  <c r="P82" i="30"/>
  <c r="O82" i="30"/>
  <c r="AZ81" i="30"/>
  <c r="BE81" i="30"/>
  <c r="BJ81" i="30"/>
  <c r="AY81" i="30"/>
  <c r="BD81" i="30"/>
  <c r="BI81" i="30"/>
  <c r="AX81" i="30"/>
  <c r="BC81" i="30"/>
  <c r="BH81" i="30"/>
  <c r="AV81" i="30"/>
  <c r="BA81" i="30"/>
  <c r="BF81" i="30"/>
  <c r="BK81" i="30"/>
  <c r="AU81" i="30"/>
  <c r="AT81" i="30"/>
  <c r="AS81" i="30"/>
  <c r="AK81" i="30"/>
  <c r="AJ81" i="30"/>
  <c r="AI81" i="30"/>
  <c r="AG81" i="30"/>
  <c r="AF81" i="30"/>
  <c r="AE81" i="30"/>
  <c r="AD81" i="30"/>
  <c r="AB81" i="30"/>
  <c r="AA81" i="30"/>
  <c r="Z81" i="30"/>
  <c r="Y81" i="30"/>
  <c r="X81" i="30"/>
  <c r="W81" i="30"/>
  <c r="V81" i="30"/>
  <c r="U81" i="30"/>
  <c r="T81" i="30"/>
  <c r="R81" i="30"/>
  <c r="Q81" i="30"/>
  <c r="P81" i="30"/>
  <c r="O81" i="30"/>
  <c r="AP76" i="30"/>
  <c r="AP6" i="28"/>
  <c r="AV75" i="30"/>
  <c r="BA75" i="30"/>
  <c r="AT75" i="30"/>
  <c r="AQ75" i="30"/>
  <c r="AP75" i="30"/>
  <c r="AU75" i="30"/>
  <c r="AZ75" i="30"/>
  <c r="AO75" i="30"/>
  <c r="AN75" i="30"/>
  <c r="AM75" i="30"/>
  <c r="AM82" i="30"/>
  <c r="AL75" i="30"/>
  <c r="AH75" i="30"/>
  <c r="AC75" i="30"/>
  <c r="AH82" i="30"/>
  <c r="X75" i="30"/>
  <c r="S75" i="30"/>
  <c r="N75" i="30"/>
  <c r="AP74" i="30"/>
  <c r="AO74" i="30"/>
  <c r="AT74" i="30"/>
  <c r="AN74" i="30"/>
  <c r="AL74" i="30"/>
  <c r="AQ74" i="30"/>
  <c r="AH74" i="30"/>
  <c r="AC74" i="30"/>
  <c r="X74" i="30"/>
  <c r="S74" i="30"/>
  <c r="N74" i="30"/>
  <c r="BG80" i="30"/>
  <c r="BJ80" i="30"/>
  <c r="BI80" i="30"/>
  <c r="BH80" i="30"/>
  <c r="AT80" i="30"/>
  <c r="AM80" i="30"/>
  <c r="AL80" i="30"/>
  <c r="AK76" i="30"/>
  <c r="AK6" i="28"/>
  <c r="AK17" i="28"/>
  <c r="AJ76" i="30"/>
  <c r="AJ6" i="28"/>
  <c r="AJ17" i="28"/>
  <c r="AI76" i="30"/>
  <c r="AG76" i="30"/>
  <c r="AG6" i="28"/>
  <c r="AF76" i="30"/>
  <c r="AF6" i="28"/>
  <c r="AF17" i="28"/>
  <c r="AD76" i="30"/>
  <c r="AD6" i="28"/>
  <c r="AD17" i="28"/>
  <c r="Z76" i="30"/>
  <c r="Z6" i="28"/>
  <c r="Z17" i="28"/>
  <c r="Y76" i="30"/>
  <c r="W76" i="30"/>
  <c r="W93" i="30"/>
  <c r="T76" i="30"/>
  <c r="T93" i="30"/>
  <c r="R76" i="30"/>
  <c r="R87" i="30"/>
  <c r="Q76" i="30"/>
  <c r="Q103" i="30"/>
  <c r="P76" i="30"/>
  <c r="P87" i="30"/>
  <c r="O76" i="30"/>
  <c r="M76" i="30"/>
  <c r="AJ67" i="30"/>
  <c r="AE67" i="30"/>
  <c r="AA67" i="30"/>
  <c r="Z67" i="30"/>
  <c r="AK66" i="30"/>
  <c r="AJ66" i="30"/>
  <c r="AG66" i="30"/>
  <c r="AF66" i="30"/>
  <c r="AE66" i="30"/>
  <c r="AB66" i="30"/>
  <c r="AA66" i="30"/>
  <c r="Z66" i="30"/>
  <c r="X66" i="30"/>
  <c r="W66" i="30"/>
  <c r="V66" i="30"/>
  <c r="U66" i="30"/>
  <c r="T66" i="30"/>
  <c r="AK64" i="30"/>
  <c r="AJ64" i="30"/>
  <c r="AI64" i="30"/>
  <c r="AG64" i="30"/>
  <c r="AF64" i="30"/>
  <c r="AE64" i="30"/>
  <c r="AD64" i="30"/>
  <c r="AC64" i="30"/>
  <c r="AB64" i="30"/>
  <c r="AA64" i="30"/>
  <c r="Z64" i="30"/>
  <c r="Y64" i="30"/>
  <c r="AH63" i="30"/>
  <c r="AC63" i="30"/>
  <c r="AD66" i="30"/>
  <c r="X63" i="30"/>
  <c r="Y66" i="30"/>
  <c r="W59" i="30"/>
  <c r="V59" i="30"/>
  <c r="U59" i="30"/>
  <c r="T59" i="30"/>
  <c r="R59" i="30"/>
  <c r="Q59" i="30"/>
  <c r="P59" i="30"/>
  <c r="O59" i="30"/>
  <c r="M58" i="30"/>
  <c r="L58" i="30"/>
  <c r="K58" i="30"/>
  <c r="J58" i="30"/>
  <c r="L53" i="30"/>
  <c r="L54" i="30"/>
  <c r="K53" i="30"/>
  <c r="K54" i="30"/>
  <c r="M50" i="30"/>
  <c r="L50" i="30"/>
  <c r="K50" i="30"/>
  <c r="J50" i="30"/>
  <c r="BE48" i="30"/>
  <c r="BJ48" i="30"/>
  <c r="BA48" i="30"/>
  <c r="BF48" i="30"/>
  <c r="BK48" i="30"/>
  <c r="AZ48" i="30"/>
  <c r="AY48" i="30"/>
  <c r="BD48" i="30"/>
  <c r="BI48" i="30"/>
  <c r="AV48" i="30"/>
  <c r="AU48" i="30"/>
  <c r="AT48" i="30"/>
  <c r="AS48" i="30"/>
  <c r="AX48" i="30"/>
  <c r="BC48" i="30"/>
  <c r="BH48" i="30"/>
  <c r="L45" i="30"/>
  <c r="K45" i="30"/>
  <c r="AH44" i="30"/>
  <c r="AC44" i="30"/>
  <c r="M44" i="30"/>
  <c r="L44" i="30"/>
  <c r="K44" i="30"/>
  <c r="J44" i="30"/>
  <c r="BI43" i="30"/>
  <c r="BF43" i="30"/>
  <c r="BE43" i="30"/>
  <c r="BD43" i="30"/>
  <c r="AZ43" i="30"/>
  <c r="AY43" i="30"/>
  <c r="AV43" i="30"/>
  <c r="BA43" i="30"/>
  <c r="AU43" i="30"/>
  <c r="AT43" i="30"/>
  <c r="AS43" i="30"/>
  <c r="AR43" i="30"/>
  <c r="AM43" i="30"/>
  <c r="AH43" i="30"/>
  <c r="AC43" i="30"/>
  <c r="X43" i="30"/>
  <c r="S43" i="30"/>
  <c r="N43" i="30"/>
  <c r="AK42" i="30"/>
  <c r="AJ42" i="30"/>
  <c r="AI42" i="30"/>
  <c r="AG42" i="30"/>
  <c r="AF42" i="30"/>
  <c r="AE42" i="30"/>
  <c r="AD42" i="30"/>
  <c r="AB42" i="30"/>
  <c r="AA42" i="30"/>
  <c r="Z42" i="30"/>
  <c r="Y42" i="30"/>
  <c r="L42" i="30"/>
  <c r="K42" i="30"/>
  <c r="J42" i="30"/>
  <c r="J53" i="30"/>
  <c r="J54" i="30"/>
  <c r="AI37" i="30"/>
  <c r="AB37" i="30"/>
  <c r="AA37" i="30"/>
  <c r="Z37" i="30"/>
  <c r="X37" i="30"/>
  <c r="S37" i="30"/>
  <c r="N37" i="30"/>
  <c r="BJ36" i="30"/>
  <c r="BJ28" i="30"/>
  <c r="BI36" i="30"/>
  <c r="BH36" i="30"/>
  <c r="AV36" i="30"/>
  <c r="BA36" i="30"/>
  <c r="BF36" i="30"/>
  <c r="BK36" i="30"/>
  <c r="AS36" i="30"/>
  <c r="AX36" i="30"/>
  <c r="BC36" i="30"/>
  <c r="AQ36" i="30"/>
  <c r="AP36" i="30"/>
  <c r="AU36" i="30"/>
  <c r="AZ36" i="30"/>
  <c r="BE36" i="30"/>
  <c r="AO36" i="30"/>
  <c r="AT36" i="30"/>
  <c r="AY36" i="30"/>
  <c r="BD36" i="30"/>
  <c r="AN36" i="30"/>
  <c r="AK30" i="30"/>
  <c r="AJ30" i="30"/>
  <c r="AI30" i="30"/>
  <c r="AG30" i="30"/>
  <c r="AF30" i="30"/>
  <c r="AE30" i="30"/>
  <c r="AH30" i="30"/>
  <c r="AD30" i="30"/>
  <c r="AB30" i="30"/>
  <c r="AA30" i="30"/>
  <c r="Z30" i="30"/>
  <c r="Y30" i="30"/>
  <c r="W30" i="30"/>
  <c r="V30" i="30"/>
  <c r="U30" i="30"/>
  <c r="T30" i="30"/>
  <c r="X30" i="30"/>
  <c r="R30" i="30"/>
  <c r="Q30" i="30"/>
  <c r="P30" i="30"/>
  <c r="O30" i="30"/>
  <c r="S30" i="30"/>
  <c r="AG29" i="30"/>
  <c r="AF29" i="30"/>
  <c r="AE29" i="30"/>
  <c r="AD29" i="30"/>
  <c r="AB29" i="30"/>
  <c r="AA29" i="30"/>
  <c r="AA31" i="30"/>
  <c r="Z29" i="30"/>
  <c r="Y29" i="30"/>
  <c r="W29" i="30"/>
  <c r="V29" i="30"/>
  <c r="U29" i="30"/>
  <c r="X29" i="30"/>
  <c r="T29" i="30"/>
  <c r="S29" i="30"/>
  <c r="R29" i="30"/>
  <c r="Q29" i="30"/>
  <c r="P29" i="30"/>
  <c r="O29" i="30"/>
  <c r="M29" i="30"/>
  <c r="L29" i="30"/>
  <c r="K29" i="30"/>
  <c r="J29" i="30"/>
  <c r="N29" i="30"/>
  <c r="BI28" i="30"/>
  <c r="AT28" i="30"/>
  <c r="AL28" i="30"/>
  <c r="AK28" i="30"/>
  <c r="Z28" i="30"/>
  <c r="Y28" i="30"/>
  <c r="Y31" i="30"/>
  <c r="W28" i="30"/>
  <c r="W31" i="30"/>
  <c r="AR27" i="30"/>
  <c r="AP27" i="30"/>
  <c r="AM27" i="30"/>
  <c r="AL27" i="30"/>
  <c r="AK27" i="30"/>
  <c r="AJ27" i="30"/>
  <c r="AI27" i="30"/>
  <c r="AG27" i="30"/>
  <c r="AF27" i="30"/>
  <c r="AE27" i="30"/>
  <c r="AD27" i="30"/>
  <c r="AC27" i="30"/>
  <c r="AB27" i="30"/>
  <c r="AB35" i="30"/>
  <c r="AA27" i="30"/>
  <c r="Z27" i="30"/>
  <c r="Y27" i="30"/>
  <c r="X27" i="30"/>
  <c r="W27" i="30"/>
  <c r="U27" i="30"/>
  <c r="AM23" i="30"/>
  <c r="AK23" i="30"/>
  <c r="AJ23" i="30"/>
  <c r="AI23" i="30"/>
  <c r="AG23" i="30"/>
  <c r="AF23" i="30"/>
  <c r="AE23" i="30"/>
  <c r="AD23" i="30"/>
  <c r="AB23" i="30"/>
  <c r="AA23" i="30"/>
  <c r="Z23" i="30"/>
  <c r="Y23" i="30"/>
  <c r="W23" i="30"/>
  <c r="V23" i="30"/>
  <c r="U23" i="30"/>
  <c r="T23" i="30"/>
  <c r="AK19" i="30"/>
  <c r="AJ19" i="30"/>
  <c r="AI19" i="30"/>
  <c r="AH19" i="30"/>
  <c r="AG19" i="30"/>
  <c r="AF19" i="30"/>
  <c r="AE19" i="30"/>
  <c r="AD19" i="30"/>
  <c r="AB19" i="30"/>
  <c r="AA19" i="30"/>
  <c r="Z19" i="30"/>
  <c r="Y19" i="30"/>
  <c r="X19" i="30"/>
  <c r="W19" i="30"/>
  <c r="V19" i="30"/>
  <c r="U19" i="30"/>
  <c r="T19" i="30"/>
  <c r="AY18" i="30"/>
  <c r="AX18" i="30"/>
  <c r="U18" i="30"/>
  <c r="T18" i="30"/>
  <c r="BC17" i="30"/>
  <c r="BA17" i="30"/>
  <c r="Y17" i="30"/>
  <c r="T17" i="30"/>
  <c r="AP12" i="30"/>
  <c r="AO12" i="30"/>
  <c r="AN12" i="30"/>
  <c r="AM12" i="30"/>
  <c r="AL12" i="30"/>
  <c r="AH12" i="30"/>
  <c r="AC12" i="30"/>
  <c r="X12" i="30"/>
  <c r="S12" i="30"/>
  <c r="AV10" i="30"/>
  <c r="AP10" i="30"/>
  <c r="Q10" i="30"/>
  <c r="AK9" i="30"/>
  <c r="AK13" i="30"/>
  <c r="AK5" i="28"/>
  <c r="AU8" i="30"/>
  <c r="AU29" i="30"/>
  <c r="AP8" i="30"/>
  <c r="AO8" i="30"/>
  <c r="AN8" i="30"/>
  <c r="AM8" i="30"/>
  <c r="AL8" i="30"/>
  <c r="AH8" i="30"/>
  <c r="AC8" i="30"/>
  <c r="X8" i="30"/>
  <c r="S8" i="30"/>
  <c r="M8" i="30"/>
  <c r="L8" i="30"/>
  <c r="K8" i="30"/>
  <c r="J8" i="30"/>
  <c r="N8" i="30"/>
  <c r="AX28" i="30"/>
  <c r="AV18" i="30"/>
  <c r="AP28" i="30"/>
  <c r="AO9" i="30"/>
  <c r="AA28" i="30"/>
  <c r="U28" i="30"/>
  <c r="U31" i="30"/>
  <c r="Q28" i="30"/>
  <c r="P28" i="30"/>
  <c r="M28" i="30"/>
  <c r="L28" i="30"/>
  <c r="K28" i="30"/>
  <c r="N7" i="30"/>
  <c r="BH17" i="30"/>
  <c r="BF17" i="30"/>
  <c r="BE17" i="30"/>
  <c r="BD17" i="30"/>
  <c r="AX10" i="30"/>
  <c r="AU10" i="30"/>
  <c r="AT10" i="30"/>
  <c r="AL35" i="30"/>
  <c r="AK10" i="30"/>
  <c r="AJ9" i="30"/>
  <c r="AJ13" i="30"/>
  <c r="AJ5" i="28"/>
  <c r="AJ16" i="28"/>
  <c r="AG35" i="30"/>
  <c r="AD35" i="30"/>
  <c r="AB9" i="30"/>
  <c r="AB13" i="30"/>
  <c r="AB5" i="28"/>
  <c r="AA10" i="30"/>
  <c r="T9" i="30"/>
  <c r="Y200" i="28"/>
  <c r="AB199" i="28"/>
  <c r="AB200" i="28"/>
  <c r="AA199" i="28"/>
  <c r="AA200" i="28"/>
  <c r="AD196" i="28"/>
  <c r="AK192" i="28"/>
  <c r="AK191" i="28"/>
  <c r="AI191" i="28"/>
  <c r="AI196" i="28"/>
  <c r="AD191" i="28"/>
  <c r="AK186" i="28"/>
  <c r="AG186" i="28"/>
  <c r="AF186" i="28"/>
  <c r="Y186" i="28"/>
  <c r="AK185" i="28"/>
  <c r="AK187" i="28"/>
  <c r="AJ185" i="28"/>
  <c r="AJ186" i="28"/>
  <c r="AI185" i="28"/>
  <c r="AI186" i="28"/>
  <c r="AG185" i="28"/>
  <c r="AF185" i="28"/>
  <c r="AE185" i="28"/>
  <c r="AD185" i="28"/>
  <c r="AB185" i="28"/>
  <c r="AA185" i="28"/>
  <c r="Z185" i="28"/>
  <c r="Z186" i="28"/>
  <c r="Y185" i="28"/>
  <c r="AH183" i="28"/>
  <c r="AG183" i="28"/>
  <c r="AF183" i="28"/>
  <c r="AE183" i="28"/>
  <c r="AD183" i="28"/>
  <c r="AJ182" i="28"/>
  <c r="AI182" i="28"/>
  <c r="AE182" i="28"/>
  <c r="AD182" i="28"/>
  <c r="AK178" i="28"/>
  <c r="AK183" i="28"/>
  <c r="AJ178" i="28"/>
  <c r="AI178" i="28"/>
  <c r="AH178" i="28"/>
  <c r="AG178" i="28"/>
  <c r="AF178" i="28"/>
  <c r="AE178" i="28"/>
  <c r="AD178" i="28"/>
  <c r="AD192" i="28"/>
  <c r="AK177" i="28"/>
  <c r="AF177" i="28"/>
  <c r="AI176" i="28"/>
  <c r="AE176" i="28"/>
  <c r="AD176" i="28"/>
  <c r="AD181" i="28"/>
  <c r="BD173" i="28"/>
  <c r="AZ173" i="28"/>
  <c r="BE173" i="28"/>
  <c r="AY173" i="28"/>
  <c r="AT173" i="28"/>
  <c r="AN173" i="28"/>
  <c r="AJ173" i="28"/>
  <c r="AO173" i="28"/>
  <c r="AI173" i="28"/>
  <c r="AH173" i="28"/>
  <c r="AG173" i="28"/>
  <c r="AL173" i="28"/>
  <c r="AF173" i="28"/>
  <c r="AK173" i="28"/>
  <c r="AP173" i="28"/>
  <c r="AU173" i="28"/>
  <c r="AE173" i="28"/>
  <c r="AD173" i="28"/>
  <c r="AB173" i="28"/>
  <c r="AA173" i="28"/>
  <c r="Z173" i="28"/>
  <c r="Y173" i="28"/>
  <c r="BP172" i="28"/>
  <c r="AH172" i="28"/>
  <c r="AC172" i="28"/>
  <c r="AK170" i="28"/>
  <c r="AJ170" i="28"/>
  <c r="AI170" i="28"/>
  <c r="AH170" i="28"/>
  <c r="AG170" i="28"/>
  <c r="AF170" i="28"/>
  <c r="AE170" i="28"/>
  <c r="AD170" i="28"/>
  <c r="AK169" i="28"/>
  <c r="AJ169" i="28"/>
  <c r="AI169" i="28"/>
  <c r="AG169" i="28"/>
  <c r="AF169" i="28"/>
  <c r="AE169" i="28"/>
  <c r="AD169" i="28"/>
  <c r="AB169" i="28"/>
  <c r="AA169" i="28"/>
  <c r="Z169" i="28"/>
  <c r="Y169" i="28"/>
  <c r="AH168" i="28"/>
  <c r="AC168" i="28"/>
  <c r="AG167" i="28"/>
  <c r="AF167" i="28"/>
  <c r="AE167" i="28"/>
  <c r="AA167" i="28"/>
  <c r="AH166" i="28"/>
  <c r="AC166" i="28"/>
  <c r="AH165" i="28"/>
  <c r="AC165" i="28"/>
  <c r="AJ162" i="28"/>
  <c r="AI162" i="28"/>
  <c r="AG162" i="28"/>
  <c r="AF162" i="28"/>
  <c r="AE162" i="28"/>
  <c r="AD162" i="28"/>
  <c r="AK161" i="28"/>
  <c r="AJ161" i="28"/>
  <c r="AJ167" i="28"/>
  <c r="AI161" i="28"/>
  <c r="AI167" i="28"/>
  <c r="AG161" i="28"/>
  <c r="AF161" i="28"/>
  <c r="AE161" i="28"/>
  <c r="AD161" i="28"/>
  <c r="AD167" i="28"/>
  <c r="AB161" i="28"/>
  <c r="AB162" i="28"/>
  <c r="AA161" i="28"/>
  <c r="AA162" i="28"/>
  <c r="Z161" i="28"/>
  <c r="Z162" i="28"/>
  <c r="Y161" i="28"/>
  <c r="Y162" i="28"/>
  <c r="AJ158" i="28"/>
  <c r="AJ159" i="28"/>
  <c r="AK156" i="28"/>
  <c r="AJ156" i="28"/>
  <c r="AJ154" i="28"/>
  <c r="AI156" i="28"/>
  <c r="AI154" i="28"/>
  <c r="AH156" i="28"/>
  <c r="AG156" i="28"/>
  <c r="AF156" i="28"/>
  <c r="AF154" i="28"/>
  <c r="AE156" i="28"/>
  <c r="AD156" i="28"/>
  <c r="AJ155" i="28"/>
  <c r="AF155" i="28"/>
  <c r="AE155" i="28"/>
  <c r="AD154" i="28"/>
  <c r="AK151" i="28"/>
  <c r="AJ151" i="28"/>
  <c r="AI151" i="28"/>
  <c r="AH151" i="28"/>
  <c r="AG151" i="28"/>
  <c r="AF151" i="28"/>
  <c r="AE151" i="28"/>
  <c r="AD151" i="28"/>
  <c r="AB151" i="28"/>
  <c r="AA151" i="28"/>
  <c r="Z151" i="28"/>
  <c r="Y151" i="28"/>
  <c r="AT150" i="28"/>
  <c r="AL150" i="28"/>
  <c r="AK150" i="28"/>
  <c r="AJ150" i="28"/>
  <c r="AO150" i="28"/>
  <c r="AI150" i="28"/>
  <c r="AH150" i="28"/>
  <c r="AC150" i="28"/>
  <c r="AK148" i="28"/>
  <c r="AJ148" i="28"/>
  <c r="AI148" i="28"/>
  <c r="AH148" i="28"/>
  <c r="AG148" i="28"/>
  <c r="AF148" i="28"/>
  <c r="AE148" i="28"/>
  <c r="AD148" i="28"/>
  <c r="AC148" i="28"/>
  <c r="AB148" i="28"/>
  <c r="AA148" i="28"/>
  <c r="Z148" i="28"/>
  <c r="Y148" i="28"/>
  <c r="AH147" i="28"/>
  <c r="AC147" i="28"/>
  <c r="BL146" i="28"/>
  <c r="BG146" i="28"/>
  <c r="BB146" i="28"/>
  <c r="AW146" i="28"/>
  <c r="AR146" i="28"/>
  <c r="AC146" i="28"/>
  <c r="AB146" i="28"/>
  <c r="AA146" i="28"/>
  <c r="AL158" i="28"/>
  <c r="AL155" i="28"/>
  <c r="AL68" i="27"/>
  <c r="AK158" i="28"/>
  <c r="AI158" i="28"/>
  <c r="AI159" i="28"/>
  <c r="AH158" i="28"/>
  <c r="AG158" i="28"/>
  <c r="AF158" i="28"/>
  <c r="AE158" i="28"/>
  <c r="AE159" i="28"/>
  <c r="AD158" i="28"/>
  <c r="AD159" i="28"/>
  <c r="AK146" i="28"/>
  <c r="AJ146" i="28"/>
  <c r="AI146" i="28"/>
  <c r="AH146" i="28"/>
  <c r="AG146" i="28"/>
  <c r="AF146" i="28"/>
  <c r="AE146" i="28"/>
  <c r="AD146" i="28"/>
  <c r="Y146" i="28"/>
  <c r="AI131" i="28"/>
  <c r="AI126" i="28"/>
  <c r="AE126" i="28"/>
  <c r="AD126" i="28"/>
  <c r="AI121" i="28"/>
  <c r="AE121" i="28"/>
  <c r="AD121" i="28"/>
  <c r="AK120" i="28"/>
  <c r="AD117" i="28"/>
  <c r="AD116" i="28"/>
  <c r="AB116" i="28"/>
  <c r="Z116" i="28"/>
  <c r="Y116" i="28"/>
  <c r="AJ115" i="28"/>
  <c r="AJ199" i="28"/>
  <c r="AI115" i="28"/>
  <c r="AI116" i="28"/>
  <c r="AG115" i="28"/>
  <c r="AF115" i="28"/>
  <c r="AE115" i="28"/>
  <c r="AD115" i="28"/>
  <c r="AD199" i="28"/>
  <c r="AB115" i="28"/>
  <c r="AA115" i="28"/>
  <c r="AA116" i="28"/>
  <c r="Z115" i="28"/>
  <c r="Z199" i="28"/>
  <c r="Z200" i="28"/>
  <c r="Y115" i="28"/>
  <c r="Y199" i="28"/>
  <c r="AJ108" i="28"/>
  <c r="AJ107" i="28"/>
  <c r="AI107" i="28"/>
  <c r="AE100" i="28"/>
  <c r="AD100" i="28"/>
  <c r="AJ99" i="28"/>
  <c r="AI99" i="28"/>
  <c r="AD99" i="28"/>
  <c r="AD98" i="28"/>
  <c r="AK95" i="28"/>
  <c r="AK100" i="28"/>
  <c r="AJ95" i="28"/>
  <c r="AJ93" i="28"/>
  <c r="AI95" i="28"/>
  <c r="AG95" i="28"/>
  <c r="AG100" i="28"/>
  <c r="AF95" i="28"/>
  <c r="AF192" i="28"/>
  <c r="AF197" i="28"/>
  <c r="AE95" i="28"/>
  <c r="AD95" i="28"/>
  <c r="AD112" i="28"/>
  <c r="AK94" i="28"/>
  <c r="AJ94" i="28"/>
  <c r="AE94" i="28"/>
  <c r="AE191" i="28"/>
  <c r="AK93" i="28"/>
  <c r="AD93" i="28"/>
  <c r="AK90" i="28"/>
  <c r="AJ90" i="28"/>
  <c r="AI90" i="28"/>
  <c r="AG90" i="28"/>
  <c r="AB90" i="28"/>
  <c r="AD86" i="28"/>
  <c r="AK81" i="28"/>
  <c r="AJ81" i="28"/>
  <c r="AI81" i="28"/>
  <c r="AG81" i="28"/>
  <c r="AF81" i="28"/>
  <c r="AE81" i="28"/>
  <c r="AD81" i="28"/>
  <c r="AK80" i="28"/>
  <c r="AJ80" i="28"/>
  <c r="AI80" i="28"/>
  <c r="AG80" i="28"/>
  <c r="AF80" i="28"/>
  <c r="AE80" i="28"/>
  <c r="AD80" i="28"/>
  <c r="AB80" i="28"/>
  <c r="AA80" i="28"/>
  <c r="Z80" i="28"/>
  <c r="Y80" i="28"/>
  <c r="AH79" i="28"/>
  <c r="AH67" i="28"/>
  <c r="AC79" i="28"/>
  <c r="BL78" i="28"/>
  <c r="BG78" i="28"/>
  <c r="BB78" i="28"/>
  <c r="AW78" i="28"/>
  <c r="AR78" i="28"/>
  <c r="AF90" i="28"/>
  <c r="AE90" i="28"/>
  <c r="AD90" i="28"/>
  <c r="AA90" i="28"/>
  <c r="Z90" i="28"/>
  <c r="Y90" i="28"/>
  <c r="AK86" i="28"/>
  <c r="AJ86" i="28"/>
  <c r="AI86" i="28"/>
  <c r="AG86" i="28"/>
  <c r="AF86" i="28"/>
  <c r="AE86" i="28"/>
  <c r="AB86" i="28"/>
  <c r="AA86" i="28"/>
  <c r="Z86" i="28"/>
  <c r="Y86" i="28"/>
  <c r="AK68" i="28"/>
  <c r="AJ68" i="28"/>
  <c r="AI68" i="28"/>
  <c r="AG68" i="28"/>
  <c r="AF68" i="28"/>
  <c r="AB68" i="28"/>
  <c r="AA68" i="28"/>
  <c r="AK67" i="28"/>
  <c r="AJ67" i="28"/>
  <c r="AI67" i="28"/>
  <c r="AG67" i="28"/>
  <c r="AF67" i="28"/>
  <c r="AE67" i="28"/>
  <c r="AE68" i="28"/>
  <c r="AD67" i="28"/>
  <c r="AB67" i="28"/>
  <c r="AA67" i="28"/>
  <c r="Z67" i="28"/>
  <c r="Y67" i="28"/>
  <c r="AG66" i="28"/>
  <c r="AF66" i="28"/>
  <c r="AE66" i="28"/>
  <c r="AB66" i="28"/>
  <c r="AH62" i="28"/>
  <c r="AC62" i="28"/>
  <c r="AH61" i="28"/>
  <c r="AC61" i="28"/>
  <c r="AK59" i="28"/>
  <c r="AE59" i="28"/>
  <c r="AD59" i="28"/>
  <c r="AK58" i="28"/>
  <c r="AJ58" i="28"/>
  <c r="AI58" i="28"/>
  <c r="AH58" i="28"/>
  <c r="AG58" i="28"/>
  <c r="AF58" i="28"/>
  <c r="AE58" i="28"/>
  <c r="AD58" i="28"/>
  <c r="AK57" i="28"/>
  <c r="AJ57" i="28"/>
  <c r="AI57" i="28"/>
  <c r="AH57" i="28"/>
  <c r="AG57" i="28"/>
  <c r="AF57" i="28"/>
  <c r="AE57" i="28"/>
  <c r="AD57" i="28"/>
  <c r="AK56" i="28"/>
  <c r="AJ56" i="28"/>
  <c r="AI56" i="28"/>
  <c r="AH56" i="28"/>
  <c r="AG56" i="28"/>
  <c r="AF56" i="28"/>
  <c r="AE56" i="28"/>
  <c r="AD56" i="28"/>
  <c r="AK55" i="28"/>
  <c r="AJ55" i="28"/>
  <c r="AI55" i="28"/>
  <c r="AG55" i="28"/>
  <c r="AF55" i="28"/>
  <c r="AE55" i="28"/>
  <c r="AD55" i="28"/>
  <c r="AK54" i="28"/>
  <c r="AJ54" i="28"/>
  <c r="AI54" i="28"/>
  <c r="AG54" i="28"/>
  <c r="AF54" i="28"/>
  <c r="AE54" i="28"/>
  <c r="AD54" i="28"/>
  <c r="AK53" i="28"/>
  <c r="AJ53" i="28"/>
  <c r="AI53" i="28"/>
  <c r="AH53" i="28"/>
  <c r="AG53" i="28"/>
  <c r="AF53" i="28"/>
  <c r="AE53" i="28"/>
  <c r="AD53" i="28"/>
  <c r="AK49" i="28"/>
  <c r="AK66" i="28"/>
  <c r="AJ49" i="28"/>
  <c r="AI49" i="28"/>
  <c r="AG49" i="28"/>
  <c r="AF49" i="28"/>
  <c r="AE49" i="28"/>
  <c r="AD49" i="28"/>
  <c r="AB49" i="28"/>
  <c r="AA49" i="28"/>
  <c r="Z49" i="28"/>
  <c r="Y49" i="28"/>
  <c r="AH48" i="28"/>
  <c r="AC48" i="28"/>
  <c r="AH47" i="28"/>
  <c r="AC47" i="28"/>
  <c r="AH46" i="28"/>
  <c r="AC46" i="28"/>
  <c r="AH45" i="28"/>
  <c r="AH55" i="28"/>
  <c r="AC45" i="28"/>
  <c r="AH44" i="28"/>
  <c r="AC44" i="28"/>
  <c r="AC49" i="28"/>
  <c r="AH43" i="28"/>
  <c r="AH49" i="28"/>
  <c r="AC43" i="28"/>
  <c r="AD40" i="28"/>
  <c r="AD39" i="28"/>
  <c r="AD38" i="28"/>
  <c r="AK35" i="28"/>
  <c r="AI35" i="28"/>
  <c r="AI34" i="28"/>
  <c r="AI30" i="28"/>
  <c r="AD30" i="28"/>
  <c r="AK27" i="28"/>
  <c r="AJ27" i="28"/>
  <c r="AI27" i="28"/>
  <c r="AH27" i="28"/>
  <c r="AG27" i="28"/>
  <c r="AF27" i="28"/>
  <c r="AE27" i="28"/>
  <c r="AD27" i="28"/>
  <c r="AD25" i="28"/>
  <c r="AJ26" i="28"/>
  <c r="AJ30" i="28"/>
  <c r="AE26" i="28"/>
  <c r="AK22" i="28"/>
  <c r="AA22" i="28"/>
  <c r="Y22" i="28"/>
  <c r="Y21" i="28"/>
  <c r="AK13" i="28"/>
  <c r="AJ13" i="28"/>
  <c r="AI13" i="28"/>
  <c r="AG13" i="28"/>
  <c r="AF13" i="28"/>
  <c r="AE13" i="28"/>
  <c r="AD13" i="28"/>
  <c r="AH12" i="28"/>
  <c r="AC12" i="28"/>
  <c r="AC151" i="28"/>
  <c r="BL11" i="28"/>
  <c r="BG11" i="28"/>
  <c r="BB11" i="28"/>
  <c r="AW11" i="28"/>
  <c r="AR11" i="28"/>
  <c r="AJ11" i="28"/>
  <c r="AJ22" i="28"/>
  <c r="AI22" i="28"/>
  <c r="AG22" i="28"/>
  <c r="AF22" i="28"/>
  <c r="AE22" i="28"/>
  <c r="AD22" i="28"/>
  <c r="AC22" i="28"/>
  <c r="AB22" i="28"/>
  <c r="Z22" i="28"/>
  <c r="AK21" i="28"/>
  <c r="AJ21" i="28"/>
  <c r="AI21" i="28"/>
  <c r="AG21" i="28"/>
  <c r="AF21" i="28"/>
  <c r="AE21" i="28"/>
  <c r="AD21" i="28"/>
  <c r="AB21" i="28"/>
  <c r="AA21" i="28"/>
  <c r="Z21" i="28"/>
  <c r="AK20" i="28"/>
  <c r="AJ20" i="28"/>
  <c r="AI20" i="28"/>
  <c r="AG20" i="28"/>
  <c r="AF20" i="28"/>
  <c r="AE20" i="28"/>
  <c r="AD20" i="28"/>
  <c r="AB20" i="28"/>
  <c r="AA20" i="28"/>
  <c r="Z20" i="28"/>
  <c r="Y20" i="28"/>
  <c r="AK18" i="28"/>
  <c r="AJ18" i="28"/>
  <c r="AI18" i="28"/>
  <c r="AG18" i="28"/>
  <c r="AF18" i="28"/>
  <c r="AE18" i="28"/>
  <c r="AD18" i="28"/>
  <c r="AC18" i="28"/>
  <c r="AB18" i="28"/>
  <c r="AA18" i="28"/>
  <c r="Z18" i="28"/>
  <c r="Y18" i="28"/>
  <c r="AG17" i="28"/>
  <c r="AB16" i="28"/>
  <c r="AJ330" i="27"/>
  <c r="AI330" i="27"/>
  <c r="AH330" i="27"/>
  <c r="BL329" i="27"/>
  <c r="BG329" i="27"/>
  <c r="BB329" i="27"/>
  <c r="AW329" i="27"/>
  <c r="AR329" i="27"/>
  <c r="AI329" i="27"/>
  <c r="AI328" i="27"/>
  <c r="AH328" i="27"/>
  <c r="BK324" i="27"/>
  <c r="BJ324" i="27"/>
  <c r="BI324" i="27"/>
  <c r="BH324" i="27"/>
  <c r="BF324" i="27"/>
  <c r="BE324" i="27"/>
  <c r="BD324" i="27"/>
  <c r="BC324" i="27"/>
  <c r="BA324" i="27"/>
  <c r="AZ324" i="27"/>
  <c r="AY324" i="27"/>
  <c r="AX324" i="27"/>
  <c r="AV324" i="27"/>
  <c r="AU324" i="27"/>
  <c r="AT324" i="27"/>
  <c r="AS324" i="27"/>
  <c r="AQ324" i="27"/>
  <c r="AP324" i="27"/>
  <c r="AO324" i="27"/>
  <c r="AN324" i="27"/>
  <c r="AL324" i="27"/>
  <c r="AK322" i="27"/>
  <c r="AJ322" i="27"/>
  <c r="AI322" i="27"/>
  <c r="AH322" i="27"/>
  <c r="AK321" i="27"/>
  <c r="AJ321" i="27"/>
  <c r="AJ323" i="27"/>
  <c r="AJ324" i="27"/>
  <c r="AI321" i="27"/>
  <c r="AI323" i="27"/>
  <c r="AH321" i="27"/>
  <c r="AI315" i="27"/>
  <c r="AI314" i="27"/>
  <c r="AH315" i="27"/>
  <c r="AH314" i="27"/>
  <c r="BL314" i="27"/>
  <c r="BG314" i="27"/>
  <c r="BB314" i="27"/>
  <c r="AW314" i="27"/>
  <c r="AR314" i="27"/>
  <c r="AI313" i="27"/>
  <c r="AH313" i="27"/>
  <c r="BC309" i="27"/>
  <c r="BA309" i="27"/>
  <c r="AZ309" i="27"/>
  <c r="AX309" i="27"/>
  <c r="AV309" i="27"/>
  <c r="AU309" i="27"/>
  <c r="AT309" i="27"/>
  <c r="AY309" i="27"/>
  <c r="AS309" i="27"/>
  <c r="AL308" i="27"/>
  <c r="AL303" i="27"/>
  <c r="AL40" i="27"/>
  <c r="AL161" i="27"/>
  <c r="AI303" i="27"/>
  <c r="AH303" i="27"/>
  <c r="AD303" i="27"/>
  <c r="AL300" i="27"/>
  <c r="AI300" i="27"/>
  <c r="AH300" i="27"/>
  <c r="AE300" i="27"/>
  <c r="AD300" i="27"/>
  <c r="AK291" i="27"/>
  <c r="AJ291" i="27"/>
  <c r="AI291" i="27"/>
  <c r="AG291" i="27"/>
  <c r="AF291" i="27"/>
  <c r="AE291" i="27"/>
  <c r="AD291" i="27"/>
  <c r="AK288" i="27"/>
  <c r="AK284" i="27"/>
  <c r="AE284" i="27"/>
  <c r="AH283" i="27"/>
  <c r="AK282" i="27"/>
  <c r="AK290" i="27"/>
  <c r="AJ282" i="27"/>
  <c r="AJ290" i="27"/>
  <c r="AI282" i="27"/>
  <c r="AI290" i="27"/>
  <c r="AG282" i="27"/>
  <c r="AG290" i="27"/>
  <c r="AF282" i="27"/>
  <c r="AF290" i="27"/>
  <c r="AE282" i="27"/>
  <c r="AE290" i="27"/>
  <c r="AD282" i="27"/>
  <c r="AD290" i="27"/>
  <c r="AK279" i="27"/>
  <c r="AJ279" i="27"/>
  <c r="AI279" i="27"/>
  <c r="AH279" i="27"/>
  <c r="AG279" i="27"/>
  <c r="AF279" i="27"/>
  <c r="AF280" i="27"/>
  <c r="AF292" i="27"/>
  <c r="AE279" i="27"/>
  <c r="AD279" i="27"/>
  <c r="AE277" i="27"/>
  <c r="AK276" i="27"/>
  <c r="AG276" i="27"/>
  <c r="AF276" i="27"/>
  <c r="AE276" i="27"/>
  <c r="AH275" i="27"/>
  <c r="AK266" i="27"/>
  <c r="AJ266" i="27"/>
  <c r="AI266" i="27"/>
  <c r="AG266" i="27"/>
  <c r="AF266" i="27"/>
  <c r="AE266" i="27"/>
  <c r="AD266" i="27"/>
  <c r="AG260" i="27"/>
  <c r="AF260" i="27"/>
  <c r="AE260" i="27"/>
  <c r="AH259" i="27"/>
  <c r="AH266" i="27"/>
  <c r="AG257" i="27"/>
  <c r="AE257" i="27"/>
  <c r="AD257" i="27"/>
  <c r="AK256" i="27"/>
  <c r="AJ256" i="27"/>
  <c r="AI256" i="27"/>
  <c r="AH256" i="27"/>
  <c r="AG256" i="27"/>
  <c r="AF256" i="27"/>
  <c r="AE256" i="27"/>
  <c r="AD256" i="27"/>
  <c r="AK254" i="27"/>
  <c r="AJ254" i="27"/>
  <c r="AI254" i="27"/>
  <c r="AH254" i="27"/>
  <c r="AG254" i="27"/>
  <c r="AF254" i="27"/>
  <c r="AF257" i="27"/>
  <c r="AF267" i="27"/>
  <c r="AE254" i="27"/>
  <c r="AD254" i="27"/>
  <c r="AL253" i="27"/>
  <c r="AM253" i="27"/>
  <c r="AN253" i="27"/>
  <c r="AO253" i="27"/>
  <c r="AP253" i="27"/>
  <c r="AQ253" i="27"/>
  <c r="AR253" i="27"/>
  <c r="AS253" i="27"/>
  <c r="AT253" i="27"/>
  <c r="AU253" i="27"/>
  <c r="AV253" i="27"/>
  <c r="AW253" i="27"/>
  <c r="AX253" i="27"/>
  <c r="AY253" i="27"/>
  <c r="AZ253" i="27"/>
  <c r="BA253" i="27"/>
  <c r="BB253" i="27"/>
  <c r="BC253" i="27"/>
  <c r="BD253" i="27"/>
  <c r="BE253" i="27"/>
  <c r="BF253" i="27"/>
  <c r="BG253" i="27"/>
  <c r="BH253" i="27"/>
  <c r="BI253" i="27"/>
  <c r="BJ253" i="27"/>
  <c r="BK253" i="27"/>
  <c r="BL253" i="27"/>
  <c r="AH253" i="27"/>
  <c r="AL252" i="27"/>
  <c r="AH252" i="27"/>
  <c r="AL251" i="27"/>
  <c r="AM251" i="27"/>
  <c r="AN251" i="27"/>
  <c r="AO251" i="27"/>
  <c r="AP251" i="27"/>
  <c r="AQ251" i="27"/>
  <c r="AR251" i="27"/>
  <c r="AS251" i="27"/>
  <c r="AT251" i="27"/>
  <c r="AU251" i="27"/>
  <c r="AV251" i="27"/>
  <c r="AW251" i="27"/>
  <c r="AX251" i="27"/>
  <c r="AY251" i="27"/>
  <c r="AZ251" i="27"/>
  <c r="BA251" i="27"/>
  <c r="BB251" i="27"/>
  <c r="BC251" i="27"/>
  <c r="BD251" i="27"/>
  <c r="BE251" i="27"/>
  <c r="BF251" i="27"/>
  <c r="BG251" i="27"/>
  <c r="BH251" i="27"/>
  <c r="BI251" i="27"/>
  <c r="BJ251" i="27"/>
  <c r="BK251" i="27"/>
  <c r="BL251" i="27"/>
  <c r="AH251" i="27"/>
  <c r="AN250" i="27"/>
  <c r="AO250" i="27"/>
  <c r="AP250" i="27"/>
  <c r="AQ250" i="27"/>
  <c r="AR250" i="27"/>
  <c r="AS250" i="27"/>
  <c r="AT250" i="27"/>
  <c r="AU250" i="27"/>
  <c r="AV250" i="27"/>
  <c r="AW250" i="27"/>
  <c r="AX250" i="27"/>
  <c r="AY250" i="27"/>
  <c r="AZ250" i="27"/>
  <c r="BA250" i="27"/>
  <c r="BB250" i="27"/>
  <c r="BC250" i="27"/>
  <c r="BD250" i="27"/>
  <c r="BE250" i="27"/>
  <c r="BF250" i="27"/>
  <c r="BG250" i="27"/>
  <c r="BH250" i="27"/>
  <c r="BI250" i="27"/>
  <c r="BJ250" i="27"/>
  <c r="BK250" i="27"/>
  <c r="BL250" i="27"/>
  <c r="AL250" i="27"/>
  <c r="AM250" i="27"/>
  <c r="AH250" i="27"/>
  <c r="AO249" i="27"/>
  <c r="AP249" i="27"/>
  <c r="AQ249" i="27"/>
  <c r="AR249" i="27"/>
  <c r="AS249" i="27"/>
  <c r="AT249" i="27"/>
  <c r="AU249" i="27"/>
  <c r="AV249" i="27"/>
  <c r="AW249" i="27"/>
  <c r="AX249" i="27"/>
  <c r="AY249" i="27"/>
  <c r="AZ249" i="27"/>
  <c r="BA249" i="27"/>
  <c r="BB249" i="27"/>
  <c r="BC249" i="27"/>
  <c r="BD249" i="27"/>
  <c r="BE249" i="27"/>
  <c r="BF249" i="27"/>
  <c r="BG249" i="27"/>
  <c r="BH249" i="27"/>
  <c r="BI249" i="27"/>
  <c r="BJ249" i="27"/>
  <c r="BK249" i="27"/>
  <c r="BL249" i="27"/>
  <c r="AN249" i="27"/>
  <c r="AM249" i="27"/>
  <c r="AL249" i="27"/>
  <c r="AH249" i="27"/>
  <c r="AL248" i="27"/>
  <c r="AH248" i="27"/>
  <c r="AI237" i="27"/>
  <c r="AH237" i="27"/>
  <c r="AI236" i="27"/>
  <c r="AH236" i="27"/>
  <c r="AI231" i="27"/>
  <c r="AH231" i="27"/>
  <c r="AI230" i="27"/>
  <c r="AH230" i="27"/>
  <c r="AI223" i="27"/>
  <c r="AH223" i="27"/>
  <c r="AI222" i="27"/>
  <c r="AH222" i="27"/>
  <c r="AI217" i="27"/>
  <c r="AH217" i="27"/>
  <c r="AK206" i="27"/>
  <c r="AM206" i="27"/>
  <c r="AJ206" i="27"/>
  <c r="BF204" i="27"/>
  <c r="BA204" i="27"/>
  <c r="AV204" i="27"/>
  <c r="AI204" i="27"/>
  <c r="AH204" i="27"/>
  <c r="AK203" i="27"/>
  <c r="AM203" i="27"/>
  <c r="AJ203" i="27"/>
  <c r="AS202" i="27"/>
  <c r="AN202" i="27"/>
  <c r="AJ202" i="27"/>
  <c r="AT201" i="27"/>
  <c r="AT204" i="27"/>
  <c r="AN201" i="27"/>
  <c r="AJ201" i="27"/>
  <c r="AM200" i="27"/>
  <c r="AM199" i="27"/>
  <c r="AK199" i="27"/>
  <c r="AJ199" i="27"/>
  <c r="AM198" i="27"/>
  <c r="AJ197" i="27"/>
  <c r="AK197" i="27"/>
  <c r="AK196" i="27"/>
  <c r="AM196" i="27"/>
  <c r="AJ196" i="27"/>
  <c r="AJ195" i="27"/>
  <c r="AI192" i="27"/>
  <c r="AH192" i="27"/>
  <c r="AM191" i="27"/>
  <c r="AK191" i="27"/>
  <c r="AJ191" i="27"/>
  <c r="AM190" i="27"/>
  <c r="AV189" i="27"/>
  <c r="BA189" i="27"/>
  <c r="BF189" i="27"/>
  <c r="BK189" i="27"/>
  <c r="AU189" i="27"/>
  <c r="AZ189" i="27"/>
  <c r="BE189" i="27"/>
  <c r="BJ189" i="27"/>
  <c r="AT189" i="27"/>
  <c r="AY189" i="27"/>
  <c r="BD189" i="27"/>
  <c r="BI189" i="27"/>
  <c r="AS189" i="27"/>
  <c r="AR189" i="27"/>
  <c r="AK189" i="27"/>
  <c r="AM189" i="27"/>
  <c r="AJ189" i="27"/>
  <c r="BC188" i="27"/>
  <c r="AX188" i="27"/>
  <c r="AV188" i="27"/>
  <c r="BA188" i="27"/>
  <c r="BF188" i="27"/>
  <c r="BK188" i="27"/>
  <c r="AU188" i="27"/>
  <c r="AZ188" i="27"/>
  <c r="BE188" i="27"/>
  <c r="AT188" i="27"/>
  <c r="AY188" i="27"/>
  <c r="AS188" i="27"/>
  <c r="AR188" i="27"/>
  <c r="AK188" i="27"/>
  <c r="AJ188" i="27"/>
  <c r="AJ187" i="27"/>
  <c r="AJ186" i="27"/>
  <c r="AK186" i="27"/>
  <c r="AJ184" i="27"/>
  <c r="BP183" i="27"/>
  <c r="E30" i="26"/>
  <c r="AJ183" i="27"/>
  <c r="BV179" i="27"/>
  <c r="BU179" i="27"/>
  <c r="BT179" i="27"/>
  <c r="BS179" i="27"/>
  <c r="BR179" i="27"/>
  <c r="BP179" i="27"/>
  <c r="AJ179" i="27"/>
  <c r="AK179" i="27"/>
  <c r="AM179" i="27"/>
  <c r="BQ179" i="27"/>
  <c r="BP178" i="27"/>
  <c r="E27" i="26"/>
  <c r="AJ178" i="27"/>
  <c r="BP177" i="27"/>
  <c r="AJ177" i="27"/>
  <c r="AK177" i="27"/>
  <c r="BP176" i="27"/>
  <c r="AJ176" i="27"/>
  <c r="AJ174" i="27"/>
  <c r="BL173" i="27"/>
  <c r="BG173" i="27"/>
  <c r="AZ173" i="27"/>
  <c r="AY173" i="27"/>
  <c r="AX173" i="27"/>
  <c r="AV173" i="27"/>
  <c r="AW173" i="27"/>
  <c r="AU173" i="27"/>
  <c r="AT173" i="27"/>
  <c r="AS173" i="27"/>
  <c r="AR173" i="27"/>
  <c r="AK173" i="27"/>
  <c r="AM173" i="27"/>
  <c r="AJ173" i="27"/>
  <c r="BC172" i="27"/>
  <c r="BA172" i="27"/>
  <c r="BF172" i="27"/>
  <c r="BK172" i="27"/>
  <c r="AZ172" i="27"/>
  <c r="BE172" i="27"/>
  <c r="BJ172" i="27"/>
  <c r="AX172" i="27"/>
  <c r="AV172" i="27"/>
  <c r="AU172" i="27"/>
  <c r="AT172" i="27"/>
  <c r="AS172" i="27"/>
  <c r="AR172" i="27"/>
  <c r="AJ172" i="27"/>
  <c r="AJ171" i="27"/>
  <c r="AJ223" i="27"/>
  <c r="BE170" i="27"/>
  <c r="BJ170" i="27"/>
  <c r="AS170" i="27"/>
  <c r="AX170" i="27"/>
  <c r="AO170" i="27"/>
  <c r="AO223" i="27"/>
  <c r="AN170" i="27"/>
  <c r="AL170" i="27"/>
  <c r="AK170" i="27"/>
  <c r="AP170" i="27"/>
  <c r="AU170" i="27"/>
  <c r="AZ170" i="27"/>
  <c r="AJ170" i="27"/>
  <c r="BL169" i="27"/>
  <c r="BG169" i="27"/>
  <c r="BB169" i="27"/>
  <c r="AW169" i="27"/>
  <c r="AR169" i="27"/>
  <c r="AJ169" i="27"/>
  <c r="BL168" i="27"/>
  <c r="BG168" i="27"/>
  <c r="BB168" i="27"/>
  <c r="AW168" i="27"/>
  <c r="AR168" i="27"/>
  <c r="AJ168" i="27"/>
  <c r="AK168" i="27"/>
  <c r="AM168" i="27"/>
  <c r="AT167" i="27"/>
  <c r="AQ167" i="27"/>
  <c r="AV167" i="27"/>
  <c r="AO167" i="27"/>
  <c r="AN167" i="27"/>
  <c r="AN100" i="27"/>
  <c r="AO100" i="27"/>
  <c r="AK167" i="27"/>
  <c r="AM167" i="27"/>
  <c r="AJ167" i="27"/>
  <c r="AI166" i="27"/>
  <c r="AH166" i="27"/>
  <c r="AM165" i="27"/>
  <c r="BK164" i="27"/>
  <c r="BJ164" i="27"/>
  <c r="BI164" i="27"/>
  <c r="BH164" i="27"/>
  <c r="BG164" i="27"/>
  <c r="BF164" i="27"/>
  <c r="BE164" i="27"/>
  <c r="BD164" i="27"/>
  <c r="BC164" i="27"/>
  <c r="BA164" i="27"/>
  <c r="AZ164" i="27"/>
  <c r="AY164" i="27"/>
  <c r="AX164" i="27"/>
  <c r="AW164" i="27"/>
  <c r="AV164" i="27"/>
  <c r="AU164" i="27"/>
  <c r="AT164" i="27"/>
  <c r="AS164" i="27"/>
  <c r="AR164" i="27"/>
  <c r="AQ164" i="27"/>
  <c r="AP164" i="27"/>
  <c r="AO164" i="27"/>
  <c r="AN164" i="27"/>
  <c r="AL164" i="27"/>
  <c r="AI164" i="27"/>
  <c r="AH164" i="27"/>
  <c r="AJ163" i="27"/>
  <c r="AT162" i="27"/>
  <c r="AS162" i="27"/>
  <c r="AQ162" i="27"/>
  <c r="AP162" i="27"/>
  <c r="AO162" i="27"/>
  <c r="AN162" i="27"/>
  <c r="AL162" i="27"/>
  <c r="AI162" i="27"/>
  <c r="AH162" i="27"/>
  <c r="AJ161" i="27"/>
  <c r="AI161" i="27"/>
  <c r="AH161" i="27"/>
  <c r="AL160" i="27"/>
  <c r="AJ160" i="27"/>
  <c r="AI160" i="27"/>
  <c r="AH160" i="27"/>
  <c r="AJ159" i="27"/>
  <c r="AK159" i="27"/>
  <c r="AM159" i="27"/>
  <c r="AM158" i="27"/>
  <c r="AM157" i="27"/>
  <c r="AK157" i="27"/>
  <c r="AJ157" i="27"/>
  <c r="AJ156" i="27"/>
  <c r="AK156" i="27"/>
  <c r="AK78" i="27"/>
  <c r="AK150" i="27"/>
  <c r="AK147" i="27"/>
  <c r="AH146" i="27"/>
  <c r="AK145" i="27"/>
  <c r="AJ145" i="27"/>
  <c r="AJ147" i="27"/>
  <c r="AJ149" i="27"/>
  <c r="AI145" i="27"/>
  <c r="AI147" i="27"/>
  <c r="AI149" i="27"/>
  <c r="AI150" i="27"/>
  <c r="AG145" i="27"/>
  <c r="AH145" i="27"/>
  <c r="AL144" i="27"/>
  <c r="AM144" i="27"/>
  <c r="AN144" i="27"/>
  <c r="AO144" i="27"/>
  <c r="AP144" i="27"/>
  <c r="AQ144" i="27"/>
  <c r="AR144" i="27"/>
  <c r="AS144" i="27"/>
  <c r="AT144" i="27"/>
  <c r="AU144" i="27"/>
  <c r="AV144" i="27"/>
  <c r="AW144" i="27"/>
  <c r="AX144" i="27"/>
  <c r="AY144" i="27"/>
  <c r="AZ144" i="27"/>
  <c r="BA144" i="27"/>
  <c r="BB144" i="27"/>
  <c r="BC144" i="27"/>
  <c r="BD144" i="27"/>
  <c r="BE144" i="27"/>
  <c r="BF144" i="27"/>
  <c r="BG144" i="27"/>
  <c r="BH144" i="27"/>
  <c r="BI144" i="27"/>
  <c r="BJ144" i="27"/>
  <c r="BK144" i="27"/>
  <c r="BL144" i="27"/>
  <c r="AH144" i="27"/>
  <c r="AM143" i="27"/>
  <c r="AN143" i="27"/>
  <c r="AO143" i="27"/>
  <c r="AP143" i="27"/>
  <c r="AQ143" i="27"/>
  <c r="AR143" i="27"/>
  <c r="AS143" i="27"/>
  <c r="AT143" i="27"/>
  <c r="AU143" i="27"/>
  <c r="AV143" i="27"/>
  <c r="AW143" i="27"/>
  <c r="AX143" i="27"/>
  <c r="AY143" i="27"/>
  <c r="AZ143" i="27"/>
  <c r="BA143" i="27"/>
  <c r="BB143" i="27"/>
  <c r="BC143" i="27"/>
  <c r="BD143" i="27"/>
  <c r="BE143" i="27"/>
  <c r="BF143" i="27"/>
  <c r="BG143" i="27"/>
  <c r="BH143" i="27"/>
  <c r="BI143" i="27"/>
  <c r="BJ143" i="27"/>
  <c r="BK143" i="27"/>
  <c r="BL143" i="27"/>
  <c r="AL143" i="27"/>
  <c r="AH143" i="27"/>
  <c r="AH142" i="27"/>
  <c r="AL141" i="27"/>
  <c r="AM141" i="27"/>
  <c r="AH141" i="27"/>
  <c r="AN140" i="27"/>
  <c r="AM140" i="27"/>
  <c r="AL140" i="27"/>
  <c r="AH140" i="27"/>
  <c r="AK138" i="27"/>
  <c r="AK149" i="27"/>
  <c r="AJ138" i="27"/>
  <c r="AI138" i="27"/>
  <c r="AK136" i="27"/>
  <c r="AJ136" i="27"/>
  <c r="AI136" i="27"/>
  <c r="AG136" i="27"/>
  <c r="AL135" i="27"/>
  <c r="AM135" i="27"/>
  <c r="AN135" i="27"/>
  <c r="AO135" i="27"/>
  <c r="AP135" i="27"/>
  <c r="AQ135" i="27"/>
  <c r="AR135" i="27"/>
  <c r="AS135" i="27"/>
  <c r="AT135" i="27"/>
  <c r="AU135" i="27"/>
  <c r="AV135" i="27"/>
  <c r="AW135" i="27"/>
  <c r="AX135" i="27"/>
  <c r="AY135" i="27"/>
  <c r="AZ135" i="27"/>
  <c r="BA135" i="27"/>
  <c r="BB135" i="27"/>
  <c r="BC135" i="27"/>
  <c r="BD135" i="27"/>
  <c r="BE135" i="27"/>
  <c r="BF135" i="27"/>
  <c r="BG135" i="27"/>
  <c r="BH135" i="27"/>
  <c r="BI135" i="27"/>
  <c r="BJ135" i="27"/>
  <c r="BK135" i="27"/>
  <c r="BL135" i="27"/>
  <c r="AH135" i="27"/>
  <c r="AH134" i="27"/>
  <c r="AL133" i="27"/>
  <c r="AM133" i="27"/>
  <c r="AN133" i="27"/>
  <c r="AO133" i="27"/>
  <c r="AP133" i="27"/>
  <c r="AQ133" i="27"/>
  <c r="AR133" i="27"/>
  <c r="AS133" i="27"/>
  <c r="AT133" i="27"/>
  <c r="AU133" i="27"/>
  <c r="AV133" i="27"/>
  <c r="AW133" i="27"/>
  <c r="AX133" i="27"/>
  <c r="AY133" i="27"/>
  <c r="AZ133" i="27"/>
  <c r="BA133" i="27"/>
  <c r="BB133" i="27"/>
  <c r="BC133" i="27"/>
  <c r="BD133" i="27"/>
  <c r="BE133" i="27"/>
  <c r="BF133" i="27"/>
  <c r="BG133" i="27"/>
  <c r="BH133" i="27"/>
  <c r="BI133" i="27"/>
  <c r="BJ133" i="27"/>
  <c r="BK133" i="27"/>
  <c r="BL133" i="27"/>
  <c r="AH133" i="27"/>
  <c r="AP132" i="27"/>
  <c r="AQ132" i="27"/>
  <c r="AR132" i="27"/>
  <c r="AS132" i="27"/>
  <c r="AT132" i="27"/>
  <c r="AU132" i="27"/>
  <c r="AV132" i="27"/>
  <c r="AW132" i="27"/>
  <c r="AX132" i="27"/>
  <c r="AY132" i="27"/>
  <c r="AZ132" i="27"/>
  <c r="BA132" i="27"/>
  <c r="BB132" i="27"/>
  <c r="BC132" i="27"/>
  <c r="BD132" i="27"/>
  <c r="BE132" i="27"/>
  <c r="BF132" i="27"/>
  <c r="BG132" i="27"/>
  <c r="BH132" i="27"/>
  <c r="BI132" i="27"/>
  <c r="BJ132" i="27"/>
  <c r="BK132" i="27"/>
  <c r="BL132" i="27"/>
  <c r="AN132" i="27"/>
  <c r="AO132" i="27"/>
  <c r="AM132" i="27"/>
  <c r="AL132" i="27"/>
  <c r="AH132" i="27"/>
  <c r="AL131" i="27"/>
  <c r="AH131" i="27"/>
  <c r="AK129" i="27"/>
  <c r="AJ129" i="27"/>
  <c r="AI129" i="27"/>
  <c r="AH129" i="27"/>
  <c r="AG129" i="27"/>
  <c r="AL128" i="27"/>
  <c r="AM128" i="27"/>
  <c r="AN128" i="27"/>
  <c r="AO128" i="27"/>
  <c r="AP128" i="27"/>
  <c r="AQ128" i="27"/>
  <c r="AR128" i="27"/>
  <c r="AS128" i="27"/>
  <c r="AT128" i="27"/>
  <c r="AU128" i="27"/>
  <c r="AV128" i="27"/>
  <c r="AW128" i="27"/>
  <c r="AX128" i="27"/>
  <c r="AY128" i="27"/>
  <c r="AZ128" i="27"/>
  <c r="BA128" i="27"/>
  <c r="BB128" i="27"/>
  <c r="BC128" i="27"/>
  <c r="BD128" i="27"/>
  <c r="BE128" i="27"/>
  <c r="BF128" i="27"/>
  <c r="BG128" i="27"/>
  <c r="BH128" i="27"/>
  <c r="BI128" i="27"/>
  <c r="BJ128" i="27"/>
  <c r="BK128" i="27"/>
  <c r="BL128" i="27"/>
  <c r="AH128" i="27"/>
  <c r="AR127" i="27"/>
  <c r="AS127" i="27"/>
  <c r="AT127" i="27"/>
  <c r="AU127" i="27"/>
  <c r="AV127" i="27"/>
  <c r="AW127" i="27"/>
  <c r="AX127" i="27"/>
  <c r="AY127" i="27"/>
  <c r="AZ127" i="27"/>
  <c r="BA127" i="27"/>
  <c r="BB127" i="27"/>
  <c r="BC127" i="27"/>
  <c r="BD127" i="27"/>
  <c r="BE127" i="27"/>
  <c r="BF127" i="27"/>
  <c r="BG127" i="27"/>
  <c r="BH127" i="27"/>
  <c r="BI127" i="27"/>
  <c r="BJ127" i="27"/>
  <c r="BK127" i="27"/>
  <c r="BL127" i="27"/>
  <c r="AM127" i="27"/>
  <c r="AN127" i="27"/>
  <c r="AO127" i="27"/>
  <c r="AP127" i="27"/>
  <c r="AQ127" i="27"/>
  <c r="AL127" i="27"/>
  <c r="AH127" i="27"/>
  <c r="AN126" i="27"/>
  <c r="AO126" i="27"/>
  <c r="AP126" i="27"/>
  <c r="AQ126" i="27"/>
  <c r="AR126" i="27"/>
  <c r="AS126" i="27"/>
  <c r="AT126" i="27"/>
  <c r="AU126" i="27"/>
  <c r="AV126" i="27"/>
  <c r="AW126" i="27"/>
  <c r="AX126" i="27"/>
  <c r="AY126" i="27"/>
  <c r="AZ126" i="27"/>
  <c r="BA126" i="27"/>
  <c r="BB126" i="27"/>
  <c r="BC126" i="27"/>
  <c r="BD126" i="27"/>
  <c r="BE126" i="27"/>
  <c r="BF126" i="27"/>
  <c r="BG126" i="27"/>
  <c r="BH126" i="27"/>
  <c r="BI126" i="27"/>
  <c r="BJ126" i="27"/>
  <c r="BK126" i="27"/>
  <c r="BL126" i="27"/>
  <c r="AM126" i="27"/>
  <c r="AL126" i="27"/>
  <c r="AH126" i="27"/>
  <c r="AL125" i="27"/>
  <c r="AM125" i="27"/>
  <c r="AN125" i="27"/>
  <c r="AO125" i="27"/>
  <c r="AP125" i="27"/>
  <c r="AQ125" i="27"/>
  <c r="AR125" i="27"/>
  <c r="AS125" i="27"/>
  <c r="AT125" i="27"/>
  <c r="AU125" i="27"/>
  <c r="AV125" i="27"/>
  <c r="AW125" i="27"/>
  <c r="AX125" i="27"/>
  <c r="AY125" i="27"/>
  <c r="AZ125" i="27"/>
  <c r="BA125" i="27"/>
  <c r="BB125" i="27"/>
  <c r="BC125" i="27"/>
  <c r="BD125" i="27"/>
  <c r="BE125" i="27"/>
  <c r="BF125" i="27"/>
  <c r="BG125" i="27"/>
  <c r="BH125" i="27"/>
  <c r="BI125" i="27"/>
  <c r="BJ125" i="27"/>
  <c r="BK125" i="27"/>
  <c r="BL125" i="27"/>
  <c r="AH125" i="27"/>
  <c r="AL124" i="27"/>
  <c r="AM124" i="27"/>
  <c r="AN124" i="27"/>
  <c r="AO124" i="27"/>
  <c r="AP124" i="27"/>
  <c r="AQ124" i="27"/>
  <c r="AR124" i="27"/>
  <c r="AS124" i="27"/>
  <c r="AT124" i="27"/>
  <c r="AU124" i="27"/>
  <c r="AV124" i="27"/>
  <c r="AW124" i="27"/>
  <c r="AX124" i="27"/>
  <c r="AH124" i="27"/>
  <c r="AL123" i="27"/>
  <c r="AM123" i="27"/>
  <c r="AN123" i="27"/>
  <c r="AO123" i="27"/>
  <c r="AP123" i="27"/>
  <c r="AQ123" i="27"/>
  <c r="AR123" i="27"/>
  <c r="AS123" i="27"/>
  <c r="AT123" i="27"/>
  <c r="AU123" i="27"/>
  <c r="AV123" i="27"/>
  <c r="AW123" i="27"/>
  <c r="AX123" i="27"/>
  <c r="AY123" i="27"/>
  <c r="AZ123" i="27"/>
  <c r="BA123" i="27"/>
  <c r="BB123" i="27"/>
  <c r="BC123" i="27"/>
  <c r="BD123" i="27"/>
  <c r="BE123" i="27"/>
  <c r="BF123" i="27"/>
  <c r="BG123" i="27"/>
  <c r="BH123" i="27"/>
  <c r="BI123" i="27"/>
  <c r="BJ123" i="27"/>
  <c r="BK123" i="27"/>
  <c r="BL123" i="27"/>
  <c r="AH123" i="27"/>
  <c r="AH122" i="27"/>
  <c r="AN121" i="27"/>
  <c r="AO121" i="27"/>
  <c r="AM121" i="27"/>
  <c r="AL121" i="27"/>
  <c r="AH121" i="27"/>
  <c r="AK119" i="27"/>
  <c r="AH119" i="27"/>
  <c r="AK117" i="27"/>
  <c r="AJ117" i="27"/>
  <c r="AI117" i="27"/>
  <c r="AG117" i="27"/>
  <c r="AH117" i="27"/>
  <c r="AM116" i="27"/>
  <c r="AN116" i="27"/>
  <c r="AO116" i="27"/>
  <c r="AP116" i="27"/>
  <c r="AQ116" i="27"/>
  <c r="AR116" i="27"/>
  <c r="AS116" i="27"/>
  <c r="AT116" i="27"/>
  <c r="AU116" i="27"/>
  <c r="AV116" i="27"/>
  <c r="AW116" i="27"/>
  <c r="AX116" i="27"/>
  <c r="AY116" i="27"/>
  <c r="AZ116" i="27"/>
  <c r="BA116" i="27"/>
  <c r="BB116" i="27"/>
  <c r="BC116" i="27"/>
  <c r="BD116" i="27"/>
  <c r="BE116" i="27"/>
  <c r="BF116" i="27"/>
  <c r="BG116" i="27"/>
  <c r="BH116" i="27"/>
  <c r="BI116" i="27"/>
  <c r="BJ116" i="27"/>
  <c r="BK116" i="27"/>
  <c r="BL116" i="27"/>
  <c r="AL116" i="27"/>
  <c r="AH116" i="27"/>
  <c r="AH115" i="27"/>
  <c r="AO114" i="27"/>
  <c r="AP114" i="27"/>
  <c r="AQ114" i="27"/>
  <c r="AR114" i="27"/>
  <c r="AS114" i="27"/>
  <c r="AT114" i="27"/>
  <c r="AU114" i="27"/>
  <c r="AV114" i="27"/>
  <c r="AW114" i="27"/>
  <c r="AX114" i="27"/>
  <c r="AY114" i="27"/>
  <c r="AZ114" i="27"/>
  <c r="AN114" i="27"/>
  <c r="AL114" i="27"/>
  <c r="AM114" i="27"/>
  <c r="AH114" i="27"/>
  <c r="AN113" i="27"/>
  <c r="AO113" i="27"/>
  <c r="AP113" i="27"/>
  <c r="AQ113" i="27"/>
  <c r="AR113" i="27"/>
  <c r="AS113" i="27"/>
  <c r="AT113" i="27"/>
  <c r="AU113" i="27"/>
  <c r="AV113" i="27"/>
  <c r="AW113" i="27"/>
  <c r="AM113" i="27"/>
  <c r="AL113" i="27"/>
  <c r="AH113" i="27"/>
  <c r="AR112" i="27"/>
  <c r="AS112" i="27"/>
  <c r="AT112" i="27"/>
  <c r="AU112" i="27"/>
  <c r="AV112" i="27"/>
  <c r="AW112" i="27"/>
  <c r="AX112" i="27"/>
  <c r="AY112" i="27"/>
  <c r="AZ112" i="27"/>
  <c r="BA112" i="27"/>
  <c r="BB112" i="27"/>
  <c r="BC112" i="27"/>
  <c r="BD112" i="27"/>
  <c r="BE112" i="27"/>
  <c r="BF112" i="27"/>
  <c r="BG112" i="27"/>
  <c r="BH112" i="27"/>
  <c r="BI112" i="27"/>
  <c r="BJ112" i="27"/>
  <c r="BK112" i="27"/>
  <c r="BL112" i="27"/>
  <c r="AL112" i="27"/>
  <c r="AM112" i="27"/>
  <c r="AN112" i="27"/>
  <c r="AO112" i="27"/>
  <c r="AP112" i="27"/>
  <c r="AQ112" i="27"/>
  <c r="AH112" i="27"/>
  <c r="AL111" i="27"/>
  <c r="AM111" i="27"/>
  <c r="AN111" i="27"/>
  <c r="AO111" i="27"/>
  <c r="AP111" i="27"/>
  <c r="AQ111" i="27"/>
  <c r="AR111" i="27"/>
  <c r="AS111" i="27"/>
  <c r="AH111" i="27"/>
  <c r="AN110" i="27"/>
  <c r="AO110" i="27"/>
  <c r="AP110" i="27"/>
  <c r="AQ110" i="27"/>
  <c r="AR110" i="27"/>
  <c r="AS110" i="27"/>
  <c r="AT110" i="27"/>
  <c r="AU110" i="27"/>
  <c r="AV110" i="27"/>
  <c r="AW110" i="27"/>
  <c r="AX110" i="27"/>
  <c r="AY110" i="27"/>
  <c r="AZ110" i="27"/>
  <c r="BA110" i="27"/>
  <c r="BB110" i="27"/>
  <c r="BC110" i="27"/>
  <c r="BD110" i="27"/>
  <c r="BE110" i="27"/>
  <c r="BF110" i="27"/>
  <c r="BG110" i="27"/>
  <c r="BH110" i="27"/>
  <c r="BI110" i="27"/>
  <c r="BJ110" i="27"/>
  <c r="BK110" i="27"/>
  <c r="BL110" i="27"/>
  <c r="AM110" i="27"/>
  <c r="AL110" i="27"/>
  <c r="AH110" i="27"/>
  <c r="AL109" i="27"/>
  <c r="AM109" i="27"/>
  <c r="AN109" i="27"/>
  <c r="AO109" i="27"/>
  <c r="AP109" i="27"/>
  <c r="AQ109" i="27"/>
  <c r="AR109" i="27"/>
  <c r="AS109" i="27"/>
  <c r="AT109" i="27"/>
  <c r="AU109" i="27"/>
  <c r="AV109" i="27"/>
  <c r="AW109" i="27"/>
  <c r="AX109" i="27"/>
  <c r="AY109" i="27"/>
  <c r="AZ109" i="27"/>
  <c r="BA109" i="27"/>
  <c r="BB109" i="27"/>
  <c r="BC109" i="27"/>
  <c r="BD109" i="27"/>
  <c r="BE109" i="27"/>
  <c r="BF109" i="27"/>
  <c r="BG109" i="27"/>
  <c r="BH109" i="27"/>
  <c r="BI109" i="27"/>
  <c r="BJ109" i="27"/>
  <c r="BK109" i="27"/>
  <c r="BL109" i="27"/>
  <c r="AH109" i="27"/>
  <c r="AQ108" i="27"/>
  <c r="AR108" i="27"/>
  <c r="AS108" i="27"/>
  <c r="AT108" i="27"/>
  <c r="AU108" i="27"/>
  <c r="AV108" i="27"/>
  <c r="AW108" i="27"/>
  <c r="AX108" i="27"/>
  <c r="AY108" i="27"/>
  <c r="AZ108" i="27"/>
  <c r="BA108" i="27"/>
  <c r="BB108" i="27"/>
  <c r="BC108" i="27"/>
  <c r="BD108" i="27"/>
  <c r="BE108" i="27"/>
  <c r="BF108" i="27"/>
  <c r="BG108" i="27"/>
  <c r="BH108" i="27"/>
  <c r="BI108" i="27"/>
  <c r="BJ108" i="27"/>
  <c r="BK108" i="27"/>
  <c r="BL108" i="27"/>
  <c r="AL108" i="27"/>
  <c r="AM108" i="27"/>
  <c r="AN108" i="27"/>
  <c r="AO108" i="27"/>
  <c r="AP108" i="27"/>
  <c r="AH108" i="27"/>
  <c r="AM107" i="27"/>
  <c r="AH107" i="27"/>
  <c r="AH106" i="27"/>
  <c r="AK104" i="27"/>
  <c r="AJ104" i="27"/>
  <c r="AJ119" i="27"/>
  <c r="AJ150" i="27"/>
  <c r="AI104" i="27"/>
  <c r="AI119" i="27"/>
  <c r="AG104" i="27"/>
  <c r="AH104" i="27"/>
  <c r="AO103" i="27"/>
  <c r="AP103" i="27"/>
  <c r="AQ103" i="27"/>
  <c r="AR103" i="27"/>
  <c r="AS103" i="27"/>
  <c r="AT103" i="27"/>
  <c r="AU103" i="27"/>
  <c r="AV103" i="27"/>
  <c r="AW103" i="27"/>
  <c r="AX103" i="27"/>
  <c r="AY103" i="27"/>
  <c r="AZ103" i="27"/>
  <c r="BA103" i="27"/>
  <c r="BB103" i="27"/>
  <c r="BC103" i="27"/>
  <c r="BD103" i="27"/>
  <c r="BE103" i="27"/>
  <c r="BF103" i="27"/>
  <c r="BG103" i="27"/>
  <c r="BH103" i="27"/>
  <c r="BI103" i="27"/>
  <c r="BJ103" i="27"/>
  <c r="BK103" i="27"/>
  <c r="BL103" i="27"/>
  <c r="AN103" i="27"/>
  <c r="AM103" i="27"/>
  <c r="AL103" i="27"/>
  <c r="AH103" i="27"/>
  <c r="BK102" i="27"/>
  <c r="BL102" i="27"/>
  <c r="AN102" i="27"/>
  <c r="AO102" i="27"/>
  <c r="AP102" i="27"/>
  <c r="AQ102" i="27"/>
  <c r="AR102" i="27"/>
  <c r="AS102" i="27"/>
  <c r="AT102" i="27"/>
  <c r="AU102" i="27"/>
  <c r="AV102" i="27"/>
  <c r="AW102" i="27"/>
  <c r="AX102" i="27"/>
  <c r="AY102" i="27"/>
  <c r="AZ102" i="27"/>
  <c r="BA102" i="27"/>
  <c r="BB102" i="27"/>
  <c r="BC102" i="27"/>
  <c r="BD102" i="27"/>
  <c r="BE102" i="27"/>
  <c r="BF102" i="27"/>
  <c r="BG102" i="27"/>
  <c r="BH102" i="27"/>
  <c r="BI102" i="27"/>
  <c r="BJ102" i="27"/>
  <c r="AM102" i="27"/>
  <c r="AL102" i="27"/>
  <c r="AH102" i="27"/>
  <c r="AO101" i="27"/>
  <c r="AP101" i="27"/>
  <c r="AQ101" i="27"/>
  <c r="AR101" i="27"/>
  <c r="AS101" i="27"/>
  <c r="AT101" i="27"/>
  <c r="AU101" i="27"/>
  <c r="AV101" i="27"/>
  <c r="AW101" i="27"/>
  <c r="AX101" i="27"/>
  <c r="AY101" i="27"/>
  <c r="AZ101" i="27"/>
  <c r="BA101" i="27"/>
  <c r="BB101" i="27"/>
  <c r="BC101" i="27"/>
  <c r="BD101" i="27"/>
  <c r="BE101" i="27"/>
  <c r="BF101" i="27"/>
  <c r="BG101" i="27"/>
  <c r="BH101" i="27"/>
  <c r="BI101" i="27"/>
  <c r="BJ101" i="27"/>
  <c r="BK101" i="27"/>
  <c r="BL101" i="27"/>
  <c r="AN101" i="27"/>
  <c r="AM101" i="27"/>
  <c r="AL101" i="27"/>
  <c r="AH101" i="27"/>
  <c r="AM100" i="27"/>
  <c r="AL100" i="27"/>
  <c r="AH100" i="27"/>
  <c r="AH99" i="27"/>
  <c r="BK89" i="27"/>
  <c r="BK201" i="27"/>
  <c r="BK204" i="27"/>
  <c r="BD89" i="27"/>
  <c r="BD201" i="27"/>
  <c r="BD204" i="27"/>
  <c r="BA89" i="27"/>
  <c r="BA201" i="27"/>
  <c r="AY89" i="27"/>
  <c r="AY201" i="27"/>
  <c r="AY204" i="27"/>
  <c r="AT89" i="27"/>
  <c r="AQ89" i="27"/>
  <c r="AQ201" i="27"/>
  <c r="AQ204" i="27"/>
  <c r="AL89" i="27"/>
  <c r="AL201" i="27"/>
  <c r="AL204" i="27"/>
  <c r="AI89" i="27"/>
  <c r="BK88" i="27"/>
  <c r="BI88" i="27"/>
  <c r="BF88" i="27"/>
  <c r="BF89" i="27"/>
  <c r="BF201" i="27"/>
  <c r="BD88" i="27"/>
  <c r="BG88" i="27"/>
  <c r="BB88" i="27"/>
  <c r="BA88" i="27"/>
  <c r="AY88" i="27"/>
  <c r="AV88" i="27"/>
  <c r="AV89" i="27"/>
  <c r="AV201" i="27"/>
  <c r="AT88" i="27"/>
  <c r="AW88" i="27"/>
  <c r="AQ88" i="27"/>
  <c r="AO88" i="27"/>
  <c r="AF87" i="27"/>
  <c r="BV84" i="27"/>
  <c r="BU84" i="27"/>
  <c r="BT84" i="27"/>
  <c r="BL84" i="27"/>
  <c r="BG84" i="27"/>
  <c r="BB84" i="27"/>
  <c r="AW84" i="27"/>
  <c r="BS84" i="27"/>
  <c r="AR84" i="27"/>
  <c r="BR84" i="27"/>
  <c r="AM84" i="27"/>
  <c r="BQ84" i="27"/>
  <c r="AH84" i="27"/>
  <c r="BP84" i="27"/>
  <c r="AI80" i="27"/>
  <c r="AH80" i="27"/>
  <c r="AX79" i="27"/>
  <c r="BC79" i="27"/>
  <c r="AV79" i="27"/>
  <c r="AU79" i="27"/>
  <c r="AT79" i="27"/>
  <c r="AS79" i="27"/>
  <c r="BP78" i="27"/>
  <c r="E20" i="26"/>
  <c r="AJ78" i="27"/>
  <c r="AI78" i="27"/>
  <c r="AH78" i="27"/>
  <c r="AK69" i="27"/>
  <c r="AJ69" i="27"/>
  <c r="AI69" i="27"/>
  <c r="AH69" i="27"/>
  <c r="AF65" i="27"/>
  <c r="AK65" i="27"/>
  <c r="AJ65" i="27"/>
  <c r="AH65" i="27"/>
  <c r="AG65" i="27"/>
  <c r="AI59" i="27"/>
  <c r="AG59" i="27"/>
  <c r="AF59" i="27"/>
  <c r="AG85" i="27"/>
  <c r="AE59" i="27"/>
  <c r="AE85" i="27"/>
  <c r="AD59" i="27"/>
  <c r="AK58" i="27"/>
  <c r="AL58" i="27"/>
  <c r="AN87" i="27"/>
  <c r="AN89" i="27"/>
  <c r="AJ58" i="27"/>
  <c r="AH58" i="27"/>
  <c r="BP58" i="27"/>
  <c r="AG58" i="27"/>
  <c r="AI87" i="27"/>
  <c r="AF58" i="27"/>
  <c r="AE58" i="27"/>
  <c r="AH57" i="27"/>
  <c r="BA55" i="27"/>
  <c r="AY55" i="27"/>
  <c r="BD55" i="27"/>
  <c r="AX55" i="27"/>
  <c r="BC55" i="27"/>
  <c r="BH55" i="27"/>
  <c r="AV55" i="27"/>
  <c r="AU55" i="27"/>
  <c r="AT55" i="27"/>
  <c r="AS55" i="27"/>
  <c r="BP54" i="27"/>
  <c r="AJ54" i="27"/>
  <c r="AF54" i="27"/>
  <c r="AE54" i="27"/>
  <c r="BP53" i="27"/>
  <c r="AJ53" i="27"/>
  <c r="AE53" i="27"/>
  <c r="AF53" i="27"/>
  <c r="AG53" i="27"/>
  <c r="AJ46" i="27"/>
  <c r="AE46" i="27"/>
  <c r="AM42" i="27"/>
  <c r="AF42" i="27"/>
  <c r="AG42" i="27"/>
  <c r="AJ41" i="27"/>
  <c r="AK41" i="27"/>
  <c r="AM41" i="27"/>
  <c r="AE41" i="27"/>
  <c r="AJ40" i="27"/>
  <c r="AE40" i="27"/>
  <c r="AE303" i="27"/>
  <c r="AL39" i="27"/>
  <c r="AJ39" i="27"/>
  <c r="AE39" i="27"/>
  <c r="AX38" i="27"/>
  <c r="AV38" i="27"/>
  <c r="AU38" i="27"/>
  <c r="AT38" i="27"/>
  <c r="AY38" i="27"/>
  <c r="AY162" i="27"/>
  <c r="AS38" i="27"/>
  <c r="AR38" i="27"/>
  <c r="AR162" i="27"/>
  <c r="AJ38" i="27"/>
  <c r="AG38" i="27"/>
  <c r="AE38" i="27"/>
  <c r="AF38" i="27"/>
  <c r="BL37" i="27"/>
  <c r="BL164" i="27"/>
  <c r="BG37" i="27"/>
  <c r="BB37" i="27"/>
  <c r="BB164" i="27"/>
  <c r="AW37" i="27"/>
  <c r="AR37" i="27"/>
  <c r="AK37" i="27"/>
  <c r="AK164" i="27"/>
  <c r="AJ37" i="27"/>
  <c r="AF37" i="27"/>
  <c r="AE37" i="27"/>
  <c r="AJ32" i="27"/>
  <c r="AK32" i="27"/>
  <c r="AG32" i="27"/>
  <c r="AF32" i="27"/>
  <c r="AE32" i="27"/>
  <c r="AJ31" i="27"/>
  <c r="AK31" i="27"/>
  <c r="AF31" i="27"/>
  <c r="AE31" i="27"/>
  <c r="BL26" i="27"/>
  <c r="BB26" i="27"/>
  <c r="AW26" i="27"/>
  <c r="AR26" i="27"/>
  <c r="AK23" i="27"/>
  <c r="AJ23" i="27"/>
  <c r="AI23" i="27"/>
  <c r="AI22" i="27"/>
  <c r="BP17" i="27"/>
  <c r="AK17" i="27"/>
  <c r="AJ17" i="27"/>
  <c r="AF17" i="27"/>
  <c r="AE17" i="27"/>
  <c r="AJ11" i="27"/>
  <c r="AD11" i="27"/>
  <c r="BP9" i="27"/>
  <c r="AJ9" i="27"/>
  <c r="AE9" i="27"/>
  <c r="AF9" i="27"/>
  <c r="AK18" i="27"/>
  <c r="AK19" i="27"/>
  <c r="AJ18" i="27"/>
  <c r="AI18" i="27"/>
  <c r="AI19" i="27"/>
  <c r="AF18" i="27"/>
  <c r="AD18" i="27"/>
  <c r="L10" i="26"/>
  <c r="K5" i="26"/>
  <c r="K4" i="26"/>
  <c r="AC15" i="25"/>
  <c r="AC14" i="25"/>
  <c r="AC13" i="25"/>
  <c r="AA13" i="25"/>
  <c r="AC12" i="25"/>
  <c r="AC11" i="25"/>
  <c r="AC10" i="25"/>
  <c r="AC9" i="25"/>
  <c r="AA14" i="25"/>
  <c r="BB52" i="33"/>
  <c r="BG52" i="33"/>
  <c r="AQ109" i="33"/>
  <c r="BE75" i="30"/>
  <c r="BJ75" i="30"/>
  <c r="AO59" i="33"/>
  <c r="AS125" i="33"/>
  <c r="AV104" i="33"/>
  <c r="AR105" i="33"/>
  <c r="AI102" i="30"/>
  <c r="AI103" i="30"/>
  <c r="AI6" i="28"/>
  <c r="AI17" i="28"/>
  <c r="AJ146" i="30"/>
  <c r="AJ75" i="28"/>
  <c r="AJ88" i="28"/>
  <c r="AP207" i="30"/>
  <c r="L131" i="30"/>
  <c r="AR207" i="30"/>
  <c r="AR209" i="30"/>
  <c r="AR212" i="30"/>
  <c r="AN107" i="27"/>
  <c r="AO107" i="27"/>
  <c r="AP107" i="27"/>
  <c r="AQ107" i="27"/>
  <c r="AR107" i="27"/>
  <c r="Y104" i="30"/>
  <c r="AI75" i="28"/>
  <c r="AI88" i="28"/>
  <c r="Z96" i="30"/>
  <c r="Z73" i="28"/>
  <c r="Z85" i="28"/>
  <c r="AM167" i="30"/>
  <c r="AP21" i="30"/>
  <c r="Y88" i="30"/>
  <c r="Y6" i="28"/>
  <c r="Y17" i="28"/>
  <c r="M113" i="30"/>
  <c r="M111" i="30"/>
  <c r="M116" i="30"/>
  <c r="M117" i="30"/>
  <c r="P45" i="32"/>
  <c r="R18" i="32"/>
  <c r="Q123" i="30"/>
  <c r="W153" i="30"/>
  <c r="P124" i="30"/>
  <c r="R152" i="30"/>
  <c r="N7" i="31"/>
  <c r="AA18" i="30"/>
  <c r="V18" i="30"/>
  <c r="AK164" i="30"/>
  <c r="AD137" i="30"/>
  <c r="AH128" i="30"/>
  <c r="AX207" i="30"/>
  <c r="Q93" i="30"/>
  <c r="AD174" i="30"/>
  <c r="AD181" i="30"/>
  <c r="AF17" i="30"/>
  <c r="AF136" i="30"/>
  <c r="AG17" i="30"/>
  <c r="V28" i="30"/>
  <c r="Q87" i="30"/>
  <c r="AF185" i="30"/>
  <c r="AK160" i="30"/>
  <c r="AF160" i="30"/>
  <c r="AG174" i="30"/>
  <c r="AG185" i="30"/>
  <c r="AL160" i="30"/>
  <c r="Q13" i="33"/>
  <c r="L9" i="33"/>
  <c r="Q16" i="33"/>
  <c r="AS80" i="30"/>
  <c r="T87" i="30"/>
  <c r="T88" i="30"/>
  <c r="N102" i="30"/>
  <c r="S104" i="30"/>
  <c r="AI174" i="30"/>
  <c r="AI181" i="30"/>
  <c r="AI182" i="30"/>
  <c r="AI172" i="30"/>
  <c r="K8" i="31"/>
  <c r="K9" i="31"/>
  <c r="K18" i="31"/>
  <c r="O13" i="31"/>
  <c r="AA9" i="30"/>
  <c r="AA13" i="30"/>
  <c r="AA5" i="28"/>
  <c r="AA35" i="30"/>
  <c r="AU18" i="30"/>
  <c r="AU28" i="30"/>
  <c r="AJ93" i="30"/>
  <c r="AJ96" i="30"/>
  <c r="AJ90" i="30"/>
  <c r="AO90" i="30"/>
  <c r="AT90" i="30"/>
  <c r="AK96" i="30"/>
  <c r="AK90" i="30"/>
  <c r="AP90" i="30"/>
  <c r="AK93" i="30"/>
  <c r="AK102" i="30"/>
  <c r="AK83" i="30"/>
  <c r="AT164" i="30"/>
  <c r="AG129" i="30"/>
  <c r="AB28" i="30"/>
  <c r="AC28" i="30"/>
  <c r="AC36" i="30"/>
  <c r="AB18" i="30"/>
  <c r="AD28" i="30"/>
  <c r="AD31" i="30"/>
  <c r="AD40" i="30"/>
  <c r="AD41" i="30"/>
  <c r="AD47" i="30"/>
  <c r="AD18" i="30"/>
  <c r="P114" i="30"/>
  <c r="P111" i="30"/>
  <c r="P116" i="30"/>
  <c r="AB10" i="30"/>
  <c r="Z31" i="30"/>
  <c r="Z40" i="30"/>
  <c r="Z41" i="30"/>
  <c r="R104" i="30"/>
  <c r="M103" i="30"/>
  <c r="AM146" i="28"/>
  <c r="AP83" i="30"/>
  <c r="Q13" i="31"/>
  <c r="AJ88" i="30"/>
  <c r="AF137" i="30"/>
  <c r="Y80" i="30"/>
  <c r="Z90" i="30"/>
  <c r="AG160" i="30"/>
  <c r="AY80" i="30"/>
  <c r="Z80" i="30"/>
  <c r="AJ102" i="30"/>
  <c r="AJ103" i="30"/>
  <c r="AI160" i="30"/>
  <c r="AJ19" i="28"/>
  <c r="S7" i="30"/>
  <c r="S18" i="30"/>
  <c r="R28" i="30"/>
  <c r="AQ28" i="30"/>
  <c r="AQ18" i="30"/>
  <c r="AK80" i="30"/>
  <c r="AK11" i="28"/>
  <c r="AK16" i="28"/>
  <c r="AK19" i="28"/>
  <c r="AC6" i="30"/>
  <c r="AC35" i="30"/>
  <c r="Y18" i="30"/>
  <c r="T28" i="30"/>
  <c r="X28" i="30"/>
  <c r="X31" i="30"/>
  <c r="X40" i="30"/>
  <c r="Q104" i="30"/>
  <c r="AG173" i="30"/>
  <c r="AI93" i="30"/>
  <c r="AI96" i="30"/>
  <c r="AI88" i="30"/>
  <c r="AE145" i="30"/>
  <c r="AE137" i="30"/>
  <c r="AW207" i="30"/>
  <c r="AW209" i="30"/>
  <c r="AP80" i="30"/>
  <c r="T80" i="30"/>
  <c r="AK88" i="30"/>
  <c r="AG137" i="30"/>
  <c r="AY207" i="30"/>
  <c r="AY209" i="30"/>
  <c r="U15" i="25"/>
  <c r="T12" i="25"/>
  <c r="Z17" i="30"/>
  <c r="Z9" i="30"/>
  <c r="Z13" i="30"/>
  <c r="Z35" i="30"/>
  <c r="AT18" i="30"/>
  <c r="AA138" i="30"/>
  <c r="AA145" i="30"/>
  <c r="AA137" i="30"/>
  <c r="AF151" i="30"/>
  <c r="AF152" i="30"/>
  <c r="AI173" i="30"/>
  <c r="M8" i="31"/>
  <c r="U80" i="30"/>
  <c r="AK173" i="30"/>
  <c r="AC7" i="30"/>
  <c r="V80" i="30"/>
  <c r="AJ17" i="30"/>
  <c r="AQ80" i="30"/>
  <c r="BK80" i="30"/>
  <c r="Q124" i="30"/>
  <c r="BG158" i="30"/>
  <c r="X11" i="32"/>
  <c r="AZ18" i="30"/>
  <c r="AR80" i="30"/>
  <c r="Y90" i="30"/>
  <c r="K152" i="30"/>
  <c r="Z146" i="28"/>
  <c r="BL158" i="30"/>
  <c r="AC11" i="32"/>
  <c r="V76" i="30"/>
  <c r="V87" i="30"/>
  <c r="AI129" i="30"/>
  <c r="R133" i="30"/>
  <c r="R131" i="30"/>
  <c r="R136" i="30"/>
  <c r="AD11" i="28"/>
  <c r="U35" i="30"/>
  <c r="AK35" i="30"/>
  <c r="AJ129" i="30"/>
  <c r="AF145" i="30"/>
  <c r="U133" i="30"/>
  <c r="P153" i="30"/>
  <c r="AA12" i="25"/>
  <c r="AD65" i="27"/>
  <c r="AI65" i="27"/>
  <c r="AH205" i="30"/>
  <c r="AH207" i="30"/>
  <c r="M9" i="33"/>
  <c r="R16" i="33"/>
  <c r="AK287" i="27"/>
  <c r="BJ18" i="30"/>
  <c r="AD9" i="30"/>
  <c r="T153" i="30"/>
  <c r="N10" i="33"/>
  <c r="S17" i="33"/>
  <c r="AE65" i="27"/>
  <c r="AE71" i="27"/>
  <c r="AE72" i="27"/>
  <c r="AF69" i="27"/>
  <c r="AF71" i="27"/>
  <c r="AG69" i="27"/>
  <c r="AG71" i="27"/>
  <c r="AG74" i="27"/>
  <c r="AI138" i="30"/>
  <c r="Z48" i="34"/>
  <c r="AJ17" i="34"/>
  <c r="BC16" i="34"/>
  <c r="R16" i="34"/>
  <c r="T15" i="34"/>
  <c r="Z45" i="34"/>
  <c r="Z17" i="34"/>
  <c r="AH39" i="34"/>
  <c r="AI6" i="34"/>
  <c r="AI17" i="34"/>
  <c r="BD16" i="34"/>
  <c r="BE16" i="34"/>
  <c r="AA17" i="34"/>
  <c r="AB17" i="34"/>
  <c r="AJ19" i="34"/>
  <c r="AJ33" i="34"/>
  <c r="AO32" i="34"/>
  <c r="AP19" i="34"/>
  <c r="AU32" i="34"/>
  <c r="AC39" i="34"/>
  <c r="AC44" i="34"/>
  <c r="AL38" i="34"/>
  <c r="AN39" i="34"/>
  <c r="AS39" i="34"/>
  <c r="AU39" i="34"/>
  <c r="AH45" i="34"/>
  <c r="AD7" i="34"/>
  <c r="AG17" i="34"/>
  <c r="AH15" i="34"/>
  <c r="AA48" i="34"/>
  <c r="BF16" i="34"/>
  <c r="AD11" i="34"/>
  <c r="AD48" i="34"/>
  <c r="AD45" i="34"/>
  <c r="AH32" i="34"/>
  <c r="AF45" i="34"/>
  <c r="AD17" i="34"/>
  <c r="AB48" i="34"/>
  <c r="AC16" i="34"/>
  <c r="AE48" i="34"/>
  <c r="AE45" i="34"/>
  <c r="AH13" i="34"/>
  <c r="AE7" i="34"/>
  <c r="AE12" i="34"/>
  <c r="AJ44" i="34"/>
  <c r="AK44" i="34"/>
  <c r="AN19" i="34"/>
  <c r="AN6" i="34"/>
  <c r="AN157" i="30"/>
  <c r="AN200" i="30"/>
  <c r="AS32" i="34"/>
  <c r="AG32" i="34"/>
  <c r="AG36" i="34"/>
  <c r="AE6" i="34"/>
  <c r="AE11" i="34"/>
  <c r="AE17" i="34"/>
  <c r="AH35" i="34"/>
  <c r="AH36" i="34"/>
  <c r="AM38" i="34"/>
  <c r="AM39" i="34"/>
  <c r="AF11" i="34"/>
  <c r="AF7" i="34"/>
  <c r="AK19" i="34"/>
  <c r="AK6" i="34"/>
  <c r="Y36" i="34"/>
  <c r="AE36" i="33"/>
  <c r="AD22" i="33"/>
  <c r="AK134" i="33"/>
  <c r="AU122" i="33"/>
  <c r="BD131" i="33"/>
  <c r="BI123" i="33"/>
  <c r="BI131" i="33"/>
  <c r="BA104" i="33"/>
  <c r="AW104" i="33"/>
  <c r="AH78" i="33"/>
  <c r="AH71" i="33"/>
  <c r="AB33" i="33"/>
  <c r="W39" i="33"/>
  <c r="AB25" i="33"/>
  <c r="AH15" i="33"/>
  <c r="AM15" i="33"/>
  <c r="O14" i="33"/>
  <c r="N7" i="33"/>
  <c r="S14" i="33"/>
  <c r="AN15" i="33"/>
  <c r="AH17" i="33"/>
  <c r="AH25" i="33"/>
  <c r="AH33" i="33"/>
  <c r="AK53" i="33"/>
  <c r="AF53" i="33"/>
  <c r="AM114" i="33"/>
  <c r="AM115" i="33"/>
  <c r="AV59" i="33"/>
  <c r="BA125" i="33"/>
  <c r="AO15" i="33"/>
  <c r="U24" i="33"/>
  <c r="AE53" i="33"/>
  <c r="AJ60" i="33"/>
  <c r="AJ73" i="33"/>
  <c r="AJ80" i="33"/>
  <c r="AD110" i="33"/>
  <c r="AP15" i="33"/>
  <c r="W23" i="33"/>
  <c r="AH48" i="33"/>
  <c r="AK60" i="33"/>
  <c r="AK73" i="33"/>
  <c r="AK80" i="33"/>
  <c r="S13" i="33"/>
  <c r="AQ15" i="33"/>
  <c r="AD47" i="33"/>
  <c r="AD52" i="33"/>
  <c r="AI53" i="33"/>
  <c r="AI47" i="33"/>
  <c r="AY59" i="33"/>
  <c r="BD125" i="33"/>
  <c r="S9" i="33"/>
  <c r="X17" i="33"/>
  <c r="Y37" i="33"/>
  <c r="AJ47" i="33"/>
  <c r="AJ53" i="33"/>
  <c r="AC47" i="33"/>
  <c r="AC9" i="33"/>
  <c r="AC16" i="33"/>
  <c r="Z23" i="33"/>
  <c r="AC39" i="33"/>
  <c r="AG47" i="33"/>
  <c r="AL90" i="33"/>
  <c r="AL127" i="33"/>
  <c r="AL134" i="33"/>
  <c r="AL132" i="33"/>
  <c r="N22" i="33"/>
  <c r="AE16" i="33"/>
  <c r="AJ16" i="33"/>
  <c r="AH9" i="33"/>
  <c r="AH16" i="33"/>
  <c r="AB32" i="33"/>
  <c r="AB37" i="33"/>
  <c r="AC23" i="33"/>
  <c r="AC109" i="33"/>
  <c r="AN92" i="33"/>
  <c r="AM86" i="33"/>
  <c r="AM92" i="33"/>
  <c r="AO84" i="33"/>
  <c r="AT109" i="33"/>
  <c r="AM124" i="33"/>
  <c r="AF16" i="33"/>
  <c r="AC22" i="33"/>
  <c r="AH109" i="33"/>
  <c r="AH90" i="33"/>
  <c r="AN127" i="33"/>
  <c r="AN132" i="33"/>
  <c r="AL16" i="33"/>
  <c r="AG16" i="33"/>
  <c r="AI51" i="33"/>
  <c r="BG79" i="33"/>
  <c r="AK84" i="33"/>
  <c r="AR92" i="33"/>
  <c r="AO132" i="33"/>
  <c r="AO127" i="33"/>
  <c r="AO134" i="33"/>
  <c r="AU59" i="33"/>
  <c r="AZ125" i="33"/>
  <c r="AB31" i="33"/>
  <c r="AJ51" i="33"/>
  <c r="K9" i="33"/>
  <c r="P16" i="33"/>
  <c r="AL67" i="33"/>
  <c r="AL69" i="33"/>
  <c r="Z73" i="33"/>
  <c r="AV109" i="33"/>
  <c r="AQ84" i="33"/>
  <c r="Y73" i="33"/>
  <c r="S22" i="33"/>
  <c r="O31" i="33"/>
  <c r="O13" i="33"/>
  <c r="P31" i="33"/>
  <c r="AA73" i="33"/>
  <c r="AA60" i="33"/>
  <c r="X14" i="33"/>
  <c r="Q31" i="33"/>
  <c r="R31" i="33"/>
  <c r="AO39" i="33"/>
  <c r="AM131" i="33"/>
  <c r="AF126" i="33"/>
  <c r="AH126" i="33"/>
  <c r="AA33" i="33"/>
  <c r="AF80" i="33"/>
  <c r="AF73" i="33"/>
  <c r="AF79" i="33"/>
  <c r="AF60" i="33"/>
  <c r="AI110" i="33"/>
  <c r="AN109" i="33"/>
  <c r="AN84" i="33"/>
  <c r="AN67" i="33"/>
  <c r="AI117" i="33"/>
  <c r="AG126" i="33"/>
  <c r="T31" i="33"/>
  <c r="U36" i="33"/>
  <c r="AC60" i="33"/>
  <c r="AE110" i="33"/>
  <c r="AO117" i="33"/>
  <c r="AJ118" i="33"/>
  <c r="AH124" i="33"/>
  <c r="AH39" i="33"/>
  <c r="J9" i="33"/>
  <c r="O16" i="33"/>
  <c r="X22" i="33"/>
  <c r="U31" i="33"/>
  <c r="AH74" i="33"/>
  <c r="AH63" i="33"/>
  <c r="AH46" i="33"/>
  <c r="AH51" i="33"/>
  <c r="AU117" i="33"/>
  <c r="AR122" i="33"/>
  <c r="AR130" i="33"/>
  <c r="AS122" i="33"/>
  <c r="V31" i="33"/>
  <c r="AC46" i="33"/>
  <c r="AI80" i="33"/>
  <c r="AI60" i="33"/>
  <c r="Y60" i="33"/>
  <c r="AG110" i="33"/>
  <c r="AL117" i="33"/>
  <c r="AY122" i="33"/>
  <c r="AT124" i="33"/>
  <c r="BC123" i="33"/>
  <c r="AX131" i="33"/>
  <c r="AJ126" i="33"/>
  <c r="AD16" i="33"/>
  <c r="AW92" i="33"/>
  <c r="AA37" i="33"/>
  <c r="AE60" i="33"/>
  <c r="BG92" i="33"/>
  <c r="BL92" i="33"/>
  <c r="AP123" i="33"/>
  <c r="AC124" i="33"/>
  <c r="AC67" i="33"/>
  <c r="AC69" i="33"/>
  <c r="Y126" i="33"/>
  <c r="AC126" i="33"/>
  <c r="AO131" i="33"/>
  <c r="AE132" i="33"/>
  <c r="BL52" i="33"/>
  <c r="AD73" i="33"/>
  <c r="AH93" i="33"/>
  <c r="AR125" i="33"/>
  <c r="AE73" i="33"/>
  <c r="AE79" i="33"/>
  <c r="AA31" i="33"/>
  <c r="AI132" i="33"/>
  <c r="AD67" i="33"/>
  <c r="AD68" i="33"/>
  <c r="R17" i="32"/>
  <c r="AX37" i="32"/>
  <c r="AY37" i="32"/>
  <c r="L9" i="32"/>
  <c r="Q17" i="32"/>
  <c r="AO25" i="32"/>
  <c r="AO8" i="32"/>
  <c r="AO16" i="32"/>
  <c r="AN32" i="32"/>
  <c r="AK39" i="32"/>
  <c r="AK45" i="32"/>
  <c r="AJ27" i="32"/>
  <c r="AO26" i="32"/>
  <c r="AA45" i="32"/>
  <c r="AJ17" i="32"/>
  <c r="AO9" i="32"/>
  <c r="AU9" i="32"/>
  <c r="AP17" i="32"/>
  <c r="AK27" i="32"/>
  <c r="AP26" i="32"/>
  <c r="AL23" i="32"/>
  <c r="AQ26" i="32"/>
  <c r="BC36" i="32"/>
  <c r="AB45" i="32"/>
  <c r="AG45" i="32"/>
  <c r="AV37" i="32"/>
  <c r="AN9" i="32"/>
  <c r="AM9" i="32"/>
  <c r="Z45" i="32"/>
  <c r="AN8" i="32"/>
  <c r="AQ17" i="32"/>
  <c r="Y32" i="32"/>
  <c r="AC32" i="32"/>
  <c r="Y8" i="32"/>
  <c r="S30" i="32"/>
  <c r="S33" i="32"/>
  <c r="AQ38" i="32"/>
  <c r="Y14" i="32"/>
  <c r="AD8" i="32"/>
  <c r="AD32" i="32"/>
  <c r="T33" i="32"/>
  <c r="AA14" i="32"/>
  <c r="AA9" i="32"/>
  <c r="AJ15" i="32"/>
  <c r="S8" i="32"/>
  <c r="BF9" i="32"/>
  <c r="Z27" i="32"/>
  <c r="AU36" i="32"/>
  <c r="AB9" i="32"/>
  <c r="AB17" i="32"/>
  <c r="AB14" i="32"/>
  <c r="AK15" i="32"/>
  <c r="T31" i="32"/>
  <c r="X31" i="32"/>
  <c r="T7" i="32"/>
  <c r="BK36" i="32"/>
  <c r="T39" i="32"/>
  <c r="BI36" i="32"/>
  <c r="AH6" i="32"/>
  <c r="AH14" i="32"/>
  <c r="AD9" i="32"/>
  <c r="AI17" i="32"/>
  <c r="AD14" i="32"/>
  <c r="AE9" i="32"/>
  <c r="AE14" i="32"/>
  <c r="O7" i="32"/>
  <c r="AH26" i="32"/>
  <c r="AN7" i="32"/>
  <c r="AZ37" i="32"/>
  <c r="Q45" i="32"/>
  <c r="AV17" i="32"/>
  <c r="Y31" i="32"/>
  <c r="AC31" i="32"/>
  <c r="X26" i="32"/>
  <c r="Y7" i="32"/>
  <c r="Y9" i="32"/>
  <c r="X30" i="32"/>
  <c r="X33" i="32"/>
  <c r="AC27" i="32"/>
  <c r="AD39" i="32"/>
  <c r="Y33" i="32"/>
  <c r="AF9" i="32"/>
  <c r="AF17" i="32"/>
  <c r="AF14" i="32"/>
  <c r="P15" i="32"/>
  <c r="Z16" i="32"/>
  <c r="AI33" i="32"/>
  <c r="AS26" i="32"/>
  <c r="Z9" i="32"/>
  <c r="Z17" i="32"/>
  <c r="Z14" i="32"/>
  <c r="AI15" i="32"/>
  <c r="AM7" i="32"/>
  <c r="AM15" i="32"/>
  <c r="Y27" i="32"/>
  <c r="N6" i="32"/>
  <c r="AG9" i="32"/>
  <c r="AG14" i="32"/>
  <c r="Q15" i="32"/>
  <c r="V15" i="32"/>
  <c r="J9" i="32"/>
  <c r="N10" i="32"/>
  <c r="J39" i="32"/>
  <c r="AN23" i="32"/>
  <c r="AI14" i="32"/>
  <c r="R15" i="32"/>
  <c r="V9" i="32"/>
  <c r="V17" i="32"/>
  <c r="N11" i="32"/>
  <c r="AJ39" i="32"/>
  <c r="AJ45" i="32"/>
  <c r="AB16" i="32"/>
  <c r="AM24" i="32"/>
  <c r="AN24" i="32"/>
  <c r="L39" i="32"/>
  <c r="AF39" i="32"/>
  <c r="AF45" i="32"/>
  <c r="AC30" i="32"/>
  <c r="AC33" i="32"/>
  <c r="AM31" i="32"/>
  <c r="M39" i="32"/>
  <c r="R45" i="32"/>
  <c r="S6" i="32"/>
  <c r="K9" i="32"/>
  <c r="P17" i="32"/>
  <c r="N26" i="32"/>
  <c r="O39" i="32"/>
  <c r="AE60" i="31"/>
  <c r="Q58" i="31"/>
  <c r="AF19" i="31"/>
  <c r="N59" i="31"/>
  <c r="AN45" i="31"/>
  <c r="AM45" i="31"/>
  <c r="AI60" i="31"/>
  <c r="AS17" i="31"/>
  <c r="Q23" i="31"/>
  <c r="AO48" i="31"/>
  <c r="AO51" i="31"/>
  <c r="AF24" i="31"/>
  <c r="AF18" i="31"/>
  <c r="AF14" i="31"/>
  <c r="AT17" i="31"/>
  <c r="AG24" i="31"/>
  <c r="AG18" i="31"/>
  <c r="AG14" i="31"/>
  <c r="V23" i="31"/>
  <c r="V29" i="31"/>
  <c r="J60" i="31"/>
  <c r="J48" i="31"/>
  <c r="J51" i="31"/>
  <c r="N45" i="31"/>
  <c r="N48" i="31"/>
  <c r="N51" i="31"/>
  <c r="AP48" i="31"/>
  <c r="AP51" i="31"/>
  <c r="AU45" i="31"/>
  <c r="AH8" i="31"/>
  <c r="AI19" i="31"/>
  <c r="AA29" i="31"/>
  <c r="AT38" i="31"/>
  <c r="AU38" i="31"/>
  <c r="AV38" i="31"/>
  <c r="AW38" i="31"/>
  <c r="AX38" i="31"/>
  <c r="AY38" i="31"/>
  <c r="AZ38" i="31"/>
  <c r="BA38" i="31"/>
  <c r="BB38" i="31"/>
  <c r="BC38" i="31"/>
  <c r="BD38" i="31"/>
  <c r="BE38" i="31"/>
  <c r="BF38" i="31"/>
  <c r="BG38" i="31"/>
  <c r="BH38" i="31"/>
  <c r="BI38" i="31"/>
  <c r="BJ38" i="31"/>
  <c r="BK38" i="31"/>
  <c r="BL38" i="31"/>
  <c r="K60" i="31"/>
  <c r="K58" i="31"/>
  <c r="AJ48" i="31"/>
  <c r="AJ51" i="31"/>
  <c r="AO46" i="31"/>
  <c r="AT46" i="31"/>
  <c r="AY46" i="31"/>
  <c r="BD46" i="31"/>
  <c r="BI46" i="31"/>
  <c r="L24" i="31"/>
  <c r="L23" i="31"/>
  <c r="L17" i="31"/>
  <c r="AI14" i="31"/>
  <c r="AI18" i="31"/>
  <c r="AI24" i="31"/>
  <c r="L18" i="31"/>
  <c r="AJ18" i="31"/>
  <c r="AJ19" i="31"/>
  <c r="AJ14" i="31"/>
  <c r="AJ24" i="31"/>
  <c r="AQ46" i="31"/>
  <c r="AV46" i="31"/>
  <c r="BA46" i="31"/>
  <c r="BF46" i="31"/>
  <c r="BK46" i="31"/>
  <c r="AL35" i="31"/>
  <c r="AM35" i="31"/>
  <c r="AN35" i="31"/>
  <c r="AS46" i="31"/>
  <c r="AR46" i="31"/>
  <c r="S46" i="31"/>
  <c r="AF60" i="31"/>
  <c r="AF48" i="31"/>
  <c r="AF51" i="31"/>
  <c r="P65" i="31"/>
  <c r="P58" i="31"/>
  <c r="P63" i="31"/>
  <c r="AA47" i="31"/>
  <c r="AA48" i="31"/>
  <c r="AA51" i="31"/>
  <c r="AY49" i="31"/>
  <c r="BD49" i="31"/>
  <c r="BI49" i="31"/>
  <c r="AW49" i="31"/>
  <c r="R65" i="31"/>
  <c r="R58" i="31"/>
  <c r="R63" i="31"/>
  <c r="AD27" i="31"/>
  <c r="AL45" i="31"/>
  <c r="AG60" i="31"/>
  <c r="Z42" i="31"/>
  <c r="AC74" i="31"/>
  <c r="X74" i="31"/>
  <c r="AD74" i="31"/>
  <c r="Y74" i="31"/>
  <c r="Y22" i="31"/>
  <c r="AA27" i="31"/>
  <c r="V27" i="31"/>
  <c r="Z58" i="31"/>
  <c r="Z63" i="31"/>
  <c r="Z65" i="31"/>
  <c r="AG48" i="31"/>
  <c r="AG51" i="31"/>
  <c r="AG19" i="31"/>
  <c r="AH18" i="31"/>
  <c r="S60" i="31"/>
  <c r="AB74" i="31"/>
  <c r="W74" i="31"/>
  <c r="W22" i="31"/>
  <c r="X18" i="31"/>
  <c r="X13" i="31"/>
  <c r="AK14" i="31"/>
  <c r="AK17" i="31"/>
  <c r="S45" i="31"/>
  <c r="U64" i="31"/>
  <c r="AC18" i="31"/>
  <c r="P17" i="31"/>
  <c r="P19" i="31"/>
  <c r="AE47" i="31"/>
  <c r="AH47" i="31"/>
  <c r="AE42" i="31"/>
  <c r="BL49" i="31"/>
  <c r="V65" i="31"/>
  <c r="Q14" i="31"/>
  <c r="Q18" i="31"/>
  <c r="K47" i="31"/>
  <c r="K48" i="31"/>
  <c r="K51" i="31"/>
  <c r="K42" i="31"/>
  <c r="L47" i="31"/>
  <c r="W65" i="31"/>
  <c r="W58" i="31"/>
  <c r="V64" i="31"/>
  <c r="AE27" i="31"/>
  <c r="AE23" i="31"/>
  <c r="AE28" i="31"/>
  <c r="AG42" i="31"/>
  <c r="AH36" i="31"/>
  <c r="AI47" i="31"/>
  <c r="AM47" i="31"/>
  <c r="Z64" i="31"/>
  <c r="S8" i="31"/>
  <c r="S18" i="31"/>
  <c r="M42" i="31"/>
  <c r="N36" i="31"/>
  <c r="AB58" i="31"/>
  <c r="AB63" i="31"/>
  <c r="AB65" i="31"/>
  <c r="AB64" i="31"/>
  <c r="T14" i="31"/>
  <c r="X8" i="31"/>
  <c r="Y14" i="31"/>
  <c r="T24" i="31"/>
  <c r="O59" i="31"/>
  <c r="O58" i="31"/>
  <c r="U14" i="31"/>
  <c r="U24" i="31"/>
  <c r="U17" i="31"/>
  <c r="U19" i="31"/>
  <c r="Z14" i="31"/>
  <c r="T59" i="31"/>
  <c r="T45" i="31"/>
  <c r="T22" i="31"/>
  <c r="V58" i="31"/>
  <c r="V63" i="31"/>
  <c r="AK65" i="31"/>
  <c r="AK58" i="31"/>
  <c r="O22" i="31"/>
  <c r="O74" i="31"/>
  <c r="AI22" i="31"/>
  <c r="AI74" i="31"/>
  <c r="AN70" i="31"/>
  <c r="V14" i="31"/>
  <c r="V18" i="31"/>
  <c r="X42" i="31"/>
  <c r="Y59" i="31"/>
  <c r="Y45" i="31"/>
  <c r="P22" i="31"/>
  <c r="P27" i="31"/>
  <c r="P74" i="31"/>
  <c r="AJ22" i="31"/>
  <c r="AJ27" i="31"/>
  <c r="AJ74" i="31"/>
  <c r="AO70" i="31"/>
  <c r="Q17" i="31"/>
  <c r="AK24" i="31"/>
  <c r="AK22" i="31"/>
  <c r="AK27" i="31"/>
  <c r="AK74" i="31"/>
  <c r="AP70" i="31"/>
  <c r="AH22" i="31"/>
  <c r="AC42" i="31"/>
  <c r="AD59" i="31"/>
  <c r="AC37" i="31"/>
  <c r="AC40" i="31"/>
  <c r="R51" i="31"/>
  <c r="R19" i="31"/>
  <c r="AH37" i="31"/>
  <c r="AH40" i="31"/>
  <c r="S36" i="31"/>
  <c r="S37" i="31"/>
  <c r="S40" i="31"/>
  <c r="R42" i="31"/>
  <c r="AA58" i="31"/>
  <c r="AA65" i="31"/>
  <c r="R22" i="31"/>
  <c r="R74" i="31"/>
  <c r="T17" i="31"/>
  <c r="T19" i="31"/>
  <c r="AQ70" i="31"/>
  <c r="Q22" i="31"/>
  <c r="Q27" i="31"/>
  <c r="Q74" i="31"/>
  <c r="V17" i="31"/>
  <c r="V19" i="31"/>
  <c r="AK18" i="31"/>
  <c r="AC13" i="31"/>
  <c r="AD45" i="31"/>
  <c r="L60" i="31"/>
  <c r="L58" i="31"/>
  <c r="L48" i="31"/>
  <c r="L51" i="31"/>
  <c r="U22" i="31"/>
  <c r="AK48" i="31"/>
  <c r="AK51" i="31"/>
  <c r="AM46" i="31"/>
  <c r="U65" i="31"/>
  <c r="U58" i="31"/>
  <c r="W24" i="31"/>
  <c r="W17" i="31"/>
  <c r="W18" i="31"/>
  <c r="AA17" i="31"/>
  <c r="AA19" i="31"/>
  <c r="AI59" i="31"/>
  <c r="AT45" i="31"/>
  <c r="S74" i="31"/>
  <c r="S12" i="31"/>
  <c r="S17" i="31"/>
  <c r="J8" i="31"/>
  <c r="Y24" i="31"/>
  <c r="Y17" i="31"/>
  <c r="AC8" i="31"/>
  <c r="Y18" i="31"/>
  <c r="AB47" i="31"/>
  <c r="AB48" i="31"/>
  <c r="AB51" i="31"/>
  <c r="T74" i="31"/>
  <c r="X12" i="31"/>
  <c r="X17" i="31"/>
  <c r="AA14" i="31"/>
  <c r="AD23" i="31"/>
  <c r="U74" i="31"/>
  <c r="J47" i="31"/>
  <c r="N47" i="31"/>
  <c r="I42" i="31"/>
  <c r="AJ65" i="31"/>
  <c r="V74" i="31"/>
  <c r="Z17" i="31"/>
  <c r="Z19" i="31"/>
  <c r="AD93" i="30"/>
  <c r="AD102" i="30"/>
  <c r="AD88" i="30"/>
  <c r="AD96" i="30"/>
  <c r="AD73" i="28"/>
  <c r="AD85" i="28"/>
  <c r="AD83" i="30"/>
  <c r="AI83" i="30"/>
  <c r="AT21" i="30"/>
  <c r="AF28" i="30"/>
  <c r="AF31" i="30"/>
  <c r="AF9" i="30"/>
  <c r="AF18" i="30"/>
  <c r="AU12" i="30"/>
  <c r="AP30" i="30"/>
  <c r="BJ43" i="30"/>
  <c r="AG18" i="30"/>
  <c r="AG28" i="30"/>
  <c r="AG31" i="30"/>
  <c r="AG9" i="30"/>
  <c r="BK43" i="30"/>
  <c r="AD90" i="30"/>
  <c r="P17" i="30"/>
  <c r="P9" i="30"/>
  <c r="P10" i="30"/>
  <c r="AH7" i="30"/>
  <c r="AI28" i="30"/>
  <c r="AI18" i="30"/>
  <c r="AM7" i="30"/>
  <c r="L9" i="30"/>
  <c r="L12" i="30"/>
  <c r="AF10" i="30"/>
  <c r="M9" i="30"/>
  <c r="M12" i="30"/>
  <c r="AB53" i="30"/>
  <c r="AB72" i="28"/>
  <c r="AB84" i="28"/>
  <c r="AB45" i="30"/>
  <c r="AB50" i="30"/>
  <c r="AB57" i="30"/>
  <c r="V35" i="30"/>
  <c r="V9" i="30"/>
  <c r="V10" i="30"/>
  <c r="V21" i="30"/>
  <c r="AK57" i="30"/>
  <c r="AK53" i="30"/>
  <c r="AK72" i="28"/>
  <c r="AK84" i="28"/>
  <c r="AK45" i="30"/>
  <c r="W10" i="30"/>
  <c r="W17" i="30"/>
  <c r="W9" i="30"/>
  <c r="AB20" i="30"/>
  <c r="W35" i="30"/>
  <c r="AB17" i="30"/>
  <c r="AJ232" i="30"/>
  <c r="AJ227" i="30"/>
  <c r="AB80" i="30"/>
  <c r="AB76" i="30"/>
  <c r="AB6" i="28"/>
  <c r="AC81" i="30"/>
  <c r="AH80" i="30"/>
  <c r="AC80" i="30"/>
  <c r="AC76" i="30"/>
  <c r="AH81" i="30"/>
  <c r="AH76" i="30"/>
  <c r="AH6" i="28"/>
  <c r="AH17" i="28"/>
  <c r="O80" i="30"/>
  <c r="J76" i="30"/>
  <c r="O83" i="30"/>
  <c r="AV74" i="30"/>
  <c r="BA74" i="30"/>
  <c r="BF74" i="30"/>
  <c r="BK74" i="30"/>
  <c r="AQ76" i="30"/>
  <c r="AQ6" i="28"/>
  <c r="V17" i="30"/>
  <c r="AB67" i="30"/>
  <c r="K76" i="30"/>
  <c r="P80" i="30"/>
  <c r="AJ80" i="30"/>
  <c r="AE80" i="30"/>
  <c r="AM74" i="30"/>
  <c r="AE76" i="30"/>
  <c r="AE6" i="28"/>
  <c r="AE17" i="28"/>
  <c r="R88" i="30"/>
  <c r="R85" i="30"/>
  <c r="R90" i="30"/>
  <c r="AZ108" i="30"/>
  <c r="AK152" i="30"/>
  <c r="AC23" i="30"/>
  <c r="AH23" i="30"/>
  <c r="AA17" i="30"/>
  <c r="AK50" i="30"/>
  <c r="Y67" i="30"/>
  <c r="AD67" i="30"/>
  <c r="AY74" i="30"/>
  <c r="BD74" i="30"/>
  <c r="AF93" i="30"/>
  <c r="AF88" i="30"/>
  <c r="AF102" i="30"/>
  <c r="R114" i="30"/>
  <c r="R111" i="30"/>
  <c r="R116" i="30"/>
  <c r="AC136" i="30"/>
  <c r="AH66" i="30"/>
  <c r="U40" i="30"/>
  <c r="AG88" i="30"/>
  <c r="AG93" i="30"/>
  <c r="AG102" i="30"/>
  <c r="AH131" i="30"/>
  <c r="AI141" i="30"/>
  <c r="AD141" i="30"/>
  <c r="AD136" i="30"/>
  <c r="AQ8" i="30"/>
  <c r="AL30" i="30"/>
  <c r="AM30" i="30"/>
  <c r="AQ12" i="30"/>
  <c r="AF96" i="30"/>
  <c r="AF73" i="28"/>
  <c r="AF85" i="28"/>
  <c r="AD145" i="30"/>
  <c r="BC172" i="30"/>
  <c r="AJ219" i="30"/>
  <c r="AN235" i="30"/>
  <c r="AN236" i="30"/>
  <c r="AN238" i="30"/>
  <c r="J9" i="30"/>
  <c r="J12" i="30"/>
  <c r="AM19" i="30"/>
  <c r="AA40" i="30"/>
  <c r="AA41" i="30"/>
  <c r="AA47" i="30"/>
  <c r="AA32" i="30"/>
  <c r="W40" i="30"/>
  <c r="AG96" i="30"/>
  <c r="AG73" i="28"/>
  <c r="AG85" i="28"/>
  <c r="AB123" i="30"/>
  <c r="AB124" i="30"/>
  <c r="V129" i="30"/>
  <c r="V137" i="30"/>
  <c r="V133" i="30"/>
  <c r="V152" i="30"/>
  <c r="BD172" i="30"/>
  <c r="BI225" i="30"/>
  <c r="Y116" i="30"/>
  <c r="AC111" i="30"/>
  <c r="AC116" i="30"/>
  <c r="AB120" i="30"/>
  <c r="AB117" i="30"/>
  <c r="P85" i="30"/>
  <c r="P90" i="30"/>
  <c r="P88" i="30"/>
  <c r="BA18" i="30"/>
  <c r="BF18" i="30"/>
  <c r="AS8" i="30"/>
  <c r="AS12" i="30"/>
  <c r="AN30" i="30"/>
  <c r="AZ28" i="30"/>
  <c r="AF67" i="30"/>
  <c r="W129" i="30"/>
  <c r="W152" i="30"/>
  <c r="W133" i="30"/>
  <c r="AN221" i="30"/>
  <c r="AN230" i="30"/>
  <c r="BC28" i="30"/>
  <c r="BG7" i="30"/>
  <c r="BC18" i="30"/>
  <c r="BC10" i="30"/>
  <c r="BC21" i="30"/>
  <c r="AK182" i="30"/>
  <c r="J28" i="30"/>
  <c r="N28" i="30"/>
  <c r="N36" i="30"/>
  <c r="J10" i="30"/>
  <c r="BD18" i="30"/>
  <c r="BD28" i="30"/>
  <c r="BD10" i="30"/>
  <c r="BD21" i="30"/>
  <c r="K9" i="30"/>
  <c r="K12" i="30"/>
  <c r="AA57" i="30"/>
  <c r="AA53" i="30"/>
  <c r="AA72" i="28"/>
  <c r="AA84" i="28"/>
  <c r="AS75" i="30"/>
  <c r="AR75" i="30"/>
  <c r="AR82" i="30"/>
  <c r="AQ10" i="30"/>
  <c r="AQ17" i="30"/>
  <c r="AQ9" i="30"/>
  <c r="AG10" i="30"/>
  <c r="AG21" i="30"/>
  <c r="AW6" i="30"/>
  <c r="AS17" i="30"/>
  <c r="AS10" i="30"/>
  <c r="AX21" i="30"/>
  <c r="AX17" i="30"/>
  <c r="AT17" i="30"/>
  <c r="AT9" i="30"/>
  <c r="T20" i="30"/>
  <c r="T13" i="30"/>
  <c r="BK86" i="30"/>
  <c r="AO20" i="30"/>
  <c r="AO13" i="30"/>
  <c r="AO5" i="28"/>
  <c r="AA80" i="30"/>
  <c r="AA76" i="30"/>
  <c r="AU80" i="30"/>
  <c r="AU76" i="30"/>
  <c r="AU6" i="28"/>
  <c r="AU21" i="30"/>
  <c r="Y41" i="30"/>
  <c r="AV80" i="30"/>
  <c r="AW80" i="30"/>
  <c r="BB80" i="30"/>
  <c r="U17" i="30"/>
  <c r="AD80" i="30"/>
  <c r="AI80" i="30"/>
  <c r="AX80" i="30"/>
  <c r="BC80" i="30"/>
  <c r="AY76" i="30"/>
  <c r="AY6" i="28"/>
  <c r="BD80" i="30"/>
  <c r="Q85" i="30"/>
  <c r="Q88" i="30"/>
  <c r="AL209" i="30"/>
  <c r="AL212" i="30"/>
  <c r="AC85" i="30"/>
  <c r="AE28" i="30"/>
  <c r="AE9" i="30"/>
  <c r="AE18" i="30"/>
  <c r="BB7" i="30"/>
  <c r="AT8" i="30"/>
  <c r="AO30" i="30"/>
  <c r="AT12" i="30"/>
  <c r="BA28" i="30"/>
  <c r="AC29" i="30"/>
  <c r="AQ35" i="30"/>
  <c r="Z118" i="30"/>
  <c r="Z117" i="30"/>
  <c r="Z120" i="30"/>
  <c r="AE118" i="30"/>
  <c r="AD124" i="30"/>
  <c r="AD123" i="30"/>
  <c r="AH143" i="30"/>
  <c r="AP201" i="30"/>
  <c r="Y221" i="30"/>
  <c r="AD242" i="30"/>
  <c r="Y241" i="30"/>
  <c r="AD116" i="30"/>
  <c r="AH111" i="30"/>
  <c r="AH116" i="30"/>
  <c r="AL116" i="30"/>
  <c r="AG117" i="30"/>
  <c r="AG118" i="30"/>
  <c r="AG120" i="30"/>
  <c r="AJ124" i="30"/>
  <c r="AE124" i="30"/>
  <c r="AE123" i="30"/>
  <c r="AC173" i="30"/>
  <c r="AU9" i="30"/>
  <c r="AU17" i="30"/>
  <c r="Q80" i="30"/>
  <c r="L76" i="30"/>
  <c r="AF80" i="30"/>
  <c r="AZ80" i="30"/>
  <c r="AS74" i="30"/>
  <c r="AR74" i="30"/>
  <c r="AP93" i="30"/>
  <c r="AK118" i="30"/>
  <c r="AP116" i="30"/>
  <c r="AK117" i="30"/>
  <c r="AF124" i="30"/>
  <c r="AF123" i="30"/>
  <c r="AU216" i="30"/>
  <c r="AU220" i="30"/>
  <c r="AU231" i="30"/>
  <c r="AP220" i="30"/>
  <c r="AP231" i="30"/>
  <c r="AP219" i="30"/>
  <c r="AP234" i="30"/>
  <c r="AV17" i="30"/>
  <c r="Y40" i="30"/>
  <c r="M87" i="30"/>
  <c r="BA76" i="30"/>
  <c r="BA6" i="28"/>
  <c r="BA80" i="30"/>
  <c r="AO111" i="30"/>
  <c r="AO113" i="30"/>
  <c r="AT116" i="30"/>
  <c r="AT111" i="30"/>
  <c r="AT113" i="30"/>
  <c r="AO118" i="30"/>
  <c r="AM168" i="30"/>
  <c r="AM144" i="28"/>
  <c r="AM158" i="28"/>
  <c r="AL178" i="30"/>
  <c r="AL169" i="30"/>
  <c r="AQ219" i="30"/>
  <c r="AV216" i="30"/>
  <c r="AQ234" i="30"/>
  <c r="BH28" i="30"/>
  <c r="BH18" i="30"/>
  <c r="AD13" i="30"/>
  <c r="AD5" i="28"/>
  <c r="AD16" i="28"/>
  <c r="AD19" i="28"/>
  <c r="M42" i="30"/>
  <c r="M45" i="30"/>
  <c r="BE80" i="30"/>
  <c r="AV132" i="30"/>
  <c r="AR216" i="30"/>
  <c r="AK67" i="30"/>
  <c r="BF80" i="30"/>
  <c r="AH137" i="30"/>
  <c r="AN18" i="30"/>
  <c r="AQ220" i="30"/>
  <c r="AQ231" i="30"/>
  <c r="BK18" i="30"/>
  <c r="BK28" i="30"/>
  <c r="AJ37" i="30"/>
  <c r="AI29" i="30"/>
  <c r="AM207" i="30"/>
  <c r="BG164" i="30"/>
  <c r="BG205" i="30"/>
  <c r="BG207" i="30"/>
  <c r="AL164" i="30"/>
  <c r="BB6" i="30"/>
  <c r="BL7" i="30"/>
  <c r="AZ8" i="30"/>
  <c r="AI17" i="30"/>
  <c r="V27" i="30"/>
  <c r="V31" i="30"/>
  <c r="T27" i="30"/>
  <c r="S27" i="30"/>
  <c r="AW43" i="30"/>
  <c r="AX43" i="30"/>
  <c r="M133" i="30"/>
  <c r="M137" i="30"/>
  <c r="M152" i="30"/>
  <c r="R129" i="30"/>
  <c r="AK138" i="30"/>
  <c r="AK137" i="30"/>
  <c r="AK129" i="30"/>
  <c r="AK145" i="30"/>
  <c r="AN164" i="30"/>
  <c r="AN205" i="30"/>
  <c r="AN207" i="30"/>
  <c r="BH164" i="30"/>
  <c r="BH205" i="30"/>
  <c r="BH207" i="30"/>
  <c r="AM164" i="30"/>
  <c r="AZ226" i="30"/>
  <c r="AK221" i="30"/>
  <c r="AK242" i="30"/>
  <c r="AF35" i="30"/>
  <c r="AW27" i="30"/>
  <c r="AH42" i="30"/>
  <c r="J116" i="30"/>
  <c r="J117" i="30"/>
  <c r="K138" i="30"/>
  <c r="K131" i="30"/>
  <c r="K10" i="30"/>
  <c r="BI17" i="30"/>
  <c r="AR7" i="30"/>
  <c r="AK17" i="30"/>
  <c r="O93" i="30"/>
  <c r="O87" i="30"/>
  <c r="O103" i="30"/>
  <c r="R80" i="30"/>
  <c r="BB86" i="30"/>
  <c r="Y97" i="30"/>
  <c r="X113" i="30"/>
  <c r="X114" i="30"/>
  <c r="X109" i="30"/>
  <c r="X123" i="30"/>
  <c r="K114" i="30"/>
  <c r="K111" i="30"/>
  <c r="K116" i="30"/>
  <c r="O124" i="30"/>
  <c r="O123" i="30"/>
  <c r="S122" i="30"/>
  <c r="S113" i="30"/>
  <c r="S114" i="30"/>
  <c r="T124" i="30"/>
  <c r="O113" i="30"/>
  <c r="P152" i="30"/>
  <c r="U129" i="30"/>
  <c r="P133" i="30"/>
  <c r="U143" i="30"/>
  <c r="P137" i="30"/>
  <c r="R145" i="30"/>
  <c r="Y152" i="30"/>
  <c r="Y153" i="30"/>
  <c r="AP209" i="30"/>
  <c r="AP212" i="30"/>
  <c r="AX226" i="30"/>
  <c r="L10" i="30"/>
  <c r="Q21" i="30"/>
  <c r="AH6" i="30"/>
  <c r="BE10" i="30"/>
  <c r="X7" i="30"/>
  <c r="AW7" i="30"/>
  <c r="AS18" i="30"/>
  <c r="AN9" i="30"/>
  <c r="P83" i="30"/>
  <c r="K93" i="30"/>
  <c r="BH86" i="30"/>
  <c r="BG86" i="30"/>
  <c r="AC109" i="30"/>
  <c r="L113" i="30"/>
  <c r="AL189" i="30"/>
  <c r="AL76" i="28"/>
  <c r="AJ185" i="30"/>
  <c r="AJ174" i="30"/>
  <c r="AM159" i="30"/>
  <c r="AJ181" i="30"/>
  <c r="AJ173" i="30"/>
  <c r="AJ172" i="30"/>
  <c r="AJ160" i="30"/>
  <c r="AV164" i="30"/>
  <c r="R17" i="30"/>
  <c r="M10" i="30"/>
  <c r="AI9" i="30"/>
  <c r="AI35" i="30"/>
  <c r="AI10" i="30"/>
  <c r="AM6" i="30"/>
  <c r="BF10" i="30"/>
  <c r="AN28" i="30"/>
  <c r="AG67" i="30"/>
  <c r="BI86" i="30"/>
  <c r="AH109" i="30"/>
  <c r="AH122" i="30"/>
  <c r="J114" i="30"/>
  <c r="L123" i="30"/>
  <c r="P129" i="30"/>
  <c r="AD227" i="30"/>
  <c r="AD219" i="30"/>
  <c r="AE181" i="30"/>
  <c r="AE173" i="30"/>
  <c r="AE185" i="30"/>
  <c r="AE160" i="30"/>
  <c r="AE174" i="30"/>
  <c r="AE172" i="30"/>
  <c r="N6" i="30"/>
  <c r="AJ35" i="30"/>
  <c r="AO17" i="30"/>
  <c r="AJ10" i="30"/>
  <c r="AP9" i="30"/>
  <c r="AD10" i="30"/>
  <c r="AY17" i="30"/>
  <c r="AC30" i="30"/>
  <c r="W103" i="30"/>
  <c r="W83" i="30"/>
  <c r="W87" i="30"/>
  <c r="W80" i="30"/>
  <c r="M93" i="30"/>
  <c r="AM108" i="30"/>
  <c r="AQ108" i="30"/>
  <c r="T133" i="30"/>
  <c r="T137" i="30"/>
  <c r="T129" i="30"/>
  <c r="X128" i="30"/>
  <c r="AS209" i="30"/>
  <c r="AS212" i="30"/>
  <c r="AM177" i="30"/>
  <c r="AG219" i="30"/>
  <c r="AG227" i="30"/>
  <c r="AG232" i="30"/>
  <c r="AI232" i="30"/>
  <c r="Y35" i="30"/>
  <c r="Y9" i="30"/>
  <c r="Y10" i="30"/>
  <c r="BF75" i="30"/>
  <c r="BK75" i="30"/>
  <c r="AH173" i="30"/>
  <c r="AH178" i="30"/>
  <c r="AT201" i="30"/>
  <c r="AG80" i="30"/>
  <c r="AG124" i="30"/>
  <c r="AG123" i="30"/>
  <c r="AD17" i="30"/>
  <c r="AQ27" i="30"/>
  <c r="AO27" i="30"/>
  <c r="AN27" i="30"/>
  <c r="BF172" i="30"/>
  <c r="R18" i="30"/>
  <c r="BI10" i="30"/>
  <c r="BI18" i="30"/>
  <c r="AY10" i="30"/>
  <c r="AY21" i="30"/>
  <c r="AU132" i="30"/>
  <c r="AZ10" i="30"/>
  <c r="AZ21" i="30"/>
  <c r="W18" i="30"/>
  <c r="BF205" i="30"/>
  <c r="BF207" i="30"/>
  <c r="BF164" i="30"/>
  <c r="BA10" i="30"/>
  <c r="BA21" i="30"/>
  <c r="AO10" i="30"/>
  <c r="AO18" i="30"/>
  <c r="AO28" i="30"/>
  <c r="R10" i="30"/>
  <c r="AE35" i="30"/>
  <c r="AE17" i="30"/>
  <c r="U10" i="30"/>
  <c r="U21" i="30"/>
  <c r="U9" i="30"/>
  <c r="Z20" i="30"/>
  <c r="Z18" i="30"/>
  <c r="AJ45" i="30"/>
  <c r="AJ50" i="30"/>
  <c r="AJ57" i="30"/>
  <c r="AJ53" i="30"/>
  <c r="AJ72" i="28"/>
  <c r="AU198" i="30"/>
  <c r="AP197" i="30"/>
  <c r="BG6" i="30"/>
  <c r="AO205" i="30"/>
  <c r="AO207" i="30"/>
  <c r="AO164" i="30"/>
  <c r="BI205" i="30"/>
  <c r="BI207" i="30"/>
  <c r="BI164" i="30"/>
  <c r="O9" i="30"/>
  <c r="O10" i="30"/>
  <c r="S6" i="30"/>
  <c r="O17" i="30"/>
  <c r="AE10" i="30"/>
  <c r="X23" i="30"/>
  <c r="AZ17" i="30"/>
  <c r="AP18" i="30"/>
  <c r="AS28" i="30"/>
  <c r="Q114" i="30"/>
  <c r="Q111" i="30"/>
  <c r="Q116" i="30"/>
  <c r="S142" i="30"/>
  <c r="AJ153" i="30"/>
  <c r="AJ152" i="30"/>
  <c r="Z97" i="30"/>
  <c r="AV198" i="30"/>
  <c r="AQ197" i="30"/>
  <c r="AE234" i="30"/>
  <c r="AE225" i="30"/>
  <c r="Q17" i="30"/>
  <c r="BJ17" i="30"/>
  <c r="AH29" i="30"/>
  <c r="AH37" i="30"/>
  <c r="AG90" i="30"/>
  <c r="AT132" i="30"/>
  <c r="AR132" i="30"/>
  <c r="O28" i="30"/>
  <c r="O18" i="30"/>
  <c r="AJ18" i="30"/>
  <c r="AJ28" i="30"/>
  <c r="BE28" i="30"/>
  <c r="X80" i="30"/>
  <c r="X76" i="30"/>
  <c r="X93" i="30"/>
  <c r="BL80" i="30"/>
  <c r="AI209" i="30"/>
  <c r="AI212" i="30"/>
  <c r="BC205" i="30"/>
  <c r="BC207" i="30"/>
  <c r="BC164" i="30"/>
  <c r="BL206" i="30"/>
  <c r="BL207" i="30"/>
  <c r="BL164" i="30"/>
  <c r="AX225" i="30"/>
  <c r="AS219" i="30"/>
  <c r="P18" i="30"/>
  <c r="AK18" i="30"/>
  <c r="BF28" i="30"/>
  <c r="Y93" i="30"/>
  <c r="Y83" i="30"/>
  <c r="AA173" i="30"/>
  <c r="AA185" i="30"/>
  <c r="AA174" i="30"/>
  <c r="AA181" i="30"/>
  <c r="AA182" i="30"/>
  <c r="AJ209" i="30"/>
  <c r="AJ212" i="30"/>
  <c r="BD205" i="30"/>
  <c r="BD207" i="30"/>
  <c r="BD164" i="30"/>
  <c r="BK209" i="30"/>
  <c r="BK212" i="30"/>
  <c r="Q18" i="30"/>
  <c r="AL18" i="30"/>
  <c r="Q9" i="30"/>
  <c r="Z10" i="30"/>
  <c r="BE18" i="30"/>
  <c r="AC42" i="30"/>
  <c r="Z88" i="30"/>
  <c r="Z102" i="30"/>
  <c r="Z93" i="30"/>
  <c r="AT76" i="30"/>
  <c r="AT6" i="28"/>
  <c r="S81" i="30"/>
  <c r="S76" i="30"/>
  <c r="S109" i="30"/>
  <c r="AI152" i="30"/>
  <c r="AK207" i="30"/>
  <c r="BE205" i="30"/>
  <c r="BE207" i="30"/>
  <c r="BE164" i="30"/>
  <c r="AI164" i="30"/>
  <c r="AC167" i="30"/>
  <c r="AC172" i="30"/>
  <c r="AD177" i="30"/>
  <c r="Y172" i="30"/>
  <c r="AI186" i="30"/>
  <c r="AF241" i="30"/>
  <c r="AF242" i="30"/>
  <c r="AF221" i="30"/>
  <c r="AI104" i="30"/>
  <c r="AA120" i="30"/>
  <c r="AA117" i="30"/>
  <c r="AT207" i="30"/>
  <c r="AV207" i="30"/>
  <c r="AL9" i="30"/>
  <c r="AL17" i="30"/>
  <c r="R93" i="30"/>
  <c r="R83" i="30"/>
  <c r="AL76" i="30"/>
  <c r="AL6" i="28"/>
  <c r="R103" i="30"/>
  <c r="AR108" i="30"/>
  <c r="AS108" i="30"/>
  <c r="Y145" i="30"/>
  <c r="Y75" i="28"/>
  <c r="Y88" i="28"/>
  <c r="Y137" i="30"/>
  <c r="Y129" i="30"/>
  <c r="AG141" i="30"/>
  <c r="AG136" i="30"/>
  <c r="AG145" i="30"/>
  <c r="Y138" i="30"/>
  <c r="AU205" i="30"/>
  <c r="AU207" i="30"/>
  <c r="AU164" i="30"/>
  <c r="AX173" i="30"/>
  <c r="R9" i="30"/>
  <c r="BL6" i="30"/>
  <c r="BH10" i="30"/>
  <c r="U76" i="30"/>
  <c r="AK103" i="30"/>
  <c r="AI116" i="30"/>
  <c r="Z151" i="30"/>
  <c r="Z145" i="30"/>
  <c r="Z75" i="28"/>
  <c r="Z88" i="28"/>
  <c r="Z138" i="30"/>
  <c r="Z137" i="30"/>
  <c r="AY173" i="30"/>
  <c r="AR6" i="30"/>
  <c r="AN10" i="30"/>
  <c r="AV28" i="30"/>
  <c r="AN17" i="30"/>
  <c r="T83" i="30"/>
  <c r="T103" i="30"/>
  <c r="AN76" i="30"/>
  <c r="AN6" i="28"/>
  <c r="AN80" i="30"/>
  <c r="AC88" i="30"/>
  <c r="Y123" i="30"/>
  <c r="Y124" i="30"/>
  <c r="AF129" i="30"/>
  <c r="AA151" i="30"/>
  <c r="AA129" i="30"/>
  <c r="AB193" i="30"/>
  <c r="AB186" i="30"/>
  <c r="AB198" i="30"/>
  <c r="BA207" i="30"/>
  <c r="AO76" i="30"/>
  <c r="AO6" i="28"/>
  <c r="AO80" i="30"/>
  <c r="AE120" i="30"/>
  <c r="AB145" i="30"/>
  <c r="AB75" i="28"/>
  <c r="AB88" i="28"/>
  <c r="AB137" i="30"/>
  <c r="AB151" i="30"/>
  <c r="AB129" i="30"/>
  <c r="AB138" i="30"/>
  <c r="AB136" i="30"/>
  <c r="AK136" i="30"/>
  <c r="Q153" i="30"/>
  <c r="Q152" i="30"/>
  <c r="S151" i="30"/>
  <c r="V153" i="30"/>
  <c r="AC159" i="30"/>
  <c r="AC9" i="28"/>
  <c r="AC21" i="28"/>
  <c r="Y174" i="30"/>
  <c r="Y173" i="30"/>
  <c r="Y185" i="30"/>
  <c r="Y181" i="30"/>
  <c r="Y182" i="30"/>
  <c r="P93" i="30"/>
  <c r="P103" i="30"/>
  <c r="W111" i="30"/>
  <c r="W116" i="30"/>
  <c r="W114" i="30"/>
  <c r="X6" i="30"/>
  <c r="T10" i="30"/>
  <c r="BJ10" i="30"/>
  <c r="AP35" i="30"/>
  <c r="BK10" i="30"/>
  <c r="BK21" i="30"/>
  <c r="BK17" i="30"/>
  <c r="AY28" i="30"/>
  <c r="AC66" i="30"/>
  <c r="AC19" i="30"/>
  <c r="AL10" i="30"/>
  <c r="AP17" i="30"/>
  <c r="AY108" i="30"/>
  <c r="AF117" i="30"/>
  <c r="AF120" i="30"/>
  <c r="AC128" i="30"/>
  <c r="Z129" i="30"/>
  <c r="AM142" i="30"/>
  <c r="AK172" i="30"/>
  <c r="AK177" i="30"/>
  <c r="BE173" i="30"/>
  <c r="AR220" i="30"/>
  <c r="AN231" i="30"/>
  <c r="AH231" i="30"/>
  <c r="AD151" i="30"/>
  <c r="AI153" i="30"/>
  <c r="AD129" i="30"/>
  <c r="AD138" i="30"/>
  <c r="AE141" i="30"/>
  <c r="AW158" i="30"/>
  <c r="AB173" i="30"/>
  <c r="AB172" i="30"/>
  <c r="AB181" i="30"/>
  <c r="AB182" i="30"/>
  <c r="AB174" i="30"/>
  <c r="AF177" i="30"/>
  <c r="AF172" i="30"/>
  <c r="Z221" i="30"/>
  <c r="Z241" i="30"/>
  <c r="AH64" i="30"/>
  <c r="AI66" i="30"/>
  <c r="AE129" i="30"/>
  <c r="AF146" i="30"/>
  <c r="AE138" i="30"/>
  <c r="AM157" i="30"/>
  <c r="AD173" i="30"/>
  <c r="AD172" i="30"/>
  <c r="AD185" i="30"/>
  <c r="AI187" i="30"/>
  <c r="AD160" i="30"/>
  <c r="AH159" i="30"/>
  <c r="AH9" i="28"/>
  <c r="AG181" i="30"/>
  <c r="AG177" i="30"/>
  <c r="AG172" i="30"/>
  <c r="AH217" i="30"/>
  <c r="AA241" i="30"/>
  <c r="AA221" i="30"/>
  <c r="J45" i="30"/>
  <c r="N44" i="30"/>
  <c r="AG151" i="30"/>
  <c r="AE136" i="30"/>
  <c r="AG138" i="30"/>
  <c r="AI146" i="30"/>
  <c r="BJ206" i="30"/>
  <c r="BJ207" i="30"/>
  <c r="BJ164" i="30"/>
  <c r="AN240" i="30"/>
  <c r="AS216" i="30"/>
  <c r="AB234" i="30"/>
  <c r="AB235" i="30"/>
  <c r="AB225" i="30"/>
  <c r="J133" i="30"/>
  <c r="N128" i="30"/>
  <c r="N152" i="30"/>
  <c r="Z143" i="30"/>
  <c r="Z185" i="30"/>
  <c r="Z173" i="30"/>
  <c r="Z181" i="30"/>
  <c r="Z182" i="30"/>
  <c r="BK225" i="30"/>
  <c r="AY226" i="30"/>
  <c r="AI90" i="30"/>
  <c r="R124" i="30"/>
  <c r="BB158" i="30"/>
  <c r="AX164" i="30"/>
  <c r="AI136" i="30"/>
  <c r="AH246" i="30"/>
  <c r="AH240" i="30"/>
  <c r="AU74" i="30"/>
  <c r="AZ74" i="30"/>
  <c r="BE74" i="30"/>
  <c r="BJ74" i="30"/>
  <c r="T111" i="30"/>
  <c r="N122" i="30"/>
  <c r="N123" i="30"/>
  <c r="AI124" i="30"/>
  <c r="AH142" i="30"/>
  <c r="AK185" i="30"/>
  <c r="AK174" i="30"/>
  <c r="AL219" i="30"/>
  <c r="BA226" i="30"/>
  <c r="AV220" i="30"/>
  <c r="AV231" i="30"/>
  <c r="AF90" i="30"/>
  <c r="O152" i="30"/>
  <c r="O133" i="30"/>
  <c r="S128" i="30"/>
  <c r="AZ207" i="30"/>
  <c r="AM216" i="30"/>
  <c r="Q133" i="30"/>
  <c r="AS132" i="30"/>
  <c r="O137" i="30"/>
  <c r="BB205" i="30"/>
  <c r="BB207" i="30"/>
  <c r="BB164" i="30"/>
  <c r="AQ206" i="30"/>
  <c r="AQ207" i="30"/>
  <c r="AQ164" i="30"/>
  <c r="AT216" i="30"/>
  <c r="AO220" i="30"/>
  <c r="AO231" i="30"/>
  <c r="AO219" i="30"/>
  <c r="AJ141" i="30"/>
  <c r="AJ136" i="30"/>
  <c r="AK141" i="30"/>
  <c r="AW164" i="30"/>
  <c r="AL185" i="30"/>
  <c r="AL181" i="30"/>
  <c r="AP164" i="30"/>
  <c r="AU219" i="30"/>
  <c r="AS164" i="30"/>
  <c r="AH226" i="30"/>
  <c r="AZ225" i="30"/>
  <c r="AF181" i="30"/>
  <c r="AK183" i="30"/>
  <c r="AF173" i="30"/>
  <c r="AF174" i="30"/>
  <c r="AA172" i="30"/>
  <c r="AZ164" i="30"/>
  <c r="AH167" i="30"/>
  <c r="AH66" i="28"/>
  <c r="AH68" i="28"/>
  <c r="AJ120" i="28"/>
  <c r="AJ98" i="28"/>
  <c r="AJ111" i="28"/>
  <c r="AJ113" i="28"/>
  <c r="AJ190" i="28"/>
  <c r="AJ195" i="28"/>
  <c r="AH59" i="28"/>
  <c r="AH50" i="28"/>
  <c r="AH63" i="28"/>
  <c r="AH64" i="28"/>
  <c r="AJ200" i="28"/>
  <c r="AC50" i="28"/>
  <c r="AC63" i="28"/>
  <c r="AC64" i="28"/>
  <c r="AH95" i="28"/>
  <c r="AI112" i="28"/>
  <c r="AI192" i="28"/>
  <c r="AI197" i="28"/>
  <c r="AI100" i="28"/>
  <c r="AI108" i="28"/>
  <c r="AI93" i="28"/>
  <c r="Y63" i="28"/>
  <c r="Y64" i="28"/>
  <c r="Y50" i="28"/>
  <c r="Z50" i="28"/>
  <c r="Z63" i="28"/>
  <c r="Z64" i="28"/>
  <c r="AK111" i="28"/>
  <c r="AK113" i="28"/>
  <c r="AK190" i="28"/>
  <c r="AA50" i="28"/>
  <c r="AA63" i="28"/>
  <c r="AA64" i="28"/>
  <c r="BJ173" i="28"/>
  <c r="AB50" i="28"/>
  <c r="AB63" i="28"/>
  <c r="AB64" i="28"/>
  <c r="AF159" i="28"/>
  <c r="AI199" i="28"/>
  <c r="AF59" i="28"/>
  <c r="AF50" i="28"/>
  <c r="AF63" i="28"/>
  <c r="AF64" i="28"/>
  <c r="AF176" i="28"/>
  <c r="AG59" i="28"/>
  <c r="AG50" i="28"/>
  <c r="AG63" i="28"/>
  <c r="AG64" i="28"/>
  <c r="AI117" i="28"/>
  <c r="AI63" i="28"/>
  <c r="AI64" i="28"/>
  <c r="AI59" i="28"/>
  <c r="AI50" i="28"/>
  <c r="AH81" i="28"/>
  <c r="AH161" i="28"/>
  <c r="AH162" i="28"/>
  <c r="AH185" i="28"/>
  <c r="AH90" i="28"/>
  <c r="AH86" i="28"/>
  <c r="AD186" i="28"/>
  <c r="AD187" i="28"/>
  <c r="AI187" i="28"/>
  <c r="AE186" i="28"/>
  <c r="AE187" i="28"/>
  <c r="AK108" i="28"/>
  <c r="AH80" i="28"/>
  <c r="AF30" i="28"/>
  <c r="AJ187" i="28"/>
  <c r="AJ100" i="28"/>
  <c r="AJ192" i="28"/>
  <c r="AJ197" i="28"/>
  <c r="AF100" i="28"/>
  <c r="AF116" i="28"/>
  <c r="AF199" i="28"/>
  <c r="AF117" i="28"/>
  <c r="Y68" i="28"/>
  <c r="Y66" i="28"/>
  <c r="AG116" i="28"/>
  <c r="AG199" i="28"/>
  <c r="AG117" i="28"/>
  <c r="AG155" i="28"/>
  <c r="AG159" i="28"/>
  <c r="AS173" i="28"/>
  <c r="AH115" i="28"/>
  <c r="AY150" i="28"/>
  <c r="AG177" i="28"/>
  <c r="AH177" i="28"/>
  <c r="AK176" i="28"/>
  <c r="AI39" i="28"/>
  <c r="AI25" i="28"/>
  <c r="AJ117" i="28"/>
  <c r="AJ116" i="28"/>
  <c r="AJ25" i="28"/>
  <c r="AJ35" i="28"/>
  <c r="AJ39" i="28"/>
  <c r="AD50" i="28"/>
  <c r="AD63" i="28"/>
  <c r="AD64" i="28"/>
  <c r="AG192" i="28"/>
  <c r="AG197" i="28"/>
  <c r="AE50" i="28"/>
  <c r="AE63" i="28"/>
  <c r="AE64" i="28"/>
  <c r="BI173" i="28"/>
  <c r="AC115" i="28"/>
  <c r="AC80" i="28"/>
  <c r="AC161" i="28"/>
  <c r="AC185" i="28"/>
  <c r="AC186" i="28"/>
  <c r="AC67" i="28"/>
  <c r="AC90" i="28"/>
  <c r="AF182" i="28"/>
  <c r="AE25" i="28"/>
  <c r="AE38" i="28"/>
  <c r="AE99" i="28"/>
  <c r="AE39" i="28"/>
  <c r="AJ63" i="28"/>
  <c r="AJ64" i="28"/>
  <c r="AJ59" i="28"/>
  <c r="AJ66" i="28"/>
  <c r="Z68" i="28"/>
  <c r="Z66" i="28"/>
  <c r="AE181" i="28"/>
  <c r="AK155" i="28"/>
  <c r="AK154" i="28"/>
  <c r="AM155" i="28"/>
  <c r="AM68" i="27"/>
  <c r="Y167" i="28"/>
  <c r="AJ50" i="28"/>
  <c r="Z167" i="28"/>
  <c r="AI181" i="28"/>
  <c r="AN181" i="28"/>
  <c r="AK50" i="28"/>
  <c r="AD66" i="28"/>
  <c r="AD68" i="28"/>
  <c r="AC86" i="28"/>
  <c r="AD111" i="28"/>
  <c r="AD113" i="28"/>
  <c r="AD120" i="28"/>
  <c r="AD190" i="28"/>
  <c r="AD195" i="28"/>
  <c r="AE196" i="28"/>
  <c r="AL156" i="28"/>
  <c r="AL154" i="28"/>
  <c r="AL64" i="27"/>
  <c r="AQ173" i="28"/>
  <c r="AA186" i="28"/>
  <c r="AF187" i="28"/>
  <c r="AK26" i="28"/>
  <c r="AK63" i="28"/>
  <c r="AK64" i="28"/>
  <c r="AJ191" i="28"/>
  <c r="AJ196" i="28"/>
  <c r="AJ112" i="28"/>
  <c r="AJ121" i="28"/>
  <c r="AM147" i="28"/>
  <c r="AB167" i="28"/>
  <c r="AD197" i="28"/>
  <c r="AB186" i="28"/>
  <c r="AG187" i="28"/>
  <c r="AJ34" i="28"/>
  <c r="AH54" i="28"/>
  <c r="AF26" i="28"/>
  <c r="AE30" i="28"/>
  <c r="AA66" i="28"/>
  <c r="AK159" i="28"/>
  <c r="AK121" i="28"/>
  <c r="AK112" i="28"/>
  <c r="AE93" i="28"/>
  <c r="AE192" i="28"/>
  <c r="AE197" i="28"/>
  <c r="AE199" i="28"/>
  <c r="AE117" i="28"/>
  <c r="AE116" i="28"/>
  <c r="AN150" i="28"/>
  <c r="AM150" i="28"/>
  <c r="AC169" i="28"/>
  <c r="AH13" i="28"/>
  <c r="AI66" i="28"/>
  <c r="AP150" i="28"/>
  <c r="AK115" i="28"/>
  <c r="AQ150" i="28"/>
  <c r="AE154" i="28"/>
  <c r="AH169" i="28"/>
  <c r="AK167" i="28"/>
  <c r="AM167" i="28"/>
  <c r="AK162" i="28"/>
  <c r="AI183" i="28"/>
  <c r="AH18" i="28"/>
  <c r="AH21" i="28"/>
  <c r="AH22" i="28"/>
  <c r="AJ176" i="28"/>
  <c r="AJ181" i="28"/>
  <c r="AO181" i="28"/>
  <c r="AJ183" i="28"/>
  <c r="AK197" i="28"/>
  <c r="AF94" i="28"/>
  <c r="AE112" i="28"/>
  <c r="AD200" i="28"/>
  <c r="AD201" i="28"/>
  <c r="AC173" i="28"/>
  <c r="AF11" i="27"/>
  <c r="BH79" i="27"/>
  <c r="AG138" i="27"/>
  <c r="AG149" i="27"/>
  <c r="AH136" i="27"/>
  <c r="AH138" i="27"/>
  <c r="AK79" i="27"/>
  <c r="AK80" i="27"/>
  <c r="AX113" i="27"/>
  <c r="AY113" i="27"/>
  <c r="AZ113" i="27"/>
  <c r="BA113" i="27"/>
  <c r="BB113" i="27"/>
  <c r="AP121" i="27"/>
  <c r="AP100" i="27"/>
  <c r="AQ100" i="27"/>
  <c r="AR100" i="27"/>
  <c r="AS100" i="27"/>
  <c r="AT100" i="27"/>
  <c r="BJ188" i="27"/>
  <c r="AK174" i="27"/>
  <c r="AM174" i="27"/>
  <c r="AI260" i="27"/>
  <c r="AI276" i="27"/>
  <c r="AI257" i="27"/>
  <c r="BI55" i="27"/>
  <c r="AH59" i="27"/>
  <c r="BC170" i="27"/>
  <c r="AT170" i="27"/>
  <c r="AY170" i="27"/>
  <c r="BD170" i="27"/>
  <c r="BI170" i="27"/>
  <c r="AM201" i="27"/>
  <c r="AJ89" i="27"/>
  <c r="AJ88" i="27"/>
  <c r="AE267" i="27"/>
  <c r="AE280" i="27"/>
  <c r="AE292" i="27"/>
  <c r="BA79" i="27"/>
  <c r="AJ162" i="27"/>
  <c r="AN204" i="27"/>
  <c r="BI89" i="27"/>
  <c r="BI201" i="27"/>
  <c r="BI204" i="27"/>
  <c r="BL88" i="27"/>
  <c r="AD7" i="27"/>
  <c r="AJ79" i="27"/>
  <c r="AJ80" i="27"/>
  <c r="AM252" i="27"/>
  <c r="AL256" i="27"/>
  <c r="AJ7" i="27"/>
  <c r="AE18" i="27"/>
  <c r="AJ19" i="27"/>
  <c r="AF13" i="27"/>
  <c r="P34" i="15"/>
  <c r="AF7" i="27"/>
  <c r="AD13" i="27"/>
  <c r="N34" i="15"/>
  <c r="AG46" i="27"/>
  <c r="AM58" i="27"/>
  <c r="BQ58" i="27"/>
  <c r="AK87" i="27"/>
  <c r="BE309" i="27"/>
  <c r="AH18" i="27"/>
  <c r="BP6" i="27"/>
  <c r="AH7" i="27"/>
  <c r="AH11" i="27"/>
  <c r="AH13" i="27"/>
  <c r="R34" i="15"/>
  <c r="AH79" i="27"/>
  <c r="AN58" i="27"/>
  <c r="BH188" i="27"/>
  <c r="AI11" i="27"/>
  <c r="AI13" i="27"/>
  <c r="S34" i="15"/>
  <c r="AI79" i="27"/>
  <c r="AK7" i="27"/>
  <c r="AW38" i="27"/>
  <c r="AW162" i="27"/>
  <c r="AE308" i="27"/>
  <c r="AE301" i="27"/>
  <c r="AM131" i="27"/>
  <c r="BA167" i="27"/>
  <c r="AV223" i="27"/>
  <c r="AL307" i="27"/>
  <c r="AL306" i="27"/>
  <c r="AH260" i="27"/>
  <c r="AH276" i="27"/>
  <c r="AH257" i="27"/>
  <c r="AR170" i="27"/>
  <c r="BH172" i="27"/>
  <c r="AJ260" i="27"/>
  <c r="AJ257" i="27"/>
  <c r="AJ276" i="27"/>
  <c r="AN141" i="27"/>
  <c r="AO141" i="27"/>
  <c r="AP141" i="27"/>
  <c r="AQ141" i="27"/>
  <c r="AR141" i="27"/>
  <c r="AS141" i="27"/>
  <c r="AT141" i="27"/>
  <c r="AU141" i="27"/>
  <c r="AV141" i="27"/>
  <c r="AW141" i="27"/>
  <c r="AX141" i="27"/>
  <c r="AY141" i="27"/>
  <c r="AZ141" i="27"/>
  <c r="BA141" i="27"/>
  <c r="BB141" i="27"/>
  <c r="BC141" i="27"/>
  <c r="BD141" i="27"/>
  <c r="BE141" i="27"/>
  <c r="BF141" i="27"/>
  <c r="BG141" i="27"/>
  <c r="BH141" i="27"/>
  <c r="BI141" i="27"/>
  <c r="BJ141" i="27"/>
  <c r="BK141" i="27"/>
  <c r="BL141" i="27"/>
  <c r="AG9" i="27"/>
  <c r="AK38" i="27"/>
  <c r="AK162" i="27"/>
  <c r="AL254" i="27"/>
  <c r="AM248" i="27"/>
  <c r="AM87" i="27"/>
  <c r="AE7" i="27"/>
  <c r="BH309" i="27"/>
  <c r="AW188" i="27"/>
  <c r="AG13" i="27"/>
  <c r="Q34" i="15"/>
  <c r="AG7" i="27"/>
  <c r="AZ38" i="27"/>
  <c r="AU162" i="27"/>
  <c r="AK202" i="27"/>
  <c r="AP202" i="27"/>
  <c r="BF309" i="27"/>
  <c r="AI7" i="27"/>
  <c r="AX162" i="27"/>
  <c r="BB38" i="27"/>
  <c r="BB162" i="27"/>
  <c r="BC38" i="27"/>
  <c r="AI71" i="27"/>
  <c r="AH71" i="27"/>
  <c r="AH72" i="27"/>
  <c r="AH74" i="27"/>
  <c r="AJ71" i="27"/>
  <c r="AJ72" i="27"/>
  <c r="AY79" i="27"/>
  <c r="AK184" i="27"/>
  <c r="AM184" i="27"/>
  <c r="AK54" i="27"/>
  <c r="AZ55" i="27"/>
  <c r="AZ79" i="27"/>
  <c r="AK201" i="27"/>
  <c r="AK89" i="27"/>
  <c r="AK88" i="27"/>
  <c r="AE11" i="27"/>
  <c r="AE13" i="27"/>
  <c r="O34" i="15"/>
  <c r="AE304" i="27"/>
  <c r="BA38" i="27"/>
  <c r="AV162" i="27"/>
  <c r="AK13" i="27"/>
  <c r="U34" i="15"/>
  <c r="AG37" i="27"/>
  <c r="BD38" i="27"/>
  <c r="AK71" i="27"/>
  <c r="AJ230" i="27"/>
  <c r="AJ236" i="27"/>
  <c r="AJ315" i="27"/>
  <c r="AF41" i="27"/>
  <c r="AG41" i="27"/>
  <c r="AX202" i="27"/>
  <c r="AI88" i="27"/>
  <c r="AM88" i="27"/>
  <c r="AK172" i="27"/>
  <c r="AM172" i="27"/>
  <c r="AM186" i="27"/>
  <c r="AF46" i="27"/>
  <c r="AJ192" i="27"/>
  <c r="AY167" i="27"/>
  <c r="AJ300" i="27"/>
  <c r="AJ313" i="27"/>
  <c r="AH147" i="27"/>
  <c r="AK171" i="27"/>
  <c r="AJ22" i="27"/>
  <c r="AK9" i="27"/>
  <c r="AJ13" i="27"/>
  <c r="T34" i="15"/>
  <c r="AO140" i="27"/>
  <c r="AM176" i="27"/>
  <c r="AF40" i="27"/>
  <c r="AF303" i="27"/>
  <c r="AF304" i="27"/>
  <c r="AF39" i="27"/>
  <c r="AF300" i="27"/>
  <c r="AK39" i="27"/>
  <c r="AG54" i="27"/>
  <c r="BA173" i="27"/>
  <c r="BB173" i="27"/>
  <c r="AI308" i="27"/>
  <c r="AP167" i="27"/>
  <c r="AX189" i="27"/>
  <c r="AW189" i="27"/>
  <c r="AG267" i="27"/>
  <c r="AG280" i="27"/>
  <c r="AG292" i="27"/>
  <c r="AE69" i="27"/>
  <c r="AN223" i="27"/>
  <c r="AM171" i="27"/>
  <c r="AK176" i="27"/>
  <c r="BF55" i="27"/>
  <c r="AQ223" i="27"/>
  <c r="AK187" i="27"/>
  <c r="AM187" i="27"/>
  <c r="AM197" i="27"/>
  <c r="AS167" i="27"/>
  <c r="AK40" i="27"/>
  <c r="AK323" i="27"/>
  <c r="AK324" i="27"/>
  <c r="AL321" i="27"/>
  <c r="AL313" i="27"/>
  <c r="AL315" i="27"/>
  <c r="AL177" i="27"/>
  <c r="AK53" i="27"/>
  <c r="AK59" i="27"/>
  <c r="AJ59" i="27"/>
  <c r="AT111" i="27"/>
  <c r="AU111" i="27"/>
  <c r="AV111" i="27"/>
  <c r="AW111" i="27"/>
  <c r="AX111" i="27"/>
  <c r="AY111" i="27"/>
  <c r="AZ111" i="27"/>
  <c r="BA111" i="27"/>
  <c r="BB111" i="27"/>
  <c r="BC111" i="27"/>
  <c r="BD111" i="27"/>
  <c r="BD188" i="27"/>
  <c r="BI188" i="27"/>
  <c r="BB188" i="27"/>
  <c r="AJ303" i="27"/>
  <c r="AG17" i="27"/>
  <c r="AG18" i="27"/>
  <c r="AG31" i="27"/>
  <c r="AD280" i="27"/>
  <c r="AD292" i="27"/>
  <c r="AD267" i="27"/>
  <c r="AH301" i="27"/>
  <c r="AH308" i="27"/>
  <c r="AJ237" i="27"/>
  <c r="AJ231" i="27"/>
  <c r="AJ217" i="27"/>
  <c r="AJ222" i="27"/>
  <c r="AK183" i="27"/>
  <c r="AG277" i="27"/>
  <c r="AG284" i="27"/>
  <c r="AH291" i="27"/>
  <c r="AI301" i="27"/>
  <c r="AH282" i="27"/>
  <c r="AH290" i="27"/>
  <c r="AK163" i="27"/>
  <c r="AM163" i="27"/>
  <c r="AL223" i="27"/>
  <c r="AL122" i="27"/>
  <c r="AQ170" i="27"/>
  <c r="AV170" i="27"/>
  <c r="BA170" i="27"/>
  <c r="BF170" i="27"/>
  <c r="BK170" i="27"/>
  <c r="AK178" i="27"/>
  <c r="AD276" i="27"/>
  <c r="AD260" i="27"/>
  <c r="AK277" i="27"/>
  <c r="AL276" i="27"/>
  <c r="AD69" i="27"/>
  <c r="AD71" i="27"/>
  <c r="AM170" i="27"/>
  <c r="AM177" i="27"/>
  <c r="BQ177" i="27"/>
  <c r="AG119" i="27"/>
  <c r="AG150" i="27"/>
  <c r="AK195" i="27"/>
  <c r="AJ204" i="27"/>
  <c r="BD309" i="27"/>
  <c r="AJ164" i="27"/>
  <c r="AM37" i="27"/>
  <c r="AM164" i="27"/>
  <c r="AW172" i="27"/>
  <c r="AY172" i="27"/>
  <c r="AK169" i="27"/>
  <c r="AM169" i="27"/>
  <c r="AF284" i="27"/>
  <c r="AF277" i="27"/>
  <c r="AH323" i="27"/>
  <c r="AI324" i="27"/>
  <c r="AJ328" i="27"/>
  <c r="AJ329" i="27"/>
  <c r="AJ166" i="27"/>
  <c r="AK46" i="27"/>
  <c r="AR88" i="27"/>
  <c r="AO89" i="27"/>
  <c r="AO201" i="27"/>
  <c r="AO204" i="27"/>
  <c r="AD308" i="27"/>
  <c r="AD301" i="27"/>
  <c r="AG147" i="27"/>
  <c r="AM188" i="27"/>
  <c r="AK257" i="27"/>
  <c r="AL322" i="27"/>
  <c r="AH329" i="27"/>
  <c r="AK260" i="27"/>
  <c r="AH304" i="27"/>
  <c r="U10" i="25"/>
  <c r="AA11" i="25"/>
  <c r="T15" i="25"/>
  <c r="T14" i="25"/>
  <c r="U14" i="25"/>
  <c r="AA15" i="25"/>
  <c r="U12" i="25"/>
  <c r="T11" i="25"/>
  <c r="U11" i="25"/>
  <c r="AA9" i="25"/>
  <c r="AA10" i="25"/>
  <c r="T13" i="25"/>
  <c r="U13" i="25"/>
  <c r="T10" i="25"/>
  <c r="BJ76" i="30"/>
  <c r="BJ6" i="28"/>
  <c r="BF76" i="30"/>
  <c r="BF6" i="28"/>
  <c r="AS59" i="33"/>
  <c r="AX125" i="33"/>
  <c r="AW125" i="33"/>
  <c r="AW59" i="33"/>
  <c r="AW105" i="33"/>
  <c r="R143" i="30"/>
  <c r="M17" i="31"/>
  <c r="M9" i="31"/>
  <c r="O14" i="31"/>
  <c r="J9" i="31"/>
  <c r="N13" i="31"/>
  <c r="N73" i="30"/>
  <c r="M18" i="31"/>
  <c r="M19" i="31"/>
  <c r="M114" i="30"/>
  <c r="AS107" i="27"/>
  <c r="AT107" i="27"/>
  <c r="AU107" i="27"/>
  <c r="AV107" i="27"/>
  <c r="AW107" i="27"/>
  <c r="AJ97" i="30"/>
  <c r="AJ73" i="28"/>
  <c r="AJ85" i="28"/>
  <c r="AJ149" i="30"/>
  <c r="AE75" i="28"/>
  <c r="AE88" i="28"/>
  <c r="AJ147" i="30"/>
  <c r="AE146" i="30"/>
  <c r="AF147" i="30"/>
  <c r="AA75" i="28"/>
  <c r="AA88" i="28"/>
  <c r="AA146" i="30"/>
  <c r="AH151" i="30"/>
  <c r="AH152" i="30"/>
  <c r="AH8" i="28"/>
  <c r="AH20" i="28"/>
  <c r="AH29" i="28"/>
  <c r="AM172" i="30"/>
  <c r="AM9" i="28"/>
  <c r="N46" i="15"/>
  <c r="N27" i="15"/>
  <c r="N40" i="15"/>
  <c r="S46" i="15"/>
  <c r="S40" i="15"/>
  <c r="S27" i="15"/>
  <c r="AC8" i="28"/>
  <c r="AC20" i="28"/>
  <c r="AC138" i="30"/>
  <c r="AG75" i="28"/>
  <c r="AG88" i="28"/>
  <c r="AK72" i="27"/>
  <c r="AK74" i="27"/>
  <c r="AF75" i="28"/>
  <c r="AF88" i="28"/>
  <c r="AQ21" i="30"/>
  <c r="Q46" i="15"/>
  <c r="Q27" i="15"/>
  <c r="Q40" i="15"/>
  <c r="AK75" i="28"/>
  <c r="AK88" i="28"/>
  <c r="AI183" i="30"/>
  <c r="AD183" i="30"/>
  <c r="AD182" i="30"/>
  <c r="AJ84" i="28"/>
  <c r="AJ87" i="28"/>
  <c r="AK75" i="27"/>
  <c r="AK76" i="27"/>
  <c r="AC93" i="30"/>
  <c r="AC6" i="28"/>
  <c r="AC17" i="28"/>
  <c r="AA20" i="30"/>
  <c r="AM185" i="30"/>
  <c r="AB17" i="28"/>
  <c r="AB19" i="28"/>
  <c r="AB11" i="28"/>
  <c r="AA16" i="28"/>
  <c r="AA19" i="28"/>
  <c r="AA11" i="28"/>
  <c r="AI98" i="30"/>
  <c r="AI73" i="28"/>
  <c r="AI85" i="28"/>
  <c r="P46" i="15"/>
  <c r="P40" i="15"/>
  <c r="P27" i="15"/>
  <c r="AW28" i="30"/>
  <c r="AW36" i="30"/>
  <c r="AC9" i="30"/>
  <c r="L136" i="30"/>
  <c r="L145" i="30"/>
  <c r="L146" i="30"/>
  <c r="AD21" i="30"/>
  <c r="Z50" i="30"/>
  <c r="Z5" i="28"/>
  <c r="AC17" i="30"/>
  <c r="AA90" i="30"/>
  <c r="AA6" i="28"/>
  <c r="AA17" i="28"/>
  <c r="AD75" i="28"/>
  <c r="AD88" i="28"/>
  <c r="AC10" i="30"/>
  <c r="U40" i="15"/>
  <c r="U46" i="15"/>
  <c r="U27" i="15"/>
  <c r="T46" i="15"/>
  <c r="T27" i="15"/>
  <c r="T40" i="15"/>
  <c r="E9" i="26"/>
  <c r="E12" i="26"/>
  <c r="AA50" i="30"/>
  <c r="AD20" i="30"/>
  <c r="AK97" i="30"/>
  <c r="AK73" i="28"/>
  <c r="AE21" i="30"/>
  <c r="R46" i="15"/>
  <c r="R40" i="15"/>
  <c r="R27" i="15"/>
  <c r="O46" i="15"/>
  <c r="O40" i="15"/>
  <c r="O27" i="15"/>
  <c r="AN21" i="30"/>
  <c r="AA45" i="30"/>
  <c r="S13" i="31"/>
  <c r="R138" i="30"/>
  <c r="AH209" i="30"/>
  <c r="AH212" i="30"/>
  <c r="T85" i="30"/>
  <c r="Q29" i="31"/>
  <c r="AB31" i="30"/>
  <c r="Q28" i="31"/>
  <c r="AY212" i="30"/>
  <c r="AF153" i="30"/>
  <c r="S28" i="30"/>
  <c r="S36" i="30"/>
  <c r="Z32" i="30"/>
  <c r="AK153" i="30"/>
  <c r="AF186" i="30"/>
  <c r="AF201" i="30"/>
  <c r="AF200" i="30"/>
  <c r="AF193" i="30"/>
  <c r="X103" i="30"/>
  <c r="AW212" i="30"/>
  <c r="AH138" i="30"/>
  <c r="AA21" i="30"/>
  <c r="AD91" i="30"/>
  <c r="AK100" i="30"/>
  <c r="AJ21" i="30"/>
  <c r="AH28" i="30"/>
  <c r="AH31" i="30"/>
  <c r="AH40" i="30"/>
  <c r="AF149" i="30"/>
  <c r="P96" i="30"/>
  <c r="BH21" i="30"/>
  <c r="AI97" i="30"/>
  <c r="AG201" i="30"/>
  <c r="AG200" i="30"/>
  <c r="AG193" i="30"/>
  <c r="AL195" i="30"/>
  <c r="AG187" i="30"/>
  <c r="AG186" i="30"/>
  <c r="AH129" i="30"/>
  <c r="W21" i="30"/>
  <c r="V103" i="30"/>
  <c r="V93" i="30"/>
  <c r="Y21" i="30"/>
  <c r="Z47" i="30"/>
  <c r="Z45" i="30"/>
  <c r="N9" i="32"/>
  <c r="K24" i="31"/>
  <c r="K17" i="31"/>
  <c r="K19" i="31"/>
  <c r="P14" i="31"/>
  <c r="N137" i="30"/>
  <c r="AC31" i="30"/>
  <c r="AC40" i="30"/>
  <c r="Z53" i="30"/>
  <c r="U138" i="30"/>
  <c r="U131" i="30"/>
  <c r="M24" i="31"/>
  <c r="R14" i="31"/>
  <c r="P117" i="30"/>
  <c r="U118" i="30"/>
  <c r="AX209" i="30"/>
  <c r="AX212" i="30"/>
  <c r="U120" i="30"/>
  <c r="N113" i="30"/>
  <c r="N114" i="30"/>
  <c r="Z57" i="30"/>
  <c r="Z58" i="30"/>
  <c r="O45" i="32"/>
  <c r="AR28" i="30"/>
  <c r="AR36" i="30"/>
  <c r="V83" i="30"/>
  <c r="AE31" i="30"/>
  <c r="AE40" i="30"/>
  <c r="AE41" i="30"/>
  <c r="AK7" i="34"/>
  <c r="AK11" i="34"/>
  <c r="AQ38" i="34"/>
  <c r="AL15" i="34"/>
  <c r="AI7" i="34"/>
  <c r="AI11" i="34"/>
  <c r="AG48" i="34"/>
  <c r="AC45" i="34"/>
  <c r="AC48" i="34"/>
  <c r="AG19" i="34"/>
  <c r="AL32" i="34"/>
  <c r="AF48" i="34"/>
  <c r="AZ32" i="34"/>
  <c r="AU19" i="34"/>
  <c r="BJ16" i="34"/>
  <c r="AF12" i="34"/>
  <c r="AF22" i="34"/>
  <c r="AX32" i="34"/>
  <c r="AS19" i="34"/>
  <c r="X15" i="34"/>
  <c r="Y17" i="34"/>
  <c r="Q16" i="34"/>
  <c r="R15" i="34"/>
  <c r="W17" i="34"/>
  <c r="AP38" i="34"/>
  <c r="AK45" i="34"/>
  <c r="AK48" i="34"/>
  <c r="BH16" i="34"/>
  <c r="AH17" i="34"/>
  <c r="AH16" i="34"/>
  <c r="BI16" i="34"/>
  <c r="AD12" i="34"/>
  <c r="AO19" i="34"/>
  <c r="AT32" i="34"/>
  <c r="AO38" i="34"/>
  <c r="AI48" i="34"/>
  <c r="AN38" i="34"/>
  <c r="AJ45" i="34"/>
  <c r="AJ48" i="34"/>
  <c r="BK16" i="34"/>
  <c r="AJ6" i="34"/>
  <c r="AH77" i="33"/>
  <c r="AC73" i="33"/>
  <c r="AH53" i="33"/>
  <c r="AH47" i="33"/>
  <c r="AH52" i="33"/>
  <c r="AU15" i="33"/>
  <c r="AD79" i="33"/>
  <c r="AI79" i="33"/>
  <c r="AH110" i="33"/>
  <c r="AK87" i="33"/>
  <c r="AK109" i="33"/>
  <c r="AK90" i="33"/>
  <c r="AK67" i="33"/>
  <c r="AK68" i="33"/>
  <c r="AM84" i="33"/>
  <c r="S31" i="33"/>
  <c r="AC37" i="33"/>
  <c r="AW8" i="33"/>
  <c r="AW15" i="33"/>
  <c r="AS15" i="33"/>
  <c r="AP79" i="33"/>
  <c r="AK79" i="33"/>
  <c r="AH73" i="33"/>
  <c r="AH79" i="33"/>
  <c r="AH60" i="33"/>
  <c r="AH80" i="33"/>
  <c r="X31" i="33"/>
  <c r="BH123" i="33"/>
  <c r="BC131" i="33"/>
  <c r="BF104" i="33"/>
  <c r="BB104" i="33"/>
  <c r="BB105" i="33"/>
  <c r="AR133" i="33"/>
  <c r="AR59" i="33"/>
  <c r="AT127" i="33"/>
  <c r="AT134" i="33"/>
  <c r="AT132" i="33"/>
  <c r="AH132" i="33"/>
  <c r="AH67" i="33"/>
  <c r="AH68" i="33"/>
  <c r="AQ90" i="33"/>
  <c r="AN134" i="33"/>
  <c r="AY124" i="33"/>
  <c r="BD122" i="33"/>
  <c r="AP39" i="33"/>
  <c r="AM16" i="33"/>
  <c r="AQ117" i="33"/>
  <c r="AT117" i="33"/>
  <c r="AI52" i="33"/>
  <c r="AN52" i="33"/>
  <c r="AM47" i="33"/>
  <c r="AJ79" i="33"/>
  <c r="AO79" i="33"/>
  <c r="AM73" i="33"/>
  <c r="AC31" i="33"/>
  <c r="AC36" i="33"/>
  <c r="AP124" i="33"/>
  <c r="AL77" i="33"/>
  <c r="AM69" i="33"/>
  <c r="N9" i="33"/>
  <c r="S16" i="33"/>
  <c r="Z33" i="33"/>
  <c r="U39" i="33"/>
  <c r="U23" i="33"/>
  <c r="Z25" i="33"/>
  <c r="AZ122" i="33"/>
  <c r="AU124" i="33"/>
  <c r="U37" i="33"/>
  <c r="T36" i="33"/>
  <c r="AV15" i="33"/>
  <c r="AT15" i="33"/>
  <c r="AM132" i="33"/>
  <c r="AL52" i="33"/>
  <c r="AG52" i="33"/>
  <c r="AW133" i="33"/>
  <c r="AY109" i="33"/>
  <c r="AT84" i="33"/>
  <c r="BA59" i="33"/>
  <c r="BF125" i="33"/>
  <c r="AM127" i="33"/>
  <c r="AM134" i="33"/>
  <c r="AV84" i="33"/>
  <c r="BA109" i="33"/>
  <c r="AX122" i="33"/>
  <c r="AW122" i="33"/>
  <c r="AW130" i="33"/>
  <c r="AS124" i="33"/>
  <c r="AI118" i="33"/>
  <c r="AN117" i="33"/>
  <c r="AZ59" i="33"/>
  <c r="BE125" i="33"/>
  <c r="AO90" i="33"/>
  <c r="AO67" i="33"/>
  <c r="AO69" i="33"/>
  <c r="BB125" i="33"/>
  <c r="X16" i="33"/>
  <c r="AU123" i="33"/>
  <c r="AP131" i="33"/>
  <c r="AQ123" i="33"/>
  <c r="AS109" i="33"/>
  <c r="Z32" i="33"/>
  <c r="Z37" i="33"/>
  <c r="AD23" i="33"/>
  <c r="AD31" i="33"/>
  <c r="AO52" i="33"/>
  <c r="AJ52" i="33"/>
  <c r="BI125" i="33"/>
  <c r="BI59" i="33"/>
  <c r="BD59" i="33"/>
  <c r="AE22" i="33"/>
  <c r="AF36" i="33"/>
  <c r="AN114" i="33"/>
  <c r="AZ117" i="33"/>
  <c r="AC9" i="32"/>
  <c r="AH32" i="32"/>
  <c r="AH33" i="32"/>
  <c r="AD33" i="32"/>
  <c r="S14" i="32"/>
  <c r="X14" i="32"/>
  <c r="Y39" i="32"/>
  <c r="Y45" i="32"/>
  <c r="AC39" i="32"/>
  <c r="T45" i="32"/>
  <c r="BA37" i="32"/>
  <c r="T15" i="32"/>
  <c r="X7" i="32"/>
  <c r="T9" i="32"/>
  <c r="AV38" i="32"/>
  <c r="AN31" i="32"/>
  <c r="AO24" i="32"/>
  <c r="S39" i="32"/>
  <c r="AT26" i="32"/>
  <c r="N39" i="32"/>
  <c r="S18" i="32"/>
  <c r="AM17" i="32"/>
  <c r="AH8" i="32"/>
  <c r="AD16" i="32"/>
  <c r="BH36" i="32"/>
  <c r="AK17" i="32"/>
  <c r="AP25" i="32"/>
  <c r="AO32" i="32"/>
  <c r="AX26" i="32"/>
  <c r="BE37" i="32"/>
  <c r="AU26" i="32"/>
  <c r="AH27" i="32"/>
  <c r="AI39" i="32"/>
  <c r="AI45" i="32"/>
  <c r="BF17" i="32"/>
  <c r="BK9" i="32"/>
  <c r="BK17" i="32"/>
  <c r="AN16" i="32"/>
  <c r="AH9" i="32"/>
  <c r="AH17" i="32"/>
  <c r="AD17" i="32"/>
  <c r="Y15" i="32"/>
  <c r="AC7" i="32"/>
  <c r="AD15" i="32"/>
  <c r="AV26" i="32"/>
  <c r="AN15" i="32"/>
  <c r="BD37" i="32"/>
  <c r="O15" i="32"/>
  <c r="S7" i="32"/>
  <c r="S15" i="32"/>
  <c r="O9" i="32"/>
  <c r="X16" i="32"/>
  <c r="S16" i="32"/>
  <c r="AN17" i="32"/>
  <c r="AS9" i="32"/>
  <c r="AR9" i="32"/>
  <c r="AR17" i="32"/>
  <c r="AL17" i="32"/>
  <c r="AG17" i="32"/>
  <c r="Y16" i="32"/>
  <c r="AC8" i="32"/>
  <c r="AC16" i="32"/>
  <c r="AL6" i="32"/>
  <c r="AL30" i="32"/>
  <c r="AM23" i="32"/>
  <c r="AI16" i="32"/>
  <c r="AZ36" i="32"/>
  <c r="AN30" i="32"/>
  <c r="AZ9" i="32"/>
  <c r="AU17" i="32"/>
  <c r="BC37" i="32"/>
  <c r="AE17" i="32"/>
  <c r="AA17" i="32"/>
  <c r="AT9" i="32"/>
  <c r="AO17" i="32"/>
  <c r="O63" i="31"/>
  <c r="S58" i="31"/>
  <c r="O47" i="31"/>
  <c r="N37" i="31"/>
  <c r="N40" i="31"/>
  <c r="AF29" i="31"/>
  <c r="AF23" i="31"/>
  <c r="AF28" i="31"/>
  <c r="AT70" i="31"/>
  <c r="S19" i="31"/>
  <c r="S24" i="31"/>
  <c r="AH59" i="31"/>
  <c r="AD64" i="31"/>
  <c r="BG49" i="31"/>
  <c r="AI65" i="31"/>
  <c r="AI58" i="31"/>
  <c r="AY45" i="31"/>
  <c r="AT48" i="31"/>
  <c r="AT51" i="31"/>
  <c r="J58" i="31"/>
  <c r="N58" i="31"/>
  <c r="N60" i="31"/>
  <c r="S65" i="31"/>
  <c r="AI29" i="31"/>
  <c r="AI23" i="31"/>
  <c r="AH42" i="31"/>
  <c r="V28" i="31"/>
  <c r="AF58" i="31"/>
  <c r="AF63" i="31"/>
  <c r="AF65" i="31"/>
  <c r="P23" i="31"/>
  <c r="W63" i="31"/>
  <c r="X19" i="31"/>
  <c r="AB27" i="31"/>
  <c r="W27" i="31"/>
  <c r="AA28" i="31"/>
  <c r="AG29" i="31"/>
  <c r="AG23" i="31"/>
  <c r="W23" i="31"/>
  <c r="W29" i="31"/>
  <c r="N42" i="31"/>
  <c r="U63" i="31"/>
  <c r="AS70" i="31"/>
  <c r="T23" i="31"/>
  <c r="T29" i="31"/>
  <c r="AG58" i="31"/>
  <c r="AG63" i="31"/>
  <c r="AG65" i="31"/>
  <c r="AW46" i="31"/>
  <c r="AX46" i="31"/>
  <c r="Q63" i="31"/>
  <c r="J24" i="31"/>
  <c r="J17" i="31"/>
  <c r="N8" i="31"/>
  <c r="N9" i="31"/>
  <c r="AK63" i="31"/>
  <c r="AC22" i="31"/>
  <c r="AC27" i="31"/>
  <c r="Y27" i="31"/>
  <c r="AM48" i="31"/>
  <c r="AM51" i="31"/>
  <c r="Y23" i="31"/>
  <c r="AD28" i="31"/>
  <c r="Y29" i="31"/>
  <c r="O27" i="31"/>
  <c r="S22" i="31"/>
  <c r="S27" i="31"/>
  <c r="AD60" i="31"/>
  <c r="AD48" i="31"/>
  <c r="AD51" i="31"/>
  <c r="AH45" i="31"/>
  <c r="AH48" i="31"/>
  <c r="AH51" i="31"/>
  <c r="X59" i="31"/>
  <c r="T64" i="31"/>
  <c r="AX17" i="31"/>
  <c r="Y60" i="31"/>
  <c r="AC45" i="31"/>
  <c r="AC48" i="31"/>
  <c r="AC51" i="31"/>
  <c r="Y48" i="31"/>
  <c r="Y51" i="31"/>
  <c r="AI64" i="31"/>
  <c r="Y64" i="31"/>
  <c r="AC59" i="31"/>
  <c r="AC64" i="31"/>
  <c r="AP17" i="31"/>
  <c r="AL17" i="31"/>
  <c r="AK19" i="31"/>
  <c r="AI48" i="31"/>
  <c r="AI51" i="31"/>
  <c r="AV70" i="31"/>
  <c r="AN48" i="31"/>
  <c r="AN51" i="31"/>
  <c r="AS45" i="31"/>
  <c r="S42" i="31"/>
  <c r="R23" i="31"/>
  <c r="R27" i="31"/>
  <c r="AL34" i="31"/>
  <c r="AQ45" i="31"/>
  <c r="AR45" i="31"/>
  <c r="AR48" i="31"/>
  <c r="AR51" i="31"/>
  <c r="AL48" i="31"/>
  <c r="AL51" i="31"/>
  <c r="Q65" i="31"/>
  <c r="AB29" i="31"/>
  <c r="AI27" i="31"/>
  <c r="X24" i="31"/>
  <c r="X29" i="31"/>
  <c r="X14" i="31"/>
  <c r="O23" i="31"/>
  <c r="AO35" i="31"/>
  <c r="AP35" i="31"/>
  <c r="AQ35" i="31"/>
  <c r="AR35" i="31"/>
  <c r="AS35" i="31"/>
  <c r="AT35" i="31"/>
  <c r="AU35" i="31"/>
  <c r="AV35" i="31"/>
  <c r="AW35" i="31"/>
  <c r="AX35" i="31"/>
  <c r="AY35" i="31"/>
  <c r="AZ35" i="31"/>
  <c r="BA35" i="31"/>
  <c r="BB35" i="31"/>
  <c r="AY17" i="31"/>
  <c r="AC47" i="31"/>
  <c r="AJ29" i="31"/>
  <c r="AJ23" i="31"/>
  <c r="J18" i="31"/>
  <c r="AH14" i="31"/>
  <c r="AH24" i="31"/>
  <c r="AH17" i="31"/>
  <c r="AH19" i="31"/>
  <c r="T27" i="31"/>
  <c r="X22" i="31"/>
  <c r="X27" i="31"/>
  <c r="AZ45" i="31"/>
  <c r="AU48" i="31"/>
  <c r="AU51" i="31"/>
  <c r="AD29" i="31"/>
  <c r="X45" i="31"/>
  <c r="X48" i="31"/>
  <c r="X51" i="31"/>
  <c r="T60" i="31"/>
  <c r="T48" i="31"/>
  <c r="T51" i="31"/>
  <c r="U23" i="31"/>
  <c r="Z29" i="31"/>
  <c r="U29" i="31"/>
  <c r="T47" i="31"/>
  <c r="X47" i="31"/>
  <c r="BB49" i="31"/>
  <c r="W19" i="31"/>
  <c r="AU70" i="31"/>
  <c r="S59" i="31"/>
  <c r="S64" i="31"/>
  <c r="O64" i="31"/>
  <c r="L19" i="31"/>
  <c r="AC17" i="31"/>
  <c r="AC19" i="31"/>
  <c r="AC24" i="31"/>
  <c r="AC29" i="31"/>
  <c r="AC14" i="31"/>
  <c r="AA63" i="31"/>
  <c r="AK29" i="31"/>
  <c r="AK23" i="31"/>
  <c r="AE48" i="31"/>
  <c r="AE51" i="31"/>
  <c r="Y19" i="31"/>
  <c r="Z27" i="31"/>
  <c r="U27" i="31"/>
  <c r="Q19" i="31"/>
  <c r="O65" i="31"/>
  <c r="AE58" i="31"/>
  <c r="AE65" i="31"/>
  <c r="BL209" i="30"/>
  <c r="BL212" i="30"/>
  <c r="AH120" i="30"/>
  <c r="AH118" i="30"/>
  <c r="AH117" i="30"/>
  <c r="AT114" i="30"/>
  <c r="AT122" i="30"/>
  <c r="AC117" i="30"/>
  <c r="AC120" i="30"/>
  <c r="AC118" i="30"/>
  <c r="AM217" i="30"/>
  <c r="AM226" i="30"/>
  <c r="AI13" i="30"/>
  <c r="AI5" i="28"/>
  <c r="AI20" i="30"/>
  <c r="AV12" i="30"/>
  <c r="AQ30" i="30"/>
  <c r="AY90" i="30"/>
  <c r="AT85" i="30"/>
  <c r="AT87" i="30"/>
  <c r="AT88" i="30"/>
  <c r="BF209" i="30"/>
  <c r="BF212" i="30"/>
  <c r="W118" i="30"/>
  <c r="W120" i="30"/>
  <c r="W117" i="30"/>
  <c r="W138" i="30"/>
  <c r="AB143" i="30"/>
  <c r="W131" i="30"/>
  <c r="W143" i="30"/>
  <c r="AH83" i="30"/>
  <c r="AH96" i="30"/>
  <c r="AH73" i="28"/>
  <c r="AH85" i="28"/>
  <c r="AH93" i="30"/>
  <c r="AH102" i="30"/>
  <c r="AH88" i="30"/>
  <c r="N42" i="30"/>
  <c r="AF219" i="30"/>
  <c r="AH219" i="30"/>
  <c r="AF232" i="30"/>
  <c r="AF227" i="30"/>
  <c r="AO114" i="30"/>
  <c r="AO122" i="30"/>
  <c r="AF104" i="30"/>
  <c r="AF103" i="30"/>
  <c r="AO83" i="30"/>
  <c r="AO93" i="30"/>
  <c r="V85" i="30"/>
  <c r="V88" i="30"/>
  <c r="Q117" i="30"/>
  <c r="AU197" i="30"/>
  <c r="AZ198" i="30"/>
  <c r="AZ132" i="30"/>
  <c r="X129" i="30"/>
  <c r="X137" i="30"/>
  <c r="AP20" i="30"/>
  <c r="AP13" i="30"/>
  <c r="AP5" i="28"/>
  <c r="AN20" i="30"/>
  <c r="AN13" i="30"/>
  <c r="AN5" i="28"/>
  <c r="BA93" i="30"/>
  <c r="AR81" i="30"/>
  <c r="AR76" i="30"/>
  <c r="AR6" i="28"/>
  <c r="AL118" i="30"/>
  <c r="AQ116" i="30"/>
  <c r="AL117" i="30"/>
  <c r="AF32" i="30"/>
  <c r="AF40" i="30"/>
  <c r="AF41" i="30"/>
  <c r="AF47" i="30"/>
  <c r="AF48" i="30"/>
  <c r="AO234" i="30"/>
  <c r="AO221" i="30"/>
  <c r="AO230" i="30"/>
  <c r="J138" i="30"/>
  <c r="J131" i="30"/>
  <c r="N133" i="30"/>
  <c r="N138" i="30"/>
  <c r="BJ173" i="30"/>
  <c r="BD209" i="30"/>
  <c r="BD212" i="30"/>
  <c r="AJ54" i="30"/>
  <c r="AH123" i="30"/>
  <c r="AH124" i="30"/>
  <c r="AK37" i="30"/>
  <c r="AJ29" i="30"/>
  <c r="AX74" i="30"/>
  <c r="AW74" i="30"/>
  <c r="AS76" i="30"/>
  <c r="AS6" i="28"/>
  <c r="AP85" i="30"/>
  <c r="AU90" i="30"/>
  <c r="BI172" i="30"/>
  <c r="AF83" i="30"/>
  <c r="AK54" i="30"/>
  <c r="AZ12" i="30"/>
  <c r="AU30" i="30"/>
  <c r="X152" i="30"/>
  <c r="AH242" i="30"/>
  <c r="AH241" i="30"/>
  <c r="Z227" i="30"/>
  <c r="AE232" i="30"/>
  <c r="Z219" i="30"/>
  <c r="AL21" i="30"/>
  <c r="Y197" i="30"/>
  <c r="Y186" i="30"/>
  <c r="Y198" i="30"/>
  <c r="Y193" i="30"/>
  <c r="BA209" i="30"/>
  <c r="BA212" i="30"/>
  <c r="AU209" i="30"/>
  <c r="AU212" i="30"/>
  <c r="BF83" i="30"/>
  <c r="AT102" i="30"/>
  <c r="AT96" i="30"/>
  <c r="AT73" i="28"/>
  <c r="AT83" i="30"/>
  <c r="AT93" i="30"/>
  <c r="AR142" i="30"/>
  <c r="AJ58" i="30"/>
  <c r="AW18" i="30"/>
  <c r="AD53" i="30"/>
  <c r="AD72" i="28"/>
  <c r="AD45" i="30"/>
  <c r="AD50" i="30"/>
  <c r="AD32" i="30"/>
  <c r="AD57" i="30"/>
  <c r="M88" i="30"/>
  <c r="M85" i="30"/>
  <c r="AD120" i="30"/>
  <c r="AD117" i="30"/>
  <c r="AD118" i="30"/>
  <c r="AY12" i="30"/>
  <c r="AT30" i="30"/>
  <c r="AO50" i="30"/>
  <c r="AO51" i="30"/>
  <c r="AO24" i="30"/>
  <c r="BI74" i="30"/>
  <c r="AK58" i="30"/>
  <c r="AM28" i="30"/>
  <c r="AU230" i="30"/>
  <c r="AU221" i="30"/>
  <c r="AY216" i="30"/>
  <c r="AT219" i="30"/>
  <c r="AT234" i="30"/>
  <c r="S129" i="30"/>
  <c r="S137" i="30"/>
  <c r="AI91" i="30"/>
  <c r="AN90" i="30"/>
  <c r="AN83" i="30"/>
  <c r="AN93" i="30"/>
  <c r="AL93" i="30"/>
  <c r="AL83" i="30"/>
  <c r="BC209" i="30"/>
  <c r="BC212" i="30"/>
  <c r="AY132" i="30"/>
  <c r="BI21" i="30"/>
  <c r="AV21" i="30"/>
  <c r="X18" i="30"/>
  <c r="AC18" i="30"/>
  <c r="X36" i="30"/>
  <c r="AZ76" i="30"/>
  <c r="AZ6" i="28"/>
  <c r="AB93" i="30"/>
  <c r="AB102" i="30"/>
  <c r="AG104" i="30"/>
  <c r="AB83" i="30"/>
  <c r="AB96" i="30"/>
  <c r="AB73" i="28"/>
  <c r="AB85" i="28"/>
  <c r="AB87" i="28"/>
  <c r="AG83" i="30"/>
  <c r="AB88" i="30"/>
  <c r="AH18" i="30"/>
  <c r="AH177" i="30"/>
  <c r="AH172" i="30"/>
  <c r="O138" i="30"/>
  <c r="O143" i="30"/>
  <c r="S133" i="30"/>
  <c r="O131" i="30"/>
  <c r="AG194" i="30"/>
  <c r="AT220" i="30"/>
  <c r="AT231" i="30"/>
  <c r="AW216" i="30"/>
  <c r="AX216" i="30"/>
  <c r="AS234" i="30"/>
  <c r="AC37" i="30"/>
  <c r="AB194" i="30"/>
  <c r="AB189" i="30"/>
  <c r="Z146" i="30"/>
  <c r="Z103" i="30"/>
  <c r="Z104" i="30"/>
  <c r="Y143" i="30"/>
  <c r="T138" i="30"/>
  <c r="T143" i="30"/>
  <c r="X133" i="30"/>
  <c r="T131" i="30"/>
  <c r="N35" i="30"/>
  <c r="N10" i="30"/>
  <c r="N9" i="30"/>
  <c r="AJ183" i="30"/>
  <c r="AJ182" i="30"/>
  <c r="BE21" i="30"/>
  <c r="AS220" i="30"/>
  <c r="AT29" i="30"/>
  <c r="AY8" i="30"/>
  <c r="AR30" i="30"/>
  <c r="V143" i="30"/>
  <c r="V138" i="30"/>
  <c r="V131" i="30"/>
  <c r="AA143" i="30"/>
  <c r="AH141" i="30"/>
  <c r="AH136" i="30"/>
  <c r="AH145" i="30"/>
  <c r="K87" i="30"/>
  <c r="K103" i="30"/>
  <c r="P21" i="30"/>
  <c r="AF20" i="30"/>
  <c r="AK20" i="30"/>
  <c r="AF13" i="30"/>
  <c r="AF5" i="28"/>
  <c r="BD226" i="30"/>
  <c r="AY220" i="30"/>
  <c r="AN241" i="30"/>
  <c r="AN245" i="30"/>
  <c r="AN242" i="30"/>
  <c r="AC67" i="30"/>
  <c r="AC181" i="30"/>
  <c r="AC182" i="30"/>
  <c r="AC174" i="30"/>
  <c r="AC185" i="30"/>
  <c r="Z152" i="30"/>
  <c r="Z153" i="30"/>
  <c r="AE153" i="30"/>
  <c r="R96" i="30"/>
  <c r="BK172" i="30"/>
  <c r="Y20" i="30"/>
  <c r="Y13" i="30"/>
  <c r="Y5" i="28"/>
  <c r="AV108" i="30"/>
  <c r="AW108" i="30"/>
  <c r="AQ111" i="30"/>
  <c r="AQ113" i="30"/>
  <c r="AQ114" i="30"/>
  <c r="AM181" i="30"/>
  <c r="AM160" i="30"/>
  <c r="AM165" i="30"/>
  <c r="P138" i="30"/>
  <c r="P131" i="30"/>
  <c r="P143" i="30"/>
  <c r="M138" i="30"/>
  <c r="M131" i="30"/>
  <c r="BL28" i="30"/>
  <c r="BL36" i="30"/>
  <c r="L87" i="30"/>
  <c r="Q83" i="30"/>
  <c r="L103" i="30"/>
  <c r="L93" i="30"/>
  <c r="AC221" i="30"/>
  <c r="AC227" i="30"/>
  <c r="Y227" i="30"/>
  <c r="Y219" i="30"/>
  <c r="BF93" i="30"/>
  <c r="AR12" i="30"/>
  <c r="AR23" i="30"/>
  <c r="V20" i="30"/>
  <c r="V13" i="30"/>
  <c r="V32" i="30"/>
  <c r="AO209" i="30"/>
  <c r="AO212" i="30"/>
  <c r="BL86" i="30"/>
  <c r="BG10" i="30"/>
  <c r="BG17" i="30"/>
  <c r="BA132" i="30"/>
  <c r="Q90" i="30"/>
  <c r="Q96" i="30"/>
  <c r="R118" i="30"/>
  <c r="R117" i="30"/>
  <c r="R120" i="30"/>
  <c r="AY116" i="30"/>
  <c r="AT117" i="30"/>
  <c r="AT118" i="30"/>
  <c r="P23" i="30"/>
  <c r="K30" i="30"/>
  <c r="AX219" i="30"/>
  <c r="BC225" i="30"/>
  <c r="AK149" i="30"/>
  <c r="AK147" i="30"/>
  <c r="AK146" i="30"/>
  <c r="AQ13" i="30"/>
  <c r="AQ5" i="28"/>
  <c r="AQ20" i="30"/>
  <c r="AR231" i="30"/>
  <c r="AR226" i="30"/>
  <c r="AB21" i="30"/>
  <c r="Q23" i="30"/>
  <c r="L30" i="30"/>
  <c r="AA227" i="30"/>
  <c r="AA219" i="30"/>
  <c r="AM18" i="30"/>
  <c r="AM36" i="30"/>
  <c r="AQ209" i="30"/>
  <c r="AQ212" i="30"/>
  <c r="BB28" i="30"/>
  <c r="BB36" i="30"/>
  <c r="AM186" i="30"/>
  <c r="AN35" i="30"/>
  <c r="BD75" i="30"/>
  <c r="BD76" i="30"/>
  <c r="BD6" i="28"/>
  <c r="AP235" i="30"/>
  <c r="BB18" i="30"/>
  <c r="AL183" i="30"/>
  <c r="AL182" i="30"/>
  <c r="AL111" i="30"/>
  <c r="AJ186" i="30"/>
  <c r="AJ187" i="30"/>
  <c r="O88" i="30"/>
  <c r="O85" i="30"/>
  <c r="AX8" i="30"/>
  <c r="AS29" i="30"/>
  <c r="AL187" i="30"/>
  <c r="AL186" i="30"/>
  <c r="AH160" i="30"/>
  <c r="AH181" i="30"/>
  <c r="AH185" i="30"/>
  <c r="AM187" i="30"/>
  <c r="AH174" i="30"/>
  <c r="AE20" i="30"/>
  <c r="AE13" i="30"/>
  <c r="AE5" i="28"/>
  <c r="AJ20" i="30"/>
  <c r="AT13" i="30"/>
  <c r="AT5" i="28"/>
  <c r="AT20" i="30"/>
  <c r="AK104" i="30"/>
  <c r="AL20" i="30"/>
  <c r="AL13" i="30"/>
  <c r="AL5" i="28"/>
  <c r="AL90" i="30"/>
  <c r="BJ93" i="30"/>
  <c r="BF21" i="30"/>
  <c r="BC226" i="30"/>
  <c r="AX220" i="30"/>
  <c r="AL230" i="30"/>
  <c r="AL221" i="30"/>
  <c r="AL234" i="30"/>
  <c r="AD187" i="30"/>
  <c r="AD193" i="30"/>
  <c r="AD186" i="30"/>
  <c r="AD198" i="30"/>
  <c r="AI198" i="30"/>
  <c r="AD197" i="30"/>
  <c r="AV209" i="30"/>
  <c r="AV212" i="30"/>
  <c r="AE182" i="30"/>
  <c r="AE183" i="30"/>
  <c r="T31" i="30"/>
  <c r="T35" i="30"/>
  <c r="AE149" i="30"/>
  <c r="AB59" i="30"/>
  <c r="AB58" i="30"/>
  <c r="AZ219" i="30"/>
  <c r="BE225" i="30"/>
  <c r="BJ21" i="30"/>
  <c r="AR17" i="30"/>
  <c r="AR9" i="30"/>
  <c r="AR10" i="30"/>
  <c r="AR35" i="30"/>
  <c r="AT209" i="30"/>
  <c r="AT212" i="30"/>
  <c r="X83" i="30"/>
  <c r="X87" i="30"/>
  <c r="O13" i="30"/>
  <c r="O20" i="30"/>
  <c r="AH221" i="30"/>
  <c r="L114" i="30"/>
  <c r="L111" i="30"/>
  <c r="L116" i="30"/>
  <c r="L117" i="30"/>
  <c r="S124" i="30"/>
  <c r="S123" i="30"/>
  <c r="X124" i="30"/>
  <c r="AR18" i="30"/>
  <c r="V40" i="30"/>
  <c r="AL179" i="30"/>
  <c r="AL174" i="30"/>
  <c r="AM169" i="30"/>
  <c r="AE147" i="30"/>
  <c r="AC90" i="30"/>
  <c r="AS21" i="30"/>
  <c r="AA54" i="30"/>
  <c r="BK76" i="30"/>
  <c r="AG13" i="30"/>
  <c r="AG20" i="30"/>
  <c r="AP111" i="30"/>
  <c r="AP113" i="30"/>
  <c r="AU116" i="30"/>
  <c r="AP118" i="30"/>
  <c r="AP117" i="30"/>
  <c r="M30" i="30"/>
  <c r="R23" i="30"/>
  <c r="AZ209" i="30"/>
  <c r="AZ212" i="30"/>
  <c r="AD152" i="30"/>
  <c r="AD153" i="30"/>
  <c r="AB146" i="30"/>
  <c r="AR109" i="30"/>
  <c r="AN209" i="30"/>
  <c r="AN212" i="30"/>
  <c r="R13" i="30"/>
  <c r="R20" i="30"/>
  <c r="AW219" i="30"/>
  <c r="AS230" i="30"/>
  <c r="BG209" i="30"/>
  <c r="BG212" i="30"/>
  <c r="N12" i="30"/>
  <c r="S23" i="30"/>
  <c r="O23" i="30"/>
  <c r="J30" i="30"/>
  <c r="AY83" i="30"/>
  <c r="AY93" i="30"/>
  <c r="Y118" i="30"/>
  <c r="Y120" i="30"/>
  <c r="Y117" i="30"/>
  <c r="AF21" i="30"/>
  <c r="AK21" i="30"/>
  <c r="X111" i="30"/>
  <c r="X116" i="30"/>
  <c r="T116" i="30"/>
  <c r="AI67" i="30"/>
  <c r="M53" i="30"/>
  <c r="M54" i="30"/>
  <c r="AC102" i="30"/>
  <c r="AC83" i="30"/>
  <c r="AC96" i="30"/>
  <c r="AC73" i="28"/>
  <c r="AC85" i="28"/>
  <c r="U13" i="30"/>
  <c r="U20" i="30"/>
  <c r="AM109" i="30"/>
  <c r="AS201" i="30"/>
  <c r="T58" i="30"/>
  <c r="T44" i="30"/>
  <c r="T50" i="30"/>
  <c r="AS30" i="30"/>
  <c r="AX12" i="30"/>
  <c r="AW12" i="30"/>
  <c r="AW23" i="30"/>
  <c r="AF91" i="30"/>
  <c r="BJ209" i="30"/>
  <c r="BJ212" i="30"/>
  <c r="AI120" i="30"/>
  <c r="AI118" i="30"/>
  <c r="AN116" i="30"/>
  <c r="AI117" i="30"/>
  <c r="V118" i="30"/>
  <c r="BB43" i="30"/>
  <c r="BC43" i="30"/>
  <c r="AP221" i="30"/>
  <c r="BH172" i="30"/>
  <c r="V120" i="30"/>
  <c r="AE197" i="30"/>
  <c r="AE193" i="30"/>
  <c r="AE186" i="30"/>
  <c r="AE198" i="30"/>
  <c r="AJ198" i="30"/>
  <c r="AJ201" i="30"/>
  <c r="AJ200" i="30"/>
  <c r="AE187" i="30"/>
  <c r="AL210" i="30"/>
  <c r="AU13" i="30"/>
  <c r="AU5" i="28"/>
  <c r="AU20" i="30"/>
  <c r="BA220" i="30"/>
  <c r="BA231" i="30"/>
  <c r="BF226" i="30"/>
  <c r="S17" i="30"/>
  <c r="S35" i="30"/>
  <c r="S10" i="30"/>
  <c r="S9" i="30"/>
  <c r="AL190" i="30"/>
  <c r="AQ221" i="30"/>
  <c r="AQ230" i="30"/>
  <c r="BG36" i="30"/>
  <c r="BG18" i="30"/>
  <c r="AW132" i="30"/>
  <c r="AX132" i="30"/>
  <c r="AH90" i="30"/>
  <c r="AH91" i="30"/>
  <c r="O21" i="30"/>
  <c r="BG28" i="30"/>
  <c r="AG97" i="30"/>
  <c r="AD100" i="30"/>
  <c r="AI100" i="30"/>
  <c r="AD98" i="30"/>
  <c r="AD97" i="30"/>
  <c r="T21" i="30"/>
  <c r="AA152" i="30"/>
  <c r="AA153" i="30"/>
  <c r="AB90" i="30"/>
  <c r="BE209" i="30"/>
  <c r="BE212" i="30"/>
  <c r="Q13" i="30"/>
  <c r="Q20" i="30"/>
  <c r="W88" i="30"/>
  <c r="W85" i="30"/>
  <c r="AD232" i="30"/>
  <c r="AM17" i="30"/>
  <c r="AM35" i="30"/>
  <c r="AM9" i="30"/>
  <c r="AM10" i="30"/>
  <c r="BE226" i="30"/>
  <c r="AA59" i="30"/>
  <c r="AA58" i="30"/>
  <c r="AN232" i="30"/>
  <c r="AN227" i="30"/>
  <c r="AF97" i="30"/>
  <c r="AK98" i="30"/>
  <c r="AH67" i="30"/>
  <c r="J87" i="30"/>
  <c r="J103" i="30"/>
  <c r="J93" i="30"/>
  <c r="AD104" i="30"/>
  <c r="AD103" i="30"/>
  <c r="AX108" i="30"/>
  <c r="BB10" i="30"/>
  <c r="BB17" i="30"/>
  <c r="AV197" i="30"/>
  <c r="BA198" i="30"/>
  <c r="AU93" i="30"/>
  <c r="AU83" i="30"/>
  <c r="R146" i="30"/>
  <c r="AV8" i="30"/>
  <c r="AW8" i="30"/>
  <c r="AY111" i="30"/>
  <c r="AY113" i="30"/>
  <c r="AY114" i="30"/>
  <c r="AY122" i="30"/>
  <c r="BD108" i="30"/>
  <c r="BC173" i="30"/>
  <c r="AM209" i="30"/>
  <c r="AM212" i="30"/>
  <c r="AA88" i="30"/>
  <c r="AA93" i="30"/>
  <c r="AA102" i="30"/>
  <c r="AA83" i="30"/>
  <c r="AA96" i="30"/>
  <c r="AA73" i="28"/>
  <c r="AA85" i="28"/>
  <c r="AA87" i="28"/>
  <c r="S103" i="30"/>
  <c r="S93" i="30"/>
  <c r="S87" i="30"/>
  <c r="AG183" i="30"/>
  <c r="AG182" i="30"/>
  <c r="AH35" i="30"/>
  <c r="AH10" i="30"/>
  <c r="AH21" i="30"/>
  <c r="AH9" i="30"/>
  <c r="AH17" i="30"/>
  <c r="AJ230" i="30"/>
  <c r="AJ234" i="30"/>
  <c r="AJ225" i="30"/>
  <c r="AM219" i="30"/>
  <c r="P13" i="30"/>
  <c r="P20" i="30"/>
  <c r="S153" i="30"/>
  <c r="X153" i="30"/>
  <c r="S152" i="30"/>
  <c r="AG147" i="30"/>
  <c r="AG146" i="30"/>
  <c r="AG149" i="30"/>
  <c r="AO35" i="30"/>
  <c r="AV27" i="30"/>
  <c r="AT27" i="30"/>
  <c r="BB27" i="30"/>
  <c r="AU27" i="30"/>
  <c r="AS27" i="30"/>
  <c r="AQ235" i="30"/>
  <c r="AG103" i="30"/>
  <c r="AK91" i="30"/>
  <c r="BB209" i="30"/>
  <c r="BB212" i="30"/>
  <c r="AA193" i="30"/>
  <c r="AA197" i="30"/>
  <c r="AA186" i="30"/>
  <c r="AA198" i="30"/>
  <c r="AF187" i="30"/>
  <c r="AV234" i="30"/>
  <c r="BA216" i="30"/>
  <c r="AV219" i="30"/>
  <c r="AX75" i="30"/>
  <c r="AW75" i="30"/>
  <c r="AW82" i="30"/>
  <c r="AR8" i="30"/>
  <c r="O114" i="30"/>
  <c r="O111" i="30"/>
  <c r="O27" i="30"/>
  <c r="N27" i="30"/>
  <c r="S31" i="30"/>
  <c r="R27" i="30"/>
  <c r="Q27" i="30"/>
  <c r="P27" i="30"/>
  <c r="AU240" i="30"/>
  <c r="AU234" i="30"/>
  <c r="AZ216" i="30"/>
  <c r="AD146" i="30"/>
  <c r="AD149" i="30"/>
  <c r="AI149" i="30"/>
  <c r="AI147" i="30"/>
  <c r="AD147" i="30"/>
  <c r="AF182" i="30"/>
  <c r="AF183" i="30"/>
  <c r="Z21" i="30"/>
  <c r="R21" i="30"/>
  <c r="AK219" i="30"/>
  <c r="AK232" i="30"/>
  <c r="AK227" i="30"/>
  <c r="AQ83" i="30"/>
  <c r="AQ93" i="30"/>
  <c r="Q131" i="30"/>
  <c r="Q143" i="30"/>
  <c r="Q138" i="30"/>
  <c r="AK186" i="30"/>
  <c r="AK201" i="30"/>
  <c r="AK200" i="30"/>
  <c r="AK193" i="30"/>
  <c r="AK187" i="30"/>
  <c r="Z193" i="30"/>
  <c r="Z197" i="30"/>
  <c r="Z186" i="30"/>
  <c r="Z198" i="30"/>
  <c r="X17" i="30"/>
  <c r="X9" i="30"/>
  <c r="X10" i="30"/>
  <c r="X35" i="30"/>
  <c r="BD173" i="30"/>
  <c r="U103" i="30"/>
  <c r="U83" i="30"/>
  <c r="U87" i="30"/>
  <c r="U93" i="30"/>
  <c r="Z83" i="30"/>
  <c r="AK209" i="30"/>
  <c r="AK212" i="30"/>
  <c r="AI31" i="30"/>
  <c r="BI209" i="30"/>
  <c r="BI212" i="30"/>
  <c r="AO21" i="30"/>
  <c r="AG230" i="30"/>
  <c r="AG234" i="30"/>
  <c r="AG225" i="30"/>
  <c r="AD225" i="30"/>
  <c r="AI230" i="30"/>
  <c r="AD234" i="30"/>
  <c r="AI21" i="30"/>
  <c r="BE8" i="30"/>
  <c r="AZ29" i="30"/>
  <c r="AZ9" i="30"/>
  <c r="AM178" i="30"/>
  <c r="AM173" i="30"/>
  <c r="AV76" i="30"/>
  <c r="AV6" i="28"/>
  <c r="AW35" i="30"/>
  <c r="AW10" i="30"/>
  <c r="AW17" i="30"/>
  <c r="AR219" i="30"/>
  <c r="BE108" i="30"/>
  <c r="BL17" i="30"/>
  <c r="BL10" i="30"/>
  <c r="BL21" i="30"/>
  <c r="K136" i="30"/>
  <c r="K145" i="30"/>
  <c r="K146" i="30"/>
  <c r="AE83" i="30"/>
  <c r="AE93" i="30"/>
  <c r="AE88" i="30"/>
  <c r="AE102" i="30"/>
  <c r="AE96" i="30"/>
  <c r="AE73" i="28"/>
  <c r="AE85" i="28"/>
  <c r="AJ83" i="30"/>
  <c r="P97" i="30"/>
  <c r="AE90" i="30"/>
  <c r="AM81" i="30"/>
  <c r="AM76" i="30"/>
  <c r="AM6" i="28"/>
  <c r="BE76" i="30"/>
  <c r="BE6" i="28"/>
  <c r="AG153" i="30"/>
  <c r="AG152" i="30"/>
  <c r="AC129" i="30"/>
  <c r="AC151" i="30"/>
  <c r="AC145" i="30"/>
  <c r="AC75" i="28"/>
  <c r="AC88" i="28"/>
  <c r="AC137" i="30"/>
  <c r="AB152" i="30"/>
  <c r="AB153" i="30"/>
  <c r="Y146" i="30"/>
  <c r="AG40" i="30"/>
  <c r="AG41" i="30"/>
  <c r="AE235" i="30"/>
  <c r="K117" i="30"/>
  <c r="P118" i="30"/>
  <c r="P120" i="30"/>
  <c r="BH209" i="30"/>
  <c r="BH212" i="30"/>
  <c r="BL18" i="30"/>
  <c r="AR217" i="30"/>
  <c r="AS9" i="30"/>
  <c r="AB118" i="30"/>
  <c r="AO85" i="30"/>
  <c r="AO87" i="30"/>
  <c r="AO88" i="30"/>
  <c r="W13" i="30"/>
  <c r="W20" i="30"/>
  <c r="AB54" i="30"/>
  <c r="AF191" i="28"/>
  <c r="AF196" i="28"/>
  <c r="AG94" i="28"/>
  <c r="AF99" i="28"/>
  <c r="AF121" i="28"/>
  <c r="AF112" i="28"/>
  <c r="AS181" i="28"/>
  <c r="AG201" i="28"/>
  <c r="AG200" i="28"/>
  <c r="AK195" i="28"/>
  <c r="AK196" i="28"/>
  <c r="AT181" i="28"/>
  <c r="AE200" i="28"/>
  <c r="AE201" i="28"/>
  <c r="AM156" i="28"/>
  <c r="AM154" i="28"/>
  <c r="AM64" i="27"/>
  <c r="AC66" i="28"/>
  <c r="AC68" i="28"/>
  <c r="AH176" i="28"/>
  <c r="AJ131" i="28"/>
  <c r="AJ126" i="28"/>
  <c r="AG182" i="28"/>
  <c r="AE111" i="28"/>
  <c r="AE113" i="28"/>
  <c r="AE190" i="28"/>
  <c r="AE195" i="28"/>
  <c r="AE120" i="28"/>
  <c r="AJ130" i="28"/>
  <c r="AE98" i="28"/>
  <c r="AC162" i="28"/>
  <c r="AC167" i="28"/>
  <c r="AH187" i="28"/>
  <c r="AH186" i="28"/>
  <c r="BD150" i="28"/>
  <c r="AH155" i="28"/>
  <c r="AV150" i="28"/>
  <c r="AD125" i="28"/>
  <c r="AD122" i="28"/>
  <c r="AC199" i="28"/>
  <c r="AC200" i="28"/>
  <c r="AC116" i="28"/>
  <c r="AK126" i="28"/>
  <c r="AK131" i="28"/>
  <c r="BP115" i="28"/>
  <c r="AH116" i="28"/>
  <c r="AH117" i="28"/>
  <c r="AH199" i="28"/>
  <c r="AH167" i="28"/>
  <c r="AK107" i="28"/>
  <c r="AF39" i="28"/>
  <c r="AF25" i="28"/>
  <c r="AF38" i="28"/>
  <c r="AF40" i="28"/>
  <c r="AG26" i="28"/>
  <c r="AI33" i="28"/>
  <c r="AI38" i="28"/>
  <c r="AI40" i="28"/>
  <c r="AK122" i="28"/>
  <c r="AF93" i="28"/>
  <c r="AI201" i="28"/>
  <c r="AI200" i="28"/>
  <c r="AJ106" i="28"/>
  <c r="AV173" i="28"/>
  <c r="AI98" i="28"/>
  <c r="AI106" i="28"/>
  <c r="AI190" i="28"/>
  <c r="AI195" i="28"/>
  <c r="AI111" i="28"/>
  <c r="AI113" i="28"/>
  <c r="AI120" i="28"/>
  <c r="AK25" i="28"/>
  <c r="AK30" i="28"/>
  <c r="AK34" i="28"/>
  <c r="AK99" i="28"/>
  <c r="AK39" i="28"/>
  <c r="AK182" i="28"/>
  <c r="AF200" i="28"/>
  <c r="AF201" i="28"/>
  <c r="AX173" i="28"/>
  <c r="AE40" i="28"/>
  <c r="AJ122" i="28"/>
  <c r="AJ125" i="28"/>
  <c r="AG176" i="28"/>
  <c r="AH192" i="28"/>
  <c r="AH197" i="28"/>
  <c r="AH100" i="28"/>
  <c r="AK116" i="28"/>
  <c r="AK117" i="28"/>
  <c r="AK199" i="28"/>
  <c r="AJ33" i="28"/>
  <c r="AJ38" i="28"/>
  <c r="AJ40" i="28"/>
  <c r="AG154" i="28"/>
  <c r="AU150" i="28"/>
  <c r="AJ201" i="28"/>
  <c r="AS150" i="28"/>
  <c r="AR150" i="28"/>
  <c r="AD72" i="27"/>
  <c r="AD74" i="27"/>
  <c r="AM223" i="27"/>
  <c r="AM122" i="27"/>
  <c r="AL129" i="27"/>
  <c r="AL138" i="27"/>
  <c r="AI267" i="27"/>
  <c r="AI280" i="27"/>
  <c r="AI292" i="27"/>
  <c r="AI277" i="27"/>
  <c r="AI284" i="27"/>
  <c r="BP13" i="27"/>
  <c r="AH27" i="27"/>
  <c r="AH14" i="27"/>
  <c r="AI263" i="27"/>
  <c r="AI264" i="27"/>
  <c r="AK27" i="27"/>
  <c r="AK14" i="27"/>
  <c r="BC113" i="27"/>
  <c r="BD113" i="27"/>
  <c r="BE113" i="27"/>
  <c r="BF113" i="27"/>
  <c r="BG113" i="27"/>
  <c r="BQ87" i="27"/>
  <c r="AM89" i="27"/>
  <c r="BD172" i="27"/>
  <c r="BB172" i="27"/>
  <c r="AJ308" i="27"/>
  <c r="AJ301" i="27"/>
  <c r="AM300" i="27"/>
  <c r="AH267" i="27"/>
  <c r="AH280" i="27"/>
  <c r="BB170" i="27"/>
  <c r="AK223" i="27"/>
  <c r="AR202" i="27"/>
  <c r="AU202" i="27"/>
  <c r="AM276" i="27"/>
  <c r="AL257" i="27"/>
  <c r="AI309" i="27"/>
  <c r="AI307" i="27"/>
  <c r="AJ314" i="27"/>
  <c r="AJ75" i="27"/>
  <c r="AJ76" i="27"/>
  <c r="AI27" i="27"/>
  <c r="AI14" i="27"/>
  <c r="AJ27" i="27"/>
  <c r="AJ14" i="27"/>
  <c r="AJ264" i="27"/>
  <c r="AJ263" i="27"/>
  <c r="AD277" i="27"/>
  <c r="AD284" i="27"/>
  <c r="AD309" i="27"/>
  <c r="BA114" i="27"/>
  <c r="BB114" i="27"/>
  <c r="BC114" i="27"/>
  <c r="BD114" i="27"/>
  <c r="BE114" i="27"/>
  <c r="BF114" i="27"/>
  <c r="BG114" i="27"/>
  <c r="BH114" i="27"/>
  <c r="BI114" i="27"/>
  <c r="BJ114" i="27"/>
  <c r="BK114" i="27"/>
  <c r="BL114" i="27"/>
  <c r="BI309" i="27"/>
  <c r="BG188" i="27"/>
  <c r="AK328" i="27"/>
  <c r="AK166" i="27"/>
  <c r="AK230" i="27"/>
  <c r="AK236" i="27"/>
  <c r="AK315" i="27"/>
  <c r="AK314" i="27"/>
  <c r="AK280" i="27"/>
  <c r="AK267" i="27"/>
  <c r="AH309" i="27"/>
  <c r="AK303" i="27"/>
  <c r="AK304" i="27"/>
  <c r="AK161" i="27"/>
  <c r="AI72" i="27"/>
  <c r="AI75" i="27"/>
  <c r="AI76" i="27"/>
  <c r="AK204" i="27"/>
  <c r="AD304" i="27"/>
  <c r="AI74" i="27"/>
  <c r="AM195" i="27"/>
  <c r="AS223" i="27"/>
  <c r="AX167" i="27"/>
  <c r="AK22" i="27"/>
  <c r="AK11" i="27"/>
  <c r="BI38" i="27"/>
  <c r="BI162" i="27"/>
  <c r="BD162" i="27"/>
  <c r="AZ162" i="27"/>
  <c r="BE38" i="27"/>
  <c r="AO58" i="27"/>
  <c r="AD14" i="27"/>
  <c r="AD27" i="27"/>
  <c r="AN252" i="27"/>
  <c r="AM256" i="27"/>
  <c r="BD79" i="27"/>
  <c r="BA162" i="27"/>
  <c r="BF38" i="27"/>
  <c r="AM230" i="27"/>
  <c r="BQ176" i="27"/>
  <c r="AM236" i="27"/>
  <c r="AP223" i="27"/>
  <c r="AU167" i="27"/>
  <c r="AW167" i="27"/>
  <c r="AW223" i="27"/>
  <c r="BC202" i="27"/>
  <c r="AJ74" i="27"/>
  <c r="AM254" i="27"/>
  <c r="AM257" i="27"/>
  <c r="AN248" i="27"/>
  <c r="AH277" i="27"/>
  <c r="BP276" i="27"/>
  <c r="AH284" i="27"/>
  <c r="AI304" i="27"/>
  <c r="BJ309" i="27"/>
  <c r="BH170" i="27"/>
  <c r="BL170" i="27"/>
  <c r="BG170" i="27"/>
  <c r="AK217" i="27"/>
  <c r="AK222" i="27"/>
  <c r="AK192" i="27"/>
  <c r="AH263" i="27"/>
  <c r="AH264" i="27"/>
  <c r="AK264" i="27"/>
  <c r="AK263" i="27"/>
  <c r="AL115" i="27"/>
  <c r="AM321" i="27"/>
  <c r="AL323" i="27"/>
  <c r="AY223" i="27"/>
  <c r="BD167" i="27"/>
  <c r="BE79" i="27"/>
  <c r="BA223" i="27"/>
  <c r="BF167" i="27"/>
  <c r="AF308" i="27"/>
  <c r="AF301" i="27"/>
  <c r="AE74" i="27"/>
  <c r="AR167" i="27"/>
  <c r="AR223" i="27"/>
  <c r="AK231" i="27"/>
  <c r="AK237" i="27"/>
  <c r="AK330" i="27"/>
  <c r="AK329" i="27"/>
  <c r="AM329" i="27"/>
  <c r="AH75" i="27"/>
  <c r="AH76" i="27"/>
  <c r="AE75" i="27"/>
  <c r="AE76" i="27"/>
  <c r="AW170" i="27"/>
  <c r="AH149" i="27"/>
  <c r="AH150" i="27"/>
  <c r="BF79" i="27"/>
  <c r="AJ304" i="27"/>
  <c r="AQ121" i="27"/>
  <c r="AD307" i="27"/>
  <c r="AD75" i="27"/>
  <c r="AD76" i="27"/>
  <c r="BB189" i="27"/>
  <c r="BC189" i="27"/>
  <c r="AP140" i="27"/>
  <c r="BK309" i="27"/>
  <c r="AJ85" i="27"/>
  <c r="AF72" i="27"/>
  <c r="AF74" i="27"/>
  <c r="AF75" i="27"/>
  <c r="AF76" i="27"/>
  <c r="AE14" i="27"/>
  <c r="AE27" i="27"/>
  <c r="AM202" i="27"/>
  <c r="AJ277" i="27"/>
  <c r="AJ284" i="27"/>
  <c r="BK55" i="27"/>
  <c r="AJ267" i="27"/>
  <c r="AJ280" i="27"/>
  <c r="AJ292" i="27"/>
  <c r="AH85" i="27"/>
  <c r="BP59" i="27"/>
  <c r="AL236" i="27"/>
  <c r="AL230" i="27"/>
  <c r="AT223" i="27"/>
  <c r="AG72" i="27"/>
  <c r="AG75" i="27"/>
  <c r="AG76" i="27"/>
  <c r="AM322" i="27"/>
  <c r="AL134" i="27"/>
  <c r="AL136" i="27"/>
  <c r="AK300" i="27"/>
  <c r="AK313" i="27"/>
  <c r="AK160" i="27"/>
  <c r="AM39" i="27"/>
  <c r="BL188" i="27"/>
  <c r="AN131" i="27"/>
  <c r="AM40" i="27"/>
  <c r="AM161" i="27"/>
  <c r="BE55" i="27"/>
  <c r="AG40" i="27"/>
  <c r="AG303" i="27"/>
  <c r="AG304" i="27"/>
  <c r="AG39" i="27"/>
  <c r="AG300" i="27"/>
  <c r="BH38" i="27"/>
  <c r="BC162" i="27"/>
  <c r="AG27" i="27"/>
  <c r="AG14" i="27"/>
  <c r="AL14" i="27"/>
  <c r="AG11" i="27"/>
  <c r="AE307" i="27"/>
  <c r="AE306" i="27"/>
  <c r="AE309" i="27"/>
  <c r="AF27" i="27"/>
  <c r="AF14" i="27"/>
  <c r="AM38" i="27"/>
  <c r="AM162" i="27"/>
  <c r="AY124" i="27"/>
  <c r="AZ124" i="27"/>
  <c r="BA124" i="27"/>
  <c r="BB124" i="27"/>
  <c r="BC124" i="27"/>
  <c r="U9" i="25"/>
  <c r="T9" i="25"/>
  <c r="BC125" i="33"/>
  <c r="AX59" i="33"/>
  <c r="S80" i="30"/>
  <c r="N76" i="30"/>
  <c r="AI11" i="28"/>
  <c r="AM11" i="28"/>
  <c r="AI16" i="28"/>
  <c r="AI19" i="28"/>
  <c r="AB32" i="30"/>
  <c r="AB40" i="30"/>
  <c r="AB41" i="30"/>
  <c r="AB47" i="30"/>
  <c r="AE16" i="28"/>
  <c r="AE19" i="28"/>
  <c r="AE11" i="28"/>
  <c r="AH75" i="28"/>
  <c r="AH88" i="28"/>
  <c r="Z54" i="30"/>
  <c r="Z72" i="28"/>
  <c r="AC13" i="30"/>
  <c r="AC38" i="30"/>
  <c r="AC20" i="30"/>
  <c r="AH153" i="30"/>
  <c r="AK85" i="28"/>
  <c r="AK87" i="28"/>
  <c r="BB107" i="27"/>
  <c r="AX107" i="27"/>
  <c r="AY107" i="27"/>
  <c r="AZ107" i="27"/>
  <c r="BA107" i="27"/>
  <c r="BG21" i="30"/>
  <c r="E23" i="26"/>
  <c r="E13" i="26"/>
  <c r="AB190" i="30"/>
  <c r="AB76" i="28"/>
  <c r="AB89" i="28"/>
  <c r="E31" i="26"/>
  <c r="E21" i="26"/>
  <c r="E16" i="26"/>
  <c r="AG32" i="30"/>
  <c r="AG5" i="28"/>
  <c r="BK93" i="30"/>
  <c r="BK6" i="28"/>
  <c r="AD84" i="28"/>
  <c r="AD87" i="28"/>
  <c r="X21" i="30"/>
  <c r="Y11" i="28"/>
  <c r="Y16" i="28"/>
  <c r="Y19" i="28"/>
  <c r="AF11" i="28"/>
  <c r="AF16" i="28"/>
  <c r="AF19" i="28"/>
  <c r="Z11" i="28"/>
  <c r="Z16" i="28"/>
  <c r="Z19" i="28"/>
  <c r="AC21" i="30"/>
  <c r="AW21" i="30"/>
  <c r="AG195" i="30"/>
  <c r="AG189" i="30"/>
  <c r="AG191" i="30"/>
  <c r="M23" i="31"/>
  <c r="R29" i="31"/>
  <c r="Z141" i="30"/>
  <c r="U145" i="30"/>
  <c r="U136" i="30"/>
  <c r="AG47" i="30"/>
  <c r="AH36" i="30"/>
  <c r="Q120" i="30"/>
  <c r="T90" i="30"/>
  <c r="Y91" i="30"/>
  <c r="T96" i="30"/>
  <c r="P29" i="31"/>
  <c r="K23" i="31"/>
  <c r="P28" i="31"/>
  <c r="AR21" i="30"/>
  <c r="AH197" i="30"/>
  <c r="AF194" i="30"/>
  <c r="AF189" i="30"/>
  <c r="N111" i="30"/>
  <c r="N116" i="30"/>
  <c r="N117" i="30"/>
  <c r="J19" i="31"/>
  <c r="R28" i="31"/>
  <c r="Z59" i="30"/>
  <c r="AO96" i="30"/>
  <c r="AO100" i="30"/>
  <c r="AO102" i="30"/>
  <c r="AT104" i="30"/>
  <c r="AQ32" i="34"/>
  <c r="AL19" i="34"/>
  <c r="AM19" i="34"/>
  <c r="AM32" i="34"/>
  <c r="AH19" i="34"/>
  <c r="AG6" i="34"/>
  <c r="AU38" i="34"/>
  <c r="AP15" i="34"/>
  <c r="AJ7" i="34"/>
  <c r="AJ11" i="34"/>
  <c r="AN15" i="34"/>
  <c r="AS38" i="34"/>
  <c r="AR38" i="34"/>
  <c r="AR39" i="34"/>
  <c r="AT39" i="34"/>
  <c r="AV39" i="34"/>
  <c r="AV38" i="34"/>
  <c r="P16" i="34"/>
  <c r="Q15" i="34"/>
  <c r="V17" i="34"/>
  <c r="BE32" i="34"/>
  <c r="AZ19" i="34"/>
  <c r="AO15" i="34"/>
  <c r="AI12" i="34"/>
  <c r="AI22" i="34"/>
  <c r="X16" i="34"/>
  <c r="AC17" i="34"/>
  <c r="AH48" i="34"/>
  <c r="AL17" i="34"/>
  <c r="AM15" i="34"/>
  <c r="AY32" i="34"/>
  <c r="AT19" i="34"/>
  <c r="AQ15" i="34"/>
  <c r="BC32" i="34"/>
  <c r="AX19" i="34"/>
  <c r="AK12" i="34"/>
  <c r="AK22" i="34"/>
  <c r="AD37" i="33"/>
  <c r="AD32" i="33"/>
  <c r="BF109" i="33"/>
  <c r="BA84" i="33"/>
  <c r="AM52" i="33"/>
  <c r="AR52" i="33"/>
  <c r="R36" i="33"/>
  <c r="T37" i="33"/>
  <c r="T24" i="33"/>
  <c r="AU127" i="33"/>
  <c r="AU134" i="33"/>
  <c r="AU132" i="33"/>
  <c r="BE117" i="33"/>
  <c r="AN90" i="33"/>
  <c r="AN69" i="33"/>
  <c r="AK93" i="33"/>
  <c r="BH131" i="33"/>
  <c r="AT67" i="33"/>
  <c r="AT69" i="33"/>
  <c r="AT90" i="33"/>
  <c r="BI122" i="33"/>
  <c r="BI124" i="33"/>
  <c r="BD124" i="33"/>
  <c r="AY84" i="33"/>
  <c r="BD109" i="33"/>
  <c r="AM77" i="33"/>
  <c r="AY127" i="33"/>
  <c r="AY134" i="33"/>
  <c r="AY132" i="33"/>
  <c r="AZ15" i="33"/>
  <c r="BA15" i="33"/>
  <c r="AN85" i="33"/>
  <c r="AN87" i="33"/>
  <c r="AS117" i="33"/>
  <c r="AS127" i="33"/>
  <c r="AS132" i="33"/>
  <c r="AY117" i="33"/>
  <c r="AL91" i="33"/>
  <c r="AM85" i="33"/>
  <c r="AL72" i="33"/>
  <c r="AL87" i="33"/>
  <c r="AL93" i="33"/>
  <c r="BK125" i="33"/>
  <c r="BK59" i="33"/>
  <c r="BF59" i="33"/>
  <c r="AM90" i="33"/>
  <c r="AM67" i="33"/>
  <c r="AM68" i="33"/>
  <c r="AM109" i="33"/>
  <c r="AM110" i="33"/>
  <c r="BK104" i="33"/>
  <c r="BL104" i="33"/>
  <c r="BG104" i="33"/>
  <c r="BG105" i="33"/>
  <c r="AP109" i="33"/>
  <c r="AK110" i="33"/>
  <c r="AO114" i="33"/>
  <c r="AS84" i="33"/>
  <c r="AX109" i="33"/>
  <c r="AX84" i="33"/>
  <c r="AV123" i="33"/>
  <c r="AQ131" i="33"/>
  <c r="AQ124" i="33"/>
  <c r="AR124" i="33"/>
  <c r="AR132" i="33"/>
  <c r="AG36" i="33"/>
  <c r="AF22" i="33"/>
  <c r="AQ39" i="33"/>
  <c r="AE23" i="33"/>
  <c r="AE31" i="33"/>
  <c r="AU131" i="33"/>
  <c r="AZ123" i="33"/>
  <c r="AW123" i="33"/>
  <c r="AW131" i="33"/>
  <c r="BB59" i="33"/>
  <c r="BB133" i="33"/>
  <c r="AP127" i="33"/>
  <c r="AP132" i="33"/>
  <c r="AO77" i="33"/>
  <c r="AR123" i="33"/>
  <c r="AR131" i="33"/>
  <c r="BJ125" i="33"/>
  <c r="BJ59" i="33"/>
  <c r="BE59" i="33"/>
  <c r="BE122" i="33"/>
  <c r="AV117" i="33"/>
  <c r="BB122" i="33"/>
  <c r="BB130" i="33"/>
  <c r="AX124" i="33"/>
  <c r="BC122" i="33"/>
  <c r="AV90" i="33"/>
  <c r="AY15" i="33"/>
  <c r="AR79" i="33"/>
  <c r="AM79" i="33"/>
  <c r="BB8" i="33"/>
  <c r="BB15" i="33"/>
  <c r="AX15" i="33"/>
  <c r="T17" i="32"/>
  <c r="X9" i="32"/>
  <c r="X15" i="32"/>
  <c r="AM26" i="32"/>
  <c r="AN6" i="32"/>
  <c r="BC26" i="32"/>
  <c r="AL33" i="32"/>
  <c r="AM30" i="32"/>
  <c r="AM33" i="32"/>
  <c r="BA26" i="32"/>
  <c r="AL10" i="32"/>
  <c r="AL14" i="32"/>
  <c r="AM6" i="32"/>
  <c r="AM14" i="32"/>
  <c r="AP32" i="32"/>
  <c r="AQ25" i="32"/>
  <c r="AP8" i="32"/>
  <c r="BF37" i="32"/>
  <c r="AO31" i="32"/>
  <c r="AP24" i="32"/>
  <c r="AP7" i="32"/>
  <c r="AP15" i="32"/>
  <c r="AO7" i="32"/>
  <c r="S45" i="32"/>
  <c r="X45" i="32"/>
  <c r="O17" i="32"/>
  <c r="S9" i="32"/>
  <c r="S17" i="32"/>
  <c r="AN33" i="32"/>
  <c r="AH16" i="32"/>
  <c r="AM16" i="32"/>
  <c r="AZ26" i="32"/>
  <c r="BJ37" i="32"/>
  <c r="AC15" i="32"/>
  <c r="AH15" i="32"/>
  <c r="AY9" i="32"/>
  <c r="AT17" i="32"/>
  <c r="AX9" i="32"/>
  <c r="AW9" i="32"/>
  <c r="AW17" i="32"/>
  <c r="AS17" i="32"/>
  <c r="AD45" i="32"/>
  <c r="AZ17" i="32"/>
  <c r="BE9" i="32"/>
  <c r="BI37" i="32"/>
  <c r="BE36" i="32"/>
  <c r="AC45" i="32"/>
  <c r="AH45" i="32"/>
  <c r="AO23" i="32"/>
  <c r="Y17" i="32"/>
  <c r="BH37" i="32"/>
  <c r="AY26" i="32"/>
  <c r="AC17" i="32"/>
  <c r="T65" i="31"/>
  <c r="X60" i="31"/>
  <c r="X65" i="31"/>
  <c r="T58" i="31"/>
  <c r="AU17" i="31"/>
  <c r="BD45" i="31"/>
  <c r="AY48" i="31"/>
  <c r="AY51" i="31"/>
  <c r="AZ48" i="31"/>
  <c r="AZ51" i="31"/>
  <c r="BE45" i="31"/>
  <c r="AC60" i="31"/>
  <c r="AC65" i="31"/>
  <c r="Y58" i="31"/>
  <c r="Y65" i="31"/>
  <c r="AL37" i="31"/>
  <c r="AL40" i="31"/>
  <c r="AM34" i="31"/>
  <c r="AL42" i="31"/>
  <c r="AL22" i="31"/>
  <c r="AE63" i="31"/>
  <c r="AJ63" i="31"/>
  <c r="BC17" i="31"/>
  <c r="AY70" i="31"/>
  <c r="AX45" i="31"/>
  <c r="AS48" i="31"/>
  <c r="AS51" i="31"/>
  <c r="X23" i="31"/>
  <c r="T28" i="31"/>
  <c r="AN23" i="31"/>
  <c r="AI28" i="31"/>
  <c r="Y28" i="31"/>
  <c r="AC23" i="31"/>
  <c r="AC28" i="31"/>
  <c r="AI63" i="31"/>
  <c r="AL23" i="31"/>
  <c r="AQ23" i="31"/>
  <c r="AV23" i="31"/>
  <c r="BA23" i="31"/>
  <c r="BF23" i="31"/>
  <c r="BK23" i="31"/>
  <c r="AG28" i="31"/>
  <c r="N14" i="31"/>
  <c r="N17" i="31"/>
  <c r="N24" i="31"/>
  <c r="S29" i="31"/>
  <c r="N18" i="31"/>
  <c r="AQ48" i="31"/>
  <c r="AQ51" i="31"/>
  <c r="AV45" i="31"/>
  <c r="AZ70" i="31"/>
  <c r="AO23" i="31"/>
  <c r="AT23" i="31"/>
  <c r="AY23" i="31"/>
  <c r="BD23" i="31"/>
  <c r="BI23" i="31"/>
  <c r="AJ28" i="31"/>
  <c r="X64" i="31"/>
  <c r="AH23" i="31"/>
  <c r="AH60" i="31"/>
  <c r="AH65" i="31"/>
  <c r="AD58" i="31"/>
  <c r="AD65" i="31"/>
  <c r="S23" i="31"/>
  <c r="AQ17" i="31"/>
  <c r="W28" i="31"/>
  <c r="AB28" i="31"/>
  <c r="J23" i="31"/>
  <c r="O29" i="31"/>
  <c r="AH29" i="31"/>
  <c r="S14" i="31"/>
  <c r="BC46" i="31"/>
  <c r="BB46" i="31"/>
  <c r="AX70" i="31"/>
  <c r="S47" i="31"/>
  <c r="S48" i="31"/>
  <c r="S51" i="31"/>
  <c r="O48" i="31"/>
  <c r="O51" i="31"/>
  <c r="BD17" i="31"/>
  <c r="BA70" i="31"/>
  <c r="S63" i="31"/>
  <c r="AH64" i="31"/>
  <c r="AP23" i="31"/>
  <c r="AU23" i="31"/>
  <c r="AZ23" i="31"/>
  <c r="BE23" i="31"/>
  <c r="BJ23" i="31"/>
  <c r="AK28" i="31"/>
  <c r="U28" i="31"/>
  <c r="Z28" i="31"/>
  <c r="AH27" i="31"/>
  <c r="AW109" i="30"/>
  <c r="AW19" i="30"/>
  <c r="AW9" i="30"/>
  <c r="AH230" i="30"/>
  <c r="AH225" i="30"/>
  <c r="AH234" i="30"/>
  <c r="AE98" i="30"/>
  <c r="AE100" i="30"/>
  <c r="AE97" i="30"/>
  <c r="AJ100" i="30"/>
  <c r="AJ98" i="30"/>
  <c r="AP227" i="30"/>
  <c r="AP232" i="30"/>
  <c r="AP240" i="30"/>
  <c r="O90" i="30"/>
  <c r="O96" i="30"/>
  <c r="AS83" i="30"/>
  <c r="AS93" i="30"/>
  <c r="AE104" i="30"/>
  <c r="AE103" i="30"/>
  <c r="AJ104" i="30"/>
  <c r="BG43" i="30"/>
  <c r="BH43" i="30"/>
  <c r="Y225" i="30"/>
  <c r="Y234" i="30"/>
  <c r="Y235" i="30"/>
  <c r="AC219" i="30"/>
  <c r="AD189" i="30"/>
  <c r="AH193" i="30"/>
  <c r="AD194" i="30"/>
  <c r="AD195" i="30"/>
  <c r="AV93" i="30"/>
  <c r="AV83" i="30"/>
  <c r="BC108" i="30"/>
  <c r="BB108" i="30"/>
  <c r="AW142" i="30"/>
  <c r="AT24" i="30"/>
  <c r="AT50" i="30"/>
  <c r="AT51" i="30"/>
  <c r="AK29" i="30"/>
  <c r="AK31" i="30"/>
  <c r="AL37" i="30"/>
  <c r="AR19" i="30"/>
  <c r="P50" i="30"/>
  <c r="P51" i="30"/>
  <c r="P58" i="30"/>
  <c r="P44" i="30"/>
  <c r="P24" i="30"/>
  <c r="AA104" i="30"/>
  <c r="AA103" i="30"/>
  <c r="BJ225" i="30"/>
  <c r="AL238" i="30"/>
  <c r="AL235" i="30"/>
  <c r="AL236" i="30"/>
  <c r="AL113" i="30"/>
  <c r="AM111" i="30"/>
  <c r="AM116" i="30"/>
  <c r="AY231" i="30"/>
  <c r="AS231" i="30"/>
  <c r="AW220" i="30"/>
  <c r="AB100" i="30"/>
  <c r="AB97" i="30"/>
  <c r="Z225" i="30"/>
  <c r="Z234" i="30"/>
  <c r="AE230" i="30"/>
  <c r="AC57" i="30"/>
  <c r="AC50" i="30"/>
  <c r="AC53" i="30"/>
  <c r="AC72" i="28"/>
  <c r="AC45" i="30"/>
  <c r="Q141" i="30"/>
  <c r="Q136" i="30"/>
  <c r="Q145" i="30"/>
  <c r="AQ236" i="30"/>
  <c r="AM230" i="30"/>
  <c r="AM225" i="30"/>
  <c r="AM221" i="30"/>
  <c r="AN118" i="30"/>
  <c r="AS116" i="30"/>
  <c r="AN117" i="30"/>
  <c r="AN111" i="30"/>
  <c r="U24" i="30"/>
  <c r="U44" i="30"/>
  <c r="U50" i="30"/>
  <c r="U58" i="30"/>
  <c r="Z24" i="30"/>
  <c r="U32" i="30"/>
  <c r="AZ230" i="30"/>
  <c r="AL232" i="30"/>
  <c r="AL227" i="30"/>
  <c r="AL240" i="30"/>
  <c r="AE53" i="30"/>
  <c r="AE72" i="28"/>
  <c r="AE45" i="30"/>
  <c r="AE50" i="30"/>
  <c r="AJ24" i="30"/>
  <c r="AE24" i="30"/>
  <c r="AE57" i="30"/>
  <c r="BI226" i="30"/>
  <c r="AQ117" i="30"/>
  <c r="AQ118" i="30"/>
  <c r="AV116" i="30"/>
  <c r="AJ31" i="30"/>
  <c r="AZ13" i="30"/>
  <c r="AZ5" i="28"/>
  <c r="AZ20" i="30"/>
  <c r="U88" i="30"/>
  <c r="U85" i="30"/>
  <c r="BE216" i="30"/>
  <c r="BE219" i="30"/>
  <c r="AZ234" i="30"/>
  <c r="BC75" i="30"/>
  <c r="BB75" i="30"/>
  <c r="BB82" i="30"/>
  <c r="AQ238" i="30"/>
  <c r="AZ220" i="30"/>
  <c r="AZ231" i="30"/>
  <c r="AF50" i="30"/>
  <c r="AF24" i="30"/>
  <c r="AF45" i="30"/>
  <c r="AF57" i="30"/>
  <c r="AF53" i="30"/>
  <c r="AF72" i="28"/>
  <c r="AK24" i="30"/>
  <c r="AB104" i="30"/>
  <c r="AB103" i="30"/>
  <c r="AO124" i="30"/>
  <c r="AO123" i="30"/>
  <c r="BE83" i="30"/>
  <c r="BE93" i="30"/>
  <c r="AU238" i="30"/>
  <c r="AU236" i="30"/>
  <c r="AU235" i="30"/>
  <c r="AS31" i="30"/>
  <c r="AS35" i="30"/>
  <c r="AJ235" i="30"/>
  <c r="AJ238" i="30"/>
  <c r="AJ236" i="30"/>
  <c r="BA197" i="30"/>
  <c r="BF198" i="30"/>
  <c r="BJ226" i="30"/>
  <c r="BE220" i="30"/>
  <c r="BE231" i="30"/>
  <c r="BH225" i="30"/>
  <c r="AW234" i="30"/>
  <c r="AS236" i="30"/>
  <c r="AS238" i="30"/>
  <c r="AS235" i="30"/>
  <c r="AS90" i="30"/>
  <c r="AN85" i="30"/>
  <c r="AR83" i="30"/>
  <c r="AR93" i="30"/>
  <c r="Q118" i="30"/>
  <c r="AT124" i="30"/>
  <c r="AT123" i="30"/>
  <c r="AM83" i="30"/>
  <c r="AM93" i="30"/>
  <c r="BJ8" i="30"/>
  <c r="BE29" i="30"/>
  <c r="BE9" i="30"/>
  <c r="AU245" i="30"/>
  <c r="AU241" i="30"/>
  <c r="AV230" i="30"/>
  <c r="AV221" i="30"/>
  <c r="AU31" i="30"/>
  <c r="AU35" i="30"/>
  <c r="AM21" i="30"/>
  <c r="AC97" i="30"/>
  <c r="N30" i="30"/>
  <c r="N31" i="30"/>
  <c r="N40" i="30"/>
  <c r="AH227" i="30"/>
  <c r="AH232" i="30"/>
  <c r="AX230" i="30"/>
  <c r="AX221" i="30"/>
  <c r="L88" i="30"/>
  <c r="L85" i="30"/>
  <c r="AX240" i="30"/>
  <c r="AX234" i="30"/>
  <c r="BC216" i="30"/>
  <c r="BC219" i="30"/>
  <c r="BB216" i="30"/>
  <c r="AZ83" i="30"/>
  <c r="AZ93" i="30"/>
  <c r="W44" i="30"/>
  <c r="W58" i="30"/>
  <c r="W50" i="30"/>
  <c r="W24" i="30"/>
  <c r="AB24" i="30"/>
  <c r="W32" i="30"/>
  <c r="P31" i="30"/>
  <c r="P35" i="30"/>
  <c r="BF216" i="30"/>
  <c r="BA219" i="30"/>
  <c r="BA234" i="30"/>
  <c r="AX27" i="30"/>
  <c r="BG27" i="30"/>
  <c r="AY27" i="30"/>
  <c r="BA27" i="30"/>
  <c r="AZ27" i="30"/>
  <c r="AM38" i="30"/>
  <c r="AM20" i="30"/>
  <c r="AM13" i="30"/>
  <c r="AM5" i="28"/>
  <c r="AJ197" i="30"/>
  <c r="AJ193" i="30"/>
  <c r="AO198" i="30"/>
  <c r="AG50" i="30"/>
  <c r="AG51" i="30"/>
  <c r="AG24" i="30"/>
  <c r="AG45" i="30"/>
  <c r="AG57" i="30"/>
  <c r="AG53" i="30"/>
  <c r="AG72" i="28"/>
  <c r="R97" i="30"/>
  <c r="AW217" i="30"/>
  <c r="V90" i="30"/>
  <c r="V96" i="30"/>
  <c r="AA98" i="30"/>
  <c r="AV201" i="30"/>
  <c r="AI50" i="30"/>
  <c r="AI51" i="30"/>
  <c r="AI24" i="30"/>
  <c r="AI57" i="30"/>
  <c r="AI45" i="30"/>
  <c r="AI53" i="30"/>
  <c r="AI72" i="28"/>
  <c r="Y194" i="30"/>
  <c r="Y189" i="30"/>
  <c r="AI32" i="30"/>
  <c r="AI40" i="30"/>
  <c r="AI41" i="30"/>
  <c r="Y57" i="30"/>
  <c r="AD59" i="30"/>
  <c r="Y53" i="30"/>
  <c r="Y72" i="28"/>
  <c r="Y45" i="30"/>
  <c r="Y24" i="30"/>
  <c r="Y50" i="30"/>
  <c r="Y51" i="30"/>
  <c r="Y32" i="30"/>
  <c r="AD55" i="30"/>
  <c r="AD54" i="30"/>
  <c r="BC74" i="30"/>
  <c r="BB74" i="30"/>
  <c r="AX76" i="30"/>
  <c r="AX6" i="28"/>
  <c r="AC153" i="30"/>
  <c r="AC152" i="30"/>
  <c r="AN246" i="30"/>
  <c r="AN247" i="30"/>
  <c r="AE91" i="30"/>
  <c r="AJ91" i="30"/>
  <c r="AV235" i="30"/>
  <c r="AV238" i="30"/>
  <c r="AV236" i="30"/>
  <c r="BH173" i="30"/>
  <c r="M136" i="30"/>
  <c r="R141" i="30"/>
  <c r="M145" i="30"/>
  <c r="AY30" i="30"/>
  <c r="BD12" i="30"/>
  <c r="R35" i="30"/>
  <c r="R31" i="30"/>
  <c r="BH226" i="30"/>
  <c r="AZ30" i="30"/>
  <c r="BE12" i="30"/>
  <c r="AC41" i="30"/>
  <c r="AC47" i="30"/>
  <c r="AG98" i="30"/>
  <c r="BB12" i="30"/>
  <c r="BB23" i="30"/>
  <c r="AX30" i="30"/>
  <c r="BC12" i="30"/>
  <c r="K85" i="30"/>
  <c r="K88" i="30"/>
  <c r="AT103" i="30"/>
  <c r="BA83" i="30"/>
  <c r="AG100" i="30"/>
  <c r="V44" i="30"/>
  <c r="V50" i="30"/>
  <c r="V58" i="30"/>
  <c r="V24" i="30"/>
  <c r="AA24" i="30"/>
  <c r="AH147" i="30"/>
  <c r="AH149" i="30"/>
  <c r="AH146" i="30"/>
  <c r="X38" i="30"/>
  <c r="X13" i="30"/>
  <c r="X20" i="30"/>
  <c r="O35" i="30"/>
  <c r="O31" i="30"/>
  <c r="AW225" i="30"/>
  <c r="AW230" i="30"/>
  <c r="M90" i="30"/>
  <c r="R91" i="30"/>
  <c r="M96" i="30"/>
  <c r="M97" i="30"/>
  <c r="AN50" i="30"/>
  <c r="AN24" i="30"/>
  <c r="BD216" i="30"/>
  <c r="AY219" i="30"/>
  <c r="BB219" i="30"/>
  <c r="BJ108" i="30"/>
  <c r="AG236" i="30"/>
  <c r="AG235" i="30"/>
  <c r="AG238" i="30"/>
  <c r="BB21" i="30"/>
  <c r="AE47" i="30"/>
  <c r="AE48" i="30"/>
  <c r="AH41" i="30"/>
  <c r="T42" i="30"/>
  <c r="T45" i="30"/>
  <c r="X117" i="30"/>
  <c r="AM174" i="30"/>
  <c r="AM179" i="30"/>
  <c r="AC193" i="30"/>
  <c r="AC197" i="30"/>
  <c r="AC186" i="30"/>
  <c r="AC198" i="30"/>
  <c r="AU232" i="30"/>
  <c r="AU227" i="30"/>
  <c r="AD58" i="30"/>
  <c r="AP24" i="30"/>
  <c r="AP50" i="30"/>
  <c r="AP51" i="30"/>
  <c r="AH104" i="30"/>
  <c r="AH103" i="30"/>
  <c r="AL50" i="30"/>
  <c r="AL24" i="30"/>
  <c r="AO227" i="30"/>
  <c r="AO232" i="30"/>
  <c r="AO240" i="30"/>
  <c r="AP114" i="30"/>
  <c r="AP122" i="30"/>
  <c r="AW81" i="30"/>
  <c r="AW76" i="30"/>
  <c r="AW6" i="28"/>
  <c r="AO235" i="30"/>
  <c r="AO236" i="30"/>
  <c r="AO238" i="30"/>
  <c r="AR234" i="30"/>
  <c r="AK189" i="30"/>
  <c r="AK195" i="30"/>
  <c r="AK210" i="30"/>
  <c r="AK194" i="30"/>
  <c r="AR13" i="30"/>
  <c r="AR5" i="28"/>
  <c r="AR20" i="30"/>
  <c r="AR38" i="30"/>
  <c r="BF132" i="30"/>
  <c r="AB141" i="30"/>
  <c r="W141" i="30"/>
  <c r="W136" i="30"/>
  <c r="W145" i="30"/>
  <c r="AA97" i="30"/>
  <c r="BC132" i="30"/>
  <c r="BB132" i="30"/>
  <c r="AG48" i="30"/>
  <c r="AL47" i="30"/>
  <c r="AI236" i="30"/>
  <c r="AD235" i="30"/>
  <c r="AI238" i="30"/>
  <c r="Q35" i="30"/>
  <c r="Q31" i="30"/>
  <c r="AH38" i="30"/>
  <c r="AH13" i="30"/>
  <c r="AH5" i="28"/>
  <c r="AH20" i="30"/>
  <c r="AQ227" i="30"/>
  <c r="AQ232" i="30"/>
  <c r="AQ240" i="30"/>
  <c r="O50" i="30"/>
  <c r="O51" i="30"/>
  <c r="O44" i="30"/>
  <c r="O58" i="30"/>
  <c r="O24" i="30"/>
  <c r="AV35" i="30"/>
  <c r="AH186" i="30"/>
  <c r="AH187" i="30"/>
  <c r="AT97" i="30"/>
  <c r="BI108" i="30"/>
  <c r="AH183" i="30"/>
  <c r="AH182" i="30"/>
  <c r="M27" i="30"/>
  <c r="L27" i="30"/>
  <c r="K27" i="30"/>
  <c r="J27" i="30"/>
  <c r="AY123" i="30"/>
  <c r="AY124" i="30"/>
  <c r="W90" i="30"/>
  <c r="W91" i="30"/>
  <c r="W96" i="30"/>
  <c r="P141" i="30"/>
  <c r="P136" i="30"/>
  <c r="U141" i="30"/>
  <c r="P145" i="30"/>
  <c r="T136" i="30"/>
  <c r="X131" i="30"/>
  <c r="T141" i="30"/>
  <c r="Y141" i="30"/>
  <c r="T145" i="30"/>
  <c r="AT238" i="30"/>
  <c r="AT235" i="30"/>
  <c r="AT236" i="30"/>
  <c r="J136" i="30"/>
  <c r="N131" i="30"/>
  <c r="J145" i="30"/>
  <c r="J146" i="30"/>
  <c r="AS13" i="30"/>
  <c r="AS5" i="28"/>
  <c r="AS20" i="30"/>
  <c r="AD230" i="30"/>
  <c r="X138" i="30"/>
  <c r="X143" i="30"/>
  <c r="AC143" i="30"/>
  <c r="AT230" i="30"/>
  <c r="AT221" i="30"/>
  <c r="BA8" i="30"/>
  <c r="AV29" i="30"/>
  <c r="AV9" i="30"/>
  <c r="AS221" i="30"/>
  <c r="X85" i="30"/>
  <c r="X88" i="30"/>
  <c r="BD132" i="30"/>
  <c r="BB35" i="30"/>
  <c r="AF100" i="30"/>
  <c r="Q58" i="30"/>
  <c r="Q24" i="30"/>
  <c r="Q44" i="30"/>
  <c r="Q50" i="30"/>
  <c r="Q51" i="30"/>
  <c r="AE32" i="30"/>
  <c r="T24" i="30"/>
  <c r="R50" i="30"/>
  <c r="R51" i="30"/>
  <c r="R58" i="30"/>
  <c r="R24" i="30"/>
  <c r="R44" i="30"/>
  <c r="AL85" i="30"/>
  <c r="AQ90" i="30"/>
  <c r="AW29" i="30"/>
  <c r="AM183" i="30"/>
  <c r="AM182" i="30"/>
  <c r="V141" i="30"/>
  <c r="V136" i="30"/>
  <c r="AA141" i="30"/>
  <c r="V145" i="30"/>
  <c r="AZ90" i="30"/>
  <c r="AU85" i="30"/>
  <c r="BA12" i="30"/>
  <c r="AV30" i="30"/>
  <c r="AV31" i="30"/>
  <c r="BK226" i="30"/>
  <c r="AU117" i="30"/>
  <c r="AU118" i="30"/>
  <c r="AZ116" i="30"/>
  <c r="AU111" i="30"/>
  <c r="AU113" i="30"/>
  <c r="Q97" i="30"/>
  <c r="AD51" i="30"/>
  <c r="BA108" i="30"/>
  <c r="AC146" i="30"/>
  <c r="AN198" i="30"/>
  <c r="AI197" i="30"/>
  <c r="AI201" i="30"/>
  <c r="AI200" i="30"/>
  <c r="AM200" i="30"/>
  <c r="AM201" i="30"/>
  <c r="AU50" i="30"/>
  <c r="AU24" i="30"/>
  <c r="AQ24" i="30"/>
  <c r="AQ50" i="30"/>
  <c r="BD8" i="30"/>
  <c r="AY29" i="30"/>
  <c r="AY9" i="30"/>
  <c r="BD83" i="30"/>
  <c r="BD93" i="30"/>
  <c r="BE132" i="30"/>
  <c r="AZ197" i="30"/>
  <c r="BE198" i="30"/>
  <c r="AT31" i="30"/>
  <c r="AT35" i="30"/>
  <c r="AE195" i="30"/>
  <c r="AE189" i="30"/>
  <c r="AE194" i="30"/>
  <c r="AC103" i="30"/>
  <c r="AC104" i="30"/>
  <c r="BK83" i="30"/>
  <c r="AX231" i="30"/>
  <c r="BB220" i="30"/>
  <c r="N13" i="30"/>
  <c r="AF234" i="30"/>
  <c r="AF225" i="30"/>
  <c r="AF230" i="30"/>
  <c r="BI173" i="30"/>
  <c r="T32" i="30"/>
  <c r="T40" i="30"/>
  <c r="S40" i="30"/>
  <c r="J85" i="30"/>
  <c r="J88" i="30"/>
  <c r="AA225" i="30"/>
  <c r="AA234" i="30"/>
  <c r="AA235" i="30"/>
  <c r="AK225" i="30"/>
  <c r="AK234" i="30"/>
  <c r="AK230" i="30"/>
  <c r="Y47" i="30"/>
  <c r="S20" i="30"/>
  <c r="S13" i="30"/>
  <c r="S38" i="30"/>
  <c r="S131" i="30"/>
  <c r="O136" i="30"/>
  <c r="O145" i="30"/>
  <c r="O141" i="30"/>
  <c r="O116" i="30"/>
  <c r="T118" i="30"/>
  <c r="S111" i="30"/>
  <c r="S116" i="30"/>
  <c r="X120" i="30"/>
  <c r="S85" i="30"/>
  <c r="S88" i="30"/>
  <c r="AF98" i="30"/>
  <c r="S21" i="30"/>
  <c r="T120" i="30"/>
  <c r="T117" i="30"/>
  <c r="AY118" i="30"/>
  <c r="AY117" i="30"/>
  <c r="BD116" i="30"/>
  <c r="S143" i="30"/>
  <c r="S138" i="30"/>
  <c r="BJ83" i="30"/>
  <c r="BD90" i="30"/>
  <c r="AY85" i="30"/>
  <c r="AR221" i="30"/>
  <c r="AR230" i="30"/>
  <c r="AR225" i="30"/>
  <c r="Z194" i="30"/>
  <c r="Z189" i="30"/>
  <c r="AA194" i="30"/>
  <c r="AA189" i="30"/>
  <c r="AA76" i="28"/>
  <c r="AF195" i="30"/>
  <c r="AP230" i="30"/>
  <c r="AG91" i="30"/>
  <c r="AX29" i="30"/>
  <c r="BC8" i="30"/>
  <c r="BB8" i="30"/>
  <c r="AX9" i="30"/>
  <c r="BI75" i="30"/>
  <c r="BI76" i="30"/>
  <c r="BI6" i="28"/>
  <c r="AQ122" i="30"/>
  <c r="AD24" i="30"/>
  <c r="AP87" i="30"/>
  <c r="AP96" i="30"/>
  <c r="AP73" i="28"/>
  <c r="AH97" i="30"/>
  <c r="AH100" i="30"/>
  <c r="AH98" i="30"/>
  <c r="BA150" i="28"/>
  <c r="AK200" i="28"/>
  <c r="AK201" i="28"/>
  <c r="AJ127" i="28"/>
  <c r="AK33" i="28"/>
  <c r="AK38" i="28"/>
  <c r="AK40" i="28"/>
  <c r="AK125" i="28"/>
  <c r="AK98" i="28"/>
  <c r="AJ135" i="28"/>
  <c r="AJ137" i="28"/>
  <c r="AX181" i="28"/>
  <c r="AZ150" i="28"/>
  <c r="AF190" i="28"/>
  <c r="AF195" i="28"/>
  <c r="AF111" i="28"/>
  <c r="AF113" i="28"/>
  <c r="AF98" i="28"/>
  <c r="AF120" i="28"/>
  <c r="AK106" i="28"/>
  <c r="AF126" i="28"/>
  <c r="AY181" i="28"/>
  <c r="AX150" i="28"/>
  <c r="AW150" i="28"/>
  <c r="AG39" i="28"/>
  <c r="AG30" i="28"/>
  <c r="AH26" i="28"/>
  <c r="AG25" i="28"/>
  <c r="AG38" i="28"/>
  <c r="AG40" i="28"/>
  <c r="AI122" i="28"/>
  <c r="AI135" i="28"/>
  <c r="AI130" i="28"/>
  <c r="AI125" i="28"/>
  <c r="AE125" i="28"/>
  <c r="AE122" i="28"/>
  <c r="AK135" i="28"/>
  <c r="AK127" i="28"/>
  <c r="AG121" i="28"/>
  <c r="AG112" i="28"/>
  <c r="AG99" i="28"/>
  <c r="AG191" i="28"/>
  <c r="AG196" i="28"/>
  <c r="AG93" i="28"/>
  <c r="AK136" i="28"/>
  <c r="AH159" i="28"/>
  <c r="AH154" i="28"/>
  <c r="AJ136" i="28"/>
  <c r="AH94" i="28"/>
  <c r="AF181" i="28"/>
  <c r="AD136" i="28"/>
  <c r="AD127" i="28"/>
  <c r="BI150" i="28"/>
  <c r="BC173" i="28"/>
  <c r="BA173" i="28"/>
  <c r="AD135" i="28"/>
  <c r="AD137" i="28"/>
  <c r="AK181" i="28"/>
  <c r="AP181" i="28"/>
  <c r="AH201" i="28"/>
  <c r="AH200" i="28"/>
  <c r="AF26" i="27"/>
  <c r="AF28" i="27"/>
  <c r="AF33" i="27"/>
  <c r="P69" i="15"/>
  <c r="BJ38" i="27"/>
  <c r="BL38" i="27"/>
  <c r="BE162" i="27"/>
  <c r="AE33" i="27"/>
  <c r="O69" i="15"/>
  <c r="AE26" i="27"/>
  <c r="AE28" i="27"/>
  <c r="BF223" i="27"/>
  <c r="BK167" i="27"/>
  <c r="BK223" i="27"/>
  <c r="BH202" i="27"/>
  <c r="AK28" i="27"/>
  <c r="AK26" i="27"/>
  <c r="AK29" i="27"/>
  <c r="AK33" i="27"/>
  <c r="U69" i="15"/>
  <c r="AL280" i="27"/>
  <c r="AK292" i="27"/>
  <c r="BG38" i="27"/>
  <c r="BG162" i="27"/>
  <c r="AH271" i="27"/>
  <c r="AH270" i="27"/>
  <c r="AM204" i="27"/>
  <c r="AM303" i="27"/>
  <c r="AR121" i="27"/>
  <c r="AN14" i="27"/>
  <c r="AI15" i="27"/>
  <c r="AK301" i="27"/>
  <c r="AK308" i="27"/>
  <c r="BI167" i="27"/>
  <c r="BI223" i="27"/>
  <c r="BD223" i="27"/>
  <c r="BD124" i="27"/>
  <c r="BE124" i="27"/>
  <c r="BF124" i="27"/>
  <c r="BG124" i="27"/>
  <c r="BH124" i="27"/>
  <c r="BI124" i="27"/>
  <c r="BJ124" i="27"/>
  <c r="BK124" i="27"/>
  <c r="BL124" i="27"/>
  <c r="AJ287" i="27"/>
  <c r="AJ288" i="27"/>
  <c r="AO131" i="27"/>
  <c r="AP87" i="27"/>
  <c r="AP58" i="27"/>
  <c r="BI172" i="27"/>
  <c r="BL172" i="27"/>
  <c r="BG172" i="27"/>
  <c r="AF309" i="27"/>
  <c r="AF307" i="27"/>
  <c r="AF306" i="27"/>
  <c r="AN276" i="27"/>
  <c r="BQ276" i="27"/>
  <c r="AP14" i="27"/>
  <c r="AK15" i="27"/>
  <c r="AZ202" i="27"/>
  <c r="AW202" i="27"/>
  <c r="AN122" i="27"/>
  <c r="AM129" i="27"/>
  <c r="AM138" i="27"/>
  <c r="BJ79" i="27"/>
  <c r="BH162" i="27"/>
  <c r="AH26" i="27"/>
  <c r="AH28" i="27"/>
  <c r="AH33" i="27"/>
  <c r="R69" i="15"/>
  <c r="BP27" i="27"/>
  <c r="AX223" i="27"/>
  <c r="BC167" i="27"/>
  <c r="BB167" i="27"/>
  <c r="BB223" i="27"/>
  <c r="AH292" i="27"/>
  <c r="BP280" i="27"/>
  <c r="AM313" i="27"/>
  <c r="AM160" i="27"/>
  <c r="AI288" i="27"/>
  <c r="AI287" i="27"/>
  <c r="AJ295" i="27"/>
  <c r="AJ296" i="27"/>
  <c r="AJ270" i="27"/>
  <c r="AJ271" i="27"/>
  <c r="BE111" i="27"/>
  <c r="BF111" i="27"/>
  <c r="BG111" i="27"/>
  <c r="BH111" i="27"/>
  <c r="BI111" i="27"/>
  <c r="BJ111" i="27"/>
  <c r="BK111" i="27"/>
  <c r="BL111" i="27"/>
  <c r="AJ309" i="27"/>
  <c r="AJ307" i="27"/>
  <c r="AJ306" i="27"/>
  <c r="AI33" i="27"/>
  <c r="S69" i="15"/>
  <c r="AI28" i="27"/>
  <c r="AI29" i="27"/>
  <c r="AI26" i="27"/>
  <c r="BK79" i="27"/>
  <c r="AM115" i="27"/>
  <c r="AN321" i="27"/>
  <c r="AM323" i="27"/>
  <c r="AD33" i="27"/>
  <c r="N69" i="15"/>
  <c r="AD26" i="27"/>
  <c r="AD28" i="27"/>
  <c r="AM314" i="27"/>
  <c r="BH189" i="27"/>
  <c r="BG189" i="27"/>
  <c r="AQ14" i="27"/>
  <c r="AD306" i="27"/>
  <c r="AZ167" i="27"/>
  <c r="AU223" i="27"/>
  <c r="AK271" i="27"/>
  <c r="AK270" i="27"/>
  <c r="AG26" i="27"/>
  <c r="AG33" i="27"/>
  <c r="Q69" i="15"/>
  <c r="AG28" i="27"/>
  <c r="AO14" i="27"/>
  <c r="AJ15" i="27"/>
  <c r="AU100" i="27"/>
  <c r="AV100" i="27"/>
  <c r="AW100" i="27"/>
  <c r="AX100" i="27"/>
  <c r="AY100" i="27"/>
  <c r="AZ100" i="27"/>
  <c r="BA100" i="27"/>
  <c r="BB100" i="27"/>
  <c r="AJ29" i="27"/>
  <c r="AJ28" i="27"/>
  <c r="AJ26" i="27"/>
  <c r="AJ33" i="27"/>
  <c r="T69" i="15"/>
  <c r="BF162" i="27"/>
  <c r="BK38" i="27"/>
  <c r="AM308" i="27"/>
  <c r="AG308" i="27"/>
  <c r="AG301" i="27"/>
  <c r="AQ140" i="27"/>
  <c r="AI295" i="27"/>
  <c r="AI296" i="27"/>
  <c r="BP284" i="27"/>
  <c r="AH287" i="27"/>
  <c r="AH288" i="27"/>
  <c r="AI270" i="27"/>
  <c r="AI271" i="27"/>
  <c r="AN322" i="27"/>
  <c r="AM134" i="27"/>
  <c r="AM136" i="27"/>
  <c r="BI79" i="27"/>
  <c r="BJ55" i="27"/>
  <c r="AN254" i="27"/>
  <c r="AO248" i="27"/>
  <c r="AO252" i="27"/>
  <c r="AN256" i="27"/>
  <c r="AI306" i="27"/>
  <c r="BH125" i="33"/>
  <c r="BH59" i="33"/>
  <c r="BC59" i="33"/>
  <c r="BG125" i="33"/>
  <c r="X118" i="30"/>
  <c r="N93" i="30"/>
  <c r="N87" i="30"/>
  <c r="S83" i="30"/>
  <c r="N103" i="30"/>
  <c r="N38" i="30"/>
  <c r="AO97" i="30"/>
  <c r="AA89" i="28"/>
  <c r="AA78" i="28"/>
  <c r="AO98" i="30"/>
  <c r="AE84" i="28"/>
  <c r="AE87" i="28"/>
  <c r="AI84" i="28"/>
  <c r="AI87" i="28"/>
  <c r="BG107" i="27"/>
  <c r="BC107" i="27"/>
  <c r="BD107" i="27"/>
  <c r="BE107" i="27"/>
  <c r="BF107" i="27"/>
  <c r="AO73" i="28"/>
  <c r="AT100" i="30"/>
  <c r="AT98" i="30"/>
  <c r="AF84" i="28"/>
  <c r="AF87" i="28"/>
  <c r="AD76" i="28"/>
  <c r="AD102" i="28"/>
  <c r="AD103" i="28"/>
  <c r="AG16" i="28"/>
  <c r="AG19" i="28"/>
  <c r="AG11" i="28"/>
  <c r="AE76" i="28"/>
  <c r="AE89" i="28"/>
  <c r="AE102" i="28"/>
  <c r="AE103" i="28"/>
  <c r="AH11" i="28"/>
  <c r="AH16" i="28"/>
  <c r="AH19" i="28"/>
  <c r="AF190" i="30"/>
  <c r="AF76" i="28"/>
  <c r="AF89" i="28"/>
  <c r="AF102" i="28"/>
  <c r="AF103" i="28"/>
  <c r="AC32" i="30"/>
  <c r="AC5" i="28"/>
  <c r="Y84" i="28"/>
  <c r="Y87" i="28"/>
  <c r="Y78" i="28"/>
  <c r="AB78" i="28"/>
  <c r="Y190" i="30"/>
  <c r="Y76" i="28"/>
  <c r="Y89" i="28"/>
  <c r="Z190" i="30"/>
  <c r="Z76" i="28"/>
  <c r="Z89" i="28"/>
  <c r="AL191" i="30"/>
  <c r="AG76" i="28"/>
  <c r="AG89" i="28"/>
  <c r="AG102" i="28"/>
  <c r="AG103" i="28"/>
  <c r="AG190" i="30"/>
  <c r="AC84" i="28"/>
  <c r="AC87" i="28"/>
  <c r="E24" i="26"/>
  <c r="E28" i="26"/>
  <c r="AK76" i="28"/>
  <c r="AK102" i="28"/>
  <c r="AK103" i="28"/>
  <c r="AG78" i="28"/>
  <c r="AG84" i="28"/>
  <c r="AG87" i="28"/>
  <c r="E17" i="26"/>
  <c r="E33" i="26"/>
  <c r="E36" i="26"/>
  <c r="Z84" i="28"/>
  <c r="Z87" i="28"/>
  <c r="Z78" i="28"/>
  <c r="N23" i="31"/>
  <c r="S28" i="31"/>
  <c r="U146" i="30"/>
  <c r="Z149" i="30"/>
  <c r="Z147" i="30"/>
  <c r="AQ51" i="30"/>
  <c r="AO103" i="30"/>
  <c r="AO104" i="30"/>
  <c r="AB91" i="30"/>
  <c r="AA100" i="30"/>
  <c r="R98" i="30"/>
  <c r="Y100" i="30"/>
  <c r="Y98" i="30"/>
  <c r="T97" i="30"/>
  <c r="N19" i="31"/>
  <c r="O28" i="31"/>
  <c r="R100" i="30"/>
  <c r="AI23" i="34"/>
  <c r="AN22" i="34"/>
  <c r="AV15" i="34"/>
  <c r="O16" i="34"/>
  <c r="O15" i="34"/>
  <c r="P15" i="34"/>
  <c r="U17" i="34"/>
  <c r="AX38" i="34"/>
  <c r="AS15" i="34"/>
  <c r="AZ38" i="34"/>
  <c r="AU15" i="34"/>
  <c r="AQ17" i="34"/>
  <c r="AN17" i="34"/>
  <c r="AR15" i="34"/>
  <c r="AY19" i="34"/>
  <c r="BD32" i="34"/>
  <c r="AM17" i="34"/>
  <c r="AM16" i="34"/>
  <c r="AL6" i="34"/>
  <c r="AJ12" i="34"/>
  <c r="AJ22" i="34"/>
  <c r="AP17" i="34"/>
  <c r="AP6" i="34"/>
  <c r="AP157" i="30"/>
  <c r="AP200" i="30"/>
  <c r="AP193" i="30"/>
  <c r="AG7" i="34"/>
  <c r="AG11" i="34"/>
  <c r="AH6" i="34"/>
  <c r="AH11" i="34"/>
  <c r="AK23" i="34"/>
  <c r="AP22" i="34"/>
  <c r="AO17" i="34"/>
  <c r="AO6" i="34"/>
  <c r="AO157" i="30"/>
  <c r="AT38" i="34"/>
  <c r="AQ19" i="34"/>
  <c r="AR19" i="34"/>
  <c r="AV32" i="34"/>
  <c r="AR32" i="34"/>
  <c r="BC19" i="34"/>
  <c r="BH32" i="34"/>
  <c r="BJ32" i="34"/>
  <c r="BJ19" i="34"/>
  <c r="BE19" i="34"/>
  <c r="AN77" i="33"/>
  <c r="BF15" i="33"/>
  <c r="BK15" i="33"/>
  <c r="AN93" i="33"/>
  <c r="BL125" i="33"/>
  <c r="AL78" i="33"/>
  <c r="AM72" i="33"/>
  <c r="AL74" i="33"/>
  <c r="BD117" i="33"/>
  <c r="AS134" i="33"/>
  <c r="BK109" i="33"/>
  <c r="BK84" i="33"/>
  <c r="BF84" i="33"/>
  <c r="BE15" i="33"/>
  <c r="BJ15" i="33"/>
  <c r="AM70" i="33"/>
  <c r="AM91" i="33"/>
  <c r="AM117" i="33"/>
  <c r="AM118" i="33"/>
  <c r="Q36" i="33"/>
  <c r="R37" i="33"/>
  <c r="R24" i="33"/>
  <c r="BD132" i="33"/>
  <c r="BD127" i="33"/>
  <c r="BD134" i="33"/>
  <c r="BI132" i="33"/>
  <c r="BI127" i="33"/>
  <c r="AQ114" i="33"/>
  <c r="AP114" i="33"/>
  <c r="AT77" i="33"/>
  <c r="AZ131" i="33"/>
  <c r="BE123" i="33"/>
  <c r="BE124" i="33"/>
  <c r="BB123" i="33"/>
  <c r="BB131" i="33"/>
  <c r="BL105" i="33"/>
  <c r="BJ117" i="33"/>
  <c r="BC15" i="33"/>
  <c r="BG8" i="33"/>
  <c r="BG15" i="33"/>
  <c r="Y25" i="33"/>
  <c r="Y33" i="33"/>
  <c r="T23" i="33"/>
  <c r="T39" i="33"/>
  <c r="X24" i="33"/>
  <c r="BI109" i="33"/>
  <c r="BI84" i="33"/>
  <c r="BD84" i="33"/>
  <c r="AY90" i="33"/>
  <c r="AY67" i="33"/>
  <c r="AY69" i="33"/>
  <c r="BD15" i="33"/>
  <c r="BI15" i="33"/>
  <c r="AS67" i="33"/>
  <c r="AS69" i="33"/>
  <c r="AS90" i="33"/>
  <c r="BA90" i="33"/>
  <c r="AP134" i="33"/>
  <c r="AO85" i="33"/>
  <c r="AX117" i="33"/>
  <c r="BA117" i="33"/>
  <c r="BJ122" i="33"/>
  <c r="AQ127" i="33"/>
  <c r="AQ134" i="33"/>
  <c r="AQ132" i="33"/>
  <c r="AQ67" i="33"/>
  <c r="AQ69" i="33"/>
  <c r="AE37" i="33"/>
  <c r="AE32" i="33"/>
  <c r="AS39" i="33"/>
  <c r="AZ124" i="33"/>
  <c r="AF31" i="33"/>
  <c r="AF23" i="33"/>
  <c r="AG22" i="33"/>
  <c r="AI36" i="33"/>
  <c r="AV124" i="33"/>
  <c r="AV131" i="33"/>
  <c r="BA123" i="33"/>
  <c r="BC109" i="33"/>
  <c r="BC124" i="33"/>
  <c r="BH122" i="33"/>
  <c r="BG122" i="33"/>
  <c r="BG130" i="33"/>
  <c r="AN70" i="33"/>
  <c r="AN72" i="33"/>
  <c r="AN74" i="33"/>
  <c r="AN91" i="33"/>
  <c r="AX127" i="33"/>
  <c r="AX132" i="33"/>
  <c r="AP84" i="33"/>
  <c r="AU109" i="33"/>
  <c r="AM87" i="33"/>
  <c r="AM93" i="33"/>
  <c r="BK37" i="32"/>
  <c r="AP16" i="32"/>
  <c r="AR25" i="32"/>
  <c r="AQ32" i="32"/>
  <c r="AR32" i="32"/>
  <c r="AQ8" i="32"/>
  <c r="AQ16" i="32"/>
  <c r="AL39" i="32"/>
  <c r="AL45" i="32"/>
  <c r="AM10" i="32"/>
  <c r="AM11" i="32"/>
  <c r="AL18" i="32"/>
  <c r="BJ36" i="32"/>
  <c r="BF26" i="32"/>
  <c r="BE26" i="32"/>
  <c r="BE17" i="32"/>
  <c r="BJ9" i="32"/>
  <c r="BJ17" i="32"/>
  <c r="AO15" i="32"/>
  <c r="X17" i="32"/>
  <c r="BH26" i="32"/>
  <c r="BC9" i="32"/>
  <c r="BB9" i="32"/>
  <c r="BB17" i="32"/>
  <c r="AX17" i="32"/>
  <c r="AP31" i="32"/>
  <c r="AQ24" i="32"/>
  <c r="AQ7" i="32"/>
  <c r="AQ15" i="32"/>
  <c r="AP23" i="32"/>
  <c r="BD26" i="32"/>
  <c r="AO30" i="32"/>
  <c r="AP6" i="32"/>
  <c r="AO6" i="32"/>
  <c r="AN10" i="32"/>
  <c r="AN14" i="32"/>
  <c r="AY17" i="32"/>
  <c r="BD9" i="32"/>
  <c r="BH17" i="31"/>
  <c r="BF70" i="31"/>
  <c r="BI17" i="31"/>
  <c r="AM23" i="31"/>
  <c r="AM28" i="31"/>
  <c r="BE48" i="31"/>
  <c r="BE51" i="31"/>
  <c r="BJ45" i="31"/>
  <c r="BJ48" i="31"/>
  <c r="BJ51" i="31"/>
  <c r="BI45" i="31"/>
  <c r="BI48" i="31"/>
  <c r="BI51" i="31"/>
  <c r="BD48" i="31"/>
  <c r="BD51" i="31"/>
  <c r="BG46" i="31"/>
  <c r="BH46" i="31"/>
  <c r="BL46" i="31"/>
  <c r="BE70" i="31"/>
  <c r="AX48" i="31"/>
  <c r="AX51" i="31"/>
  <c r="BB45" i="31"/>
  <c r="BB48" i="31"/>
  <c r="BB51" i="31"/>
  <c r="BC45" i="31"/>
  <c r="AZ17" i="31"/>
  <c r="AV17" i="31"/>
  <c r="AH28" i="31"/>
  <c r="BC70" i="31"/>
  <c r="BA45" i="31"/>
  <c r="AV48" i="31"/>
  <c r="AV51" i="31"/>
  <c r="BC35" i="31"/>
  <c r="BD35" i="31"/>
  <c r="BE35" i="31"/>
  <c r="BF35" i="31"/>
  <c r="BG35" i="31"/>
  <c r="T63" i="31"/>
  <c r="X58" i="31"/>
  <c r="X63" i="31"/>
  <c r="AC58" i="31"/>
  <c r="AC63" i="31"/>
  <c r="Y63" i="31"/>
  <c r="AS23" i="31"/>
  <c r="AR23" i="31"/>
  <c r="AR28" i="31"/>
  <c r="X28" i="31"/>
  <c r="AW45" i="31"/>
  <c r="AW48" i="31"/>
  <c r="AW51" i="31"/>
  <c r="AL27" i="31"/>
  <c r="AL24" i="31"/>
  <c r="AM22" i="31"/>
  <c r="AN34" i="31"/>
  <c r="AM37" i="31"/>
  <c r="AM40" i="31"/>
  <c r="AM42" i="31"/>
  <c r="AN22" i="31"/>
  <c r="AH58" i="31"/>
  <c r="AD63" i="31"/>
  <c r="BD70" i="31"/>
  <c r="BB225" i="30"/>
  <c r="BB230" i="30"/>
  <c r="BB221" i="30"/>
  <c r="BC230" i="30"/>
  <c r="BI83" i="30"/>
  <c r="BI93" i="30"/>
  <c r="BE221" i="30"/>
  <c r="BE230" i="30"/>
  <c r="AV40" i="30"/>
  <c r="AV32" i="30"/>
  <c r="BA236" i="30"/>
  <c r="BA238" i="30"/>
  <c r="BA235" i="30"/>
  <c r="X57" i="30"/>
  <c r="AC59" i="30"/>
  <c r="X24" i="30"/>
  <c r="X50" i="30"/>
  <c r="AC51" i="30"/>
  <c r="X32" i="30"/>
  <c r="AS85" i="30"/>
  <c r="AX90" i="30"/>
  <c r="AF51" i="30"/>
  <c r="AK51" i="30"/>
  <c r="AZ24" i="30"/>
  <c r="AZ50" i="30"/>
  <c r="AZ51" i="30"/>
  <c r="AJ32" i="30"/>
  <c r="AJ40" i="30"/>
  <c r="AJ41" i="30"/>
  <c r="AJ47" i="30"/>
  <c r="BL27" i="30"/>
  <c r="BF27" i="30"/>
  <c r="BD27" i="30"/>
  <c r="BC27" i="30"/>
  <c r="BE27" i="30"/>
  <c r="BG35" i="30"/>
  <c r="AV117" i="30"/>
  <c r="AV118" i="30"/>
  <c r="BA116" i="30"/>
  <c r="AM232" i="30"/>
  <c r="AM227" i="30"/>
  <c r="AM240" i="30"/>
  <c r="BB19" i="30"/>
  <c r="BB9" i="30"/>
  <c r="AL87" i="30"/>
  <c r="AM85" i="30"/>
  <c r="AL96" i="30"/>
  <c r="AL73" i="28"/>
  <c r="AU246" i="30"/>
  <c r="P149" i="30"/>
  <c r="P146" i="30"/>
  <c r="P147" i="30"/>
  <c r="U149" i="30"/>
  <c r="U147" i="30"/>
  <c r="AX245" i="30"/>
  <c r="AX241" i="30"/>
  <c r="AW235" i="30"/>
  <c r="AW238" i="30"/>
  <c r="AW236" i="30"/>
  <c r="BB29" i="30"/>
  <c r="BB37" i="30"/>
  <c r="BI116" i="30"/>
  <c r="BD117" i="30"/>
  <c r="BD118" i="30"/>
  <c r="AU51" i="30"/>
  <c r="AU114" i="30"/>
  <c r="AU122" i="30"/>
  <c r="R42" i="30"/>
  <c r="R45" i="30"/>
  <c r="W149" i="30"/>
  <c r="W147" i="30"/>
  <c r="W146" i="30"/>
  <c r="AB147" i="30"/>
  <c r="AB149" i="30"/>
  <c r="BI216" i="30"/>
  <c r="BI220" i="30"/>
  <c r="BI231" i="30"/>
  <c r="BD219" i="30"/>
  <c r="BG219" i="30"/>
  <c r="BC220" i="30"/>
  <c r="BK216" i="30"/>
  <c r="BF219" i="30"/>
  <c r="L90" i="30"/>
  <c r="Q91" i="30"/>
  <c r="L96" i="30"/>
  <c r="BE20" i="30"/>
  <c r="BE13" i="30"/>
  <c r="BE5" i="28"/>
  <c r="BD220" i="30"/>
  <c r="BD231" i="30"/>
  <c r="P42" i="30"/>
  <c r="P45" i="30"/>
  <c r="AZ117" i="30"/>
  <c r="AZ118" i="30"/>
  <c r="BE116" i="30"/>
  <c r="AZ111" i="30"/>
  <c r="AZ113" i="30"/>
  <c r="AH50" i="30"/>
  <c r="AH51" i="30"/>
  <c r="AH57" i="30"/>
  <c r="AH24" i="30"/>
  <c r="AH53" i="30"/>
  <c r="AH72" i="28"/>
  <c r="AH45" i="30"/>
  <c r="AH32" i="30"/>
  <c r="T51" i="30"/>
  <c r="U51" i="30"/>
  <c r="Z51" i="30"/>
  <c r="Q146" i="30"/>
  <c r="Q147" i="30"/>
  <c r="Q149" i="30"/>
  <c r="T41" i="30"/>
  <c r="T53" i="30"/>
  <c r="Y55" i="30"/>
  <c r="AG54" i="30"/>
  <c r="AG55" i="30"/>
  <c r="AX232" i="30"/>
  <c r="AX227" i="30"/>
  <c r="BJ29" i="30"/>
  <c r="BJ9" i="30"/>
  <c r="U42" i="30"/>
  <c r="U45" i="30"/>
  <c r="BB109" i="30"/>
  <c r="AD48" i="30"/>
  <c r="AT40" i="30"/>
  <c r="AT32" i="30"/>
  <c r="X90" i="30"/>
  <c r="X96" i="30"/>
  <c r="W100" i="30"/>
  <c r="W97" i="30"/>
  <c r="W98" i="30"/>
  <c r="Q32" i="30"/>
  <c r="Q40" i="30"/>
  <c r="X44" i="30"/>
  <c r="AX83" i="30"/>
  <c r="AX93" i="30"/>
  <c r="AG58" i="30"/>
  <c r="AG59" i="30"/>
  <c r="AE58" i="30"/>
  <c r="AE59" i="30"/>
  <c r="AJ59" i="30"/>
  <c r="BH108" i="30"/>
  <c r="AH235" i="30"/>
  <c r="AF238" i="30"/>
  <c r="AF236" i="30"/>
  <c r="AF235" i="30"/>
  <c r="BJ198" i="30"/>
  <c r="BJ197" i="30"/>
  <c r="BE197" i="30"/>
  <c r="AI193" i="30"/>
  <c r="AM197" i="30"/>
  <c r="AM198" i="30"/>
  <c r="BK220" i="30"/>
  <c r="AS232" i="30"/>
  <c r="AS227" i="30"/>
  <c r="AS240" i="30"/>
  <c r="BK132" i="30"/>
  <c r="AO241" i="30"/>
  <c r="AO242" i="30"/>
  <c r="AO245" i="30"/>
  <c r="AH47" i="30"/>
  <c r="AH48" i="30"/>
  <c r="AN51" i="30"/>
  <c r="V51" i="30"/>
  <c r="AA51" i="30"/>
  <c r="R32" i="30"/>
  <c r="R40" i="30"/>
  <c r="BB76" i="30"/>
  <c r="BB6" i="28"/>
  <c r="BT6" i="28"/>
  <c r="BB81" i="30"/>
  <c r="AI54" i="30"/>
  <c r="AI55" i="30"/>
  <c r="P40" i="30"/>
  <c r="P32" i="30"/>
  <c r="AR111" i="30"/>
  <c r="AR116" i="30"/>
  <c r="AN113" i="30"/>
  <c r="AA190" i="30"/>
  <c r="AF191" i="30"/>
  <c r="AK236" i="30"/>
  <c r="AK238" i="30"/>
  <c r="AK235" i="30"/>
  <c r="AP238" i="30"/>
  <c r="AP236" i="30"/>
  <c r="AS198" i="30"/>
  <c r="AN197" i="30"/>
  <c r="BF220" i="30"/>
  <c r="BF231" i="30"/>
  <c r="AD238" i="30"/>
  <c r="V42" i="30"/>
  <c r="V45" i="30"/>
  <c r="BC76" i="30"/>
  <c r="BC6" i="28"/>
  <c r="BG74" i="30"/>
  <c r="BH74" i="30"/>
  <c r="AC54" i="30"/>
  <c r="S141" i="30"/>
  <c r="S136" i="30"/>
  <c r="S145" i="30"/>
  <c r="AV232" i="30"/>
  <c r="AV227" i="30"/>
  <c r="AV240" i="30"/>
  <c r="AP241" i="30"/>
  <c r="AP245" i="30"/>
  <c r="AP242" i="30"/>
  <c r="BD85" i="30"/>
  <c r="BI90" i="30"/>
  <c r="BI85" i="30"/>
  <c r="BI87" i="30"/>
  <c r="BI88" i="30"/>
  <c r="BI111" i="30"/>
  <c r="BI113" i="30"/>
  <c r="BI114" i="30"/>
  <c r="AY31" i="30"/>
  <c r="AY35" i="30"/>
  <c r="X141" i="30"/>
  <c r="X136" i="30"/>
  <c r="AC141" i="30"/>
  <c r="X145" i="30"/>
  <c r="BL43" i="30"/>
  <c r="AE191" i="30"/>
  <c r="AE190" i="30"/>
  <c r="AX31" i="30"/>
  <c r="AX35" i="30"/>
  <c r="BC29" i="30"/>
  <c r="BH8" i="30"/>
  <c r="BG8" i="30"/>
  <c r="BC9" i="30"/>
  <c r="BD30" i="30"/>
  <c r="BI12" i="30"/>
  <c r="BI30" i="30"/>
  <c r="AI58" i="30"/>
  <c r="AI59" i="30"/>
  <c r="AS118" i="30"/>
  <c r="AX116" i="30"/>
  <c r="AS117" i="30"/>
  <c r="AS111" i="30"/>
  <c r="AC24" i="30"/>
  <c r="AN37" i="30"/>
  <c r="AL29" i="30"/>
  <c r="AL31" i="30"/>
  <c r="BA30" i="30"/>
  <c r="BA31" i="30"/>
  <c r="BF12" i="30"/>
  <c r="AT198" i="30"/>
  <c r="AO197" i="30"/>
  <c r="AP97" i="30"/>
  <c r="AP98" i="30"/>
  <c r="AP100" i="30"/>
  <c r="Q45" i="30"/>
  <c r="Q42" i="30"/>
  <c r="J31" i="30"/>
  <c r="J40" i="30"/>
  <c r="J41" i="30"/>
  <c r="J35" i="30"/>
  <c r="AR24" i="30"/>
  <c r="AR50" i="30"/>
  <c r="M146" i="30"/>
  <c r="R147" i="30"/>
  <c r="R149" i="30"/>
  <c r="AE54" i="30"/>
  <c r="AE55" i="30"/>
  <c r="AJ55" i="30"/>
  <c r="AC58" i="30"/>
  <c r="S90" i="30"/>
  <c r="S96" i="30"/>
  <c r="N136" i="30"/>
  <c r="N145" i="30"/>
  <c r="N146" i="30"/>
  <c r="AC189" i="30"/>
  <c r="AC194" i="30"/>
  <c r="AM24" i="30"/>
  <c r="AM50" i="30"/>
  <c r="W51" i="30"/>
  <c r="AB51" i="30"/>
  <c r="V149" i="30"/>
  <c r="V146" i="30"/>
  <c r="V147" i="30"/>
  <c r="AA147" i="30"/>
  <c r="AA149" i="30"/>
  <c r="AL41" i="30"/>
  <c r="AQ47" i="30"/>
  <c r="AZ235" i="30"/>
  <c r="AZ238" i="30"/>
  <c r="AZ236" i="30"/>
  <c r="O117" i="30"/>
  <c r="O118" i="30"/>
  <c r="O120" i="30"/>
  <c r="BF197" i="30"/>
  <c r="BK198" i="30"/>
  <c r="BK197" i="30"/>
  <c r="AQ123" i="30"/>
  <c r="AY13" i="30"/>
  <c r="AY5" i="28"/>
  <c r="AY20" i="30"/>
  <c r="BB142" i="30"/>
  <c r="AK190" i="30"/>
  <c r="AK191" i="30"/>
  <c r="O40" i="30"/>
  <c r="O32" i="30"/>
  <c r="K90" i="30"/>
  <c r="P91" i="30"/>
  <c r="K96" i="30"/>
  <c r="AP210" i="30"/>
  <c r="AP195" i="30"/>
  <c r="AF58" i="30"/>
  <c r="AF59" i="30"/>
  <c r="AK59" i="30"/>
  <c r="U90" i="30"/>
  <c r="U96" i="30"/>
  <c r="AZ221" i="30"/>
  <c r="AH189" i="30"/>
  <c r="AH194" i="30"/>
  <c r="AH210" i="30"/>
  <c r="AH195" i="30"/>
  <c r="AY87" i="30"/>
  <c r="AY96" i="30"/>
  <c r="AY73" i="28"/>
  <c r="AI47" i="30"/>
  <c r="BB217" i="30"/>
  <c r="BB240" i="30"/>
  <c r="AW231" i="30"/>
  <c r="AW226" i="30"/>
  <c r="AX13" i="30"/>
  <c r="AX5" i="28"/>
  <c r="AX20" i="30"/>
  <c r="S24" i="30"/>
  <c r="S50" i="30"/>
  <c r="AV90" i="30"/>
  <c r="AQ85" i="30"/>
  <c r="AQ242" i="30"/>
  <c r="AQ245" i="30"/>
  <c r="AQ241" i="30"/>
  <c r="AW83" i="30"/>
  <c r="AW93" i="30"/>
  <c r="AY230" i="30"/>
  <c r="AY221" i="30"/>
  <c r="BH216" i="30"/>
  <c r="BG216" i="30"/>
  <c r="BC234" i="30"/>
  <c r="BI132" i="30"/>
  <c r="BE30" i="30"/>
  <c r="BJ12" i="30"/>
  <c r="BJ30" i="30"/>
  <c r="BB234" i="30"/>
  <c r="AX235" i="30"/>
  <c r="AX236" i="30"/>
  <c r="AX238" i="30"/>
  <c r="AS32" i="30"/>
  <c r="AS40" i="30"/>
  <c r="AP123" i="30"/>
  <c r="AP124" i="30"/>
  <c r="AY234" i="30"/>
  <c r="BA221" i="30"/>
  <c r="BA230" i="30"/>
  <c r="AU242" i="30"/>
  <c r="BJ132" i="30"/>
  <c r="AW30" i="30"/>
  <c r="AW38" i="30"/>
  <c r="AE51" i="30"/>
  <c r="AJ51" i="30"/>
  <c r="AS24" i="30"/>
  <c r="AS50" i="30"/>
  <c r="AS51" i="30"/>
  <c r="AM118" i="30"/>
  <c r="AM120" i="30"/>
  <c r="AM117" i="30"/>
  <c r="AW20" i="30"/>
  <c r="AW13" i="30"/>
  <c r="AW5" i="28"/>
  <c r="AP88" i="30"/>
  <c r="AP102" i="30"/>
  <c r="AL51" i="30"/>
  <c r="O147" i="30"/>
  <c r="O149" i="30"/>
  <c r="O146" i="30"/>
  <c r="J90" i="30"/>
  <c r="O91" i="30"/>
  <c r="J96" i="30"/>
  <c r="J97" i="30"/>
  <c r="BF108" i="30"/>
  <c r="BF8" i="30"/>
  <c r="BA29" i="30"/>
  <c r="BA9" i="30"/>
  <c r="AR236" i="30"/>
  <c r="AR235" i="30"/>
  <c r="AR238" i="30"/>
  <c r="BH12" i="30"/>
  <c r="BG12" i="30"/>
  <c r="BG23" i="30"/>
  <c r="BC30" i="30"/>
  <c r="Y54" i="30"/>
  <c r="V97" i="30"/>
  <c r="V100" i="30"/>
  <c r="V98" i="30"/>
  <c r="AZ31" i="30"/>
  <c r="AZ35" i="30"/>
  <c r="AM234" i="30"/>
  <c r="AB98" i="30"/>
  <c r="AD190" i="30"/>
  <c r="AD191" i="30"/>
  <c r="O97" i="30"/>
  <c r="T100" i="30"/>
  <c r="T98" i="30"/>
  <c r="AK32" i="30"/>
  <c r="AK40" i="30"/>
  <c r="AK41" i="30"/>
  <c r="AK47" i="30"/>
  <c r="N57" i="30"/>
  <c r="N58" i="30"/>
  <c r="N53" i="30"/>
  <c r="N54" i="30"/>
  <c r="N50" i="30"/>
  <c r="N45" i="30"/>
  <c r="AU87" i="30"/>
  <c r="AU96" i="30"/>
  <c r="AU73" i="28"/>
  <c r="AD236" i="30"/>
  <c r="AJ210" i="30"/>
  <c r="AJ195" i="30"/>
  <c r="AJ189" i="30"/>
  <c r="AJ194" i="30"/>
  <c r="BH75" i="30"/>
  <c r="BL75" i="30"/>
  <c r="BL82" i="30"/>
  <c r="BG75" i="30"/>
  <c r="BG82" i="30"/>
  <c r="AL114" i="30"/>
  <c r="AM113" i="30"/>
  <c r="AL122" i="30"/>
  <c r="AQ124" i="30"/>
  <c r="BE90" i="30"/>
  <c r="AZ85" i="30"/>
  <c r="K31" i="30"/>
  <c r="K40" i="30"/>
  <c r="K41" i="30"/>
  <c r="K47" i="30"/>
  <c r="K35" i="30"/>
  <c r="AW221" i="30"/>
  <c r="AL241" i="30"/>
  <c r="AL242" i="30"/>
  <c r="AL245" i="30"/>
  <c r="AW37" i="30"/>
  <c r="S120" i="30"/>
  <c r="S117" i="30"/>
  <c r="S118" i="30"/>
  <c r="BB226" i="30"/>
  <c r="BB231" i="30"/>
  <c r="L31" i="30"/>
  <c r="L40" i="30"/>
  <c r="L41" i="30"/>
  <c r="L47" i="30"/>
  <c r="L35" i="30"/>
  <c r="AY201" i="30"/>
  <c r="BJ220" i="30"/>
  <c r="BJ231" i="30"/>
  <c r="AV20" i="30"/>
  <c r="AV13" i="30"/>
  <c r="AV5" i="28"/>
  <c r="M31" i="30"/>
  <c r="M40" i="30"/>
  <c r="M41" i="30"/>
  <c r="M47" i="30"/>
  <c r="M35" i="30"/>
  <c r="W42" i="30"/>
  <c r="W45" i="30"/>
  <c r="AF54" i="30"/>
  <c r="AF55" i="30"/>
  <c r="AK55" i="30"/>
  <c r="BE240" i="30"/>
  <c r="BJ216" i="30"/>
  <c r="BE234" i="30"/>
  <c r="Z235" i="30"/>
  <c r="AE238" i="30"/>
  <c r="AE236" i="30"/>
  <c r="AM29" i="30"/>
  <c r="AR227" i="30"/>
  <c r="AR232" i="30"/>
  <c r="AR240" i="30"/>
  <c r="S32" i="30"/>
  <c r="BD29" i="30"/>
  <c r="BI8" i="30"/>
  <c r="BD9" i="30"/>
  <c r="AV111" i="30"/>
  <c r="AV113" i="30"/>
  <c r="AT227" i="30"/>
  <c r="AT232" i="30"/>
  <c r="AT240" i="30"/>
  <c r="T146" i="30"/>
  <c r="T147" i="30"/>
  <c r="T149" i="30"/>
  <c r="Y149" i="30"/>
  <c r="Y147" i="30"/>
  <c r="BD111" i="30"/>
  <c r="BD113" i="30"/>
  <c r="S44" i="30"/>
  <c r="S57" i="30"/>
  <c r="O45" i="30"/>
  <c r="O42" i="30"/>
  <c r="BH132" i="30"/>
  <c r="BG132" i="30"/>
  <c r="Y59" i="30"/>
  <c r="Y58" i="30"/>
  <c r="V91" i="30"/>
  <c r="AA91" i="30"/>
  <c r="BA35" i="30"/>
  <c r="AU32" i="30"/>
  <c r="AU40" i="30"/>
  <c r="AR85" i="30"/>
  <c r="AN87" i="30"/>
  <c r="AN96" i="30"/>
  <c r="AN73" i="28"/>
  <c r="AC225" i="30"/>
  <c r="AC234" i="30"/>
  <c r="AC235" i="30"/>
  <c r="T91" i="30"/>
  <c r="AE127" i="28"/>
  <c r="AE136" i="28"/>
  <c r="BC181" i="28"/>
  <c r="AE135" i="28"/>
  <c r="BF150" i="28"/>
  <c r="BC150" i="28"/>
  <c r="BB150" i="28"/>
  <c r="BH173" i="28"/>
  <c r="AK137" i="28"/>
  <c r="AI137" i="28"/>
  <c r="AI127" i="28"/>
  <c r="AI136" i="28"/>
  <c r="AI132" i="28"/>
  <c r="AG181" i="28"/>
  <c r="AL181" i="28"/>
  <c r="AU181" i="28"/>
  <c r="AG126" i="28"/>
  <c r="AF122" i="28"/>
  <c r="AF135" i="28"/>
  <c r="AF125" i="28"/>
  <c r="AK130" i="28"/>
  <c r="AH30" i="28"/>
  <c r="AH39" i="28"/>
  <c r="AH25" i="28"/>
  <c r="AH182" i="28"/>
  <c r="AG190" i="28"/>
  <c r="AG195" i="28"/>
  <c r="AG120" i="28"/>
  <c r="AG111" i="28"/>
  <c r="AG113" i="28"/>
  <c r="AG98" i="28"/>
  <c r="BD181" i="28"/>
  <c r="AH121" i="28"/>
  <c r="AH112" i="28"/>
  <c r="AH99" i="28"/>
  <c r="AH191" i="28"/>
  <c r="AH196" i="28"/>
  <c r="AH93" i="28"/>
  <c r="BF173" i="28"/>
  <c r="BE150" i="28"/>
  <c r="AJ132" i="28"/>
  <c r="BL162" i="27"/>
  <c r="BP292" i="27"/>
  <c r="AH296" i="27"/>
  <c r="AH295" i="27"/>
  <c r="BL189" i="27"/>
  <c r="BC100" i="27"/>
  <c r="BD100" i="27"/>
  <c r="AH34" i="27"/>
  <c r="AH43" i="27"/>
  <c r="R101" i="15"/>
  <c r="BP33" i="27"/>
  <c r="AU14" i="27"/>
  <c r="AK296" i="27"/>
  <c r="AK295" i="27"/>
  <c r="AG43" i="27"/>
  <c r="Q101" i="15"/>
  <c r="AG34" i="27"/>
  <c r="AM280" i="27"/>
  <c r="AN323" i="27"/>
  <c r="AO321" i="27"/>
  <c r="AN115" i="27"/>
  <c r="AO276" i="27"/>
  <c r="AS14" i="27"/>
  <c r="AM26" i="27"/>
  <c r="BC223" i="27"/>
  <c r="BG167" i="27"/>
  <c r="BG223" i="27"/>
  <c r="BH167" i="27"/>
  <c r="AT14" i="27"/>
  <c r="AO256" i="27"/>
  <c r="AP252" i="27"/>
  <c r="AN257" i="27"/>
  <c r="AK309" i="27"/>
  <c r="AK307" i="27"/>
  <c r="AM307" i="27"/>
  <c r="AM306" i="27"/>
  <c r="AG309" i="27"/>
  <c r="AG307" i="27"/>
  <c r="AH307" i="27"/>
  <c r="AH306" i="27"/>
  <c r="AF43" i="27"/>
  <c r="P101" i="15"/>
  <c r="AF34" i="27"/>
  <c r="BK162" i="27"/>
  <c r="AQ58" i="27"/>
  <c r="AR58" i="27"/>
  <c r="BR58" i="27"/>
  <c r="AI35" i="27"/>
  <c r="AI43" i="27"/>
  <c r="S101" i="15"/>
  <c r="AI34" i="27"/>
  <c r="AM315" i="27"/>
  <c r="AP131" i="27"/>
  <c r="BH113" i="27"/>
  <c r="BI113" i="27"/>
  <c r="BJ113" i="27"/>
  <c r="BK113" i="27"/>
  <c r="BL113" i="27"/>
  <c r="BE202" i="27"/>
  <c r="BB202" i="27"/>
  <c r="AO254" i="27"/>
  <c r="AO257" i="27"/>
  <c r="AP248" i="27"/>
  <c r="AD43" i="27"/>
  <c r="N101" i="15"/>
  <c r="AD34" i="27"/>
  <c r="AE34" i="27"/>
  <c r="AE43" i="27"/>
  <c r="O101" i="15"/>
  <c r="BJ162" i="27"/>
  <c r="AR140" i="27"/>
  <c r="AK34" i="27"/>
  <c r="AK35" i="27"/>
  <c r="AK43" i="27"/>
  <c r="U101" i="15"/>
  <c r="AZ223" i="27"/>
  <c r="BE167" i="27"/>
  <c r="AS121" i="27"/>
  <c r="AV14" i="27"/>
  <c r="AO122" i="27"/>
  <c r="AN129" i="27"/>
  <c r="AP89" i="27"/>
  <c r="AP201" i="27"/>
  <c r="AR87" i="27"/>
  <c r="AO322" i="27"/>
  <c r="AN134" i="27"/>
  <c r="AN136" i="27"/>
  <c r="AJ43" i="27"/>
  <c r="T101" i="15"/>
  <c r="AJ34" i="27"/>
  <c r="AJ35" i="27"/>
  <c r="AO200" i="30"/>
  <c r="AO193" i="30"/>
  <c r="BI134" i="33"/>
  <c r="BG133" i="33"/>
  <c r="BG59" i="33"/>
  <c r="N88" i="30"/>
  <c r="N85" i="30"/>
  <c r="S51" i="30"/>
  <c r="AJ76" i="28"/>
  <c r="AJ102" i="28"/>
  <c r="AJ103" i="28"/>
  <c r="U123" i="15"/>
  <c r="U113" i="15"/>
  <c r="U109" i="15"/>
  <c r="R123" i="15"/>
  <c r="R109" i="15"/>
  <c r="AC190" i="30"/>
  <c r="AC76" i="28"/>
  <c r="BH107" i="27"/>
  <c r="BI107" i="27"/>
  <c r="BJ107" i="27"/>
  <c r="BK107" i="27"/>
  <c r="BL107" i="27"/>
  <c r="AD89" i="28"/>
  <c r="AD78" i="28"/>
  <c r="O123" i="15"/>
  <c r="O109" i="15"/>
  <c r="P123" i="15"/>
  <c r="P109" i="15"/>
  <c r="AM51" i="30"/>
  <c r="AC16" i="28"/>
  <c r="AC19" i="28"/>
  <c r="AC11" i="28"/>
  <c r="N123" i="15"/>
  <c r="N109" i="15"/>
  <c r="AK89" i="28"/>
  <c r="AK78" i="28"/>
  <c r="T123" i="15"/>
  <c r="T113" i="15"/>
  <c r="T109" i="15"/>
  <c r="S123" i="15"/>
  <c r="S113" i="15"/>
  <c r="S109" i="15"/>
  <c r="AE78" i="28"/>
  <c r="E40" i="26"/>
  <c r="AF78" i="28"/>
  <c r="Q123" i="15"/>
  <c r="Q109" i="15"/>
  <c r="AH84" i="28"/>
  <c r="AH87" i="28"/>
  <c r="AH76" i="28"/>
  <c r="AH89" i="28"/>
  <c r="AH102" i="28"/>
  <c r="AH103" i="28"/>
  <c r="O98" i="30"/>
  <c r="O100" i="30"/>
  <c r="AR51" i="30"/>
  <c r="AR16" i="34"/>
  <c r="AR17" i="34"/>
  <c r="AZ15" i="34"/>
  <c r="AG12" i="34"/>
  <c r="AG22" i="34"/>
  <c r="AH7" i="34"/>
  <c r="AH12" i="34"/>
  <c r="AX15" i="34"/>
  <c r="AN11" i="34"/>
  <c r="AN8" i="34"/>
  <c r="AN159" i="30"/>
  <c r="AR6" i="34"/>
  <c r="AR11" i="34"/>
  <c r="AO11" i="34"/>
  <c r="AU22" i="34"/>
  <c r="AP7" i="34"/>
  <c r="AP12" i="34"/>
  <c r="AS6" i="34"/>
  <c r="AS157" i="30"/>
  <c r="AS17" i="34"/>
  <c r="BD19" i="34"/>
  <c r="BI32" i="34"/>
  <c r="BI19" i="34"/>
  <c r="BA32" i="34"/>
  <c r="AV19" i="34"/>
  <c r="AW19" i="34"/>
  <c r="AW32" i="34"/>
  <c r="AT15" i="34"/>
  <c r="AW15" i="34"/>
  <c r="AQ6" i="34"/>
  <c r="AQ157" i="30"/>
  <c r="AQ200" i="30"/>
  <c r="AQ193" i="30"/>
  <c r="AU6" i="34"/>
  <c r="AU157" i="30"/>
  <c r="AU17" i="34"/>
  <c r="AW38" i="34"/>
  <c r="AW39" i="34"/>
  <c r="AP11" i="34"/>
  <c r="S15" i="34"/>
  <c r="T17" i="34"/>
  <c r="AV17" i="34"/>
  <c r="AJ23" i="34"/>
  <c r="AO22" i="34"/>
  <c r="BH19" i="34"/>
  <c r="AL11" i="34"/>
  <c r="AM6" i="34"/>
  <c r="AM11" i="34"/>
  <c r="AS22" i="34"/>
  <c r="AN7" i="34"/>
  <c r="BE132" i="33"/>
  <c r="BE127" i="33"/>
  <c r="BA131" i="33"/>
  <c r="BF123" i="33"/>
  <c r="BA124" i="33"/>
  <c r="AL22" i="33"/>
  <c r="AG23" i="33"/>
  <c r="AG31" i="33"/>
  <c r="BK90" i="33"/>
  <c r="AY77" i="33"/>
  <c r="AL60" i="33"/>
  <c r="AL62" i="33"/>
  <c r="AL80" i="33"/>
  <c r="P36" i="33"/>
  <c r="Q37" i="33"/>
  <c r="Q24" i="33"/>
  <c r="BD67" i="33"/>
  <c r="BD69" i="33"/>
  <c r="BD90" i="33"/>
  <c r="BI67" i="33"/>
  <c r="BI69" i="33"/>
  <c r="BI90" i="33"/>
  <c r="Y32" i="33"/>
  <c r="BL133" i="33"/>
  <c r="BL59" i="33"/>
  <c r="AZ132" i="33"/>
  <c r="AZ127" i="33"/>
  <c r="AZ134" i="33"/>
  <c r="AU39" i="33"/>
  <c r="BH15" i="33"/>
  <c r="BL8" i="33"/>
  <c r="BL15" i="33"/>
  <c r="BC132" i="33"/>
  <c r="BC127" i="33"/>
  <c r="BH109" i="33"/>
  <c r="BH84" i="33"/>
  <c r="BC84" i="33"/>
  <c r="AR114" i="33"/>
  <c r="X23" i="33"/>
  <c r="X39" i="33"/>
  <c r="AC33" i="33"/>
  <c r="AC25" i="33"/>
  <c r="X36" i="33"/>
  <c r="AR127" i="33"/>
  <c r="AR134" i="33"/>
  <c r="AX134" i="33"/>
  <c r="AN60" i="33"/>
  <c r="AN62" i="33"/>
  <c r="AN80" i="33"/>
  <c r="BL122" i="33"/>
  <c r="BL130" i="33"/>
  <c r="BH124" i="33"/>
  <c r="AQ85" i="33"/>
  <c r="BI117" i="33"/>
  <c r="AV127" i="33"/>
  <c r="AV132" i="33"/>
  <c r="AW124" i="33"/>
  <c r="AW132" i="33"/>
  <c r="AV67" i="33"/>
  <c r="AV69" i="33"/>
  <c r="AO70" i="33"/>
  <c r="AO72" i="33"/>
  <c r="AO91" i="33"/>
  <c r="AO87" i="33"/>
  <c r="AM71" i="33"/>
  <c r="AM78" i="33"/>
  <c r="AM74" i="33"/>
  <c r="AU84" i="33"/>
  <c r="AZ109" i="33"/>
  <c r="BB124" i="33"/>
  <c r="BB132" i="33"/>
  <c r="BJ123" i="33"/>
  <c r="BE131" i="33"/>
  <c r="BG123" i="33"/>
  <c r="BG131" i="33"/>
  <c r="AX67" i="33"/>
  <c r="AX69" i="33"/>
  <c r="AX90" i="33"/>
  <c r="BF117" i="33"/>
  <c r="BC117" i="33"/>
  <c r="AJ36" i="33"/>
  <c r="AI22" i="33"/>
  <c r="R39" i="33"/>
  <c r="R23" i="33"/>
  <c r="W33" i="33"/>
  <c r="W25" i="33"/>
  <c r="AQ77" i="33"/>
  <c r="AS77" i="33"/>
  <c r="BF90" i="33"/>
  <c r="AP85" i="33"/>
  <c r="AP87" i="33"/>
  <c r="AP93" i="33"/>
  <c r="AF37" i="33"/>
  <c r="AF32" i="33"/>
  <c r="AP90" i="33"/>
  <c r="AP67" i="33"/>
  <c r="AP69" i="33"/>
  <c r="AR84" i="33"/>
  <c r="AN78" i="33"/>
  <c r="AH22" i="33"/>
  <c r="AM39" i="32"/>
  <c r="AM45" i="32"/>
  <c r="AM18" i="32"/>
  <c r="BI26" i="32"/>
  <c r="AS25" i="32"/>
  <c r="AS8" i="32"/>
  <c r="BJ26" i="32"/>
  <c r="AO33" i="32"/>
  <c r="AR7" i="32"/>
  <c r="AR15" i="32"/>
  <c r="AP14" i="32"/>
  <c r="AP10" i="32"/>
  <c r="AP30" i="32"/>
  <c r="AP33" i="32"/>
  <c r="AQ31" i="32"/>
  <c r="AR31" i="32"/>
  <c r="AR24" i="32"/>
  <c r="AQ23" i="32"/>
  <c r="AQ6" i="32"/>
  <c r="BD17" i="32"/>
  <c r="BI9" i="32"/>
  <c r="BI17" i="32"/>
  <c r="AR8" i="32"/>
  <c r="AR16" i="32"/>
  <c r="AO10" i="32"/>
  <c r="AO14" i="32"/>
  <c r="BK26" i="32"/>
  <c r="BC17" i="32"/>
  <c r="BH9" i="32"/>
  <c r="BH17" i="32"/>
  <c r="BG9" i="32"/>
  <c r="AN18" i="32"/>
  <c r="AN39" i="32"/>
  <c r="AN45" i="32"/>
  <c r="BH35" i="31"/>
  <c r="BI35" i="31"/>
  <c r="BJ35" i="31"/>
  <c r="BK35" i="31"/>
  <c r="BL35" i="31"/>
  <c r="BF45" i="31"/>
  <c r="BA48" i="31"/>
  <c r="BA51" i="31"/>
  <c r="BK70" i="31"/>
  <c r="BH45" i="31"/>
  <c r="BC48" i="31"/>
  <c r="BC51" i="31"/>
  <c r="BG45" i="31"/>
  <c r="BG48" i="31"/>
  <c r="BG51" i="31"/>
  <c r="AW23" i="31"/>
  <c r="AW28" i="31"/>
  <c r="AX23" i="31"/>
  <c r="BH70" i="31"/>
  <c r="BA17" i="31"/>
  <c r="AN37" i="31"/>
  <c r="AN40" i="31"/>
  <c r="AO34" i="31"/>
  <c r="AN42" i="31"/>
  <c r="AO22" i="31"/>
  <c r="BJ70" i="31"/>
  <c r="BI70" i="31"/>
  <c r="AN27" i="31"/>
  <c r="AN24" i="31"/>
  <c r="AM24" i="31"/>
  <c r="AM27" i="31"/>
  <c r="AM70" i="31"/>
  <c r="AH63" i="31"/>
  <c r="AL29" i="31"/>
  <c r="AL8" i="31"/>
  <c r="BE17" i="31"/>
  <c r="BG230" i="30"/>
  <c r="BG225" i="30"/>
  <c r="S59" i="30"/>
  <c r="S58" i="30"/>
  <c r="BA40" i="30"/>
  <c r="BG220" i="30"/>
  <c r="BC231" i="30"/>
  <c r="AM37" i="30"/>
  <c r="AM31" i="30"/>
  <c r="BD114" i="30"/>
  <c r="BD122" i="30"/>
  <c r="S97" i="30"/>
  <c r="X100" i="30"/>
  <c r="X98" i="30"/>
  <c r="X97" i="30"/>
  <c r="AC100" i="30"/>
  <c r="AC98" i="30"/>
  <c r="BE118" i="30"/>
  <c r="BJ116" i="30"/>
  <c r="BE117" i="30"/>
  <c r="BE111" i="30"/>
  <c r="BE113" i="30"/>
  <c r="AM87" i="30"/>
  <c r="AM90" i="30"/>
  <c r="AM91" i="30"/>
  <c r="AM96" i="30"/>
  <c r="AM73" i="28"/>
  <c r="X91" i="30"/>
  <c r="AC91" i="30"/>
  <c r="AL88" i="30"/>
  <c r="AL102" i="30"/>
  <c r="BL12" i="30"/>
  <c r="BL23" i="30"/>
  <c r="BH30" i="30"/>
  <c r="BL30" i="30"/>
  <c r="BB13" i="30"/>
  <c r="BB5" i="28"/>
  <c r="BB20" i="30"/>
  <c r="AN88" i="30"/>
  <c r="AN102" i="30"/>
  <c r="AV47" i="30"/>
  <c r="AQ41" i="30"/>
  <c r="AP246" i="30"/>
  <c r="AP247" i="30"/>
  <c r="AS241" i="30"/>
  <c r="AS245" i="30"/>
  <c r="AX247" i="30"/>
  <c r="AS242" i="30"/>
  <c r="BL216" i="30"/>
  <c r="BH234" i="30"/>
  <c r="AX242" i="30"/>
  <c r="AJ191" i="30"/>
  <c r="AJ190" i="30"/>
  <c r="BE227" i="30"/>
  <c r="BE232" i="30"/>
  <c r="BA117" i="30"/>
  <c r="BF116" i="30"/>
  <c r="BA118" i="30"/>
  <c r="AL40" i="30"/>
  <c r="AL42" i="30"/>
  <c r="AL32" i="30"/>
  <c r="AO37" i="30"/>
  <c r="AN29" i="30"/>
  <c r="AV114" i="30"/>
  <c r="AV122" i="30"/>
  <c r="BD13" i="30"/>
  <c r="BD5" i="28"/>
  <c r="BD20" i="30"/>
  <c r="AU88" i="30"/>
  <c r="AU102" i="30"/>
  <c r="L97" i="30"/>
  <c r="Q100" i="30"/>
  <c r="Q98" i="30"/>
  <c r="AU124" i="30"/>
  <c r="AU123" i="30"/>
  <c r="BI9" i="30"/>
  <c r="BI29" i="30"/>
  <c r="AY100" i="30"/>
  <c r="AY98" i="30"/>
  <c r="AY97" i="30"/>
  <c r="AX117" i="30"/>
  <c r="AX118" i="30"/>
  <c r="BC116" i="30"/>
  <c r="AX111" i="30"/>
  <c r="BG81" i="30"/>
  <c r="BG76" i="30"/>
  <c r="BG6" i="28"/>
  <c r="BU6" i="28"/>
  <c r="AH238" i="30"/>
  <c r="X45" i="30"/>
  <c r="X42" i="30"/>
  <c r="X53" i="30"/>
  <c r="BF230" i="30"/>
  <c r="BF221" i="30"/>
  <c r="BD31" i="30"/>
  <c r="BD35" i="30"/>
  <c r="AH191" i="30"/>
  <c r="AH190" i="30"/>
  <c r="AN114" i="30"/>
  <c r="AR113" i="30"/>
  <c r="AN122" i="30"/>
  <c r="BD230" i="30"/>
  <c r="BD221" i="30"/>
  <c r="BD87" i="30"/>
  <c r="BD96" i="30"/>
  <c r="BD73" i="28"/>
  <c r="BD234" i="30"/>
  <c r="AN98" i="30"/>
  <c r="AN100" i="30"/>
  <c r="AN97" i="30"/>
  <c r="BH29" i="30"/>
  <c r="BH9" i="30"/>
  <c r="BE235" i="30"/>
  <c r="BE236" i="30"/>
  <c r="BE238" i="30"/>
  <c r="BF30" i="30"/>
  <c r="BG30" i="30"/>
  <c r="BK12" i="30"/>
  <c r="BK30" i="30"/>
  <c r="BK231" i="30"/>
  <c r="BJ219" i="30"/>
  <c r="BJ234" i="30"/>
  <c r="U91" i="30"/>
  <c r="Z91" i="30"/>
  <c r="AI194" i="30"/>
  <c r="AI210" i="30"/>
  <c r="AI189" i="30"/>
  <c r="AM193" i="30"/>
  <c r="AI195" i="30"/>
  <c r="BA227" i="30"/>
  <c r="BA232" i="30"/>
  <c r="BA240" i="30"/>
  <c r="T47" i="30"/>
  <c r="AI48" i="30"/>
  <c r="AN47" i="30"/>
  <c r="BE24" i="30"/>
  <c r="BE50" i="30"/>
  <c r="BE51" i="30"/>
  <c r="BI102" i="30"/>
  <c r="W41" i="30"/>
  <c r="W47" i="30"/>
  <c r="W53" i="30"/>
  <c r="AW111" i="30"/>
  <c r="AW116" i="30"/>
  <c r="AS113" i="30"/>
  <c r="BE31" i="30"/>
  <c r="BE35" i="30"/>
  <c r="BB30" i="30"/>
  <c r="BB38" i="30"/>
  <c r="BC221" i="30"/>
  <c r="BG142" i="30"/>
  <c r="BF111" i="30"/>
  <c r="BF113" i="30"/>
  <c r="BF114" i="30"/>
  <c r="BK108" i="30"/>
  <c r="BL108" i="30"/>
  <c r="AW24" i="30"/>
  <c r="AW50" i="30"/>
  <c r="AW51" i="30"/>
  <c r="AQ247" i="30"/>
  <c r="AQ246" i="30"/>
  <c r="AY88" i="30"/>
  <c r="AY102" i="30"/>
  <c r="BC83" i="30"/>
  <c r="BC93" i="30"/>
  <c r="AO246" i="30"/>
  <c r="AO247" i="30"/>
  <c r="AH58" i="30"/>
  <c r="AH59" i="30"/>
  <c r="BF234" i="30"/>
  <c r="AU247" i="30"/>
  <c r="BF35" i="30"/>
  <c r="BB227" i="30"/>
  <c r="BB232" i="30"/>
  <c r="Q41" i="30"/>
  <c r="Q47" i="30"/>
  <c r="Q48" i="30"/>
  <c r="Q53" i="30"/>
  <c r="AZ87" i="30"/>
  <c r="AZ96" i="30"/>
  <c r="AZ73" i="28"/>
  <c r="AJ48" i="30"/>
  <c r="AO47" i="30"/>
  <c r="BJ20" i="30"/>
  <c r="BJ13" i="30"/>
  <c r="BJ5" i="28"/>
  <c r="AL124" i="30"/>
  <c r="AL123" i="30"/>
  <c r="AO195" i="30"/>
  <c r="AX24" i="30"/>
  <c r="AX50" i="30"/>
  <c r="AX51" i="30"/>
  <c r="P41" i="30"/>
  <c r="P47" i="30"/>
  <c r="P48" i="30"/>
  <c r="P53" i="30"/>
  <c r="AM241" i="30"/>
  <c r="AM245" i="30"/>
  <c r="AM242" i="30"/>
  <c r="AT242" i="30"/>
  <c r="AT241" i="30"/>
  <c r="AT245" i="30"/>
  <c r="U98" i="30"/>
  <c r="U97" i="30"/>
  <c r="U100" i="30"/>
  <c r="Z98" i="30"/>
  <c r="Z100" i="30"/>
  <c r="AX40" i="30"/>
  <c r="AX32" i="30"/>
  <c r="BH219" i="30"/>
  <c r="BA13" i="30"/>
  <c r="BA20" i="30"/>
  <c r="T54" i="30"/>
  <c r="AS87" i="30"/>
  <c r="AW85" i="30"/>
  <c r="AS96" i="30"/>
  <c r="AS73" i="28"/>
  <c r="BF29" i="30"/>
  <c r="BF31" i="30"/>
  <c r="BK8" i="30"/>
  <c r="BF9" i="30"/>
  <c r="AY236" i="30"/>
  <c r="AY238" i="30"/>
  <c r="AY235" i="30"/>
  <c r="BI96" i="30"/>
  <c r="BI73" i="28"/>
  <c r="AU98" i="30"/>
  <c r="AU100" i="30"/>
  <c r="AU97" i="30"/>
  <c r="R41" i="30"/>
  <c r="R47" i="30"/>
  <c r="R48" i="30"/>
  <c r="R53" i="30"/>
  <c r="AM238" i="30"/>
  <c r="AM235" i="30"/>
  <c r="AM236" i="30"/>
  <c r="BA111" i="30"/>
  <c r="BA113" i="30"/>
  <c r="BL74" i="30"/>
  <c r="BH76" i="30"/>
  <c r="BH6" i="28"/>
  <c r="BC31" i="30"/>
  <c r="BC35" i="30"/>
  <c r="BL132" i="30"/>
  <c r="AR242" i="30"/>
  <c r="AR241" i="30"/>
  <c r="AR245" i="30"/>
  <c r="AW232" i="30"/>
  <c r="AW227" i="30"/>
  <c r="AW240" i="30"/>
  <c r="AH236" i="30"/>
  <c r="U41" i="30"/>
  <c r="U47" i="30"/>
  <c r="U53" i="30"/>
  <c r="BK219" i="30"/>
  <c r="BA90" i="30"/>
  <c r="AV85" i="30"/>
  <c r="BB31" i="30"/>
  <c r="S45" i="30"/>
  <c r="S42" i="30"/>
  <c r="S53" i="30"/>
  <c r="BB236" i="30"/>
  <c r="BB238" i="30"/>
  <c r="BB235" i="30"/>
  <c r="K97" i="30"/>
  <c r="P98" i="30"/>
  <c r="P100" i="30"/>
  <c r="BI122" i="30"/>
  <c r="AZ114" i="30"/>
  <c r="AZ122" i="30"/>
  <c r="AL98" i="30"/>
  <c r="AL100" i="30"/>
  <c r="AL97" i="30"/>
  <c r="BE85" i="30"/>
  <c r="BJ90" i="30"/>
  <c r="BJ85" i="30"/>
  <c r="BC20" i="30"/>
  <c r="BC13" i="30"/>
  <c r="BC5" i="28"/>
  <c r="AR117" i="30"/>
  <c r="AR118" i="30"/>
  <c r="AR120" i="30"/>
  <c r="BI219" i="30"/>
  <c r="BI234" i="30"/>
  <c r="BG19" i="30"/>
  <c r="BG9" i="30"/>
  <c r="AM114" i="30"/>
  <c r="AM122" i="30"/>
  <c r="AN193" i="30"/>
  <c r="AR197" i="30"/>
  <c r="AR198" i="30"/>
  <c r="AX198" i="30"/>
  <c r="AS197" i="30"/>
  <c r="AR87" i="30"/>
  <c r="AR90" i="30"/>
  <c r="AR91" i="30"/>
  <c r="AR96" i="30"/>
  <c r="AR73" i="28"/>
  <c r="BC236" i="30"/>
  <c r="BC235" i="30"/>
  <c r="BC238" i="30"/>
  <c r="BG234" i="30"/>
  <c r="AT197" i="30"/>
  <c r="AY198" i="30"/>
  <c r="BG217" i="30"/>
  <c r="AV241" i="30"/>
  <c r="AV242" i="30"/>
  <c r="AV245" i="30"/>
  <c r="AX246" i="30"/>
  <c r="AZ227" i="30"/>
  <c r="AZ232" i="30"/>
  <c r="AZ240" i="30"/>
  <c r="BE245" i="30"/>
  <c r="BE242" i="30"/>
  <c r="BE241" i="30"/>
  <c r="BB245" i="30"/>
  <c r="BB241" i="30"/>
  <c r="BB242" i="30"/>
  <c r="BC90" i="30"/>
  <c r="AX85" i="30"/>
  <c r="AY227" i="30"/>
  <c r="AY232" i="30"/>
  <c r="AY240" i="30"/>
  <c r="AY50" i="30"/>
  <c r="AY51" i="30"/>
  <c r="AY24" i="30"/>
  <c r="S149" i="30"/>
  <c r="S146" i="30"/>
  <c r="S147" i="30"/>
  <c r="BB83" i="30"/>
  <c r="BB93" i="30"/>
  <c r="BH220" i="30"/>
  <c r="AM41" i="30"/>
  <c r="AM47" i="30"/>
  <c r="AM48" i="30"/>
  <c r="X51" i="30"/>
  <c r="X149" i="30"/>
  <c r="X146" i="30"/>
  <c r="X147" i="30"/>
  <c r="AC147" i="30"/>
  <c r="AC149" i="30"/>
  <c r="AL246" i="30"/>
  <c r="AL247" i="30"/>
  <c r="AP104" i="30"/>
  <c r="AP103" i="30"/>
  <c r="AW31" i="30"/>
  <c r="AH54" i="30"/>
  <c r="AH55" i="30"/>
  <c r="X59" i="30"/>
  <c r="X58" i="30"/>
  <c r="AZ40" i="30"/>
  <c r="AZ32" i="30"/>
  <c r="O41" i="30"/>
  <c r="O53" i="30"/>
  <c r="T55" i="30"/>
  <c r="AV50" i="30"/>
  <c r="AV51" i="30"/>
  <c r="AV24" i="30"/>
  <c r="AK48" i="30"/>
  <c r="AP47" i="30"/>
  <c r="AQ87" i="30"/>
  <c r="AQ96" i="30"/>
  <c r="AQ73" i="28"/>
  <c r="N41" i="30"/>
  <c r="N47" i="30"/>
  <c r="J47" i="30"/>
  <c r="AY40" i="30"/>
  <c r="AY32" i="30"/>
  <c r="V41" i="30"/>
  <c r="V47" i="30"/>
  <c r="V53" i="30"/>
  <c r="BG108" i="30"/>
  <c r="BI118" i="30"/>
  <c r="BI117" i="30"/>
  <c r="BJ27" i="30"/>
  <c r="BI27" i="30"/>
  <c r="BK27" i="30"/>
  <c r="BH27" i="30"/>
  <c r="BL35" i="30"/>
  <c r="BG150" i="28"/>
  <c r="BH150" i="28"/>
  <c r="AQ181" i="28"/>
  <c r="AF127" i="28"/>
  <c r="AF136" i="28"/>
  <c r="AF137" i="28"/>
  <c r="AK132" i="28"/>
  <c r="BK173" i="28"/>
  <c r="BH181" i="28"/>
  <c r="AH38" i="28"/>
  <c r="AH40" i="28"/>
  <c r="AH181" i="28"/>
  <c r="BK150" i="28"/>
  <c r="AZ181" i="28"/>
  <c r="BI181" i="28"/>
  <c r="AH120" i="28"/>
  <c r="AH98" i="28"/>
  <c r="AH190" i="28"/>
  <c r="AH195" i="28"/>
  <c r="AH111" i="28"/>
  <c r="AH113" i="28"/>
  <c r="AG122" i="28"/>
  <c r="AG135" i="28"/>
  <c r="AG125" i="28"/>
  <c r="BJ150" i="28"/>
  <c r="AH126" i="28"/>
  <c r="AE137" i="28"/>
  <c r="BE223" i="27"/>
  <c r="BJ167" i="27"/>
  <c r="BJ223" i="27"/>
  <c r="AF44" i="27"/>
  <c r="AF49" i="27"/>
  <c r="AF47" i="27"/>
  <c r="AZ14" i="27"/>
  <c r="BJ202" i="27"/>
  <c r="BL202" i="27"/>
  <c r="BG202" i="27"/>
  <c r="AP322" i="27"/>
  <c r="AO134" i="27"/>
  <c r="AO136" i="27"/>
  <c r="BE100" i="27"/>
  <c r="BF100" i="27"/>
  <c r="BG100" i="27"/>
  <c r="BH100" i="27"/>
  <c r="BI100" i="27"/>
  <c r="BJ100" i="27"/>
  <c r="BK100" i="27"/>
  <c r="BL100" i="27"/>
  <c r="AP204" i="27"/>
  <c r="AR201" i="27"/>
  <c r="AR204" i="27"/>
  <c r="AK49" i="27"/>
  <c r="AK44" i="27"/>
  <c r="AK47" i="27"/>
  <c r="AX14" i="27"/>
  <c r="AJ49" i="27"/>
  <c r="AJ44" i="27"/>
  <c r="AJ47" i="27"/>
  <c r="AP276" i="27"/>
  <c r="AN138" i="27"/>
  <c r="AI49" i="27"/>
  <c r="AI44" i="27"/>
  <c r="AI47" i="27"/>
  <c r="AK306" i="27"/>
  <c r="AP122" i="27"/>
  <c r="AO129" i="27"/>
  <c r="AO138" i="27"/>
  <c r="AQ252" i="27"/>
  <c r="AP256" i="27"/>
  <c r="AE44" i="27"/>
  <c r="AE49" i="27"/>
  <c r="AE47" i="27"/>
  <c r="AY14" i="27"/>
  <c r="AD44" i="27"/>
  <c r="AD49" i="27"/>
  <c r="AD47" i="27"/>
  <c r="AG49" i="27"/>
  <c r="AG44" i="27"/>
  <c r="AG47" i="27"/>
  <c r="AP254" i="27"/>
  <c r="AQ248" i="27"/>
  <c r="AH49" i="27"/>
  <c r="AH44" i="27"/>
  <c r="AH47" i="27"/>
  <c r="AG306" i="27"/>
  <c r="AR89" i="27"/>
  <c r="BR87" i="27"/>
  <c r="AQ131" i="27"/>
  <c r="AS140" i="27"/>
  <c r="AP321" i="27"/>
  <c r="AO323" i="27"/>
  <c r="AO115" i="27"/>
  <c r="BA14" i="27"/>
  <c r="AT121" i="27"/>
  <c r="AS87" i="27"/>
  <c r="AS58" i="27"/>
  <c r="BQ280" i="27"/>
  <c r="AN280" i="27"/>
  <c r="BH223" i="27"/>
  <c r="BL167" i="27"/>
  <c r="BL223" i="27"/>
  <c r="AS200" i="30"/>
  <c r="AR157" i="30"/>
  <c r="AQ195" i="30"/>
  <c r="AQ210" i="30"/>
  <c r="AR200" i="30"/>
  <c r="AO210" i="30"/>
  <c r="AR201" i="30"/>
  <c r="AU201" i="30"/>
  <c r="AN9" i="28"/>
  <c r="AN160" i="30"/>
  <c r="AN168" i="30"/>
  <c r="AN167" i="30"/>
  <c r="AN165" i="30"/>
  <c r="AN181" i="30"/>
  <c r="N90" i="30"/>
  <c r="S91" i="30"/>
  <c r="N96" i="30"/>
  <c r="BA32" i="30"/>
  <c r="BA5" i="28"/>
  <c r="AC89" i="28"/>
  <c r="AC78" i="28"/>
  <c r="AI76" i="28"/>
  <c r="AI102" i="28"/>
  <c r="AI103" i="28"/>
  <c r="AH78" i="28"/>
  <c r="AJ89" i="28"/>
  <c r="AJ78" i="28"/>
  <c r="AW17" i="34"/>
  <c r="AW16" i="34"/>
  <c r="AN13" i="34"/>
  <c r="AS7" i="34"/>
  <c r="AX22" i="34"/>
  <c r="AQ11" i="34"/>
  <c r="AS8" i="34"/>
  <c r="AS159" i="30"/>
  <c r="AS160" i="30"/>
  <c r="AS11" i="34"/>
  <c r="AU7" i="34"/>
  <c r="AU12" i="34"/>
  <c r="AZ22" i="34"/>
  <c r="S16" i="34"/>
  <c r="X17" i="34"/>
  <c r="BA38" i="34"/>
  <c r="AX17" i="34"/>
  <c r="AX6" i="34"/>
  <c r="AX157" i="30"/>
  <c r="AT6" i="34"/>
  <c r="AT17" i="34"/>
  <c r="AT22" i="34"/>
  <c r="AO7" i="34"/>
  <c r="AV6" i="34"/>
  <c r="AV157" i="30"/>
  <c r="AV200" i="30"/>
  <c r="AV193" i="30"/>
  <c r="AP8" i="34"/>
  <c r="AN12" i="34"/>
  <c r="AU11" i="34"/>
  <c r="AY38" i="34"/>
  <c r="AL22" i="34"/>
  <c r="AH22" i="34"/>
  <c r="AZ6" i="34"/>
  <c r="AZ157" i="30"/>
  <c r="AZ17" i="34"/>
  <c r="BF32" i="34"/>
  <c r="BA19" i="34"/>
  <c r="BB19" i="34"/>
  <c r="BB32" i="34"/>
  <c r="BD77" i="33"/>
  <c r="BH132" i="33"/>
  <c r="BH127" i="33"/>
  <c r="AN63" i="33"/>
  <c r="AN46" i="33"/>
  <c r="BC90" i="33"/>
  <c r="BC67" i="33"/>
  <c r="BC69" i="33"/>
  <c r="AR67" i="33"/>
  <c r="AR90" i="33"/>
  <c r="AR109" i="33"/>
  <c r="AR110" i="33"/>
  <c r="AG37" i="33"/>
  <c r="AL23" i="33"/>
  <c r="AL24" i="33"/>
  <c r="AG32" i="33"/>
  <c r="AO78" i="33"/>
  <c r="AO74" i="33"/>
  <c r="BA132" i="33"/>
  <c r="BA127" i="33"/>
  <c r="BA67" i="33"/>
  <c r="BA69" i="33"/>
  <c r="BH67" i="33"/>
  <c r="BH69" i="33"/>
  <c r="BH90" i="33"/>
  <c r="BC134" i="33"/>
  <c r="BJ131" i="33"/>
  <c r="BL123" i="33"/>
  <c r="BL131" i="33"/>
  <c r="AH31" i="33"/>
  <c r="AH36" i="33"/>
  <c r="AH23" i="33"/>
  <c r="AM80" i="33"/>
  <c r="AM60" i="33"/>
  <c r="BH117" i="33"/>
  <c r="BK117" i="33"/>
  <c r="AV77" i="33"/>
  <c r="X37" i="33"/>
  <c r="AC32" i="33"/>
  <c r="BK123" i="33"/>
  <c r="BF124" i="33"/>
  <c r="BF131" i="33"/>
  <c r="AX77" i="33"/>
  <c r="Q39" i="33"/>
  <c r="Q23" i="33"/>
  <c r="V25" i="33"/>
  <c r="V33" i="33"/>
  <c r="O36" i="33"/>
  <c r="P37" i="33"/>
  <c r="P24" i="33"/>
  <c r="AL63" i="33"/>
  <c r="AL46" i="33"/>
  <c r="AM62" i="33"/>
  <c r="AM63" i="33"/>
  <c r="BE109" i="33"/>
  <c r="AZ84" i="33"/>
  <c r="AU67" i="33"/>
  <c r="AU69" i="33"/>
  <c r="AU90" i="33"/>
  <c r="AW84" i="33"/>
  <c r="AP70" i="33"/>
  <c r="AP72" i="33"/>
  <c r="AP74" i="33"/>
  <c r="AP91" i="33"/>
  <c r="AQ70" i="33"/>
  <c r="AQ72" i="33"/>
  <c r="AQ91" i="33"/>
  <c r="AQ87" i="33"/>
  <c r="AQ93" i="33"/>
  <c r="BJ124" i="33"/>
  <c r="AR85" i="33"/>
  <c r="W32" i="33"/>
  <c r="AO93" i="33"/>
  <c r="BI77" i="33"/>
  <c r="BE134" i="33"/>
  <c r="AI23" i="33"/>
  <c r="AN22" i="33"/>
  <c r="AI31" i="33"/>
  <c r="AP77" i="33"/>
  <c r="AR69" i="33"/>
  <c r="AK36" i="33"/>
  <c r="AK22" i="33"/>
  <c r="AJ22" i="33"/>
  <c r="AM22" i="33"/>
  <c r="AQ22" i="33"/>
  <c r="AV134" i="33"/>
  <c r="AW127" i="33"/>
  <c r="AW134" i="33"/>
  <c r="AR115" i="33"/>
  <c r="AQ14" i="32"/>
  <c r="AQ10" i="32"/>
  <c r="AR6" i="32"/>
  <c r="AR14" i="32"/>
  <c r="AS24" i="32"/>
  <c r="AS7" i="32"/>
  <c r="AP18" i="32"/>
  <c r="AP39" i="32"/>
  <c r="AP45" i="32"/>
  <c r="BG17" i="32"/>
  <c r="BL17" i="32"/>
  <c r="AS16" i="32"/>
  <c r="AS32" i="32"/>
  <c r="AT25" i="32"/>
  <c r="AT8" i="32"/>
  <c r="AT16" i="32"/>
  <c r="AO18" i="32"/>
  <c r="AO39" i="32"/>
  <c r="AO45" i="32"/>
  <c r="AQ30" i="32"/>
  <c r="AQ33" i="32"/>
  <c r="AR23" i="32"/>
  <c r="BC23" i="31"/>
  <c r="BB23" i="31"/>
  <c r="BB28" i="31"/>
  <c r="AN8" i="31"/>
  <c r="AN29" i="31"/>
  <c r="BH48" i="31"/>
  <c r="BH51" i="31"/>
  <c r="AO24" i="31"/>
  <c r="AO27" i="31"/>
  <c r="AM74" i="31"/>
  <c r="BF17" i="31"/>
  <c r="AP34" i="31"/>
  <c r="AO42" i="31"/>
  <c r="AO37" i="31"/>
  <c r="AO40" i="31"/>
  <c r="AL14" i="31"/>
  <c r="AL19" i="31"/>
  <c r="AL18" i="31"/>
  <c r="AL7" i="31"/>
  <c r="AL6" i="31"/>
  <c r="AM29" i="31"/>
  <c r="AM8" i="31"/>
  <c r="BK45" i="31"/>
  <c r="BK48" i="31"/>
  <c r="BK51" i="31"/>
  <c r="BF48" i="31"/>
  <c r="BF51" i="31"/>
  <c r="BJ17" i="31"/>
  <c r="BI238" i="30"/>
  <c r="BI235" i="30"/>
  <c r="BI236" i="30"/>
  <c r="BF40" i="30"/>
  <c r="BL109" i="30"/>
  <c r="BJ238" i="30"/>
  <c r="BJ235" i="30"/>
  <c r="BJ236" i="30"/>
  <c r="BH238" i="30"/>
  <c r="BH235" i="30"/>
  <c r="BH236" i="30"/>
  <c r="AX87" i="30"/>
  <c r="AX96" i="30"/>
  <c r="AX73" i="28"/>
  <c r="AW118" i="30"/>
  <c r="AW117" i="30"/>
  <c r="AW120" i="30"/>
  <c r="BC117" i="30"/>
  <c r="BC118" i="30"/>
  <c r="BH116" i="30"/>
  <c r="BC111" i="30"/>
  <c r="AM123" i="30"/>
  <c r="AM124" i="30"/>
  <c r="AP37" i="30"/>
  <c r="AO29" i="30"/>
  <c r="AO31" i="30"/>
  <c r="BG20" i="30"/>
  <c r="BG13" i="30"/>
  <c r="BG5" i="28"/>
  <c r="BG38" i="30"/>
  <c r="BD124" i="30"/>
  <c r="BD123" i="30"/>
  <c r="AW40" i="30"/>
  <c r="AW32" i="30"/>
  <c r="BE247" i="30"/>
  <c r="BE246" i="30"/>
  <c r="BI123" i="30"/>
  <c r="BI124" i="30"/>
  <c r="BD88" i="30"/>
  <c r="BD102" i="30"/>
  <c r="BI104" i="30"/>
  <c r="AL44" i="30"/>
  <c r="AL53" i="30"/>
  <c r="AL72" i="28"/>
  <c r="BF238" i="30"/>
  <c r="BF235" i="30"/>
  <c r="BF236" i="30"/>
  <c r="BF122" i="30"/>
  <c r="AQ100" i="30"/>
  <c r="AQ97" i="30"/>
  <c r="AQ98" i="30"/>
  <c r="AS88" i="30"/>
  <c r="AS102" i="30"/>
  <c r="AN41" i="30"/>
  <c r="AS47" i="30"/>
  <c r="AM88" i="30"/>
  <c r="AM102" i="30"/>
  <c r="BJ24" i="30"/>
  <c r="BJ50" i="30"/>
  <c r="BJ51" i="30"/>
  <c r="X41" i="30"/>
  <c r="X47" i="30"/>
  <c r="AV247" i="30"/>
  <c r="AV246" i="30"/>
  <c r="BA24" i="30"/>
  <c r="BA50" i="30"/>
  <c r="BA51" i="30"/>
  <c r="AO41" i="30"/>
  <c r="AT47" i="30"/>
  <c r="BC227" i="30"/>
  <c r="BC232" i="30"/>
  <c r="BC240" i="30"/>
  <c r="BA245" i="30"/>
  <c r="BA241" i="30"/>
  <c r="BA242" i="30"/>
  <c r="BI98" i="30"/>
  <c r="BI100" i="30"/>
  <c r="BI97" i="30"/>
  <c r="AS114" i="30"/>
  <c r="AW113" i="30"/>
  <c r="AS122" i="30"/>
  <c r="AY103" i="30"/>
  <c r="AY104" i="30"/>
  <c r="AN123" i="30"/>
  <c r="AN124" i="30"/>
  <c r="BL217" i="30"/>
  <c r="V48" i="30"/>
  <c r="AA48" i="30"/>
  <c r="BK29" i="30"/>
  <c r="BK31" i="30"/>
  <c r="BK9" i="30"/>
  <c r="BH83" i="30"/>
  <c r="BH93" i="30"/>
  <c r="AR97" i="30"/>
  <c r="AR98" i="30"/>
  <c r="AR100" i="30"/>
  <c r="BD98" i="30"/>
  <c r="BD97" i="30"/>
  <c r="BD100" i="30"/>
  <c r="AT246" i="30"/>
  <c r="AT247" i="30"/>
  <c r="U55" i="30"/>
  <c r="U54" i="30"/>
  <c r="Z55" i="30"/>
  <c r="AM40" i="30"/>
  <c r="AM42" i="30"/>
  <c r="AM53" i="30"/>
  <c r="AM72" i="28"/>
  <c r="AM32" i="30"/>
  <c r="BH35" i="30"/>
  <c r="BH31" i="30"/>
  <c r="BI230" i="30"/>
  <c r="BI221" i="30"/>
  <c r="BK35" i="30"/>
  <c r="AW87" i="30"/>
  <c r="AW90" i="30"/>
  <c r="AW91" i="30"/>
  <c r="AW96" i="30"/>
  <c r="AW73" i="28"/>
  <c r="BG226" i="30"/>
  <c r="BG231" i="30"/>
  <c r="BF227" i="30"/>
  <c r="BF232" i="30"/>
  <c r="BF240" i="30"/>
  <c r="BE114" i="30"/>
  <c r="BE122" i="30"/>
  <c r="Y48" i="30"/>
  <c r="AU104" i="30"/>
  <c r="AU103" i="30"/>
  <c r="BB32" i="30"/>
  <c r="BB40" i="30"/>
  <c r="AR247" i="30"/>
  <c r="AR246" i="30"/>
  <c r="BH230" i="30"/>
  <c r="BL219" i="30"/>
  <c r="BH221" i="30"/>
  <c r="BG29" i="30"/>
  <c r="O54" i="30"/>
  <c r="O55" i="30"/>
  <c r="AZ98" i="30"/>
  <c r="AZ97" i="30"/>
  <c r="AZ100" i="30"/>
  <c r="BB111" i="30"/>
  <c r="BB116" i="30"/>
  <c r="AX113" i="30"/>
  <c r="AV124" i="30"/>
  <c r="AV123" i="30"/>
  <c r="O47" i="30"/>
  <c r="O48" i="30"/>
  <c r="S41" i="30"/>
  <c r="S47" i="30"/>
  <c r="S48" i="30"/>
  <c r="BJ87" i="30"/>
  <c r="BJ96" i="30"/>
  <c r="BJ73" i="28"/>
  <c r="AZ88" i="30"/>
  <c r="AZ102" i="30"/>
  <c r="BC85" i="30"/>
  <c r="BH90" i="30"/>
  <c r="BH85" i="30"/>
  <c r="BH96" i="30"/>
  <c r="BH73" i="28"/>
  <c r="BE87" i="30"/>
  <c r="BE96" i="30"/>
  <c r="BE73" i="28"/>
  <c r="Q55" i="30"/>
  <c r="Q54" i="30"/>
  <c r="BC40" i="30"/>
  <c r="BC32" i="30"/>
  <c r="W48" i="30"/>
  <c r="AB48" i="30"/>
  <c r="V54" i="30"/>
  <c r="V55" i="30"/>
  <c r="AA55" i="30"/>
  <c r="BK230" i="30"/>
  <c r="BK221" i="30"/>
  <c r="BK234" i="30"/>
  <c r="BL234" i="30"/>
  <c r="BL220" i="30"/>
  <c r="BH231" i="30"/>
  <c r="AZ123" i="30"/>
  <c r="AZ124" i="30"/>
  <c r="BD236" i="30"/>
  <c r="BD238" i="30"/>
  <c r="BD235" i="30"/>
  <c r="BL81" i="30"/>
  <c r="BL76" i="30"/>
  <c r="BL6" i="28"/>
  <c r="BV6" i="28"/>
  <c r="BA114" i="30"/>
  <c r="BA122" i="30"/>
  <c r="AR88" i="30"/>
  <c r="AR102" i="30"/>
  <c r="AS100" i="30"/>
  <c r="AS97" i="30"/>
  <c r="AS98" i="30"/>
  <c r="AM100" i="30"/>
  <c r="AM98" i="30"/>
  <c r="AM97" i="30"/>
  <c r="BI35" i="30"/>
  <c r="BI31" i="30"/>
  <c r="R55" i="30"/>
  <c r="R54" i="30"/>
  <c r="BD40" i="30"/>
  <c r="BD32" i="30"/>
  <c r="AQ88" i="30"/>
  <c r="AQ102" i="30"/>
  <c r="P55" i="30"/>
  <c r="P54" i="30"/>
  <c r="S54" i="30"/>
  <c r="S55" i="30"/>
  <c r="BJ117" i="30"/>
  <c r="BJ118" i="30"/>
  <c r="BJ111" i="30"/>
  <c r="BJ113" i="30"/>
  <c r="AY242" i="30"/>
  <c r="AY245" i="30"/>
  <c r="AY241" i="30"/>
  <c r="AV87" i="30"/>
  <c r="AV96" i="30"/>
  <c r="AV73" i="28"/>
  <c r="BH20" i="30"/>
  <c r="BH13" i="30"/>
  <c r="BH5" i="28"/>
  <c r="BG83" i="30"/>
  <c r="BG93" i="30"/>
  <c r="BD24" i="30"/>
  <c r="BD50" i="30"/>
  <c r="BD51" i="30"/>
  <c r="BB24" i="30"/>
  <c r="BB50" i="30"/>
  <c r="BB51" i="30"/>
  <c r="BG221" i="30"/>
  <c r="BG109" i="30"/>
  <c r="AM195" i="30"/>
  <c r="AM189" i="30"/>
  <c r="AM210" i="30"/>
  <c r="AM194" i="30"/>
  <c r="AY197" i="30"/>
  <c r="BD198" i="30"/>
  <c r="BL142" i="30"/>
  <c r="AI190" i="30"/>
  <c r="AI191" i="30"/>
  <c r="W54" i="30"/>
  <c r="W55" i="30"/>
  <c r="AB55" i="30"/>
  <c r="AR114" i="30"/>
  <c r="AR122" i="30"/>
  <c r="BG238" i="30"/>
  <c r="BG236" i="30"/>
  <c r="BG235" i="30"/>
  <c r="BF20" i="30"/>
  <c r="BF13" i="30"/>
  <c r="BI103" i="30"/>
  <c r="BB247" i="30"/>
  <c r="BB246" i="30"/>
  <c r="AN31" i="30"/>
  <c r="BJ221" i="30"/>
  <c r="BJ230" i="30"/>
  <c r="AL103" i="30"/>
  <c r="AL104" i="30"/>
  <c r="AS247" i="30"/>
  <c r="AS246" i="30"/>
  <c r="BI13" i="30"/>
  <c r="BI5" i="28"/>
  <c r="BI20" i="30"/>
  <c r="U48" i="30"/>
  <c r="Z48" i="30"/>
  <c r="BF118" i="30"/>
  <c r="BK116" i="30"/>
  <c r="BK111" i="30"/>
  <c r="BK113" i="30"/>
  <c r="BF117" i="30"/>
  <c r="AZ245" i="30"/>
  <c r="AZ241" i="30"/>
  <c r="AZ242" i="30"/>
  <c r="AM246" i="30"/>
  <c r="AM247" i="30"/>
  <c r="BA47" i="30"/>
  <c r="AV41" i="30"/>
  <c r="AV42" i="30"/>
  <c r="BJ31" i="30"/>
  <c r="BJ35" i="30"/>
  <c r="AU47" i="30"/>
  <c r="AP41" i="30"/>
  <c r="AW197" i="30"/>
  <c r="AW198" i="30"/>
  <c r="AS193" i="30"/>
  <c r="AW241" i="30"/>
  <c r="AW242" i="30"/>
  <c r="AW245" i="30"/>
  <c r="BC198" i="30"/>
  <c r="AX197" i="30"/>
  <c r="X55" i="30"/>
  <c r="X54" i="30"/>
  <c r="AC55" i="30"/>
  <c r="AN103" i="30"/>
  <c r="AN104" i="30"/>
  <c r="AR193" i="30"/>
  <c r="AN194" i="30"/>
  <c r="AN195" i="30"/>
  <c r="AN210" i="30"/>
  <c r="AN189" i="30"/>
  <c r="BC24" i="30"/>
  <c r="BC50" i="30"/>
  <c r="BC51" i="30"/>
  <c r="BA85" i="30"/>
  <c r="BB85" i="30"/>
  <c r="BF90" i="30"/>
  <c r="BE32" i="30"/>
  <c r="BE40" i="30"/>
  <c r="BL8" i="30"/>
  <c r="BD227" i="30"/>
  <c r="BD232" i="30"/>
  <c r="BD240" i="30"/>
  <c r="AG137" i="28"/>
  <c r="AG127" i="28"/>
  <c r="AG136" i="28"/>
  <c r="AH125" i="28"/>
  <c r="AH122" i="28"/>
  <c r="AH135" i="28"/>
  <c r="BE181" i="28"/>
  <c r="AV181" i="28"/>
  <c r="BL150" i="28"/>
  <c r="AE50" i="27"/>
  <c r="AE55" i="27"/>
  <c r="AT140" i="27"/>
  <c r="AJ50" i="27"/>
  <c r="AJ155" i="27"/>
  <c r="AJ175" i="27"/>
  <c r="AJ180" i="27"/>
  <c r="AJ55" i="27"/>
  <c r="AI155" i="27"/>
  <c r="AI175" i="27"/>
  <c r="AI180" i="27"/>
  <c r="AI50" i="27"/>
  <c r="AI55" i="27"/>
  <c r="AG50" i="27"/>
  <c r="AG55" i="27"/>
  <c r="AQ321" i="27"/>
  <c r="AP323" i="27"/>
  <c r="AP115" i="27"/>
  <c r="AQ122" i="27"/>
  <c r="AP129" i="27"/>
  <c r="AP134" i="27"/>
  <c r="AP136" i="27"/>
  <c r="AQ322" i="27"/>
  <c r="AQ254" i="27"/>
  <c r="AR248" i="27"/>
  <c r="AO280" i="27"/>
  <c r="AP257" i="27"/>
  <c r="AR131" i="27"/>
  <c r="AQ276" i="27"/>
  <c r="AT58" i="27"/>
  <c r="BC14" i="27"/>
  <c r="AS89" i="27"/>
  <c r="AS201" i="27"/>
  <c r="AD55" i="27"/>
  <c r="AD50" i="27"/>
  <c r="AK50" i="27"/>
  <c r="AK155" i="27"/>
  <c r="AK175" i="27"/>
  <c r="AK180" i="27"/>
  <c r="AK55" i="27"/>
  <c r="BD14" i="27"/>
  <c r="AQ256" i="27"/>
  <c r="AR252" i="27"/>
  <c r="BE14" i="27"/>
  <c r="AU121" i="27"/>
  <c r="AF50" i="27"/>
  <c r="AF55" i="27"/>
  <c r="AH50" i="27"/>
  <c r="BP49" i="27"/>
  <c r="AH155" i="27"/>
  <c r="AH175" i="27"/>
  <c r="AH180" i="27"/>
  <c r="AH55" i="27"/>
  <c r="BF14" i="27"/>
  <c r="AS9" i="28"/>
  <c r="AS167" i="30"/>
  <c r="AS181" i="30"/>
  <c r="AS168" i="30"/>
  <c r="AS178" i="30"/>
  <c r="AS165" i="30"/>
  <c r="AW6" i="34"/>
  <c r="AW11" i="34"/>
  <c r="AT157" i="30"/>
  <c r="AV195" i="30"/>
  <c r="AV210" i="30"/>
  <c r="AP13" i="34"/>
  <c r="AP159" i="30"/>
  <c r="AU200" i="30"/>
  <c r="AX201" i="30"/>
  <c r="AS183" i="30"/>
  <c r="AN183" i="30"/>
  <c r="AN182" i="30"/>
  <c r="AN144" i="28"/>
  <c r="AN178" i="30"/>
  <c r="AS177" i="30"/>
  <c r="AN177" i="30"/>
  <c r="AN169" i="30"/>
  <c r="N97" i="30"/>
  <c r="S100" i="30"/>
  <c r="S98" i="30"/>
  <c r="AN76" i="28"/>
  <c r="AM76" i="28"/>
  <c r="AI89" i="28"/>
  <c r="AI78" i="28"/>
  <c r="AM78" i="28"/>
  <c r="BF32" i="30"/>
  <c r="BF5" i="28"/>
  <c r="AY22" i="34"/>
  <c r="AT7" i="34"/>
  <c r="AT12" i="34"/>
  <c r="BK32" i="34"/>
  <c r="BF19" i="34"/>
  <c r="BG19" i="34"/>
  <c r="BG32" i="34"/>
  <c r="AL7" i="34"/>
  <c r="AQ22" i="34"/>
  <c r="AM22" i="34"/>
  <c r="AX7" i="34"/>
  <c r="BC22" i="34"/>
  <c r="BE38" i="34"/>
  <c r="BC38" i="34"/>
  <c r="AY15" i="34"/>
  <c r="BB38" i="34"/>
  <c r="BB39" i="34"/>
  <c r="AU8" i="34"/>
  <c r="AV11" i="34"/>
  <c r="AS12" i="34"/>
  <c r="BA15" i="34"/>
  <c r="AZ11" i="34"/>
  <c r="AZ7" i="34"/>
  <c r="AZ12" i="34"/>
  <c r="BE22" i="34"/>
  <c r="AS13" i="34"/>
  <c r="AO12" i="34"/>
  <c r="AO8" i="34"/>
  <c r="AO159" i="30"/>
  <c r="AT8" i="34"/>
  <c r="AT11" i="34"/>
  <c r="AX11" i="34"/>
  <c r="AX8" i="34"/>
  <c r="AX159" i="30"/>
  <c r="AX160" i="30"/>
  <c r="AP80" i="33"/>
  <c r="AP60" i="33"/>
  <c r="AP62" i="33"/>
  <c r="AM31" i="33"/>
  <c r="AL33" i="33"/>
  <c r="AM24" i="33"/>
  <c r="AL25" i="33"/>
  <c r="AL7" i="33"/>
  <c r="AL36" i="33"/>
  <c r="BL124" i="33"/>
  <c r="BL132" i="33"/>
  <c r="AQ78" i="33"/>
  <c r="AQ74" i="33"/>
  <c r="AO80" i="33"/>
  <c r="AO60" i="33"/>
  <c r="AO62" i="33"/>
  <c r="AS22" i="33"/>
  <c r="AN24" i="33"/>
  <c r="BF127" i="33"/>
  <c r="BF132" i="33"/>
  <c r="BG124" i="33"/>
  <c r="BG132" i="33"/>
  <c r="BF67" i="33"/>
  <c r="BF69" i="33"/>
  <c r="AU77" i="33"/>
  <c r="AW69" i="33"/>
  <c r="BK131" i="33"/>
  <c r="BK124" i="33"/>
  <c r="AN48" i="33"/>
  <c r="AN6" i="33"/>
  <c r="AN51" i="33"/>
  <c r="AZ90" i="33"/>
  <c r="AZ67" i="33"/>
  <c r="AZ69" i="33"/>
  <c r="BB84" i="33"/>
  <c r="BH77" i="33"/>
  <c r="AR91" i="33"/>
  <c r="AR117" i="33"/>
  <c r="AR118" i="33"/>
  <c r="AR70" i="33"/>
  <c r="AH32" i="33"/>
  <c r="AH37" i="33"/>
  <c r="BH134" i="33"/>
  <c r="M36" i="33"/>
  <c r="O37" i="33"/>
  <c r="O24" i="33"/>
  <c r="AQ23" i="33"/>
  <c r="AL37" i="33"/>
  <c r="V32" i="33"/>
  <c r="AP78" i="33"/>
  <c r="AR72" i="33"/>
  <c r="BJ132" i="33"/>
  <c r="BJ127" i="33"/>
  <c r="BJ134" i="33"/>
  <c r="AK31" i="33"/>
  <c r="AP22" i="33"/>
  <c r="AK23" i="33"/>
  <c r="BC77" i="33"/>
  <c r="AL48" i="33"/>
  <c r="AL51" i="33"/>
  <c r="AM46" i="33"/>
  <c r="BA77" i="33"/>
  <c r="AS114" i="33"/>
  <c r="AW109" i="33"/>
  <c r="AW110" i="33"/>
  <c r="AW90" i="33"/>
  <c r="AW67" i="33"/>
  <c r="BA134" i="33"/>
  <c r="BB127" i="33"/>
  <c r="BB134" i="33"/>
  <c r="AV22" i="33"/>
  <c r="AQ24" i="33"/>
  <c r="AJ31" i="33"/>
  <c r="AO22" i="33"/>
  <c r="AJ23" i="33"/>
  <c r="AM23" i="33"/>
  <c r="AR77" i="33"/>
  <c r="AR68" i="33"/>
  <c r="AI37" i="33"/>
  <c r="AN23" i="33"/>
  <c r="AI32" i="33"/>
  <c r="BJ109" i="33"/>
  <c r="BJ84" i="33"/>
  <c r="BE84" i="33"/>
  <c r="AR87" i="33"/>
  <c r="AR93" i="33"/>
  <c r="P39" i="33"/>
  <c r="P23" i="33"/>
  <c r="U25" i="33"/>
  <c r="U33" i="33"/>
  <c r="AU25" i="32"/>
  <c r="AT32" i="32"/>
  <c r="AU8" i="32"/>
  <c r="AU16" i="32"/>
  <c r="AS15" i="32"/>
  <c r="AR26" i="32"/>
  <c r="AS31" i="32"/>
  <c r="AT24" i="32"/>
  <c r="AT7" i="32"/>
  <c r="AT15" i="32"/>
  <c r="AS23" i="32"/>
  <c r="AR30" i="32"/>
  <c r="AR33" i="32"/>
  <c r="AR11" i="32"/>
  <c r="AQ18" i="32"/>
  <c r="AQ39" i="32"/>
  <c r="AQ45" i="32"/>
  <c r="AR10" i="32"/>
  <c r="BK17" i="31"/>
  <c r="AM14" i="31"/>
  <c r="AQ34" i="31"/>
  <c r="AP37" i="31"/>
  <c r="AP40" i="31"/>
  <c r="AP42" i="31"/>
  <c r="AQ22" i="31"/>
  <c r="AL12" i="31"/>
  <c r="AM6" i="31"/>
  <c r="BL45" i="31"/>
  <c r="BL48" i="31"/>
  <c r="BL51" i="31"/>
  <c r="AO8" i="31"/>
  <c r="AO29" i="31"/>
  <c r="AM7" i="31"/>
  <c r="AL13" i="31"/>
  <c r="AN14" i="31"/>
  <c r="AN19" i="31"/>
  <c r="AN18" i="31"/>
  <c r="AN7" i="31"/>
  <c r="AN6" i="31"/>
  <c r="AP22" i="31"/>
  <c r="BH23" i="31"/>
  <c r="BL23" i="31"/>
  <c r="BG23" i="31"/>
  <c r="BG28" i="31"/>
  <c r="BH97" i="30"/>
  <c r="BK40" i="30"/>
  <c r="BL235" i="30"/>
  <c r="BL238" i="30"/>
  <c r="BL236" i="30"/>
  <c r="BK114" i="30"/>
  <c r="BK122" i="30"/>
  <c r="BJ32" i="30"/>
  <c r="BJ40" i="30"/>
  <c r="AV100" i="30"/>
  <c r="AV97" i="30"/>
  <c r="AV98" i="30"/>
  <c r="BE88" i="30"/>
  <c r="BE102" i="30"/>
  <c r="AV88" i="30"/>
  <c r="AV102" i="30"/>
  <c r="BG31" i="30"/>
  <c r="BG37" i="30"/>
  <c r="BD245" i="30"/>
  <c r="BD242" i="30"/>
  <c r="BD241" i="30"/>
  <c r="BI32" i="30"/>
  <c r="BI40" i="30"/>
  <c r="BH227" i="30"/>
  <c r="BH232" i="30"/>
  <c r="BH240" i="30"/>
  <c r="BJ232" i="30"/>
  <c r="BJ227" i="30"/>
  <c r="BJ240" i="30"/>
  <c r="AS123" i="30"/>
  <c r="AS124" i="30"/>
  <c r="AW97" i="30"/>
  <c r="AW100" i="30"/>
  <c r="AW98" i="30"/>
  <c r="BC197" i="30"/>
  <c r="BH198" i="30"/>
  <c r="BH197" i="30"/>
  <c r="AW247" i="30"/>
  <c r="AW246" i="30"/>
  <c r="AM44" i="30"/>
  <c r="AL45" i="30"/>
  <c r="AL57" i="30"/>
  <c r="BD104" i="30"/>
  <c r="BD103" i="30"/>
  <c r="BL29" i="30"/>
  <c r="BL31" i="30"/>
  <c r="BC245" i="30"/>
  <c r="BC241" i="30"/>
  <c r="BC242" i="30"/>
  <c r="BH118" i="30"/>
  <c r="BH117" i="30"/>
  <c r="BH111" i="30"/>
  <c r="BE98" i="30"/>
  <c r="BE97" i="30"/>
  <c r="BE100" i="30"/>
  <c r="AM54" i="30"/>
  <c r="AM55" i="30"/>
  <c r="BC87" i="30"/>
  <c r="BC96" i="30"/>
  <c r="BC73" i="28"/>
  <c r="AX88" i="30"/>
  <c r="AX102" i="30"/>
  <c r="AY246" i="30"/>
  <c r="AY247" i="30"/>
  <c r="AZ103" i="30"/>
  <c r="AZ104" i="30"/>
  <c r="BF124" i="30"/>
  <c r="BF123" i="30"/>
  <c r="BL19" i="30"/>
  <c r="BL9" i="30"/>
  <c r="AN32" i="30"/>
  <c r="AN40" i="30"/>
  <c r="AN42" i="30"/>
  <c r="BJ88" i="30"/>
  <c r="BJ102" i="30"/>
  <c r="AO40" i="30"/>
  <c r="AO42" i="30"/>
  <c r="AO32" i="30"/>
  <c r="BK90" i="30"/>
  <c r="BK85" i="30"/>
  <c r="BF85" i="30"/>
  <c r="BK20" i="30"/>
  <c r="BK13" i="30"/>
  <c r="BK5" i="28"/>
  <c r="AL54" i="30"/>
  <c r="AL55" i="30"/>
  <c r="BF24" i="30"/>
  <c r="BF50" i="30"/>
  <c r="BF51" i="30"/>
  <c r="AR103" i="30"/>
  <c r="AR104" i="30"/>
  <c r="BA247" i="30"/>
  <c r="BA246" i="30"/>
  <c r="BC113" i="30"/>
  <c r="BG111" i="30"/>
  <c r="BG116" i="30"/>
  <c r="AQ103" i="30"/>
  <c r="AQ104" i="30"/>
  <c r="BA124" i="30"/>
  <c r="BA123" i="30"/>
  <c r="BE124" i="30"/>
  <c r="BE123" i="30"/>
  <c r="BI227" i="30"/>
  <c r="BI232" i="30"/>
  <c r="BI240" i="30"/>
  <c r="AX47" i="30"/>
  <c r="AS41" i="30"/>
  <c r="AR195" i="30"/>
  <c r="AR210" i="30"/>
  <c r="AV44" i="30"/>
  <c r="AV53" i="30"/>
  <c r="AV72" i="28"/>
  <c r="BF47" i="30"/>
  <c r="BA41" i="30"/>
  <c r="BA42" i="30"/>
  <c r="BH87" i="30"/>
  <c r="AX100" i="30"/>
  <c r="AX97" i="30"/>
  <c r="AX98" i="30"/>
  <c r="BB90" i="30"/>
  <c r="BB91" i="30"/>
  <c r="BB87" i="30"/>
  <c r="BB96" i="30"/>
  <c r="BB73" i="28"/>
  <c r="BG227" i="30"/>
  <c r="BG232" i="30"/>
  <c r="BG240" i="30"/>
  <c r="BJ97" i="30"/>
  <c r="BJ100" i="30"/>
  <c r="BJ98" i="30"/>
  <c r="BG24" i="30"/>
  <c r="BG50" i="30"/>
  <c r="BG51" i="30"/>
  <c r="AW114" i="30"/>
  <c r="AW122" i="30"/>
  <c r="AQ37" i="30"/>
  <c r="AQ29" i="30"/>
  <c r="AQ31" i="30"/>
  <c r="AP29" i="30"/>
  <c r="BA87" i="30"/>
  <c r="BA96" i="30"/>
  <c r="BA73" i="28"/>
  <c r="T48" i="30"/>
  <c r="BI24" i="30"/>
  <c r="BI50" i="30"/>
  <c r="BI51" i="30"/>
  <c r="AN190" i="30"/>
  <c r="AN191" i="30"/>
  <c r="AZ47" i="30"/>
  <c r="AU41" i="30"/>
  <c r="AU42" i="30"/>
  <c r="AM191" i="30"/>
  <c r="AM190" i="30"/>
  <c r="AR41" i="30"/>
  <c r="AR47" i="30"/>
  <c r="AR48" i="30"/>
  <c r="AR124" i="30"/>
  <c r="AR123" i="30"/>
  <c r="AY47" i="30"/>
  <c r="AT41" i="30"/>
  <c r="AT42" i="30"/>
  <c r="BL221" i="30"/>
  <c r="BL230" i="30"/>
  <c r="BL225" i="30"/>
  <c r="AZ246" i="30"/>
  <c r="AZ247" i="30"/>
  <c r="BL231" i="30"/>
  <c r="BL226" i="30"/>
  <c r="BB197" i="30"/>
  <c r="BB198" i="30"/>
  <c r="BK235" i="30"/>
  <c r="BK238" i="30"/>
  <c r="BK236" i="30"/>
  <c r="BK117" i="30"/>
  <c r="BK118" i="30"/>
  <c r="BJ114" i="30"/>
  <c r="BJ122" i="30"/>
  <c r="BK232" i="30"/>
  <c r="BK227" i="30"/>
  <c r="BK240" i="30"/>
  <c r="AW88" i="30"/>
  <c r="AW102" i="30"/>
  <c r="X48" i="30"/>
  <c r="AC48" i="30"/>
  <c r="BB113" i="30"/>
  <c r="AX114" i="30"/>
  <c r="AX122" i="30"/>
  <c r="BI198" i="30"/>
  <c r="BI197" i="30"/>
  <c r="BD197" i="30"/>
  <c r="BB117" i="30"/>
  <c r="BB118" i="30"/>
  <c r="BB120" i="30"/>
  <c r="AS195" i="30"/>
  <c r="AS210" i="30"/>
  <c r="AS194" i="30"/>
  <c r="AM104" i="30"/>
  <c r="AM103" i="30"/>
  <c r="BH24" i="30"/>
  <c r="BH50" i="30"/>
  <c r="BH51" i="30"/>
  <c r="BL83" i="30"/>
  <c r="BL93" i="30"/>
  <c r="BF241" i="30"/>
  <c r="BF242" i="30"/>
  <c r="BF245" i="30"/>
  <c r="BH32" i="30"/>
  <c r="BH40" i="30"/>
  <c r="AS104" i="30"/>
  <c r="AS103" i="30"/>
  <c r="AH127" i="28"/>
  <c r="AH136" i="28"/>
  <c r="AH137" i="28"/>
  <c r="BA181" i="28"/>
  <c r="BJ181" i="28"/>
  <c r="BJ14" i="27"/>
  <c r="BH14" i="27"/>
  <c r="AU87" i="27"/>
  <c r="AU58" i="27"/>
  <c r="AV58" i="27"/>
  <c r="AR122" i="27"/>
  <c r="AQ129" i="27"/>
  <c r="AI221" i="27"/>
  <c r="AI224" i="27"/>
  <c r="AI207" i="27"/>
  <c r="AI216" i="27"/>
  <c r="AI218" i="27"/>
  <c r="AH216" i="27"/>
  <c r="AH218" i="27"/>
  <c r="AH207" i="27"/>
  <c r="AH210" i="27"/>
  <c r="AH221" i="27"/>
  <c r="AH224" i="27"/>
  <c r="AP138" i="27"/>
  <c r="AW58" i="27"/>
  <c r="BS58" i="27"/>
  <c r="BK14" i="27"/>
  <c r="AR276" i="27"/>
  <c r="AS252" i="27"/>
  <c r="AR256" i="27"/>
  <c r="BI14" i="27"/>
  <c r="AS131" i="27"/>
  <c r="AJ221" i="27"/>
  <c r="AJ224" i="27"/>
  <c r="AJ207" i="27"/>
  <c r="AJ216" i="27"/>
  <c r="AJ218" i="27"/>
  <c r="AU140" i="27"/>
  <c r="AK216" i="27"/>
  <c r="AK218" i="27"/>
  <c r="AK221" i="27"/>
  <c r="AK224" i="27"/>
  <c r="AK207" i="27"/>
  <c r="AP280" i="27"/>
  <c r="AS248" i="27"/>
  <c r="AR254" i="27"/>
  <c r="AR321" i="27"/>
  <c r="AQ323" i="27"/>
  <c r="AQ115" i="27"/>
  <c r="AV121" i="27"/>
  <c r="AQ257" i="27"/>
  <c r="AS204" i="27"/>
  <c r="AQ134" i="27"/>
  <c r="AQ136" i="27"/>
  <c r="AR322" i="27"/>
  <c r="AX9" i="28"/>
  <c r="AX167" i="30"/>
  <c r="AX165" i="30"/>
  <c r="AX168" i="30"/>
  <c r="AX181" i="30"/>
  <c r="AT13" i="34"/>
  <c r="AT159" i="30"/>
  <c r="AT160" i="30"/>
  <c r="AS182" i="30"/>
  <c r="AX183" i="30"/>
  <c r="AT200" i="30"/>
  <c r="AT193" i="30"/>
  <c r="AW157" i="30"/>
  <c r="AU13" i="34"/>
  <c r="AU159" i="30"/>
  <c r="AU160" i="30"/>
  <c r="AS169" i="30"/>
  <c r="AX177" i="30"/>
  <c r="AS144" i="28"/>
  <c r="AX178" i="30"/>
  <c r="AS189" i="30"/>
  <c r="AS76" i="28"/>
  <c r="AP9" i="28"/>
  <c r="AP167" i="30"/>
  <c r="AP181" i="30"/>
  <c r="AP168" i="30"/>
  <c r="AP160" i="30"/>
  <c r="AP165" i="30"/>
  <c r="AP194" i="30"/>
  <c r="AO9" i="28"/>
  <c r="AO167" i="30"/>
  <c r="AO181" i="30"/>
  <c r="AO160" i="30"/>
  <c r="AO168" i="30"/>
  <c r="AO165" i="30"/>
  <c r="AO194" i="30"/>
  <c r="BA201" i="30"/>
  <c r="AX200" i="30"/>
  <c r="AU193" i="30"/>
  <c r="AW200" i="30"/>
  <c r="AW201" i="30"/>
  <c r="AZ201" i="30"/>
  <c r="AS179" i="30"/>
  <c r="AN179" i="30"/>
  <c r="AN174" i="30"/>
  <c r="AN185" i="30"/>
  <c r="AN147" i="28"/>
  <c r="AN158" i="28"/>
  <c r="AN155" i="28"/>
  <c r="AY6" i="34"/>
  <c r="AY157" i="30"/>
  <c r="AY17" i="34"/>
  <c r="BB15" i="34"/>
  <c r="BC7" i="34"/>
  <c r="BH22" i="34"/>
  <c r="AX12" i="34"/>
  <c r="AX13" i="34"/>
  <c r="BJ38" i="34"/>
  <c r="BJ15" i="34"/>
  <c r="BE15" i="34"/>
  <c r="BD38" i="34"/>
  <c r="BH38" i="34"/>
  <c r="BC15" i="34"/>
  <c r="AO13" i="34"/>
  <c r="BE7" i="34"/>
  <c r="BE12" i="34"/>
  <c r="BJ22" i="34"/>
  <c r="BJ7" i="34"/>
  <c r="AV22" i="34"/>
  <c r="AQ7" i="34"/>
  <c r="AR22" i="34"/>
  <c r="AL12" i="34"/>
  <c r="AM7" i="34"/>
  <c r="AM12" i="34"/>
  <c r="AL8" i="34"/>
  <c r="AZ8" i="34"/>
  <c r="BA6" i="34"/>
  <c r="BA157" i="30"/>
  <c r="BA17" i="34"/>
  <c r="BK19" i="34"/>
  <c r="BL19" i="34"/>
  <c r="BL32" i="34"/>
  <c r="BF38" i="34"/>
  <c r="AY7" i="34"/>
  <c r="AY12" i="34"/>
  <c r="BD22" i="34"/>
  <c r="AM32" i="33"/>
  <c r="AM37" i="33"/>
  <c r="AQ25" i="33"/>
  <c r="AQ33" i="33"/>
  <c r="AQ7" i="33"/>
  <c r="AQ14" i="33"/>
  <c r="AQ36" i="33"/>
  <c r="AR71" i="33"/>
  <c r="AR78" i="33"/>
  <c r="BE90" i="33"/>
  <c r="BE67" i="33"/>
  <c r="BE69" i="33"/>
  <c r="BG84" i="33"/>
  <c r="AS85" i="33"/>
  <c r="AN53" i="33"/>
  <c r="AZ77" i="33"/>
  <c r="BB69" i="33"/>
  <c r="AQ37" i="33"/>
  <c r="AV23" i="33"/>
  <c r="AV24" i="33"/>
  <c r="AV36" i="33"/>
  <c r="AL14" i="33"/>
  <c r="AM7" i="33"/>
  <c r="AT22" i="33"/>
  <c r="AX22" i="33"/>
  <c r="AW22" i="33"/>
  <c r="AQ80" i="33"/>
  <c r="AQ60" i="33"/>
  <c r="AQ62" i="33"/>
  <c r="O39" i="33"/>
  <c r="S24" i="33"/>
  <c r="O23" i="33"/>
  <c r="T25" i="33"/>
  <c r="T33" i="33"/>
  <c r="BK127" i="33"/>
  <c r="BK134" i="33"/>
  <c r="BK132" i="33"/>
  <c r="BK67" i="33"/>
  <c r="BK69" i="33"/>
  <c r="AM33" i="33"/>
  <c r="AM25" i="33"/>
  <c r="AM48" i="33"/>
  <c r="AM53" i="33"/>
  <c r="AM51" i="33"/>
  <c r="AN33" i="33"/>
  <c r="AN25" i="33"/>
  <c r="AN7" i="33"/>
  <c r="U32" i="33"/>
  <c r="BJ90" i="33"/>
  <c r="BJ67" i="33"/>
  <c r="BJ69" i="33"/>
  <c r="BL84" i="33"/>
  <c r="AM36" i="33"/>
  <c r="AP23" i="33"/>
  <c r="AK32" i="33"/>
  <c r="AK37" i="33"/>
  <c r="AU22" i="33"/>
  <c r="AN36" i="33"/>
  <c r="AO63" i="33"/>
  <c r="AO46" i="33"/>
  <c r="AT114" i="33"/>
  <c r="AT85" i="33"/>
  <c r="AS23" i="33"/>
  <c r="AS24" i="33"/>
  <c r="AS36" i="33"/>
  <c r="AN37" i="33"/>
  <c r="AL53" i="33"/>
  <c r="AL6" i="33"/>
  <c r="AR22" i="33"/>
  <c r="BA22" i="33"/>
  <c r="BB109" i="33"/>
  <c r="BB110" i="33"/>
  <c r="BB90" i="33"/>
  <c r="BB67" i="33"/>
  <c r="AW68" i="33"/>
  <c r="AW77" i="33"/>
  <c r="AR74" i="33"/>
  <c r="BF77" i="33"/>
  <c r="AP46" i="33"/>
  <c r="AP63" i="33"/>
  <c r="AO23" i="33"/>
  <c r="AJ37" i="33"/>
  <c r="AJ32" i="33"/>
  <c r="BF134" i="33"/>
  <c r="BG127" i="33"/>
  <c r="BG134" i="33"/>
  <c r="L36" i="33"/>
  <c r="M37" i="33"/>
  <c r="M24" i="33"/>
  <c r="AR18" i="32"/>
  <c r="AR39" i="32"/>
  <c r="AR45" i="32"/>
  <c r="AS30" i="32"/>
  <c r="AU24" i="32"/>
  <c r="AT31" i="32"/>
  <c r="AU7" i="32"/>
  <c r="AU15" i="32"/>
  <c r="AT23" i="32"/>
  <c r="AT6" i="32"/>
  <c r="AS6" i="32"/>
  <c r="AU32" i="32"/>
  <c r="AV25" i="32"/>
  <c r="AV8" i="32"/>
  <c r="AM13" i="31"/>
  <c r="AM18" i="31"/>
  <c r="AO14" i="31"/>
  <c r="AO19" i="31"/>
  <c r="AO18" i="31"/>
  <c r="AO7" i="31"/>
  <c r="AO13" i="31"/>
  <c r="AO6" i="31"/>
  <c r="AO12" i="31"/>
  <c r="AN13" i="31"/>
  <c r="AN12" i="31"/>
  <c r="AM12" i="31"/>
  <c r="AM17" i="31"/>
  <c r="AM19" i="31"/>
  <c r="AQ24" i="31"/>
  <c r="AQ27" i="31"/>
  <c r="AR34" i="31"/>
  <c r="AQ37" i="31"/>
  <c r="AQ40" i="31"/>
  <c r="AQ42" i="31"/>
  <c r="BL28" i="31"/>
  <c r="AP24" i="31"/>
  <c r="AP27" i="31"/>
  <c r="AR22" i="31"/>
  <c r="BK47" i="30"/>
  <c r="BK41" i="30"/>
  <c r="BK42" i="30"/>
  <c r="BK44" i="30"/>
  <c r="BK45" i="30"/>
  <c r="BF41" i="30"/>
  <c r="BF42" i="30"/>
  <c r="BG32" i="30"/>
  <c r="BG40" i="30"/>
  <c r="BF87" i="30"/>
  <c r="BF96" i="30"/>
  <c r="BF73" i="28"/>
  <c r="BK87" i="30"/>
  <c r="BK96" i="30"/>
  <c r="BK73" i="28"/>
  <c r="BC98" i="30"/>
  <c r="BC97" i="30"/>
  <c r="BC100" i="30"/>
  <c r="BB88" i="30"/>
  <c r="BB102" i="30"/>
  <c r="AY41" i="30"/>
  <c r="AY42" i="30"/>
  <c r="BD47" i="30"/>
  <c r="AL58" i="30"/>
  <c r="AL59" i="30"/>
  <c r="BG113" i="30"/>
  <c r="BC114" i="30"/>
  <c r="BC122" i="30"/>
  <c r="AM45" i="30"/>
  <c r="AM57" i="30"/>
  <c r="BH242" i="30"/>
  <c r="BH241" i="30"/>
  <c r="BH245" i="30"/>
  <c r="BE47" i="30"/>
  <c r="AZ41" i="30"/>
  <c r="AZ42" i="30"/>
  <c r="BK24" i="30"/>
  <c r="BK50" i="30"/>
  <c r="BK51" i="30"/>
  <c r="AX104" i="30"/>
  <c r="AX103" i="30"/>
  <c r="BA100" i="30"/>
  <c r="BA97" i="30"/>
  <c r="BA98" i="30"/>
  <c r="AT44" i="30"/>
  <c r="AT53" i="30"/>
  <c r="AT72" i="28"/>
  <c r="BG117" i="30"/>
  <c r="BG120" i="30"/>
  <c r="BG118" i="30"/>
  <c r="BG85" i="30"/>
  <c r="AQ40" i="30"/>
  <c r="AQ42" i="30"/>
  <c r="AQ32" i="30"/>
  <c r="AW124" i="30"/>
  <c r="AW123" i="30"/>
  <c r="AN44" i="30"/>
  <c r="AN53" i="30"/>
  <c r="AN72" i="28"/>
  <c r="BL85" i="30"/>
  <c r="BL20" i="30"/>
  <c r="BL13" i="30"/>
  <c r="BL5" i="28"/>
  <c r="BL38" i="30"/>
  <c r="AU44" i="30"/>
  <c r="AU53" i="30"/>
  <c r="AU72" i="28"/>
  <c r="BD247" i="30"/>
  <c r="BD246" i="30"/>
  <c r="BH98" i="30"/>
  <c r="BG241" i="30"/>
  <c r="BG242" i="30"/>
  <c r="BG245" i="30"/>
  <c r="AV103" i="30"/>
  <c r="AV104" i="30"/>
  <c r="BJ123" i="30"/>
  <c r="BJ124" i="30"/>
  <c r="BE103" i="30"/>
  <c r="BE104" i="30"/>
  <c r="AX123" i="30"/>
  <c r="AX124" i="30"/>
  <c r="BA88" i="30"/>
  <c r="BA102" i="30"/>
  <c r="AO44" i="30"/>
  <c r="AO53" i="30"/>
  <c r="AO72" i="28"/>
  <c r="BJ245" i="30"/>
  <c r="BJ242" i="30"/>
  <c r="BJ241" i="30"/>
  <c r="BB114" i="30"/>
  <c r="BB122" i="30"/>
  <c r="BJ104" i="30"/>
  <c r="BJ103" i="30"/>
  <c r="BK123" i="30"/>
  <c r="BK124" i="30"/>
  <c r="BI242" i="30"/>
  <c r="BI241" i="30"/>
  <c r="BI245" i="30"/>
  <c r="BH88" i="30"/>
  <c r="BH102" i="30"/>
  <c r="BL111" i="30"/>
  <c r="BL116" i="30"/>
  <c r="BH113" i="30"/>
  <c r="BF246" i="30"/>
  <c r="BF247" i="30"/>
  <c r="BL37" i="30"/>
  <c r="BL197" i="30"/>
  <c r="BL198" i="30"/>
  <c r="BC247" i="30"/>
  <c r="BC246" i="30"/>
  <c r="BL227" i="30"/>
  <c r="BL232" i="30"/>
  <c r="BL240" i="30"/>
  <c r="AV54" i="30"/>
  <c r="AV45" i="30"/>
  <c r="AV57" i="30"/>
  <c r="BL40" i="30"/>
  <c r="BB98" i="30"/>
  <c r="BB97" i="30"/>
  <c r="BB100" i="30"/>
  <c r="BC88" i="30"/>
  <c r="BC102" i="30"/>
  <c r="AP31" i="30"/>
  <c r="AR29" i="30"/>
  <c r="AW41" i="30"/>
  <c r="AS42" i="30"/>
  <c r="BC47" i="30"/>
  <c r="AX41" i="30"/>
  <c r="AW103" i="30"/>
  <c r="AW104" i="30"/>
  <c r="BK32" i="30"/>
  <c r="BK242" i="30"/>
  <c r="BK241" i="30"/>
  <c r="BK245" i="30"/>
  <c r="BA44" i="30"/>
  <c r="BA53" i="30"/>
  <c r="BA72" i="28"/>
  <c r="BG197" i="30"/>
  <c r="BG198" i="30"/>
  <c r="BH100" i="30"/>
  <c r="BF181" i="28"/>
  <c r="AJ225" i="27"/>
  <c r="AJ235" i="27"/>
  <c r="AJ92" i="27"/>
  <c r="AR134" i="27"/>
  <c r="AR136" i="27"/>
  <c r="AS322" i="27"/>
  <c r="AU89" i="27"/>
  <c r="AU201" i="27"/>
  <c r="AW87" i="27"/>
  <c r="AT131" i="27"/>
  <c r="AK225" i="27"/>
  <c r="AK92" i="27"/>
  <c r="AK235" i="27"/>
  <c r="AV140" i="27"/>
  <c r="AS321" i="27"/>
  <c r="AR323" i="27"/>
  <c r="AR115" i="27"/>
  <c r="AI229" i="27"/>
  <c r="AI219" i="27"/>
  <c r="AI91" i="27"/>
  <c r="AI225" i="27"/>
  <c r="AI235" i="27"/>
  <c r="AI92" i="27"/>
  <c r="AQ280" i="27"/>
  <c r="AQ138" i="27"/>
  <c r="AS122" i="27"/>
  <c r="AR129" i="27"/>
  <c r="AT252" i="27"/>
  <c r="AS256" i="27"/>
  <c r="AX87" i="27"/>
  <c r="AX58" i="27"/>
  <c r="AS276" i="27"/>
  <c r="BR276" i="27"/>
  <c r="AK219" i="27"/>
  <c r="AK229" i="27"/>
  <c r="AK91" i="27"/>
  <c r="AW121" i="27"/>
  <c r="AH225" i="27"/>
  <c r="AH235" i="27"/>
  <c r="AR257" i="27"/>
  <c r="AM209" i="27"/>
  <c r="AI209" i="27"/>
  <c r="AI210" i="27"/>
  <c r="AJ209" i="27"/>
  <c r="AJ210" i="27"/>
  <c r="AK209" i="27"/>
  <c r="AK210" i="27"/>
  <c r="AL209" i="27"/>
  <c r="AT248" i="27"/>
  <c r="AS254" i="27"/>
  <c r="AS257" i="27"/>
  <c r="AH219" i="27"/>
  <c r="AH229" i="27"/>
  <c r="BP218" i="27"/>
  <c r="AJ229" i="27"/>
  <c r="AJ91" i="27"/>
  <c r="AJ219" i="27"/>
  <c r="AS190" i="30"/>
  <c r="BG38" i="34"/>
  <c r="AS191" i="30"/>
  <c r="AZ13" i="34"/>
  <c r="AZ159" i="30"/>
  <c r="AZ160" i="30"/>
  <c r="AY200" i="30"/>
  <c r="AY193" i="30"/>
  <c r="BB157" i="30"/>
  <c r="AX144" i="28"/>
  <c r="AX169" i="30"/>
  <c r="AX182" i="30"/>
  <c r="AS147" i="28"/>
  <c r="AS158" i="28"/>
  <c r="AS155" i="28"/>
  <c r="AT195" i="30"/>
  <c r="AT210" i="30"/>
  <c r="AT194" i="30"/>
  <c r="AY195" i="30"/>
  <c r="AS185" i="30"/>
  <c r="AS187" i="30"/>
  <c r="AX179" i="30"/>
  <c r="AS174" i="30"/>
  <c r="AT9" i="28"/>
  <c r="AT167" i="30"/>
  <c r="AT177" i="30"/>
  <c r="AT168" i="30"/>
  <c r="AT189" i="30"/>
  <c r="AT165" i="30"/>
  <c r="AU9" i="28"/>
  <c r="AU168" i="30"/>
  <c r="AU189" i="30"/>
  <c r="AU167" i="30"/>
  <c r="AU177" i="30"/>
  <c r="AU165" i="30"/>
  <c r="AU181" i="30"/>
  <c r="AP177" i="30"/>
  <c r="AP169" i="30"/>
  <c r="AP182" i="30"/>
  <c r="AP183" i="30"/>
  <c r="AU183" i="30"/>
  <c r="AP144" i="28"/>
  <c r="AP178" i="30"/>
  <c r="AU178" i="30"/>
  <c r="AP189" i="30"/>
  <c r="AX193" i="30"/>
  <c r="BA200" i="30"/>
  <c r="BA193" i="30"/>
  <c r="BD201" i="30"/>
  <c r="AU210" i="30"/>
  <c r="AU195" i="30"/>
  <c r="AU194" i="30"/>
  <c r="AW193" i="30"/>
  <c r="AZ200" i="30"/>
  <c r="AZ193" i="30"/>
  <c r="BC201" i="30"/>
  <c r="AO183" i="30"/>
  <c r="AO182" i="30"/>
  <c r="AO178" i="30"/>
  <c r="AO144" i="28"/>
  <c r="AO189" i="30"/>
  <c r="AO177" i="30"/>
  <c r="AO169" i="30"/>
  <c r="AN186" i="30"/>
  <c r="AN187" i="30"/>
  <c r="AN156" i="28"/>
  <c r="AN154" i="28"/>
  <c r="AN64" i="27"/>
  <c r="AN68" i="27"/>
  <c r="BL127" i="33"/>
  <c r="BL134" i="33"/>
  <c r="BL32" i="30"/>
  <c r="BG39" i="34"/>
  <c r="BK53" i="30"/>
  <c r="BK72" i="28"/>
  <c r="BK57" i="30"/>
  <c r="BD7" i="34"/>
  <c r="BD12" i="34"/>
  <c r="BI22" i="34"/>
  <c r="BI7" i="34"/>
  <c r="BI12" i="34"/>
  <c r="BH15" i="34"/>
  <c r="BA11" i="34"/>
  <c r="BC6" i="34"/>
  <c r="BC157" i="30"/>
  <c r="BC17" i="34"/>
  <c r="BD15" i="34"/>
  <c r="BF15" i="34"/>
  <c r="BE17" i="34"/>
  <c r="BE6" i="34"/>
  <c r="BE157" i="30"/>
  <c r="BJ17" i="34"/>
  <c r="BJ6" i="34"/>
  <c r="BJ157" i="30"/>
  <c r="AL13" i="34"/>
  <c r="AM8" i="34"/>
  <c r="AM13" i="34"/>
  <c r="BH7" i="34"/>
  <c r="BC12" i="34"/>
  <c r="AQ12" i="34"/>
  <c r="AQ8" i="34"/>
  <c r="AQ159" i="30"/>
  <c r="AR7" i="34"/>
  <c r="AR12" i="34"/>
  <c r="BB17" i="34"/>
  <c r="BB16" i="34"/>
  <c r="AV7" i="34"/>
  <c r="BA22" i="34"/>
  <c r="AW22" i="34"/>
  <c r="BJ12" i="34"/>
  <c r="AY11" i="34"/>
  <c r="AY8" i="34"/>
  <c r="AY159" i="30"/>
  <c r="AY160" i="30"/>
  <c r="BB6" i="34"/>
  <c r="BB11" i="34"/>
  <c r="BL90" i="33"/>
  <c r="BL67" i="33"/>
  <c r="BL109" i="33"/>
  <c r="AL13" i="33"/>
  <c r="AL10" i="33"/>
  <c r="AL128" i="30"/>
  <c r="AM6" i="33"/>
  <c r="AM13" i="33"/>
  <c r="AV114" i="33"/>
  <c r="AU114" i="33"/>
  <c r="AU85" i="33"/>
  <c r="AW31" i="33"/>
  <c r="AS70" i="33"/>
  <c r="AS72" i="33"/>
  <c r="AS91" i="33"/>
  <c r="AS87" i="33"/>
  <c r="BC22" i="33"/>
  <c r="AT23" i="33"/>
  <c r="AO37" i="33"/>
  <c r="AY22" i="33"/>
  <c r="AO24" i="33"/>
  <c r="AU23" i="33"/>
  <c r="S39" i="33"/>
  <c r="S23" i="33"/>
  <c r="S36" i="33"/>
  <c r="X33" i="33"/>
  <c r="X25" i="33"/>
  <c r="AQ46" i="33"/>
  <c r="AR46" i="33"/>
  <c r="AQ63" i="33"/>
  <c r="AN14" i="33"/>
  <c r="AP48" i="33"/>
  <c r="AP51" i="33"/>
  <c r="AP24" i="33"/>
  <c r="AP37" i="33"/>
  <c r="AM14" i="33"/>
  <c r="AM39" i="33"/>
  <c r="BB77" i="33"/>
  <c r="BB68" i="33"/>
  <c r="AN13" i="33"/>
  <c r="AN10" i="33"/>
  <c r="AN128" i="30"/>
  <c r="BJ77" i="33"/>
  <c r="BL69" i="33"/>
  <c r="AR23" i="33"/>
  <c r="BE77" i="33"/>
  <c r="BG69" i="33"/>
  <c r="AR62" i="33"/>
  <c r="AR63" i="33"/>
  <c r="AO48" i="33"/>
  <c r="AO51" i="33"/>
  <c r="AZ22" i="33"/>
  <c r="BK77" i="33"/>
  <c r="M23" i="33"/>
  <c r="R32" i="33"/>
  <c r="R33" i="33"/>
  <c r="R25" i="33"/>
  <c r="K36" i="33"/>
  <c r="L37" i="33"/>
  <c r="L24" i="33"/>
  <c r="T32" i="33"/>
  <c r="BG90" i="33"/>
  <c r="BG109" i="33"/>
  <c r="BG110" i="33"/>
  <c r="BG67" i="33"/>
  <c r="AX23" i="33"/>
  <c r="AX24" i="33"/>
  <c r="AS37" i="33"/>
  <c r="AR80" i="33"/>
  <c r="AR60" i="33"/>
  <c r="AV37" i="33"/>
  <c r="BA23" i="33"/>
  <c r="BA24" i="33"/>
  <c r="BF22" i="33"/>
  <c r="AV33" i="33"/>
  <c r="AV25" i="33"/>
  <c r="AR31" i="33"/>
  <c r="AT70" i="33"/>
  <c r="AT72" i="33"/>
  <c r="AT91" i="33"/>
  <c r="AT87" i="33"/>
  <c r="AT93" i="33"/>
  <c r="AS25" i="33"/>
  <c r="AS33" i="33"/>
  <c r="AS7" i="33"/>
  <c r="AT14" i="32"/>
  <c r="AT10" i="32"/>
  <c r="AV16" i="32"/>
  <c r="AW8" i="32"/>
  <c r="AW16" i="32"/>
  <c r="AS14" i="32"/>
  <c r="AS10" i="32"/>
  <c r="AV24" i="32"/>
  <c r="AU31" i="32"/>
  <c r="AV7" i="32"/>
  <c r="AU23" i="32"/>
  <c r="AW25" i="32"/>
  <c r="AX32" i="32"/>
  <c r="BB32" i="32"/>
  <c r="AV32" i="32"/>
  <c r="AW32" i="32"/>
  <c r="AT30" i="32"/>
  <c r="AT33" i="32"/>
  <c r="AU6" i="32"/>
  <c r="AS33" i="32"/>
  <c r="AS34" i="31"/>
  <c r="AR37" i="31"/>
  <c r="AR40" i="31"/>
  <c r="AR42" i="31"/>
  <c r="AS22" i="31"/>
  <c r="AP8" i="31"/>
  <c r="AP29" i="31"/>
  <c r="AQ29" i="31"/>
  <c r="AQ8" i="31"/>
  <c r="AR24" i="31"/>
  <c r="AR70" i="31"/>
  <c r="AR27" i="31"/>
  <c r="BG114" i="30"/>
  <c r="BG122" i="30"/>
  <c r="AO55" i="30"/>
  <c r="AO54" i="30"/>
  <c r="AO45" i="30"/>
  <c r="AO57" i="30"/>
  <c r="BI47" i="30"/>
  <c r="BI41" i="30"/>
  <c r="BI42" i="30"/>
  <c r="BD41" i="30"/>
  <c r="BD42" i="30"/>
  <c r="AW47" i="30"/>
  <c r="AW48" i="30"/>
  <c r="AW42" i="30"/>
  <c r="AW53" i="30"/>
  <c r="AW72" i="28"/>
  <c r="BJ47" i="30"/>
  <c r="BJ41" i="30"/>
  <c r="BJ42" i="30"/>
  <c r="BE41" i="30"/>
  <c r="BE42" i="30"/>
  <c r="BK100" i="30"/>
  <c r="BK98" i="30"/>
  <c r="BK97" i="30"/>
  <c r="BG246" i="30"/>
  <c r="BG247" i="30"/>
  <c r="AQ44" i="30"/>
  <c r="AQ53" i="30"/>
  <c r="AQ72" i="28"/>
  <c r="BG87" i="30"/>
  <c r="BG90" i="30"/>
  <c r="BG91" i="30"/>
  <c r="BG96" i="30"/>
  <c r="BG73" i="28"/>
  <c r="AV58" i="30"/>
  <c r="BA104" i="30"/>
  <c r="BA103" i="30"/>
  <c r="AY44" i="30"/>
  <c r="AY53" i="30"/>
  <c r="AY72" i="28"/>
  <c r="BH114" i="30"/>
  <c r="BL113" i="30"/>
  <c r="BH122" i="30"/>
  <c r="AU54" i="30"/>
  <c r="AT45" i="30"/>
  <c r="AT57" i="30"/>
  <c r="AZ44" i="30"/>
  <c r="AZ53" i="30"/>
  <c r="AZ72" i="28"/>
  <c r="BA54" i="30"/>
  <c r="BA55" i="30"/>
  <c r="BA45" i="30"/>
  <c r="BA57" i="30"/>
  <c r="BL87" i="30"/>
  <c r="BL90" i="30"/>
  <c r="BL96" i="30"/>
  <c r="BL73" i="28"/>
  <c r="BK88" i="30"/>
  <c r="BK102" i="30"/>
  <c r="BI247" i="30"/>
  <c r="BI246" i="30"/>
  <c r="AN45" i="30"/>
  <c r="AN57" i="30"/>
  <c r="BF88" i="30"/>
  <c r="BF102" i="30"/>
  <c r="BK58" i="30"/>
  <c r="BJ247" i="30"/>
  <c r="BJ246" i="30"/>
  <c r="BB104" i="30"/>
  <c r="BB103" i="30"/>
  <c r="BL118" i="30"/>
  <c r="BL117" i="30"/>
  <c r="BL120" i="30"/>
  <c r="AU45" i="30"/>
  <c r="AU57" i="30"/>
  <c r="BH104" i="30"/>
  <c r="BH103" i="30"/>
  <c r="BL24" i="30"/>
  <c r="BL50" i="30"/>
  <c r="BL51" i="30"/>
  <c r="AP40" i="30"/>
  <c r="AP42" i="30"/>
  <c r="AP32" i="30"/>
  <c r="BH247" i="30"/>
  <c r="BH246" i="30"/>
  <c r="BB124" i="30"/>
  <c r="BB123" i="30"/>
  <c r="AM59" i="30"/>
  <c r="AM58" i="30"/>
  <c r="BF44" i="30"/>
  <c r="BF53" i="30"/>
  <c r="BF72" i="28"/>
  <c r="BC124" i="30"/>
  <c r="BC123" i="30"/>
  <c r="BB41" i="30"/>
  <c r="AX42" i="30"/>
  <c r="BH47" i="30"/>
  <c r="BH41" i="30"/>
  <c r="BC41" i="30"/>
  <c r="AT55" i="30"/>
  <c r="AT54" i="30"/>
  <c r="AS44" i="30"/>
  <c r="AS53" i="30"/>
  <c r="AS72" i="28"/>
  <c r="BL242" i="30"/>
  <c r="BL241" i="30"/>
  <c r="BL245" i="30"/>
  <c r="AR31" i="30"/>
  <c r="AR37" i="30"/>
  <c r="BK247" i="30"/>
  <c r="BK246" i="30"/>
  <c r="BC103" i="30"/>
  <c r="BC104" i="30"/>
  <c r="AN54" i="30"/>
  <c r="AN55" i="30"/>
  <c r="BF98" i="30"/>
  <c r="BF97" i="30"/>
  <c r="BF100" i="30"/>
  <c r="BK181" i="28"/>
  <c r="AH232" i="27"/>
  <c r="AH233" i="27"/>
  <c r="BP233" i="27"/>
  <c r="AW89" i="27"/>
  <c r="BS87" i="27"/>
  <c r="AY58" i="27"/>
  <c r="AX121" i="27"/>
  <c r="AT254" i="27"/>
  <c r="AU248" i="27"/>
  <c r="AK232" i="27"/>
  <c r="AK233" i="27"/>
  <c r="AI238" i="27"/>
  <c r="AI239" i="27"/>
  <c r="AU204" i="27"/>
  <c r="AW201" i="27"/>
  <c r="AW204" i="27"/>
  <c r="AT276" i="27"/>
  <c r="AW140" i="27"/>
  <c r="AX89" i="27"/>
  <c r="AX201" i="27"/>
  <c r="AJ232" i="27"/>
  <c r="AJ233" i="27"/>
  <c r="AI232" i="27"/>
  <c r="AI233" i="27"/>
  <c r="AT256" i="27"/>
  <c r="AU252" i="27"/>
  <c r="AT122" i="27"/>
  <c r="AS129" i="27"/>
  <c r="AS138" i="27"/>
  <c r="AH238" i="27"/>
  <c r="AH239" i="27"/>
  <c r="AJ238" i="27"/>
  <c r="AJ239" i="27"/>
  <c r="AT321" i="27"/>
  <c r="AS323" i="27"/>
  <c r="AS115" i="27"/>
  <c r="AU131" i="27"/>
  <c r="AS134" i="27"/>
  <c r="AS136" i="27"/>
  <c r="AT322" i="27"/>
  <c r="AK238" i="27"/>
  <c r="AK239" i="27"/>
  <c r="AR138" i="27"/>
  <c r="AR280" i="27"/>
  <c r="BL110" i="33"/>
  <c r="AT181" i="30"/>
  <c r="AX174" i="30"/>
  <c r="AX185" i="30"/>
  <c r="AY210" i="30"/>
  <c r="AY194" i="30"/>
  <c r="AZ9" i="28"/>
  <c r="AZ167" i="30"/>
  <c r="AZ177" i="30"/>
  <c r="AZ181" i="30"/>
  <c r="AZ168" i="30"/>
  <c r="AZ178" i="30"/>
  <c r="AZ165" i="30"/>
  <c r="AY9" i="28"/>
  <c r="AY165" i="30"/>
  <c r="AY167" i="30"/>
  <c r="AY177" i="30"/>
  <c r="AY168" i="30"/>
  <c r="AY181" i="30"/>
  <c r="AY183" i="30"/>
  <c r="AX158" i="28"/>
  <c r="AX155" i="28"/>
  <c r="AX147" i="28"/>
  <c r="AT190" i="30"/>
  <c r="AT76" i="28"/>
  <c r="AT178" i="30"/>
  <c r="AT182" i="30"/>
  <c r="AU169" i="30"/>
  <c r="AT169" i="30"/>
  <c r="AT183" i="30"/>
  <c r="AS186" i="30"/>
  <c r="AX187" i="30"/>
  <c r="AU144" i="28"/>
  <c r="AS68" i="27"/>
  <c r="AT144" i="28"/>
  <c r="AU182" i="30"/>
  <c r="AS156" i="28"/>
  <c r="AS154" i="28"/>
  <c r="AS64" i="27"/>
  <c r="AQ9" i="28"/>
  <c r="AQ168" i="30"/>
  <c r="AQ167" i="30"/>
  <c r="AQ160" i="30"/>
  <c r="AQ165" i="30"/>
  <c r="AQ194" i="30"/>
  <c r="AR159" i="30"/>
  <c r="AP191" i="30"/>
  <c r="AP76" i="28"/>
  <c r="AP190" i="30"/>
  <c r="AP147" i="28"/>
  <c r="AP156" i="28"/>
  <c r="AP158" i="28"/>
  <c r="AP155" i="28"/>
  <c r="AP68" i="27"/>
  <c r="AP174" i="30"/>
  <c r="AP179" i="30"/>
  <c r="AP185" i="30"/>
  <c r="BF201" i="30"/>
  <c r="BC200" i="30"/>
  <c r="AZ195" i="30"/>
  <c r="AZ194" i="30"/>
  <c r="AZ210" i="30"/>
  <c r="AW195" i="30"/>
  <c r="AW210" i="30"/>
  <c r="AU76" i="28"/>
  <c r="AU191" i="30"/>
  <c r="AU190" i="30"/>
  <c r="AO158" i="28"/>
  <c r="AO155" i="28"/>
  <c r="AO147" i="28"/>
  <c r="BA210" i="30"/>
  <c r="BA195" i="30"/>
  <c r="BB193" i="30"/>
  <c r="AX189" i="30"/>
  <c r="AX210" i="30"/>
  <c r="AX194" i="30"/>
  <c r="AX195" i="30"/>
  <c r="AO179" i="30"/>
  <c r="AT179" i="30"/>
  <c r="AO174" i="30"/>
  <c r="AO185" i="30"/>
  <c r="AO76" i="28"/>
  <c r="AO190" i="30"/>
  <c r="AO191" i="30"/>
  <c r="AT191" i="30"/>
  <c r="BB200" i="30"/>
  <c r="BB201" i="30"/>
  <c r="BE201" i="30"/>
  <c r="AL8" i="28"/>
  <c r="AL29" i="28"/>
  <c r="AL26" i="28"/>
  <c r="AM128" i="30"/>
  <c r="AL129" i="30"/>
  <c r="AL137" i="30"/>
  <c r="AL145" i="30"/>
  <c r="AL131" i="30"/>
  <c r="AN8" i="28"/>
  <c r="AN29" i="28"/>
  <c r="AN26" i="28"/>
  <c r="AN137" i="30"/>
  <c r="AN129" i="30"/>
  <c r="AN145" i="30"/>
  <c r="AN131" i="30"/>
  <c r="BK54" i="30"/>
  <c r="BK55" i="30"/>
  <c r="BK38" i="34"/>
  <c r="BK15" i="34"/>
  <c r="BK6" i="34"/>
  <c r="BK157" i="30"/>
  <c r="BI38" i="34"/>
  <c r="BD6" i="34"/>
  <c r="BD157" i="30"/>
  <c r="BD200" i="30"/>
  <c r="BD193" i="30"/>
  <c r="BD17" i="34"/>
  <c r="BG15" i="34"/>
  <c r="BJ8" i="34"/>
  <c r="BJ159" i="30"/>
  <c r="BJ11" i="34"/>
  <c r="AY13" i="34"/>
  <c r="BF17" i="34"/>
  <c r="BF6" i="34"/>
  <c r="BF157" i="30"/>
  <c r="BE8" i="34"/>
  <c r="BE11" i="34"/>
  <c r="BK17" i="34"/>
  <c r="BA7" i="34"/>
  <c r="BF22" i="34"/>
  <c r="BB22" i="34"/>
  <c r="AV12" i="34"/>
  <c r="AV8" i="34"/>
  <c r="AV159" i="30"/>
  <c r="AV160" i="30"/>
  <c r="AW7" i="34"/>
  <c r="AW12" i="34"/>
  <c r="BC8" i="34"/>
  <c r="BC159" i="30"/>
  <c r="BC11" i="34"/>
  <c r="AQ13" i="34"/>
  <c r="AR8" i="34"/>
  <c r="AR13" i="34"/>
  <c r="BH17" i="34"/>
  <c r="BH6" i="34"/>
  <c r="BH157" i="30"/>
  <c r="BH12" i="34"/>
  <c r="AX33" i="33"/>
  <c r="AX25" i="33"/>
  <c r="AX36" i="33"/>
  <c r="BE22" i="33"/>
  <c r="AR48" i="33"/>
  <c r="AR53" i="33"/>
  <c r="AR51" i="33"/>
  <c r="BH22" i="33"/>
  <c r="AR32" i="33"/>
  <c r="AR37" i="33"/>
  <c r="AU70" i="33"/>
  <c r="AU72" i="33"/>
  <c r="AU91" i="33"/>
  <c r="AU87" i="33"/>
  <c r="AU93" i="33"/>
  <c r="AV85" i="33"/>
  <c r="AP53" i="33"/>
  <c r="AP6" i="33"/>
  <c r="AS14" i="33"/>
  <c r="BL77" i="33"/>
  <c r="BL68" i="33"/>
  <c r="AT78" i="33"/>
  <c r="AT74" i="33"/>
  <c r="AN17" i="33"/>
  <c r="AZ23" i="33"/>
  <c r="BA25" i="33"/>
  <c r="BA33" i="33"/>
  <c r="AO25" i="33"/>
  <c r="AO33" i="33"/>
  <c r="AO7" i="33"/>
  <c r="AO36" i="33"/>
  <c r="AR24" i="33"/>
  <c r="AY23" i="33"/>
  <c r="AY24" i="33"/>
  <c r="AY36" i="33"/>
  <c r="AO53" i="33"/>
  <c r="AO6" i="33"/>
  <c r="AX37" i="33"/>
  <c r="BC23" i="33"/>
  <c r="BC24" i="33"/>
  <c r="BC36" i="33"/>
  <c r="BG77" i="33"/>
  <c r="BG68" i="33"/>
  <c r="AS93" i="33"/>
  <c r="AW114" i="33"/>
  <c r="BA36" i="33"/>
  <c r="BD22" i="33"/>
  <c r="BG22" i="33"/>
  <c r="AW23" i="33"/>
  <c r="AQ48" i="33"/>
  <c r="AQ51" i="33"/>
  <c r="AS78" i="33"/>
  <c r="AS74" i="33"/>
  <c r="L23" i="33"/>
  <c r="Q32" i="33"/>
  <c r="Q33" i="33"/>
  <c r="Q25" i="33"/>
  <c r="J36" i="33"/>
  <c r="K37" i="33"/>
  <c r="K24" i="33"/>
  <c r="BK22" i="33"/>
  <c r="BA37" i="33"/>
  <c r="BF23" i="33"/>
  <c r="AU24" i="33"/>
  <c r="AU37" i="33"/>
  <c r="AP25" i="33"/>
  <c r="AP33" i="33"/>
  <c r="AP7" i="33"/>
  <c r="AP14" i="33"/>
  <c r="AP36" i="33"/>
  <c r="BB22" i="33"/>
  <c r="S37" i="33"/>
  <c r="X32" i="33"/>
  <c r="AM10" i="33"/>
  <c r="AM17" i="33"/>
  <c r="AL17" i="33"/>
  <c r="AT24" i="33"/>
  <c r="AU30" i="32"/>
  <c r="AV31" i="32"/>
  <c r="AW31" i="32"/>
  <c r="AW24" i="32"/>
  <c r="AV23" i="32"/>
  <c r="AV6" i="32"/>
  <c r="AT18" i="32"/>
  <c r="AT39" i="32"/>
  <c r="AT45" i="32"/>
  <c r="AU14" i="32"/>
  <c r="AU10" i="32"/>
  <c r="AV15" i="32"/>
  <c r="AW7" i="32"/>
  <c r="AW15" i="32"/>
  <c r="AS18" i="32"/>
  <c r="AS39" i="32"/>
  <c r="AS45" i="32"/>
  <c r="AR8" i="31"/>
  <c r="AR29" i="31"/>
  <c r="AS24" i="31"/>
  <c r="AS27" i="31"/>
  <c r="AQ14" i="31"/>
  <c r="AQ19" i="31"/>
  <c r="AQ18" i="31"/>
  <c r="AQ7" i="31"/>
  <c r="AQ13" i="31"/>
  <c r="AQ6" i="31"/>
  <c r="AQ12" i="31"/>
  <c r="AP14" i="31"/>
  <c r="AP19" i="31"/>
  <c r="AP18" i="31"/>
  <c r="AP7" i="31"/>
  <c r="AP6" i="31"/>
  <c r="AS37" i="31"/>
  <c r="AS40" i="31"/>
  <c r="AT34" i="31"/>
  <c r="AS42" i="31"/>
  <c r="AT22" i="31"/>
  <c r="AW44" i="30"/>
  <c r="AS45" i="30"/>
  <c r="AS57" i="30"/>
  <c r="BJ44" i="30"/>
  <c r="BJ53" i="30"/>
  <c r="BJ72" i="28"/>
  <c r="AW54" i="30"/>
  <c r="AZ45" i="30"/>
  <c r="AZ57" i="30"/>
  <c r="BL41" i="30"/>
  <c r="BH42" i="30"/>
  <c r="AX44" i="30"/>
  <c r="AX53" i="30"/>
  <c r="AX72" i="28"/>
  <c r="AO59" i="30"/>
  <c r="AO58" i="30"/>
  <c r="BK103" i="30"/>
  <c r="BK104" i="30"/>
  <c r="BF45" i="30"/>
  <c r="BF57" i="30"/>
  <c r="AS55" i="30"/>
  <c r="AS54" i="30"/>
  <c r="AY45" i="30"/>
  <c r="AY57" i="30"/>
  <c r="BF104" i="30"/>
  <c r="BF103" i="30"/>
  <c r="AN59" i="30"/>
  <c r="AN58" i="30"/>
  <c r="BG98" i="30"/>
  <c r="BG97" i="30"/>
  <c r="BG100" i="30"/>
  <c r="BB47" i="30"/>
  <c r="BB48" i="30"/>
  <c r="BB42" i="30"/>
  <c r="BB53" i="30"/>
  <c r="BB72" i="28"/>
  <c r="AT59" i="30"/>
  <c r="AT58" i="30"/>
  <c r="BL100" i="30"/>
  <c r="BL97" i="30"/>
  <c r="BL98" i="30"/>
  <c r="BG123" i="30"/>
  <c r="BG124" i="30"/>
  <c r="BA58" i="30"/>
  <c r="BA59" i="30"/>
  <c r="BE44" i="30"/>
  <c r="BE53" i="30"/>
  <c r="BE72" i="28"/>
  <c r="BI44" i="30"/>
  <c r="BI53" i="30"/>
  <c r="BI72" i="28"/>
  <c r="AP44" i="30"/>
  <c r="AP53" i="30"/>
  <c r="AP72" i="28"/>
  <c r="AR32" i="30"/>
  <c r="AR40" i="30"/>
  <c r="AR42" i="30"/>
  <c r="AR53" i="30"/>
  <c r="AR72" i="28"/>
  <c r="BL247" i="30"/>
  <c r="BL246" i="30"/>
  <c r="BL91" i="30"/>
  <c r="BH124" i="30"/>
  <c r="BH123" i="30"/>
  <c r="AY55" i="30"/>
  <c r="AY54" i="30"/>
  <c r="AZ55" i="30"/>
  <c r="AZ54" i="30"/>
  <c r="BG41" i="30"/>
  <c r="BC42" i="30"/>
  <c r="BD44" i="30"/>
  <c r="BD53" i="30"/>
  <c r="BD72" i="28"/>
  <c r="BG88" i="30"/>
  <c r="BG102" i="30"/>
  <c r="AQ54" i="30"/>
  <c r="AQ55" i="30"/>
  <c r="AV55" i="30"/>
  <c r="AQ45" i="30"/>
  <c r="AQ57" i="30"/>
  <c r="BF54" i="30"/>
  <c r="BF55" i="30"/>
  <c r="AU58" i="30"/>
  <c r="BL88" i="30"/>
  <c r="BL102" i="30"/>
  <c r="BL114" i="30"/>
  <c r="BL122" i="30"/>
  <c r="AU256" i="27"/>
  <c r="AV252" i="27"/>
  <c r="AV131" i="27"/>
  <c r="AZ87" i="27"/>
  <c r="AZ58" i="27"/>
  <c r="AU321" i="27"/>
  <c r="AT323" i="27"/>
  <c r="AT115" i="27"/>
  <c r="AU322" i="27"/>
  <c r="AT134" i="27"/>
  <c r="AT136" i="27"/>
  <c r="AU122" i="27"/>
  <c r="AT129" i="27"/>
  <c r="AT138" i="27"/>
  <c r="BR280" i="27"/>
  <c r="AS280" i="27"/>
  <c r="AU276" i="27"/>
  <c r="AX204" i="27"/>
  <c r="AU254" i="27"/>
  <c r="AV248" i="27"/>
  <c r="AT257" i="27"/>
  <c r="AX140" i="27"/>
  <c r="AY121" i="27"/>
  <c r="BB23" i="33"/>
  <c r="BJ9" i="28"/>
  <c r="BJ167" i="30"/>
  <c r="BJ181" i="30"/>
  <c r="BJ182" i="30"/>
  <c r="BJ165" i="30"/>
  <c r="BJ168" i="30"/>
  <c r="BJ144" i="28"/>
  <c r="BD210" i="30"/>
  <c r="BD195" i="30"/>
  <c r="BE13" i="34"/>
  <c r="BE159" i="30"/>
  <c r="BC9" i="28"/>
  <c r="BC165" i="30"/>
  <c r="BC167" i="30"/>
  <c r="BC181" i="30"/>
  <c r="BC168" i="30"/>
  <c r="BC160" i="30"/>
  <c r="BG157" i="30"/>
  <c r="AY144" i="28"/>
  <c r="AZ182" i="30"/>
  <c r="AY189" i="30"/>
  <c r="AZ144" i="28"/>
  <c r="AZ169" i="30"/>
  <c r="AZ189" i="30"/>
  <c r="AX156" i="28"/>
  <c r="AX154" i="28"/>
  <c r="AX64" i="27"/>
  <c r="AX186" i="30"/>
  <c r="AY182" i="30"/>
  <c r="AZ183" i="30"/>
  <c r="AX68" i="27"/>
  <c r="AY178" i="30"/>
  <c r="AY169" i="30"/>
  <c r="AT158" i="28"/>
  <c r="AT155" i="28"/>
  <c r="AT147" i="28"/>
  <c r="AU158" i="28"/>
  <c r="AU155" i="28"/>
  <c r="AU68" i="27"/>
  <c r="AU147" i="28"/>
  <c r="AU156" i="28"/>
  <c r="AU154" i="28"/>
  <c r="AU64" i="27"/>
  <c r="AU174" i="30"/>
  <c r="AU185" i="30"/>
  <c r="AU187" i="30"/>
  <c r="AT174" i="30"/>
  <c r="AY179" i="30"/>
  <c r="AT185" i="30"/>
  <c r="AT187" i="30"/>
  <c r="AV9" i="28"/>
  <c r="AV167" i="30"/>
  <c r="AV181" i="30"/>
  <c r="AV168" i="30"/>
  <c r="AV165" i="30"/>
  <c r="AV194" i="30"/>
  <c r="AW159" i="30"/>
  <c r="AU179" i="30"/>
  <c r="AR160" i="30"/>
  <c r="AR165" i="30"/>
  <c r="AR9" i="28"/>
  <c r="BR9" i="28"/>
  <c r="AR194" i="30"/>
  <c r="AQ181" i="30"/>
  <c r="AQ177" i="30"/>
  <c r="AQ169" i="30"/>
  <c r="AR167" i="30"/>
  <c r="AQ144" i="28"/>
  <c r="AQ178" i="30"/>
  <c r="AV178" i="30"/>
  <c r="AQ189" i="30"/>
  <c r="AR168" i="30"/>
  <c r="AP186" i="30"/>
  <c r="AP187" i="30"/>
  <c r="AP154" i="28"/>
  <c r="AP64" i="27"/>
  <c r="BB210" i="30"/>
  <c r="BB195" i="30"/>
  <c r="AO156" i="28"/>
  <c r="AO154" i="28"/>
  <c r="AO64" i="27"/>
  <c r="BH201" i="30"/>
  <c r="BE200" i="30"/>
  <c r="BE193" i="30"/>
  <c r="AZ76" i="28"/>
  <c r="AZ191" i="30"/>
  <c r="AZ190" i="30"/>
  <c r="BC193" i="30"/>
  <c r="AX76" i="28"/>
  <c r="AX190" i="30"/>
  <c r="AX191" i="30"/>
  <c r="AO68" i="27"/>
  <c r="BI201" i="30"/>
  <c r="BF200" i="30"/>
  <c r="BF193" i="30"/>
  <c r="AO186" i="30"/>
  <c r="AO187" i="30"/>
  <c r="AN146" i="30"/>
  <c r="AN75" i="28"/>
  <c r="AN147" i="30"/>
  <c r="AN102" i="28"/>
  <c r="AN94" i="28"/>
  <c r="AN12" i="28"/>
  <c r="AL133" i="30"/>
  <c r="AL141" i="30"/>
  <c r="AL136" i="30"/>
  <c r="AM131" i="30"/>
  <c r="AM145" i="30"/>
  <c r="AL102" i="28"/>
  <c r="AL94" i="28"/>
  <c r="AL75" i="28"/>
  <c r="AL146" i="30"/>
  <c r="AL147" i="30"/>
  <c r="AN133" i="30"/>
  <c r="AN141" i="30"/>
  <c r="AN136" i="30"/>
  <c r="AN34" i="28"/>
  <c r="AM137" i="30"/>
  <c r="AM29" i="28"/>
  <c r="AM129" i="30"/>
  <c r="AM8" i="28"/>
  <c r="AM26" i="28"/>
  <c r="AL34" i="28"/>
  <c r="AL12" i="28"/>
  <c r="BI15" i="34"/>
  <c r="BL38" i="34"/>
  <c r="BL39" i="34"/>
  <c r="BJ13" i="34"/>
  <c r="BF7" i="34"/>
  <c r="BK22" i="34"/>
  <c r="BG22" i="34"/>
  <c r="BK11" i="34"/>
  <c r="AV13" i="34"/>
  <c r="AW8" i="34"/>
  <c r="AW13" i="34"/>
  <c r="BA12" i="34"/>
  <c r="BA8" i="34"/>
  <c r="BA159" i="30"/>
  <c r="BA160" i="30"/>
  <c r="BB7" i="34"/>
  <c r="BB12" i="34"/>
  <c r="BF8" i="34"/>
  <c r="BF11" i="34"/>
  <c r="BH11" i="34"/>
  <c r="BH8" i="34"/>
  <c r="BH159" i="30"/>
  <c r="BG17" i="34"/>
  <c r="BG16" i="34"/>
  <c r="BG6" i="34"/>
  <c r="BG11" i="34"/>
  <c r="BC13" i="34"/>
  <c r="BD8" i="34"/>
  <c r="BD11" i="34"/>
  <c r="BG31" i="33"/>
  <c r="BB32" i="33"/>
  <c r="AW115" i="33"/>
  <c r="AY33" i="33"/>
  <c r="AY25" i="33"/>
  <c r="AT33" i="33"/>
  <c r="AT25" i="33"/>
  <c r="AW24" i="33"/>
  <c r="AW37" i="33"/>
  <c r="AT36" i="33"/>
  <c r="AV70" i="33"/>
  <c r="AV72" i="33"/>
  <c r="AV91" i="33"/>
  <c r="AV87" i="33"/>
  <c r="AV93" i="33"/>
  <c r="AU33" i="33"/>
  <c r="AU25" i="33"/>
  <c r="AU7" i="33"/>
  <c r="AU14" i="33"/>
  <c r="AU36" i="33"/>
  <c r="BK23" i="33"/>
  <c r="BK24" i="33"/>
  <c r="K23" i="33"/>
  <c r="P32" i="33"/>
  <c r="P33" i="33"/>
  <c r="P25" i="33"/>
  <c r="J24" i="33"/>
  <c r="J37" i="33"/>
  <c r="BC37" i="33"/>
  <c r="BH23" i="33"/>
  <c r="BH24" i="33"/>
  <c r="AO13" i="33"/>
  <c r="AO10" i="33"/>
  <c r="AO128" i="30"/>
  <c r="BB31" i="33"/>
  <c r="AT37" i="33"/>
  <c r="BI22" i="33"/>
  <c r="AU78" i="33"/>
  <c r="AU74" i="33"/>
  <c r="BF24" i="33"/>
  <c r="BF37" i="33"/>
  <c r="BC25" i="33"/>
  <c r="BC33" i="33"/>
  <c r="BJ22" i="33"/>
  <c r="AS80" i="33"/>
  <c r="AS60" i="33"/>
  <c r="AS62" i="33"/>
  <c r="AQ53" i="33"/>
  <c r="AQ6" i="33"/>
  <c r="BD23" i="33"/>
  <c r="AY37" i="33"/>
  <c r="AP13" i="33"/>
  <c r="AP10" i="33"/>
  <c r="AO14" i="33"/>
  <c r="AR7" i="33"/>
  <c r="BE23" i="33"/>
  <c r="BE24" i="33"/>
  <c r="AT80" i="33"/>
  <c r="AT60" i="33"/>
  <c r="AT62" i="33"/>
  <c r="AZ24" i="33"/>
  <c r="AZ37" i="33"/>
  <c r="AW85" i="33"/>
  <c r="AW32" i="33"/>
  <c r="AR33" i="33"/>
  <c r="AR25" i="33"/>
  <c r="AR36" i="33"/>
  <c r="AV14" i="32"/>
  <c r="AV10" i="32"/>
  <c r="AW6" i="32"/>
  <c r="AW14" i="32"/>
  <c r="AU18" i="32"/>
  <c r="AU39" i="32"/>
  <c r="AU45" i="32"/>
  <c r="AX24" i="32"/>
  <c r="AX7" i="32"/>
  <c r="AU33" i="32"/>
  <c r="AV30" i="32"/>
  <c r="AV33" i="32"/>
  <c r="AW23" i="32"/>
  <c r="AT24" i="31"/>
  <c r="AT27" i="31"/>
  <c r="AU34" i="31"/>
  <c r="AT42" i="31"/>
  <c r="AT37" i="31"/>
  <c r="AT40" i="31"/>
  <c r="AU22" i="31"/>
  <c r="AP12" i="31"/>
  <c r="AR6" i="31"/>
  <c r="AP13" i="31"/>
  <c r="AR7" i="31"/>
  <c r="AS29" i="31"/>
  <c r="AS8" i="31"/>
  <c r="AR14" i="31"/>
  <c r="AX45" i="30"/>
  <c r="BB44" i="30"/>
  <c r="AX57" i="30"/>
  <c r="BD45" i="30"/>
  <c r="BD57" i="30"/>
  <c r="BL47" i="30"/>
  <c r="BL42" i="30"/>
  <c r="BL53" i="30"/>
  <c r="BL72" i="28"/>
  <c r="BI55" i="30"/>
  <c r="BI54" i="30"/>
  <c r="BL124" i="30"/>
  <c r="BL123" i="30"/>
  <c r="AR55" i="30"/>
  <c r="AR54" i="30"/>
  <c r="BL103" i="30"/>
  <c r="BL104" i="30"/>
  <c r="BF59" i="30"/>
  <c r="BF58" i="30"/>
  <c r="BK59" i="30"/>
  <c r="BI45" i="30"/>
  <c r="BI57" i="30"/>
  <c r="BJ55" i="30"/>
  <c r="BJ54" i="30"/>
  <c r="BB54" i="30"/>
  <c r="BB55" i="30"/>
  <c r="AS59" i="30"/>
  <c r="AS58" i="30"/>
  <c r="AX55" i="30"/>
  <c r="AX54" i="30"/>
  <c r="BH44" i="30"/>
  <c r="BH53" i="30"/>
  <c r="BH72" i="28"/>
  <c r="BC44" i="30"/>
  <c r="BC53" i="30"/>
  <c r="BC72" i="28"/>
  <c r="AP55" i="30"/>
  <c r="AP54" i="30"/>
  <c r="AU55" i="30"/>
  <c r="BG47" i="30"/>
  <c r="BG48" i="30"/>
  <c r="BG42" i="30"/>
  <c r="BG53" i="30"/>
  <c r="BG72" i="28"/>
  <c r="BE54" i="30"/>
  <c r="BE55" i="30"/>
  <c r="BG104" i="30"/>
  <c r="BG103" i="30"/>
  <c r="AY58" i="30"/>
  <c r="AY59" i="30"/>
  <c r="BD54" i="30"/>
  <c r="BD55" i="30"/>
  <c r="AP45" i="30"/>
  <c r="AP57" i="30"/>
  <c r="AR44" i="30"/>
  <c r="AZ58" i="30"/>
  <c r="AZ59" i="30"/>
  <c r="AW55" i="30"/>
  <c r="BE45" i="30"/>
  <c r="BE57" i="30"/>
  <c r="BJ45" i="30"/>
  <c r="BJ57" i="30"/>
  <c r="AQ59" i="30"/>
  <c r="AQ58" i="30"/>
  <c r="AV59" i="30"/>
  <c r="AW45" i="30"/>
  <c r="AW57" i="30"/>
  <c r="AZ121" i="27"/>
  <c r="AV276" i="27"/>
  <c r="BA58" i="27"/>
  <c r="BB58" i="27"/>
  <c r="BT58" i="27"/>
  <c r="AV122" i="27"/>
  <c r="AU129" i="27"/>
  <c r="AT280" i="27"/>
  <c r="AZ89" i="27"/>
  <c r="AZ201" i="27"/>
  <c r="BB87" i="27"/>
  <c r="AY140" i="27"/>
  <c r="AW131" i="27"/>
  <c r="AV322" i="27"/>
  <c r="AU134" i="27"/>
  <c r="AU136" i="27"/>
  <c r="AV256" i="27"/>
  <c r="AW252" i="27"/>
  <c r="AV254" i="27"/>
  <c r="AV257" i="27"/>
  <c r="AW248" i="27"/>
  <c r="AU257" i="27"/>
  <c r="AV321" i="27"/>
  <c r="AU323" i="27"/>
  <c r="AU115" i="27"/>
  <c r="BB24" i="33"/>
  <c r="BB37" i="33"/>
  <c r="BH9" i="28"/>
  <c r="BH165" i="30"/>
  <c r="BH167" i="30"/>
  <c r="BH168" i="30"/>
  <c r="BJ169" i="30"/>
  <c r="BJ147" i="28"/>
  <c r="BJ156" i="28"/>
  <c r="BJ158" i="28"/>
  <c r="BJ155" i="28"/>
  <c r="BJ68" i="27"/>
  <c r="BH160" i="30"/>
  <c r="BF13" i="34"/>
  <c r="BF159" i="30"/>
  <c r="BF194" i="30"/>
  <c r="BH177" i="30"/>
  <c r="BC169" i="30"/>
  <c r="BC177" i="30"/>
  <c r="BC182" i="30"/>
  <c r="BC183" i="30"/>
  <c r="BD13" i="34"/>
  <c r="BD159" i="30"/>
  <c r="BE9" i="28"/>
  <c r="BE167" i="30"/>
  <c r="BE181" i="30"/>
  <c r="BJ160" i="30"/>
  <c r="BE165" i="30"/>
  <c r="BE168" i="30"/>
  <c r="BE160" i="30"/>
  <c r="BH178" i="30"/>
  <c r="BC144" i="28"/>
  <c r="BC178" i="30"/>
  <c r="AZ174" i="30"/>
  <c r="AZ185" i="30"/>
  <c r="BA9" i="28"/>
  <c r="BA168" i="30"/>
  <c r="BA165" i="30"/>
  <c r="BF160" i="30"/>
  <c r="BA167" i="30"/>
  <c r="BA181" i="30"/>
  <c r="BB159" i="30"/>
  <c r="BB160" i="30"/>
  <c r="BA194" i="30"/>
  <c r="AZ179" i="30"/>
  <c r="AY174" i="30"/>
  <c r="AY185" i="30"/>
  <c r="AZ158" i="28"/>
  <c r="AZ155" i="28"/>
  <c r="AZ68" i="27"/>
  <c r="AZ147" i="28"/>
  <c r="AZ156" i="28"/>
  <c r="AY190" i="30"/>
  <c r="AY76" i="28"/>
  <c r="AY191" i="30"/>
  <c r="AY158" i="28"/>
  <c r="AY155" i="28"/>
  <c r="AY147" i="28"/>
  <c r="AV169" i="30"/>
  <c r="AW167" i="30"/>
  <c r="AT186" i="30"/>
  <c r="AV182" i="30"/>
  <c r="AV177" i="30"/>
  <c r="AZ187" i="30"/>
  <c r="AU186" i="30"/>
  <c r="AW9" i="28"/>
  <c r="BS9" i="28"/>
  <c r="AW165" i="30"/>
  <c r="AW181" i="30"/>
  <c r="AW194" i="30"/>
  <c r="AV144" i="28"/>
  <c r="AV189" i="30"/>
  <c r="AV191" i="30"/>
  <c r="AW168" i="30"/>
  <c r="AW178" i="30"/>
  <c r="AT156" i="28"/>
  <c r="AT154" i="28"/>
  <c r="AT64" i="27"/>
  <c r="AW160" i="30"/>
  <c r="AT68" i="27"/>
  <c r="AQ76" i="28"/>
  <c r="AQ190" i="30"/>
  <c r="AQ191" i="30"/>
  <c r="AR189" i="30"/>
  <c r="AR173" i="30"/>
  <c r="AR178" i="30"/>
  <c r="AR144" i="28"/>
  <c r="AR158" i="28"/>
  <c r="AR181" i="30"/>
  <c r="AW177" i="30"/>
  <c r="AR177" i="30"/>
  <c r="AR172" i="30"/>
  <c r="AQ179" i="30"/>
  <c r="AQ174" i="30"/>
  <c r="AQ185" i="30"/>
  <c r="AR169" i="30"/>
  <c r="AQ183" i="30"/>
  <c r="AQ182" i="30"/>
  <c r="AV183" i="30"/>
  <c r="AQ158" i="28"/>
  <c r="AQ155" i="28"/>
  <c r="AQ147" i="28"/>
  <c r="BF210" i="30"/>
  <c r="BF195" i="30"/>
  <c r="BG200" i="30"/>
  <c r="BG201" i="30"/>
  <c r="BJ201" i="30"/>
  <c r="BJ200" i="30"/>
  <c r="BJ193" i="30"/>
  <c r="BE194" i="30"/>
  <c r="BE210" i="30"/>
  <c r="BE195" i="30"/>
  <c r="BH200" i="30"/>
  <c r="BK201" i="30"/>
  <c r="BK200" i="30"/>
  <c r="BK193" i="30"/>
  <c r="BC210" i="30"/>
  <c r="BG193" i="30"/>
  <c r="BC189" i="30"/>
  <c r="BC194" i="30"/>
  <c r="BC195" i="30"/>
  <c r="AP17" i="33"/>
  <c r="AP128" i="30"/>
  <c r="AO8" i="28"/>
  <c r="AO29" i="28"/>
  <c r="AO26" i="28"/>
  <c r="AO129" i="30"/>
  <c r="AO145" i="30"/>
  <c r="AO137" i="30"/>
  <c r="AO131" i="30"/>
  <c r="AN138" i="30"/>
  <c r="AN143" i="30"/>
  <c r="AN151" i="30"/>
  <c r="AL151" i="28"/>
  <c r="AM12" i="28"/>
  <c r="AM20" i="28"/>
  <c r="AL13" i="28"/>
  <c r="AL22" i="28"/>
  <c r="AL21" i="28"/>
  <c r="AL17" i="28"/>
  <c r="AL27" i="28"/>
  <c r="AL16" i="28"/>
  <c r="AL148" i="28"/>
  <c r="AL6" i="27"/>
  <c r="AL18" i="28"/>
  <c r="AL172" i="28"/>
  <c r="AM34" i="28"/>
  <c r="BQ8" i="28"/>
  <c r="AL138" i="30"/>
  <c r="AL143" i="30"/>
  <c r="AL151" i="30"/>
  <c r="AN16" i="28"/>
  <c r="AN13" i="28"/>
  <c r="AN27" i="28"/>
  <c r="AN18" i="28"/>
  <c r="AN17" i="28"/>
  <c r="AN172" i="28"/>
  <c r="AN151" i="28"/>
  <c r="AN148" i="28"/>
  <c r="AN22" i="28"/>
  <c r="AN6" i="27"/>
  <c r="AN21" i="28"/>
  <c r="AL20" i="28"/>
  <c r="AN20" i="28"/>
  <c r="AL107" i="28"/>
  <c r="AL67" i="27"/>
  <c r="AL69" i="27"/>
  <c r="AM94" i="28"/>
  <c r="AL121" i="28"/>
  <c r="AL99" i="28"/>
  <c r="AM136" i="30"/>
  <c r="AM133" i="30"/>
  <c r="AM141" i="30"/>
  <c r="AN107" i="28"/>
  <c r="AN121" i="28"/>
  <c r="AN67" i="27"/>
  <c r="AN69" i="27"/>
  <c r="AN99" i="28"/>
  <c r="AL79" i="28"/>
  <c r="AL88" i="28"/>
  <c r="AN79" i="28"/>
  <c r="AN88" i="28"/>
  <c r="AM147" i="30"/>
  <c r="AM146" i="30"/>
  <c r="AM75" i="28"/>
  <c r="AM149" i="30"/>
  <c r="AM102" i="28"/>
  <c r="BL48" i="30"/>
  <c r="BI6" i="34"/>
  <c r="BI157" i="30"/>
  <c r="BL157" i="30"/>
  <c r="BI17" i="34"/>
  <c r="BL15" i="34"/>
  <c r="BH13" i="34"/>
  <c r="BA13" i="34"/>
  <c r="BB8" i="34"/>
  <c r="BB13" i="34"/>
  <c r="BK7" i="34"/>
  <c r="BL22" i="34"/>
  <c r="BG8" i="34"/>
  <c r="BF12" i="34"/>
  <c r="BG7" i="34"/>
  <c r="BG12" i="34"/>
  <c r="BH25" i="33"/>
  <c r="BH33" i="33"/>
  <c r="BH36" i="33"/>
  <c r="AQ13" i="33"/>
  <c r="AQ10" i="33"/>
  <c r="AR10" i="33"/>
  <c r="AR17" i="33"/>
  <c r="BI23" i="33"/>
  <c r="BE25" i="33"/>
  <c r="BE33" i="33"/>
  <c r="BE37" i="33"/>
  <c r="BJ23" i="33"/>
  <c r="AS46" i="33"/>
  <c r="AS63" i="33"/>
  <c r="BL22" i="33"/>
  <c r="BF25" i="33"/>
  <c r="BF33" i="33"/>
  <c r="BF36" i="33"/>
  <c r="AW87" i="33"/>
  <c r="AW93" i="33"/>
  <c r="AU80" i="33"/>
  <c r="AU60" i="33"/>
  <c r="AU62" i="33"/>
  <c r="BK37" i="33"/>
  <c r="BB25" i="33"/>
  <c r="BB33" i="33"/>
  <c r="AR6" i="33"/>
  <c r="AR13" i="33"/>
  <c r="AO17" i="33"/>
  <c r="AW117" i="33"/>
  <c r="AW118" i="33"/>
  <c r="AW70" i="33"/>
  <c r="AW91" i="33"/>
  <c r="J23" i="33"/>
  <c r="O32" i="33"/>
  <c r="N24" i="33"/>
  <c r="O25" i="33"/>
  <c r="O33" i="33"/>
  <c r="AX114" i="33"/>
  <c r="AR39" i="33"/>
  <c r="AT39" i="33"/>
  <c r="AR14" i="33"/>
  <c r="AV78" i="33"/>
  <c r="AV74" i="33"/>
  <c r="AW33" i="33"/>
  <c r="AW25" i="33"/>
  <c r="AW36" i="33"/>
  <c r="BG23" i="33"/>
  <c r="BH37" i="33"/>
  <c r="BE36" i="33"/>
  <c r="AW72" i="33"/>
  <c r="AZ25" i="33"/>
  <c r="AZ33" i="33"/>
  <c r="AZ36" i="33"/>
  <c r="AT46" i="33"/>
  <c r="AT63" i="33"/>
  <c r="BK25" i="33"/>
  <c r="BK33" i="33"/>
  <c r="BK36" i="33"/>
  <c r="BD24" i="33"/>
  <c r="BD37" i="33"/>
  <c r="AW26" i="32"/>
  <c r="AX15" i="32"/>
  <c r="AV18" i="32"/>
  <c r="AV39" i="32"/>
  <c r="AV45" i="32"/>
  <c r="AW11" i="32"/>
  <c r="AW10" i="32"/>
  <c r="AW30" i="32"/>
  <c r="AW33" i="32"/>
  <c r="AX31" i="32"/>
  <c r="AY24" i="32"/>
  <c r="AX23" i="32"/>
  <c r="AR13" i="31"/>
  <c r="AR18" i="31"/>
  <c r="AS19" i="31"/>
  <c r="AS18" i="31"/>
  <c r="AS7" i="31"/>
  <c r="AS14" i="31"/>
  <c r="AS6" i="31"/>
  <c r="AR12" i="31"/>
  <c r="AR17" i="31"/>
  <c r="AR19" i="31"/>
  <c r="AU24" i="31"/>
  <c r="AU27" i="31"/>
  <c r="AU42" i="31"/>
  <c r="AV34" i="31"/>
  <c r="AU37" i="31"/>
  <c r="AU40" i="31"/>
  <c r="AV22" i="31"/>
  <c r="AT8" i="31"/>
  <c r="AT29" i="31"/>
  <c r="BG44" i="30"/>
  <c r="BC45" i="30"/>
  <c r="BC57" i="30"/>
  <c r="AP58" i="30"/>
  <c r="AP59" i="30"/>
  <c r="AU59" i="30"/>
  <c r="BH54" i="30"/>
  <c r="BH55" i="30"/>
  <c r="BL54" i="30"/>
  <c r="BL55" i="30"/>
  <c r="BC54" i="30"/>
  <c r="BC55" i="30"/>
  <c r="BE59" i="30"/>
  <c r="BE58" i="30"/>
  <c r="AW58" i="30"/>
  <c r="BL44" i="30"/>
  <c r="BH45" i="30"/>
  <c r="BH57" i="30"/>
  <c r="BJ58" i="30"/>
  <c r="BJ59" i="30"/>
  <c r="BD59" i="30"/>
  <c r="BD58" i="30"/>
  <c r="AX58" i="30"/>
  <c r="AX59" i="30"/>
  <c r="BI58" i="30"/>
  <c r="BI59" i="30"/>
  <c r="BB45" i="30"/>
  <c r="BB57" i="30"/>
  <c r="BG54" i="30"/>
  <c r="BG55" i="30"/>
  <c r="AR45" i="30"/>
  <c r="AR57" i="30"/>
  <c r="AW59" i="30"/>
  <c r="AV115" i="27"/>
  <c r="AW321" i="27"/>
  <c r="AV323" i="27"/>
  <c r="AX248" i="27"/>
  <c r="AW254" i="27"/>
  <c r="AW256" i="27"/>
  <c r="AX252" i="27"/>
  <c r="BC87" i="27"/>
  <c r="BC58" i="27"/>
  <c r="AZ140" i="27"/>
  <c r="BT87" i="27"/>
  <c r="BB89" i="27"/>
  <c r="AZ204" i="27"/>
  <c r="BB201" i="27"/>
  <c r="BB204" i="27"/>
  <c r="BA121" i="27"/>
  <c r="AU280" i="27"/>
  <c r="AU138" i="27"/>
  <c r="AW322" i="27"/>
  <c r="AV134" i="27"/>
  <c r="AV136" i="27"/>
  <c r="AW122" i="27"/>
  <c r="AV129" i="27"/>
  <c r="AV138" i="27"/>
  <c r="AX131" i="27"/>
  <c r="AW276" i="27"/>
  <c r="BB36" i="33"/>
  <c r="AZ154" i="28"/>
  <c r="AZ64" i="27"/>
  <c r="BI200" i="30"/>
  <c r="BI193" i="30"/>
  <c r="BJ154" i="28"/>
  <c r="BJ64" i="27"/>
  <c r="BG13" i="34"/>
  <c r="BH169" i="30"/>
  <c r="BH181" i="30"/>
  <c r="BJ174" i="30"/>
  <c r="BJ185" i="30"/>
  <c r="BJ186" i="30"/>
  <c r="BH144" i="28"/>
  <c r="BI195" i="30"/>
  <c r="BI210" i="30"/>
  <c r="BE144" i="28"/>
  <c r="BJ178" i="30"/>
  <c r="BE178" i="30"/>
  <c r="BE189" i="30"/>
  <c r="BE190" i="30"/>
  <c r="BC185" i="30"/>
  <c r="BH179" i="30"/>
  <c r="BC174" i="30"/>
  <c r="BC179" i="30"/>
  <c r="BD9" i="28"/>
  <c r="BD165" i="30"/>
  <c r="BD167" i="30"/>
  <c r="BD181" i="30"/>
  <c r="BD168" i="30"/>
  <c r="BD160" i="30"/>
  <c r="BD194" i="30"/>
  <c r="BG159" i="30"/>
  <c r="BG160" i="30"/>
  <c r="BJ177" i="30"/>
  <c r="BE169" i="30"/>
  <c r="BE177" i="30"/>
  <c r="BC158" i="28"/>
  <c r="BC155" i="28"/>
  <c r="BC147" i="28"/>
  <c r="BF9" i="28"/>
  <c r="BF168" i="30"/>
  <c r="BF178" i="30"/>
  <c r="BF165" i="30"/>
  <c r="BF167" i="30"/>
  <c r="BF181" i="30"/>
  <c r="BF183" i="30"/>
  <c r="BE182" i="30"/>
  <c r="BJ183" i="30"/>
  <c r="BE183" i="30"/>
  <c r="AY186" i="30"/>
  <c r="BB9" i="28"/>
  <c r="BT9" i="28"/>
  <c r="BB165" i="30"/>
  <c r="BB194" i="30"/>
  <c r="BA169" i="30"/>
  <c r="BA179" i="30"/>
  <c r="BB167" i="30"/>
  <c r="BA177" i="30"/>
  <c r="BA144" i="28"/>
  <c r="BA189" i="30"/>
  <c r="BB168" i="30"/>
  <c r="AY156" i="28"/>
  <c r="AY154" i="28"/>
  <c r="AY64" i="27"/>
  <c r="BA182" i="30"/>
  <c r="AY68" i="27"/>
  <c r="AZ186" i="30"/>
  <c r="BA183" i="30"/>
  <c r="AY187" i="30"/>
  <c r="BA178" i="30"/>
  <c r="AW172" i="30"/>
  <c r="AW144" i="28"/>
  <c r="AW158" i="28"/>
  <c r="AW173" i="30"/>
  <c r="AW189" i="30"/>
  <c r="AW191" i="30"/>
  <c r="AV147" i="28"/>
  <c r="AV158" i="28"/>
  <c r="AV155" i="28"/>
  <c r="AW182" i="30"/>
  <c r="AV174" i="30"/>
  <c r="AV185" i="30"/>
  <c r="AW169" i="30"/>
  <c r="AV76" i="28"/>
  <c r="AV190" i="30"/>
  <c r="AV179" i="30"/>
  <c r="AQ187" i="30"/>
  <c r="AQ186" i="30"/>
  <c r="AR185" i="30"/>
  <c r="AR174" i="30"/>
  <c r="AR179" i="30"/>
  <c r="AR182" i="30"/>
  <c r="AR183" i="30"/>
  <c r="AW183" i="30"/>
  <c r="AR76" i="28"/>
  <c r="AR191" i="30"/>
  <c r="AR190" i="30"/>
  <c r="AQ68" i="27"/>
  <c r="AR155" i="28"/>
  <c r="AR68" i="27"/>
  <c r="AQ156" i="28"/>
  <c r="AQ154" i="28"/>
  <c r="AQ64" i="27"/>
  <c r="AR147" i="28"/>
  <c r="AR156" i="28"/>
  <c r="AR154" i="28"/>
  <c r="AR64" i="27"/>
  <c r="BK210" i="30"/>
  <c r="BK195" i="30"/>
  <c r="BL200" i="30"/>
  <c r="BL201" i="30"/>
  <c r="BH193" i="30"/>
  <c r="BJ195" i="30"/>
  <c r="BJ210" i="30"/>
  <c r="BJ189" i="30"/>
  <c r="BJ194" i="30"/>
  <c r="BC76" i="28"/>
  <c r="BC191" i="30"/>
  <c r="BC190" i="30"/>
  <c r="BG210" i="30"/>
  <c r="BG195" i="30"/>
  <c r="AL19" i="28"/>
  <c r="AP29" i="28"/>
  <c r="AP26" i="28"/>
  <c r="AP8" i="28"/>
  <c r="AP137" i="30"/>
  <c r="AP129" i="30"/>
  <c r="AP145" i="30"/>
  <c r="AP131" i="30"/>
  <c r="AO34" i="28"/>
  <c r="AO136" i="30"/>
  <c r="AO141" i="30"/>
  <c r="AO133" i="30"/>
  <c r="AO146" i="30"/>
  <c r="AO75" i="28"/>
  <c r="AO147" i="30"/>
  <c r="AO102" i="28"/>
  <c r="AO94" i="28"/>
  <c r="AO12" i="28"/>
  <c r="AO20" i="28"/>
  <c r="AL35" i="28"/>
  <c r="AL25" i="28"/>
  <c r="AL39" i="28"/>
  <c r="AL131" i="28"/>
  <c r="AL126" i="28"/>
  <c r="AQ17" i="33"/>
  <c r="AQ128" i="30"/>
  <c r="AL13" i="27"/>
  <c r="AL7" i="27"/>
  <c r="AL78" i="27"/>
  <c r="V8" i="15"/>
  <c r="V14" i="15"/>
  <c r="AN126" i="28"/>
  <c r="AN131" i="28"/>
  <c r="AN183" i="27"/>
  <c r="AN178" i="28"/>
  <c r="AM107" i="28"/>
  <c r="AM67" i="27"/>
  <c r="AM69" i="27"/>
  <c r="AM121" i="28"/>
  <c r="AM99" i="28"/>
  <c r="AM143" i="30"/>
  <c r="AM138" i="30"/>
  <c r="AM151" i="30"/>
  <c r="AN25" i="28"/>
  <c r="AN35" i="28"/>
  <c r="AN39" i="28"/>
  <c r="BQ12" i="28"/>
  <c r="AM22" i="28"/>
  <c r="AM17" i="28"/>
  <c r="AM21" i="28"/>
  <c r="AM13" i="28"/>
  <c r="AM6" i="27"/>
  <c r="AM18" i="28"/>
  <c r="AM151" i="28"/>
  <c r="AM27" i="28"/>
  <c r="AM148" i="28"/>
  <c r="AM16" i="28"/>
  <c r="AN7" i="27"/>
  <c r="AN78" i="27"/>
  <c r="AN13" i="27"/>
  <c r="X8" i="15"/>
  <c r="AL178" i="28"/>
  <c r="AM172" i="28"/>
  <c r="AL183" i="27"/>
  <c r="AN19" i="28"/>
  <c r="AN153" i="30"/>
  <c r="AN152" i="30"/>
  <c r="AN84" i="28"/>
  <c r="AN89" i="28"/>
  <c r="AN161" i="28"/>
  <c r="AN81" i="28"/>
  <c r="AN85" i="28"/>
  <c r="AN90" i="28"/>
  <c r="AN115" i="28"/>
  <c r="AN80" i="28"/>
  <c r="AN86" i="28"/>
  <c r="AN185" i="28"/>
  <c r="AN95" i="28"/>
  <c r="AL84" i="28"/>
  <c r="AL115" i="28"/>
  <c r="AL161" i="28"/>
  <c r="AL95" i="28"/>
  <c r="AL89" i="28"/>
  <c r="AL185" i="28"/>
  <c r="AL80" i="28"/>
  <c r="AL85" i="28"/>
  <c r="AL90" i="28"/>
  <c r="AM79" i="28"/>
  <c r="AM88" i="28"/>
  <c r="AL86" i="28"/>
  <c r="AL81" i="28"/>
  <c r="AL152" i="30"/>
  <c r="AL153" i="30"/>
  <c r="BL16" i="34"/>
  <c r="BL17" i="34"/>
  <c r="BL6" i="34"/>
  <c r="BL11" i="34"/>
  <c r="BI8" i="34"/>
  <c r="BI11" i="34"/>
  <c r="BK12" i="34"/>
  <c r="BL7" i="34"/>
  <c r="BL12" i="34"/>
  <c r="BK8" i="34"/>
  <c r="BK159" i="30"/>
  <c r="BK160" i="30"/>
  <c r="BL31" i="33"/>
  <c r="BG32" i="33"/>
  <c r="AS48" i="33"/>
  <c r="AS51" i="33"/>
  <c r="AW78" i="33"/>
  <c r="AW71" i="33"/>
  <c r="AW74" i="33"/>
  <c r="AV80" i="33"/>
  <c r="AV60" i="33"/>
  <c r="AV62" i="33"/>
  <c r="BD25" i="33"/>
  <c r="BD33" i="33"/>
  <c r="BG24" i="33"/>
  <c r="BD36" i="33"/>
  <c r="AT48" i="33"/>
  <c r="AT51" i="33"/>
  <c r="BL23" i="33"/>
  <c r="BC114" i="33"/>
  <c r="AX85" i="33"/>
  <c r="N23" i="33"/>
  <c r="S32" i="33"/>
  <c r="S33" i="33"/>
  <c r="S25" i="33"/>
  <c r="BJ24" i="33"/>
  <c r="BJ37" i="33"/>
  <c r="BI24" i="33"/>
  <c r="AU46" i="33"/>
  <c r="AU63" i="33"/>
  <c r="AV39" i="33"/>
  <c r="AT7" i="33"/>
  <c r="AY114" i="33"/>
  <c r="AY31" i="32"/>
  <c r="AZ24" i="32"/>
  <c r="AZ7" i="32"/>
  <c r="AZ15" i="32"/>
  <c r="AY23" i="32"/>
  <c r="AY7" i="32"/>
  <c r="AX30" i="32"/>
  <c r="AY6" i="32"/>
  <c r="AW18" i="32"/>
  <c r="AW39" i="32"/>
  <c r="AW45" i="32"/>
  <c r="AX6" i="32"/>
  <c r="AV24" i="31"/>
  <c r="AV27" i="31"/>
  <c r="AW22" i="31"/>
  <c r="AT14" i="31"/>
  <c r="AT19" i="31"/>
  <c r="AT18" i="31"/>
  <c r="AT7" i="31"/>
  <c r="AT13" i="31"/>
  <c r="AT6" i="31"/>
  <c r="AT12" i="31"/>
  <c r="AV42" i="31"/>
  <c r="AV37" i="31"/>
  <c r="AV40" i="31"/>
  <c r="AW34" i="31"/>
  <c r="AU8" i="31"/>
  <c r="AU29" i="31"/>
  <c r="AS12" i="31"/>
  <c r="AS13" i="31"/>
  <c r="BB58" i="30"/>
  <c r="BB59" i="30"/>
  <c r="BL45" i="30"/>
  <c r="BL57" i="30"/>
  <c r="AR58" i="30"/>
  <c r="AR59" i="30"/>
  <c r="BH58" i="30"/>
  <c r="BH59" i="30"/>
  <c r="BC59" i="30"/>
  <c r="BC58" i="30"/>
  <c r="BG45" i="30"/>
  <c r="BG57" i="30"/>
  <c r="BS276" i="27"/>
  <c r="AX276" i="27"/>
  <c r="BA140" i="27"/>
  <c r="BD58" i="27"/>
  <c r="BC89" i="27"/>
  <c r="BC201" i="27"/>
  <c r="AY248" i="27"/>
  <c r="AX254" i="27"/>
  <c r="AX257" i="27"/>
  <c r="BB121" i="27"/>
  <c r="AY131" i="27"/>
  <c r="AX122" i="27"/>
  <c r="AW129" i="27"/>
  <c r="AX256" i="27"/>
  <c r="AY252" i="27"/>
  <c r="AW134" i="27"/>
  <c r="AW136" i="27"/>
  <c r="AX322" i="27"/>
  <c r="AW257" i="27"/>
  <c r="AV280" i="27"/>
  <c r="AW323" i="27"/>
  <c r="AW115" i="27"/>
  <c r="AX321" i="27"/>
  <c r="BE76" i="28"/>
  <c r="BE191" i="30"/>
  <c r="BH158" i="28"/>
  <c r="BH155" i="28"/>
  <c r="BH147" i="28"/>
  <c r="BH182" i="30"/>
  <c r="BH183" i="30"/>
  <c r="BK9" i="28"/>
  <c r="BK168" i="30"/>
  <c r="BK165" i="30"/>
  <c r="BK167" i="30"/>
  <c r="BK181" i="30"/>
  <c r="BK182" i="30"/>
  <c r="BK194" i="30"/>
  <c r="BH174" i="30"/>
  <c r="BH185" i="30"/>
  <c r="BH187" i="30"/>
  <c r="BI13" i="34"/>
  <c r="BI159" i="30"/>
  <c r="BD182" i="30"/>
  <c r="BD183" i="30"/>
  <c r="BF144" i="28"/>
  <c r="BF189" i="30"/>
  <c r="BF191" i="30"/>
  <c r="BC186" i="30"/>
  <c r="BC187" i="30"/>
  <c r="BJ179" i="30"/>
  <c r="BE174" i="30"/>
  <c r="BE185" i="30"/>
  <c r="BE179" i="30"/>
  <c r="BG9" i="28"/>
  <c r="BU9" i="28"/>
  <c r="BG165" i="30"/>
  <c r="BD144" i="28"/>
  <c r="BD189" i="30"/>
  <c r="BD178" i="30"/>
  <c r="BG168" i="30"/>
  <c r="BG178" i="30"/>
  <c r="BD169" i="30"/>
  <c r="BD177" i="30"/>
  <c r="BG167" i="30"/>
  <c r="BG177" i="30"/>
  <c r="BG194" i="30"/>
  <c r="BC156" i="28"/>
  <c r="BC154" i="28"/>
  <c r="BC64" i="27"/>
  <c r="BF182" i="30"/>
  <c r="BC68" i="27"/>
  <c r="BF169" i="30"/>
  <c r="BF177" i="30"/>
  <c r="BE158" i="28"/>
  <c r="BE155" i="28"/>
  <c r="BE68" i="27"/>
  <c r="BE147" i="28"/>
  <c r="BE156" i="28"/>
  <c r="BA76" i="28"/>
  <c r="BA190" i="30"/>
  <c r="BA147" i="28"/>
  <c r="BA158" i="28"/>
  <c r="BA155" i="28"/>
  <c r="BB172" i="30"/>
  <c r="BB181" i="30"/>
  <c r="BB144" i="28"/>
  <c r="BB158" i="28"/>
  <c r="BB173" i="30"/>
  <c r="BB189" i="30"/>
  <c r="BB178" i="30"/>
  <c r="BB177" i="30"/>
  <c r="BA174" i="30"/>
  <c r="BA185" i="30"/>
  <c r="BB169" i="30"/>
  <c r="BA191" i="30"/>
  <c r="AV156" i="28"/>
  <c r="AV154" i="28"/>
  <c r="AV64" i="27"/>
  <c r="AW147" i="28"/>
  <c r="AW156" i="28"/>
  <c r="AV186" i="30"/>
  <c r="AW185" i="30"/>
  <c r="AW174" i="30"/>
  <c r="AV68" i="27"/>
  <c r="AW155" i="28"/>
  <c r="AW68" i="27"/>
  <c r="AW76" i="28"/>
  <c r="AW190" i="30"/>
  <c r="AW179" i="30"/>
  <c r="AV187" i="30"/>
  <c r="AR187" i="30"/>
  <c r="AW187" i="30"/>
  <c r="AR186" i="30"/>
  <c r="BH210" i="30"/>
  <c r="BL193" i="30"/>
  <c r="BH195" i="30"/>
  <c r="BH194" i="30"/>
  <c r="BH189" i="30"/>
  <c r="BJ190" i="30"/>
  <c r="BJ76" i="28"/>
  <c r="BJ191" i="30"/>
  <c r="AP136" i="30"/>
  <c r="AP133" i="30"/>
  <c r="AP141" i="30"/>
  <c r="AP146" i="30"/>
  <c r="AP75" i="28"/>
  <c r="AP147" i="30"/>
  <c r="AP102" i="28"/>
  <c r="AP94" i="28"/>
  <c r="AP12" i="28"/>
  <c r="AP20" i="28"/>
  <c r="AP34" i="28"/>
  <c r="AO21" i="28"/>
  <c r="AO172" i="28"/>
  <c r="AO16" i="28"/>
  <c r="AO6" i="27"/>
  <c r="AO151" i="28"/>
  <c r="AO17" i="28"/>
  <c r="AO27" i="28"/>
  <c r="AO18" i="28"/>
  <c r="AO13" i="28"/>
  <c r="AO22" i="28"/>
  <c r="AO148" i="28"/>
  <c r="AO99" i="28"/>
  <c r="AO121" i="28"/>
  <c r="AO67" i="27"/>
  <c r="AO69" i="27"/>
  <c r="AO107" i="28"/>
  <c r="AN87" i="28"/>
  <c r="AO79" i="28"/>
  <c r="AO88" i="28"/>
  <c r="AO143" i="30"/>
  <c r="AO138" i="30"/>
  <c r="AO151" i="30"/>
  <c r="V34" i="15"/>
  <c r="AL9" i="27"/>
  <c r="AL22" i="27"/>
  <c r="AM13" i="27"/>
  <c r="AN162" i="28"/>
  <c r="AN25" i="27"/>
  <c r="AN27" i="27"/>
  <c r="AN168" i="28"/>
  <c r="AL187" i="28"/>
  <c r="AL186" i="28"/>
  <c r="AL106" i="27"/>
  <c r="AL217" i="27"/>
  <c r="AL192" i="27"/>
  <c r="AL222" i="27"/>
  <c r="AQ29" i="28"/>
  <c r="AQ26" i="28"/>
  <c r="AQ8" i="28"/>
  <c r="AQ137" i="30"/>
  <c r="AQ129" i="30"/>
  <c r="AR128" i="30"/>
  <c r="AQ145" i="30"/>
  <c r="AQ131" i="30"/>
  <c r="AN116" i="28"/>
  <c r="AN199" i="28"/>
  <c r="AN117" i="28"/>
  <c r="W8" i="15"/>
  <c r="W14" i="15"/>
  <c r="BQ6" i="27"/>
  <c r="AM7" i="27"/>
  <c r="AM178" i="28"/>
  <c r="BQ172" i="28"/>
  <c r="AM173" i="28"/>
  <c r="AM183" i="27"/>
  <c r="AN38" i="28"/>
  <c r="AN40" i="28"/>
  <c r="AN33" i="28"/>
  <c r="AN176" i="28"/>
  <c r="AL108" i="28"/>
  <c r="AL100" i="28"/>
  <c r="AL93" i="28"/>
  <c r="AL192" i="28"/>
  <c r="AL197" i="28"/>
  <c r="AL112" i="28"/>
  <c r="AL183" i="28"/>
  <c r="AM153" i="30"/>
  <c r="AM152" i="30"/>
  <c r="AM35" i="28"/>
  <c r="AM25" i="28"/>
  <c r="AM39" i="28"/>
  <c r="AL162" i="28"/>
  <c r="AL168" i="28"/>
  <c r="AL25" i="27"/>
  <c r="AL27" i="27"/>
  <c r="X14" i="15"/>
  <c r="AN183" i="28"/>
  <c r="AL199" i="28"/>
  <c r="AL117" i="28"/>
  <c r="AL116" i="28"/>
  <c r="X34" i="15"/>
  <c r="AN9" i="27"/>
  <c r="AN22" i="27"/>
  <c r="AN217" i="27"/>
  <c r="AN192" i="27"/>
  <c r="AN222" i="27"/>
  <c r="AN156" i="27"/>
  <c r="AN80" i="27"/>
  <c r="BQ79" i="28"/>
  <c r="F12" i="26"/>
  <c r="AM89" i="28"/>
  <c r="AM86" i="28"/>
  <c r="AM85" i="28"/>
  <c r="AM80" i="28"/>
  <c r="AM90" i="28"/>
  <c r="AM95" i="28"/>
  <c r="AM185" i="28"/>
  <c r="AM84" i="28"/>
  <c r="AM161" i="28"/>
  <c r="AM81" i="28"/>
  <c r="AM115" i="28"/>
  <c r="AN93" i="28"/>
  <c r="AN100" i="28"/>
  <c r="AN108" i="28"/>
  <c r="AN112" i="28"/>
  <c r="AN192" i="28"/>
  <c r="AN197" i="28"/>
  <c r="AL38" i="28"/>
  <c r="AL40" i="28"/>
  <c r="AL33" i="28"/>
  <c r="AL176" i="28"/>
  <c r="AM176" i="28"/>
  <c r="AN187" i="28"/>
  <c r="AN186" i="28"/>
  <c r="AL80" i="27"/>
  <c r="AM78" i="27"/>
  <c r="AL156" i="27"/>
  <c r="AL87" i="28"/>
  <c r="AM19" i="28"/>
  <c r="AM126" i="28"/>
  <c r="AM131" i="28"/>
  <c r="BK13" i="34"/>
  <c r="BL8" i="34"/>
  <c r="BL13" i="34"/>
  <c r="BL32" i="33"/>
  <c r="BG25" i="33"/>
  <c r="BG33" i="33"/>
  <c r="BG36" i="33"/>
  <c r="AV46" i="33"/>
  <c r="AV63" i="33"/>
  <c r="AW62" i="33"/>
  <c r="AW63" i="33"/>
  <c r="BI25" i="33"/>
  <c r="BI33" i="33"/>
  <c r="BI36" i="33"/>
  <c r="BL24" i="33"/>
  <c r="AS53" i="33"/>
  <c r="AS6" i="33"/>
  <c r="AT53" i="33"/>
  <c r="AT6" i="33"/>
  <c r="BD114" i="33"/>
  <c r="AT14" i="33"/>
  <c r="AW80" i="33"/>
  <c r="AW60" i="33"/>
  <c r="AU48" i="33"/>
  <c r="AU51" i="33"/>
  <c r="BI37" i="33"/>
  <c r="AY85" i="33"/>
  <c r="BA114" i="33"/>
  <c r="AZ114" i="33"/>
  <c r="AZ85" i="33"/>
  <c r="AX39" i="33"/>
  <c r="AV7" i="33"/>
  <c r="AV14" i="33"/>
  <c r="BJ33" i="33"/>
  <c r="BJ25" i="33"/>
  <c r="BJ36" i="33"/>
  <c r="BG37" i="33"/>
  <c r="AX70" i="33"/>
  <c r="AX72" i="33"/>
  <c r="AX91" i="33"/>
  <c r="AX87" i="33"/>
  <c r="BH114" i="33"/>
  <c r="AX33" i="32"/>
  <c r="AZ31" i="32"/>
  <c r="BA24" i="32"/>
  <c r="BA7" i="32"/>
  <c r="BA15" i="32"/>
  <c r="AZ23" i="32"/>
  <c r="AX10" i="32"/>
  <c r="AX14" i="32"/>
  <c r="AY14" i="32"/>
  <c r="AY10" i="32"/>
  <c r="AY15" i="32"/>
  <c r="BB7" i="32"/>
  <c r="BB15" i="32"/>
  <c r="AY30" i="32"/>
  <c r="AY33" i="32"/>
  <c r="AZ6" i="32"/>
  <c r="AW42" i="31"/>
  <c r="AW37" i="31"/>
  <c r="AW40" i="31"/>
  <c r="AX34" i="31"/>
  <c r="AX22" i="31"/>
  <c r="AU19" i="31"/>
  <c r="AU18" i="31"/>
  <c r="AU7" i="31"/>
  <c r="AU14" i="31"/>
  <c r="AU6" i="31"/>
  <c r="AW70" i="31"/>
  <c r="AW27" i="31"/>
  <c r="AW24" i="31"/>
  <c r="AV8" i="31"/>
  <c r="AV29" i="31"/>
  <c r="BG59" i="30"/>
  <c r="BG58" i="30"/>
  <c r="BL58" i="30"/>
  <c r="BL59" i="30"/>
  <c r="AY122" i="27"/>
  <c r="AX129" i="27"/>
  <c r="AZ131" i="27"/>
  <c r="BC121" i="27"/>
  <c r="AX323" i="27"/>
  <c r="AX115" i="27"/>
  <c r="AY321" i="27"/>
  <c r="BE87" i="27"/>
  <c r="BE58" i="27"/>
  <c r="BB140" i="27"/>
  <c r="AY254" i="27"/>
  <c r="AY257" i="27"/>
  <c r="AZ248" i="27"/>
  <c r="BC204" i="27"/>
  <c r="AW280" i="27"/>
  <c r="AY322" i="27"/>
  <c r="AX134" i="27"/>
  <c r="AX136" i="27"/>
  <c r="AY256" i="27"/>
  <c r="AZ252" i="27"/>
  <c r="AY276" i="27"/>
  <c r="AW138" i="27"/>
  <c r="BK169" i="30"/>
  <c r="BG181" i="30"/>
  <c r="BI9" i="28"/>
  <c r="BI165" i="30"/>
  <c r="BI167" i="30"/>
  <c r="BI181" i="30"/>
  <c r="BI168" i="30"/>
  <c r="BL159" i="30"/>
  <c r="BL194" i="30"/>
  <c r="BI194" i="30"/>
  <c r="BI160" i="30"/>
  <c r="BH186" i="30"/>
  <c r="BK177" i="30"/>
  <c r="BK144" i="28"/>
  <c r="BK189" i="30"/>
  <c r="BK183" i="30"/>
  <c r="BK191" i="30"/>
  <c r="BH156" i="28"/>
  <c r="BH154" i="28"/>
  <c r="BH64" i="27"/>
  <c r="BK178" i="30"/>
  <c r="BH68" i="27"/>
  <c r="BG169" i="30"/>
  <c r="BG179" i="30"/>
  <c r="BD174" i="30"/>
  <c r="BD179" i="30"/>
  <c r="BD185" i="30"/>
  <c r="BF147" i="28"/>
  <c r="BF156" i="28"/>
  <c r="BF158" i="28"/>
  <c r="BF155" i="28"/>
  <c r="BF68" i="27"/>
  <c r="BD158" i="28"/>
  <c r="BD155" i="28"/>
  <c r="BD147" i="28"/>
  <c r="BK179" i="30"/>
  <c r="BF174" i="30"/>
  <c r="BF185" i="30"/>
  <c r="BF187" i="30"/>
  <c r="BG144" i="28"/>
  <c r="BG158" i="28"/>
  <c r="BG173" i="30"/>
  <c r="BG189" i="30"/>
  <c r="BG191" i="30"/>
  <c r="BG182" i="30"/>
  <c r="BF179" i="30"/>
  <c r="BG172" i="30"/>
  <c r="BE154" i="28"/>
  <c r="BE64" i="27"/>
  <c r="BJ187" i="30"/>
  <c r="BE186" i="30"/>
  <c r="BE187" i="30"/>
  <c r="BF190" i="30"/>
  <c r="BF76" i="28"/>
  <c r="BD191" i="30"/>
  <c r="BD190" i="30"/>
  <c r="BD76" i="28"/>
  <c r="BA186" i="30"/>
  <c r="BB185" i="30"/>
  <c r="BB187" i="30"/>
  <c r="BB174" i="30"/>
  <c r="BB182" i="30"/>
  <c r="BG183" i="30"/>
  <c r="BB183" i="30"/>
  <c r="BA68" i="27"/>
  <c r="BB155" i="28"/>
  <c r="BB68" i="27"/>
  <c r="BB191" i="30"/>
  <c r="BB179" i="30"/>
  <c r="BA156" i="28"/>
  <c r="BA154" i="28"/>
  <c r="BA64" i="27"/>
  <c r="BB147" i="28"/>
  <c r="BB156" i="28"/>
  <c r="BB154" i="28"/>
  <c r="BB64" i="27"/>
  <c r="BA187" i="30"/>
  <c r="BB76" i="28"/>
  <c r="BB190" i="30"/>
  <c r="AW186" i="30"/>
  <c r="AW154" i="28"/>
  <c r="AW64" i="27"/>
  <c r="BH76" i="28"/>
  <c r="BH190" i="30"/>
  <c r="BH191" i="30"/>
  <c r="BL195" i="30"/>
  <c r="BL210" i="30"/>
  <c r="AM181" i="28"/>
  <c r="AP16" i="28"/>
  <c r="AP6" i="27"/>
  <c r="AP148" i="28"/>
  <c r="AP172" i="28"/>
  <c r="AP18" i="28"/>
  <c r="AP13" i="28"/>
  <c r="AP22" i="28"/>
  <c r="AP21" i="28"/>
  <c r="AP27" i="28"/>
  <c r="AP17" i="28"/>
  <c r="AP151" i="28"/>
  <c r="AP99" i="28"/>
  <c r="AP107" i="28"/>
  <c r="AP121" i="28"/>
  <c r="AP67" i="27"/>
  <c r="AP69" i="27"/>
  <c r="AP79" i="28"/>
  <c r="AP88" i="28"/>
  <c r="AP138" i="30"/>
  <c r="AP143" i="30"/>
  <c r="AP151" i="30"/>
  <c r="AO126" i="28"/>
  <c r="AO131" i="28"/>
  <c r="AO13" i="27"/>
  <c r="Y8" i="15"/>
  <c r="AO7" i="27"/>
  <c r="AO78" i="27"/>
  <c r="AO153" i="30"/>
  <c r="AO152" i="30"/>
  <c r="AO19" i="28"/>
  <c r="AO178" i="28"/>
  <c r="AO183" i="28"/>
  <c r="AO183" i="27"/>
  <c r="AO84" i="28"/>
  <c r="AO95" i="28"/>
  <c r="AO80" i="28"/>
  <c r="AO86" i="28"/>
  <c r="AO161" i="28"/>
  <c r="AO90" i="28"/>
  <c r="AO81" i="28"/>
  <c r="AO185" i="28"/>
  <c r="AO115" i="28"/>
  <c r="AO85" i="28"/>
  <c r="AO89" i="28"/>
  <c r="AO25" i="28"/>
  <c r="AO35" i="28"/>
  <c r="AO39" i="28"/>
  <c r="AQ12" i="28"/>
  <c r="AQ20" i="28"/>
  <c r="AL201" i="28"/>
  <c r="AL200" i="28"/>
  <c r="AQ34" i="28"/>
  <c r="AR26" i="28"/>
  <c r="AM187" i="28"/>
  <c r="AM186" i="28"/>
  <c r="AN177" i="28"/>
  <c r="AL28" i="27"/>
  <c r="AL17" i="27"/>
  <c r="AL29" i="27"/>
  <c r="AL33" i="27"/>
  <c r="AM25" i="27"/>
  <c r="AM27" i="27"/>
  <c r="AM162" i="28"/>
  <c r="AM168" i="28"/>
  <c r="BQ183" i="27"/>
  <c r="F30" i="26"/>
  <c r="AM222" i="27"/>
  <c r="AM217" i="27"/>
  <c r="AM192" i="27"/>
  <c r="AM87" i="28"/>
  <c r="AL170" i="28"/>
  <c r="AL169" i="28"/>
  <c r="AM183" i="28"/>
  <c r="AM177" i="28"/>
  <c r="AR137" i="30"/>
  <c r="AR8" i="28"/>
  <c r="AR129" i="30"/>
  <c r="AR29" i="28"/>
  <c r="AL63" i="27"/>
  <c r="AL65" i="27"/>
  <c r="AL106" i="28"/>
  <c r="AL120" i="28"/>
  <c r="AL190" i="28"/>
  <c r="AL195" i="28"/>
  <c r="AL98" i="28"/>
  <c r="AL111" i="28"/>
  <c r="AL113" i="28"/>
  <c r="AN169" i="28"/>
  <c r="AN170" i="28"/>
  <c r="AN111" i="28"/>
  <c r="AN113" i="28"/>
  <c r="AN63" i="27"/>
  <c r="AN65" i="27"/>
  <c r="AN120" i="28"/>
  <c r="AN106" i="28"/>
  <c r="AN98" i="28"/>
  <c r="AN190" i="28"/>
  <c r="AN195" i="28"/>
  <c r="AM117" i="28"/>
  <c r="AM116" i="28"/>
  <c r="BQ115" i="28"/>
  <c r="F16" i="26"/>
  <c r="AM199" i="28"/>
  <c r="F14" i="26"/>
  <c r="F9" i="26"/>
  <c r="F10" i="26"/>
  <c r="AN33" i="27"/>
  <c r="AN28" i="27"/>
  <c r="AN29" i="27"/>
  <c r="AN17" i="27"/>
  <c r="AM33" i="28"/>
  <c r="AM38" i="28"/>
  <c r="AM40" i="28"/>
  <c r="AL117" i="27"/>
  <c r="AM106" i="27"/>
  <c r="W34" i="15"/>
  <c r="BQ13" i="27"/>
  <c r="AM9" i="27"/>
  <c r="AM14" i="27"/>
  <c r="X40" i="15"/>
  <c r="X27" i="15"/>
  <c r="AN200" i="28"/>
  <c r="AN201" i="28"/>
  <c r="V40" i="15"/>
  <c r="V27" i="15"/>
  <c r="AQ136" i="30"/>
  <c r="AQ133" i="30"/>
  <c r="AQ141" i="30"/>
  <c r="AR131" i="30"/>
  <c r="AM192" i="28"/>
  <c r="AM197" i="28"/>
  <c r="AM100" i="28"/>
  <c r="AM93" i="28"/>
  <c r="AM108" i="28"/>
  <c r="AM112" i="28"/>
  <c r="AM79" i="27"/>
  <c r="AM80" i="27"/>
  <c r="BQ78" i="27"/>
  <c r="F20" i="26"/>
  <c r="F23" i="26"/>
  <c r="AM156" i="27"/>
  <c r="AL177" i="28"/>
  <c r="AR145" i="30"/>
  <c r="AQ102" i="28"/>
  <c r="AQ94" i="28"/>
  <c r="AQ146" i="30"/>
  <c r="AQ75" i="28"/>
  <c r="AQ147" i="30"/>
  <c r="AT10" i="33"/>
  <c r="AT13" i="33"/>
  <c r="AS13" i="33"/>
  <c r="AS10" i="33"/>
  <c r="AS128" i="30"/>
  <c r="BI114" i="33"/>
  <c r="BI85" i="33"/>
  <c r="AZ70" i="33"/>
  <c r="AZ72" i="33"/>
  <c r="AZ91" i="33"/>
  <c r="AZ87" i="33"/>
  <c r="AZ93" i="33"/>
  <c r="BL25" i="33"/>
  <c r="BL33" i="33"/>
  <c r="BL36" i="33"/>
  <c r="AZ39" i="33"/>
  <c r="AZ7" i="33"/>
  <c r="AZ14" i="33"/>
  <c r="AX7" i="33"/>
  <c r="BB114" i="33"/>
  <c r="BF114" i="33"/>
  <c r="AV51" i="33"/>
  <c r="AV48" i="33"/>
  <c r="AU53" i="33"/>
  <c r="AU6" i="33"/>
  <c r="BL37" i="33"/>
  <c r="AX93" i="33"/>
  <c r="AX78" i="33"/>
  <c r="AX74" i="33"/>
  <c r="BE114" i="33"/>
  <c r="BE85" i="33"/>
  <c r="BA85" i="33"/>
  <c r="AY91" i="33"/>
  <c r="AY70" i="33"/>
  <c r="AY72" i="33"/>
  <c r="AY87" i="33"/>
  <c r="AY93" i="33"/>
  <c r="BD85" i="33"/>
  <c r="AW7" i="33"/>
  <c r="AW46" i="33"/>
  <c r="AZ10" i="32"/>
  <c r="AZ14" i="32"/>
  <c r="AY39" i="32"/>
  <c r="AY45" i="32"/>
  <c r="AY18" i="32"/>
  <c r="AZ30" i="32"/>
  <c r="AZ33" i="32"/>
  <c r="AX18" i="32"/>
  <c r="AX39" i="32"/>
  <c r="AX45" i="32"/>
  <c r="BB24" i="32"/>
  <c r="BA31" i="32"/>
  <c r="BA23" i="32"/>
  <c r="BB31" i="32"/>
  <c r="AU12" i="31"/>
  <c r="AV19" i="31"/>
  <c r="AV18" i="31"/>
  <c r="AV7" i="31"/>
  <c r="AV13" i="31"/>
  <c r="AV14" i="31"/>
  <c r="AV6" i="31"/>
  <c r="AV12" i="31"/>
  <c r="AW8" i="31"/>
  <c r="AW29" i="31"/>
  <c r="AU13" i="31"/>
  <c r="AW7" i="31"/>
  <c r="AX24" i="31"/>
  <c r="AX27" i="31"/>
  <c r="AX42" i="31"/>
  <c r="AX37" i="31"/>
  <c r="AX40" i="31"/>
  <c r="AY34" i="31"/>
  <c r="AY22" i="31"/>
  <c r="BA248" i="27"/>
  <c r="AZ254" i="27"/>
  <c r="BC140" i="27"/>
  <c r="BE89" i="27"/>
  <c r="BE201" i="27"/>
  <c r="BG87" i="27"/>
  <c r="AY323" i="27"/>
  <c r="AZ321" i="27"/>
  <c r="AY115" i="27"/>
  <c r="BA252" i="27"/>
  <c r="AZ256" i="27"/>
  <c r="AY134" i="27"/>
  <c r="AY136" i="27"/>
  <c r="AZ322" i="27"/>
  <c r="AX138" i="27"/>
  <c r="BF58" i="27"/>
  <c r="BG58" i="27"/>
  <c r="BU58" i="27"/>
  <c r="AZ276" i="27"/>
  <c r="BD121" i="27"/>
  <c r="BA131" i="27"/>
  <c r="AX280" i="27"/>
  <c r="BS280" i="27"/>
  <c r="AZ122" i="27"/>
  <c r="AY129" i="27"/>
  <c r="BK174" i="30"/>
  <c r="BK185" i="30"/>
  <c r="BK186" i="30"/>
  <c r="BI144" i="28"/>
  <c r="BI189" i="30"/>
  <c r="BL168" i="30"/>
  <c r="BI178" i="30"/>
  <c r="BI182" i="30"/>
  <c r="BI183" i="30"/>
  <c r="BK158" i="28"/>
  <c r="BK155" i="28"/>
  <c r="BK68" i="27"/>
  <c r="BK147" i="28"/>
  <c r="BK156" i="28"/>
  <c r="BI169" i="30"/>
  <c r="BL167" i="30"/>
  <c r="BI177" i="30"/>
  <c r="BK190" i="30"/>
  <c r="BK76" i="28"/>
  <c r="BL9" i="28"/>
  <c r="BV9" i="28"/>
  <c r="BL165" i="30"/>
  <c r="BL181" i="30"/>
  <c r="BL160" i="30"/>
  <c r="BD186" i="30"/>
  <c r="BD187" i="30"/>
  <c r="BG185" i="30"/>
  <c r="BG187" i="30"/>
  <c r="BG190" i="30"/>
  <c r="BG76" i="28"/>
  <c r="BF186" i="30"/>
  <c r="BK187" i="30"/>
  <c r="BD156" i="28"/>
  <c r="BD154" i="28"/>
  <c r="BD64" i="27"/>
  <c r="BG147" i="28"/>
  <c r="BG156" i="28"/>
  <c r="BD68" i="27"/>
  <c r="BG155" i="28"/>
  <c r="BG68" i="27"/>
  <c r="BF154" i="28"/>
  <c r="BF64" i="27"/>
  <c r="BG174" i="30"/>
  <c r="BB186" i="30"/>
  <c r="AP19" i="28"/>
  <c r="AP84" i="28"/>
  <c r="AP86" i="28"/>
  <c r="AP185" i="28"/>
  <c r="AP81" i="28"/>
  <c r="AP95" i="28"/>
  <c r="AP161" i="28"/>
  <c r="AP90" i="28"/>
  <c r="AP115" i="28"/>
  <c r="AP80" i="28"/>
  <c r="AP85" i="28"/>
  <c r="AP89" i="28"/>
  <c r="AP126" i="28"/>
  <c r="AP131" i="28"/>
  <c r="AP35" i="28"/>
  <c r="AP25" i="28"/>
  <c r="AP39" i="28"/>
  <c r="AP183" i="27"/>
  <c r="AP178" i="28"/>
  <c r="AP183" i="28"/>
  <c r="AP152" i="30"/>
  <c r="AP153" i="30"/>
  <c r="AP13" i="27"/>
  <c r="Z8" i="15"/>
  <c r="AP7" i="27"/>
  <c r="AP78" i="27"/>
  <c r="AO187" i="28"/>
  <c r="AO186" i="28"/>
  <c r="AO93" i="28"/>
  <c r="AO192" i="28"/>
  <c r="AO197" i="28"/>
  <c r="AO108" i="28"/>
  <c r="AO100" i="28"/>
  <c r="AO112" i="28"/>
  <c r="AO217" i="27"/>
  <c r="AO222" i="27"/>
  <c r="AO192" i="27"/>
  <c r="Y14" i="15"/>
  <c r="AO25" i="27"/>
  <c r="AO27" i="27"/>
  <c r="AO168" i="28"/>
  <c r="AO162" i="28"/>
  <c r="AT17" i="33"/>
  <c r="AT128" i="30"/>
  <c r="AO38" i="28"/>
  <c r="AO40" i="28"/>
  <c r="AO176" i="28"/>
  <c r="AO177" i="28"/>
  <c r="AO33" i="28"/>
  <c r="Y34" i="15"/>
  <c r="AO9" i="27"/>
  <c r="AO22" i="27"/>
  <c r="F31" i="26"/>
  <c r="AO199" i="28"/>
  <c r="AO117" i="28"/>
  <c r="AO116" i="28"/>
  <c r="AO80" i="27"/>
  <c r="AO156" i="27"/>
  <c r="AO87" i="28"/>
  <c r="AQ79" i="28"/>
  <c r="AQ88" i="28"/>
  <c r="AL125" i="28"/>
  <c r="AL130" i="28"/>
  <c r="AL122" i="28"/>
  <c r="F13" i="26"/>
  <c r="AL71" i="27"/>
  <c r="AL74" i="27"/>
  <c r="V53" i="15"/>
  <c r="V61" i="15"/>
  <c r="AL23" i="27"/>
  <c r="AL18" i="27"/>
  <c r="AL19" i="27"/>
  <c r="AN182" i="28"/>
  <c r="AN191" i="28"/>
  <c r="AN196" i="28"/>
  <c r="F18" i="26"/>
  <c r="F17" i="26"/>
  <c r="BR8" i="28"/>
  <c r="AR34" i="28"/>
  <c r="AM182" i="28"/>
  <c r="AM191" i="28"/>
  <c r="AM196" i="28"/>
  <c r="F25" i="26"/>
  <c r="F24" i="26"/>
  <c r="BQ9" i="27"/>
  <c r="AM22" i="27"/>
  <c r="AM170" i="28"/>
  <c r="AM169" i="28"/>
  <c r="AM98" i="28"/>
  <c r="AM120" i="28"/>
  <c r="AM63" i="27"/>
  <c r="AM65" i="27"/>
  <c r="AM190" i="28"/>
  <c r="AM195" i="28"/>
  <c r="AM111" i="28"/>
  <c r="AM113" i="28"/>
  <c r="AM106" i="28"/>
  <c r="X69" i="15"/>
  <c r="AN35" i="27"/>
  <c r="AN34" i="27"/>
  <c r="AL182" i="28"/>
  <c r="AL191" i="28"/>
  <c r="AL196" i="28"/>
  <c r="AM201" i="28"/>
  <c r="AM200" i="28"/>
  <c r="AR133" i="30"/>
  <c r="AR141" i="30"/>
  <c r="AR136" i="30"/>
  <c r="W27" i="15"/>
  <c r="W40" i="15"/>
  <c r="X53" i="15"/>
  <c r="X61" i="15"/>
  <c r="AN23" i="27"/>
  <c r="AN18" i="27"/>
  <c r="AN19" i="27"/>
  <c r="AM29" i="27"/>
  <c r="AM28" i="27"/>
  <c r="AM17" i="27"/>
  <c r="BQ27" i="27"/>
  <c r="F21" i="26"/>
  <c r="AN106" i="27"/>
  <c r="AM117" i="27"/>
  <c r="AN130" i="28"/>
  <c r="AN125" i="28"/>
  <c r="AN122" i="28"/>
  <c r="AN135" i="28"/>
  <c r="AQ143" i="30"/>
  <c r="AQ138" i="30"/>
  <c r="AQ151" i="30"/>
  <c r="AN71" i="27"/>
  <c r="AN74" i="27"/>
  <c r="AQ99" i="28"/>
  <c r="AQ67" i="27"/>
  <c r="AQ69" i="27"/>
  <c r="AQ121" i="28"/>
  <c r="AQ107" i="28"/>
  <c r="AR94" i="28"/>
  <c r="AR146" i="30"/>
  <c r="AR75" i="28"/>
  <c r="AR147" i="30"/>
  <c r="AR149" i="30"/>
  <c r="AR102" i="28"/>
  <c r="AL43" i="27"/>
  <c r="AM33" i="27"/>
  <c r="AL35" i="27"/>
  <c r="V69" i="15"/>
  <c r="AL34" i="27"/>
  <c r="AS8" i="28"/>
  <c r="AS29" i="28"/>
  <c r="AS26" i="28"/>
  <c r="AS129" i="30"/>
  <c r="AS137" i="30"/>
  <c r="AS145" i="30"/>
  <c r="AQ16" i="28"/>
  <c r="AQ151" i="28"/>
  <c r="AQ13" i="28"/>
  <c r="AQ148" i="28"/>
  <c r="AQ6" i="27"/>
  <c r="AQ21" i="28"/>
  <c r="AQ27" i="28"/>
  <c r="AQ172" i="28"/>
  <c r="AQ18" i="28"/>
  <c r="AQ22" i="28"/>
  <c r="AQ17" i="28"/>
  <c r="AR12" i="28"/>
  <c r="AR20" i="28"/>
  <c r="BE91" i="33"/>
  <c r="BE70" i="33"/>
  <c r="BE72" i="33"/>
  <c r="BE87" i="33"/>
  <c r="BE93" i="33"/>
  <c r="AX14" i="33"/>
  <c r="BB115" i="33"/>
  <c r="BC85" i="33"/>
  <c r="AW39" i="33"/>
  <c r="AY39" i="33"/>
  <c r="AW14" i="33"/>
  <c r="BD91" i="33"/>
  <c r="BD70" i="33"/>
  <c r="BD72" i="33"/>
  <c r="BD87" i="33"/>
  <c r="BD93" i="33"/>
  <c r="BK114" i="33"/>
  <c r="BL114" i="33"/>
  <c r="BG114" i="33"/>
  <c r="BJ114" i="33"/>
  <c r="BK85" i="33"/>
  <c r="BF85" i="33"/>
  <c r="BI91" i="33"/>
  <c r="BI70" i="33"/>
  <c r="BI72" i="33"/>
  <c r="BI87" i="33"/>
  <c r="AS17" i="33"/>
  <c r="AW51" i="33"/>
  <c r="AW48" i="33"/>
  <c r="AW53" i="33"/>
  <c r="AY78" i="33"/>
  <c r="AY74" i="33"/>
  <c r="BA91" i="33"/>
  <c r="BA70" i="33"/>
  <c r="BA72" i="33"/>
  <c r="BB72" i="33"/>
  <c r="BA87" i="33"/>
  <c r="BA93" i="33"/>
  <c r="AZ78" i="33"/>
  <c r="AZ74" i="33"/>
  <c r="AX80" i="33"/>
  <c r="AX60" i="33"/>
  <c r="AX62" i="33"/>
  <c r="AU10" i="33"/>
  <c r="AU13" i="33"/>
  <c r="AV53" i="33"/>
  <c r="AV6" i="33"/>
  <c r="BB85" i="33"/>
  <c r="BC24" i="32"/>
  <c r="BC7" i="32"/>
  <c r="BA30" i="32"/>
  <c r="BB23" i="32"/>
  <c r="BA6" i="32"/>
  <c r="AZ39" i="32"/>
  <c r="AZ45" i="32"/>
  <c r="AZ18" i="32"/>
  <c r="AY27" i="31"/>
  <c r="AY24" i="31"/>
  <c r="AW18" i="31"/>
  <c r="AW13" i="31"/>
  <c r="AY42" i="31"/>
  <c r="AY37" i="31"/>
  <c r="AY40" i="31"/>
  <c r="AZ34" i="31"/>
  <c r="AZ22" i="31"/>
  <c r="AX8" i="31"/>
  <c r="AX29" i="31"/>
  <c r="AW6" i="31"/>
  <c r="AW14" i="31"/>
  <c r="BB252" i="27"/>
  <c r="BA256" i="27"/>
  <c r="BA321" i="27"/>
  <c r="AZ323" i="27"/>
  <c r="AZ115" i="27"/>
  <c r="BU87" i="27"/>
  <c r="BG89" i="27"/>
  <c r="AY280" i="27"/>
  <c r="BB131" i="27"/>
  <c r="BE121" i="27"/>
  <c r="BA276" i="27"/>
  <c r="AZ257" i="27"/>
  <c r="AY138" i="27"/>
  <c r="BA122" i="27"/>
  <c r="AZ129" i="27"/>
  <c r="BE204" i="27"/>
  <c r="BG201" i="27"/>
  <c r="BG204" i="27"/>
  <c r="BD140" i="27"/>
  <c r="BH58" i="27"/>
  <c r="BH87" i="27"/>
  <c r="BA322" i="27"/>
  <c r="AZ134" i="27"/>
  <c r="AZ136" i="27"/>
  <c r="BB248" i="27"/>
  <c r="BA254" i="27"/>
  <c r="BA257" i="27"/>
  <c r="BK154" i="28"/>
  <c r="BK64" i="27"/>
  <c r="BL144" i="28"/>
  <c r="BL158" i="28"/>
  <c r="BL173" i="30"/>
  <c r="BL178" i="30"/>
  <c r="BL189" i="30"/>
  <c r="BL182" i="30"/>
  <c r="BL183" i="30"/>
  <c r="BI174" i="30"/>
  <c r="BL169" i="30"/>
  <c r="BI179" i="30"/>
  <c r="BI185" i="30"/>
  <c r="BI190" i="30"/>
  <c r="BI76" i="28"/>
  <c r="BI191" i="30"/>
  <c r="BL172" i="30"/>
  <c r="BL177" i="30"/>
  <c r="BI158" i="28"/>
  <c r="BI155" i="28"/>
  <c r="BI147" i="28"/>
  <c r="BG154" i="28"/>
  <c r="BG64" i="27"/>
  <c r="BG186" i="30"/>
  <c r="BB87" i="33"/>
  <c r="BB93" i="33"/>
  <c r="AP38" i="28"/>
  <c r="AP40" i="28"/>
  <c r="AP33" i="28"/>
  <c r="AP176" i="28"/>
  <c r="AP177" i="28"/>
  <c r="AU17" i="33"/>
  <c r="AU128" i="30"/>
  <c r="AP217" i="27"/>
  <c r="AP192" i="27"/>
  <c r="AP222" i="27"/>
  <c r="AP116" i="28"/>
  <c r="AP117" i="28"/>
  <c r="AP199" i="28"/>
  <c r="AP25" i="27"/>
  <c r="AP27" i="27"/>
  <c r="AP168" i="28"/>
  <c r="AP162" i="28"/>
  <c r="AP80" i="27"/>
  <c r="AP156" i="27"/>
  <c r="AP100" i="28"/>
  <c r="AP192" i="28"/>
  <c r="AP197" i="28"/>
  <c r="AP93" i="28"/>
  <c r="AP108" i="28"/>
  <c r="AP112" i="28"/>
  <c r="BI93" i="33"/>
  <c r="Z14" i="15"/>
  <c r="AP186" i="28"/>
  <c r="AP187" i="28"/>
  <c r="Z34" i="15"/>
  <c r="Z27" i="15"/>
  <c r="AP9" i="27"/>
  <c r="AP22" i="27"/>
  <c r="AP87" i="28"/>
  <c r="AO170" i="28"/>
  <c r="AO169" i="28"/>
  <c r="AT29" i="28"/>
  <c r="AT26" i="28"/>
  <c r="AT8" i="28"/>
  <c r="AT129" i="30"/>
  <c r="AT137" i="30"/>
  <c r="AT145" i="30"/>
  <c r="AT131" i="30"/>
  <c r="AO106" i="28"/>
  <c r="AO190" i="28"/>
  <c r="AO195" i="28"/>
  <c r="AO120" i="28"/>
  <c r="AO63" i="27"/>
  <c r="AO65" i="27"/>
  <c r="AO111" i="28"/>
  <c r="AO113" i="28"/>
  <c r="AO98" i="28"/>
  <c r="AO182" i="28"/>
  <c r="AO191" i="28"/>
  <c r="AO196" i="28"/>
  <c r="AO201" i="28"/>
  <c r="AO200" i="28"/>
  <c r="AO29" i="27"/>
  <c r="AO17" i="27"/>
  <c r="AO28" i="27"/>
  <c r="AO33" i="27"/>
  <c r="Y40" i="15"/>
  <c r="Y27" i="15"/>
  <c r="AS34" i="28"/>
  <c r="AN75" i="27"/>
  <c r="AN76" i="27"/>
  <c r="AN72" i="27"/>
  <c r="AQ153" i="30"/>
  <c r="AQ152" i="30"/>
  <c r="AQ183" i="27"/>
  <c r="AQ178" i="28"/>
  <c r="AR172" i="28"/>
  <c r="AL135" i="28"/>
  <c r="AL127" i="28"/>
  <c r="AL132" i="28"/>
  <c r="AL294" i="27"/>
  <c r="AL136" i="28"/>
  <c r="AL46" i="27"/>
  <c r="AL49" i="27"/>
  <c r="V101" i="15"/>
  <c r="AL44" i="27"/>
  <c r="AS75" i="28"/>
  <c r="AS146" i="30"/>
  <c r="AS102" i="28"/>
  <c r="AS94" i="28"/>
  <c r="AM71" i="27"/>
  <c r="AM74" i="27"/>
  <c r="AS12" i="28"/>
  <c r="AS20" i="28"/>
  <c r="BR12" i="28"/>
  <c r="AR17" i="28"/>
  <c r="AR27" i="28"/>
  <c r="AR22" i="28"/>
  <c r="AR13" i="28"/>
  <c r="AR16" i="28"/>
  <c r="AR21" i="28"/>
  <c r="AR148" i="28"/>
  <c r="AR6" i="27"/>
  <c r="AR151" i="28"/>
  <c r="AR18" i="28"/>
  <c r="AQ19" i="28"/>
  <c r="AQ13" i="27"/>
  <c r="AQ7" i="27"/>
  <c r="AA8" i="15"/>
  <c r="AQ78" i="27"/>
  <c r="AO106" i="27"/>
  <c r="AN117" i="27"/>
  <c r="AM122" i="28"/>
  <c r="AM135" i="28"/>
  <c r="AM130" i="28"/>
  <c r="AM125" i="28"/>
  <c r="W69" i="15"/>
  <c r="BL69" i="15"/>
  <c r="AM34" i="27"/>
  <c r="BQ33" i="27"/>
  <c r="AM43" i="27"/>
  <c r="AM35" i="27"/>
  <c r="AN294" i="27"/>
  <c r="AN127" i="28"/>
  <c r="AN136" i="28"/>
  <c r="AN137" i="28"/>
  <c r="AN132" i="28"/>
  <c r="AR88" i="28"/>
  <c r="AR138" i="30"/>
  <c r="AR143" i="30"/>
  <c r="AR151" i="30"/>
  <c r="AS131" i="30"/>
  <c r="AQ126" i="28"/>
  <c r="AQ131" i="28"/>
  <c r="AL72" i="27"/>
  <c r="AL75" i="27"/>
  <c r="AL76" i="27"/>
  <c r="AQ35" i="28"/>
  <c r="AQ25" i="28"/>
  <c r="AQ39" i="28"/>
  <c r="AR121" i="28"/>
  <c r="AR99" i="28"/>
  <c r="AR107" i="28"/>
  <c r="AR67" i="27"/>
  <c r="AR69" i="27"/>
  <c r="AM18" i="27"/>
  <c r="AM19" i="27"/>
  <c r="W53" i="15"/>
  <c r="W61" i="15"/>
  <c r="BQ17" i="27"/>
  <c r="AM23" i="27"/>
  <c r="AQ84" i="28"/>
  <c r="AQ81" i="28"/>
  <c r="AQ95" i="28"/>
  <c r="AQ161" i="28"/>
  <c r="AQ185" i="28"/>
  <c r="AQ85" i="28"/>
  <c r="AQ86" i="28"/>
  <c r="AQ80" i="28"/>
  <c r="AQ90" i="28"/>
  <c r="AQ115" i="28"/>
  <c r="AQ89" i="28"/>
  <c r="AR79" i="28"/>
  <c r="BB117" i="33"/>
  <c r="BB118" i="33"/>
  <c r="BB91" i="33"/>
  <c r="BB70" i="33"/>
  <c r="BB71" i="33"/>
  <c r="BF91" i="33"/>
  <c r="BF70" i="33"/>
  <c r="BF72" i="33"/>
  <c r="BF87" i="33"/>
  <c r="BF93" i="33"/>
  <c r="BJ85" i="33"/>
  <c r="AZ80" i="33"/>
  <c r="AZ60" i="33"/>
  <c r="AZ62" i="33"/>
  <c r="BA78" i="33"/>
  <c r="BA74" i="33"/>
  <c r="BL115" i="33"/>
  <c r="BI78" i="33"/>
  <c r="BI74" i="33"/>
  <c r="BK91" i="33"/>
  <c r="BK70" i="33"/>
  <c r="BK72" i="33"/>
  <c r="BK87" i="33"/>
  <c r="BG115" i="33"/>
  <c r="BH85" i="33"/>
  <c r="AX63" i="33"/>
  <c r="AX46" i="33"/>
  <c r="BD78" i="33"/>
  <c r="BD74" i="33"/>
  <c r="BC91" i="33"/>
  <c r="BG85" i="33"/>
  <c r="BC70" i="33"/>
  <c r="BC72" i="33"/>
  <c r="BC87" i="33"/>
  <c r="AY80" i="33"/>
  <c r="AY60" i="33"/>
  <c r="AY62" i="33"/>
  <c r="BE78" i="33"/>
  <c r="BE74" i="33"/>
  <c r="AV10" i="33"/>
  <c r="AV13" i="33"/>
  <c r="AW6" i="33"/>
  <c r="AW13" i="33"/>
  <c r="BB78" i="33"/>
  <c r="BB74" i="33"/>
  <c r="BA39" i="33"/>
  <c r="AY7" i="33"/>
  <c r="BC15" i="32"/>
  <c r="BA14" i="32"/>
  <c r="BA10" i="32"/>
  <c r="BB6" i="32"/>
  <c r="BB14" i="32"/>
  <c r="BB26" i="32"/>
  <c r="BA33" i="32"/>
  <c r="BB30" i="32"/>
  <c r="BB33" i="32"/>
  <c r="BC31" i="32"/>
  <c r="BD24" i="32"/>
  <c r="BD7" i="32"/>
  <c r="BD15" i="32"/>
  <c r="BC23" i="32"/>
  <c r="AZ27" i="31"/>
  <c r="AZ24" i="31"/>
  <c r="AY8" i="31"/>
  <c r="AY29" i="31"/>
  <c r="AW12" i="31"/>
  <c r="AW17" i="31"/>
  <c r="AW19" i="31"/>
  <c r="AX19" i="31"/>
  <c r="AX18" i="31"/>
  <c r="AX7" i="31"/>
  <c r="AX14" i="31"/>
  <c r="AX6" i="31"/>
  <c r="AZ42" i="31"/>
  <c r="AZ37" i="31"/>
  <c r="AZ40" i="31"/>
  <c r="BA34" i="31"/>
  <c r="BA22" i="31"/>
  <c r="BA134" i="27"/>
  <c r="BA136" i="27"/>
  <c r="BB322" i="27"/>
  <c r="BB276" i="27"/>
  <c r="BF121" i="27"/>
  <c r="BC131" i="27"/>
  <c r="BE140" i="27"/>
  <c r="AZ280" i="27"/>
  <c r="AZ138" i="27"/>
  <c r="BC248" i="27"/>
  <c r="BB254" i="27"/>
  <c r="BB257" i="27"/>
  <c r="BH89" i="27"/>
  <c r="BH201" i="27"/>
  <c r="BI58" i="27"/>
  <c r="BB122" i="27"/>
  <c r="BA129" i="27"/>
  <c r="BA138" i="27"/>
  <c r="BB321" i="27"/>
  <c r="BA323" i="27"/>
  <c r="BA115" i="27"/>
  <c r="BB256" i="27"/>
  <c r="BC252" i="27"/>
  <c r="BI156" i="28"/>
  <c r="BI154" i="28"/>
  <c r="BI64" i="27"/>
  <c r="BL147" i="28"/>
  <c r="BL156" i="28"/>
  <c r="BI186" i="30"/>
  <c r="BL185" i="30"/>
  <c r="BI187" i="30"/>
  <c r="BL191" i="30"/>
  <c r="BL190" i="30"/>
  <c r="BL76" i="28"/>
  <c r="BL174" i="30"/>
  <c r="BL179" i="30"/>
  <c r="BI68" i="27"/>
  <c r="BL155" i="28"/>
  <c r="BL68" i="27"/>
  <c r="BK93" i="33"/>
  <c r="AU8" i="28"/>
  <c r="AU29" i="28"/>
  <c r="AU26" i="28"/>
  <c r="AU129" i="30"/>
  <c r="AU137" i="30"/>
  <c r="AU145" i="30"/>
  <c r="Z40" i="15"/>
  <c r="AP182" i="28"/>
  <c r="AP191" i="28"/>
  <c r="AP196" i="28"/>
  <c r="AP63" i="27"/>
  <c r="AP65" i="27"/>
  <c r="AP71" i="27"/>
  <c r="AP106" i="28"/>
  <c r="AP111" i="28"/>
  <c r="AP113" i="28"/>
  <c r="AP120" i="28"/>
  <c r="AP98" i="28"/>
  <c r="AP190" i="28"/>
  <c r="AP195" i="28"/>
  <c r="AP170" i="28"/>
  <c r="AP169" i="28"/>
  <c r="AP33" i="27"/>
  <c r="AP28" i="27"/>
  <c r="AP29" i="27"/>
  <c r="AP17" i="27"/>
  <c r="AP201" i="28"/>
  <c r="AP200" i="28"/>
  <c r="AT141" i="30"/>
  <c r="AT136" i="30"/>
  <c r="AT133" i="30"/>
  <c r="AO122" i="28"/>
  <c r="AO135" i="28"/>
  <c r="AO125" i="28"/>
  <c r="AO130" i="28"/>
  <c r="AT34" i="28"/>
  <c r="AO71" i="27"/>
  <c r="AO74" i="27"/>
  <c r="AT146" i="30"/>
  <c r="AT75" i="28"/>
  <c r="AT102" i="28"/>
  <c r="AT94" i="28"/>
  <c r="AO34" i="27"/>
  <c r="Y69" i="15"/>
  <c r="AO35" i="27"/>
  <c r="AR19" i="28"/>
  <c r="AT12" i="28"/>
  <c r="AT20" i="28"/>
  <c r="Y53" i="15"/>
  <c r="Y61" i="15"/>
  <c r="AO18" i="27"/>
  <c r="AO19" i="27"/>
  <c r="AO23" i="27"/>
  <c r="AQ217" i="27"/>
  <c r="AQ222" i="27"/>
  <c r="AQ192" i="27"/>
  <c r="AQ168" i="28"/>
  <c r="AQ25" i="27"/>
  <c r="AQ27" i="27"/>
  <c r="AQ162" i="28"/>
  <c r="AR131" i="28"/>
  <c r="AR126" i="28"/>
  <c r="AP106" i="27"/>
  <c r="AO117" i="27"/>
  <c r="AM72" i="27"/>
  <c r="AM75" i="27"/>
  <c r="AM76" i="27"/>
  <c r="AQ80" i="27"/>
  <c r="AQ156" i="27"/>
  <c r="AR78" i="27"/>
  <c r="AS67" i="27"/>
  <c r="AS69" i="27"/>
  <c r="AS121" i="28"/>
  <c r="AS107" i="28"/>
  <c r="AS99" i="28"/>
  <c r="AQ183" i="28"/>
  <c r="AA14" i="15"/>
  <c r="AS148" i="28"/>
  <c r="AS16" i="28"/>
  <c r="AS172" i="28"/>
  <c r="AS6" i="27"/>
  <c r="AS13" i="28"/>
  <c r="AS151" i="28"/>
  <c r="AS18" i="28"/>
  <c r="AS17" i="28"/>
  <c r="AS27" i="28"/>
  <c r="AS21" i="28"/>
  <c r="AS22" i="28"/>
  <c r="AR35" i="28"/>
  <c r="AR25" i="28"/>
  <c r="AR39" i="28"/>
  <c r="AS133" i="30"/>
  <c r="AS136" i="30"/>
  <c r="AS141" i="30"/>
  <c r="AS79" i="28"/>
  <c r="AS88" i="28"/>
  <c r="BR172" i="28"/>
  <c r="AR173" i="28"/>
  <c r="AR178" i="28"/>
  <c r="AR183" i="27"/>
  <c r="AQ187" i="28"/>
  <c r="AQ186" i="28"/>
  <c r="AQ38" i="28"/>
  <c r="AQ40" i="28"/>
  <c r="AQ176" i="28"/>
  <c r="AR176" i="28"/>
  <c r="AQ33" i="28"/>
  <c r="AV17" i="33"/>
  <c r="AV128" i="30"/>
  <c r="AR153" i="30"/>
  <c r="AR152" i="30"/>
  <c r="V109" i="15"/>
  <c r="V113" i="15"/>
  <c r="AM294" i="27"/>
  <c r="AM136" i="28"/>
  <c r="AM137" i="28"/>
  <c r="AM127" i="28"/>
  <c r="AM132" i="28"/>
  <c r="AL155" i="27"/>
  <c r="AL50" i="27"/>
  <c r="AL54" i="27"/>
  <c r="AL53" i="27"/>
  <c r="AQ192" i="28"/>
  <c r="AQ197" i="28"/>
  <c r="AQ108" i="28"/>
  <c r="AQ93" i="28"/>
  <c r="AQ100" i="28"/>
  <c r="AQ112" i="28"/>
  <c r="AA34" i="15"/>
  <c r="AA40" i="15"/>
  <c r="AQ9" i="27"/>
  <c r="AQ22" i="27"/>
  <c r="AR13" i="27"/>
  <c r="AR7" i="27"/>
  <c r="BR6" i="27"/>
  <c r="AB8" i="15"/>
  <c r="AB14" i="15"/>
  <c r="AL166" i="27"/>
  <c r="AL328" i="27"/>
  <c r="AL330" i="27"/>
  <c r="AL178" i="27"/>
  <c r="AM46" i="27"/>
  <c r="AM49" i="27"/>
  <c r="V117" i="15"/>
  <c r="V123" i="15"/>
  <c r="AQ117" i="28"/>
  <c r="AQ199" i="28"/>
  <c r="AQ116" i="28"/>
  <c r="AQ87" i="28"/>
  <c r="BR79" i="28"/>
  <c r="G12" i="26"/>
  <c r="AR80" i="28"/>
  <c r="AR95" i="28"/>
  <c r="AR185" i="28"/>
  <c r="AR161" i="28"/>
  <c r="AR86" i="28"/>
  <c r="AR85" i="28"/>
  <c r="AR90" i="28"/>
  <c r="AR89" i="28"/>
  <c r="AR81" i="28"/>
  <c r="AR84" i="28"/>
  <c r="AR115" i="28"/>
  <c r="AM44" i="27"/>
  <c r="W101" i="15"/>
  <c r="AL137" i="28"/>
  <c r="BC39" i="33"/>
  <c r="BA7" i="33"/>
  <c r="BA14" i="33"/>
  <c r="BI80" i="33"/>
  <c r="BI60" i="33"/>
  <c r="BI62" i="33"/>
  <c r="BE60" i="33"/>
  <c r="BE62" i="33"/>
  <c r="BE80" i="33"/>
  <c r="BJ70" i="33"/>
  <c r="BJ72" i="33"/>
  <c r="BJ91" i="33"/>
  <c r="BJ87" i="33"/>
  <c r="BJ93" i="33"/>
  <c r="AY14" i="33"/>
  <c r="BB60" i="33"/>
  <c r="BB80" i="33"/>
  <c r="BA80" i="33"/>
  <c r="BA60" i="33"/>
  <c r="BA62" i="33"/>
  <c r="AY46" i="33"/>
  <c r="AY63" i="33"/>
  <c r="AZ46" i="33"/>
  <c r="AZ63" i="33"/>
  <c r="BG87" i="33"/>
  <c r="BG93" i="33"/>
  <c r="BC93" i="33"/>
  <c r="BC78" i="33"/>
  <c r="BG72" i="33"/>
  <c r="BC74" i="33"/>
  <c r="BG91" i="33"/>
  <c r="BG117" i="33"/>
  <c r="BG118" i="33"/>
  <c r="BG70" i="33"/>
  <c r="BF78" i="33"/>
  <c r="BF74" i="33"/>
  <c r="BD60" i="33"/>
  <c r="BD62" i="33"/>
  <c r="BD80" i="33"/>
  <c r="BH70" i="33"/>
  <c r="BH72" i="33"/>
  <c r="BH91" i="33"/>
  <c r="BL85" i="33"/>
  <c r="BH87" i="33"/>
  <c r="BK78" i="33"/>
  <c r="BK74" i="33"/>
  <c r="AX51" i="33"/>
  <c r="AX48" i="33"/>
  <c r="AW10" i="33"/>
  <c r="AW17" i="33"/>
  <c r="BC30" i="32"/>
  <c r="BC6" i="32"/>
  <c r="BD31" i="32"/>
  <c r="BE24" i="32"/>
  <c r="BE7" i="32"/>
  <c r="BE15" i="32"/>
  <c r="BD23" i="32"/>
  <c r="BA39" i="32"/>
  <c r="BA45" i="32"/>
  <c r="BA18" i="32"/>
  <c r="BB11" i="32"/>
  <c r="BB10" i="32"/>
  <c r="BA27" i="31"/>
  <c r="BA24" i="31"/>
  <c r="BB22" i="31"/>
  <c r="AX12" i="31"/>
  <c r="BA42" i="31"/>
  <c r="BA37" i="31"/>
  <c r="BA40" i="31"/>
  <c r="BB34" i="31"/>
  <c r="AX13" i="31"/>
  <c r="AY19" i="31"/>
  <c r="AY18" i="31"/>
  <c r="AY7" i="31"/>
  <c r="AY13" i="31"/>
  <c r="AY14" i="31"/>
  <c r="AY6" i="31"/>
  <c r="AY12" i="31"/>
  <c r="AZ29" i="31"/>
  <c r="AZ8" i="31"/>
  <c r="BD248" i="27"/>
  <c r="BC254" i="27"/>
  <c r="BC257" i="27"/>
  <c r="BA280" i="27"/>
  <c r="BC321" i="27"/>
  <c r="BB323" i="27"/>
  <c r="BB115" i="27"/>
  <c r="BC122" i="27"/>
  <c r="BB129" i="27"/>
  <c r="BB138" i="27"/>
  <c r="BH204" i="27"/>
  <c r="BC256" i="27"/>
  <c r="BD252" i="27"/>
  <c r="BF140" i="27"/>
  <c r="BD131" i="27"/>
  <c r="BJ87" i="27"/>
  <c r="BJ58" i="27"/>
  <c r="BK58" i="27"/>
  <c r="BL58" i="27"/>
  <c r="BV58" i="27"/>
  <c r="BG121" i="27"/>
  <c r="BC276" i="27"/>
  <c r="BT276" i="27"/>
  <c r="BC322" i="27"/>
  <c r="BB134" i="27"/>
  <c r="BB136" i="27"/>
  <c r="AL175" i="27"/>
  <c r="AL180" i="27"/>
  <c r="AL216" i="27"/>
  <c r="AL218" i="27"/>
  <c r="BB7" i="33"/>
  <c r="BL186" i="30"/>
  <c r="BL187" i="30"/>
  <c r="BL154" i="28"/>
  <c r="BL64" i="27"/>
  <c r="Z69" i="15"/>
  <c r="AP34" i="27"/>
  <c r="AP35" i="27"/>
  <c r="AP125" i="28"/>
  <c r="AP122" i="28"/>
  <c r="AP135" i="28"/>
  <c r="AP130" i="28"/>
  <c r="AP74" i="27"/>
  <c r="AP72" i="27"/>
  <c r="AP75" i="27"/>
  <c r="AP76" i="27"/>
  <c r="AU102" i="28"/>
  <c r="AU94" i="28"/>
  <c r="AU146" i="30"/>
  <c r="AU75" i="28"/>
  <c r="AU131" i="30"/>
  <c r="Z53" i="15"/>
  <c r="Z61" i="15"/>
  <c r="AP23" i="27"/>
  <c r="AP18" i="27"/>
  <c r="AP19" i="27"/>
  <c r="AU34" i="28"/>
  <c r="AU12" i="28"/>
  <c r="AU20" i="28"/>
  <c r="AT16" i="28"/>
  <c r="AT17" i="28"/>
  <c r="AT6" i="27"/>
  <c r="AT13" i="28"/>
  <c r="AT27" i="28"/>
  <c r="AT172" i="28"/>
  <c r="AT18" i="28"/>
  <c r="AT22" i="28"/>
  <c r="AT21" i="28"/>
  <c r="AT148" i="28"/>
  <c r="AT151" i="28"/>
  <c r="AT138" i="30"/>
  <c r="AT143" i="30"/>
  <c r="AT151" i="30"/>
  <c r="AO72" i="27"/>
  <c r="AO75" i="27"/>
  <c r="AO76" i="27"/>
  <c r="AT121" i="28"/>
  <c r="AT67" i="27"/>
  <c r="AT69" i="27"/>
  <c r="AT99" i="28"/>
  <c r="AT107" i="28"/>
  <c r="AO294" i="27"/>
  <c r="AO132" i="28"/>
  <c r="AO127" i="28"/>
  <c r="AO136" i="28"/>
  <c r="AO137" i="28"/>
  <c r="AT79" i="28"/>
  <c r="AT88" i="28"/>
  <c r="AR162" i="28"/>
  <c r="AR168" i="28"/>
  <c r="AR25" i="27"/>
  <c r="AR27" i="27"/>
  <c r="AR186" i="28"/>
  <c r="AR187" i="28"/>
  <c r="AQ63" i="27"/>
  <c r="AQ65" i="27"/>
  <c r="AQ106" i="28"/>
  <c r="AQ98" i="28"/>
  <c r="AQ120" i="28"/>
  <c r="AQ111" i="28"/>
  <c r="AQ113" i="28"/>
  <c r="AQ190" i="28"/>
  <c r="AQ195" i="28"/>
  <c r="AR192" i="28"/>
  <c r="AR197" i="28"/>
  <c r="AR108" i="28"/>
  <c r="AR100" i="28"/>
  <c r="AR93" i="28"/>
  <c r="AR112" i="28"/>
  <c r="AS19" i="28"/>
  <c r="AQ106" i="27"/>
  <c r="AP117" i="27"/>
  <c r="AL142" i="27"/>
  <c r="AL59" i="27"/>
  <c r="AA44" i="1"/>
  <c r="AA45" i="1"/>
  <c r="AS126" i="28"/>
  <c r="AS131" i="28"/>
  <c r="AR181" i="28"/>
  <c r="AS25" i="28"/>
  <c r="AS35" i="28"/>
  <c r="AS39" i="28"/>
  <c r="AM50" i="27"/>
  <c r="AM155" i="27"/>
  <c r="BQ49" i="27"/>
  <c r="AA27" i="15"/>
  <c r="AQ17" i="27"/>
  <c r="AQ28" i="27"/>
  <c r="AQ33" i="27"/>
  <c r="AQ29" i="27"/>
  <c r="AR33" i="28"/>
  <c r="AR38" i="28"/>
  <c r="AR40" i="28"/>
  <c r="AB34" i="15"/>
  <c r="AR14" i="27"/>
  <c r="AR9" i="27"/>
  <c r="BR13" i="27"/>
  <c r="AR156" i="27"/>
  <c r="BR78" i="27"/>
  <c r="G20" i="26"/>
  <c r="AR79" i="27"/>
  <c r="AR80" i="27"/>
  <c r="AL237" i="27"/>
  <c r="AM178" i="27"/>
  <c r="AL231" i="27"/>
  <c r="AQ177" i="28"/>
  <c r="AQ169" i="28"/>
  <c r="AQ170" i="28"/>
  <c r="AS84" i="28"/>
  <c r="AS80" i="28"/>
  <c r="AS161" i="28"/>
  <c r="AS85" i="28"/>
  <c r="AS115" i="28"/>
  <c r="AS95" i="28"/>
  <c r="AS185" i="28"/>
  <c r="AS89" i="28"/>
  <c r="AS81" i="28"/>
  <c r="AS86" i="28"/>
  <c r="AS90" i="28"/>
  <c r="W109" i="15"/>
  <c r="W113" i="15"/>
  <c r="AR183" i="28"/>
  <c r="AR177" i="28"/>
  <c r="AS183" i="27"/>
  <c r="AS178" i="28"/>
  <c r="W117" i="15"/>
  <c r="W123" i="15"/>
  <c r="AM328" i="27"/>
  <c r="AM330" i="27"/>
  <c r="AM166" i="27"/>
  <c r="AR117" i="28"/>
  <c r="AR116" i="28"/>
  <c r="BR115" i="28"/>
  <c r="G16" i="26"/>
  <c r="AR199" i="28"/>
  <c r="AS143" i="30"/>
  <c r="AS138" i="30"/>
  <c r="AS151" i="30"/>
  <c r="AV8" i="28"/>
  <c r="AV29" i="28"/>
  <c r="AV26" i="28"/>
  <c r="AV129" i="30"/>
  <c r="AV137" i="30"/>
  <c r="AV145" i="30"/>
  <c r="AV131" i="30"/>
  <c r="AW128" i="30"/>
  <c r="G14" i="26"/>
  <c r="BR183" i="27"/>
  <c r="G30" i="26"/>
  <c r="AR192" i="27"/>
  <c r="AR217" i="27"/>
  <c r="AR222" i="27"/>
  <c r="AL146" i="27"/>
  <c r="AM146" i="27"/>
  <c r="AM54" i="27"/>
  <c r="AM53" i="27"/>
  <c r="AS13" i="27"/>
  <c r="AS78" i="27"/>
  <c r="AC8" i="15"/>
  <c r="AC14" i="15"/>
  <c r="AS7" i="27"/>
  <c r="AQ201" i="28"/>
  <c r="AQ200" i="28"/>
  <c r="AR87" i="28"/>
  <c r="G9" i="26"/>
  <c r="G10" i="26"/>
  <c r="BA63" i="33"/>
  <c r="BA46" i="33"/>
  <c r="BB46" i="33"/>
  <c r="BB62" i="33"/>
  <c r="BB63" i="33"/>
  <c r="BD63" i="33"/>
  <c r="BD46" i="33"/>
  <c r="AZ51" i="33"/>
  <c r="AZ48" i="33"/>
  <c r="AX53" i="33"/>
  <c r="AX6" i="33"/>
  <c r="BL91" i="33"/>
  <c r="BL117" i="33"/>
  <c r="BL118" i="33"/>
  <c r="BL70" i="33"/>
  <c r="BC80" i="33"/>
  <c r="BC60" i="33"/>
  <c r="BC62" i="33"/>
  <c r="BK60" i="33"/>
  <c r="BK62" i="33"/>
  <c r="BK80" i="33"/>
  <c r="AY48" i="33"/>
  <c r="AY51" i="33"/>
  <c r="BH93" i="33"/>
  <c r="BL87" i="33"/>
  <c r="BL93" i="33"/>
  <c r="BH78" i="33"/>
  <c r="BL72" i="33"/>
  <c r="BH74" i="33"/>
  <c r="BB14" i="33"/>
  <c r="BB39" i="33"/>
  <c r="BD39" i="33"/>
  <c r="BF60" i="33"/>
  <c r="BF62" i="33"/>
  <c r="BF80" i="33"/>
  <c r="BJ78" i="33"/>
  <c r="BJ74" i="33"/>
  <c r="BE63" i="33"/>
  <c r="BE46" i="33"/>
  <c r="BI46" i="33"/>
  <c r="BI63" i="33"/>
  <c r="BG78" i="33"/>
  <c r="BG71" i="33"/>
  <c r="BG74" i="33"/>
  <c r="BC7" i="33"/>
  <c r="BE39" i="33"/>
  <c r="BE7" i="33"/>
  <c r="BE14" i="33"/>
  <c r="BB39" i="32"/>
  <c r="BB45" i="32"/>
  <c r="BB18" i="32"/>
  <c r="BD30" i="32"/>
  <c r="BD33" i="32"/>
  <c r="BD6" i="32"/>
  <c r="BE31" i="32"/>
  <c r="BF24" i="32"/>
  <c r="BF7" i="32"/>
  <c r="BE23" i="32"/>
  <c r="BC14" i="32"/>
  <c r="BC10" i="32"/>
  <c r="BC33" i="32"/>
  <c r="BB42" i="31"/>
  <c r="BB37" i="31"/>
  <c r="BB40" i="31"/>
  <c r="BC34" i="31"/>
  <c r="BC22" i="31"/>
  <c r="BA8" i="31"/>
  <c r="BA29" i="31"/>
  <c r="AZ19" i="31"/>
  <c r="AZ18" i="31"/>
  <c r="AZ7" i="31"/>
  <c r="AZ13" i="31"/>
  <c r="AZ14" i="31"/>
  <c r="AZ6" i="31"/>
  <c r="AZ12" i="31"/>
  <c r="BB70" i="31"/>
  <c r="BB27" i="31"/>
  <c r="BB24" i="31"/>
  <c r="BJ89" i="27"/>
  <c r="BJ201" i="27"/>
  <c r="BL87" i="27"/>
  <c r="BE131" i="27"/>
  <c r="BD256" i="27"/>
  <c r="BE252" i="27"/>
  <c r="BD276" i="27"/>
  <c r="BH121" i="27"/>
  <c r="BD122" i="27"/>
  <c r="BC129" i="27"/>
  <c r="BD321" i="27"/>
  <c r="BC323" i="27"/>
  <c r="BC115" i="27"/>
  <c r="BB280" i="27"/>
  <c r="BG140" i="27"/>
  <c r="BE248" i="27"/>
  <c r="BD254" i="27"/>
  <c r="BD257" i="27"/>
  <c r="BD322" i="27"/>
  <c r="BC134" i="27"/>
  <c r="BC136" i="27"/>
  <c r="AL207" i="27"/>
  <c r="AL221" i="27"/>
  <c r="AL224" i="27"/>
  <c r="AM175" i="27"/>
  <c r="AM180" i="27"/>
  <c r="AM207" i="27"/>
  <c r="AM210" i="27"/>
  <c r="G21" i="26"/>
  <c r="G23" i="26"/>
  <c r="G24" i="26"/>
  <c r="AU136" i="30"/>
  <c r="AU133" i="30"/>
  <c r="AU141" i="30"/>
  <c r="AU79" i="28"/>
  <c r="AU88" i="28"/>
  <c r="AU67" i="27"/>
  <c r="AU69" i="27"/>
  <c r="AU99" i="28"/>
  <c r="AU121" i="28"/>
  <c r="AU107" i="28"/>
  <c r="AP132" i="28"/>
  <c r="AP127" i="28"/>
  <c r="AP136" i="28"/>
  <c r="AP137" i="28"/>
  <c r="AP294" i="27"/>
  <c r="AU148" i="28"/>
  <c r="AU16" i="28"/>
  <c r="AU6" i="27"/>
  <c r="AU22" i="28"/>
  <c r="AU21" i="28"/>
  <c r="AU151" i="28"/>
  <c r="AU17" i="28"/>
  <c r="AU18" i="28"/>
  <c r="AU27" i="28"/>
  <c r="AU13" i="28"/>
  <c r="AU172" i="28"/>
  <c r="AT131" i="28"/>
  <c r="AT126" i="28"/>
  <c r="AT153" i="30"/>
  <c r="AT152" i="30"/>
  <c r="AT13" i="27"/>
  <c r="AT78" i="27"/>
  <c r="AD8" i="15"/>
  <c r="AD14" i="15"/>
  <c r="AT7" i="27"/>
  <c r="AT89" i="28"/>
  <c r="AT80" i="28"/>
  <c r="AT95" i="28"/>
  <c r="AT85" i="28"/>
  <c r="AT185" i="28"/>
  <c r="AT86" i="28"/>
  <c r="AT90" i="28"/>
  <c r="AT161" i="28"/>
  <c r="AT115" i="28"/>
  <c r="AT84" i="28"/>
  <c r="AT81" i="28"/>
  <c r="AT183" i="27"/>
  <c r="AT178" i="28"/>
  <c r="AT183" i="28"/>
  <c r="AS87" i="28"/>
  <c r="AT25" i="28"/>
  <c r="AT35" i="28"/>
  <c r="AT39" i="28"/>
  <c r="G31" i="26"/>
  <c r="G13" i="26"/>
  <c r="AT19" i="28"/>
  <c r="AV133" i="30"/>
  <c r="AV136" i="30"/>
  <c r="AV141" i="30"/>
  <c r="AW131" i="30"/>
  <c r="AL225" i="27"/>
  <c r="AM225" i="27"/>
  <c r="AL92" i="27"/>
  <c r="AL235" i="27"/>
  <c r="AR106" i="27"/>
  <c r="AQ117" i="27"/>
  <c r="AV75" i="28"/>
  <c r="AV146" i="30"/>
  <c r="AV102" i="28"/>
  <c r="AV94" i="28"/>
  <c r="AW145" i="30"/>
  <c r="AQ130" i="28"/>
  <c r="AQ125" i="28"/>
  <c r="AQ122" i="28"/>
  <c r="AQ135" i="28"/>
  <c r="AS183" i="28"/>
  <c r="AW8" i="28"/>
  <c r="AW129" i="30"/>
  <c r="AW29" i="28"/>
  <c r="AW137" i="30"/>
  <c r="AS38" i="28"/>
  <c r="AS40" i="28"/>
  <c r="AS33" i="28"/>
  <c r="AS176" i="28"/>
  <c r="AC34" i="15"/>
  <c r="AS9" i="27"/>
  <c r="AS22" i="27"/>
  <c r="AQ71" i="27"/>
  <c r="AQ74" i="27"/>
  <c r="AQ182" i="28"/>
  <c r="AQ191" i="28"/>
  <c r="AQ196" i="28"/>
  <c r="AR63" i="27"/>
  <c r="AR65" i="27"/>
  <c r="AR71" i="27"/>
  <c r="AR98" i="28"/>
  <c r="AR120" i="28"/>
  <c r="AR106" i="28"/>
  <c r="AR111" i="28"/>
  <c r="AR113" i="28"/>
  <c r="AR190" i="28"/>
  <c r="AR195" i="28"/>
  <c r="AR182" i="28"/>
  <c r="AR191" i="28"/>
  <c r="AR196" i="28"/>
  <c r="BQ178" i="27"/>
  <c r="F27" i="26"/>
  <c r="AM231" i="27"/>
  <c r="AM237" i="27"/>
  <c r="AL99" i="27"/>
  <c r="AL283" i="27"/>
  <c r="AL210" i="27"/>
  <c r="AL219" i="27"/>
  <c r="AM219" i="27"/>
  <c r="AL91" i="27"/>
  <c r="AL229" i="27"/>
  <c r="AV34" i="28"/>
  <c r="AW26" i="28"/>
  <c r="AR22" i="27"/>
  <c r="BR9" i="27"/>
  <c r="AS187" i="28"/>
  <c r="AS186" i="28"/>
  <c r="BQ54" i="27"/>
  <c r="AM55" i="27"/>
  <c r="AR201" i="28"/>
  <c r="AR200" i="28"/>
  <c r="AS199" i="28"/>
  <c r="AS117" i="28"/>
  <c r="AS116" i="28"/>
  <c r="G17" i="26"/>
  <c r="G18" i="26"/>
  <c r="BQ53" i="27"/>
  <c r="AB44" i="1"/>
  <c r="AB45" i="1"/>
  <c r="AV12" i="28"/>
  <c r="AV20" i="28"/>
  <c r="AS108" i="28"/>
  <c r="AS93" i="28"/>
  <c r="AS100" i="28"/>
  <c r="AS192" i="28"/>
  <c r="AS197" i="28"/>
  <c r="AS112" i="28"/>
  <c r="AR28" i="27"/>
  <c r="AR17" i="27"/>
  <c r="BR27" i="27"/>
  <c r="AR29" i="27"/>
  <c r="AA53" i="15"/>
  <c r="AA61" i="15"/>
  <c r="AQ23" i="27"/>
  <c r="AQ18" i="27"/>
  <c r="AQ19" i="27"/>
  <c r="AS152" i="30"/>
  <c r="AS153" i="30"/>
  <c r="AS80" i="27"/>
  <c r="AS156" i="27"/>
  <c r="AS168" i="28"/>
  <c r="AS25" i="27"/>
  <c r="AS27" i="27"/>
  <c r="AS162" i="28"/>
  <c r="AA69" i="15"/>
  <c r="AQ35" i="27"/>
  <c r="AQ34" i="27"/>
  <c r="AR33" i="27"/>
  <c r="AM59" i="27"/>
  <c r="AL85" i="27"/>
  <c r="AR170" i="28"/>
  <c r="AR169" i="28"/>
  <c r="AS217" i="27"/>
  <c r="AS192" i="27"/>
  <c r="AS222" i="27"/>
  <c r="AB27" i="15"/>
  <c r="AB40" i="15"/>
  <c r="AL145" i="27"/>
  <c r="AL147" i="27"/>
  <c r="AL149" i="27"/>
  <c r="AM142" i="27"/>
  <c r="AM145" i="27"/>
  <c r="AM147" i="27"/>
  <c r="AM149" i="27"/>
  <c r="BG60" i="33"/>
  <c r="BG80" i="33"/>
  <c r="BB51" i="33"/>
  <c r="BB48" i="33"/>
  <c r="BB53" i="33"/>
  <c r="BF46" i="33"/>
  <c r="BF63" i="33"/>
  <c r="AZ53" i="33"/>
  <c r="AZ6" i="33"/>
  <c r="BD51" i="33"/>
  <c r="BD48" i="33"/>
  <c r="BK46" i="33"/>
  <c r="BK63" i="33"/>
  <c r="BL71" i="33"/>
  <c r="BL78" i="33"/>
  <c r="BL74" i="33"/>
  <c r="AY53" i="33"/>
  <c r="AY6" i="33"/>
  <c r="BI48" i="33"/>
  <c r="BI51" i="33"/>
  <c r="BE48" i="33"/>
  <c r="BE51" i="33"/>
  <c r="BJ60" i="33"/>
  <c r="BJ62" i="33"/>
  <c r="BJ80" i="33"/>
  <c r="BD7" i="33"/>
  <c r="BD14" i="33"/>
  <c r="BF39" i="33"/>
  <c r="BH60" i="33"/>
  <c r="BH62" i="33"/>
  <c r="BH80" i="33"/>
  <c r="BA51" i="33"/>
  <c r="BA48" i="33"/>
  <c r="BC14" i="33"/>
  <c r="BC63" i="33"/>
  <c r="BC46" i="33"/>
  <c r="BG62" i="33"/>
  <c r="BG63" i="33"/>
  <c r="AX10" i="33"/>
  <c r="AX128" i="30"/>
  <c r="AX13" i="33"/>
  <c r="BF15" i="32"/>
  <c r="BG7" i="32"/>
  <c r="BG15" i="32"/>
  <c r="BC39" i="32"/>
  <c r="BC45" i="32"/>
  <c r="BC18" i="32"/>
  <c r="BE30" i="32"/>
  <c r="BF31" i="32"/>
  <c r="BG31" i="32"/>
  <c r="BG24" i="32"/>
  <c r="BF23" i="32"/>
  <c r="BD10" i="32"/>
  <c r="BD14" i="32"/>
  <c r="BE6" i="32"/>
  <c r="BA19" i="31"/>
  <c r="BA18" i="31"/>
  <c r="BA7" i="31"/>
  <c r="BA13" i="31"/>
  <c r="BA14" i="31"/>
  <c r="BA6" i="31"/>
  <c r="BB29" i="31"/>
  <c r="BB8" i="31"/>
  <c r="BC27" i="31"/>
  <c r="BC24" i="31"/>
  <c r="BC42" i="31"/>
  <c r="BC37" i="31"/>
  <c r="BC40" i="31"/>
  <c r="BD34" i="31"/>
  <c r="BD22" i="31"/>
  <c r="BE122" i="27"/>
  <c r="BD129" i="27"/>
  <c r="BD134" i="27"/>
  <c r="BD136" i="27"/>
  <c r="BE322" i="27"/>
  <c r="BF248" i="27"/>
  <c r="BE254" i="27"/>
  <c r="BE257" i="27"/>
  <c r="BH140" i="27"/>
  <c r="BT280" i="27"/>
  <c r="BC280" i="27"/>
  <c r="BV87" i="27"/>
  <c r="BL89" i="27"/>
  <c r="BI121" i="27"/>
  <c r="BE276" i="27"/>
  <c r="BE256" i="27"/>
  <c r="BF252" i="27"/>
  <c r="BF131" i="27"/>
  <c r="BE321" i="27"/>
  <c r="BD323" i="27"/>
  <c r="BD115" i="27"/>
  <c r="BC138" i="27"/>
  <c r="BJ204" i="27"/>
  <c r="BL201" i="27"/>
  <c r="BL204" i="27"/>
  <c r="AM221" i="27"/>
  <c r="AM224" i="27"/>
  <c r="AM216" i="27"/>
  <c r="AM218" i="27"/>
  <c r="G25" i="26"/>
  <c r="AU13" i="27"/>
  <c r="AU7" i="27"/>
  <c r="AU78" i="27"/>
  <c r="AE8" i="15"/>
  <c r="AE14" i="15"/>
  <c r="AU126" i="28"/>
  <c r="AU131" i="28"/>
  <c r="AU183" i="27"/>
  <c r="AU178" i="28"/>
  <c r="AT87" i="28"/>
  <c r="AU35" i="28"/>
  <c r="AU25" i="28"/>
  <c r="AU39" i="28"/>
  <c r="AU89" i="28"/>
  <c r="AU84" i="28"/>
  <c r="AU115" i="28"/>
  <c r="AU161" i="28"/>
  <c r="AU80" i="28"/>
  <c r="AU95" i="28"/>
  <c r="AU86" i="28"/>
  <c r="AU90" i="28"/>
  <c r="AU185" i="28"/>
  <c r="AU85" i="28"/>
  <c r="AU81" i="28"/>
  <c r="AU19" i="28"/>
  <c r="AU138" i="30"/>
  <c r="AU143" i="30"/>
  <c r="AU151" i="30"/>
  <c r="AT156" i="27"/>
  <c r="AT80" i="27"/>
  <c r="AT116" i="28"/>
  <c r="AT117" i="28"/>
  <c r="AT199" i="28"/>
  <c r="AT108" i="28"/>
  <c r="AT93" i="28"/>
  <c r="AT192" i="28"/>
  <c r="AT197" i="28"/>
  <c r="AT100" i="28"/>
  <c r="AT112" i="28"/>
  <c r="AD34" i="15"/>
  <c r="AT9" i="27"/>
  <c r="AT22" i="27"/>
  <c r="AT222" i="27"/>
  <c r="AT217" i="27"/>
  <c r="AT192" i="27"/>
  <c r="AT162" i="28"/>
  <c r="AT25" i="27"/>
  <c r="AT27" i="27"/>
  <c r="AT168" i="28"/>
  <c r="AT186" i="28"/>
  <c r="AT187" i="28"/>
  <c r="AT38" i="28"/>
  <c r="AT40" i="28"/>
  <c r="AT33" i="28"/>
  <c r="AT176" i="28"/>
  <c r="AT177" i="28"/>
  <c r="AV121" i="28"/>
  <c r="AV107" i="28"/>
  <c r="AV99" i="28"/>
  <c r="AV67" i="27"/>
  <c r="AV69" i="27"/>
  <c r="AW94" i="28"/>
  <c r="AL284" i="27"/>
  <c r="AM283" i="27"/>
  <c r="AL291" i="27"/>
  <c r="AL292" i="27"/>
  <c r="AW34" i="28"/>
  <c r="AQ127" i="28"/>
  <c r="AQ294" i="27"/>
  <c r="AQ132" i="28"/>
  <c r="AQ136" i="28"/>
  <c r="AQ137" i="28"/>
  <c r="AV16" i="28"/>
  <c r="AV6" i="27"/>
  <c r="AV13" i="28"/>
  <c r="AV21" i="28"/>
  <c r="AV148" i="28"/>
  <c r="AV17" i="28"/>
  <c r="AV27" i="28"/>
  <c r="AV22" i="28"/>
  <c r="AV18" i="28"/>
  <c r="AV172" i="28"/>
  <c r="AV151" i="28"/>
  <c r="AW12" i="28"/>
  <c r="AW20" i="28"/>
  <c r="AL232" i="27"/>
  <c r="AM232" i="27"/>
  <c r="F33" i="26"/>
  <c r="F36" i="26"/>
  <c r="F28" i="26"/>
  <c r="BQ218" i="27"/>
  <c r="AM229" i="27"/>
  <c r="AM91" i="27"/>
  <c r="AM94" i="27"/>
  <c r="AL238" i="27"/>
  <c r="AM238" i="27"/>
  <c r="AL239" i="27"/>
  <c r="AQ72" i="27"/>
  <c r="AQ75" i="27"/>
  <c r="AQ76" i="27"/>
  <c r="AC27" i="15"/>
  <c r="AC40" i="15"/>
  <c r="AM99" i="27"/>
  <c r="AM104" i="27"/>
  <c r="AM119" i="27"/>
  <c r="AM150" i="27"/>
  <c r="AL104" i="27"/>
  <c r="AL119" i="27"/>
  <c r="AL150" i="27"/>
  <c r="AV79" i="28"/>
  <c r="AV88" i="28"/>
  <c r="AW136" i="30"/>
  <c r="AW141" i="30"/>
  <c r="AW133" i="30"/>
  <c r="AS29" i="27"/>
  <c r="AS17" i="27"/>
  <c r="AS33" i="27"/>
  <c r="AS28" i="27"/>
  <c r="AS170" i="28"/>
  <c r="AS169" i="28"/>
  <c r="AS200" i="28"/>
  <c r="AS201" i="28"/>
  <c r="AR209" i="27"/>
  <c r="AN209" i="27"/>
  <c r="BQ59" i="27"/>
  <c r="AM85" i="27"/>
  <c r="AR122" i="28"/>
  <c r="AR130" i="28"/>
  <c r="AR125" i="28"/>
  <c r="AR135" i="28"/>
  <c r="BS8" i="28"/>
  <c r="AS120" i="28"/>
  <c r="AS111" i="28"/>
  <c r="AS113" i="28"/>
  <c r="AS98" i="28"/>
  <c r="AS190" i="28"/>
  <c r="AS195" i="28"/>
  <c r="AS63" i="27"/>
  <c r="AS65" i="27"/>
  <c r="AS71" i="27"/>
  <c r="AS106" i="28"/>
  <c r="AM235" i="27"/>
  <c r="AM92" i="27"/>
  <c r="AM95" i="27"/>
  <c r="AR18" i="27"/>
  <c r="AR19" i="27"/>
  <c r="AB53" i="15"/>
  <c r="AB61" i="15"/>
  <c r="BR17" i="27"/>
  <c r="AR23" i="27"/>
  <c r="AB69" i="15"/>
  <c r="BM69" i="15"/>
  <c r="AR34" i="27"/>
  <c r="BR33" i="27"/>
  <c r="AR35" i="27"/>
  <c r="AS177" i="28"/>
  <c r="AW149" i="30"/>
  <c r="AW146" i="30"/>
  <c r="AW75" i="28"/>
  <c r="AW102" i="28"/>
  <c r="AS106" i="27"/>
  <c r="AR117" i="27"/>
  <c r="AR74" i="27"/>
  <c r="AR75" i="27"/>
  <c r="AR76" i="27"/>
  <c r="AR72" i="27"/>
  <c r="AV138" i="30"/>
  <c r="AV143" i="30"/>
  <c r="AV151" i="30"/>
  <c r="AX8" i="28"/>
  <c r="AX29" i="28"/>
  <c r="AX26" i="28"/>
  <c r="AX129" i="30"/>
  <c r="AX145" i="30"/>
  <c r="AX131" i="30"/>
  <c r="AX137" i="30"/>
  <c r="BB7" i="31"/>
  <c r="AX17" i="33"/>
  <c r="BE6" i="33"/>
  <c r="BE53" i="33"/>
  <c r="BK48" i="33"/>
  <c r="BK51" i="33"/>
  <c r="BH46" i="33"/>
  <c r="BH63" i="33"/>
  <c r="BL62" i="33"/>
  <c r="BL63" i="33"/>
  <c r="BI53" i="33"/>
  <c r="BI6" i="33"/>
  <c r="BD6" i="33"/>
  <c r="BD53" i="33"/>
  <c r="BH39" i="33"/>
  <c r="BF7" i="33"/>
  <c r="AY10" i="33"/>
  <c r="AY13" i="33"/>
  <c r="BL60" i="33"/>
  <c r="BL80" i="33"/>
  <c r="BC51" i="33"/>
  <c r="BG46" i="33"/>
  <c r="BC48" i="33"/>
  <c r="BA53" i="33"/>
  <c r="BA6" i="33"/>
  <c r="AZ10" i="33"/>
  <c r="AZ13" i="33"/>
  <c r="BF51" i="33"/>
  <c r="BF48" i="33"/>
  <c r="BJ46" i="33"/>
  <c r="BJ63" i="33"/>
  <c r="BE10" i="32"/>
  <c r="BE14" i="32"/>
  <c r="BH24" i="32"/>
  <c r="BH7" i="32"/>
  <c r="BD39" i="32"/>
  <c r="BD45" i="32"/>
  <c r="BD18" i="32"/>
  <c r="BE33" i="32"/>
  <c r="BG23" i="32"/>
  <c r="BF30" i="32"/>
  <c r="BF33" i="32"/>
  <c r="BF6" i="32"/>
  <c r="BD27" i="31"/>
  <c r="BD24" i="31"/>
  <c r="BC29" i="31"/>
  <c r="BC8" i="31"/>
  <c r="BB18" i="31"/>
  <c r="BB13" i="31"/>
  <c r="BD42" i="31"/>
  <c r="BE34" i="31"/>
  <c r="BD37" i="31"/>
  <c r="BD40" i="31"/>
  <c r="BE22" i="31"/>
  <c r="BB14" i="31"/>
  <c r="BA12" i="31"/>
  <c r="BB6" i="31"/>
  <c r="BD280" i="27"/>
  <c r="BE115" i="27"/>
  <c r="BF321" i="27"/>
  <c r="BE323" i="27"/>
  <c r="BI140" i="27"/>
  <c r="BF254" i="27"/>
  <c r="BG248" i="27"/>
  <c r="BG252" i="27"/>
  <c r="BF256" i="27"/>
  <c r="BF276" i="27"/>
  <c r="BD138" i="27"/>
  <c r="BG131" i="27"/>
  <c r="BF322" i="27"/>
  <c r="BE134" i="27"/>
  <c r="BE136" i="27"/>
  <c r="BJ121" i="27"/>
  <c r="BF122" i="27"/>
  <c r="BE129" i="27"/>
  <c r="BE138" i="27"/>
  <c r="AL233" i="27"/>
  <c r="AM233" i="27"/>
  <c r="BQ233" i="27"/>
  <c r="AU87" i="28"/>
  <c r="AU192" i="28"/>
  <c r="AU197" i="28"/>
  <c r="AU100" i="28"/>
  <c r="AU93" i="28"/>
  <c r="AU108" i="28"/>
  <c r="AU112" i="28"/>
  <c r="AZ17" i="33"/>
  <c r="AZ128" i="30"/>
  <c r="AU116" i="28"/>
  <c r="AU199" i="28"/>
  <c r="AU117" i="28"/>
  <c r="AU176" i="28"/>
  <c r="AU177" i="28"/>
  <c r="AU33" i="28"/>
  <c r="AU38" i="28"/>
  <c r="AU40" i="28"/>
  <c r="AU168" i="28"/>
  <c r="AU162" i="28"/>
  <c r="AU25" i="27"/>
  <c r="AU27" i="27"/>
  <c r="AU152" i="30"/>
  <c r="AU153" i="30"/>
  <c r="AU183" i="28"/>
  <c r="AU192" i="27"/>
  <c r="AU217" i="27"/>
  <c r="AU222" i="27"/>
  <c r="AU186" i="28"/>
  <c r="AU187" i="28"/>
  <c r="AU80" i="27"/>
  <c r="AU156" i="27"/>
  <c r="AE34" i="15"/>
  <c r="AU9" i="27"/>
  <c r="AU22" i="27"/>
  <c r="AT169" i="28"/>
  <c r="AT170" i="28"/>
  <c r="AD27" i="15"/>
  <c r="AD40" i="15"/>
  <c r="AT29" i="27"/>
  <c r="AT33" i="27"/>
  <c r="AT28" i="27"/>
  <c r="AT17" i="27"/>
  <c r="AT111" i="28"/>
  <c r="AT113" i="28"/>
  <c r="AT98" i="28"/>
  <c r="AT120" i="28"/>
  <c r="AT63" i="27"/>
  <c r="AT65" i="27"/>
  <c r="AT71" i="27"/>
  <c r="AT190" i="28"/>
  <c r="AT195" i="28"/>
  <c r="AT106" i="28"/>
  <c r="AT182" i="28"/>
  <c r="AT191" i="28"/>
  <c r="AT196" i="28"/>
  <c r="AT200" i="28"/>
  <c r="AT201" i="28"/>
  <c r="AY17" i="33"/>
  <c r="AY128" i="30"/>
  <c r="AV13" i="27"/>
  <c r="AF8" i="15"/>
  <c r="AF14" i="15"/>
  <c r="AV78" i="27"/>
  <c r="AV7" i="27"/>
  <c r="AC69" i="15"/>
  <c r="AS34" i="27"/>
  <c r="AS35" i="27"/>
  <c r="AS18" i="27"/>
  <c r="AS19" i="27"/>
  <c r="AS23" i="27"/>
  <c r="AC53" i="15"/>
  <c r="AC61" i="15"/>
  <c r="AM239" i="27"/>
  <c r="BS12" i="28"/>
  <c r="AW13" i="28"/>
  <c r="AW16" i="28"/>
  <c r="AW17" i="28"/>
  <c r="AW6" i="27"/>
  <c r="AW27" i="28"/>
  <c r="AW18" i="28"/>
  <c r="AW151" i="28"/>
  <c r="AW21" i="28"/>
  <c r="AW22" i="28"/>
  <c r="AW148" i="28"/>
  <c r="AM291" i="27"/>
  <c r="AM292" i="27"/>
  <c r="AN300" i="27"/>
  <c r="AM284" i="27"/>
  <c r="AL309" i="27"/>
  <c r="AM309" i="27"/>
  <c r="AS74" i="27"/>
  <c r="AS72" i="27"/>
  <c r="AS75" i="27"/>
  <c r="AS76" i="27"/>
  <c r="AW107" i="28"/>
  <c r="AW99" i="28"/>
  <c r="AW67" i="27"/>
  <c r="AW69" i="27"/>
  <c r="AW121" i="28"/>
  <c r="AW143" i="30"/>
  <c r="AW138" i="30"/>
  <c r="AW151" i="30"/>
  <c r="AS182" i="28"/>
  <c r="AS191" i="28"/>
  <c r="AS196" i="28"/>
  <c r="AR294" i="27"/>
  <c r="AR132" i="28"/>
  <c r="AR127" i="28"/>
  <c r="AR136" i="28"/>
  <c r="AR137" i="28"/>
  <c r="AV84" i="28"/>
  <c r="AV80" i="28"/>
  <c r="AV85" i="28"/>
  <c r="AV115" i="28"/>
  <c r="AV95" i="28"/>
  <c r="AV89" i="28"/>
  <c r="AV86" i="28"/>
  <c r="AV185" i="28"/>
  <c r="AV90" i="28"/>
  <c r="AV161" i="28"/>
  <c r="AV81" i="28"/>
  <c r="AW79" i="28"/>
  <c r="AW88" i="28"/>
  <c r="AV178" i="28"/>
  <c r="AV183" i="27"/>
  <c r="AW172" i="28"/>
  <c r="AV35" i="28"/>
  <c r="AV25" i="28"/>
  <c r="AV39" i="28"/>
  <c r="AV153" i="30"/>
  <c r="AV152" i="30"/>
  <c r="AS125" i="28"/>
  <c r="AS122" i="28"/>
  <c r="AS130" i="28"/>
  <c r="AV19" i="28"/>
  <c r="AT106" i="27"/>
  <c r="AS117" i="27"/>
  <c r="AL295" i="27"/>
  <c r="AL296" i="27"/>
  <c r="AV126" i="28"/>
  <c r="AV131" i="28"/>
  <c r="AX141" i="30"/>
  <c r="AX136" i="30"/>
  <c r="AX133" i="30"/>
  <c r="AX34" i="28"/>
  <c r="AX146" i="30"/>
  <c r="AX75" i="28"/>
  <c r="AX102" i="28"/>
  <c r="AX94" i="28"/>
  <c r="AX12" i="28"/>
  <c r="BI13" i="33"/>
  <c r="BJ51" i="33"/>
  <c r="BJ48" i="33"/>
  <c r="BF53" i="33"/>
  <c r="BF6" i="33"/>
  <c r="BE13" i="33"/>
  <c r="BE10" i="33"/>
  <c r="BJ39" i="33"/>
  <c r="BJ7" i="33"/>
  <c r="BJ14" i="33"/>
  <c r="BH7" i="33"/>
  <c r="BD13" i="33"/>
  <c r="BD10" i="33"/>
  <c r="BL46" i="33"/>
  <c r="BH51" i="33"/>
  <c r="BH48" i="33"/>
  <c r="BA10" i="33"/>
  <c r="BA13" i="33"/>
  <c r="BG48" i="33"/>
  <c r="BG53" i="33"/>
  <c r="BG51" i="33"/>
  <c r="BF14" i="33"/>
  <c r="BG7" i="33"/>
  <c r="BK53" i="33"/>
  <c r="BK6" i="33"/>
  <c r="BC6" i="33"/>
  <c r="BC53" i="33"/>
  <c r="BB6" i="33"/>
  <c r="BB13" i="33"/>
  <c r="BF10" i="32"/>
  <c r="BF14" i="32"/>
  <c r="BG30" i="32"/>
  <c r="BG33" i="32"/>
  <c r="BH15" i="32"/>
  <c r="BG26" i="32"/>
  <c r="BH31" i="32"/>
  <c r="BI24" i="32"/>
  <c r="BI7" i="32"/>
  <c r="BI15" i="32"/>
  <c r="BH23" i="32"/>
  <c r="BG6" i="32"/>
  <c r="BG14" i="32"/>
  <c r="BE39" i="32"/>
  <c r="BE45" i="32"/>
  <c r="BE18" i="32"/>
  <c r="BB17" i="31"/>
  <c r="BB19" i="31"/>
  <c r="BB12" i="31"/>
  <c r="BE24" i="31"/>
  <c r="BE27" i="31"/>
  <c r="BD29" i="31"/>
  <c r="BD8" i="31"/>
  <c r="BF34" i="31"/>
  <c r="BE42" i="31"/>
  <c r="BE37" i="31"/>
  <c r="BE40" i="31"/>
  <c r="BF22" i="31"/>
  <c r="BC14" i="31"/>
  <c r="BC19" i="31"/>
  <c r="BC18" i="31"/>
  <c r="BC7" i="31"/>
  <c r="BC6" i="31"/>
  <c r="BG122" i="27"/>
  <c r="BF129" i="27"/>
  <c r="BK121" i="27"/>
  <c r="BG276" i="27"/>
  <c r="BH252" i="27"/>
  <c r="BG256" i="27"/>
  <c r="BH248" i="27"/>
  <c r="BG254" i="27"/>
  <c r="BG257" i="27"/>
  <c r="BJ140" i="27"/>
  <c r="BF323" i="27"/>
  <c r="BF115" i="27"/>
  <c r="BG321" i="27"/>
  <c r="BE280" i="27"/>
  <c r="BH131" i="27"/>
  <c r="BG322" i="27"/>
  <c r="BF134" i="27"/>
  <c r="BF136" i="27"/>
  <c r="BF257" i="27"/>
  <c r="AU200" i="28"/>
  <c r="AU201" i="28"/>
  <c r="AU182" i="28"/>
  <c r="AU191" i="28"/>
  <c r="AU196" i="28"/>
  <c r="AU33" i="27"/>
  <c r="AU17" i="27"/>
  <c r="AU28" i="27"/>
  <c r="AU29" i="27"/>
  <c r="AU169" i="28"/>
  <c r="AU170" i="28"/>
  <c r="AE27" i="15"/>
  <c r="AE40" i="15"/>
  <c r="AZ8" i="28"/>
  <c r="AZ29" i="28"/>
  <c r="AZ26" i="28"/>
  <c r="AZ129" i="30"/>
  <c r="AZ137" i="30"/>
  <c r="AZ145" i="30"/>
  <c r="AU111" i="28"/>
  <c r="AU113" i="28"/>
  <c r="AU190" i="28"/>
  <c r="AU195" i="28"/>
  <c r="AU63" i="27"/>
  <c r="AU65" i="27"/>
  <c r="AU120" i="28"/>
  <c r="AU98" i="28"/>
  <c r="AU106" i="28"/>
  <c r="BE17" i="33"/>
  <c r="BE128" i="30"/>
  <c r="BD17" i="33"/>
  <c r="BD128" i="30"/>
  <c r="AT125" i="28"/>
  <c r="AT130" i="28"/>
  <c r="AT122" i="28"/>
  <c r="AT135" i="28"/>
  <c r="AT18" i="27"/>
  <c r="AT19" i="27"/>
  <c r="AD53" i="15"/>
  <c r="AD61" i="15"/>
  <c r="AT23" i="27"/>
  <c r="AD69" i="15"/>
  <c r="AT34" i="27"/>
  <c r="AT35" i="27"/>
  <c r="AY8" i="28"/>
  <c r="AY29" i="28"/>
  <c r="AY26" i="28"/>
  <c r="AY129" i="30"/>
  <c r="AY137" i="30"/>
  <c r="AY145" i="30"/>
  <c r="AT74" i="27"/>
  <c r="AT72" i="27"/>
  <c r="AT75" i="27"/>
  <c r="AT76" i="27"/>
  <c r="AW153" i="30"/>
  <c r="AW152" i="30"/>
  <c r="AV162" i="28"/>
  <c r="AV168" i="28"/>
  <c r="AV25" i="27"/>
  <c r="AV27" i="27"/>
  <c r="AG8" i="15"/>
  <c r="AG14" i="15"/>
  <c r="BS6" i="27"/>
  <c r="AW7" i="27"/>
  <c r="AW126" i="28"/>
  <c r="AW131" i="28"/>
  <c r="AV186" i="28"/>
  <c r="AV187" i="28"/>
  <c r="AV222" i="27"/>
  <c r="AV192" i="27"/>
  <c r="AV217" i="27"/>
  <c r="AV199" i="28"/>
  <c r="AV116" i="28"/>
  <c r="AV117" i="28"/>
  <c r="AN176" i="27"/>
  <c r="AN39" i="27"/>
  <c r="AW25" i="28"/>
  <c r="AW35" i="28"/>
  <c r="AW39" i="28"/>
  <c r="AV192" i="28"/>
  <c r="AV197" i="28"/>
  <c r="AV93" i="28"/>
  <c r="AV100" i="28"/>
  <c r="AV108" i="28"/>
  <c r="AV112" i="28"/>
  <c r="AM295" i="27"/>
  <c r="AM296" i="27"/>
  <c r="BQ292" i="27"/>
  <c r="F40" i="26"/>
  <c r="AV33" i="28"/>
  <c r="AV38" i="28"/>
  <c r="AV40" i="28"/>
  <c r="AV176" i="28"/>
  <c r="AW176" i="28"/>
  <c r="AV156" i="27"/>
  <c r="AV80" i="27"/>
  <c r="AW78" i="27"/>
  <c r="AT117" i="27"/>
  <c r="AU106" i="27"/>
  <c r="AW19" i="28"/>
  <c r="AS135" i="28"/>
  <c r="AS132" i="28"/>
  <c r="AS294" i="27"/>
  <c r="AS127" i="28"/>
  <c r="AS136" i="28"/>
  <c r="BQ284" i="27"/>
  <c r="AN308" i="27"/>
  <c r="AV183" i="28"/>
  <c r="BS79" i="28"/>
  <c r="H12" i="26"/>
  <c r="AW115" i="28"/>
  <c r="AW84" i="28"/>
  <c r="AW80" i="28"/>
  <c r="AW86" i="28"/>
  <c r="AW185" i="28"/>
  <c r="AW95" i="28"/>
  <c r="AW161" i="28"/>
  <c r="AW85" i="28"/>
  <c r="AW90" i="28"/>
  <c r="AW89" i="28"/>
  <c r="AW81" i="28"/>
  <c r="AV87" i="28"/>
  <c r="BA17" i="33"/>
  <c r="BA128" i="30"/>
  <c r="AW173" i="28"/>
  <c r="AW178" i="28"/>
  <c r="AW183" i="27"/>
  <c r="BS172" i="28"/>
  <c r="AF34" i="15"/>
  <c r="AV9" i="27"/>
  <c r="AV22" i="27"/>
  <c r="AW13" i="27"/>
  <c r="AX148" i="28"/>
  <c r="AX16" i="28"/>
  <c r="AX22" i="28"/>
  <c r="AX18" i="28"/>
  <c r="AX151" i="28"/>
  <c r="AX27" i="28"/>
  <c r="AX17" i="28"/>
  <c r="AX6" i="27"/>
  <c r="AX21" i="28"/>
  <c r="AX13" i="28"/>
  <c r="AX172" i="28"/>
  <c r="AX107" i="28"/>
  <c r="AX67" i="27"/>
  <c r="AX69" i="27"/>
  <c r="AX121" i="28"/>
  <c r="AX99" i="28"/>
  <c r="AX79" i="28"/>
  <c r="AX88" i="28"/>
  <c r="AX143" i="30"/>
  <c r="AX138" i="30"/>
  <c r="AX151" i="30"/>
  <c r="AX20" i="28"/>
  <c r="BL48" i="33"/>
  <c r="BL53" i="33"/>
  <c r="BL51" i="33"/>
  <c r="BH14" i="33"/>
  <c r="BF13" i="33"/>
  <c r="BF10" i="33"/>
  <c r="BG6" i="33"/>
  <c r="BG13" i="33"/>
  <c r="BC10" i="33"/>
  <c r="BC128" i="30"/>
  <c r="BC13" i="33"/>
  <c r="BJ53" i="33"/>
  <c r="BJ6" i="33"/>
  <c r="BK13" i="33"/>
  <c r="BH53" i="33"/>
  <c r="BH6" i="33"/>
  <c r="BB10" i="33"/>
  <c r="BB17" i="33"/>
  <c r="BG14" i="33"/>
  <c r="BG39" i="33"/>
  <c r="BI39" i="33"/>
  <c r="BH30" i="32"/>
  <c r="BI31" i="32"/>
  <c r="BJ24" i="32"/>
  <c r="BJ7" i="32"/>
  <c r="BJ15" i="32"/>
  <c r="BI23" i="32"/>
  <c r="BH6" i="32"/>
  <c r="BF39" i="32"/>
  <c r="BF45" i="32"/>
  <c r="BG11" i="32"/>
  <c r="BF18" i="32"/>
  <c r="BG10" i="32"/>
  <c r="BF24" i="31"/>
  <c r="BF27" i="31"/>
  <c r="BC12" i="31"/>
  <c r="BF37" i="31"/>
  <c r="BF40" i="31"/>
  <c r="BG34" i="31"/>
  <c r="BF42" i="31"/>
  <c r="BC13" i="31"/>
  <c r="BD19" i="31"/>
  <c r="BD18" i="31"/>
  <c r="BD7" i="31"/>
  <c r="BD13" i="31"/>
  <c r="BD14" i="31"/>
  <c r="BD6" i="31"/>
  <c r="BD12" i="31"/>
  <c r="BG22" i="31"/>
  <c r="BE29" i="31"/>
  <c r="BE8" i="31"/>
  <c r="BF280" i="27"/>
  <c r="BG323" i="27"/>
  <c r="BG115" i="27"/>
  <c r="BH321" i="27"/>
  <c r="BK140" i="27"/>
  <c r="BI248" i="27"/>
  <c r="BH254" i="27"/>
  <c r="BH322" i="27"/>
  <c r="BG134" i="27"/>
  <c r="BG136" i="27"/>
  <c r="BH122" i="27"/>
  <c r="BG129" i="27"/>
  <c r="BG138" i="27"/>
  <c r="BI252" i="27"/>
  <c r="BH256" i="27"/>
  <c r="BH276" i="27"/>
  <c r="BU276" i="27"/>
  <c r="BL121" i="27"/>
  <c r="BF138" i="27"/>
  <c r="BI131" i="27"/>
  <c r="AS137" i="28"/>
  <c r="AX19" i="28"/>
  <c r="BE145" i="30"/>
  <c r="AZ75" i="28"/>
  <c r="AZ146" i="30"/>
  <c r="AZ102" i="28"/>
  <c r="AZ94" i="28"/>
  <c r="AZ131" i="30"/>
  <c r="AZ34" i="28"/>
  <c r="AZ12" i="28"/>
  <c r="AZ20" i="28"/>
  <c r="BE8" i="28"/>
  <c r="BE29" i="28"/>
  <c r="BE26" i="28"/>
  <c r="BE129" i="30"/>
  <c r="BE137" i="30"/>
  <c r="BE131" i="30"/>
  <c r="AE53" i="15"/>
  <c r="AE61" i="15"/>
  <c r="AU18" i="27"/>
  <c r="AU19" i="27"/>
  <c r="AU23" i="27"/>
  <c r="AU34" i="27"/>
  <c r="AE69" i="15"/>
  <c r="AU35" i="27"/>
  <c r="AU125" i="28"/>
  <c r="AU122" i="28"/>
  <c r="AU135" i="28"/>
  <c r="AU130" i="28"/>
  <c r="AU71" i="27"/>
  <c r="AU74" i="27"/>
  <c r="AW181" i="28"/>
  <c r="AY34" i="28"/>
  <c r="AY75" i="28"/>
  <c r="AY146" i="30"/>
  <c r="BD145" i="30"/>
  <c r="BD131" i="30"/>
  <c r="AY102" i="28"/>
  <c r="AY94" i="28"/>
  <c r="AT132" i="28"/>
  <c r="AT127" i="28"/>
  <c r="AT294" i="27"/>
  <c r="AT136" i="28"/>
  <c r="AT137" i="28"/>
  <c r="BD8" i="28"/>
  <c r="BD29" i="28"/>
  <c r="BD26" i="28"/>
  <c r="BD129" i="30"/>
  <c r="BD137" i="30"/>
  <c r="AY131" i="30"/>
  <c r="AY12" i="28"/>
  <c r="AY20" i="28"/>
  <c r="AG34" i="15"/>
  <c r="BS13" i="27"/>
  <c r="AW14" i="27"/>
  <c r="AW9" i="27"/>
  <c r="BS115" i="28"/>
  <c r="H16" i="26"/>
  <c r="AW199" i="28"/>
  <c r="AW116" i="28"/>
  <c r="AW117" i="28"/>
  <c r="AW87" i="28"/>
  <c r="AW168" i="28"/>
  <c r="AW162" i="28"/>
  <c r="AW25" i="27"/>
  <c r="AW27" i="27"/>
  <c r="AW79" i="27"/>
  <c r="BS78" i="27"/>
  <c r="H20" i="26"/>
  <c r="H23" i="26"/>
  <c r="AW156" i="27"/>
  <c r="H9" i="26"/>
  <c r="H10" i="26"/>
  <c r="AW186" i="28"/>
  <c r="AW187" i="28"/>
  <c r="AV120" i="28"/>
  <c r="AV98" i="28"/>
  <c r="AV190" i="28"/>
  <c r="AV195" i="28"/>
  <c r="AV63" i="27"/>
  <c r="AV65" i="27"/>
  <c r="AV111" i="28"/>
  <c r="AV113" i="28"/>
  <c r="AV106" i="28"/>
  <c r="AV169" i="28"/>
  <c r="AV170" i="28"/>
  <c r="AV200" i="28"/>
  <c r="AV201" i="28"/>
  <c r="H14" i="26"/>
  <c r="AW183" i="28"/>
  <c r="AW177" i="28"/>
  <c r="AV177" i="28"/>
  <c r="AW80" i="27"/>
  <c r="AW192" i="27"/>
  <c r="AW217" i="27"/>
  <c r="BS183" i="27"/>
  <c r="H30" i="26"/>
  <c r="AW222" i="27"/>
  <c r="AN303" i="27"/>
  <c r="AN307" i="27"/>
  <c r="AN306" i="27"/>
  <c r="AW38" i="28"/>
  <c r="AW40" i="28"/>
  <c r="AW33" i="28"/>
  <c r="AF27" i="15"/>
  <c r="AF40" i="15"/>
  <c r="AN160" i="27"/>
  <c r="AW100" i="28"/>
  <c r="AW93" i="28"/>
  <c r="AW192" i="28"/>
  <c r="AW197" i="28"/>
  <c r="AW108" i="28"/>
  <c r="AW112" i="28"/>
  <c r="BA29" i="28"/>
  <c r="BA26" i="28"/>
  <c r="BA8" i="28"/>
  <c r="BA129" i="30"/>
  <c r="BA137" i="30"/>
  <c r="BA145" i="30"/>
  <c r="BA131" i="30"/>
  <c r="BB128" i="30"/>
  <c r="AV33" i="27"/>
  <c r="AV28" i="27"/>
  <c r="AV17" i="27"/>
  <c r="AV29" i="27"/>
  <c r="BC8" i="28"/>
  <c r="BC29" i="28"/>
  <c r="BC26" i="28"/>
  <c r="BC137" i="30"/>
  <c r="BC129" i="30"/>
  <c r="BC145" i="30"/>
  <c r="BF17" i="33"/>
  <c r="BF128" i="30"/>
  <c r="AV106" i="27"/>
  <c r="AU117" i="27"/>
  <c r="AX131" i="28"/>
  <c r="AX126" i="28"/>
  <c r="AX178" i="28"/>
  <c r="AX183" i="27"/>
  <c r="AX13" i="27"/>
  <c r="AH8" i="15"/>
  <c r="AX78" i="27"/>
  <c r="AX7" i="27"/>
  <c r="AX35" i="28"/>
  <c r="AX25" i="28"/>
  <c r="AX39" i="28"/>
  <c r="AX153" i="30"/>
  <c r="AX152" i="30"/>
  <c r="AX84" i="28"/>
  <c r="AX85" i="28"/>
  <c r="AX95" i="28"/>
  <c r="AX185" i="28"/>
  <c r="AX161" i="28"/>
  <c r="AX89" i="28"/>
  <c r="AX81" i="28"/>
  <c r="AX80" i="28"/>
  <c r="AX115" i="28"/>
  <c r="AX90" i="28"/>
  <c r="AX86" i="28"/>
  <c r="BI7" i="33"/>
  <c r="BK39" i="33"/>
  <c r="BK7" i="33"/>
  <c r="BJ13" i="33"/>
  <c r="BJ10" i="33"/>
  <c r="BH13" i="33"/>
  <c r="BL6" i="33"/>
  <c r="BL13" i="33"/>
  <c r="BH10" i="33"/>
  <c r="BH128" i="30"/>
  <c r="BC17" i="33"/>
  <c r="BG10" i="33"/>
  <c r="BG17" i="33"/>
  <c r="BH10" i="32"/>
  <c r="BH14" i="32"/>
  <c r="BG39" i="32"/>
  <c r="BG45" i="32"/>
  <c r="BG18" i="32"/>
  <c r="BI30" i="32"/>
  <c r="BI33" i="32"/>
  <c r="BJ31" i="32"/>
  <c r="BK24" i="32"/>
  <c r="BK7" i="32"/>
  <c r="BJ23" i="32"/>
  <c r="BJ6" i="32"/>
  <c r="BI6" i="32"/>
  <c r="BH33" i="32"/>
  <c r="BG24" i="31"/>
  <c r="BG27" i="31"/>
  <c r="BG70" i="31"/>
  <c r="BE14" i="31"/>
  <c r="BE19" i="31"/>
  <c r="BE18" i="31"/>
  <c r="BE7" i="31"/>
  <c r="BE13" i="31"/>
  <c r="BE6" i="31"/>
  <c r="BE12" i="31"/>
  <c r="BH34" i="31"/>
  <c r="BG42" i="31"/>
  <c r="BG37" i="31"/>
  <c r="BG40" i="31"/>
  <c r="BH22" i="31"/>
  <c r="BF8" i="31"/>
  <c r="BF29" i="31"/>
  <c r="BJ252" i="27"/>
  <c r="BI256" i="27"/>
  <c r="BI122" i="27"/>
  <c r="BH129" i="27"/>
  <c r="BJ131" i="27"/>
  <c r="BL140" i="27"/>
  <c r="BH323" i="27"/>
  <c r="BI321" i="27"/>
  <c r="BH115" i="27"/>
  <c r="BG280" i="27"/>
  <c r="BI276" i="27"/>
  <c r="BI322" i="27"/>
  <c r="BH134" i="27"/>
  <c r="BH136" i="27"/>
  <c r="BH257" i="27"/>
  <c r="BJ248" i="27"/>
  <c r="BI254" i="27"/>
  <c r="BI257" i="27"/>
  <c r="H31" i="26"/>
  <c r="BE141" i="30"/>
  <c r="BE136" i="30"/>
  <c r="BE133" i="30"/>
  <c r="BE34" i="28"/>
  <c r="BE12" i="28"/>
  <c r="BE20" i="28"/>
  <c r="AZ16" i="28"/>
  <c r="AZ151" i="28"/>
  <c r="AZ13" i="28"/>
  <c r="AZ22" i="28"/>
  <c r="AZ21" i="28"/>
  <c r="AZ148" i="28"/>
  <c r="AZ17" i="28"/>
  <c r="AZ6" i="27"/>
  <c r="AZ18" i="28"/>
  <c r="AZ172" i="28"/>
  <c r="AZ27" i="28"/>
  <c r="AU72" i="27"/>
  <c r="AU75" i="27"/>
  <c r="AU76" i="27"/>
  <c r="AZ133" i="30"/>
  <c r="AZ136" i="30"/>
  <c r="AZ141" i="30"/>
  <c r="AZ107" i="28"/>
  <c r="AZ121" i="28"/>
  <c r="AZ99" i="28"/>
  <c r="AZ67" i="27"/>
  <c r="AZ69" i="27"/>
  <c r="BJ17" i="33"/>
  <c r="BJ128" i="30"/>
  <c r="BJ145" i="30"/>
  <c r="AU294" i="27"/>
  <c r="AU127" i="28"/>
  <c r="AU132" i="28"/>
  <c r="AU136" i="28"/>
  <c r="AU137" i="28"/>
  <c r="AZ79" i="28"/>
  <c r="AZ88" i="28"/>
  <c r="BE75" i="28"/>
  <c r="BE146" i="30"/>
  <c r="BE102" i="28"/>
  <c r="BE94" i="28"/>
  <c r="AY16" i="28"/>
  <c r="AY148" i="28"/>
  <c r="AY6" i="27"/>
  <c r="AY172" i="28"/>
  <c r="AY27" i="28"/>
  <c r="AY22" i="28"/>
  <c r="AY18" i="28"/>
  <c r="AY21" i="28"/>
  <c r="AY17" i="28"/>
  <c r="AY151" i="28"/>
  <c r="AY13" i="28"/>
  <c r="BD34" i="28"/>
  <c r="AY136" i="30"/>
  <c r="AY133" i="30"/>
  <c r="AY141" i="30"/>
  <c r="BD12" i="28"/>
  <c r="BD20" i="28"/>
  <c r="H13" i="26"/>
  <c r="BD146" i="30"/>
  <c r="BD75" i="28"/>
  <c r="BD102" i="28"/>
  <c r="BD94" i="28"/>
  <c r="AY79" i="28"/>
  <c r="AY88" i="28"/>
  <c r="AY67" i="27"/>
  <c r="AY69" i="27"/>
  <c r="AY99" i="28"/>
  <c r="AY107" i="28"/>
  <c r="AY121" i="28"/>
  <c r="BD141" i="30"/>
  <c r="BD136" i="30"/>
  <c r="BD133" i="30"/>
  <c r="AV125" i="28"/>
  <c r="AV122" i="28"/>
  <c r="AV135" i="28"/>
  <c r="AV130" i="28"/>
  <c r="AW106" i="27"/>
  <c r="AW117" i="27"/>
  <c r="AV117" i="27"/>
  <c r="BF29" i="28"/>
  <c r="BF26" i="28"/>
  <c r="BF8" i="28"/>
  <c r="BF129" i="30"/>
  <c r="BF137" i="30"/>
  <c r="AV182" i="28"/>
  <c r="AV191" i="28"/>
  <c r="AV196" i="28"/>
  <c r="AW182" i="28"/>
  <c r="AW191" i="28"/>
  <c r="AW196" i="28"/>
  <c r="H21" i="26"/>
  <c r="BC75" i="28"/>
  <c r="BH145" i="30"/>
  <c r="BC102" i="28"/>
  <c r="BC94" i="28"/>
  <c r="BC146" i="30"/>
  <c r="BC131" i="30"/>
  <c r="BC34" i="28"/>
  <c r="BS27" i="27"/>
  <c r="AW28" i="27"/>
  <c r="AW17" i="27"/>
  <c r="AW29" i="27"/>
  <c r="AW169" i="28"/>
  <c r="AW170" i="28"/>
  <c r="H24" i="26"/>
  <c r="H25" i="26"/>
  <c r="AF53" i="15"/>
  <c r="AF61" i="15"/>
  <c r="AV18" i="27"/>
  <c r="AV19" i="27"/>
  <c r="AV23" i="27"/>
  <c r="AW200" i="28"/>
  <c r="AW201" i="28"/>
  <c r="H17" i="26"/>
  <c r="H18" i="26"/>
  <c r="BA141" i="30"/>
  <c r="BA136" i="30"/>
  <c r="BA133" i="30"/>
  <c r="BB131" i="30"/>
  <c r="BA34" i="28"/>
  <c r="BB26" i="28"/>
  <c r="BB34" i="28"/>
  <c r="AF69" i="15"/>
  <c r="AV34" i="27"/>
  <c r="AV35" i="27"/>
  <c r="AW33" i="27"/>
  <c r="AW22" i="27"/>
  <c r="BS9" i="27"/>
  <c r="BA12" i="28"/>
  <c r="BA20" i="28"/>
  <c r="BG128" i="30"/>
  <c r="BC12" i="28"/>
  <c r="BB129" i="30"/>
  <c r="BB29" i="28"/>
  <c r="BB8" i="28"/>
  <c r="BT8" i="28"/>
  <c r="BB137" i="30"/>
  <c r="AV71" i="27"/>
  <c r="AV74" i="27"/>
  <c r="AW63" i="27"/>
  <c r="AW65" i="27"/>
  <c r="AW106" i="28"/>
  <c r="AW190" i="28"/>
  <c r="AW195" i="28"/>
  <c r="AW98" i="28"/>
  <c r="AW111" i="28"/>
  <c r="AW113" i="28"/>
  <c r="AW120" i="28"/>
  <c r="BH8" i="28"/>
  <c r="BH29" i="28"/>
  <c r="BH26" i="28"/>
  <c r="BH129" i="30"/>
  <c r="BH137" i="30"/>
  <c r="BA146" i="30"/>
  <c r="BF145" i="30"/>
  <c r="BA75" i="28"/>
  <c r="BA102" i="28"/>
  <c r="BA94" i="28"/>
  <c r="BB145" i="30"/>
  <c r="AN313" i="27"/>
  <c r="AN315" i="27"/>
  <c r="AN177" i="27"/>
  <c r="AN304" i="27"/>
  <c r="AN40" i="27"/>
  <c r="AG40" i="15"/>
  <c r="AG27" i="15"/>
  <c r="AX217" i="27"/>
  <c r="AX222" i="27"/>
  <c r="AX192" i="27"/>
  <c r="AX183" i="28"/>
  <c r="AX187" i="28"/>
  <c r="AX186" i="28"/>
  <c r="AX100" i="28"/>
  <c r="AX192" i="28"/>
  <c r="AX197" i="28"/>
  <c r="AX108" i="28"/>
  <c r="AX93" i="28"/>
  <c r="AX112" i="28"/>
  <c r="AX116" i="28"/>
  <c r="AX117" i="28"/>
  <c r="AX199" i="28"/>
  <c r="AX168" i="28"/>
  <c r="AX162" i="28"/>
  <c r="AX25" i="27"/>
  <c r="AX27" i="27"/>
  <c r="AX156" i="27"/>
  <c r="AX80" i="27"/>
  <c r="AH14" i="15"/>
  <c r="AX87" i="28"/>
  <c r="AX33" i="28"/>
  <c r="AX38" i="28"/>
  <c r="AX40" i="28"/>
  <c r="AX176" i="28"/>
  <c r="AX177" i="28"/>
  <c r="AH34" i="15"/>
  <c r="AX9" i="27"/>
  <c r="BH17" i="33"/>
  <c r="BK14" i="33"/>
  <c r="BK10" i="33"/>
  <c r="BI14" i="33"/>
  <c r="BI10" i="33"/>
  <c r="BL7" i="33"/>
  <c r="BJ14" i="32"/>
  <c r="BJ10" i="32"/>
  <c r="BI14" i="32"/>
  <c r="BI10" i="32"/>
  <c r="BJ30" i="32"/>
  <c r="BK15" i="32"/>
  <c r="BL7" i="32"/>
  <c r="BL15" i="32"/>
  <c r="BK31" i="32"/>
  <c r="BL31" i="32"/>
  <c r="BL24" i="32"/>
  <c r="BK23" i="32"/>
  <c r="BH18" i="32"/>
  <c r="BH39" i="32"/>
  <c r="BH45" i="32"/>
  <c r="BH37" i="31"/>
  <c r="BH40" i="31"/>
  <c r="BH42" i="31"/>
  <c r="BI34" i="31"/>
  <c r="BI22" i="31"/>
  <c r="BF19" i="31"/>
  <c r="BF18" i="31"/>
  <c r="BF7" i="31"/>
  <c r="BF14" i="31"/>
  <c r="BF6" i="31"/>
  <c r="BH24" i="31"/>
  <c r="BH27" i="31"/>
  <c r="BG8" i="31"/>
  <c r="BG29" i="31"/>
  <c r="BJ276" i="27"/>
  <c r="BJ321" i="27"/>
  <c r="BI323" i="27"/>
  <c r="BI115" i="27"/>
  <c r="BU280" i="27"/>
  <c r="BH280" i="27"/>
  <c r="BJ254" i="27"/>
  <c r="BJ257" i="27"/>
  <c r="BK248" i="27"/>
  <c r="BK131" i="27"/>
  <c r="BH138" i="27"/>
  <c r="BJ122" i="27"/>
  <c r="BI129" i="27"/>
  <c r="BJ322" i="27"/>
  <c r="BI134" i="27"/>
  <c r="BI136" i="27"/>
  <c r="BK252" i="27"/>
  <c r="BJ256" i="27"/>
  <c r="BJ146" i="30"/>
  <c r="BJ75" i="28"/>
  <c r="BJ102" i="28"/>
  <c r="BJ94" i="28"/>
  <c r="AZ25" i="28"/>
  <c r="AZ35" i="28"/>
  <c r="AZ39" i="28"/>
  <c r="AJ8" i="15"/>
  <c r="AJ14" i="15"/>
  <c r="AZ7" i="27"/>
  <c r="AZ78" i="27"/>
  <c r="AZ13" i="27"/>
  <c r="AZ19" i="28"/>
  <c r="BJ8" i="28"/>
  <c r="BJ29" i="28"/>
  <c r="BJ26" i="28"/>
  <c r="BJ129" i="30"/>
  <c r="BJ137" i="30"/>
  <c r="BJ131" i="30"/>
  <c r="AY19" i="28"/>
  <c r="BE79" i="28"/>
  <c r="BE88" i="28"/>
  <c r="AZ183" i="27"/>
  <c r="AZ178" i="28"/>
  <c r="AZ84" i="28"/>
  <c r="AZ95" i="28"/>
  <c r="AZ90" i="28"/>
  <c r="AZ80" i="28"/>
  <c r="AZ81" i="28"/>
  <c r="AZ185" i="28"/>
  <c r="AZ115" i="28"/>
  <c r="AZ89" i="28"/>
  <c r="AZ86" i="28"/>
  <c r="AZ161" i="28"/>
  <c r="AZ85" i="28"/>
  <c r="BE16" i="28"/>
  <c r="BE151" i="28"/>
  <c r="BE6" i="27"/>
  <c r="BE172" i="28"/>
  <c r="BE13" i="28"/>
  <c r="BE27" i="28"/>
  <c r="BE18" i="28"/>
  <c r="BE21" i="28"/>
  <c r="BE22" i="28"/>
  <c r="BE17" i="28"/>
  <c r="BE148" i="28"/>
  <c r="AZ131" i="28"/>
  <c r="AZ126" i="28"/>
  <c r="BE143" i="30"/>
  <c r="BE138" i="30"/>
  <c r="BE151" i="30"/>
  <c r="BE67" i="27"/>
  <c r="BE69" i="27"/>
  <c r="BE107" i="28"/>
  <c r="BE99" i="28"/>
  <c r="BE121" i="28"/>
  <c r="AZ143" i="30"/>
  <c r="AZ138" i="30"/>
  <c r="AZ151" i="30"/>
  <c r="AY143" i="30"/>
  <c r="AY138" i="30"/>
  <c r="AY151" i="30"/>
  <c r="AX106" i="27"/>
  <c r="AX117" i="27"/>
  <c r="BI17" i="33"/>
  <c r="BI128" i="30"/>
  <c r="AY25" i="28"/>
  <c r="AY35" i="28"/>
  <c r="AY39" i="28"/>
  <c r="BD67" i="27"/>
  <c r="BD69" i="27"/>
  <c r="BD99" i="28"/>
  <c r="BD121" i="28"/>
  <c r="BD107" i="28"/>
  <c r="AY13" i="27"/>
  <c r="AI8" i="15"/>
  <c r="AI14" i="15"/>
  <c r="AY78" i="27"/>
  <c r="AY7" i="27"/>
  <c r="BD148" i="28"/>
  <c r="BD16" i="28"/>
  <c r="BD151" i="28"/>
  <c r="BD17" i="28"/>
  <c r="BD6" i="27"/>
  <c r="BD13" i="28"/>
  <c r="BD18" i="28"/>
  <c r="BD21" i="28"/>
  <c r="BD172" i="28"/>
  <c r="BD22" i="28"/>
  <c r="BD27" i="28"/>
  <c r="BD143" i="30"/>
  <c r="BD138" i="30"/>
  <c r="BD151" i="30"/>
  <c r="AY84" i="28"/>
  <c r="AY85" i="28"/>
  <c r="AY89" i="28"/>
  <c r="AY161" i="28"/>
  <c r="AY90" i="28"/>
  <c r="AY115" i="28"/>
  <c r="AY95" i="28"/>
  <c r="AY80" i="28"/>
  <c r="AY86" i="28"/>
  <c r="AY185" i="28"/>
  <c r="AY81" i="28"/>
  <c r="AY131" i="28"/>
  <c r="AY126" i="28"/>
  <c r="AY178" i="28"/>
  <c r="AY183" i="27"/>
  <c r="BD79" i="28"/>
  <c r="BD88" i="28"/>
  <c r="BF146" i="30"/>
  <c r="BF75" i="28"/>
  <c r="BF102" i="28"/>
  <c r="BF94" i="28"/>
  <c r="BG94" i="28"/>
  <c r="BG145" i="30"/>
  <c r="BC79" i="28"/>
  <c r="BF12" i="28"/>
  <c r="BF20" i="28"/>
  <c r="BH12" i="28"/>
  <c r="AW122" i="28"/>
  <c r="AW135" i="28"/>
  <c r="AW125" i="28"/>
  <c r="AW130" i="28"/>
  <c r="BF34" i="28"/>
  <c r="BK17" i="33"/>
  <c r="BK128" i="30"/>
  <c r="AW71" i="27"/>
  <c r="AW74" i="27"/>
  <c r="BB136" i="30"/>
  <c r="BB133" i="30"/>
  <c r="BB141" i="30"/>
  <c r="BG8" i="28"/>
  <c r="BG29" i="28"/>
  <c r="BG137" i="30"/>
  <c r="BG129" i="30"/>
  <c r="BA16" i="28"/>
  <c r="BA27" i="28"/>
  <c r="BA17" i="28"/>
  <c r="BA6" i="27"/>
  <c r="BA18" i="28"/>
  <c r="BA21" i="28"/>
  <c r="BA172" i="28"/>
  <c r="BA22" i="28"/>
  <c r="BA13" i="28"/>
  <c r="BA148" i="28"/>
  <c r="BA151" i="28"/>
  <c r="BB12" i="28"/>
  <c r="AG69" i="15"/>
  <c r="BN69" i="15"/>
  <c r="AW34" i="27"/>
  <c r="BS33" i="27"/>
  <c r="AW35" i="27"/>
  <c r="BS17" i="27"/>
  <c r="AG53" i="15"/>
  <c r="AG61" i="15"/>
  <c r="AW18" i="27"/>
  <c r="AW19" i="27"/>
  <c r="AW23" i="27"/>
  <c r="BA143" i="30"/>
  <c r="BA138" i="30"/>
  <c r="BA151" i="30"/>
  <c r="BG26" i="28"/>
  <c r="BC16" i="28"/>
  <c r="BC27" i="28"/>
  <c r="BC6" i="27"/>
  <c r="BC148" i="28"/>
  <c r="BC21" i="28"/>
  <c r="BC172" i="28"/>
  <c r="BC151" i="28"/>
  <c r="BC18" i="28"/>
  <c r="BC22" i="28"/>
  <c r="BC17" i="28"/>
  <c r="BC13" i="28"/>
  <c r="BF131" i="30"/>
  <c r="AN161" i="27"/>
  <c r="AN43" i="27"/>
  <c r="X77" i="15"/>
  <c r="BB146" i="30"/>
  <c r="BB75" i="28"/>
  <c r="BB102" i="28"/>
  <c r="BB149" i="30"/>
  <c r="BC136" i="30"/>
  <c r="BC141" i="30"/>
  <c r="BC133" i="30"/>
  <c r="BH102" i="28"/>
  <c r="BH94" i="28"/>
  <c r="BH131" i="30"/>
  <c r="BH146" i="30"/>
  <c r="BH75" i="28"/>
  <c r="BH34" i="28"/>
  <c r="AV72" i="27"/>
  <c r="AV75" i="27"/>
  <c r="AV76" i="27"/>
  <c r="AN236" i="27"/>
  <c r="AN230" i="27"/>
  <c r="BA67" i="27"/>
  <c r="BA69" i="27"/>
  <c r="BA107" i="28"/>
  <c r="BA99" i="28"/>
  <c r="BA121" i="28"/>
  <c r="BB94" i="28"/>
  <c r="AV294" i="27"/>
  <c r="AV127" i="28"/>
  <c r="AV132" i="28"/>
  <c r="AV136" i="28"/>
  <c r="AV137" i="28"/>
  <c r="BA79" i="28"/>
  <c r="BA88" i="28"/>
  <c r="BC20" i="28"/>
  <c r="BC99" i="28"/>
  <c r="BC121" i="28"/>
  <c r="BC107" i="28"/>
  <c r="BC67" i="27"/>
  <c r="BC69" i="27"/>
  <c r="AX106" i="28"/>
  <c r="AX111" i="28"/>
  <c r="AX113" i="28"/>
  <c r="AX98" i="28"/>
  <c r="AX120" i="28"/>
  <c r="AX190" i="28"/>
  <c r="AX195" i="28"/>
  <c r="AX63" i="27"/>
  <c r="AX65" i="27"/>
  <c r="AX201" i="28"/>
  <c r="AX200" i="28"/>
  <c r="AX182" i="28"/>
  <c r="AX191" i="28"/>
  <c r="AX196" i="28"/>
  <c r="AH27" i="15"/>
  <c r="AH40" i="15"/>
  <c r="AX22" i="27"/>
  <c r="AX169" i="28"/>
  <c r="AX170" i="28"/>
  <c r="AX33" i="27"/>
  <c r="AX17" i="27"/>
  <c r="AX28" i="27"/>
  <c r="AX29" i="27"/>
  <c r="BL10" i="33"/>
  <c r="BL17" i="33"/>
  <c r="BL39" i="33"/>
  <c r="BL14" i="33"/>
  <c r="BL23" i="32"/>
  <c r="BL26" i="32"/>
  <c r="BK30" i="32"/>
  <c r="BK33" i="32"/>
  <c r="BK6" i="32"/>
  <c r="BI18" i="32"/>
  <c r="BI39" i="32"/>
  <c r="BI45" i="32"/>
  <c r="BJ18" i="32"/>
  <c r="BJ39" i="32"/>
  <c r="BJ45" i="32"/>
  <c r="BJ33" i="32"/>
  <c r="BL30" i="32"/>
  <c r="BL33" i="32"/>
  <c r="BF12" i="31"/>
  <c r="BG6" i="31"/>
  <c r="BH8" i="31"/>
  <c r="BH29" i="31"/>
  <c r="BF13" i="31"/>
  <c r="BG7" i="31"/>
  <c r="BG14" i="31"/>
  <c r="BI24" i="31"/>
  <c r="BI27" i="31"/>
  <c r="BJ34" i="31"/>
  <c r="BI42" i="31"/>
  <c r="BI37" i="31"/>
  <c r="BI40" i="31"/>
  <c r="BJ22" i="31"/>
  <c r="BL131" i="27"/>
  <c r="BK256" i="27"/>
  <c r="BL252" i="27"/>
  <c r="BL256" i="27"/>
  <c r="BL248" i="27"/>
  <c r="BL254" i="27"/>
  <c r="BL257" i="27"/>
  <c r="BK254" i="27"/>
  <c r="BK257" i="27"/>
  <c r="BI280" i="27"/>
  <c r="BK322" i="27"/>
  <c r="BJ134" i="27"/>
  <c r="BJ136" i="27"/>
  <c r="BK321" i="27"/>
  <c r="BJ323" i="27"/>
  <c r="BJ115" i="27"/>
  <c r="BI138" i="27"/>
  <c r="BK276" i="27"/>
  <c r="BK122" i="27"/>
  <c r="BJ129" i="27"/>
  <c r="BJ138" i="27"/>
  <c r="AZ87" i="28"/>
  <c r="BA19" i="28"/>
  <c r="BE19" i="28"/>
  <c r="AZ153" i="30"/>
  <c r="AZ152" i="30"/>
  <c r="BE84" i="28"/>
  <c r="BE95" i="28"/>
  <c r="BE80" i="28"/>
  <c r="BE81" i="28"/>
  <c r="BE86" i="28"/>
  <c r="BE90" i="28"/>
  <c r="BE161" i="28"/>
  <c r="BE89" i="28"/>
  <c r="BE185" i="28"/>
  <c r="BE115" i="28"/>
  <c r="BE85" i="28"/>
  <c r="AO8" i="15"/>
  <c r="AO14" i="15"/>
  <c r="BE7" i="27"/>
  <c r="BE78" i="27"/>
  <c r="BE13" i="27"/>
  <c r="BE131" i="28"/>
  <c r="BE126" i="28"/>
  <c r="BJ133" i="30"/>
  <c r="BJ136" i="30"/>
  <c r="BJ141" i="30"/>
  <c r="AY87" i="28"/>
  <c r="BJ34" i="28"/>
  <c r="AZ25" i="27"/>
  <c r="AZ27" i="27"/>
  <c r="AZ168" i="28"/>
  <c r="AZ162" i="28"/>
  <c r="BJ12" i="28"/>
  <c r="BJ20" i="28"/>
  <c r="BE153" i="30"/>
  <c r="BE152" i="30"/>
  <c r="AJ34" i="15"/>
  <c r="AZ9" i="27"/>
  <c r="AZ22" i="27"/>
  <c r="BE35" i="28"/>
  <c r="BE25" i="28"/>
  <c r="BE39" i="28"/>
  <c r="BE178" i="28"/>
  <c r="BE183" i="27"/>
  <c r="AZ116" i="28"/>
  <c r="AZ117" i="28"/>
  <c r="AZ199" i="28"/>
  <c r="AZ80" i="27"/>
  <c r="AZ156" i="27"/>
  <c r="AZ186" i="28"/>
  <c r="AZ187" i="28"/>
  <c r="AY106" i="27"/>
  <c r="AZ106" i="27"/>
  <c r="AZ100" i="28"/>
  <c r="AZ93" i="28"/>
  <c r="AZ108" i="28"/>
  <c r="AZ192" i="28"/>
  <c r="AZ197" i="28"/>
  <c r="AZ112" i="28"/>
  <c r="AZ176" i="28"/>
  <c r="AZ177" i="28"/>
  <c r="AZ38" i="28"/>
  <c r="AZ40" i="28"/>
  <c r="AZ33" i="28"/>
  <c r="BJ67" i="27"/>
  <c r="BJ69" i="27"/>
  <c r="BJ121" i="28"/>
  <c r="BJ99" i="28"/>
  <c r="BJ107" i="28"/>
  <c r="AZ183" i="28"/>
  <c r="BJ79" i="28"/>
  <c r="BJ88" i="28"/>
  <c r="AZ217" i="27"/>
  <c r="AZ192" i="27"/>
  <c r="AZ222" i="27"/>
  <c r="AI34" i="15"/>
  <c r="AY9" i="27"/>
  <c r="AY22" i="27"/>
  <c r="BD126" i="28"/>
  <c r="BD131" i="28"/>
  <c r="BD90" i="28"/>
  <c r="BD86" i="28"/>
  <c r="BD185" i="28"/>
  <c r="BD81" i="28"/>
  <c r="BD85" i="28"/>
  <c r="BD95" i="28"/>
  <c r="BD84" i="28"/>
  <c r="BD161" i="28"/>
  <c r="BD80" i="28"/>
  <c r="BD89" i="28"/>
  <c r="BD115" i="28"/>
  <c r="AY183" i="28"/>
  <c r="AY80" i="27"/>
  <c r="AY156" i="27"/>
  <c r="BD35" i="28"/>
  <c r="BD25" i="28"/>
  <c r="BD39" i="28"/>
  <c r="AY186" i="28"/>
  <c r="AY187" i="28"/>
  <c r="BC19" i="28"/>
  <c r="BD19" i="28"/>
  <c r="AY153" i="30"/>
  <c r="AY152" i="30"/>
  <c r="AY199" i="28"/>
  <c r="AY116" i="28"/>
  <c r="AY117" i="28"/>
  <c r="AY168" i="28"/>
  <c r="AY25" i="27"/>
  <c r="AY27" i="27"/>
  <c r="AY162" i="28"/>
  <c r="BD152" i="30"/>
  <c r="BD153" i="30"/>
  <c r="BD178" i="28"/>
  <c r="BD183" i="27"/>
  <c r="BI8" i="28"/>
  <c r="BI29" i="28"/>
  <c r="BI26" i="28"/>
  <c r="BI129" i="30"/>
  <c r="BI137" i="30"/>
  <c r="BI145" i="30"/>
  <c r="BD13" i="27"/>
  <c r="BD7" i="27"/>
  <c r="BD78" i="27"/>
  <c r="AN8" i="15"/>
  <c r="AY217" i="27"/>
  <c r="AY222" i="27"/>
  <c r="AY192" i="27"/>
  <c r="AY38" i="28"/>
  <c r="AY40" i="28"/>
  <c r="AY33" i="28"/>
  <c r="AY176" i="28"/>
  <c r="AY177" i="28"/>
  <c r="AY100" i="28"/>
  <c r="AY108" i="28"/>
  <c r="AY93" i="28"/>
  <c r="AY192" i="28"/>
  <c r="AY197" i="28"/>
  <c r="AY112" i="28"/>
  <c r="BC25" i="28"/>
  <c r="BC35" i="28"/>
  <c r="BC39" i="28"/>
  <c r="BA153" i="30"/>
  <c r="BA152" i="30"/>
  <c r="BA7" i="27"/>
  <c r="AK8" i="15"/>
  <c r="AK14" i="15"/>
  <c r="BA78" i="27"/>
  <c r="BA13" i="27"/>
  <c r="AW132" i="28"/>
  <c r="AW127" i="28"/>
  <c r="AW294" i="27"/>
  <c r="AW136" i="28"/>
  <c r="AW137" i="28"/>
  <c r="BG107" i="28"/>
  <c r="BG121" i="28"/>
  <c r="BG99" i="28"/>
  <c r="BG67" i="27"/>
  <c r="BG69" i="27"/>
  <c r="BF16" i="28"/>
  <c r="BF22" i="28"/>
  <c r="BF6" i="27"/>
  <c r="BF148" i="28"/>
  <c r="BF172" i="28"/>
  <c r="BF151" i="28"/>
  <c r="BF21" i="28"/>
  <c r="BF27" i="28"/>
  <c r="BF18" i="28"/>
  <c r="BF13" i="28"/>
  <c r="BF17" i="28"/>
  <c r="BC89" i="28"/>
  <c r="BC80" i="28"/>
  <c r="BC86" i="28"/>
  <c r="BC90" i="28"/>
  <c r="BC85" i="28"/>
  <c r="BC161" i="28"/>
  <c r="BC84" i="28"/>
  <c r="BC185" i="28"/>
  <c r="BC95" i="28"/>
  <c r="BC115" i="28"/>
  <c r="BC81" i="28"/>
  <c r="BC13" i="27"/>
  <c r="BC78" i="27"/>
  <c r="AM8" i="15"/>
  <c r="BC7" i="27"/>
  <c r="AN46" i="27"/>
  <c r="AN49" i="27"/>
  <c r="AN44" i="27"/>
  <c r="X101" i="15"/>
  <c r="BH16" i="28"/>
  <c r="BH148" i="28"/>
  <c r="BH172" i="28"/>
  <c r="BH151" i="28"/>
  <c r="BH17" i="28"/>
  <c r="BH21" i="28"/>
  <c r="BH18" i="28"/>
  <c r="BH27" i="28"/>
  <c r="BH22" i="28"/>
  <c r="BH6" i="27"/>
  <c r="BH13" i="28"/>
  <c r="BU8" i="28"/>
  <c r="BC88" i="28"/>
  <c r="BA126" i="28"/>
  <c r="BA131" i="28"/>
  <c r="BG34" i="28"/>
  <c r="BA89" i="28"/>
  <c r="BA84" i="28"/>
  <c r="BA85" i="28"/>
  <c r="BA81" i="28"/>
  <c r="BA115" i="28"/>
  <c r="BA80" i="28"/>
  <c r="BA95" i="28"/>
  <c r="BA86" i="28"/>
  <c r="BA185" i="28"/>
  <c r="BA90" i="28"/>
  <c r="BA161" i="28"/>
  <c r="BB79" i="28"/>
  <c r="BB88" i="28"/>
  <c r="BH79" i="28"/>
  <c r="BH88" i="28"/>
  <c r="BG102" i="28"/>
  <c r="BG149" i="30"/>
  <c r="BG75" i="28"/>
  <c r="BG146" i="30"/>
  <c r="BC138" i="30"/>
  <c r="BC151" i="30"/>
  <c r="BC143" i="30"/>
  <c r="BC131" i="28"/>
  <c r="BC126" i="28"/>
  <c r="BB151" i="30"/>
  <c r="BB138" i="30"/>
  <c r="BB143" i="30"/>
  <c r="BF99" i="28"/>
  <c r="BF121" i="28"/>
  <c r="BF67" i="27"/>
  <c r="BF69" i="27"/>
  <c r="BF107" i="28"/>
  <c r="BK29" i="28"/>
  <c r="BK26" i="28"/>
  <c r="BK8" i="28"/>
  <c r="BK129" i="30"/>
  <c r="BK137" i="30"/>
  <c r="BL128" i="30"/>
  <c r="BA25" i="28"/>
  <c r="BA35" i="28"/>
  <c r="BA39" i="28"/>
  <c r="BH133" i="30"/>
  <c r="BH136" i="30"/>
  <c r="BH141" i="30"/>
  <c r="BF79" i="28"/>
  <c r="BG79" i="28"/>
  <c r="BH20" i="28"/>
  <c r="BG12" i="28"/>
  <c r="BG20" i="28"/>
  <c r="BH121" i="28"/>
  <c r="BH99" i="28"/>
  <c r="BH107" i="28"/>
  <c r="BH67" i="27"/>
  <c r="BH69" i="27"/>
  <c r="BK145" i="30"/>
  <c r="BB67" i="27"/>
  <c r="BB69" i="27"/>
  <c r="BB121" i="28"/>
  <c r="BB99" i="28"/>
  <c r="BB107" i="28"/>
  <c r="BA183" i="27"/>
  <c r="BA178" i="28"/>
  <c r="BB172" i="28"/>
  <c r="BF136" i="30"/>
  <c r="BF133" i="30"/>
  <c r="BF141" i="30"/>
  <c r="BG131" i="30"/>
  <c r="BC178" i="28"/>
  <c r="BC183" i="28"/>
  <c r="BC183" i="27"/>
  <c r="BB20" i="28"/>
  <c r="BT12" i="28"/>
  <c r="BB151" i="28"/>
  <c r="BB16" i="28"/>
  <c r="BB18" i="28"/>
  <c r="BB17" i="28"/>
  <c r="BB148" i="28"/>
  <c r="BB6" i="27"/>
  <c r="BB22" i="28"/>
  <c r="BB21" i="28"/>
  <c r="BB13" i="28"/>
  <c r="BB27" i="28"/>
  <c r="AW72" i="27"/>
  <c r="AW75" i="27"/>
  <c r="AW76" i="27"/>
  <c r="AX34" i="27"/>
  <c r="AX35" i="27"/>
  <c r="AH69" i="15"/>
  <c r="AX71" i="27"/>
  <c r="AX122" i="28"/>
  <c r="AX135" i="28"/>
  <c r="AX125" i="28"/>
  <c r="AX130" i="28"/>
  <c r="AX18" i="27"/>
  <c r="AX19" i="27"/>
  <c r="AH53" i="15"/>
  <c r="AH61" i="15"/>
  <c r="AX23" i="27"/>
  <c r="BK14" i="32"/>
  <c r="BK10" i="32"/>
  <c r="BL6" i="32"/>
  <c r="BL14" i="32"/>
  <c r="BK34" i="31"/>
  <c r="BJ37" i="31"/>
  <c r="BJ40" i="31"/>
  <c r="BJ42" i="31"/>
  <c r="BK22" i="31"/>
  <c r="BL22" i="31"/>
  <c r="BJ27" i="31"/>
  <c r="BJ24" i="31"/>
  <c r="BI29" i="31"/>
  <c r="BI8" i="31"/>
  <c r="BG12" i="31"/>
  <c r="BG17" i="31"/>
  <c r="BG13" i="31"/>
  <c r="BG18" i="31"/>
  <c r="BH14" i="31"/>
  <c r="BH19" i="31"/>
  <c r="BH18" i="31"/>
  <c r="BH7" i="31"/>
  <c r="BH6" i="31"/>
  <c r="BL122" i="27"/>
  <c r="BL129" i="27"/>
  <c r="BL138" i="27"/>
  <c r="BK129" i="27"/>
  <c r="BK138" i="27"/>
  <c r="BL276" i="27"/>
  <c r="BL321" i="27"/>
  <c r="BK323" i="27"/>
  <c r="BK115" i="27"/>
  <c r="BJ280" i="27"/>
  <c r="BL322" i="27"/>
  <c r="BL134" i="27"/>
  <c r="BK134" i="27"/>
  <c r="BK136" i="27"/>
  <c r="BL136" i="27"/>
  <c r="BC87" i="28"/>
  <c r="AY117" i="27"/>
  <c r="BF19" i="28"/>
  <c r="AZ182" i="28"/>
  <c r="AZ191" i="28"/>
  <c r="AZ196" i="28"/>
  <c r="BE183" i="28"/>
  <c r="BJ126" i="28"/>
  <c r="BJ131" i="28"/>
  <c r="AO34" i="15"/>
  <c r="BE9" i="27"/>
  <c r="BE22" i="27"/>
  <c r="BE156" i="27"/>
  <c r="BE80" i="27"/>
  <c r="AJ40" i="15"/>
  <c r="AJ27" i="15"/>
  <c r="BE199" i="28"/>
  <c r="BE116" i="28"/>
  <c r="BE117" i="28"/>
  <c r="AZ63" i="27"/>
  <c r="AZ65" i="27"/>
  <c r="AZ71" i="27"/>
  <c r="AZ111" i="28"/>
  <c r="AZ113" i="28"/>
  <c r="AZ98" i="28"/>
  <c r="AZ106" i="28"/>
  <c r="AZ120" i="28"/>
  <c r="AZ190" i="28"/>
  <c r="AZ195" i="28"/>
  <c r="BJ16" i="28"/>
  <c r="BJ151" i="28"/>
  <c r="BJ6" i="27"/>
  <c r="BJ172" i="28"/>
  <c r="BJ185" i="28"/>
  <c r="BJ27" i="28"/>
  <c r="BJ13" i="28"/>
  <c r="BJ22" i="28"/>
  <c r="BJ17" i="28"/>
  <c r="BJ18" i="28"/>
  <c r="BJ21" i="28"/>
  <c r="BJ148" i="28"/>
  <c r="BE186" i="28"/>
  <c r="BE187" i="28"/>
  <c r="BE38" i="28"/>
  <c r="BE40" i="28"/>
  <c r="BE33" i="28"/>
  <c r="BE176" i="28"/>
  <c r="BE177" i="28"/>
  <c r="AZ169" i="28"/>
  <c r="AZ170" i="28"/>
  <c r="BE168" i="28"/>
  <c r="BE25" i="27"/>
  <c r="BE27" i="27"/>
  <c r="BE162" i="28"/>
  <c r="AZ28" i="27"/>
  <c r="AZ29" i="27"/>
  <c r="AZ33" i="27"/>
  <c r="AZ17" i="27"/>
  <c r="BJ84" i="28"/>
  <c r="BJ161" i="28"/>
  <c r="BJ95" i="28"/>
  <c r="BJ89" i="28"/>
  <c r="BJ80" i="28"/>
  <c r="BJ81" i="28"/>
  <c r="BJ90" i="28"/>
  <c r="BJ86" i="28"/>
  <c r="BJ115" i="28"/>
  <c r="BJ85" i="28"/>
  <c r="AZ201" i="28"/>
  <c r="AZ200" i="28"/>
  <c r="BE192" i="28"/>
  <c r="BE197" i="28"/>
  <c r="BE93" i="28"/>
  <c r="BE108" i="28"/>
  <c r="BE100" i="28"/>
  <c r="BE112" i="28"/>
  <c r="BE87" i="28"/>
  <c r="BD87" i="28"/>
  <c r="BE192" i="27"/>
  <c r="BE222" i="27"/>
  <c r="BE217" i="27"/>
  <c r="BJ138" i="30"/>
  <c r="BJ143" i="30"/>
  <c r="BJ151" i="30"/>
  <c r="BD183" i="28"/>
  <c r="AY170" i="28"/>
  <c r="AY169" i="28"/>
  <c r="BD25" i="27"/>
  <c r="BD27" i="27"/>
  <c r="BD168" i="28"/>
  <c r="BD162" i="28"/>
  <c r="AN14" i="15"/>
  <c r="AY200" i="28"/>
  <c r="AY201" i="28"/>
  <c r="BD93" i="28"/>
  <c r="BD192" i="28"/>
  <c r="BD197" i="28"/>
  <c r="BD100" i="28"/>
  <c r="BD108" i="28"/>
  <c r="BD112" i="28"/>
  <c r="BD156" i="27"/>
  <c r="BD80" i="27"/>
  <c r="AY190" i="28"/>
  <c r="AY195" i="28"/>
  <c r="AY63" i="27"/>
  <c r="AY65" i="27"/>
  <c r="AY98" i="28"/>
  <c r="AY106" i="28"/>
  <c r="AY111" i="28"/>
  <c r="AY113" i="28"/>
  <c r="AY120" i="28"/>
  <c r="BD38" i="28"/>
  <c r="BD40" i="28"/>
  <c r="BD176" i="28"/>
  <c r="BD177" i="28"/>
  <c r="BD33" i="28"/>
  <c r="BD199" i="28"/>
  <c r="BD116" i="28"/>
  <c r="BD117" i="28"/>
  <c r="AN34" i="15"/>
  <c r="AN27" i="15"/>
  <c r="BD9" i="27"/>
  <c r="BD22" i="27"/>
  <c r="BD186" i="28"/>
  <c r="BD187" i="28"/>
  <c r="BI75" i="28"/>
  <c r="BI146" i="30"/>
  <c r="BI102" i="28"/>
  <c r="BI94" i="28"/>
  <c r="BI131" i="30"/>
  <c r="BI34" i="28"/>
  <c r="BD222" i="27"/>
  <c r="BD217" i="27"/>
  <c r="BD192" i="27"/>
  <c r="AY182" i="28"/>
  <c r="AY191" i="28"/>
  <c r="AY196" i="28"/>
  <c r="AY17" i="27"/>
  <c r="AY28" i="27"/>
  <c r="AY29" i="27"/>
  <c r="AY33" i="27"/>
  <c r="BI12" i="28"/>
  <c r="BI20" i="28"/>
  <c r="AI40" i="15"/>
  <c r="AI27" i="15"/>
  <c r="BG84" i="28"/>
  <c r="BG81" i="28"/>
  <c r="BG95" i="28"/>
  <c r="BU79" i="28"/>
  <c r="J12" i="26"/>
  <c r="BG90" i="28"/>
  <c r="BG161" i="28"/>
  <c r="BG89" i="28"/>
  <c r="BG86" i="28"/>
  <c r="BG85" i="28"/>
  <c r="BG80" i="28"/>
  <c r="BG115" i="28"/>
  <c r="BF88" i="28"/>
  <c r="BF126" i="28"/>
  <c r="BF131" i="28"/>
  <c r="BA108" i="28"/>
  <c r="BA93" i="28"/>
  <c r="BA192" i="28"/>
  <c r="BA197" i="28"/>
  <c r="BA100" i="28"/>
  <c r="BA112" i="28"/>
  <c r="BT172" i="28"/>
  <c r="BB178" i="28"/>
  <c r="BB173" i="28"/>
  <c r="BB183" i="27"/>
  <c r="BA183" i="28"/>
  <c r="BH143" i="30"/>
  <c r="BH138" i="30"/>
  <c r="BH151" i="30"/>
  <c r="BH183" i="27"/>
  <c r="BH178" i="28"/>
  <c r="BH183" i="28"/>
  <c r="BA217" i="27"/>
  <c r="BA192" i="27"/>
  <c r="BA222" i="27"/>
  <c r="BA87" i="28"/>
  <c r="AN54" i="27"/>
  <c r="AN146" i="27"/>
  <c r="AN50" i="27"/>
  <c r="AN155" i="27"/>
  <c r="BL29" i="28"/>
  <c r="BL8" i="28"/>
  <c r="BL129" i="30"/>
  <c r="BL137" i="30"/>
  <c r="BK75" i="28"/>
  <c r="BK146" i="30"/>
  <c r="BK102" i="28"/>
  <c r="BK94" i="28"/>
  <c r="BL145" i="30"/>
  <c r="BK131" i="30"/>
  <c r="BG88" i="28"/>
  <c r="AN328" i="27"/>
  <c r="AN330" i="27"/>
  <c r="AN178" i="27"/>
  <c r="X117" i="15"/>
  <c r="X123" i="15"/>
  <c r="AN166" i="27"/>
  <c r="BF35" i="28"/>
  <c r="BF25" i="28"/>
  <c r="BF39" i="28"/>
  <c r="BC186" i="28"/>
  <c r="BC187" i="28"/>
  <c r="BH25" i="28"/>
  <c r="BH35" i="28"/>
  <c r="BH39" i="28"/>
  <c r="AM14" i="15"/>
  <c r="BF143" i="30"/>
  <c r="BF138" i="30"/>
  <c r="BF151" i="30"/>
  <c r="BB39" i="28"/>
  <c r="BB35" i="28"/>
  <c r="BB25" i="28"/>
  <c r="BK12" i="28"/>
  <c r="BK20" i="28"/>
  <c r="BH86" i="28"/>
  <c r="BH95" i="28"/>
  <c r="BH89" i="28"/>
  <c r="BH80" i="28"/>
  <c r="BH90" i="28"/>
  <c r="BH84" i="28"/>
  <c r="BH85" i="28"/>
  <c r="BH161" i="28"/>
  <c r="BH81" i="28"/>
  <c r="BH115" i="28"/>
  <c r="BH185" i="28"/>
  <c r="BC156" i="27"/>
  <c r="BC80" i="27"/>
  <c r="BF183" i="27"/>
  <c r="BF178" i="28"/>
  <c r="BK34" i="28"/>
  <c r="BL26" i="28"/>
  <c r="AM34" i="15"/>
  <c r="AM27" i="15"/>
  <c r="BC9" i="27"/>
  <c r="BC22" i="27"/>
  <c r="BB152" i="30"/>
  <c r="BB153" i="30"/>
  <c r="BH19" i="28"/>
  <c r="BA38" i="28"/>
  <c r="BA40" i="28"/>
  <c r="BA33" i="28"/>
  <c r="BA176" i="28"/>
  <c r="BB176" i="28"/>
  <c r="BC153" i="30"/>
  <c r="BC152" i="30"/>
  <c r="BG172" i="28"/>
  <c r="BB115" i="28"/>
  <c r="BB85" i="28"/>
  <c r="BB80" i="28"/>
  <c r="BB89" i="28"/>
  <c r="BT79" i="28"/>
  <c r="I12" i="26"/>
  <c r="BB90" i="28"/>
  <c r="BB84" i="28"/>
  <c r="BB86" i="28"/>
  <c r="BB81" i="28"/>
  <c r="BB161" i="28"/>
  <c r="BB95" i="28"/>
  <c r="BB185" i="28"/>
  <c r="AP8" i="15"/>
  <c r="AP14" i="15"/>
  <c r="BF7" i="27"/>
  <c r="BF78" i="27"/>
  <c r="BG78" i="27"/>
  <c r="BF13" i="27"/>
  <c r="BG13" i="27"/>
  <c r="BG133" i="30"/>
  <c r="BG136" i="30"/>
  <c r="BG141" i="30"/>
  <c r="BA186" i="28"/>
  <c r="BA187" i="28"/>
  <c r="BC162" i="28"/>
  <c r="BC168" i="28"/>
  <c r="BC25" i="27"/>
  <c r="BC27" i="27"/>
  <c r="BG126" i="28"/>
  <c r="BG131" i="28"/>
  <c r="BB19" i="28"/>
  <c r="BC192" i="27"/>
  <c r="BC222" i="27"/>
  <c r="BC217" i="27"/>
  <c r="BH126" i="28"/>
  <c r="BH131" i="28"/>
  <c r="BA25" i="27"/>
  <c r="BA27" i="27"/>
  <c r="BA168" i="28"/>
  <c r="BA162" i="28"/>
  <c r="BH13" i="27"/>
  <c r="AR8" i="15"/>
  <c r="BH7" i="27"/>
  <c r="BH78" i="27"/>
  <c r="BC116" i="28"/>
  <c r="BC117" i="28"/>
  <c r="BC199" i="28"/>
  <c r="BF89" i="28"/>
  <c r="BF80" i="28"/>
  <c r="BF185" i="28"/>
  <c r="BF86" i="28"/>
  <c r="BF115" i="28"/>
  <c r="BF85" i="28"/>
  <c r="BF95" i="28"/>
  <c r="BF84" i="28"/>
  <c r="BF90" i="28"/>
  <c r="BF161" i="28"/>
  <c r="BF81" i="28"/>
  <c r="BA117" i="28"/>
  <c r="BA199" i="28"/>
  <c r="BA116" i="28"/>
  <c r="AL8" i="15"/>
  <c r="AL14" i="15"/>
  <c r="BT6" i="27"/>
  <c r="BB7" i="27"/>
  <c r="AK34" i="15"/>
  <c r="BA9" i="27"/>
  <c r="BA22" i="27"/>
  <c r="BB13" i="27"/>
  <c r="BB131" i="28"/>
  <c r="BB126" i="28"/>
  <c r="X109" i="15"/>
  <c r="X113" i="15"/>
  <c r="BA156" i="27"/>
  <c r="BA80" i="27"/>
  <c r="BB78" i="27"/>
  <c r="BU12" i="28"/>
  <c r="BG18" i="28"/>
  <c r="BG6" i="27"/>
  <c r="BG22" i="28"/>
  <c r="BG27" i="28"/>
  <c r="BG21" i="28"/>
  <c r="BG17" i="28"/>
  <c r="BG151" i="28"/>
  <c r="BG148" i="28"/>
  <c r="BG16" i="28"/>
  <c r="BG13" i="28"/>
  <c r="BC93" i="28"/>
  <c r="BC100" i="28"/>
  <c r="BC112" i="28"/>
  <c r="BC108" i="28"/>
  <c r="BC192" i="28"/>
  <c r="BC197" i="28"/>
  <c r="BC38" i="28"/>
  <c r="BC40" i="28"/>
  <c r="BC176" i="28"/>
  <c r="BC177" i="28"/>
  <c r="BC33" i="28"/>
  <c r="AX294" i="27"/>
  <c r="AX132" i="28"/>
  <c r="AX127" i="28"/>
  <c r="AX136" i="28"/>
  <c r="AX137" i="28"/>
  <c r="AX72" i="27"/>
  <c r="AX75" i="27"/>
  <c r="AX76" i="27"/>
  <c r="BA106" i="27"/>
  <c r="AZ117" i="27"/>
  <c r="AX74" i="27"/>
  <c r="BL11" i="32"/>
  <c r="BK18" i="32"/>
  <c r="BK39" i="32"/>
  <c r="BK45" i="32"/>
  <c r="BL10" i="32"/>
  <c r="BI14" i="31"/>
  <c r="BI19" i="31"/>
  <c r="BI18" i="31"/>
  <c r="BI7" i="31"/>
  <c r="BI13" i="31"/>
  <c r="BI6" i="31"/>
  <c r="BI12" i="31"/>
  <c r="BH12" i="31"/>
  <c r="BL24" i="31"/>
  <c r="BL27" i="31"/>
  <c r="BL70" i="31"/>
  <c r="BJ29" i="31"/>
  <c r="BJ8" i="31"/>
  <c r="BH13" i="31"/>
  <c r="BK24" i="31"/>
  <c r="BK27" i="31"/>
  <c r="BG19" i="31"/>
  <c r="BL34" i="31"/>
  <c r="BK37" i="31"/>
  <c r="BK40" i="31"/>
  <c r="BK42" i="31"/>
  <c r="BK280" i="27"/>
  <c r="BL115" i="27"/>
  <c r="BL323" i="27"/>
  <c r="BV276" i="27"/>
  <c r="AN53" i="27"/>
  <c r="BJ87" i="28"/>
  <c r="BF87" i="28"/>
  <c r="BA177" i="28"/>
  <c r="BA191" i="28"/>
  <c r="BA196" i="28"/>
  <c r="BE182" i="28"/>
  <c r="BE191" i="28"/>
  <c r="BE196" i="28"/>
  <c r="BJ186" i="28"/>
  <c r="BJ187" i="28"/>
  <c r="BJ116" i="28"/>
  <c r="BJ199" i="28"/>
  <c r="BJ117" i="28"/>
  <c r="AZ74" i="27"/>
  <c r="AZ72" i="27"/>
  <c r="AZ75" i="27"/>
  <c r="AZ76" i="27"/>
  <c r="BE201" i="28"/>
  <c r="BE200" i="28"/>
  <c r="BJ153" i="30"/>
  <c r="BJ152" i="30"/>
  <c r="BJ100" i="28"/>
  <c r="BJ93" i="28"/>
  <c r="BJ108" i="28"/>
  <c r="BJ112" i="28"/>
  <c r="BJ168" i="28"/>
  <c r="BJ162" i="28"/>
  <c r="BJ25" i="27"/>
  <c r="BJ27" i="27"/>
  <c r="AO40" i="15"/>
  <c r="AO27" i="15"/>
  <c r="AJ53" i="15"/>
  <c r="AJ61" i="15"/>
  <c r="AZ18" i="27"/>
  <c r="AZ19" i="27"/>
  <c r="AZ23" i="27"/>
  <c r="BJ35" i="28"/>
  <c r="BJ25" i="28"/>
  <c r="BJ39" i="28"/>
  <c r="AJ69" i="15"/>
  <c r="AZ35" i="27"/>
  <c r="AZ34" i="27"/>
  <c r="BJ178" i="28"/>
  <c r="BJ183" i="28"/>
  <c r="BJ183" i="27"/>
  <c r="AT8" i="15"/>
  <c r="BJ13" i="27"/>
  <c r="BJ7" i="27"/>
  <c r="BJ78" i="27"/>
  <c r="BJ19" i="28"/>
  <c r="BE63" i="27"/>
  <c r="BE65" i="27"/>
  <c r="BE111" i="28"/>
  <c r="BE113" i="28"/>
  <c r="BE98" i="28"/>
  <c r="BE106" i="28"/>
  <c r="BE120" i="28"/>
  <c r="BE190" i="28"/>
  <c r="BE195" i="28"/>
  <c r="BE29" i="27"/>
  <c r="BE28" i="27"/>
  <c r="BE33" i="27"/>
  <c r="BE17" i="27"/>
  <c r="BE170" i="28"/>
  <c r="BE169" i="28"/>
  <c r="AZ122" i="28"/>
  <c r="AZ135" i="28"/>
  <c r="AZ130" i="28"/>
  <c r="AZ125" i="28"/>
  <c r="BD182" i="28"/>
  <c r="BD191" i="28"/>
  <c r="BD196" i="28"/>
  <c r="BD200" i="28"/>
  <c r="BD201" i="28"/>
  <c r="BD170" i="28"/>
  <c r="BD169" i="28"/>
  <c r="AY130" i="28"/>
  <c r="AY122" i="28"/>
  <c r="AY125" i="28"/>
  <c r="BD63" i="27"/>
  <c r="BD65" i="27"/>
  <c r="BD106" i="28"/>
  <c r="BD190" i="28"/>
  <c r="BD195" i="28"/>
  <c r="BD111" i="28"/>
  <c r="BD113" i="28"/>
  <c r="BD120" i="28"/>
  <c r="BD98" i="28"/>
  <c r="AY35" i="27"/>
  <c r="AI69" i="15"/>
  <c r="AY34" i="27"/>
  <c r="AY18" i="27"/>
  <c r="AY19" i="27"/>
  <c r="AI53" i="15"/>
  <c r="AI61" i="15"/>
  <c r="AY23" i="27"/>
  <c r="BI141" i="30"/>
  <c r="BI136" i="30"/>
  <c r="BI133" i="30"/>
  <c r="BI79" i="28"/>
  <c r="BI88" i="28"/>
  <c r="BH87" i="28"/>
  <c r="AY71" i="27"/>
  <c r="AY74" i="27"/>
  <c r="BI121" i="28"/>
  <c r="BI99" i="28"/>
  <c r="BI107" i="28"/>
  <c r="BI67" i="27"/>
  <c r="BI69" i="27"/>
  <c r="BI16" i="28"/>
  <c r="BI148" i="28"/>
  <c r="BI151" i="28"/>
  <c r="BI6" i="27"/>
  <c r="BI13" i="28"/>
  <c r="BI22" i="28"/>
  <c r="BI18" i="28"/>
  <c r="BI172" i="28"/>
  <c r="BI27" i="28"/>
  <c r="BI21" i="28"/>
  <c r="BI17" i="28"/>
  <c r="AN40" i="15"/>
  <c r="BD29" i="27"/>
  <c r="BD17" i="27"/>
  <c r="BD33" i="27"/>
  <c r="BD28" i="27"/>
  <c r="BU6" i="27"/>
  <c r="AQ8" i="15"/>
  <c r="AQ14" i="15"/>
  <c r="BG7" i="27"/>
  <c r="BF162" i="28"/>
  <c r="BF25" i="27"/>
  <c r="BF27" i="27"/>
  <c r="BF168" i="28"/>
  <c r="BH33" i="28"/>
  <c r="BH38" i="28"/>
  <c r="BH40" i="28"/>
  <c r="BH176" i="28"/>
  <c r="BB186" i="28"/>
  <c r="BB187" i="28"/>
  <c r="BB108" i="28"/>
  <c r="BB93" i="28"/>
  <c r="BB192" i="28"/>
  <c r="BB197" i="28"/>
  <c r="BB100" i="28"/>
  <c r="BB112" i="28"/>
  <c r="BF116" i="28"/>
  <c r="BF199" i="28"/>
  <c r="BF117" i="28"/>
  <c r="BB14" i="27"/>
  <c r="AL34" i="15"/>
  <c r="BB9" i="27"/>
  <c r="BT13" i="27"/>
  <c r="BF192" i="27"/>
  <c r="BF222" i="27"/>
  <c r="BF217" i="27"/>
  <c r="BL149" i="30"/>
  <c r="BL146" i="30"/>
  <c r="BL75" i="28"/>
  <c r="BL102" i="28"/>
  <c r="BK22" i="28"/>
  <c r="BK16" i="28"/>
  <c r="BK148" i="28"/>
  <c r="BK21" i="28"/>
  <c r="BK6" i="27"/>
  <c r="BK18" i="28"/>
  <c r="BK151" i="28"/>
  <c r="BK27" i="28"/>
  <c r="BK17" i="28"/>
  <c r="BK172" i="28"/>
  <c r="BK13" i="28"/>
  <c r="BL12" i="28"/>
  <c r="BL20" i="28"/>
  <c r="BB38" i="28"/>
  <c r="BB40" i="28"/>
  <c r="BB33" i="28"/>
  <c r="BK133" i="30"/>
  <c r="BK141" i="30"/>
  <c r="BK136" i="30"/>
  <c r="BL131" i="30"/>
  <c r="BB117" i="28"/>
  <c r="BB199" i="28"/>
  <c r="BB116" i="28"/>
  <c r="BT115" i="28"/>
  <c r="I16" i="26"/>
  <c r="BU78" i="27"/>
  <c r="J20" i="26"/>
  <c r="J23" i="26"/>
  <c r="BG79" i="27"/>
  <c r="BG156" i="27"/>
  <c r="BF152" i="30"/>
  <c r="BF153" i="30"/>
  <c r="BK67" i="27"/>
  <c r="BK69" i="27"/>
  <c r="BK107" i="28"/>
  <c r="BK121" i="28"/>
  <c r="BK99" i="28"/>
  <c r="BL94" i="28"/>
  <c r="BA29" i="27"/>
  <c r="BA33" i="27"/>
  <c r="BA17" i="27"/>
  <c r="BA28" i="27"/>
  <c r="BA190" i="28"/>
  <c r="BA195" i="28"/>
  <c r="BA106" i="28"/>
  <c r="BA120" i="28"/>
  <c r="BA98" i="28"/>
  <c r="BA63" i="27"/>
  <c r="BA65" i="27"/>
  <c r="BA111" i="28"/>
  <c r="BA113" i="28"/>
  <c r="BB162" i="28"/>
  <c r="BB25" i="27"/>
  <c r="BB27" i="27"/>
  <c r="BB168" i="28"/>
  <c r="BL34" i="28"/>
  <c r="BC200" i="28"/>
  <c r="BC201" i="28"/>
  <c r="AK40" i="15"/>
  <c r="AK27" i="15"/>
  <c r="BG183" i="27"/>
  <c r="BG80" i="27"/>
  <c r="BU172" i="28"/>
  <c r="BG178" i="28"/>
  <c r="BG192" i="28"/>
  <c r="BG197" i="28"/>
  <c r="BG173" i="28"/>
  <c r="BA182" i="28"/>
  <c r="BG25" i="27"/>
  <c r="BG27" i="27"/>
  <c r="BG168" i="28"/>
  <c r="BG162" i="28"/>
  <c r="BF100" i="28"/>
  <c r="BF108" i="28"/>
  <c r="BF93" i="28"/>
  <c r="BF192" i="28"/>
  <c r="BF197" i="28"/>
  <c r="BF112" i="28"/>
  <c r="BK79" i="28"/>
  <c r="BK88" i="28"/>
  <c r="BF33" i="28"/>
  <c r="BF38" i="28"/>
  <c r="BF40" i="28"/>
  <c r="BF176" i="28"/>
  <c r="BG176" i="28"/>
  <c r="I9" i="26"/>
  <c r="I10" i="26"/>
  <c r="BH186" i="28"/>
  <c r="BH187" i="28"/>
  <c r="BB222" i="27"/>
  <c r="BB217" i="27"/>
  <c r="BB192" i="27"/>
  <c r="BT183" i="27"/>
  <c r="I30" i="26"/>
  <c r="J14" i="26"/>
  <c r="AN59" i="27"/>
  <c r="AN142" i="27"/>
  <c r="AN145" i="27"/>
  <c r="AN147" i="27"/>
  <c r="AN149" i="27"/>
  <c r="AC44" i="1"/>
  <c r="AC45" i="1"/>
  <c r="BB156" i="27"/>
  <c r="BB80" i="27"/>
  <c r="BT78" i="27"/>
  <c r="I20" i="26"/>
  <c r="I23" i="26"/>
  <c r="BB79" i="27"/>
  <c r="BB87" i="28"/>
  <c r="BF187" i="28"/>
  <c r="BF186" i="28"/>
  <c r="BF183" i="28"/>
  <c r="BC63" i="27"/>
  <c r="BC65" i="27"/>
  <c r="BC71" i="27"/>
  <c r="BC75" i="27"/>
  <c r="BC76" i="27"/>
  <c r="BC111" i="28"/>
  <c r="BC113" i="28"/>
  <c r="BC106" i="28"/>
  <c r="BC98" i="28"/>
  <c r="BC190" i="28"/>
  <c r="BC195" i="28"/>
  <c r="BC120" i="28"/>
  <c r="AR14" i="15"/>
  <c r="AW8" i="15"/>
  <c r="BG143" i="30"/>
  <c r="BG138" i="30"/>
  <c r="BG151" i="30"/>
  <c r="BB181" i="28"/>
  <c r="BH117" i="28"/>
  <c r="BH116" i="28"/>
  <c r="BH199" i="28"/>
  <c r="BG185" i="28"/>
  <c r="BC182" i="28"/>
  <c r="BC191" i="28"/>
  <c r="BC196" i="28"/>
  <c r="I14" i="26"/>
  <c r="AN237" i="27"/>
  <c r="AN231" i="27"/>
  <c r="BH217" i="27"/>
  <c r="BH222" i="27"/>
  <c r="BH192" i="27"/>
  <c r="AR34" i="15"/>
  <c r="BH9" i="27"/>
  <c r="BH22" i="27"/>
  <c r="AP34" i="15"/>
  <c r="BF9" i="27"/>
  <c r="BF22" i="27"/>
  <c r="AM40" i="15"/>
  <c r="BV8" i="28"/>
  <c r="BB177" i="28"/>
  <c r="BB183" i="28"/>
  <c r="BG108" i="28"/>
  <c r="BG100" i="28"/>
  <c r="BG112" i="28"/>
  <c r="BG93" i="28"/>
  <c r="BH93" i="28"/>
  <c r="BH100" i="28"/>
  <c r="BH108" i="28"/>
  <c r="BH192" i="28"/>
  <c r="BH197" i="28"/>
  <c r="BH112" i="28"/>
  <c r="BU115" i="28"/>
  <c r="J16" i="26"/>
  <c r="BG116" i="28"/>
  <c r="BG117" i="28"/>
  <c r="BG199" i="28"/>
  <c r="BC170" i="28"/>
  <c r="BC169" i="28"/>
  <c r="BG19" i="28"/>
  <c r="BF80" i="27"/>
  <c r="BF156" i="27"/>
  <c r="BH168" i="28"/>
  <c r="BH162" i="28"/>
  <c r="BH25" i="27"/>
  <c r="BH27" i="27"/>
  <c r="BG9" i="27"/>
  <c r="BG14" i="27"/>
  <c r="AQ34" i="15"/>
  <c r="BU13" i="27"/>
  <c r="BC28" i="27"/>
  <c r="BC29" i="27"/>
  <c r="BC33" i="27"/>
  <c r="BC17" i="27"/>
  <c r="BH152" i="30"/>
  <c r="BH153" i="30"/>
  <c r="BH156" i="27"/>
  <c r="BH80" i="27"/>
  <c r="BA200" i="28"/>
  <c r="BA201" i="28"/>
  <c r="BG25" i="28"/>
  <c r="BG35" i="28"/>
  <c r="BG39" i="28"/>
  <c r="BA170" i="28"/>
  <c r="BA169" i="28"/>
  <c r="AN175" i="27"/>
  <c r="AN180" i="27"/>
  <c r="BG87" i="28"/>
  <c r="BB106" i="27"/>
  <c r="BA117" i="27"/>
  <c r="BL18" i="32"/>
  <c r="BL39" i="32"/>
  <c r="BL45" i="32"/>
  <c r="BJ14" i="31"/>
  <c r="BJ19" i="31"/>
  <c r="BJ18" i="31"/>
  <c r="BJ7" i="31"/>
  <c r="BJ6" i="31"/>
  <c r="BK29" i="31"/>
  <c r="BK8" i="31"/>
  <c r="BL8" i="31"/>
  <c r="BL29" i="31"/>
  <c r="BL37" i="31"/>
  <c r="BL40" i="31"/>
  <c r="BL42" i="31"/>
  <c r="BL280" i="27"/>
  <c r="BF177" i="28"/>
  <c r="BJ192" i="28"/>
  <c r="BJ197" i="28"/>
  <c r="BJ156" i="27"/>
  <c r="BJ80" i="27"/>
  <c r="AT34" i="15"/>
  <c r="BJ9" i="27"/>
  <c r="BJ22" i="27"/>
  <c r="BJ111" i="28"/>
  <c r="BJ113" i="28"/>
  <c r="BJ106" i="28"/>
  <c r="BJ120" i="28"/>
  <c r="BJ98" i="28"/>
  <c r="BJ63" i="27"/>
  <c r="BJ65" i="27"/>
  <c r="AY8" i="15"/>
  <c r="BD8" i="15"/>
  <c r="AT14" i="15"/>
  <c r="BJ222" i="27"/>
  <c r="BJ192" i="27"/>
  <c r="BJ217" i="27"/>
  <c r="AZ294" i="27"/>
  <c r="AZ127" i="28"/>
  <c r="AZ132" i="28"/>
  <c r="AZ136" i="28"/>
  <c r="AZ137" i="28"/>
  <c r="I31" i="26"/>
  <c r="AO53" i="15"/>
  <c r="AO61" i="15"/>
  <c r="BE23" i="27"/>
  <c r="BE18" i="27"/>
  <c r="BE19" i="27"/>
  <c r="BJ169" i="28"/>
  <c r="BJ170" i="28"/>
  <c r="BE34" i="27"/>
  <c r="AO69" i="15"/>
  <c r="BE35" i="27"/>
  <c r="BJ176" i="28"/>
  <c r="BJ177" i="28"/>
  <c r="BJ38" i="28"/>
  <c r="BJ40" i="28"/>
  <c r="BJ33" i="28"/>
  <c r="BJ200" i="28"/>
  <c r="BJ201" i="28"/>
  <c r="BE122" i="28"/>
  <c r="BE125" i="28"/>
  <c r="BE130" i="28"/>
  <c r="BJ28" i="27"/>
  <c r="BJ29" i="27"/>
  <c r="BJ33" i="27"/>
  <c r="BJ17" i="27"/>
  <c r="BE71" i="27"/>
  <c r="BE74" i="27"/>
  <c r="BC72" i="27"/>
  <c r="AY72" i="27"/>
  <c r="AY75" i="27"/>
  <c r="AY76" i="27"/>
  <c r="BI84" i="28"/>
  <c r="BI161" i="28"/>
  <c r="BI80" i="28"/>
  <c r="BI185" i="28"/>
  <c r="BI89" i="28"/>
  <c r="BI86" i="28"/>
  <c r="BI90" i="28"/>
  <c r="BI81" i="28"/>
  <c r="BI95" i="28"/>
  <c r="BI115" i="28"/>
  <c r="BI85" i="28"/>
  <c r="BD18" i="27"/>
  <c r="BD19" i="27"/>
  <c r="BD23" i="27"/>
  <c r="AN53" i="15"/>
  <c r="AN61" i="15"/>
  <c r="BI19" i="28"/>
  <c r="BD71" i="27"/>
  <c r="AY127" i="28"/>
  <c r="AY132" i="28"/>
  <c r="AY294" i="27"/>
  <c r="AY136" i="28"/>
  <c r="BI13" i="27"/>
  <c r="BI78" i="27"/>
  <c r="BI7" i="27"/>
  <c r="AS8" i="15"/>
  <c r="BD122" i="28"/>
  <c r="BD135" i="28"/>
  <c r="BD125" i="28"/>
  <c r="BD130" i="28"/>
  <c r="I13" i="26"/>
  <c r="AN69" i="15"/>
  <c r="BD35" i="27"/>
  <c r="BD34" i="27"/>
  <c r="BI126" i="28"/>
  <c r="BI131" i="28"/>
  <c r="AY135" i="28"/>
  <c r="BI35" i="28"/>
  <c r="BI25" i="28"/>
  <c r="BI39" i="28"/>
  <c r="BI143" i="30"/>
  <c r="BI138" i="30"/>
  <c r="BI151" i="30"/>
  <c r="BI178" i="28"/>
  <c r="BI183" i="28"/>
  <c r="BI183" i="27"/>
  <c r="BB8" i="15"/>
  <c r="BF63" i="27"/>
  <c r="BF65" i="27"/>
  <c r="BF120" i="28"/>
  <c r="BF111" i="28"/>
  <c r="BF113" i="28"/>
  <c r="BF106" i="28"/>
  <c r="BF98" i="28"/>
  <c r="BF190" i="28"/>
  <c r="BF195" i="28"/>
  <c r="BB190" i="28"/>
  <c r="BB195" i="28"/>
  <c r="BB63" i="27"/>
  <c r="BB65" i="27"/>
  <c r="BB111" i="28"/>
  <c r="BB113" i="28"/>
  <c r="BB106" i="28"/>
  <c r="BB120" i="28"/>
  <c r="BB98" i="28"/>
  <c r="BG98" i="28"/>
  <c r="BG120" i="28"/>
  <c r="BG190" i="28"/>
  <c r="BG195" i="28"/>
  <c r="BG63" i="27"/>
  <c r="BG65" i="27"/>
  <c r="BG71" i="27"/>
  <c r="BG72" i="27"/>
  <c r="BG106" i="28"/>
  <c r="BG111" i="28"/>
  <c r="BG113" i="28"/>
  <c r="I24" i="26"/>
  <c r="I25" i="26"/>
  <c r="BH177" i="28"/>
  <c r="BK178" i="28"/>
  <c r="BK183" i="27"/>
  <c r="BL172" i="28"/>
  <c r="BF201" i="28"/>
  <c r="BF200" i="28"/>
  <c r="J25" i="26"/>
  <c r="AM53" i="15"/>
  <c r="AM61" i="15"/>
  <c r="BC23" i="27"/>
  <c r="BC18" i="27"/>
  <c r="BC19" i="27"/>
  <c r="BU9" i="27"/>
  <c r="BG22" i="27"/>
  <c r="BF182" i="28"/>
  <c r="BF191" i="28"/>
  <c r="BF196" i="28"/>
  <c r="BA23" i="27"/>
  <c r="BA18" i="27"/>
  <c r="BA19" i="27"/>
  <c r="AK53" i="15"/>
  <c r="AK61" i="15"/>
  <c r="BL136" i="30"/>
  <c r="BL133" i="30"/>
  <c r="BL141" i="30"/>
  <c r="BB170" i="28"/>
  <c r="BB169" i="28"/>
  <c r="BG170" i="28"/>
  <c r="BG169" i="28"/>
  <c r="BG183" i="28"/>
  <c r="BG177" i="28"/>
  <c r="BG152" i="30"/>
  <c r="BG153" i="30"/>
  <c r="BK86" i="28"/>
  <c r="BK84" i="28"/>
  <c r="BK161" i="28"/>
  <c r="BK85" i="28"/>
  <c r="BK80" i="28"/>
  <c r="BK81" i="28"/>
  <c r="BK90" i="28"/>
  <c r="BK95" i="28"/>
  <c r="BK185" i="28"/>
  <c r="BK89" i="28"/>
  <c r="BK115" i="28"/>
  <c r="BL79" i="28"/>
  <c r="BG201" i="28"/>
  <c r="BG200" i="28"/>
  <c r="BB28" i="27"/>
  <c r="BT27" i="27"/>
  <c r="BB17" i="27"/>
  <c r="BB29" i="27"/>
  <c r="BK13" i="27"/>
  <c r="BK78" i="27"/>
  <c r="AU8" i="15"/>
  <c r="BK7" i="27"/>
  <c r="BK19" i="28"/>
  <c r="AN216" i="27"/>
  <c r="AN218" i="27"/>
  <c r="AN207" i="27"/>
  <c r="AN221" i="27"/>
  <c r="AN224" i="27"/>
  <c r="BF170" i="28"/>
  <c r="BF169" i="28"/>
  <c r="BA125" i="28"/>
  <c r="BA130" i="28"/>
  <c r="BA122" i="28"/>
  <c r="BA135" i="28"/>
  <c r="BG28" i="27"/>
  <c r="BU27" i="27"/>
  <c r="BG29" i="27"/>
  <c r="BG17" i="27"/>
  <c r="BH111" i="28"/>
  <c r="BH113" i="28"/>
  <c r="BH98" i="28"/>
  <c r="BH190" i="28"/>
  <c r="BH195" i="28"/>
  <c r="BH106" i="28"/>
  <c r="BH63" i="27"/>
  <c r="BH65" i="27"/>
  <c r="BH71" i="27"/>
  <c r="BH75" i="27"/>
  <c r="BH76" i="27"/>
  <c r="BH120" i="28"/>
  <c r="AK69" i="15"/>
  <c r="BA34" i="27"/>
  <c r="BA35" i="27"/>
  <c r="BB33" i="27"/>
  <c r="BG217" i="27"/>
  <c r="BG192" i="27"/>
  <c r="BU183" i="27"/>
  <c r="J30" i="26"/>
  <c r="BG222" i="27"/>
  <c r="BL121" i="28"/>
  <c r="BL107" i="28"/>
  <c r="BL99" i="28"/>
  <c r="BL67" i="27"/>
  <c r="BL69" i="27"/>
  <c r="BK143" i="30"/>
  <c r="BK138" i="30"/>
  <c r="BK151" i="30"/>
  <c r="BF29" i="27"/>
  <c r="BF28" i="27"/>
  <c r="BF17" i="27"/>
  <c r="BF33" i="27"/>
  <c r="BG33" i="27"/>
  <c r="BK35" i="28"/>
  <c r="BK25" i="28"/>
  <c r="BK39" i="28"/>
  <c r="J18" i="26"/>
  <c r="BC122" i="28"/>
  <c r="BC135" i="28"/>
  <c r="BC130" i="28"/>
  <c r="BC125" i="28"/>
  <c r="BH17" i="27"/>
  <c r="BH28" i="27"/>
  <c r="BH29" i="27"/>
  <c r="BH33" i="27"/>
  <c r="BC74" i="27"/>
  <c r="BG38" i="28"/>
  <c r="BG40" i="28"/>
  <c r="BG33" i="28"/>
  <c r="BH169" i="28"/>
  <c r="BH170" i="28"/>
  <c r="BG186" i="28"/>
  <c r="BG187" i="28"/>
  <c r="BG181" i="28"/>
  <c r="AP40" i="15"/>
  <c r="AP27" i="15"/>
  <c r="AR40" i="15"/>
  <c r="AW40" i="15"/>
  <c r="AR27" i="15"/>
  <c r="BC34" i="27"/>
  <c r="BC35" i="27"/>
  <c r="AM69" i="15"/>
  <c r="BA71" i="27"/>
  <c r="BA74" i="27"/>
  <c r="AQ40" i="15"/>
  <c r="AQ27" i="15"/>
  <c r="BB201" i="28"/>
  <c r="BB200" i="28"/>
  <c r="BB191" i="28"/>
  <c r="BB196" i="28"/>
  <c r="BB182" i="28"/>
  <c r="BH201" i="28"/>
  <c r="BH200" i="28"/>
  <c r="I18" i="26"/>
  <c r="I17" i="26"/>
  <c r="I21" i="26"/>
  <c r="BK126" i="28"/>
  <c r="BK131" i="28"/>
  <c r="BV12" i="28"/>
  <c r="BL16" i="28"/>
  <c r="BL6" i="27"/>
  <c r="BL151" i="28"/>
  <c r="BL21" i="28"/>
  <c r="BL27" i="28"/>
  <c r="BL148" i="28"/>
  <c r="BL17" i="28"/>
  <c r="BL22" i="28"/>
  <c r="BL18" i="28"/>
  <c r="BL13" i="28"/>
  <c r="BB22" i="27"/>
  <c r="BT9" i="27"/>
  <c r="AL27" i="15"/>
  <c r="AL40" i="15"/>
  <c r="J9" i="26"/>
  <c r="J21" i="26"/>
  <c r="BB117" i="27"/>
  <c r="BC106" i="27"/>
  <c r="BL14" i="31"/>
  <c r="BJ13" i="31"/>
  <c r="BK19" i="31"/>
  <c r="BK18" i="31"/>
  <c r="BK7" i="31"/>
  <c r="BK13" i="31"/>
  <c r="BK14" i="31"/>
  <c r="BK6" i="31"/>
  <c r="BK12" i="31"/>
  <c r="BJ12" i="31"/>
  <c r="BL6" i="31"/>
  <c r="BV280" i="27"/>
  <c r="BI87" i="28"/>
  <c r="AT53" i="15"/>
  <c r="BJ18" i="27"/>
  <c r="BJ19" i="27"/>
  <c r="BJ23" i="27"/>
  <c r="BJ34" i="27"/>
  <c r="BJ35" i="27"/>
  <c r="AT69" i="15"/>
  <c r="BE135" i="28"/>
  <c r="BE294" i="27"/>
  <c r="BE127" i="28"/>
  <c r="BE132" i="28"/>
  <c r="BE136" i="28"/>
  <c r="BL19" i="28"/>
  <c r="BJ71" i="27"/>
  <c r="BJ74" i="27"/>
  <c r="BJ182" i="28"/>
  <c r="BJ191" i="28"/>
  <c r="BJ196" i="28"/>
  <c r="BJ190" i="28"/>
  <c r="BJ195" i="28"/>
  <c r="BJ122" i="28"/>
  <c r="BJ130" i="28"/>
  <c r="BJ125" i="28"/>
  <c r="AY137" i="28"/>
  <c r="AT40" i="15"/>
  <c r="AY40" i="15"/>
  <c r="AT27" i="15"/>
  <c r="BG74" i="27"/>
  <c r="BE72" i="27"/>
  <c r="BE75" i="27"/>
  <c r="BE76" i="27"/>
  <c r="J24" i="26"/>
  <c r="BI117" i="28"/>
  <c r="BI116" i="28"/>
  <c r="BI199" i="28"/>
  <c r="BI108" i="28"/>
  <c r="BI93" i="28"/>
  <c r="BI192" i="28"/>
  <c r="BI197" i="28"/>
  <c r="BI100" i="28"/>
  <c r="BI112" i="28"/>
  <c r="BD294" i="27"/>
  <c r="BD132" i="28"/>
  <c r="BD127" i="28"/>
  <c r="BD136" i="28"/>
  <c r="BD137" i="28"/>
  <c r="BD72" i="27"/>
  <c r="BD75" i="27"/>
  <c r="BD76" i="27"/>
  <c r="BI80" i="27"/>
  <c r="BI156" i="27"/>
  <c r="BG75" i="27"/>
  <c r="BG76" i="27"/>
  <c r="BI33" i="28"/>
  <c r="BI38" i="28"/>
  <c r="BI40" i="28"/>
  <c r="BI176" i="28"/>
  <c r="BI177" i="28"/>
  <c r="AX8" i="15"/>
  <c r="BC8" i="15"/>
  <c r="AS14" i="15"/>
  <c r="AS34" i="15"/>
  <c r="BI9" i="27"/>
  <c r="BI22" i="27"/>
  <c r="BI162" i="28"/>
  <c r="BI168" i="28"/>
  <c r="BI25" i="27"/>
  <c r="BI27" i="27"/>
  <c r="BI217" i="27"/>
  <c r="BI222" i="27"/>
  <c r="BI192" i="27"/>
  <c r="BI152" i="30"/>
  <c r="BI153" i="30"/>
  <c r="BI187" i="28"/>
  <c r="BI186" i="28"/>
  <c r="BD74" i="27"/>
  <c r="BG34" i="27"/>
  <c r="BG35" i="27"/>
  <c r="BU33" i="27"/>
  <c r="AQ69" i="15"/>
  <c r="BP69" i="15"/>
  <c r="BK156" i="27"/>
  <c r="BK80" i="27"/>
  <c r="BL78" i="27"/>
  <c r="BB130" i="28"/>
  <c r="BB125" i="28"/>
  <c r="BB122" i="28"/>
  <c r="BB135" i="28"/>
  <c r="BK162" i="28"/>
  <c r="BK25" i="27"/>
  <c r="BK27" i="27"/>
  <c r="BK168" i="28"/>
  <c r="BG125" i="28"/>
  <c r="BG130" i="28"/>
  <c r="BG122" i="28"/>
  <c r="BG135" i="28"/>
  <c r="AU34" i="15"/>
  <c r="BK9" i="27"/>
  <c r="BK22" i="27"/>
  <c r="BL13" i="27"/>
  <c r="AZ8" i="15"/>
  <c r="AU14" i="15"/>
  <c r="BV172" i="28"/>
  <c r="F9" i="25" a="1"/>
  <c r="F9" i="25"/>
  <c r="BL178" i="28"/>
  <c r="BL183" i="27"/>
  <c r="BL173" i="28"/>
  <c r="BK87" i="28"/>
  <c r="BK192" i="27"/>
  <c r="BK222" i="27"/>
  <c r="BK217" i="27"/>
  <c r="BL126" i="28"/>
  <c r="BL131" i="28"/>
  <c r="BK183" i="28"/>
  <c r="AN229" i="27"/>
  <c r="AN232" i="27"/>
  <c r="AN233" i="27"/>
  <c r="AN219" i="27"/>
  <c r="AN91" i="27"/>
  <c r="BH125" i="28"/>
  <c r="BH130" i="28"/>
  <c r="BH122" i="28"/>
  <c r="BL25" i="28"/>
  <c r="BL35" i="28"/>
  <c r="BL39" i="28"/>
  <c r="BH34" i="27"/>
  <c r="AR69" i="15"/>
  <c r="BH35" i="27"/>
  <c r="BG182" i="28"/>
  <c r="BG191" i="28"/>
  <c r="BG196" i="28"/>
  <c r="BB18" i="27"/>
  <c r="BB19" i="27"/>
  <c r="BT17" i="27"/>
  <c r="BB23" i="27"/>
  <c r="AL53" i="15"/>
  <c r="AL61" i="15"/>
  <c r="AR53" i="15"/>
  <c r="BH23" i="27"/>
  <c r="BH18" i="27"/>
  <c r="BH19" i="27"/>
  <c r="BL89" i="28"/>
  <c r="BL161" i="28"/>
  <c r="BL84" i="28"/>
  <c r="BV79" i="28"/>
  <c r="BL115" i="28"/>
  <c r="BL81" i="28"/>
  <c r="BL95" i="28"/>
  <c r="BL86" i="28"/>
  <c r="BL80" i="28"/>
  <c r="BL185" i="28"/>
  <c r="BL90" i="28"/>
  <c r="BL85" i="28"/>
  <c r="J10" i="26"/>
  <c r="J13" i="26"/>
  <c r="AW34" i="15"/>
  <c r="BB40" i="15"/>
  <c r="BB34" i="15"/>
  <c r="BC294" i="27"/>
  <c r="BC132" i="28"/>
  <c r="BC127" i="28"/>
  <c r="BC136" i="28"/>
  <c r="BC137" i="28"/>
  <c r="J31" i="26"/>
  <c r="BK199" i="28"/>
  <c r="BK117" i="28"/>
  <c r="BK116" i="28"/>
  <c r="BL151" i="30"/>
  <c r="BL138" i="30"/>
  <c r="BL143" i="30"/>
  <c r="BH182" i="28"/>
  <c r="BH191" i="28"/>
  <c r="BH196" i="28"/>
  <c r="BB35" i="27"/>
  <c r="BT33" i="27"/>
  <c r="AL69" i="15"/>
  <c r="BO69" i="15"/>
  <c r="BB34" i="27"/>
  <c r="BA294" i="27"/>
  <c r="BA132" i="28"/>
  <c r="BA127" i="28"/>
  <c r="BA136" i="28"/>
  <c r="BA137" i="28"/>
  <c r="BL88" i="28"/>
  <c r="BF122" i="28"/>
  <c r="BF125" i="28"/>
  <c r="BF130" i="28"/>
  <c r="AN92" i="27"/>
  <c r="AN225" i="27"/>
  <c r="AN235" i="27"/>
  <c r="J17" i="26"/>
  <c r="BK187" i="28"/>
  <c r="BK186" i="28"/>
  <c r="BF71" i="27"/>
  <c r="BF74" i="27"/>
  <c r="BF35" i="27"/>
  <c r="BF34" i="27"/>
  <c r="AP69" i="15"/>
  <c r="AN210" i="27"/>
  <c r="AO209" i="27"/>
  <c r="AN283" i="27"/>
  <c r="AN99" i="27"/>
  <c r="AN104" i="27"/>
  <c r="AN119" i="27"/>
  <c r="AN150" i="27"/>
  <c r="AP53" i="15"/>
  <c r="AP61" i="15"/>
  <c r="BF23" i="27"/>
  <c r="BF18" i="27"/>
  <c r="BF19" i="27"/>
  <c r="BK152" i="30"/>
  <c r="BK153" i="30"/>
  <c r="BB71" i="27"/>
  <c r="BB74" i="27"/>
  <c r="BL7" i="27"/>
  <c r="AV8" i="15"/>
  <c r="AV14" i="15"/>
  <c r="BV6" i="27"/>
  <c r="BH72" i="27"/>
  <c r="BK192" i="28"/>
  <c r="BK197" i="28"/>
  <c r="BK108" i="28"/>
  <c r="BK93" i="28"/>
  <c r="BK100" i="28"/>
  <c r="BK112" i="28"/>
  <c r="BA72" i="27"/>
  <c r="BA75" i="27"/>
  <c r="BA76" i="27"/>
  <c r="BU17" i="27"/>
  <c r="BG18" i="27"/>
  <c r="AQ53" i="15"/>
  <c r="BG23" i="27"/>
  <c r="BH74" i="27"/>
  <c r="BK176" i="28"/>
  <c r="BK38" i="28"/>
  <c r="BK40" i="28"/>
  <c r="BK33" i="28"/>
  <c r="BC117" i="27"/>
  <c r="BD106" i="27"/>
  <c r="BL12" i="31"/>
  <c r="BL17" i="31"/>
  <c r="BL7" i="31"/>
  <c r="BG19" i="27"/>
  <c r="AQ61" i="15"/>
  <c r="BL176" i="28"/>
  <c r="BL177" i="28"/>
  <c r="BK177" i="28"/>
  <c r="BK182" i="28"/>
  <c r="BE137" i="28"/>
  <c r="BJ72" i="27"/>
  <c r="BJ75" i="27"/>
  <c r="BJ76" i="27"/>
  <c r="BJ135" i="28"/>
  <c r="BJ294" i="27"/>
  <c r="BJ132" i="28"/>
  <c r="BJ127" i="28"/>
  <c r="BJ136" i="28"/>
  <c r="AY34" i="15"/>
  <c r="BD40" i="15"/>
  <c r="BD34" i="15"/>
  <c r="AY53" i="15"/>
  <c r="BD53" i="15"/>
  <c r="AT61" i="15"/>
  <c r="BI33" i="27"/>
  <c r="BI29" i="27"/>
  <c r="BI28" i="27"/>
  <c r="BI17" i="27"/>
  <c r="AS40" i="15"/>
  <c r="AX40" i="15"/>
  <c r="AS27" i="15"/>
  <c r="BI200" i="28"/>
  <c r="BI201" i="28"/>
  <c r="BL181" i="28"/>
  <c r="BI169" i="28"/>
  <c r="BI170" i="28"/>
  <c r="BI106" i="28"/>
  <c r="BI120" i="28"/>
  <c r="BI63" i="27"/>
  <c r="BI65" i="27"/>
  <c r="BI111" i="28"/>
  <c r="BI113" i="28"/>
  <c r="BI98" i="28"/>
  <c r="BI190" i="28"/>
  <c r="BI195" i="28"/>
  <c r="BI182" i="28"/>
  <c r="BI191" i="28"/>
  <c r="BI196" i="28"/>
  <c r="AU27" i="15"/>
  <c r="AU40" i="15"/>
  <c r="AZ40" i="15"/>
  <c r="AR61" i="15"/>
  <c r="AW53" i="15"/>
  <c r="BK17" i="27"/>
  <c r="BK28" i="27"/>
  <c r="BK33" i="27"/>
  <c r="BK29" i="27"/>
  <c r="BL186" i="28"/>
  <c r="BL187" i="28"/>
  <c r="BB127" i="28"/>
  <c r="BB136" i="28"/>
  <c r="BB137" i="28"/>
  <c r="BB294" i="27"/>
  <c r="BB132" i="28"/>
  <c r="BL80" i="27"/>
  <c r="BL156" i="27"/>
  <c r="BL79" i="27"/>
  <c r="BV78" i="27"/>
  <c r="K20" i="26"/>
  <c r="BL222" i="27"/>
  <c r="BV183" i="27"/>
  <c r="K30" i="26"/>
  <c r="BL217" i="27"/>
  <c r="BL192" i="27"/>
  <c r="AN291" i="27"/>
  <c r="AN292" i="27"/>
  <c r="AO300" i="27"/>
  <c r="AN284" i="27"/>
  <c r="AO308" i="27"/>
  <c r="BL183" i="28"/>
  <c r="BK169" i="28"/>
  <c r="BK170" i="28"/>
  <c r="BK120" i="28"/>
  <c r="BK63" i="27"/>
  <c r="BK65" i="27"/>
  <c r="BK111" i="28"/>
  <c r="BK113" i="28"/>
  <c r="BK106" i="28"/>
  <c r="BK190" i="28"/>
  <c r="BK195" i="28"/>
  <c r="BK98" i="28"/>
  <c r="K9" i="26"/>
  <c r="C9" i="25" a="1"/>
  <c r="C9" i="25"/>
  <c r="BF294" i="27"/>
  <c r="BF127" i="28"/>
  <c r="BF132" i="28"/>
  <c r="BF136" i="28"/>
  <c r="AW27" i="15"/>
  <c r="AN238" i="27"/>
  <c r="AN239" i="27"/>
  <c r="BL87" i="28"/>
  <c r="BL38" i="28"/>
  <c r="BL40" i="28"/>
  <c r="BL33" i="28"/>
  <c r="BE8" i="15"/>
  <c r="BF8" i="15"/>
  <c r="BA8" i="15"/>
  <c r="BA14" i="15"/>
  <c r="BG132" i="28"/>
  <c r="BG294" i="27"/>
  <c r="BG127" i="28"/>
  <c r="BG136" i="28"/>
  <c r="BG137" i="28"/>
  <c r="BB27" i="15"/>
  <c r="BF72" i="27"/>
  <c r="BF75" i="27"/>
  <c r="BF76" i="27"/>
  <c r="BL108" i="28"/>
  <c r="BL192" i="28"/>
  <c r="BL197" i="28"/>
  <c r="BL93" i="28"/>
  <c r="BL100" i="28"/>
  <c r="BL112" i="28"/>
  <c r="BL152" i="30"/>
  <c r="BL153" i="30"/>
  <c r="BL117" i="28"/>
  <c r="BL199" i="28"/>
  <c r="BV115" i="28"/>
  <c r="BL116" i="28"/>
  <c r="K12" i="26"/>
  <c r="D9" i="25" a="1"/>
  <c r="BB72" i="27"/>
  <c r="BB75" i="27"/>
  <c r="BB76" i="27"/>
  <c r="BF135" i="28"/>
  <c r="BK200" i="28"/>
  <c r="BK201" i="28"/>
  <c r="BL162" i="28"/>
  <c r="BL168" i="28"/>
  <c r="BL25" i="27"/>
  <c r="BL27" i="27"/>
  <c r="BH135" i="28"/>
  <c r="BH132" i="28"/>
  <c r="BH294" i="27"/>
  <c r="BH127" i="28"/>
  <c r="BH136" i="28"/>
  <c r="AV34" i="15"/>
  <c r="BV13" i="27"/>
  <c r="BL14" i="27"/>
  <c r="BL9" i="27"/>
  <c r="BE106" i="27"/>
  <c r="BD117" i="27"/>
  <c r="BL18" i="31"/>
  <c r="BL13" i="31"/>
  <c r="BL19" i="31"/>
  <c r="BK191" i="28"/>
  <c r="BK196" i="28"/>
  <c r="BH137" i="28"/>
  <c r="BJ137" i="28"/>
  <c r="BD27" i="15"/>
  <c r="BD69" i="15"/>
  <c r="AY27" i="15"/>
  <c r="AY69" i="15"/>
  <c r="BI71" i="27"/>
  <c r="BI74" i="27"/>
  <c r="BI122" i="28"/>
  <c r="BI135" i="28"/>
  <c r="BI130" i="28"/>
  <c r="BI125" i="28"/>
  <c r="BI23" i="27"/>
  <c r="BI18" i="27"/>
  <c r="BI19" i="27"/>
  <c r="AS53" i="15"/>
  <c r="BC40" i="15"/>
  <c r="BC34" i="15"/>
  <c r="AX34" i="15"/>
  <c r="BI35" i="27"/>
  <c r="AS69" i="15"/>
  <c r="BI34" i="27"/>
  <c r="BV9" i="27"/>
  <c r="BL22" i="27"/>
  <c r="BL200" i="28"/>
  <c r="BL201" i="28"/>
  <c r="BF14" i="15"/>
  <c r="BK130" i="28"/>
  <c r="BK122" i="28"/>
  <c r="BK125" i="28"/>
  <c r="AO303" i="27"/>
  <c r="AO307" i="27"/>
  <c r="AO306" i="27"/>
  <c r="BK34" i="27"/>
  <c r="AU69" i="15"/>
  <c r="BK35" i="27"/>
  <c r="BL33" i="27"/>
  <c r="L9" i="26"/>
  <c r="K10" i="26"/>
  <c r="K16" i="26"/>
  <c r="E9" i="25" a="1"/>
  <c r="AV27" i="15"/>
  <c r="AV40" i="15"/>
  <c r="AU53" i="15"/>
  <c r="BK23" i="27"/>
  <c r="BK18" i="27"/>
  <c r="BK19" i="27"/>
  <c r="BL63" i="27"/>
  <c r="BL65" i="27"/>
  <c r="BL106" i="28"/>
  <c r="BL190" i="28"/>
  <c r="BL195" i="28"/>
  <c r="BL98" i="28"/>
  <c r="BL111" i="28"/>
  <c r="BL113" i="28"/>
  <c r="BL120" i="28"/>
  <c r="BL28" i="27"/>
  <c r="BV27" i="27"/>
  <c r="I9" i="25" a="1"/>
  <c r="I9" i="25"/>
  <c r="BL29" i="27"/>
  <c r="BL17" i="27"/>
  <c r="BF137" i="28"/>
  <c r="BB53" i="15"/>
  <c r="AW69" i="15"/>
  <c r="K13" i="26"/>
  <c r="K14" i="26"/>
  <c r="K23" i="26"/>
  <c r="BK71" i="27"/>
  <c r="BK74" i="27"/>
  <c r="AN295" i="27"/>
  <c r="AN296" i="27"/>
  <c r="BL170" i="28"/>
  <c r="BL169" i="28"/>
  <c r="BL182" i="28"/>
  <c r="BL191" i="28"/>
  <c r="BL196" i="28"/>
  <c r="K31" i="26"/>
  <c r="BE40" i="15"/>
  <c r="BE34" i="15"/>
  <c r="AZ34" i="15"/>
  <c r="G15" i="25"/>
  <c r="G12" i="25"/>
  <c r="G10" i="25"/>
  <c r="G13" i="25"/>
  <c r="D9" i="25"/>
  <c r="G9" i="25"/>
  <c r="G11" i="25"/>
  <c r="G14" i="25"/>
  <c r="AO176" i="27"/>
  <c r="AO39" i="27"/>
  <c r="K21" i="26"/>
  <c r="BF106" i="27"/>
  <c r="BE117" i="27"/>
  <c r="AX27" i="15"/>
  <c r="BC27" i="15"/>
  <c r="BI294" i="27"/>
  <c r="BI132" i="28"/>
  <c r="BI127" i="28"/>
  <c r="BI136" i="28"/>
  <c r="BI137" i="28"/>
  <c r="AX53" i="15"/>
  <c r="BC53" i="15"/>
  <c r="BC69" i="15"/>
  <c r="AS61" i="15"/>
  <c r="BI72" i="27"/>
  <c r="BI75" i="27"/>
  <c r="BI76" i="27"/>
  <c r="AV69" i="15"/>
  <c r="BQ69" i="15"/>
  <c r="BL34" i="27"/>
  <c r="BV33" i="27"/>
  <c r="BL35" i="27"/>
  <c r="AZ27" i="15"/>
  <c r="AZ69" i="15"/>
  <c r="BA34" i="15"/>
  <c r="BL23" i="27"/>
  <c r="BL18" i="27"/>
  <c r="BL19" i="27"/>
  <c r="BV17" i="27"/>
  <c r="AV53" i="15"/>
  <c r="AV61" i="15"/>
  <c r="AO313" i="27"/>
  <c r="AO315" i="27"/>
  <c r="AO177" i="27"/>
  <c r="AO230" i="27"/>
  <c r="AO40" i="27"/>
  <c r="AO161" i="27"/>
  <c r="AO304" i="27"/>
  <c r="K18" i="26"/>
  <c r="K17" i="26"/>
  <c r="BB69" i="15"/>
  <c r="BK132" i="28"/>
  <c r="BK294" i="27"/>
  <c r="BK127" i="28"/>
  <c r="BK136" i="28"/>
  <c r="BL71" i="27"/>
  <c r="BL74" i="27"/>
  <c r="L16" i="26"/>
  <c r="L18" i="26"/>
  <c r="L20" i="26"/>
  <c r="L30" i="26"/>
  <c r="L12" i="26"/>
  <c r="BE27" i="15"/>
  <c r="BF34" i="15"/>
  <c r="E9" i="25"/>
  <c r="H9" i="25"/>
  <c r="H13" i="25"/>
  <c r="H15" i="25"/>
  <c r="H10" i="25"/>
  <c r="H11" i="25"/>
  <c r="H14" i="25"/>
  <c r="H12" i="25"/>
  <c r="K25" i="26"/>
  <c r="K24" i="26"/>
  <c r="AU61" i="15"/>
  <c r="AZ53" i="15"/>
  <c r="BL130" i="28"/>
  <c r="BL125" i="28"/>
  <c r="BL122" i="28"/>
  <c r="BK135" i="28"/>
  <c r="BK72" i="27"/>
  <c r="BK75" i="27"/>
  <c r="BK76" i="27"/>
  <c r="AO160" i="27"/>
  <c r="BG106" i="27"/>
  <c r="BF117" i="27"/>
  <c r="Y77" i="15"/>
  <c r="AX69" i="15"/>
  <c r="AO43" i="27"/>
  <c r="Y101" i="15"/>
  <c r="L23" i="26"/>
  <c r="L14" i="26"/>
  <c r="BF40" i="15"/>
  <c r="BF27" i="15"/>
  <c r="BA27" i="15"/>
  <c r="BA40" i="15"/>
  <c r="BK137" i="28"/>
  <c r="AO44" i="27"/>
  <c r="BL132" i="28"/>
  <c r="BL136" i="28"/>
  <c r="BL127" i="28"/>
  <c r="BL294" i="27"/>
  <c r="BL135" i="28"/>
  <c r="BE53" i="15"/>
  <c r="BA53" i="15"/>
  <c r="BA61" i="15"/>
  <c r="AO236" i="27"/>
  <c r="BL72" i="27"/>
  <c r="BL75" i="27"/>
  <c r="BL76" i="27"/>
  <c r="BH106" i="27"/>
  <c r="BG117" i="27"/>
  <c r="AO46" i="27"/>
  <c r="AO49" i="27"/>
  <c r="AO155" i="27"/>
  <c r="AO166" i="27"/>
  <c r="Y117" i="15"/>
  <c r="Y123" i="15"/>
  <c r="Y109" i="15"/>
  <c r="Y113" i="15"/>
  <c r="BE69" i="15"/>
  <c r="BF53" i="15"/>
  <c r="BL137" i="28"/>
  <c r="BA69" i="15"/>
  <c r="BR69" i="15"/>
  <c r="L27" i="26"/>
  <c r="L33" i="26"/>
  <c r="L24" i="26"/>
  <c r="L25" i="26"/>
  <c r="BI106" i="27"/>
  <c r="BH117" i="27"/>
  <c r="AO50" i="27"/>
  <c r="AO54" i="27"/>
  <c r="AO146" i="27"/>
  <c r="AO328" i="27"/>
  <c r="AO330" i="27"/>
  <c r="AO178" i="27"/>
  <c r="AO53" i="27"/>
  <c r="BF61" i="15"/>
  <c r="BF69" i="15"/>
  <c r="BS69" i="15"/>
  <c r="AO231" i="27"/>
  <c r="AO237" i="27"/>
  <c r="AD44" i="1"/>
  <c r="AD45" i="1"/>
  <c r="AO59" i="27"/>
  <c r="AO85" i="27"/>
  <c r="AO142" i="27"/>
  <c r="AO145" i="27"/>
  <c r="AO147" i="27"/>
  <c r="AO149" i="27"/>
  <c r="AO175" i="27"/>
  <c r="AO180" i="27"/>
  <c r="BI117" i="27"/>
  <c r="BJ106" i="27"/>
  <c r="AO221" i="27"/>
  <c r="AO224" i="27"/>
  <c r="AO216" i="27"/>
  <c r="AO218" i="27"/>
  <c r="AO207" i="27"/>
  <c r="BK106" i="27"/>
  <c r="BJ117" i="27"/>
  <c r="AO283" i="27"/>
  <c r="AO99" i="27"/>
  <c r="AO104" i="27"/>
  <c r="AO119" i="27"/>
  <c r="AO150" i="27"/>
  <c r="AO210" i="27"/>
  <c r="AP209" i="27"/>
  <c r="AO91" i="27"/>
  <c r="AO219" i="27"/>
  <c r="AO229" i="27"/>
  <c r="AO225" i="27"/>
  <c r="AO235" i="27"/>
  <c r="AO238" i="27"/>
  <c r="AO239" i="27"/>
  <c r="AO92" i="27"/>
  <c r="BL106" i="27"/>
  <c r="BL117" i="27"/>
  <c r="BK117" i="27"/>
  <c r="AO232" i="27"/>
  <c r="AO233" i="27"/>
  <c r="AO284" i="27"/>
  <c r="AP308" i="27"/>
  <c r="AP300" i="27"/>
  <c r="AO291" i="27"/>
  <c r="AO292" i="27"/>
  <c r="AP176" i="27"/>
  <c r="AP39" i="27"/>
  <c r="AO295" i="27"/>
  <c r="AO296" i="27"/>
  <c r="AP303" i="27"/>
  <c r="AP307" i="27"/>
  <c r="AP306" i="27"/>
  <c r="AP40" i="27"/>
  <c r="AP161" i="27"/>
  <c r="AP304" i="27"/>
  <c r="AP313" i="27"/>
  <c r="AP315" i="27"/>
  <c r="AP177" i="27"/>
  <c r="AP236" i="27"/>
  <c r="Z77" i="15"/>
  <c r="AP160" i="27"/>
  <c r="AP43" i="27"/>
  <c r="AP230" i="27"/>
  <c r="Z101" i="15"/>
  <c r="AP44" i="27"/>
  <c r="AP46" i="27"/>
  <c r="AP49" i="27"/>
  <c r="AP54" i="27"/>
  <c r="AP146" i="27"/>
  <c r="AP155" i="27"/>
  <c r="AP50" i="27"/>
  <c r="Z117" i="15"/>
  <c r="Z123" i="15"/>
  <c r="AP166" i="27"/>
  <c r="AP328" i="27"/>
  <c r="AP330" i="27"/>
  <c r="AP178" i="27"/>
  <c r="Z113" i="15"/>
  <c r="Z109" i="15"/>
  <c r="AP53" i="27"/>
  <c r="AP237" i="27"/>
  <c r="AP231" i="27"/>
  <c r="AE44" i="1"/>
  <c r="AE45" i="1"/>
  <c r="AP142" i="27"/>
  <c r="AP145" i="27"/>
  <c r="AP147" i="27"/>
  <c r="AP149" i="27"/>
  <c r="AP59" i="27"/>
  <c r="AP175" i="27"/>
  <c r="AP180" i="27"/>
  <c r="AP216" i="27"/>
  <c r="AP218" i="27"/>
  <c r="AP207" i="27"/>
  <c r="AP221" i="27"/>
  <c r="AP224" i="27"/>
  <c r="AP225" i="27"/>
  <c r="AP235" i="27"/>
  <c r="AP92" i="27"/>
  <c r="AP210" i="27"/>
  <c r="AQ209" i="27"/>
  <c r="AP99" i="27"/>
  <c r="AP104" i="27"/>
  <c r="AP119" i="27"/>
  <c r="AP150" i="27"/>
  <c r="AP283" i="27"/>
  <c r="AP91" i="27"/>
  <c r="AP219" i="27"/>
  <c r="AP229" i="27"/>
  <c r="AP232" i="27"/>
  <c r="AP233" i="27"/>
  <c r="AP284" i="27"/>
  <c r="AQ308" i="27"/>
  <c r="AQ300" i="27"/>
  <c r="AP291" i="27"/>
  <c r="AP292" i="27"/>
  <c r="AP238" i="27"/>
  <c r="AP239" i="27"/>
  <c r="AP295" i="27"/>
  <c r="AP296" i="27"/>
  <c r="AQ176" i="27"/>
  <c r="AR300" i="27"/>
  <c r="AQ39" i="27"/>
  <c r="AQ307" i="27"/>
  <c r="AR307" i="27"/>
  <c r="AR308" i="27"/>
  <c r="AQ303" i="27"/>
  <c r="AR306" i="27"/>
  <c r="AQ306" i="27"/>
  <c r="AQ304" i="27"/>
  <c r="AQ313" i="27"/>
  <c r="AQ315" i="27"/>
  <c r="AQ177" i="27"/>
  <c r="AR177" i="27"/>
  <c r="BR177" i="27"/>
  <c r="AQ40" i="27"/>
  <c r="AR303" i="27"/>
  <c r="AR313" i="27"/>
  <c r="AR315" i="27"/>
  <c r="AQ43" i="27"/>
  <c r="AQ160" i="27"/>
  <c r="AR39" i="27"/>
  <c r="AA77" i="15"/>
  <c r="AQ230" i="27"/>
  <c r="AR176" i="27"/>
  <c r="AQ236" i="27"/>
  <c r="BR176" i="27"/>
  <c r="AR236" i="27"/>
  <c r="AR230" i="27"/>
  <c r="AR40" i="27"/>
  <c r="AR161" i="27"/>
  <c r="AQ161" i="27"/>
  <c r="AB77" i="15"/>
  <c r="AR160" i="27"/>
  <c r="AQ46" i="27"/>
  <c r="AQ49" i="27"/>
  <c r="AQ44" i="27"/>
  <c r="AA101" i="15"/>
  <c r="AR43" i="27"/>
  <c r="AR44" i="27"/>
  <c r="AQ155" i="27"/>
  <c r="AQ54" i="27"/>
  <c r="AQ50" i="27"/>
  <c r="AA117" i="15"/>
  <c r="AA123" i="15"/>
  <c r="AQ328" i="27"/>
  <c r="AQ330" i="27"/>
  <c r="AQ178" i="27"/>
  <c r="AQ166" i="27"/>
  <c r="AR46" i="27"/>
  <c r="AA113" i="15"/>
  <c r="AA109" i="15"/>
  <c r="AR49" i="27"/>
  <c r="AR155" i="27"/>
  <c r="AB101" i="15"/>
  <c r="AB113" i="15"/>
  <c r="BR49" i="27"/>
  <c r="AR50" i="27"/>
  <c r="AB117" i="15"/>
  <c r="AB123" i="15"/>
  <c r="AR166" i="27"/>
  <c r="AR328" i="27"/>
  <c r="AR330" i="27"/>
  <c r="AQ237" i="27"/>
  <c r="AR178" i="27"/>
  <c r="AQ231" i="27"/>
  <c r="AQ175" i="27"/>
  <c r="AQ180" i="27"/>
  <c r="AR54" i="27"/>
  <c r="AQ146" i="27"/>
  <c r="AR146" i="27"/>
  <c r="AQ53" i="27"/>
  <c r="AB109" i="15"/>
  <c r="AQ59" i="27"/>
  <c r="AQ142" i="27"/>
  <c r="AF44" i="1"/>
  <c r="AF45" i="1"/>
  <c r="AR231" i="27"/>
  <c r="AR237" i="27"/>
  <c r="BR178" i="27"/>
  <c r="G27" i="26"/>
  <c r="AR175" i="27"/>
  <c r="AR180" i="27"/>
  <c r="AQ221" i="27"/>
  <c r="AQ224" i="27"/>
  <c r="AQ207" i="27"/>
  <c r="AQ216" i="27"/>
  <c r="AQ218" i="27"/>
  <c r="AR53" i="27"/>
  <c r="BR54" i="27"/>
  <c r="AR55" i="27"/>
  <c r="AQ219" i="27"/>
  <c r="AR219" i="27"/>
  <c r="AQ91" i="27"/>
  <c r="AQ229" i="27"/>
  <c r="AQ225" i="27"/>
  <c r="AR225" i="27"/>
  <c r="AQ235" i="27"/>
  <c r="AQ92" i="27"/>
  <c r="G33" i="26"/>
  <c r="G36" i="26"/>
  <c r="G28" i="26"/>
  <c r="BR53" i="27"/>
  <c r="AG44" i="1"/>
  <c r="AG45" i="1"/>
  <c r="AQ99" i="27"/>
  <c r="AQ283" i="27"/>
  <c r="AQ210" i="27"/>
  <c r="AR216" i="27"/>
  <c r="AR218" i="27"/>
  <c r="AR221" i="27"/>
  <c r="AR224" i="27"/>
  <c r="AR207" i="27"/>
  <c r="AR210" i="27"/>
  <c r="AR142" i="27"/>
  <c r="AR145" i="27"/>
  <c r="AR147" i="27"/>
  <c r="AR149" i="27"/>
  <c r="AQ145" i="27"/>
  <c r="AQ147" i="27"/>
  <c r="AQ149" i="27"/>
  <c r="AQ85" i="27"/>
  <c r="AR59" i="27"/>
  <c r="AR283" i="27"/>
  <c r="AQ284" i="27"/>
  <c r="AR309" i="27"/>
  <c r="AQ291" i="27"/>
  <c r="AQ292" i="27"/>
  <c r="AR92" i="27"/>
  <c r="AR95" i="27"/>
  <c r="AR235" i="27"/>
  <c r="AR85" i="27"/>
  <c r="BR59" i="27"/>
  <c r="AW209" i="27"/>
  <c r="AS209" i="27"/>
  <c r="AR229" i="27"/>
  <c r="BR218" i="27"/>
  <c r="AR91" i="27"/>
  <c r="AR94" i="27"/>
  <c r="AR99" i="27"/>
  <c r="AR104" i="27"/>
  <c r="AR119" i="27"/>
  <c r="AR150" i="27"/>
  <c r="AQ104" i="27"/>
  <c r="AQ119" i="27"/>
  <c r="AQ150" i="27"/>
  <c r="AQ238" i="27"/>
  <c r="AR238" i="27"/>
  <c r="AQ232" i="27"/>
  <c r="AR232" i="27"/>
  <c r="AQ239" i="27"/>
  <c r="AQ233" i="27"/>
  <c r="AR233" i="27"/>
  <c r="BR233" i="27"/>
  <c r="AR239" i="27"/>
  <c r="AQ296" i="27"/>
  <c r="AQ295" i="27"/>
  <c r="AS300" i="27"/>
  <c r="AR284" i="27"/>
  <c r="AR291" i="27"/>
  <c r="AR292" i="27"/>
  <c r="AS308" i="27"/>
  <c r="BR284" i="27"/>
  <c r="AR295" i="27"/>
  <c r="BR292" i="27"/>
  <c r="G40" i="26"/>
  <c r="AR296" i="27"/>
  <c r="AS176" i="27"/>
  <c r="AS39" i="27"/>
  <c r="AS160" i="27"/>
  <c r="AS303" i="27"/>
  <c r="AS307" i="27"/>
  <c r="AS306" i="27"/>
  <c r="AS304" i="27"/>
  <c r="AS40" i="27"/>
  <c r="AS313" i="27"/>
  <c r="AS315" i="27"/>
  <c r="AS177" i="27"/>
  <c r="AS230" i="27"/>
  <c r="AS236" i="27"/>
  <c r="AS161" i="27"/>
  <c r="AS43" i="27"/>
  <c r="AC77" i="15"/>
  <c r="AC101" i="15"/>
  <c r="AS44" i="27"/>
  <c r="AS46" i="27"/>
  <c r="AS49" i="27"/>
  <c r="AC117" i="15"/>
  <c r="AC123" i="15"/>
  <c r="AS166" i="27"/>
  <c r="AS328" i="27"/>
  <c r="AS330" i="27"/>
  <c r="AS178" i="27"/>
  <c r="AC113" i="15"/>
  <c r="AC109" i="15"/>
  <c r="AS231" i="27"/>
  <c r="AS237" i="27"/>
  <c r="AS155" i="27"/>
  <c r="AS175" i="27"/>
  <c r="AS180" i="27"/>
  <c r="AS54" i="27"/>
  <c r="AS146" i="27"/>
  <c r="AS50" i="27"/>
  <c r="AS53" i="27"/>
  <c r="AH44" i="1"/>
  <c r="AH45" i="1"/>
  <c r="AS59" i="27"/>
  <c r="AS142" i="27"/>
  <c r="AS145" i="27"/>
  <c r="AS147" i="27"/>
  <c r="AS149" i="27"/>
  <c r="AS216" i="27"/>
  <c r="AS218" i="27"/>
  <c r="AS207" i="27"/>
  <c r="AS221" i="27"/>
  <c r="AS224" i="27"/>
  <c r="AS99" i="27"/>
  <c r="AS104" i="27"/>
  <c r="AS119" i="27"/>
  <c r="AS150" i="27"/>
  <c r="AS210" i="27"/>
  <c r="AT209" i="27"/>
  <c r="AS283" i="27"/>
  <c r="AS235" i="27"/>
  <c r="AS238" i="27"/>
  <c r="AS239" i="27"/>
  <c r="AS225" i="27"/>
  <c r="AS92" i="27"/>
  <c r="AS229" i="27"/>
  <c r="AS232" i="27"/>
  <c r="AS233" i="27"/>
  <c r="AS91" i="27"/>
  <c r="AS219" i="27"/>
  <c r="AT300" i="27"/>
  <c r="AS291" i="27"/>
  <c r="AS292" i="27"/>
  <c r="AS284" i="27"/>
  <c r="AT308" i="27"/>
  <c r="AS296" i="27"/>
  <c r="AS295" i="27"/>
  <c r="AT307" i="27"/>
  <c r="AT306" i="27"/>
  <c r="AT303" i="27"/>
  <c r="AT176" i="27"/>
  <c r="AT39" i="27"/>
  <c r="AT160" i="27"/>
  <c r="AT40" i="27"/>
  <c r="AT161" i="27"/>
  <c r="AT304" i="27"/>
  <c r="AT313" i="27"/>
  <c r="AT315" i="27"/>
  <c r="AT177" i="27"/>
  <c r="AT230" i="27"/>
  <c r="AD77" i="15"/>
  <c r="AT43" i="27"/>
  <c r="AT236" i="27"/>
  <c r="AD101" i="15"/>
  <c r="AT46" i="27"/>
  <c r="AT49" i="27"/>
  <c r="AT44" i="27"/>
  <c r="AT50" i="27"/>
  <c r="AT54" i="27"/>
  <c r="AT146" i="27"/>
  <c r="AT155" i="27"/>
  <c r="AT53" i="27"/>
  <c r="AD117" i="15"/>
  <c r="AD123" i="15"/>
  <c r="AT166" i="27"/>
  <c r="AT328" i="27"/>
  <c r="AT330" i="27"/>
  <c r="AT178" i="27"/>
  <c r="AD109" i="15"/>
  <c r="AD113" i="15"/>
  <c r="AT231" i="27"/>
  <c r="AT237" i="27"/>
  <c r="AT59" i="27"/>
  <c r="AT85" i="27"/>
  <c r="AT142" i="27"/>
  <c r="AT145" i="27"/>
  <c r="AT147" i="27"/>
  <c r="AT149" i="27"/>
  <c r="AI44" i="1"/>
  <c r="AI45" i="1"/>
  <c r="AT175" i="27"/>
  <c r="AT180" i="27"/>
  <c r="AT221" i="27"/>
  <c r="AT224" i="27"/>
  <c r="AT216" i="27"/>
  <c r="AT218" i="27"/>
  <c r="AT207" i="27"/>
  <c r="AT219" i="27"/>
  <c r="AT229" i="27"/>
  <c r="AT232" i="27"/>
  <c r="AT233" i="27"/>
  <c r="AT91" i="27"/>
  <c r="AT283" i="27"/>
  <c r="AT99" i="27"/>
  <c r="AT104" i="27"/>
  <c r="AT119" i="27"/>
  <c r="AT150" i="27"/>
  <c r="AT210" i="27"/>
  <c r="AU209" i="27"/>
  <c r="AT225" i="27"/>
  <c r="AT235" i="27"/>
  <c r="AT238" i="27"/>
  <c r="AT239" i="27"/>
  <c r="AT92" i="27"/>
  <c r="AU300" i="27"/>
  <c r="AT291" i="27"/>
  <c r="AT292" i="27"/>
  <c r="AT284" i="27"/>
  <c r="AU308" i="27"/>
  <c r="AT296" i="27"/>
  <c r="AT295" i="27"/>
  <c r="AU303" i="27"/>
  <c r="AU307" i="27"/>
  <c r="AU306" i="27"/>
  <c r="AU39" i="27"/>
  <c r="AU176" i="27"/>
  <c r="AU160" i="27"/>
  <c r="AU40" i="27"/>
  <c r="AU161" i="27"/>
  <c r="AU313" i="27"/>
  <c r="AU315" i="27"/>
  <c r="AU177" i="27"/>
  <c r="AU236" i="27"/>
  <c r="AU304" i="27"/>
  <c r="AU43" i="27"/>
  <c r="AE77" i="15"/>
  <c r="AU230" i="27"/>
  <c r="AE101" i="15"/>
  <c r="AU46" i="27"/>
  <c r="AU49" i="27"/>
  <c r="AU44" i="27"/>
  <c r="AU166" i="27"/>
  <c r="AU328" i="27"/>
  <c r="AU330" i="27"/>
  <c r="AU178" i="27"/>
  <c r="AE117" i="15"/>
  <c r="AE123" i="15"/>
  <c r="AU155" i="27"/>
  <c r="AU175" i="27"/>
  <c r="AU180" i="27"/>
  <c r="AU54" i="27"/>
  <c r="AU146" i="27"/>
  <c r="AU50" i="27"/>
  <c r="AE113" i="15"/>
  <c r="AE109" i="15"/>
  <c r="AU53" i="27"/>
  <c r="AU59" i="27"/>
  <c r="AU142" i="27"/>
  <c r="AU145" i="27"/>
  <c r="AU147" i="27"/>
  <c r="AU149" i="27"/>
  <c r="AJ44" i="1"/>
  <c r="AJ45" i="1"/>
  <c r="AU207" i="27"/>
  <c r="AU221" i="27"/>
  <c r="AU224" i="27"/>
  <c r="AU216" i="27"/>
  <c r="AU218" i="27"/>
  <c r="AU237" i="27"/>
  <c r="AU231" i="27"/>
  <c r="AU229" i="27"/>
  <c r="AU232" i="27"/>
  <c r="AU233" i="27"/>
  <c r="AU219" i="27"/>
  <c r="AU91" i="27"/>
  <c r="AU225" i="27"/>
  <c r="AU235" i="27"/>
  <c r="AU92" i="27"/>
  <c r="AU99" i="27"/>
  <c r="AU104" i="27"/>
  <c r="AU119" i="27"/>
  <c r="AU150" i="27"/>
  <c r="AU210" i="27"/>
  <c r="AV209" i="27"/>
  <c r="AU283" i="27"/>
  <c r="AV300" i="27"/>
  <c r="AU284" i="27"/>
  <c r="AV308" i="27"/>
  <c r="AU291" i="27"/>
  <c r="AU292" i="27"/>
  <c r="AU238" i="27"/>
  <c r="AU239" i="27"/>
  <c r="AW308" i="27"/>
  <c r="AV303" i="27"/>
  <c r="AV307" i="27"/>
  <c r="AW307" i="27"/>
  <c r="AU295" i="27"/>
  <c r="AU296" i="27"/>
  <c r="AV176" i="27"/>
  <c r="AV39" i="27"/>
  <c r="AW300" i="27"/>
  <c r="AW39" i="27"/>
  <c r="AV160" i="27"/>
  <c r="AW176" i="27"/>
  <c r="AV313" i="27"/>
  <c r="AV315" i="27"/>
  <c r="AV177" i="27"/>
  <c r="AW177" i="27"/>
  <c r="BS177" i="27"/>
  <c r="AV40" i="27"/>
  <c r="AV304" i="27"/>
  <c r="AW303" i="27"/>
  <c r="AW313" i="27"/>
  <c r="AW315" i="27"/>
  <c r="AV306" i="27"/>
  <c r="AW306" i="27"/>
  <c r="AV236" i="27"/>
  <c r="AV161" i="27"/>
  <c r="AW40" i="27"/>
  <c r="AW161" i="27"/>
  <c r="AV230" i="27"/>
  <c r="AF77" i="15"/>
  <c r="AW160" i="27"/>
  <c r="AG77" i="15"/>
  <c r="AW43" i="27"/>
  <c r="BS176" i="27"/>
  <c r="AW230" i="27"/>
  <c r="AW236" i="27"/>
  <c r="AV43" i="27"/>
  <c r="AV44" i="27"/>
  <c r="AF101" i="15"/>
  <c r="AV46" i="27"/>
  <c r="AW44" i="27"/>
  <c r="AG101" i="15"/>
  <c r="AG113" i="15"/>
  <c r="AG109" i="15"/>
  <c r="AV49" i="27"/>
  <c r="AV166" i="27"/>
  <c r="AV328" i="27"/>
  <c r="AV330" i="27"/>
  <c r="AV178" i="27"/>
  <c r="AW46" i="27"/>
  <c r="AF117" i="15"/>
  <c r="AF123" i="15"/>
  <c r="AF113" i="15"/>
  <c r="AF109" i="15"/>
  <c r="AW166" i="27"/>
  <c r="AW328" i="27"/>
  <c r="AW330" i="27"/>
  <c r="AG117" i="15"/>
  <c r="AG123" i="15"/>
  <c r="AW49" i="27"/>
  <c r="AW178" i="27"/>
  <c r="AV237" i="27"/>
  <c r="AV231" i="27"/>
  <c r="AV54" i="27"/>
  <c r="AV53" i="27"/>
  <c r="AV155" i="27"/>
  <c r="AV175" i="27"/>
  <c r="AV180" i="27"/>
  <c r="AV50" i="27"/>
  <c r="AV142" i="27"/>
  <c r="AV59" i="27"/>
  <c r="AK44" i="1"/>
  <c r="AK45" i="1"/>
  <c r="AW54" i="27"/>
  <c r="AW53" i="27"/>
  <c r="AV146" i="27"/>
  <c r="AW146" i="27"/>
  <c r="AW231" i="27"/>
  <c r="BS178" i="27"/>
  <c r="H27" i="26"/>
  <c r="AW237" i="27"/>
  <c r="AW155" i="27"/>
  <c r="AW175" i="27"/>
  <c r="AW180" i="27"/>
  <c r="BS49" i="27"/>
  <c r="AW50" i="27"/>
  <c r="AV221" i="27"/>
  <c r="AV224" i="27"/>
  <c r="AV216" i="27"/>
  <c r="AV218" i="27"/>
  <c r="AV207" i="27"/>
  <c r="H28" i="26"/>
  <c r="H33" i="26"/>
  <c r="H36" i="26"/>
  <c r="BS53" i="27"/>
  <c r="AL44" i="1"/>
  <c r="AL45" i="1"/>
  <c r="AW55" i="27"/>
  <c r="BS54" i="27"/>
  <c r="AV283" i="27"/>
  <c r="AV210" i="27"/>
  <c r="AV99" i="27"/>
  <c r="AV219" i="27"/>
  <c r="AW219" i="27"/>
  <c r="AV229" i="27"/>
  <c r="AV91" i="27"/>
  <c r="AV92" i="27"/>
  <c r="AV235" i="27"/>
  <c r="AV225" i="27"/>
  <c r="AW225" i="27"/>
  <c r="AW216" i="27"/>
  <c r="AW218" i="27"/>
  <c r="AW221" i="27"/>
  <c r="AW224" i="27"/>
  <c r="AW207" i="27"/>
  <c r="AW210" i="27"/>
  <c r="AV85" i="27"/>
  <c r="AW59" i="27"/>
  <c r="AW142" i="27"/>
  <c r="AW145" i="27"/>
  <c r="AW147" i="27"/>
  <c r="AW149" i="27"/>
  <c r="AV145" i="27"/>
  <c r="AV147" i="27"/>
  <c r="AV149" i="27"/>
  <c r="BS59" i="27"/>
  <c r="AW85" i="27"/>
  <c r="AW229" i="27"/>
  <c r="BS218" i="27"/>
  <c r="AW91" i="27"/>
  <c r="AW94" i="27"/>
  <c r="AW99" i="27"/>
  <c r="AW104" i="27"/>
  <c r="AW119" i="27"/>
  <c r="AW150" i="27"/>
  <c r="AV104" i="27"/>
  <c r="AV119" i="27"/>
  <c r="AV150" i="27"/>
  <c r="AW92" i="27"/>
  <c r="AW95" i="27"/>
  <c r="AW235" i="27"/>
  <c r="AX209" i="27"/>
  <c r="BB209" i="27"/>
  <c r="AV238" i="27"/>
  <c r="AW238" i="27"/>
  <c r="AV291" i="27"/>
  <c r="AV292" i="27"/>
  <c r="AV284" i="27"/>
  <c r="AW309" i="27"/>
  <c r="AW283" i="27"/>
  <c r="AV232" i="27"/>
  <c r="AW232" i="27"/>
  <c r="AV239" i="27"/>
  <c r="AV233" i="27"/>
  <c r="AW284" i="27"/>
  <c r="AW291" i="27"/>
  <c r="AW292" i="27"/>
  <c r="AX300" i="27"/>
  <c r="AV295" i="27"/>
  <c r="AV296" i="27"/>
  <c r="AW239" i="27"/>
  <c r="AW233" i="27"/>
  <c r="BS233" i="27"/>
  <c r="AX39" i="27"/>
  <c r="AX176" i="27"/>
  <c r="AW295" i="27"/>
  <c r="AW296" i="27"/>
  <c r="BS292" i="27"/>
  <c r="H40" i="26"/>
  <c r="AX308" i="27"/>
  <c r="BS284" i="27"/>
  <c r="AX307" i="27"/>
  <c r="AX306" i="27"/>
  <c r="AX303" i="27"/>
  <c r="AX160" i="27"/>
  <c r="AX304" i="27"/>
  <c r="AX40" i="27"/>
  <c r="AX313" i="27"/>
  <c r="AX315" i="27"/>
  <c r="AX177" i="27"/>
  <c r="AX230" i="27"/>
  <c r="AX236" i="27"/>
  <c r="AX161" i="27"/>
  <c r="AX43" i="27"/>
  <c r="AH77" i="15"/>
  <c r="AX44" i="27"/>
  <c r="AH101" i="15"/>
  <c r="AX46" i="27"/>
  <c r="AX328" i="27"/>
  <c r="AX330" i="27"/>
  <c r="AX178" i="27"/>
  <c r="AH117" i="15"/>
  <c r="AH123" i="15"/>
  <c r="AX166" i="27"/>
  <c r="AX49" i="27"/>
  <c r="AH113" i="15"/>
  <c r="AH109" i="15"/>
  <c r="AX54" i="27"/>
  <c r="AX146" i="27"/>
  <c r="AX50" i="27"/>
  <c r="AX155" i="27"/>
  <c r="AX175" i="27"/>
  <c r="AX180" i="27"/>
  <c r="AX237" i="27"/>
  <c r="AX231" i="27"/>
  <c r="AX53" i="27"/>
  <c r="AX59" i="27"/>
  <c r="AM44" i="1"/>
  <c r="AM45" i="1"/>
  <c r="AX142" i="27"/>
  <c r="AX145" i="27"/>
  <c r="AX147" i="27"/>
  <c r="AX149" i="27"/>
  <c r="AX207" i="27"/>
  <c r="AX221" i="27"/>
  <c r="AX224" i="27"/>
  <c r="AX216" i="27"/>
  <c r="AX218" i="27"/>
  <c r="AX92" i="27"/>
  <c r="AX225" i="27"/>
  <c r="AX235" i="27"/>
  <c r="AX238" i="27"/>
  <c r="AX239" i="27"/>
  <c r="AX283" i="27"/>
  <c r="AX210" i="27"/>
  <c r="AY209" i="27"/>
  <c r="AX99" i="27"/>
  <c r="AX104" i="27"/>
  <c r="AX119" i="27"/>
  <c r="AX150" i="27"/>
  <c r="AX229" i="27"/>
  <c r="AX232" i="27"/>
  <c r="AX233" i="27"/>
  <c r="AX91" i="27"/>
  <c r="AX219" i="27"/>
  <c r="AY300" i="27"/>
  <c r="AX284" i="27"/>
  <c r="AY308" i="27"/>
  <c r="AX291" i="27"/>
  <c r="AX292" i="27"/>
  <c r="AX296" i="27"/>
  <c r="AX295" i="27"/>
  <c r="AY307" i="27"/>
  <c r="AY306" i="27"/>
  <c r="AY303" i="27"/>
  <c r="AY176" i="27"/>
  <c r="AY39" i="27"/>
  <c r="AY160" i="27"/>
  <c r="AY40" i="27"/>
  <c r="AY161" i="27"/>
  <c r="AY304" i="27"/>
  <c r="AY313" i="27"/>
  <c r="AY315" i="27"/>
  <c r="AY177" i="27"/>
  <c r="AY230" i="27"/>
  <c r="AY43" i="27"/>
  <c r="AY236" i="27"/>
  <c r="AI77" i="15"/>
  <c r="AY44" i="27"/>
  <c r="AI101" i="15"/>
  <c r="AY46" i="27"/>
  <c r="AI117" i="15"/>
  <c r="AI123" i="15"/>
  <c r="AY166" i="27"/>
  <c r="AY328" i="27"/>
  <c r="AY330" i="27"/>
  <c r="AY178" i="27"/>
  <c r="AI113" i="15"/>
  <c r="AI109" i="15"/>
  <c r="AY49" i="27"/>
  <c r="AY50" i="27"/>
  <c r="AY155" i="27"/>
  <c r="AY175" i="27"/>
  <c r="AY180" i="27"/>
  <c r="AY54" i="27"/>
  <c r="AY146" i="27"/>
  <c r="AY231" i="27"/>
  <c r="AY237" i="27"/>
  <c r="AY53" i="27"/>
  <c r="AN44" i="1"/>
  <c r="AN45" i="1"/>
  <c r="AY216" i="27"/>
  <c r="AY218" i="27"/>
  <c r="AY221" i="27"/>
  <c r="AY224" i="27"/>
  <c r="AY207" i="27"/>
  <c r="AY59" i="27"/>
  <c r="AY85" i="27"/>
  <c r="AY142" i="27"/>
  <c r="AY145" i="27"/>
  <c r="AY147" i="27"/>
  <c r="AY149" i="27"/>
  <c r="AY283" i="27"/>
  <c r="AY210" i="27"/>
  <c r="AZ209" i="27"/>
  <c r="AY99" i="27"/>
  <c r="AY104" i="27"/>
  <c r="AY119" i="27"/>
  <c r="AY91" i="27"/>
  <c r="AY219" i="27"/>
  <c r="AY229" i="27"/>
  <c r="AY232" i="27"/>
  <c r="AY233" i="27"/>
  <c r="AY225" i="27"/>
  <c r="AY92" i="27"/>
  <c r="AY235" i="27"/>
  <c r="AY238" i="27"/>
  <c r="AY239" i="27"/>
  <c r="AY150" i="27"/>
  <c r="AY291" i="27"/>
  <c r="AY292" i="27"/>
  <c r="AZ300" i="27"/>
  <c r="AY284" i="27"/>
  <c r="AZ308" i="27"/>
  <c r="AZ307" i="27"/>
  <c r="AZ303" i="27"/>
  <c r="AZ306" i="27"/>
  <c r="AZ39" i="27"/>
  <c r="AZ176" i="27"/>
  <c r="AY295" i="27"/>
  <c r="AY296" i="27"/>
  <c r="AZ160" i="27"/>
  <c r="AZ313" i="27"/>
  <c r="AZ315" i="27"/>
  <c r="AZ177" i="27"/>
  <c r="AZ230" i="27"/>
  <c r="AZ40" i="27"/>
  <c r="AZ161" i="27"/>
  <c r="AZ304" i="27"/>
  <c r="AZ43" i="27"/>
  <c r="AJ77" i="15"/>
  <c r="AZ236" i="27"/>
  <c r="AJ101" i="15"/>
  <c r="AZ46" i="27"/>
  <c r="AZ44" i="27"/>
  <c r="AZ49" i="27"/>
  <c r="AZ166" i="27"/>
  <c r="AZ328" i="27"/>
  <c r="AZ330" i="27"/>
  <c r="AZ178" i="27"/>
  <c r="AJ117" i="15"/>
  <c r="AJ123" i="15"/>
  <c r="AJ113" i="15"/>
  <c r="AJ109" i="15"/>
  <c r="AZ231" i="27"/>
  <c r="AZ237" i="27"/>
  <c r="AZ50" i="27"/>
  <c r="AZ54" i="27"/>
  <c r="AZ146" i="27"/>
  <c r="AZ155" i="27"/>
  <c r="AZ175" i="27"/>
  <c r="AZ180" i="27"/>
  <c r="AZ53" i="27"/>
  <c r="AZ142" i="27"/>
  <c r="AZ145" i="27"/>
  <c r="AZ147" i="27"/>
  <c r="AZ149" i="27"/>
  <c r="AZ59" i="27"/>
  <c r="AO44" i="1"/>
  <c r="AO45" i="1"/>
  <c r="AZ207" i="27"/>
  <c r="AZ221" i="27"/>
  <c r="AZ224" i="27"/>
  <c r="AZ216" i="27"/>
  <c r="AZ218" i="27"/>
  <c r="AZ225" i="27"/>
  <c r="AZ92" i="27"/>
  <c r="AZ235" i="27"/>
  <c r="AZ238" i="27"/>
  <c r="AZ239" i="27"/>
  <c r="AZ91" i="27"/>
  <c r="AZ229" i="27"/>
  <c r="AZ232" i="27"/>
  <c r="AZ233" i="27"/>
  <c r="AZ219" i="27"/>
  <c r="AZ210" i="27"/>
  <c r="BA209" i="27"/>
  <c r="AZ99" i="27"/>
  <c r="AZ104" i="27"/>
  <c r="AZ119" i="27"/>
  <c r="AZ150" i="27"/>
  <c r="AZ283" i="27"/>
  <c r="BA300" i="27"/>
  <c r="AZ284" i="27"/>
  <c r="BA308" i="27"/>
  <c r="AZ291" i="27"/>
  <c r="AZ292" i="27"/>
  <c r="BB308" i="27"/>
  <c r="BA303" i="27"/>
  <c r="BA307" i="27"/>
  <c r="BB307" i="27"/>
  <c r="AZ296" i="27"/>
  <c r="AZ295" i="27"/>
  <c r="BA176" i="27"/>
  <c r="BA39" i="27"/>
  <c r="BB300" i="27"/>
  <c r="BA306" i="27"/>
  <c r="BA313" i="27"/>
  <c r="BA315" i="27"/>
  <c r="BA177" i="27"/>
  <c r="BB177" i="27"/>
  <c r="BT177" i="27"/>
  <c r="BA40" i="27"/>
  <c r="AK77" i="15"/>
  <c r="BB303" i="27"/>
  <c r="BB313" i="27"/>
  <c r="BB315" i="27"/>
  <c r="BA304" i="27"/>
  <c r="BA160" i="27"/>
  <c r="BB39" i="27"/>
  <c r="BB176" i="27"/>
  <c r="BB306" i="27"/>
  <c r="BA236" i="27"/>
  <c r="BA230" i="27"/>
  <c r="BA43" i="27"/>
  <c r="AK101" i="15"/>
  <c r="BB230" i="27"/>
  <c r="BT176" i="27"/>
  <c r="BB236" i="27"/>
  <c r="BB160" i="27"/>
  <c r="BB40" i="27"/>
  <c r="BB161" i="27"/>
  <c r="BA161" i="27"/>
  <c r="BA44" i="27"/>
  <c r="BA46" i="27"/>
  <c r="BA49" i="27"/>
  <c r="AK117" i="15"/>
  <c r="AK123" i="15"/>
  <c r="BA328" i="27"/>
  <c r="BA330" i="27"/>
  <c r="BA178" i="27"/>
  <c r="BA166" i="27"/>
  <c r="BB46" i="27"/>
  <c r="AK113" i="15"/>
  <c r="AK109" i="15"/>
  <c r="BB43" i="27"/>
  <c r="AL77" i="15"/>
  <c r="BB44" i="27"/>
  <c r="AL101" i="15"/>
  <c r="BB49" i="27"/>
  <c r="BB166" i="27"/>
  <c r="AL117" i="15"/>
  <c r="BB328" i="27"/>
  <c r="BB330" i="27"/>
  <c r="BA237" i="27"/>
  <c r="BA231" i="27"/>
  <c r="BB178" i="27"/>
  <c r="BA50" i="27"/>
  <c r="BA155" i="27"/>
  <c r="BA175" i="27"/>
  <c r="BA180" i="27"/>
  <c r="BA54" i="27"/>
  <c r="BA53" i="27"/>
  <c r="AL123" i="15"/>
  <c r="BA207" i="27"/>
  <c r="BA216" i="27"/>
  <c r="BA218" i="27"/>
  <c r="BA221" i="27"/>
  <c r="BA224" i="27"/>
  <c r="AP44" i="1"/>
  <c r="AP45" i="1"/>
  <c r="BA59" i="27"/>
  <c r="BA142" i="27"/>
  <c r="BB54" i="27"/>
  <c r="BB53" i="27"/>
  <c r="BA146" i="27"/>
  <c r="BB146" i="27"/>
  <c r="BB231" i="27"/>
  <c r="BB237" i="27"/>
  <c r="BT178" i="27"/>
  <c r="I27" i="26"/>
  <c r="BB155" i="27"/>
  <c r="BB175" i="27"/>
  <c r="BB180" i="27"/>
  <c r="BT49" i="27"/>
  <c r="BB50" i="27"/>
  <c r="AL113" i="15"/>
  <c r="AL109" i="15"/>
  <c r="BB207" i="27"/>
  <c r="BB210" i="27"/>
  <c r="BB216" i="27"/>
  <c r="BB218" i="27"/>
  <c r="BB221" i="27"/>
  <c r="BB224" i="27"/>
  <c r="BB142" i="27"/>
  <c r="BB145" i="27"/>
  <c r="BB147" i="27"/>
  <c r="BB149" i="27"/>
  <c r="BA145" i="27"/>
  <c r="BA147" i="27"/>
  <c r="BA149" i="27"/>
  <c r="BA92" i="27"/>
  <c r="BA225" i="27"/>
  <c r="BB225" i="27"/>
  <c r="BA235" i="27"/>
  <c r="AQ44" i="1"/>
  <c r="AQ45" i="1"/>
  <c r="BT53" i="27"/>
  <c r="BA219" i="27"/>
  <c r="BB219" i="27"/>
  <c r="BA229" i="27"/>
  <c r="BA91" i="27"/>
  <c r="I33" i="26"/>
  <c r="I36" i="26"/>
  <c r="I28" i="26"/>
  <c r="BB55" i="27"/>
  <c r="BT54" i="27"/>
  <c r="BA85" i="27"/>
  <c r="BB59" i="27"/>
  <c r="BA99" i="27"/>
  <c r="BA283" i="27"/>
  <c r="BA210" i="27"/>
  <c r="BA232" i="27"/>
  <c r="BB232" i="27"/>
  <c r="BA104" i="27"/>
  <c r="BA119" i="27"/>
  <c r="BA150" i="27"/>
  <c r="BB99" i="27"/>
  <c r="BB104" i="27"/>
  <c r="BB119" i="27"/>
  <c r="BB150" i="27"/>
  <c r="BB235" i="27"/>
  <c r="BB92" i="27"/>
  <c r="BB95" i="27"/>
  <c r="BT59" i="27"/>
  <c r="BB85" i="27"/>
  <c r="BA238" i="27"/>
  <c r="BB238" i="27"/>
  <c r="BB229" i="27"/>
  <c r="BB91" i="27"/>
  <c r="BB94" i="27"/>
  <c r="BT218" i="27"/>
  <c r="BB283" i="27"/>
  <c r="BA291" i="27"/>
  <c r="BA292" i="27"/>
  <c r="BA284" i="27"/>
  <c r="BB309" i="27"/>
  <c r="BG209" i="27"/>
  <c r="BC209" i="27"/>
  <c r="BB233" i="27"/>
  <c r="BT233" i="27"/>
  <c r="BA233" i="27"/>
  <c r="BA296" i="27"/>
  <c r="BA295" i="27"/>
  <c r="BB284" i="27"/>
  <c r="BC300" i="27"/>
  <c r="BB291" i="27"/>
  <c r="BB292" i="27"/>
  <c r="BB239" i="27"/>
  <c r="BA239" i="27"/>
  <c r="BT292" i="27"/>
  <c r="I40" i="26"/>
  <c r="BB296" i="27"/>
  <c r="BB295" i="27"/>
  <c r="BC39" i="27"/>
  <c r="BC176" i="27"/>
  <c r="BT284" i="27"/>
  <c r="BC308" i="27"/>
  <c r="BC307" i="27"/>
  <c r="BC306" i="27"/>
  <c r="BC303" i="27"/>
  <c r="BC160" i="27"/>
  <c r="BC304" i="27"/>
  <c r="BC313" i="27"/>
  <c r="BC315" i="27"/>
  <c r="BC177" i="27"/>
  <c r="BC40" i="27"/>
  <c r="BC161" i="27"/>
  <c r="AM77" i="15"/>
  <c r="BC43" i="27"/>
  <c r="BC230" i="27"/>
  <c r="BC236" i="27"/>
  <c r="BC44" i="27"/>
  <c r="AM101" i="15"/>
  <c r="BC46" i="27"/>
  <c r="BC49" i="27"/>
  <c r="AM113" i="15"/>
  <c r="AM109" i="15"/>
  <c r="BC50" i="27"/>
  <c r="BC54" i="27"/>
  <c r="BC146" i="27"/>
  <c r="BC155" i="27"/>
  <c r="BC166" i="27"/>
  <c r="AM117" i="15"/>
  <c r="AM123" i="15"/>
  <c r="BC328" i="27"/>
  <c r="BC330" i="27"/>
  <c r="BC178" i="27"/>
  <c r="BC53" i="27"/>
  <c r="BC59" i="27"/>
  <c r="BC175" i="27"/>
  <c r="BC180" i="27"/>
  <c r="BC221" i="27"/>
  <c r="BC224" i="27"/>
  <c r="BC237" i="27"/>
  <c r="BC231" i="27"/>
  <c r="AR44" i="1"/>
  <c r="AR45" i="1"/>
  <c r="BC142" i="27"/>
  <c r="BC145" i="27"/>
  <c r="BC147" i="27"/>
  <c r="BC149" i="27"/>
  <c r="BC216" i="27"/>
  <c r="BC218" i="27"/>
  <c r="BC219" i="27"/>
  <c r="BC207" i="27"/>
  <c r="BC283" i="27"/>
  <c r="BC225" i="27"/>
  <c r="BC92" i="27"/>
  <c r="BC235" i="27"/>
  <c r="BC210" i="27"/>
  <c r="BD209" i="27"/>
  <c r="BC91" i="27"/>
  <c r="BC229" i="27"/>
  <c r="BC232" i="27"/>
  <c r="BC233" i="27"/>
  <c r="BC99" i="27"/>
  <c r="BC104" i="27"/>
  <c r="BC119" i="27"/>
  <c r="BC150" i="27"/>
  <c r="BC238" i="27"/>
  <c r="BC239" i="27"/>
  <c r="BD300" i="27"/>
  <c r="BC291" i="27"/>
  <c r="BC292" i="27"/>
  <c r="BC284" i="27"/>
  <c r="BD308" i="27"/>
  <c r="BD303" i="27"/>
  <c r="BD307" i="27"/>
  <c r="BD306" i="27"/>
  <c r="BC296" i="27"/>
  <c r="BC295" i="27"/>
  <c r="BD39" i="27"/>
  <c r="BD176" i="27"/>
  <c r="BD160" i="27"/>
  <c r="BD313" i="27"/>
  <c r="BD315" i="27"/>
  <c r="BD177" i="27"/>
  <c r="BD230" i="27"/>
  <c r="BD304" i="27"/>
  <c r="BD40" i="27"/>
  <c r="BD161" i="27"/>
  <c r="BD43" i="27"/>
  <c r="AN77" i="15"/>
  <c r="BD236" i="27"/>
  <c r="AN101" i="15"/>
  <c r="BD46" i="27"/>
  <c r="BD44" i="27"/>
  <c r="BD49" i="27"/>
  <c r="BD328" i="27"/>
  <c r="BD330" i="27"/>
  <c r="BD178" i="27"/>
  <c r="AN117" i="15"/>
  <c r="AN123" i="15"/>
  <c r="BD166" i="27"/>
  <c r="AN113" i="15"/>
  <c r="AN109" i="15"/>
  <c r="BD237" i="27"/>
  <c r="BD231" i="27"/>
  <c r="BD50" i="27"/>
  <c r="BD155" i="27"/>
  <c r="BD175" i="27"/>
  <c r="BD180" i="27"/>
  <c r="BD54" i="27"/>
  <c r="BD146" i="27"/>
  <c r="BD53" i="27"/>
  <c r="BD221" i="27"/>
  <c r="BD224" i="27"/>
  <c r="BD207" i="27"/>
  <c r="BD216" i="27"/>
  <c r="BD218" i="27"/>
  <c r="BD229" i="27"/>
  <c r="BD232" i="27"/>
  <c r="BD233" i="27"/>
  <c r="BD219" i="27"/>
  <c r="BD91" i="27"/>
  <c r="BD283" i="27"/>
  <c r="BD99" i="27"/>
  <c r="BD104" i="27"/>
  <c r="BD119" i="27"/>
  <c r="BD210" i="27"/>
  <c r="BE209" i="27"/>
  <c r="BD235" i="27"/>
  <c r="BD92" i="27"/>
  <c r="BD225" i="27"/>
  <c r="BD142" i="27"/>
  <c r="BD59" i="27"/>
  <c r="BD85" i="27"/>
  <c r="AS44" i="1"/>
  <c r="AS45" i="1"/>
  <c r="BD238" i="27"/>
  <c r="BD239" i="27"/>
  <c r="BD145" i="27"/>
  <c r="BD147" i="27"/>
  <c r="BD149" i="27"/>
  <c r="BD150" i="27"/>
  <c r="BE300" i="27"/>
  <c r="BD284" i="27"/>
  <c r="BE308" i="27"/>
  <c r="BD291" i="27"/>
  <c r="BD292" i="27"/>
  <c r="BD295" i="27"/>
  <c r="BD296" i="27"/>
  <c r="BE303" i="27"/>
  <c r="BE307" i="27"/>
  <c r="BE306" i="27"/>
  <c r="BE176" i="27"/>
  <c r="BE39" i="27"/>
  <c r="BE160" i="27"/>
  <c r="BE40" i="27"/>
  <c r="BE161" i="27"/>
  <c r="BE313" i="27"/>
  <c r="BE315" i="27"/>
  <c r="BE177" i="27"/>
  <c r="BE236" i="27"/>
  <c r="BE304" i="27"/>
  <c r="AO77" i="15"/>
  <c r="BE43" i="27"/>
  <c r="BE230" i="27"/>
  <c r="BE46" i="27"/>
  <c r="BE44" i="27"/>
  <c r="AO101" i="15"/>
  <c r="AO113" i="15"/>
  <c r="AO109" i="15"/>
  <c r="BE49" i="27"/>
  <c r="AO117" i="15"/>
  <c r="AO123" i="15"/>
  <c r="BE166" i="27"/>
  <c r="BE328" i="27"/>
  <c r="BE330" i="27"/>
  <c r="BE178" i="27"/>
  <c r="BE231" i="27"/>
  <c r="BE237" i="27"/>
  <c r="BE155" i="27"/>
  <c r="BE175" i="27"/>
  <c r="BE180" i="27"/>
  <c r="BE50" i="27"/>
  <c r="BE54" i="27"/>
  <c r="BE146" i="27"/>
  <c r="BE53" i="27"/>
  <c r="AT44" i="1"/>
  <c r="AT45" i="1"/>
  <c r="BE207" i="27"/>
  <c r="BE221" i="27"/>
  <c r="BE224" i="27"/>
  <c r="BE216" i="27"/>
  <c r="BE218" i="27"/>
  <c r="BE142" i="27"/>
  <c r="BE145" i="27"/>
  <c r="BE147" i="27"/>
  <c r="BE149" i="27"/>
  <c r="BE59" i="27"/>
  <c r="BE219" i="27"/>
  <c r="BE229" i="27"/>
  <c r="BE91" i="27"/>
  <c r="BE235" i="27"/>
  <c r="BE92" i="27"/>
  <c r="BE225" i="27"/>
  <c r="BE210" i="27"/>
  <c r="BF209" i="27"/>
  <c r="BE99" i="27"/>
  <c r="BE104" i="27"/>
  <c r="BE119" i="27"/>
  <c r="BE283" i="27"/>
  <c r="BE150" i="27"/>
  <c r="BE232" i="27"/>
  <c r="BE233" i="27"/>
  <c r="BE284" i="27"/>
  <c r="BF308" i="27"/>
  <c r="BE291" i="27"/>
  <c r="BE292" i="27"/>
  <c r="BF300" i="27"/>
  <c r="BE238" i="27"/>
  <c r="BE239" i="27"/>
  <c r="BF176" i="27"/>
  <c r="BG300" i="27"/>
  <c r="BF39" i="27"/>
  <c r="BE296" i="27"/>
  <c r="BE295" i="27"/>
  <c r="BF307" i="27"/>
  <c r="BG307" i="27"/>
  <c r="BF303" i="27"/>
  <c r="BG308" i="27"/>
  <c r="BG306" i="27"/>
  <c r="BF306" i="27"/>
  <c r="BG303" i="27"/>
  <c r="BG313" i="27"/>
  <c r="BG315" i="27"/>
  <c r="BF304" i="27"/>
  <c r="BF40" i="27"/>
  <c r="BF43" i="27"/>
  <c r="BF313" i="27"/>
  <c r="BF315" i="27"/>
  <c r="BF177" i="27"/>
  <c r="BG177" i="27"/>
  <c r="BU177" i="27"/>
  <c r="BF160" i="27"/>
  <c r="BG39" i="27"/>
  <c r="BG176" i="27"/>
  <c r="AP77" i="15"/>
  <c r="BF236" i="27"/>
  <c r="BF230" i="27"/>
  <c r="BU176" i="27"/>
  <c r="BG230" i="27"/>
  <c r="BG236" i="27"/>
  <c r="BG160" i="27"/>
  <c r="BF44" i="27"/>
  <c r="BF46" i="27"/>
  <c r="AP101" i="15"/>
  <c r="BF161" i="27"/>
  <c r="BG40" i="27"/>
  <c r="BG161" i="27"/>
  <c r="AP113" i="15"/>
  <c r="AP109" i="15"/>
  <c r="BF49" i="27"/>
  <c r="BF166" i="27"/>
  <c r="BG46" i="27"/>
  <c r="BF328" i="27"/>
  <c r="BF330" i="27"/>
  <c r="BF178" i="27"/>
  <c r="AP117" i="15"/>
  <c r="AP123" i="15"/>
  <c r="BG43" i="27"/>
  <c r="AQ77" i="15"/>
  <c r="BG44" i="27"/>
  <c r="AQ101" i="15"/>
  <c r="BG49" i="27"/>
  <c r="BF231" i="27"/>
  <c r="BG178" i="27"/>
  <c r="BF237" i="27"/>
  <c r="BG166" i="27"/>
  <c r="AQ117" i="15"/>
  <c r="BG328" i="27"/>
  <c r="BG330" i="27"/>
  <c r="BF155" i="27"/>
  <c r="BF175" i="27"/>
  <c r="BF180" i="27"/>
  <c r="BF50" i="27"/>
  <c r="BF54" i="27"/>
  <c r="AQ123" i="15"/>
  <c r="BF207" i="27"/>
  <c r="BF216" i="27"/>
  <c r="BF218" i="27"/>
  <c r="BF221" i="27"/>
  <c r="BF224" i="27"/>
  <c r="BU178" i="27"/>
  <c r="J27" i="26"/>
  <c r="BG231" i="27"/>
  <c r="BG237" i="27"/>
  <c r="AQ113" i="15"/>
  <c r="AQ109" i="15"/>
  <c r="BF146" i="27"/>
  <c r="BG146" i="27"/>
  <c r="BG54" i="27"/>
  <c r="BG53" i="27"/>
  <c r="BF53" i="27"/>
  <c r="BG155" i="27"/>
  <c r="BG175" i="27"/>
  <c r="BG180" i="27"/>
  <c r="BG50" i="27"/>
  <c r="BU49" i="27"/>
  <c r="BU53" i="27"/>
  <c r="AV44" i="1"/>
  <c r="AV45" i="1"/>
  <c r="BG216" i="27"/>
  <c r="BG218" i="27"/>
  <c r="BG207" i="27"/>
  <c r="BG210" i="27"/>
  <c r="BG221" i="27"/>
  <c r="BG224" i="27"/>
  <c r="BU54" i="27"/>
  <c r="BG55" i="27"/>
  <c r="BF59" i="27"/>
  <c r="AU44" i="1"/>
  <c r="AU45" i="1"/>
  <c r="BF142" i="27"/>
  <c r="J33" i="26"/>
  <c r="J36" i="26"/>
  <c r="J28" i="26"/>
  <c r="BF235" i="27"/>
  <c r="BF225" i="27"/>
  <c r="BG225" i="27"/>
  <c r="BF92" i="27"/>
  <c r="BF229" i="27"/>
  <c r="BF91" i="27"/>
  <c r="BF219" i="27"/>
  <c r="BG219" i="27"/>
  <c r="BF210" i="27"/>
  <c r="BF99" i="27"/>
  <c r="BF283" i="27"/>
  <c r="BG99" i="27"/>
  <c r="BG104" i="27"/>
  <c r="BG119" i="27"/>
  <c r="BF104" i="27"/>
  <c r="BF119" i="27"/>
  <c r="BF232" i="27"/>
  <c r="BG232" i="27"/>
  <c r="BF238" i="27"/>
  <c r="BG238" i="27"/>
  <c r="BG142" i="27"/>
  <c r="BG145" i="27"/>
  <c r="BG147" i="27"/>
  <c r="BG149" i="27"/>
  <c r="BF145" i="27"/>
  <c r="BF147" i="27"/>
  <c r="BF149" i="27"/>
  <c r="BG59" i="27"/>
  <c r="BF85" i="27"/>
  <c r="BG229" i="27"/>
  <c r="BG91" i="27"/>
  <c r="BG94" i="27"/>
  <c r="BU218" i="27"/>
  <c r="BG235" i="27"/>
  <c r="BG92" i="27"/>
  <c r="BG95" i="27"/>
  <c r="BH209" i="27"/>
  <c r="BL209" i="27"/>
  <c r="BF284" i="27"/>
  <c r="BG309" i="27"/>
  <c r="BG283" i="27"/>
  <c r="BF291" i="27"/>
  <c r="BF292" i="27"/>
  <c r="BG239" i="27"/>
  <c r="BG233" i="27"/>
  <c r="BU233" i="27"/>
  <c r="BF233" i="27"/>
  <c r="BF239" i="27"/>
  <c r="BF295" i="27"/>
  <c r="BF296" i="27"/>
  <c r="BG85" i="27"/>
  <c r="BU59" i="27"/>
  <c r="BG291" i="27"/>
  <c r="BG292" i="27"/>
  <c r="BH300" i="27"/>
  <c r="BG284" i="27"/>
  <c r="BF150" i="27"/>
  <c r="BG150" i="27"/>
  <c r="BH39" i="27"/>
  <c r="BH176" i="27"/>
  <c r="BG296" i="27"/>
  <c r="BG295" i="27"/>
  <c r="BU292" i="27"/>
  <c r="J40" i="26"/>
  <c r="BU284" i="27"/>
  <c r="BH308" i="27"/>
  <c r="BH307" i="27"/>
  <c r="BH306" i="27"/>
  <c r="BH303" i="27"/>
  <c r="BH160" i="27"/>
  <c r="BH304" i="27"/>
  <c r="BH40" i="27"/>
  <c r="BH313" i="27"/>
  <c r="BH315" i="27"/>
  <c r="BH177" i="27"/>
  <c r="BH236" i="27"/>
  <c r="BH230" i="27"/>
  <c r="BH161" i="27"/>
  <c r="BH43" i="27"/>
  <c r="AR77" i="15"/>
  <c r="AW77" i="15"/>
  <c r="BB77" i="15"/>
  <c r="BH44" i="27"/>
  <c r="BH46" i="27"/>
  <c r="AR101" i="15"/>
  <c r="AR113" i="15"/>
  <c r="AW101" i="15"/>
  <c r="AR109" i="15"/>
  <c r="BH49" i="27"/>
  <c r="BH328" i="27"/>
  <c r="BH330" i="27"/>
  <c r="BH178" i="27"/>
  <c r="BH166" i="27"/>
  <c r="AR117" i="15"/>
  <c r="AR123" i="15"/>
  <c r="BB101" i="15"/>
  <c r="BB109" i="15"/>
  <c r="AW117" i="15"/>
  <c r="AW109" i="15"/>
  <c r="BH237" i="27"/>
  <c r="BH231" i="27"/>
  <c r="BH155" i="27"/>
  <c r="BH175" i="27"/>
  <c r="BH180" i="27"/>
  <c r="BH54" i="27"/>
  <c r="BH146" i="27"/>
  <c r="BH50" i="27"/>
  <c r="BH53" i="27"/>
  <c r="BH207" i="27"/>
  <c r="BH216" i="27"/>
  <c r="BH218" i="27"/>
  <c r="BH221" i="27"/>
  <c r="BH224" i="27"/>
  <c r="BH210" i="27"/>
  <c r="BI209" i="27"/>
  <c r="BH99" i="27"/>
  <c r="BH104" i="27"/>
  <c r="BH119" i="27"/>
  <c r="BH283" i="27"/>
  <c r="BH225" i="27"/>
  <c r="BH92" i="27"/>
  <c r="BH235" i="27"/>
  <c r="BH238" i="27"/>
  <c r="BH239" i="27"/>
  <c r="BH219" i="27"/>
  <c r="BH229" i="27"/>
  <c r="BH232" i="27"/>
  <c r="BH233" i="27"/>
  <c r="BH91" i="27"/>
  <c r="BH142" i="27"/>
  <c r="BH59" i="27"/>
  <c r="AW44" i="1"/>
  <c r="AW45" i="1"/>
  <c r="BH145" i="27"/>
  <c r="BH147" i="27"/>
  <c r="BH149" i="27"/>
  <c r="BH150" i="27"/>
  <c r="BH291" i="27"/>
  <c r="BH292" i="27"/>
  <c r="BH284" i="27"/>
  <c r="BI308" i="27"/>
  <c r="BI300" i="27"/>
  <c r="BI307" i="27"/>
  <c r="BI306" i="27"/>
  <c r="BI303" i="27"/>
  <c r="BI39" i="27"/>
  <c r="BI176" i="27"/>
  <c r="BH296" i="27"/>
  <c r="BH295" i="27"/>
  <c r="BI160" i="27"/>
  <c r="BI313" i="27"/>
  <c r="BI315" i="27"/>
  <c r="BI177" i="27"/>
  <c r="BI236" i="27"/>
  <c r="BI40" i="27"/>
  <c r="BI304" i="27"/>
  <c r="AS77" i="15"/>
  <c r="AX77" i="15"/>
  <c r="BC77" i="15"/>
  <c r="BI161" i="27"/>
  <c r="BI43" i="27"/>
  <c r="BI230" i="27"/>
  <c r="AS101" i="15"/>
  <c r="BI46" i="27"/>
  <c r="BI49" i="27"/>
  <c r="BI44" i="27"/>
  <c r="BI50" i="27"/>
  <c r="BI155" i="27"/>
  <c r="BI54" i="27"/>
  <c r="BI146" i="27"/>
  <c r="BI328" i="27"/>
  <c r="BI330" i="27"/>
  <c r="BI178" i="27"/>
  <c r="BI166" i="27"/>
  <c r="AS117" i="15"/>
  <c r="AS123" i="15"/>
  <c r="AX101" i="15"/>
  <c r="AS113" i="15"/>
  <c r="AS109" i="15"/>
  <c r="BI175" i="27"/>
  <c r="BI180" i="27"/>
  <c r="BI221" i="27"/>
  <c r="BI224" i="27"/>
  <c r="AX117" i="15"/>
  <c r="BC101" i="15"/>
  <c r="BC109" i="15"/>
  <c r="AX109" i="15"/>
  <c r="BI231" i="27"/>
  <c r="BI237" i="27"/>
  <c r="BI53" i="27"/>
  <c r="BI216" i="27"/>
  <c r="BI218" i="27"/>
  <c r="BI229" i="27"/>
  <c r="BI232" i="27"/>
  <c r="BI233" i="27"/>
  <c r="BI207" i="27"/>
  <c r="BI283" i="27"/>
  <c r="AX44" i="1"/>
  <c r="AX45" i="1"/>
  <c r="BI59" i="27"/>
  <c r="BI85" i="27"/>
  <c r="BI142" i="27"/>
  <c r="BI210" i="27"/>
  <c r="BJ209" i="27"/>
  <c r="BI235" i="27"/>
  <c r="BI238" i="27"/>
  <c r="BI239" i="27"/>
  <c r="BI92" i="27"/>
  <c r="BI225" i="27"/>
  <c r="BI91" i="27"/>
  <c r="BI219" i="27"/>
  <c r="BI99" i="27"/>
  <c r="BI104" i="27"/>
  <c r="BI119" i="27"/>
  <c r="BI291" i="27"/>
  <c r="BI292" i="27"/>
  <c r="BJ300" i="27"/>
  <c r="BI284" i="27"/>
  <c r="BJ308" i="27"/>
  <c r="BI145" i="27"/>
  <c r="BI147" i="27"/>
  <c r="BI149" i="27"/>
  <c r="BI150" i="27"/>
  <c r="BJ307" i="27"/>
  <c r="BJ306" i="27"/>
  <c r="BJ303" i="27"/>
  <c r="BJ39" i="27"/>
  <c r="BJ176" i="27"/>
  <c r="BI295" i="27"/>
  <c r="BI296" i="27"/>
  <c r="BJ160" i="27"/>
  <c r="BJ313" i="27"/>
  <c r="BJ315" i="27"/>
  <c r="BJ177" i="27"/>
  <c r="BJ236" i="27"/>
  <c r="BJ40" i="27"/>
  <c r="BJ161" i="27"/>
  <c r="BJ304" i="27"/>
  <c r="BJ43" i="27"/>
  <c r="AT77" i="15"/>
  <c r="AY77" i="15"/>
  <c r="BD77" i="15"/>
  <c r="BJ230" i="27"/>
  <c r="BJ46" i="27"/>
  <c r="BJ44" i="27"/>
  <c r="AT101" i="15"/>
  <c r="AY101" i="15"/>
  <c r="AT113" i="15"/>
  <c r="AT109" i="15"/>
  <c r="BJ49" i="27"/>
  <c r="AT117" i="15"/>
  <c r="AT123" i="15"/>
  <c r="BJ166" i="27"/>
  <c r="BJ328" i="27"/>
  <c r="BJ330" i="27"/>
  <c r="BJ178" i="27"/>
  <c r="BJ237" i="27"/>
  <c r="BJ231" i="27"/>
  <c r="BJ155" i="27"/>
  <c r="BJ175" i="27"/>
  <c r="BJ180" i="27"/>
  <c r="BJ54" i="27"/>
  <c r="BJ146" i="27"/>
  <c r="BJ50" i="27"/>
  <c r="BD101" i="15"/>
  <c r="BD109" i="15"/>
  <c r="AY117" i="15"/>
  <c r="AY109" i="15"/>
  <c r="BJ53" i="27"/>
  <c r="BJ142" i="27"/>
  <c r="BJ221" i="27"/>
  <c r="BJ224" i="27"/>
  <c r="BJ207" i="27"/>
  <c r="BJ216" i="27"/>
  <c r="BJ218" i="27"/>
  <c r="AY44" i="1"/>
  <c r="AY45" i="1"/>
  <c r="BJ59" i="27"/>
  <c r="BZ313" i="7"/>
  <c r="BY313" i="7"/>
  <c r="BX313" i="7"/>
  <c r="BW313" i="7"/>
  <c r="BV313" i="7"/>
  <c r="BZ1029" i="7"/>
  <c r="BZ1019" i="7"/>
  <c r="BU1029" i="7"/>
  <c r="BU1019" i="7"/>
  <c r="BP1029" i="7"/>
  <c r="BP1019" i="7"/>
  <c r="BK1029" i="7"/>
  <c r="BK1019" i="7"/>
  <c r="BZ793" i="7"/>
  <c r="BY793" i="7"/>
  <c r="BX793" i="7"/>
  <c r="BW793" i="7"/>
  <c r="BV793" i="7"/>
  <c r="BU793" i="7"/>
  <c r="BT793" i="7"/>
  <c r="BS793" i="7"/>
  <c r="BR793" i="7"/>
  <c r="BQ793" i="7"/>
  <c r="BP793" i="7"/>
  <c r="BO793" i="7"/>
  <c r="BN793" i="7"/>
  <c r="BM793" i="7"/>
  <c r="BL793" i="7"/>
  <c r="BK793" i="7"/>
  <c r="BJ793" i="7"/>
  <c r="BI793" i="7"/>
  <c r="BH793" i="7"/>
  <c r="BG793" i="7"/>
  <c r="BF793" i="7"/>
  <c r="BE793" i="7"/>
  <c r="BD793" i="7"/>
  <c r="BC793" i="7"/>
  <c r="BB793" i="7"/>
  <c r="BA793" i="7"/>
  <c r="AZ793" i="7"/>
  <c r="AY793" i="7"/>
  <c r="AX793" i="7"/>
  <c r="AW793" i="7"/>
  <c r="AR793" i="7"/>
  <c r="AS793" i="7"/>
  <c r="AT793" i="7"/>
  <c r="AU793" i="7"/>
  <c r="AV793" i="7"/>
  <c r="AP804" i="7"/>
  <c r="AP793" i="7"/>
  <c r="AQ793" i="7"/>
  <c r="AZ781" i="7"/>
  <c r="BA781" i="7" s="1"/>
  <c r="BB781" i="7" s="1"/>
  <c r="BC781" i="7" s="1"/>
  <c r="BD781" i="7" s="1"/>
  <c r="BE781" i="7" s="1"/>
  <c r="BF781" i="7" s="1"/>
  <c r="BG781" i="7" s="1"/>
  <c r="BH781" i="7" s="1"/>
  <c r="BI781" i="7" s="1"/>
  <c r="BJ781" i="7" s="1"/>
  <c r="BK781" i="7" s="1"/>
  <c r="BL781" i="7" s="1"/>
  <c r="BM781" i="7" s="1"/>
  <c r="BN781" i="7" s="1"/>
  <c r="BO781" i="7" s="1"/>
  <c r="BP781" i="7" s="1"/>
  <c r="BQ781" i="7" s="1"/>
  <c r="BR781" i="7" s="1"/>
  <c r="BS781" i="7" s="1"/>
  <c r="BT781" i="7" s="1"/>
  <c r="BU781" i="7" s="1"/>
  <c r="BV781" i="7" s="1"/>
  <c r="BW781" i="7" s="1"/>
  <c r="BX781" i="7" s="1"/>
  <c r="BY781" i="7" s="1"/>
  <c r="BZ781" i="7" s="1"/>
  <c r="AP806" i="7"/>
  <c r="BZ341" i="7"/>
  <c r="BZ335" i="7"/>
  <c r="BY332" i="7"/>
  <c r="BX332" i="7"/>
  <c r="BW332" i="7"/>
  <c r="BV332" i="7"/>
  <c r="BU341" i="7"/>
  <c r="BU335" i="7"/>
  <c r="BT332" i="7"/>
  <c r="BP341" i="7"/>
  <c r="BP335" i="7"/>
  <c r="BK341" i="7"/>
  <c r="BK335" i="7"/>
  <c r="BF341" i="7"/>
  <c r="BF335" i="7"/>
  <c r="BA341" i="7"/>
  <c r="BA335" i="7"/>
  <c r="BZ99" i="7"/>
  <c r="BZ97" i="7"/>
  <c r="BU99" i="7"/>
  <c r="BU97" i="7"/>
  <c r="BP99" i="7"/>
  <c r="BP97" i="7"/>
  <c r="BK99" i="7"/>
  <c r="BK97" i="7"/>
  <c r="BF99" i="7"/>
  <c r="BF97" i="7"/>
  <c r="BA99" i="7"/>
  <c r="BA97" i="7"/>
  <c r="BZ105" i="7"/>
  <c r="BY104" i="7"/>
  <c r="BY92" i="7" s="1"/>
  <c r="BX104" i="7"/>
  <c r="BX92" i="7" s="1"/>
  <c r="BZ89" i="7"/>
  <c r="BU89" i="7"/>
  <c r="BP89" i="7"/>
  <c r="BK89" i="7"/>
  <c r="BF89" i="7"/>
  <c r="BA89" i="7"/>
  <c r="BZ73" i="7"/>
  <c r="BY70" i="7"/>
  <c r="BX70" i="7"/>
  <c r="BW70" i="7"/>
  <c r="BV70" i="7"/>
  <c r="BU73" i="7"/>
  <c r="BT70" i="7"/>
  <c r="BP73" i="7"/>
  <c r="BK73" i="7"/>
  <c r="BF73" i="7"/>
  <c r="BA73" i="7"/>
  <c r="AV73" i="7"/>
  <c r="BZ136" i="7"/>
  <c r="BY133" i="7"/>
  <c r="BX133" i="7"/>
  <c r="BW133" i="7"/>
  <c r="BV133" i="7"/>
  <c r="BU136" i="7"/>
  <c r="BT133" i="7"/>
  <c r="BP136" i="7"/>
  <c r="BK136" i="7"/>
  <c r="BF136" i="7"/>
  <c r="BA136" i="7"/>
  <c r="AO1074" i="7"/>
  <c r="AN1074" i="7"/>
  <c r="AM1074" i="7"/>
  <c r="AK1074" i="7"/>
  <c r="AJ1074" i="7"/>
  <c r="AI1074" i="7"/>
  <c r="AH1074" i="7"/>
  <c r="AG1066" i="7"/>
  <c r="AG1073" i="7" s="1"/>
  <c r="AF1074" i="7"/>
  <c r="AF1073" i="7"/>
  <c r="AE1074" i="7"/>
  <c r="AE1073" i="7"/>
  <c r="AD1074" i="7"/>
  <c r="AD1073" i="7"/>
  <c r="BZ1055" i="7"/>
  <c r="BZ1045" i="7"/>
  <c r="BZ1042" i="7"/>
  <c r="BU1055" i="7"/>
  <c r="BU1045" i="7"/>
  <c r="BU1042" i="7"/>
  <c r="BP1055" i="7"/>
  <c r="BP1045" i="7"/>
  <c r="BP1042" i="7"/>
  <c r="BK1055" i="7"/>
  <c r="BK1045" i="7"/>
  <c r="BK1042" i="7"/>
  <c r="BF1055" i="7"/>
  <c r="BF1045" i="7"/>
  <c r="BF1042" i="7"/>
  <c r="BA1055" i="7"/>
  <c r="BA1045" i="7"/>
  <c r="BA1042" i="7"/>
  <c r="AP1041" i="7"/>
  <c r="AP1049" i="7" s="1"/>
  <c r="AP1054" i="7"/>
  <c r="AP1062" i="7" s="1"/>
  <c r="AO1054" i="7"/>
  <c r="AO1062" i="7" s="1"/>
  <c r="AO1041" i="7"/>
  <c r="AO1049" i="7" s="1"/>
  <c r="AN1056" i="7"/>
  <c r="AO1056" i="7" s="1"/>
  <c r="AO1064" i="7" s="1"/>
  <c r="AN1054" i="7"/>
  <c r="AN1062" i="7" s="1"/>
  <c r="AN1043" i="7"/>
  <c r="AN1051" i="7" s="1"/>
  <c r="AN1041" i="7"/>
  <c r="AN1049" i="7" s="1"/>
  <c r="AL1060" i="7"/>
  <c r="AL1074" i="7" s="1"/>
  <c r="AL1055" i="7"/>
  <c r="AL1047" i="7"/>
  <c r="AL1042" i="7"/>
  <c r="AK1054" i="7"/>
  <c r="AK1062" i="7" s="1"/>
  <c r="AK1041" i="7"/>
  <c r="AK1049" i="7" s="1"/>
  <c r="AJ1054" i="7"/>
  <c r="AJ1062" i="7" s="1"/>
  <c r="AJ1041" i="7"/>
  <c r="AF1067" i="7"/>
  <c r="AE1067" i="7"/>
  <c r="AD1067" i="7"/>
  <c r="AI1056" i="7"/>
  <c r="AI1064" i="7" s="1"/>
  <c r="AI1043" i="7"/>
  <c r="AI1054" i="7"/>
  <c r="AI1062" i="7" s="1"/>
  <c r="AI1041" i="7"/>
  <c r="AI1049" i="7" s="1"/>
  <c r="AM1064" i="7"/>
  <c r="AH1064" i="7"/>
  <c r="AE1064" i="7"/>
  <c r="AD1064" i="7"/>
  <c r="AD1062" i="7"/>
  <c r="AG1060" i="7"/>
  <c r="AL1054" i="7" s="1"/>
  <c r="AG1047" i="7"/>
  <c r="AH1041" i="7" s="1"/>
  <c r="AF1043" i="7"/>
  <c r="AF1056" i="7"/>
  <c r="AF1054" i="7"/>
  <c r="AE1055" i="7"/>
  <c r="AD1059" i="7"/>
  <c r="AE1054" i="7"/>
  <c r="AF1041" i="7"/>
  <c r="AE1042" i="7"/>
  <c r="AF1042" i="7" s="1"/>
  <c r="AE1041" i="7"/>
  <c r="AD1046" i="7"/>
  <c r="AM1051" i="7"/>
  <c r="AH1051" i="7"/>
  <c r="AE1051" i="7"/>
  <c r="AD1051" i="7"/>
  <c r="AD1049" i="7"/>
  <c r="BF1029" i="7"/>
  <c r="BF1019" i="7"/>
  <c r="BA1019" i="7"/>
  <c r="BR685" i="7"/>
  <c r="BR682" i="7"/>
  <c r="BQ685" i="7"/>
  <c r="BQ682" i="7"/>
  <c r="BP685" i="7"/>
  <c r="BP682" i="7"/>
  <c r="BO685" i="7"/>
  <c r="BO682" i="7"/>
  <c r="BN685" i="7"/>
  <c r="BN682" i="7"/>
  <c r="BM685" i="7"/>
  <c r="BM682" i="7"/>
  <c r="BL685" i="7"/>
  <c r="BL682" i="7"/>
  <c r="BK685" i="7"/>
  <c r="BK682" i="7"/>
  <c r="BJ685" i="7"/>
  <c r="BJ682" i="7"/>
  <c r="BI685" i="7"/>
  <c r="BI682" i="7"/>
  <c r="BH685" i="7"/>
  <c r="BH682" i="7"/>
  <c r="BG685" i="7"/>
  <c r="BG682" i="7"/>
  <c r="BF685" i="7"/>
  <c r="BF682" i="7"/>
  <c r="BE685" i="7"/>
  <c r="BE682" i="7"/>
  <c r="BD685" i="7"/>
  <c r="BD682" i="7"/>
  <c r="BC685" i="7"/>
  <c r="BC682" i="7"/>
  <c r="BB685" i="7"/>
  <c r="BB682" i="7"/>
  <c r="BA685" i="7"/>
  <c r="BA682" i="7"/>
  <c r="AZ685" i="7"/>
  <c r="AZ682" i="7"/>
  <c r="AW682" i="7"/>
  <c r="AV682" i="7"/>
  <c r="AU682" i="7"/>
  <c r="AT682" i="7"/>
  <c r="AS682" i="7"/>
  <c r="AR682" i="7"/>
  <c r="AQ682" i="7"/>
  <c r="AP682" i="7"/>
  <c r="AO682" i="7"/>
  <c r="AN682" i="7"/>
  <c r="AO680" i="7"/>
  <c r="AN680" i="7"/>
  <c r="AM680" i="7"/>
  <c r="AK680" i="7"/>
  <c r="AJ680" i="7"/>
  <c r="AI680" i="7"/>
  <c r="AH680" i="7"/>
  <c r="AF680" i="7"/>
  <c r="AE680" i="7"/>
  <c r="AD680" i="7"/>
  <c r="AC680" i="7"/>
  <c r="AA680" i="7"/>
  <c r="Z680" i="7"/>
  <c r="Y680" i="7"/>
  <c r="X680" i="7"/>
  <c r="V680" i="7"/>
  <c r="U680" i="7"/>
  <c r="T680" i="7"/>
  <c r="S680" i="7"/>
  <c r="Q680" i="7"/>
  <c r="AO856" i="7"/>
  <c r="AN856" i="7"/>
  <c r="AM856" i="7"/>
  <c r="AI856" i="7"/>
  <c r="AJ856" i="7"/>
  <c r="AK856" i="7"/>
  <c r="AH856" i="7"/>
  <c r="AF856" i="7"/>
  <c r="AE856" i="7"/>
  <c r="AD856" i="7"/>
  <c r="AH853" i="7"/>
  <c r="AH861" i="7" s="1"/>
  <c r="AI853" i="7"/>
  <c r="AI861" i="7" s="1"/>
  <c r="AJ853" i="7"/>
  <c r="AJ861" i="7" s="1"/>
  <c r="AK853" i="7"/>
  <c r="AK861" i="7" s="1"/>
  <c r="AM853" i="7"/>
  <c r="AM861" i="7" s="1"/>
  <c r="AN853" i="7"/>
  <c r="AN861" i="7" s="1"/>
  <c r="AO853" i="7"/>
  <c r="AO861" i="7" s="1"/>
  <c r="AF853" i="7"/>
  <c r="AF861" i="7" s="1"/>
  <c r="AE853" i="7"/>
  <c r="AE861" i="7" s="1"/>
  <c r="AD853" i="7"/>
  <c r="AD861" i="7" s="1"/>
  <c r="BZ834" i="7"/>
  <c r="BZ831" i="7"/>
  <c r="BZ821" i="7"/>
  <c r="BZ818" i="7"/>
  <c r="BU834" i="7"/>
  <c r="BU831" i="7"/>
  <c r="BU821" i="7"/>
  <c r="BU818" i="7"/>
  <c r="BP834" i="7"/>
  <c r="BP831" i="7"/>
  <c r="BP821" i="7"/>
  <c r="BP818" i="7"/>
  <c r="BK834" i="7"/>
  <c r="BK831" i="7"/>
  <c r="BK821" i="7"/>
  <c r="BK818" i="7"/>
  <c r="BF834" i="7"/>
  <c r="BF831" i="7"/>
  <c r="BF821" i="7"/>
  <c r="BF818" i="7"/>
  <c r="BA834" i="7"/>
  <c r="BA831" i="7"/>
  <c r="BA821" i="7"/>
  <c r="BA818" i="7"/>
  <c r="AS845" i="7"/>
  <c r="AS846" i="7"/>
  <c r="AS1036" i="7" s="1"/>
  <c r="AR846" i="7"/>
  <c r="AR1036" i="7" s="1"/>
  <c r="AR845" i="7"/>
  <c r="AR1035" i="7" s="1"/>
  <c r="AR1029" i="7" s="1"/>
  <c r="AP817" i="7"/>
  <c r="AP830" i="7"/>
  <c r="AO830" i="7"/>
  <c r="AO838" i="7" s="1"/>
  <c r="AO817" i="7"/>
  <c r="AO825" i="7" s="1"/>
  <c r="AN832" i="7"/>
  <c r="AN840" i="7" s="1"/>
  <c r="AN830" i="7"/>
  <c r="AN819" i="7"/>
  <c r="AO819" i="7" s="1"/>
  <c r="AN817" i="7"/>
  <c r="AM840" i="7"/>
  <c r="AM827" i="7"/>
  <c r="AL836" i="7"/>
  <c r="AL834" i="7"/>
  <c r="AL831" i="7"/>
  <c r="AK830" i="7"/>
  <c r="AK838" i="7" s="1"/>
  <c r="AL823" i="7"/>
  <c r="AL821" i="7"/>
  <c r="AL818" i="7"/>
  <c r="AK817" i="7"/>
  <c r="AH840" i="7"/>
  <c r="AD840" i="7"/>
  <c r="AD838" i="7"/>
  <c r="AJ830" i="7"/>
  <c r="AJ838" i="7" s="1"/>
  <c r="AJ817" i="7"/>
  <c r="AJ825" i="7" s="1"/>
  <c r="AI832" i="7"/>
  <c r="AI840" i="7" s="1"/>
  <c r="AI830" i="7"/>
  <c r="AI819" i="7"/>
  <c r="AI817" i="7"/>
  <c r="AH827" i="7"/>
  <c r="AG836" i="7"/>
  <c r="AL830" i="7" s="1"/>
  <c r="AG823" i="7"/>
  <c r="AH817" i="7" s="1"/>
  <c r="AF830" i="7"/>
  <c r="AD827" i="7"/>
  <c r="AF817" i="7"/>
  <c r="AE834" i="7"/>
  <c r="AF834" i="7" s="1"/>
  <c r="AE832" i="7"/>
  <c r="AE840" i="7" s="1"/>
  <c r="AE831" i="7"/>
  <c r="AE821" i="7"/>
  <c r="AF821" i="7" s="1"/>
  <c r="AE819" i="7"/>
  <c r="AE830" i="7"/>
  <c r="AD835" i="7"/>
  <c r="AE817" i="7"/>
  <c r="AD818" i="7"/>
  <c r="AD822" i="7" s="1"/>
  <c r="AO846" i="7"/>
  <c r="AO1036" i="7" s="1"/>
  <c r="AN846" i="7"/>
  <c r="AN1036" i="7" s="1"/>
  <c r="AM846" i="7"/>
  <c r="AM1036" i="7" s="1"/>
  <c r="AO845" i="7"/>
  <c r="AO1035" i="7" s="1"/>
  <c r="AN845" i="7"/>
  <c r="AN1035" i="7" s="1"/>
  <c r="AM845" i="7"/>
  <c r="AM1035" i="7" s="1"/>
  <c r="AM1031" i="7" s="1"/>
  <c r="AK846" i="7"/>
  <c r="AK1036" i="7" s="1"/>
  <c r="AK845" i="7"/>
  <c r="AK1035" i="7" s="1"/>
  <c r="AJ846" i="7"/>
  <c r="AJ1036" i="7" s="1"/>
  <c r="AI846" i="7"/>
  <c r="AI1036" i="7" s="1"/>
  <c r="AH846" i="7"/>
  <c r="AH1036" i="7" s="1"/>
  <c r="AJ845" i="7"/>
  <c r="AJ1035" i="7" s="1"/>
  <c r="AJ1029" i="7" s="1"/>
  <c r="AI845" i="7"/>
  <c r="AI1035" i="7" s="1"/>
  <c r="AH845" i="7"/>
  <c r="AH1035" i="7" s="1"/>
  <c r="AH1031" i="7" s="1"/>
  <c r="AF846" i="7"/>
  <c r="AF1036" i="7" s="1"/>
  <c r="AF845" i="7"/>
  <c r="AF1035" i="7" s="1"/>
  <c r="AE846" i="7"/>
  <c r="AE845" i="7"/>
  <c r="AD846" i="7"/>
  <c r="AD845" i="7"/>
  <c r="AO1071" i="7"/>
  <c r="AO302" i="7" s="1"/>
  <c r="AN1071" i="7"/>
  <c r="AN302" i="7" s="1"/>
  <c r="AM1071" i="7"/>
  <c r="AM302" i="7" s="1"/>
  <c r="AK1071" i="7"/>
  <c r="AK302" i="7" s="1"/>
  <c r="AJ1071" i="7"/>
  <c r="AJ302" i="7" s="1"/>
  <c r="AI1071" i="7"/>
  <c r="AI302" i="7" s="1"/>
  <c r="AH1071" i="7"/>
  <c r="AH302" i="7" s="1"/>
  <c r="AS356" i="7"/>
  <c r="AT356" i="7"/>
  <c r="AT334" i="7" s="1"/>
  <c r="AP984" i="7"/>
  <c r="BS402" i="7"/>
  <c r="BR402" i="7"/>
  <c r="BQ402" i="7"/>
  <c r="BT374" i="7"/>
  <c r="BS374" i="7"/>
  <c r="BR374" i="7"/>
  <c r="BQ374" i="7"/>
  <c r="AT845" i="7"/>
  <c r="AS10" i="9"/>
  <c r="AS9" i="9"/>
  <c r="BP205" i="7"/>
  <c r="BK205" i="7"/>
  <c r="BF205" i="7"/>
  <c r="BA205" i="7"/>
  <c r="BS154" i="7"/>
  <c r="BS155" i="7" s="1"/>
  <c r="AO28" i="13"/>
  <c r="AO27" i="13"/>
  <c r="BS17" i="13"/>
  <c r="BS986" i="7" s="1"/>
  <c r="AO850" i="7"/>
  <c r="AO121" i="7" s="1"/>
  <c r="AN850" i="7"/>
  <c r="AN121" i="7" s="1"/>
  <c r="AM850" i="7"/>
  <c r="AM121" i="7" s="1"/>
  <c r="AK850" i="7"/>
  <c r="AK121" i="7" s="1"/>
  <c r="AJ850" i="7"/>
  <c r="AJ121" i="7" s="1"/>
  <c r="AI850" i="7"/>
  <c r="AI121" i="7" s="1"/>
  <c r="AH850" i="7"/>
  <c r="AH121" i="7" s="1"/>
  <c r="AF850" i="7"/>
  <c r="AF121" i="7" s="1"/>
  <c r="AE850" i="7"/>
  <c r="AE121" i="7" s="1"/>
  <c r="AD850" i="7"/>
  <c r="AD121" i="7" s="1"/>
  <c r="AD888" i="7"/>
  <c r="AD937" i="7" s="1"/>
  <c r="AQ177" i="13"/>
  <c r="AP181" i="13"/>
  <c r="AQ181" i="13" s="1"/>
  <c r="AQ15" i="45" s="1"/>
  <c r="AO181" i="13"/>
  <c r="AO157" i="12"/>
  <c r="AO178" i="13"/>
  <c r="AQ136" i="13"/>
  <c r="AO127" i="13"/>
  <c r="AO130" i="13" s="1"/>
  <c r="AO68" i="13"/>
  <c r="AQ66" i="13"/>
  <c r="AP89" i="13"/>
  <c r="AP92" i="13"/>
  <c r="AP94" i="13"/>
  <c r="AP96" i="13"/>
  <c r="AP97" i="13"/>
  <c r="AP98" i="13"/>
  <c r="AP87" i="13"/>
  <c r="AQ65" i="13"/>
  <c r="AQ64" i="13"/>
  <c r="AQ63" i="13"/>
  <c r="AQ84" i="13"/>
  <c r="AR98" i="13" s="1"/>
  <c r="AP92" i="12"/>
  <c r="AP91" i="12"/>
  <c r="AP90" i="12"/>
  <c r="AP89" i="12"/>
  <c r="AP88" i="12"/>
  <c r="AP87" i="12"/>
  <c r="AP86" i="12"/>
  <c r="AQ83" i="13"/>
  <c r="AR97" i="13" s="1"/>
  <c r="AQ82" i="13"/>
  <c r="AR96" i="13" s="1"/>
  <c r="AP81" i="13"/>
  <c r="AQ81" i="13" s="1"/>
  <c r="AO81" i="13"/>
  <c r="AQ126" i="13"/>
  <c r="AQ125" i="13"/>
  <c r="AQ124" i="13"/>
  <c r="AQ123" i="13"/>
  <c r="AQ122" i="13"/>
  <c r="AQ121" i="13"/>
  <c r="AQ61" i="13"/>
  <c r="AQ117" i="13"/>
  <c r="AQ118" i="13"/>
  <c r="AQ119" i="13"/>
  <c r="AQ120" i="13"/>
  <c r="AQ116" i="13"/>
  <c r="AQ114" i="13"/>
  <c r="AQ80" i="13"/>
  <c r="AR94" i="13" s="1"/>
  <c r="AP79" i="13"/>
  <c r="AQ79" i="13" s="1"/>
  <c r="AO79" i="13"/>
  <c r="AQ59" i="13"/>
  <c r="AQ78" i="13"/>
  <c r="AR92" i="13" s="1"/>
  <c r="AP77" i="13"/>
  <c r="AQ77" i="13" s="1"/>
  <c r="AO77" i="13"/>
  <c r="AP76" i="13"/>
  <c r="AQ76" i="13" s="1"/>
  <c r="AO76" i="13"/>
  <c r="AQ55" i="13"/>
  <c r="AQ74" i="13"/>
  <c r="AR89" i="13" s="1"/>
  <c r="AQ71" i="13"/>
  <c r="AR87" i="13" s="1"/>
  <c r="AQ111" i="13"/>
  <c r="AQ52" i="13"/>
  <c r="AQ110" i="13"/>
  <c r="AO385" i="13"/>
  <c r="AO200" i="13"/>
  <c r="AO405" i="13"/>
  <c r="AO406" i="13" s="1"/>
  <c r="AR403" i="13"/>
  <c r="AP403" i="13"/>
  <c r="AQ109" i="13"/>
  <c r="AQ102" i="13"/>
  <c r="AO112" i="43"/>
  <c r="AO382" i="13"/>
  <c r="AR380" i="13"/>
  <c r="AP380" i="13"/>
  <c r="AS1074" i="7"/>
  <c r="AP1074" i="7"/>
  <c r="BJ145" i="27"/>
  <c r="BJ147" i="27"/>
  <c r="BJ149" i="27"/>
  <c r="BJ219" i="27"/>
  <c r="BJ229" i="27"/>
  <c r="BJ232" i="27"/>
  <c r="BJ233" i="27"/>
  <c r="BJ91" i="27"/>
  <c r="BJ210" i="27"/>
  <c r="BK209" i="27"/>
  <c r="BJ283" i="27"/>
  <c r="BJ99" i="27"/>
  <c r="BJ104" i="27"/>
  <c r="BJ119" i="27"/>
  <c r="BJ150" i="27"/>
  <c r="BJ235" i="27"/>
  <c r="BJ92" i="27"/>
  <c r="BJ225" i="27"/>
  <c r="AE179" i="1"/>
  <c r="AT55" i="35"/>
  <c r="AP805" i="7"/>
  <c r="BF105" i="7"/>
  <c r="BK105" i="7" s="1"/>
  <c r="BP105" i="7" s="1"/>
  <c r="BB1056" i="7"/>
  <c r="AP127" i="13"/>
  <c r="AP130" i="13" s="1"/>
  <c r="AQ60" i="13"/>
  <c r="AQ57" i="13"/>
  <c r="AQ62" i="13"/>
  <c r="AQ58" i="13"/>
  <c r="AR804" i="7"/>
  <c r="BJ238" i="27"/>
  <c r="BJ239" i="27"/>
  <c r="BJ284" i="27"/>
  <c r="BK308" i="27"/>
  <c r="BJ291" i="27"/>
  <c r="BJ292" i="27"/>
  <c r="BK300" i="27"/>
  <c r="AU54" i="35"/>
  <c r="AU9" i="9"/>
  <c r="AW244" i="14"/>
  <c r="AS804" i="7"/>
  <c r="AS1054" i="7"/>
  <c r="AR1074" i="7"/>
  <c r="AS1041" i="7"/>
  <c r="AP853" i="7"/>
  <c r="AP861" i="7" s="1"/>
  <c r="BC832" i="7"/>
  <c r="BH832" i="7" s="1"/>
  <c r="BM832" i="7" s="1"/>
  <c r="AQ176" i="13"/>
  <c r="AP179" i="13"/>
  <c r="AP178" i="13"/>
  <c r="AQ51" i="13"/>
  <c r="BK307" i="27"/>
  <c r="BL307" i="27"/>
  <c r="BL308" i="27"/>
  <c r="BK303" i="27"/>
  <c r="BK306" i="27"/>
  <c r="BL300" i="27"/>
  <c r="BK39" i="27"/>
  <c r="BK176" i="27"/>
  <c r="BJ296" i="27"/>
  <c r="BJ295" i="27"/>
  <c r="AT804" i="7"/>
  <c r="AS789" i="7"/>
  <c r="AT789" i="7" s="1"/>
  <c r="AT791" i="7" s="1"/>
  <c r="AR806" i="7"/>
  <c r="AR805" i="7"/>
  <c r="BV92" i="7"/>
  <c r="BW92" i="7"/>
  <c r="AT1054" i="7"/>
  <c r="AT1059" i="7" s="1"/>
  <c r="AQ50" i="13"/>
  <c r="AP385" i="13"/>
  <c r="AR192" i="13"/>
  <c r="AP192" i="13"/>
  <c r="AR189" i="13"/>
  <c r="AP189" i="13"/>
  <c r="AP194" i="13"/>
  <c r="AO194" i="13"/>
  <c r="AO197" i="13" s="1"/>
  <c r="AO198" i="13" s="1"/>
  <c r="BP508" i="7"/>
  <c r="BK508" i="7"/>
  <c r="BF508" i="7"/>
  <c r="BP458" i="7"/>
  <c r="BK458" i="7"/>
  <c r="BF458" i="7"/>
  <c r="AO653" i="7"/>
  <c r="AN653" i="7"/>
  <c r="AM653" i="7"/>
  <c r="AP653" i="7"/>
  <c r="AO575" i="7"/>
  <c r="AX590" i="7"/>
  <c r="AX591" i="7" s="1"/>
  <c r="AU587" i="7"/>
  <c r="AW586" i="7"/>
  <c r="AX586" i="7" s="1"/>
  <c r="AX587" i="7" s="1"/>
  <c r="AS584" i="7"/>
  <c r="AN581" i="7"/>
  <c r="AT583" i="7"/>
  <c r="AU583" i="7" s="1"/>
  <c r="AO580" i="7"/>
  <c r="AP580" i="7" s="1"/>
  <c r="AQ580" i="7" s="1"/>
  <c r="AR580" i="7" s="1"/>
  <c r="AS580" i="7" s="1"/>
  <c r="AS574" i="7"/>
  <c r="AT574" i="7" s="1"/>
  <c r="AU574" i="7" s="1"/>
  <c r="AV574" i="7" s="1"/>
  <c r="AW574" i="7" s="1"/>
  <c r="AX574" i="7" s="1"/>
  <c r="AP68" i="13"/>
  <c r="AR385" i="13"/>
  <c r="BL306" i="27"/>
  <c r="BK160" i="27"/>
  <c r="BL39" i="27"/>
  <c r="BL303" i="27"/>
  <c r="BL313" i="27"/>
  <c r="BL315" i="27"/>
  <c r="BK313" i="27"/>
  <c r="BK315" i="27"/>
  <c r="BK177" i="27"/>
  <c r="BL177" i="27"/>
  <c r="BV177" i="27"/>
  <c r="BK304" i="27"/>
  <c r="BK40" i="27"/>
  <c r="BL176" i="27"/>
  <c r="AS805" i="7"/>
  <c r="AR853" i="7"/>
  <c r="AR861" i="7" s="1"/>
  <c r="AR178" i="13"/>
  <c r="AQ43" i="13"/>
  <c r="AP200" i="13"/>
  <c r="BQ29" i="12"/>
  <c r="BQ449" i="7"/>
  <c r="AQ552" i="12"/>
  <c r="AP552" i="12"/>
  <c r="AQ544" i="12"/>
  <c r="AP544" i="12"/>
  <c r="AO544" i="12"/>
  <c r="AN544" i="12"/>
  <c r="AQ555" i="12"/>
  <c r="AQ565" i="12" s="1"/>
  <c r="AQ541" i="12"/>
  <c r="AP539" i="12"/>
  <c r="AP530" i="12"/>
  <c r="AP540" i="12"/>
  <c r="AO539" i="12" s="1"/>
  <c r="AO540" i="12"/>
  <c r="AO541" i="12" s="1"/>
  <c r="AO555" i="12"/>
  <c r="AO565" i="12" s="1"/>
  <c r="AP555" i="12"/>
  <c r="AP565" i="12" s="1"/>
  <c r="AN555" i="12"/>
  <c r="AN565" i="12" s="1"/>
  <c r="AO559" i="12"/>
  <c r="O536" i="42" s="1"/>
  <c r="AR574" i="12"/>
  <c r="AS574" i="12" s="1"/>
  <c r="AT574" i="12" s="1"/>
  <c r="AU574" i="12" s="1"/>
  <c r="AQ573" i="12"/>
  <c r="AP573" i="12" s="1"/>
  <c r="AU605" i="12"/>
  <c r="AT605" i="12"/>
  <c r="AS605" i="12"/>
  <c r="AR605" i="12"/>
  <c r="AQ605" i="12"/>
  <c r="AP605" i="12"/>
  <c r="AO605" i="12"/>
  <c r="AN605" i="12"/>
  <c r="AQ571" i="12"/>
  <c r="AR544" i="12"/>
  <c r="AU750" i="12"/>
  <c r="AU751" i="12" s="1"/>
  <c r="AT750" i="12"/>
  <c r="AS750" i="12"/>
  <c r="AS751" i="12" s="1"/>
  <c r="AR750" i="12"/>
  <c r="AR744" i="12"/>
  <c r="AS744" i="12"/>
  <c r="AT744" i="12"/>
  <c r="AU744" i="12"/>
  <c r="AU740" i="12"/>
  <c r="AT740" i="12"/>
  <c r="AS740" i="12"/>
  <c r="AR740" i="12"/>
  <c r="AQ737" i="12"/>
  <c r="AO740" i="12"/>
  <c r="AU731" i="12"/>
  <c r="AT731" i="12"/>
  <c r="AS731" i="12"/>
  <c r="AR731" i="12"/>
  <c r="AR756" i="12"/>
  <c r="AU758" i="12" s="1"/>
  <c r="AR707" i="12"/>
  <c r="AR703" i="12" s="1"/>
  <c r="AS708" i="12"/>
  <c r="AS707" i="12" s="1"/>
  <c r="AU718" i="12"/>
  <c r="AT718" i="12"/>
  <c r="AS718" i="12"/>
  <c r="AR718" i="12"/>
  <c r="AQ718" i="12"/>
  <c r="AQ717" i="12"/>
  <c r="AR717" i="12"/>
  <c r="AS717" i="12"/>
  <c r="AT717" i="12"/>
  <c r="AU717" i="12"/>
  <c r="AP717" i="12"/>
  <c r="AS710" i="12"/>
  <c r="AS711" i="12" s="1"/>
  <c r="AT710" i="12"/>
  <c r="AT711" i="12" s="1"/>
  <c r="AU710" i="12"/>
  <c r="AU711" i="12" s="1"/>
  <c r="AR710" i="12"/>
  <c r="AQ714" i="12"/>
  <c r="AP714" i="12"/>
  <c r="AU697" i="12"/>
  <c r="AT697" i="12"/>
  <c r="AS697" i="12"/>
  <c r="AR697" i="12"/>
  <c r="AR722" i="12"/>
  <c r="AR724" i="12" s="1"/>
  <c r="AR669" i="12"/>
  <c r="AR676" i="12" s="1"/>
  <c r="AS670" i="12"/>
  <c r="AS669" i="12" s="1"/>
  <c r="AU663" i="12"/>
  <c r="AT663" i="12"/>
  <c r="AS663" i="12"/>
  <c r="AR663" i="12"/>
  <c r="AP663" i="12"/>
  <c r="AO663" i="12"/>
  <c r="AU661" i="12"/>
  <c r="AU660" i="12"/>
  <c r="AT661" i="12"/>
  <c r="AT660" i="12"/>
  <c r="AS661" i="12"/>
  <c r="AS660" i="12"/>
  <c r="AR661" i="12"/>
  <c r="AR660" i="12"/>
  <c r="AR657" i="12"/>
  <c r="AS657" i="12"/>
  <c r="AT657" i="12"/>
  <c r="AU657" i="12"/>
  <c r="AR682" i="12"/>
  <c r="AR639" i="12"/>
  <c r="AR642" i="12" s="1"/>
  <c r="AS640" i="12"/>
  <c r="AS639" i="12" s="1"/>
  <c r="AS642" i="12" s="1"/>
  <c r="AU637" i="12"/>
  <c r="AU636" i="12"/>
  <c r="AT637" i="12"/>
  <c r="AT636" i="12"/>
  <c r="AS637" i="12"/>
  <c r="AS636" i="12"/>
  <c r="AR637" i="12"/>
  <c r="AR636" i="12"/>
  <c r="AU633" i="12"/>
  <c r="AT633" i="12"/>
  <c r="AS633" i="12"/>
  <c r="AR633" i="12"/>
  <c r="AR648" i="12"/>
  <c r="AU610" i="12"/>
  <c r="AT610" i="12"/>
  <c r="AS610" i="12"/>
  <c r="AR610" i="12"/>
  <c r="AR611" i="12" s="1"/>
  <c r="AU608" i="12"/>
  <c r="AT608" i="12"/>
  <c r="AS608" i="12"/>
  <c r="AR608" i="12"/>
  <c r="AS602" i="12"/>
  <c r="AS603" i="12"/>
  <c r="AT602" i="12"/>
  <c r="AU602" i="12"/>
  <c r="AU603" i="12"/>
  <c r="AU599" i="12"/>
  <c r="AT599" i="12"/>
  <c r="AS599" i="12"/>
  <c r="AR599" i="12"/>
  <c r="AR616" i="12"/>
  <c r="AS618" i="12" s="1"/>
  <c r="AQ669" i="12"/>
  <c r="AQ676" i="12" s="1"/>
  <c r="AQ677" i="12" s="1"/>
  <c r="AP669" i="12"/>
  <c r="AO669" i="12"/>
  <c r="AO670" i="12" s="1"/>
  <c r="AN669" i="12"/>
  <c r="AN670" i="12" s="1"/>
  <c r="AM669" i="12"/>
  <c r="AM670" i="12" s="1"/>
  <c r="AQ674" i="12"/>
  <c r="AP674" i="12"/>
  <c r="AO674" i="12"/>
  <c r="AN674" i="12"/>
  <c r="AQ673" i="12"/>
  <c r="AP673" i="12"/>
  <c r="AO673" i="12"/>
  <c r="AN673" i="12"/>
  <c r="AM673" i="12"/>
  <c r="AQ661" i="12"/>
  <c r="AP661" i="12"/>
  <c r="AO661" i="12"/>
  <c r="AN661" i="12"/>
  <c r="AQ660" i="12"/>
  <c r="AP660" i="12"/>
  <c r="AO660" i="12"/>
  <c r="AN660" i="12"/>
  <c r="AM660" i="12"/>
  <c r="AQ657" i="12"/>
  <c r="AP657" i="12"/>
  <c r="AO657" i="12"/>
  <c r="AN657" i="12"/>
  <c r="AQ748" i="12"/>
  <c r="AP748" i="12"/>
  <c r="AO748" i="12"/>
  <c r="AN748" i="12"/>
  <c r="AQ747" i="12"/>
  <c r="AP747" i="12"/>
  <c r="AO747" i="12"/>
  <c r="AN747" i="12"/>
  <c r="AM747" i="12"/>
  <c r="AQ743" i="12"/>
  <c r="AQ750" i="12" s="1"/>
  <c r="AQ751" i="12" s="1"/>
  <c r="AP743" i="12"/>
  <c r="AO743" i="12"/>
  <c r="AO750" i="12" s="1"/>
  <c r="AO751" i="12" s="1"/>
  <c r="AN743" i="12"/>
  <c r="AN744" i="12" s="1"/>
  <c r="AM743" i="12"/>
  <c r="AM744" i="12" s="1"/>
  <c r="AQ735" i="12"/>
  <c r="AP735" i="12"/>
  <c r="AO735" i="12"/>
  <c r="AN735" i="12"/>
  <c r="AQ734" i="12"/>
  <c r="AP734" i="12"/>
  <c r="AO734" i="12"/>
  <c r="AN734" i="12"/>
  <c r="AM734" i="12"/>
  <c r="AQ731" i="12"/>
  <c r="AP731" i="12"/>
  <c r="AO731" i="12"/>
  <c r="AN731" i="12"/>
  <c r="AQ712" i="12"/>
  <c r="AP712" i="12"/>
  <c r="AO712" i="12"/>
  <c r="AN712" i="12"/>
  <c r="AQ711" i="12"/>
  <c r="AP711" i="12"/>
  <c r="AO711" i="12"/>
  <c r="AN711" i="12"/>
  <c r="AM711" i="12"/>
  <c r="AQ701" i="12"/>
  <c r="AP701" i="12"/>
  <c r="AO701" i="12"/>
  <c r="AN701" i="12"/>
  <c r="AQ644" i="12"/>
  <c r="AP644" i="12"/>
  <c r="AO644" i="12"/>
  <c r="AN644" i="12"/>
  <c r="AQ637" i="12"/>
  <c r="AP637" i="12"/>
  <c r="AO637" i="12"/>
  <c r="AN637" i="12"/>
  <c r="AQ612" i="12"/>
  <c r="AP612" i="12"/>
  <c r="AO612" i="12"/>
  <c r="AN612" i="12"/>
  <c r="AQ707" i="12"/>
  <c r="AQ703" i="12" s="1"/>
  <c r="AP707" i="12"/>
  <c r="AP703" i="12" s="1"/>
  <c r="AP704" i="12" s="1"/>
  <c r="AO707" i="12"/>
  <c r="AO708" i="12" s="1"/>
  <c r="AN707" i="12"/>
  <c r="AN708" i="12" s="1"/>
  <c r="AM707" i="12"/>
  <c r="AM708" i="12" s="1"/>
  <c r="AQ700" i="12"/>
  <c r="AP700" i="12"/>
  <c r="AO700" i="12"/>
  <c r="AN700" i="12"/>
  <c r="AM700" i="12"/>
  <c r="AQ697" i="12"/>
  <c r="AP697" i="12"/>
  <c r="AO697" i="12"/>
  <c r="AN697" i="12"/>
  <c r="AQ639" i="12"/>
  <c r="AQ640" i="12" s="1"/>
  <c r="AP639" i="12"/>
  <c r="AP640" i="12" s="1"/>
  <c r="AO639" i="12"/>
  <c r="AO640" i="12" s="1"/>
  <c r="AN639" i="12"/>
  <c r="AN640" i="12" s="1"/>
  <c r="AM639" i="12"/>
  <c r="AM640" i="12" s="1"/>
  <c r="AQ643" i="12"/>
  <c r="AP643" i="12"/>
  <c r="AO643" i="12"/>
  <c r="AN643" i="12"/>
  <c r="AM643" i="12"/>
  <c r="AQ636" i="12"/>
  <c r="AP636" i="12"/>
  <c r="AO636" i="12"/>
  <c r="AN636" i="12"/>
  <c r="AM636" i="12"/>
  <c r="AQ633" i="12"/>
  <c r="AP633" i="12"/>
  <c r="AO633" i="12"/>
  <c r="AN633" i="12"/>
  <c r="AQ607" i="12"/>
  <c r="AQ608" i="12" s="1"/>
  <c r="AP607" i="12"/>
  <c r="AP608" i="12" s="1"/>
  <c r="AO607" i="12"/>
  <c r="AO608" i="12" s="1"/>
  <c r="AN607" i="12"/>
  <c r="AN608" i="12" s="1"/>
  <c r="AM607" i="12"/>
  <c r="AM608" i="12" s="1"/>
  <c r="AQ603" i="12"/>
  <c r="AP603" i="12"/>
  <c r="AO603" i="12"/>
  <c r="AN603" i="12"/>
  <c r="AQ611" i="12"/>
  <c r="AP611" i="12"/>
  <c r="AO611" i="12"/>
  <c r="AN611" i="12"/>
  <c r="AM611" i="12"/>
  <c r="AQ599" i="12"/>
  <c r="AP599" i="12"/>
  <c r="AO599" i="12"/>
  <c r="AN599" i="12"/>
  <c r="AQ602" i="12"/>
  <c r="AP602" i="12"/>
  <c r="AO602" i="12"/>
  <c r="AN602" i="12"/>
  <c r="AM602" i="12"/>
  <c r="AQ561" i="12"/>
  <c r="AQ560" i="12"/>
  <c r="AR560" i="12" s="1"/>
  <c r="AS560" i="12" s="1"/>
  <c r="AT560" i="12" s="1"/>
  <c r="AU560" i="12" s="1"/>
  <c r="AP560" i="12"/>
  <c r="AQ536" i="12"/>
  <c r="AP536" i="12"/>
  <c r="AO536" i="12"/>
  <c r="AN536" i="12"/>
  <c r="AN526" i="12"/>
  <c r="AO526" i="12" s="1"/>
  <c r="AP526" i="12" s="1"/>
  <c r="AQ526" i="12" s="1"/>
  <c r="AR526" i="12" s="1"/>
  <c r="AS526" i="12" s="1"/>
  <c r="AT526" i="12" s="1"/>
  <c r="AU526" i="12" s="1"/>
  <c r="AQ205" i="7"/>
  <c r="AU718" i="7"/>
  <c r="AV718" i="7" s="1"/>
  <c r="AZ718" i="7" s="1"/>
  <c r="BA718" i="7" s="1"/>
  <c r="BB718" i="7" s="1"/>
  <c r="BC718" i="7" s="1"/>
  <c r="BD718" i="7" s="1"/>
  <c r="BE718" i="7" s="1"/>
  <c r="BF718" i="7" s="1"/>
  <c r="BG718" i="7" s="1"/>
  <c r="BH718" i="7" s="1"/>
  <c r="BI718" i="7" s="1"/>
  <c r="BJ718" i="7" s="1"/>
  <c r="BK718" i="7" s="1"/>
  <c r="BL718" i="7" s="1"/>
  <c r="BM718" i="7" s="1"/>
  <c r="BN718" i="7" s="1"/>
  <c r="BO718" i="7" s="1"/>
  <c r="BP718" i="7" s="1"/>
  <c r="BQ718" i="7" s="1"/>
  <c r="BR718" i="7" s="1"/>
  <c r="BS718" i="7" s="1"/>
  <c r="AZ709" i="7"/>
  <c r="BA709" i="7" s="1"/>
  <c r="BB709" i="7" s="1"/>
  <c r="BC709" i="7" s="1"/>
  <c r="BD709" i="7" s="1"/>
  <c r="BE709" i="7" s="1"/>
  <c r="BF709" i="7" s="1"/>
  <c r="BG709" i="7" s="1"/>
  <c r="BH709" i="7" s="1"/>
  <c r="BI709" i="7" s="1"/>
  <c r="BJ709" i="7" s="1"/>
  <c r="BK709" i="7" s="1"/>
  <c r="BL709" i="7" s="1"/>
  <c r="BM709" i="7" s="1"/>
  <c r="BN709" i="7" s="1"/>
  <c r="BO709" i="7" s="1"/>
  <c r="BP709" i="7" s="1"/>
  <c r="BQ709" i="7" s="1"/>
  <c r="BR709" i="7" s="1"/>
  <c r="BS709" i="7" s="1"/>
  <c r="AO514" i="7"/>
  <c r="AO516" i="7" s="1"/>
  <c r="AO26" i="12"/>
  <c r="AO25" i="12"/>
  <c r="AR10" i="9"/>
  <c r="AN728" i="7"/>
  <c r="AN770" i="7" s="1"/>
  <c r="AQ117" i="12"/>
  <c r="AQ136" i="12"/>
  <c r="AQ147" i="12"/>
  <c r="AQ146" i="12"/>
  <c r="AQ145" i="12"/>
  <c r="AP157" i="12"/>
  <c r="AO153" i="12"/>
  <c r="AO152" i="12"/>
  <c r="AO137" i="12"/>
  <c r="AQ111" i="12"/>
  <c r="AQ114" i="12"/>
  <c r="AQ115" i="12"/>
  <c r="AQ116" i="12"/>
  <c r="AQ110" i="12"/>
  <c r="AQ83" i="12"/>
  <c r="AR92" i="12" s="1"/>
  <c r="AQ82" i="12"/>
  <c r="AR91" i="12" s="1"/>
  <c r="AQ81" i="12"/>
  <c r="AR90" i="12" s="1"/>
  <c r="AQ80" i="12"/>
  <c r="AR89" i="12" s="1"/>
  <c r="AQ79" i="12"/>
  <c r="AR88" i="12" s="1"/>
  <c r="AQ78" i="12"/>
  <c r="AR87" i="12" s="1"/>
  <c r="AQ77" i="12"/>
  <c r="AR86" i="12" s="1"/>
  <c r="AO509" i="12"/>
  <c r="AP503" i="12"/>
  <c r="AO503" i="12"/>
  <c r="AO506" i="12" s="1"/>
  <c r="AP514" i="12" s="1"/>
  <c r="AR501" i="12"/>
  <c r="AP501" i="12"/>
  <c r="AR498" i="12"/>
  <c r="AP498" i="12"/>
  <c r="AQ108" i="12"/>
  <c r="AO480" i="12"/>
  <c r="AO477" i="12"/>
  <c r="AO478" i="12" s="1"/>
  <c r="AR475" i="12"/>
  <c r="AP475" i="12"/>
  <c r="AR446" i="12"/>
  <c r="AP446" i="12"/>
  <c r="AO457" i="12"/>
  <c r="AO428" i="12"/>
  <c r="AP437" i="12" s="1"/>
  <c r="AO405" i="12"/>
  <c r="AR455" i="12"/>
  <c r="AO448" i="12"/>
  <c r="AO426" i="12"/>
  <c r="AR423" i="12"/>
  <c r="AP423" i="12"/>
  <c r="AP399" i="12"/>
  <c r="AO399" i="12"/>
  <c r="AO402" i="12" s="1"/>
  <c r="AO403" i="12" s="1"/>
  <c r="AR397" i="12"/>
  <c r="AP397" i="12"/>
  <c r="AR394" i="12"/>
  <c r="AP394" i="12"/>
  <c r="AR118" i="12"/>
  <c r="AR121" i="12" s="1"/>
  <c r="BK230" i="27"/>
  <c r="BK236" i="27"/>
  <c r="BL236" i="27"/>
  <c r="BL230" i="27"/>
  <c r="BV176" i="27"/>
  <c r="BL40" i="27"/>
  <c r="BL161" i="27"/>
  <c r="BK161" i="27"/>
  <c r="BK43" i="27"/>
  <c r="AU77" i="15"/>
  <c r="AZ77" i="15"/>
  <c r="BL160" i="27"/>
  <c r="V89" i="15"/>
  <c r="AP244" i="14"/>
  <c r="AP54" i="35"/>
  <c r="AP845" i="7"/>
  <c r="AP1035" i="7" s="1"/>
  <c r="AR9" i="9"/>
  <c r="V92" i="15"/>
  <c r="AA179" i="1"/>
  <c r="AP55" i="35"/>
  <c r="AP846" i="7"/>
  <c r="AP1036" i="7" s="1"/>
  <c r="AP102" i="7"/>
  <c r="AP237" i="7"/>
  <c r="AP222" i="7" s="1"/>
  <c r="AP10" i="9"/>
  <c r="AP9" i="9"/>
  <c r="AT805" i="7"/>
  <c r="AT817" i="7"/>
  <c r="AR200" i="13"/>
  <c r="AQ180" i="7"/>
  <c r="AR167" i="7" s="1"/>
  <c r="AP741" i="12"/>
  <c r="AS741" i="12"/>
  <c r="AR733" i="12"/>
  <c r="AR734" i="12" s="1"/>
  <c r="AU733" i="12"/>
  <c r="AU734" i="12" s="1"/>
  <c r="AR741" i="12"/>
  <c r="AT741" i="12"/>
  <c r="AU741" i="12"/>
  <c r="AS733" i="12"/>
  <c r="AS746" i="12" s="1"/>
  <c r="AT733" i="12"/>
  <c r="AT746" i="12" s="1"/>
  <c r="AP740" i="12"/>
  <c r="AQ740" i="12"/>
  <c r="AQ741" i="12"/>
  <c r="AO737" i="12"/>
  <c r="AP737" i="12"/>
  <c r="AR667" i="12"/>
  <c r="AP666" i="12"/>
  <c r="AO666" i="12"/>
  <c r="AQ666" i="12"/>
  <c r="AR666" i="12"/>
  <c r="AS666" i="12"/>
  <c r="AU666" i="12"/>
  <c r="AU667" i="12"/>
  <c r="AT666" i="12"/>
  <c r="AP667" i="12"/>
  <c r="AQ667" i="12"/>
  <c r="AS667" i="12"/>
  <c r="AQ663" i="12"/>
  <c r="AT667" i="12"/>
  <c r="AT603" i="12"/>
  <c r="AR603" i="12"/>
  <c r="AR602" i="12"/>
  <c r="AR153" i="12"/>
  <c r="AP480" i="12"/>
  <c r="AP405" i="12"/>
  <c r="AR480" i="12"/>
  <c r="AQ105" i="12"/>
  <c r="AP435" i="12"/>
  <c r="AP439" i="12" s="1"/>
  <c r="AC133" i="14"/>
  <c r="W102" i="14"/>
  <c r="X102" i="14" s="1"/>
  <c r="Y102" i="14" s="1"/>
  <c r="Z102" i="14" s="1"/>
  <c r="AA102" i="14" s="1"/>
  <c r="AB102" i="14" s="1"/>
  <c r="AC102" i="14" s="1"/>
  <c r="AL155" i="14"/>
  <c r="AL154" i="14"/>
  <c r="AL161" i="14"/>
  <c r="AG162" i="14"/>
  <c r="AG161" i="14"/>
  <c r="AG155" i="14"/>
  <c r="AG154" i="14"/>
  <c r="V99" i="14"/>
  <c r="V104" i="14" s="1"/>
  <c r="Y98" i="14"/>
  <c r="Z98" i="14"/>
  <c r="AA98" i="14" s="1"/>
  <c r="AB98" i="14" s="1"/>
  <c r="AC98" i="14" s="1"/>
  <c r="AC99" i="14" s="1"/>
  <c r="AC100" i="14" s="1"/>
  <c r="AB157" i="14"/>
  <c r="AB155" i="14"/>
  <c r="AB154" i="14"/>
  <c r="W103" i="14"/>
  <c r="X103" i="14" s="1"/>
  <c r="Y103" i="14" s="1"/>
  <c r="Z103" i="14" s="1"/>
  <c r="AA103" i="14" s="1"/>
  <c r="AB103" i="14" s="1"/>
  <c r="AC103" i="14" s="1"/>
  <c r="AD103" i="14" s="1"/>
  <c r="AE103" i="14" s="1"/>
  <c r="AF103" i="14" s="1"/>
  <c r="AG103" i="14" s="1"/>
  <c r="AH103" i="14" s="1"/>
  <c r="AI103" i="14" s="1"/>
  <c r="AJ103" i="14" s="1"/>
  <c r="AK103" i="14" s="1"/>
  <c r="AL103" i="14" s="1"/>
  <c r="AM103" i="14" s="1"/>
  <c r="AN103" i="14" s="1"/>
  <c r="X127" i="14"/>
  <c r="X126" i="14"/>
  <c r="X125" i="14"/>
  <c r="X124" i="14"/>
  <c r="X122" i="14"/>
  <c r="AL136" i="14"/>
  <c r="AG136" i="14"/>
  <c r="AB136" i="14"/>
  <c r="W136" i="14"/>
  <c r="BL43" i="27"/>
  <c r="AV101" i="15"/>
  <c r="AV77" i="15"/>
  <c r="BA77" i="15"/>
  <c r="BE77" i="15"/>
  <c r="BF77" i="15"/>
  <c r="BL44" i="27"/>
  <c r="AU101" i="15"/>
  <c r="BK44" i="27"/>
  <c r="BK46" i="27"/>
  <c r="BK49" i="27"/>
  <c r="AP152" i="12"/>
  <c r="AP856" i="7"/>
  <c r="AP887" i="7"/>
  <c r="AP275" i="7"/>
  <c r="AS817" i="7"/>
  <c r="AT830" i="7"/>
  <c r="AS853" i="7"/>
  <c r="AS861" i="7" s="1"/>
  <c r="BQ497" i="7"/>
  <c r="BQ561" i="7"/>
  <c r="BQ601" i="7" s="1"/>
  <c r="AP521" i="12"/>
  <c r="AQ134" i="12"/>
  <c r="AQ152" i="12" s="1"/>
  <c r="AQ150" i="12"/>
  <c r="AQ153" i="12" s="1"/>
  <c r="AP153" i="12"/>
  <c r="AQ109" i="12"/>
  <c r="AP426" i="12"/>
  <c r="V133" i="14"/>
  <c r="AL221" i="14"/>
  <c r="AG221" i="14"/>
  <c r="V245" i="14"/>
  <c r="W245" i="14" s="1"/>
  <c r="U245" i="14"/>
  <c r="T245" i="14"/>
  <c r="S245" i="14"/>
  <c r="AD192" i="14"/>
  <c r="AR509" i="12"/>
  <c r="AR152" i="12"/>
  <c r="BK166" i="27"/>
  <c r="BK328" i="27"/>
  <c r="BK330" i="27"/>
  <c r="BK178" i="27"/>
  <c r="BL46" i="27"/>
  <c r="AU117" i="15"/>
  <c r="AU123" i="15"/>
  <c r="BK155" i="27"/>
  <c r="BK175" i="27"/>
  <c r="BK180" i="27"/>
  <c r="BK54" i="27"/>
  <c r="BK53" i="27"/>
  <c r="BK50" i="27"/>
  <c r="AV109" i="15"/>
  <c r="AV113" i="15"/>
  <c r="AZ101" i="15"/>
  <c r="AU113" i="15"/>
  <c r="AU109" i="15"/>
  <c r="AP274" i="14"/>
  <c r="AQ18" i="14"/>
  <c r="AQ28" i="14" s="1"/>
  <c r="W55" i="15"/>
  <c r="AR275" i="7"/>
  <c r="BR497" i="7"/>
  <c r="BR561" i="7"/>
  <c r="BR601" i="7" s="1"/>
  <c r="BR449" i="7"/>
  <c r="BR29" i="12"/>
  <c r="AS653" i="7"/>
  <c r="AS666" i="7"/>
  <c r="AP440" i="12"/>
  <c r="AP433" i="12"/>
  <c r="AQ106" i="12"/>
  <c r="AR426" i="12"/>
  <c r="AQ107" i="12"/>
  <c r="W91" i="18"/>
  <c r="AE31" i="20"/>
  <c r="AE11" i="20"/>
  <c r="AE22" i="20" s="1"/>
  <c r="AE334" i="20" s="1"/>
  <c r="AF11" i="20"/>
  <c r="AF22" i="20" s="1"/>
  <c r="AF334" i="20" s="1"/>
  <c r="AG30" i="20"/>
  <c r="AG29" i="20"/>
  <c r="AG28" i="20"/>
  <c r="AG21" i="20"/>
  <c r="AG20" i="20"/>
  <c r="AG18" i="20"/>
  <c r="AG17" i="20"/>
  <c r="AG10" i="20"/>
  <c r="AF31" i="20"/>
  <c r="AH34" i="20"/>
  <c r="J85" i="18" s="1"/>
  <c r="AH31" i="20"/>
  <c r="AH22" i="20"/>
  <c r="AI34" i="20"/>
  <c r="J82" i="18" s="1"/>
  <c r="AI31" i="20"/>
  <c r="AI10" i="20"/>
  <c r="AI22" i="20" s="1"/>
  <c r="AJ34" i="20"/>
  <c r="J79" i="18" s="1"/>
  <c r="AJ31" i="20"/>
  <c r="AJ10" i="20"/>
  <c r="AJ22" i="20" s="1"/>
  <c r="AJ334" i="20" s="1"/>
  <c r="AL17" i="20"/>
  <c r="AL30" i="20"/>
  <c r="AL29" i="20"/>
  <c r="AL28" i="20"/>
  <c r="AL21" i="20"/>
  <c r="AL20" i="20"/>
  <c r="AL18" i="20"/>
  <c r="AL11" i="20"/>
  <c r="AK34" i="20"/>
  <c r="J76" i="18" s="1"/>
  <c r="AK31" i="20"/>
  <c r="AK10" i="20"/>
  <c r="AL10" i="20" s="1"/>
  <c r="AA79" i="20"/>
  <c r="Z79" i="20"/>
  <c r="Y79" i="20"/>
  <c r="X79" i="20"/>
  <c r="AF79" i="20"/>
  <c r="AF69" i="20" s="1"/>
  <c r="AG69" i="20" s="1"/>
  <c r="AE79" i="20"/>
  <c r="AE54" i="20" s="1"/>
  <c r="AD79" i="20"/>
  <c r="AC79" i="20"/>
  <c r="AJ79" i="20"/>
  <c r="AJ55" i="20" s="1"/>
  <c r="AI79" i="20"/>
  <c r="AI64" i="20" s="1"/>
  <c r="AH79" i="20"/>
  <c r="AH55" i="20" s="1"/>
  <c r="AZ44" i="1"/>
  <c r="AZ45" i="1"/>
  <c r="BK59" i="27"/>
  <c r="BK142" i="27"/>
  <c r="BK146" i="27"/>
  <c r="BL146" i="27"/>
  <c r="BL54" i="27"/>
  <c r="BK216" i="27"/>
  <c r="BK218" i="27"/>
  <c r="BK207" i="27"/>
  <c r="BK221" i="27"/>
  <c r="BK224" i="27"/>
  <c r="BL328" i="27"/>
  <c r="BL330" i="27"/>
  <c r="BL166" i="27"/>
  <c r="AV117" i="15"/>
  <c r="AV123" i="15"/>
  <c r="BL49" i="27"/>
  <c r="BK231" i="27"/>
  <c r="BL178" i="27"/>
  <c r="BK237" i="27"/>
  <c r="AZ109" i="15"/>
  <c r="BA101" i="15"/>
  <c r="BE101" i="15"/>
  <c r="AZ117" i="15"/>
  <c r="BA117" i="15"/>
  <c r="AR887" i="7"/>
  <c r="AR856" i="7"/>
  <c r="AQ161" i="14"/>
  <c r="BS561" i="7"/>
  <c r="BS601" i="7" s="1"/>
  <c r="BS497" i="7"/>
  <c r="BS449" i="7"/>
  <c r="BS29" i="12"/>
  <c r="AS665" i="7"/>
  <c r="AT653" i="7"/>
  <c r="AP428" i="12"/>
  <c r="AP457" i="12"/>
  <c r="BD34" i="20"/>
  <c r="J31" i="18" s="1"/>
  <c r="BC34" i="20"/>
  <c r="J34" i="18" s="1"/>
  <c r="BB34" i="20"/>
  <c r="J37" i="18" s="1"/>
  <c r="AZ34" i="20"/>
  <c r="J40" i="18" s="1"/>
  <c r="AY34" i="20"/>
  <c r="J43" i="18" s="1"/>
  <c r="AX34" i="20"/>
  <c r="J46" i="18" s="1"/>
  <c r="AW34" i="20"/>
  <c r="J49" i="18" s="1"/>
  <c r="AU34" i="20"/>
  <c r="J52" i="18" s="1"/>
  <c r="AT34" i="20"/>
  <c r="J55" i="18" s="1"/>
  <c r="AS34" i="20"/>
  <c r="J58" i="18" s="1"/>
  <c r="AR34" i="20"/>
  <c r="J61" i="18" s="1"/>
  <c r="AP34" i="20"/>
  <c r="J64" i="18" s="1"/>
  <c r="AO34" i="20"/>
  <c r="J67" i="18" s="1"/>
  <c r="AN34" i="20"/>
  <c r="J70" i="18" s="1"/>
  <c r="AM34" i="20"/>
  <c r="J73" i="18" s="1"/>
  <c r="BE287" i="20"/>
  <c r="BF287" i="20" s="1"/>
  <c r="AQ30" i="20"/>
  <c r="AQ29" i="20"/>
  <c r="AQ28" i="20"/>
  <c r="AP31" i="20"/>
  <c r="AO31" i="20"/>
  <c r="AN31" i="20"/>
  <c r="AM31" i="20"/>
  <c r="AQ20" i="20"/>
  <c r="AQ18" i="20"/>
  <c r="AQ16" i="20"/>
  <c r="AQ15" i="20"/>
  <c r="AQ12" i="20"/>
  <c r="AQ11" i="20"/>
  <c r="AQ10" i="20"/>
  <c r="AP26" i="20"/>
  <c r="AP21" i="20" s="1"/>
  <c r="AO26" i="20"/>
  <c r="AO21" i="20" s="1"/>
  <c r="AN26" i="20"/>
  <c r="AN21" i="20" s="1"/>
  <c r="AM26" i="20"/>
  <c r="AM21" i="20" s="1"/>
  <c r="AQ25" i="20"/>
  <c r="AQ24" i="20"/>
  <c r="AV30" i="20"/>
  <c r="AV29" i="20"/>
  <c r="AV28" i="20"/>
  <c r="AV25" i="20"/>
  <c r="AV24" i="20"/>
  <c r="AU31" i="20"/>
  <c r="AT31" i="20"/>
  <c r="AS31" i="20"/>
  <c r="AR31" i="20"/>
  <c r="AV20" i="20"/>
  <c r="AV19" i="20"/>
  <c r="AV18" i="20"/>
  <c r="AV16" i="20"/>
  <c r="AV15" i="20"/>
  <c r="AV12" i="20"/>
  <c r="AV11" i="20"/>
  <c r="AV10" i="20"/>
  <c r="AU26" i="20"/>
  <c r="AU21" i="20" s="1"/>
  <c r="AV21" i="20" s="1"/>
  <c r="AT26" i="20"/>
  <c r="AT21" i="20" s="1"/>
  <c r="AS26" i="20"/>
  <c r="AS21" i="20" s="1"/>
  <c r="AR26" i="20"/>
  <c r="AR21" i="20" s="1"/>
  <c r="BA30" i="20"/>
  <c r="BA29" i="20"/>
  <c r="BA28" i="20"/>
  <c r="AZ31" i="20"/>
  <c r="AY31" i="20"/>
  <c r="AX31" i="20"/>
  <c r="AW31" i="20"/>
  <c r="BA21" i="20"/>
  <c r="BA20" i="20"/>
  <c r="BA19" i="20"/>
  <c r="BA18" i="20"/>
  <c r="BA16" i="20"/>
  <c r="BA15" i="20"/>
  <c r="BA12" i="20"/>
  <c r="BA11" i="20"/>
  <c r="BA10" i="20"/>
  <c r="AY22" i="20"/>
  <c r="AY334" i="20" s="1"/>
  <c r="AW22" i="20"/>
  <c r="AR457" i="12"/>
  <c r="BA123" i="15"/>
  <c r="BV178" i="27"/>
  <c r="K27" i="26"/>
  <c r="BL237" i="27"/>
  <c r="BL231" i="27"/>
  <c r="BE109" i="15"/>
  <c r="BF101" i="15"/>
  <c r="BK235" i="27"/>
  <c r="BK225" i="27"/>
  <c r="BL225" i="27"/>
  <c r="BK92" i="27"/>
  <c r="BV49" i="27"/>
  <c r="BL155" i="27"/>
  <c r="BL175" i="27"/>
  <c r="BL180" i="27"/>
  <c r="BL50" i="27"/>
  <c r="BL53" i="27"/>
  <c r="BK210" i="27"/>
  <c r="BK283" i="27"/>
  <c r="BK99" i="27"/>
  <c r="BK219" i="27"/>
  <c r="BL219" i="27"/>
  <c r="BK91" i="27"/>
  <c r="BK229" i="27"/>
  <c r="BV54" i="27"/>
  <c r="BL55" i="27"/>
  <c r="BK145" i="27"/>
  <c r="BK147" i="27"/>
  <c r="BK149" i="27"/>
  <c r="BL142" i="27"/>
  <c r="BL145" i="27"/>
  <c r="BL147" i="27"/>
  <c r="BL149" i="27"/>
  <c r="BK85" i="27"/>
  <c r="BL59" i="27"/>
  <c r="BA109" i="15"/>
  <c r="BA113" i="15"/>
  <c r="X96" i="15"/>
  <c r="X98" i="15" s="1"/>
  <c r="AC24" i="1" s="1"/>
  <c r="W96" i="15"/>
  <c r="BK232" i="27"/>
  <c r="BL232" i="27"/>
  <c r="BK284" i="27"/>
  <c r="BL309" i="27"/>
  <c r="BL283" i="27"/>
  <c r="BK291" i="27"/>
  <c r="BK292" i="27"/>
  <c r="BK238" i="27"/>
  <c r="BL238" i="27"/>
  <c r="BL99" i="27"/>
  <c r="BL104" i="27"/>
  <c r="BL119" i="27"/>
  <c r="BL150" i="27"/>
  <c r="BK104" i="27"/>
  <c r="BK119" i="27"/>
  <c r="BK150" i="27"/>
  <c r="BF113" i="15"/>
  <c r="BF109" i="15"/>
  <c r="BL221" i="27"/>
  <c r="BL224" i="27"/>
  <c r="BL216" i="27"/>
  <c r="BL218" i="27"/>
  <c r="BL207" i="27"/>
  <c r="BL210" i="27"/>
  <c r="BV59" i="27"/>
  <c r="BL85" i="27"/>
  <c r="BA44" i="1"/>
  <c r="BA45" i="1"/>
  <c r="BV53" i="27"/>
  <c r="J9" i="25" a="1"/>
  <c r="K28" i="26"/>
  <c r="K33" i="26"/>
  <c r="G17" i="17"/>
  <c r="F17" i="17"/>
  <c r="G58" i="16"/>
  <c r="H21" i="17"/>
  <c r="G57" i="16"/>
  <c r="G56" i="16"/>
  <c r="G55" i="16"/>
  <c r="H22" i="17" s="1"/>
  <c r="G54" i="16"/>
  <c r="G53" i="16"/>
  <c r="G52" i="16"/>
  <c r="H23" i="17" s="1"/>
  <c r="G51" i="16"/>
  <c r="G50" i="16"/>
  <c r="G49" i="16"/>
  <c r="H24" i="17"/>
  <c r="G48" i="16"/>
  <c r="G47" i="16"/>
  <c r="G46" i="16"/>
  <c r="H25" i="17" s="1"/>
  <c r="G45" i="16"/>
  <c r="G44" i="16"/>
  <c r="G43" i="16"/>
  <c r="H26" i="17" s="1"/>
  <c r="G42" i="16"/>
  <c r="G41" i="16"/>
  <c r="G40" i="16"/>
  <c r="H27" i="17" s="1"/>
  <c r="G39" i="16"/>
  <c r="G38" i="16"/>
  <c r="G37" i="16"/>
  <c r="H28" i="17" s="1"/>
  <c r="G36" i="16"/>
  <c r="G35" i="16"/>
  <c r="G34" i="16"/>
  <c r="H29" i="17"/>
  <c r="G33" i="16"/>
  <c r="G32" i="16"/>
  <c r="G31" i="16"/>
  <c r="H30" i="17" s="1"/>
  <c r="G30" i="16"/>
  <c r="G29" i="16"/>
  <c r="G28" i="16"/>
  <c r="H31" i="17" s="1"/>
  <c r="G59" i="16"/>
  <c r="G60" i="16"/>
  <c r="G61" i="16"/>
  <c r="H20" i="17" s="1"/>
  <c r="G62" i="16"/>
  <c r="G63" i="16"/>
  <c r="G64" i="16"/>
  <c r="H19" i="17" s="1"/>
  <c r="G65" i="16"/>
  <c r="G66" i="16"/>
  <c r="G67" i="16"/>
  <c r="H18" i="17" s="1"/>
  <c r="G68" i="16"/>
  <c r="G69" i="16"/>
  <c r="G70" i="16"/>
  <c r="H17" i="17" s="1"/>
  <c r="BK233" i="27"/>
  <c r="BK239" i="27"/>
  <c r="Q14" i="25"/>
  <c r="J9" i="25"/>
  <c r="Q9" i="25"/>
  <c r="Q15" i="25"/>
  <c r="Q13" i="25"/>
  <c r="Q11" i="25"/>
  <c r="Q12" i="25"/>
  <c r="Q10" i="25"/>
  <c r="BV218" i="27"/>
  <c r="L9" i="25" a="1"/>
  <c r="BL91" i="27"/>
  <c r="BL94" i="27"/>
  <c r="BL229" i="27"/>
  <c r="BL233" i="27"/>
  <c r="BV233" i="27"/>
  <c r="K9" i="25" a="1"/>
  <c r="K9" i="25"/>
  <c r="BK295" i="27"/>
  <c r="BK296" i="27"/>
  <c r="BL284" i="27"/>
  <c r="BV284" i="27"/>
  <c r="AF9" i="25" a="1"/>
  <c r="BL291" i="27"/>
  <c r="BL292" i="27"/>
  <c r="BL235" i="27"/>
  <c r="BL239" i="27"/>
  <c r="BL92" i="27"/>
  <c r="BL95" i="27"/>
  <c r="AQ104" i="12"/>
  <c r="AO376" i="12"/>
  <c r="AR370" i="12"/>
  <c r="AP370" i="12"/>
  <c r="AR368" i="12"/>
  <c r="AP368" i="12"/>
  <c r="AR365" i="12"/>
  <c r="AP365" i="12"/>
  <c r="AO370" i="12"/>
  <c r="AO373" i="12" s="1"/>
  <c r="AO374" i="12" s="1"/>
  <c r="AO318" i="12"/>
  <c r="AO295" i="12"/>
  <c r="D4" i="17"/>
  <c r="D28" i="16"/>
  <c r="E31" i="17"/>
  <c r="D29" i="16"/>
  <c r="D30" i="16"/>
  <c r="D107" i="16"/>
  <c r="D106" i="16"/>
  <c r="E5" i="17" s="1"/>
  <c r="D105" i="16"/>
  <c r="D104" i="16"/>
  <c r="D103" i="16"/>
  <c r="E6" i="17" s="1"/>
  <c r="D102" i="16"/>
  <c r="D101" i="16"/>
  <c r="D100" i="16"/>
  <c r="E7" i="17" s="1"/>
  <c r="D99" i="16"/>
  <c r="D98" i="16"/>
  <c r="D97" i="16"/>
  <c r="E8" i="17" s="1"/>
  <c r="D96" i="16"/>
  <c r="D95" i="16"/>
  <c r="D94" i="16"/>
  <c r="E9" i="17"/>
  <c r="D93" i="16"/>
  <c r="D92" i="16"/>
  <c r="D91" i="16"/>
  <c r="E10" i="17" s="1"/>
  <c r="D90" i="16"/>
  <c r="D89" i="16"/>
  <c r="D88" i="16"/>
  <c r="E11" i="17" s="1"/>
  <c r="D87" i="16"/>
  <c r="D86" i="16"/>
  <c r="D85" i="16"/>
  <c r="E12" i="17" s="1"/>
  <c r="D84" i="16"/>
  <c r="D83" i="16"/>
  <c r="D82" i="16"/>
  <c r="E13" i="17" s="1"/>
  <c r="D81" i="16"/>
  <c r="D80" i="16"/>
  <c r="D79" i="16"/>
  <c r="E14" i="17" s="1"/>
  <c r="D78" i="16"/>
  <c r="D77" i="16"/>
  <c r="D76" i="16"/>
  <c r="E15" i="17"/>
  <c r="D75" i="16"/>
  <c r="D74" i="16"/>
  <c r="D73" i="16"/>
  <c r="E16" i="17" s="1"/>
  <c r="D72" i="16"/>
  <c r="D71" i="16"/>
  <c r="D70" i="16"/>
  <c r="E17" i="17" s="1"/>
  <c r="D69" i="16"/>
  <c r="D68" i="16"/>
  <c r="D67" i="16"/>
  <c r="E18" i="17" s="1"/>
  <c r="D66" i="16"/>
  <c r="D65" i="16"/>
  <c r="D64" i="16"/>
  <c r="E19" i="17" s="1"/>
  <c r="D63" i="16"/>
  <c r="D62" i="16"/>
  <c r="D61" i="16"/>
  <c r="E20" i="17" s="1"/>
  <c r="D60" i="16"/>
  <c r="D59" i="16"/>
  <c r="D58" i="16"/>
  <c r="E21" i="17" s="1"/>
  <c r="D57" i="16"/>
  <c r="D56" i="16"/>
  <c r="D55" i="16"/>
  <c r="E22" i="17" s="1"/>
  <c r="D54" i="16"/>
  <c r="D53" i="16"/>
  <c r="D52" i="16"/>
  <c r="E23" i="17" s="1"/>
  <c r="D51" i="16"/>
  <c r="D50" i="16"/>
  <c r="D49" i="16"/>
  <c r="E24" i="17" s="1"/>
  <c r="D48" i="16"/>
  <c r="D47" i="16"/>
  <c r="D46" i="16"/>
  <c r="E25" i="17" s="1"/>
  <c r="D45" i="16"/>
  <c r="D44" i="16"/>
  <c r="D43" i="16"/>
  <c r="E26" i="17" s="1"/>
  <c r="D42" i="16"/>
  <c r="D41" i="16"/>
  <c r="D40" i="16"/>
  <c r="E27" i="17" s="1"/>
  <c r="D39" i="16"/>
  <c r="D38" i="16"/>
  <c r="D37" i="16"/>
  <c r="E28" i="17" s="1"/>
  <c r="D36" i="16"/>
  <c r="D35" i="16"/>
  <c r="D34" i="16"/>
  <c r="E29" i="17" s="1"/>
  <c r="D33" i="16"/>
  <c r="D32" i="16"/>
  <c r="D31" i="16"/>
  <c r="E30" i="17" s="1"/>
  <c r="D108" i="16"/>
  <c r="D109" i="16"/>
  <c r="E4" i="17" s="1"/>
  <c r="C4" i="17"/>
  <c r="AQ103" i="12"/>
  <c r="AO347" i="12"/>
  <c r="AP341" i="12"/>
  <c r="AO341" i="12"/>
  <c r="AO344" i="12" s="1"/>
  <c r="AO345" i="12" s="1"/>
  <c r="AR336" i="12"/>
  <c r="AP336" i="12"/>
  <c r="AR339" i="12"/>
  <c r="AP339" i="12"/>
  <c r="X15" i="25"/>
  <c r="X14" i="25"/>
  <c r="X11" i="25"/>
  <c r="AF9" i="25"/>
  <c r="X9" i="25"/>
  <c r="X10" i="25"/>
  <c r="X13" i="25"/>
  <c r="X12" i="25"/>
  <c r="R10" i="25"/>
  <c r="R14" i="25"/>
  <c r="V10" i="25"/>
  <c r="V13" i="25"/>
  <c r="R13" i="25"/>
  <c r="L9" i="25"/>
  <c r="R15" i="25"/>
  <c r="V14" i="25"/>
  <c r="R11" i="25"/>
  <c r="V15" i="25"/>
  <c r="V12" i="25"/>
  <c r="R12" i="25"/>
  <c r="V11" i="25"/>
  <c r="BV292" i="27"/>
  <c r="BL295" i="27"/>
  <c r="BL296" i="27"/>
  <c r="R9" i="25"/>
  <c r="V9" i="25"/>
  <c r="K40" i="26"/>
  <c r="AB9" i="25" a="1"/>
  <c r="X85" i="15"/>
  <c r="X87" i="15" s="1"/>
  <c r="AC22" i="1" s="1"/>
  <c r="AS376" i="12"/>
  <c r="AD15" i="25"/>
  <c r="AD11" i="25"/>
  <c r="AD10" i="25"/>
  <c r="AD14" i="25"/>
  <c r="AB9" i="25"/>
  <c r="W10" i="25"/>
  <c r="W12" i="25"/>
  <c r="W15" i="25"/>
  <c r="AD13" i="25"/>
  <c r="W13" i="25"/>
  <c r="W11" i="25"/>
  <c r="AD12" i="25"/>
  <c r="W14" i="25"/>
  <c r="X79" i="15"/>
  <c r="AR376" i="12"/>
  <c r="AP376" i="12"/>
  <c r="W9" i="25"/>
  <c r="AD9" i="25"/>
  <c r="P13" i="25"/>
  <c r="AG13" i="25"/>
  <c r="N13" i="25"/>
  <c r="AG14" i="25"/>
  <c r="N14" i="25"/>
  <c r="P14" i="25"/>
  <c r="N10" i="25"/>
  <c r="AG10" i="25"/>
  <c r="P10" i="25"/>
  <c r="AG12" i="25"/>
  <c r="P12" i="25"/>
  <c r="N12" i="25"/>
  <c r="N11" i="25"/>
  <c r="AG11" i="25"/>
  <c r="P11" i="25"/>
  <c r="P15" i="25"/>
  <c r="N15" i="25"/>
  <c r="AG15" i="25"/>
  <c r="M15" i="25"/>
  <c r="O15" i="25"/>
  <c r="M11" i="25"/>
  <c r="O11" i="25"/>
  <c r="M13" i="25"/>
  <c r="O13" i="25"/>
  <c r="AG9" i="25"/>
  <c r="P9" i="25"/>
  <c r="N9" i="25"/>
  <c r="O12" i="25"/>
  <c r="M12" i="25"/>
  <c r="M10" i="25"/>
  <c r="O10" i="25"/>
  <c r="M14" i="25"/>
  <c r="O14" i="25"/>
  <c r="M9" i="25"/>
  <c r="G4" i="26"/>
  <c r="O9" i="25"/>
  <c r="G5" i="26"/>
  <c r="C5" i="26"/>
  <c r="K34" i="26"/>
  <c r="K36" i="26"/>
  <c r="K38" i="26"/>
  <c r="K41" i="26"/>
  <c r="K44" i="26"/>
  <c r="K45" i="26"/>
  <c r="J38" i="26"/>
  <c r="J41" i="26"/>
  <c r="J44" i="26"/>
  <c r="J45" i="26"/>
  <c r="G38" i="26"/>
  <c r="G41" i="26"/>
  <c r="G44" i="26"/>
  <c r="F38" i="26"/>
  <c r="F41" i="26"/>
  <c r="F44" i="26"/>
  <c r="F45" i="26"/>
  <c r="E38" i="26"/>
  <c r="E41" i="26"/>
  <c r="E44" i="26"/>
  <c r="E45" i="26"/>
  <c r="I38" i="26"/>
  <c r="I41" i="26"/>
  <c r="I44" i="26"/>
  <c r="I45" i="26"/>
  <c r="H38" i="26"/>
  <c r="H41" i="26"/>
  <c r="H44" i="26"/>
  <c r="H45" i="26"/>
  <c r="G45" i="26"/>
  <c r="E5" i="25"/>
  <c r="E6" i="25"/>
  <c r="AQ102" i="12"/>
  <c r="AQ101" i="12"/>
  <c r="AQ99" i="12"/>
  <c r="AO297" i="12"/>
  <c r="AO292" i="12"/>
  <c r="AP290" i="12"/>
  <c r="AO243" i="12"/>
  <c r="AO240" i="12"/>
  <c r="AO217" i="12"/>
  <c r="AR238" i="12"/>
  <c r="AP238" i="12"/>
  <c r="AQ98" i="12"/>
  <c r="AO220" i="12"/>
  <c r="AR215" i="12"/>
  <c r="AP215" i="12"/>
  <c r="AQ97" i="12"/>
  <c r="AO197" i="12"/>
  <c r="AO194" i="12"/>
  <c r="AO195" i="12" s="1"/>
  <c r="AO264" i="7"/>
  <c r="AO266" i="7" s="1"/>
  <c r="AO244" i="7" s="1"/>
  <c r="AR192" i="12"/>
  <c r="AP192" i="12"/>
  <c r="AO174" i="12"/>
  <c r="AR169" i="12"/>
  <c r="AP169" i="12"/>
  <c r="X108" i="1"/>
  <c r="X98" i="1"/>
  <c r="X88" i="1"/>
  <c r="X151" i="1"/>
  <c r="X75" i="1"/>
  <c r="X61" i="1"/>
  <c r="AO1097" i="7"/>
  <c r="AO1100" i="7" s="1"/>
  <c r="AO1093" i="7"/>
  <c r="AO1092" i="7" s="1"/>
  <c r="AO966" i="7"/>
  <c r="AO956" i="7"/>
  <c r="AO959" i="7" s="1"/>
  <c r="AO567" i="7"/>
  <c r="AO765" i="7" s="1"/>
  <c r="T30" i="17" s="1"/>
  <c r="AO520" i="7"/>
  <c r="AO608" i="7" s="1"/>
  <c r="AO491" i="7"/>
  <c r="AO467" i="7" s="1"/>
  <c r="AO384" i="7"/>
  <c r="AO372" i="7"/>
  <c r="AO390" i="7" s="1"/>
  <c r="AN576" i="7"/>
  <c r="AN685" i="7" s="1"/>
  <c r="AN266" i="7"/>
  <c r="AN244" i="7" s="1"/>
  <c r="AO339" i="7"/>
  <c r="AO338" i="7"/>
  <c r="AO333" i="7"/>
  <c r="AO332" i="7"/>
  <c r="AO995" i="7"/>
  <c r="AO994" i="7"/>
  <c r="AO980" i="7"/>
  <c r="AO977" i="7"/>
  <c r="AO975" i="7"/>
  <c r="AO971" i="7"/>
  <c r="AO278" i="7"/>
  <c r="AO245" i="7" s="1"/>
  <c r="AO223" i="7"/>
  <c r="AO237" i="7"/>
  <c r="AO217" i="7"/>
  <c r="AO218" i="7" s="1"/>
  <c r="AO214" i="7"/>
  <c r="AO192" i="7"/>
  <c r="AO189" i="7"/>
  <c r="AO167" i="7"/>
  <c r="AO163" i="7"/>
  <c r="AO162" i="7"/>
  <c r="AO179" i="7"/>
  <c r="AO181" i="7" s="1"/>
  <c r="AO901" i="7"/>
  <c r="AO900" i="7"/>
  <c r="AO893" i="7"/>
  <c r="AO892" i="7"/>
  <c r="AO887" i="7"/>
  <c r="AO877" i="7"/>
  <c r="AO876" i="7"/>
  <c r="AO869" i="7"/>
  <c r="AO872" i="7" s="1"/>
  <c r="AO806" i="7"/>
  <c r="AO805" i="7"/>
  <c r="AO804" i="7"/>
  <c r="AO780" i="7"/>
  <c r="AO782" i="7" s="1"/>
  <c r="AO793" i="7"/>
  <c r="AO791" i="7"/>
  <c r="AO797" i="7" s="1"/>
  <c r="AO737" i="7"/>
  <c r="AO736" i="7"/>
  <c r="AO733" i="7"/>
  <c r="AO732" i="7"/>
  <c r="AO738" i="7" s="1"/>
  <c r="AO727" i="7"/>
  <c r="AO707" i="7"/>
  <c r="AO699" i="7"/>
  <c r="AO698" i="7"/>
  <c r="AO697" i="7"/>
  <c r="AO694" i="7"/>
  <c r="AO647" i="7"/>
  <c r="AN1097" i="7"/>
  <c r="AN1100" i="7" s="1"/>
  <c r="AN1093" i="7"/>
  <c r="AN1092" i="7" s="1"/>
  <c r="AN1022" i="7"/>
  <c r="AN1020" i="7"/>
  <c r="AN966" i="7"/>
  <c r="AN956" i="7"/>
  <c r="AN959" i="7" s="1"/>
  <c r="AN567" i="7"/>
  <c r="AN765" i="7" s="1"/>
  <c r="T29" i="17" s="1"/>
  <c r="O543" i="7"/>
  <c r="AM543" i="7" s="1"/>
  <c r="AN514" i="7"/>
  <c r="AN516" i="7" s="1"/>
  <c r="AN384" i="7"/>
  <c r="AO371" i="7" s="1"/>
  <c r="AN380" i="7"/>
  <c r="AO380" i="7" s="1"/>
  <c r="AN379" i="7"/>
  <c r="AN375" i="7"/>
  <c r="AN374" i="7"/>
  <c r="AN372" i="7"/>
  <c r="AN339" i="7"/>
  <c r="AN338" i="7"/>
  <c r="AN333" i="7"/>
  <c r="AN332" i="7"/>
  <c r="AN312" i="7"/>
  <c r="AO312" i="7" s="1"/>
  <c r="AP312" i="7" s="1"/>
  <c r="AN308" i="7"/>
  <c r="AO308" i="7" s="1"/>
  <c r="AP308" i="7" s="1"/>
  <c r="AN307" i="7"/>
  <c r="AO307" i="7" s="1"/>
  <c r="AP307" i="7" s="1"/>
  <c r="AN980" i="7"/>
  <c r="AN9" i="45" s="1"/>
  <c r="AN977" i="7"/>
  <c r="AN975" i="7"/>
  <c r="AN971" i="7"/>
  <c r="AN995" i="7"/>
  <c r="AN994" i="7"/>
  <c r="AN275" i="7"/>
  <c r="AN223" i="7"/>
  <c r="AN237" i="7"/>
  <c r="AN222" i="7" s="1"/>
  <c r="AN217" i="7"/>
  <c r="AN218" i="7" s="1"/>
  <c r="AN214" i="7"/>
  <c r="AN167" i="7"/>
  <c r="AN163" i="7"/>
  <c r="AN162" i="7"/>
  <c r="AN192" i="7"/>
  <c r="AN189" i="7"/>
  <c r="AN179" i="7"/>
  <c r="AN181" i="7" s="1"/>
  <c r="AN77" i="7"/>
  <c r="AN66" i="7"/>
  <c r="AN901" i="7"/>
  <c r="AN900" i="7"/>
  <c r="AN893" i="7"/>
  <c r="AN892" i="7"/>
  <c r="AN887" i="7"/>
  <c r="AN877" i="7"/>
  <c r="AN876" i="7"/>
  <c r="AN869" i="7"/>
  <c r="AN225" i="7" s="1"/>
  <c r="AN780" i="7"/>
  <c r="AN782" i="7" s="1"/>
  <c r="AN806" i="7"/>
  <c r="AN805" i="7"/>
  <c r="AN804" i="7"/>
  <c r="AN793" i="7"/>
  <c r="AN791" i="7"/>
  <c r="AN799" i="7" s="1"/>
  <c r="AN737" i="7"/>
  <c r="AN736" i="7"/>
  <c r="AN733" i="7"/>
  <c r="AN732" i="7"/>
  <c r="AN738" i="7" s="1"/>
  <c r="AN727" i="7"/>
  <c r="AN716" i="7"/>
  <c r="AN720" i="7" s="1"/>
  <c r="AN707" i="7"/>
  <c r="AN699" i="7"/>
  <c r="AN698" i="7"/>
  <c r="AN697" i="7"/>
  <c r="AN694" i="7"/>
  <c r="AN647" i="7"/>
  <c r="AM966" i="7"/>
  <c r="AM956" i="7"/>
  <c r="AM959" i="7" s="1"/>
  <c r="AM928" i="7"/>
  <c r="AM756" i="7"/>
  <c r="AM571" i="7"/>
  <c r="AM223" i="7" s="1"/>
  <c r="AM567" i="7"/>
  <c r="AM410" i="7"/>
  <c r="AM389" i="7"/>
  <c r="AM384" i="7"/>
  <c r="AM401" i="7" s="1"/>
  <c r="AM339" i="7"/>
  <c r="AM338" i="7"/>
  <c r="AM333" i="7"/>
  <c r="AM332" i="7"/>
  <c r="AM313" i="7"/>
  <c r="AM314" i="7" s="1"/>
  <c r="AM1097" i="7"/>
  <c r="AM1100" i="7" s="1"/>
  <c r="AM1093" i="7"/>
  <c r="AM1092" i="7" s="1"/>
  <c r="AM995" i="7"/>
  <c r="AM994" i="7"/>
  <c r="AM980" i="7"/>
  <c r="AM293" i="7" s="1"/>
  <c r="AM295" i="7" s="1"/>
  <c r="AM246" i="7" s="1"/>
  <c r="AK980" i="7"/>
  <c r="AK293" i="7" s="1"/>
  <c r="AK295" i="7" s="1"/>
  <c r="AK246" i="7" s="1"/>
  <c r="AM275" i="7"/>
  <c r="AM264" i="7"/>
  <c r="AM237" i="7"/>
  <c r="AM214" i="7"/>
  <c r="AM217" i="7"/>
  <c r="AM218" i="7" s="1"/>
  <c r="AM192" i="7"/>
  <c r="AM189" i="7"/>
  <c r="AM901" i="7"/>
  <c r="AM900" i="7"/>
  <c r="AM893" i="7"/>
  <c r="AM892" i="7"/>
  <c r="AM887" i="7"/>
  <c r="AM869" i="7"/>
  <c r="AM806" i="7"/>
  <c r="AM805" i="7"/>
  <c r="AM804" i="7"/>
  <c r="AM780" i="7"/>
  <c r="AM782" i="7" s="1"/>
  <c r="AM793" i="7"/>
  <c r="AM791" i="7"/>
  <c r="AM737" i="7"/>
  <c r="AM736" i="7"/>
  <c r="AM733" i="7"/>
  <c r="AM732" i="7"/>
  <c r="AM738" i="7" s="1"/>
  <c r="AM727" i="7"/>
  <c r="AL718" i="7"/>
  <c r="AM716" i="7"/>
  <c r="AM717" i="7" s="1"/>
  <c r="AM721" i="7" s="1"/>
  <c r="AM707" i="7"/>
  <c r="AM711" i="7" s="1"/>
  <c r="AM694" i="7"/>
  <c r="AM703" i="7" s="1"/>
  <c r="AM647" i="7"/>
  <c r="AM665" i="7" s="1"/>
  <c r="AM179" i="7"/>
  <c r="AM181" i="7" s="1"/>
  <c r="AM185" i="7" s="1"/>
  <c r="AM65" i="7"/>
  <c r="AM58" i="7"/>
  <c r="AM52" i="7"/>
  <c r="AM51" i="7"/>
  <c r="AL1099" i="7"/>
  <c r="AL1096" i="7"/>
  <c r="AL1095" i="7"/>
  <c r="AL1091" i="7"/>
  <c r="AK1097" i="7"/>
  <c r="AK1093" i="7"/>
  <c r="AK1092" i="7" s="1"/>
  <c r="AL1092" i="7" s="1"/>
  <c r="AK1021" i="7"/>
  <c r="AK1019" i="7"/>
  <c r="AL1023" i="7"/>
  <c r="AM1018" i="7" s="1"/>
  <c r="AM1023" i="7" s="1"/>
  <c r="AN1018" i="7" s="1"/>
  <c r="AK966" i="7"/>
  <c r="AL958" i="7"/>
  <c r="AL966" i="7" s="1"/>
  <c r="AL955" i="7"/>
  <c r="AL954" i="7"/>
  <c r="AL950" i="7"/>
  <c r="AK956" i="7"/>
  <c r="AL1007" i="7"/>
  <c r="AL753" i="7"/>
  <c r="AK428" i="7"/>
  <c r="AK426" i="7"/>
  <c r="AL612" i="7"/>
  <c r="AK567" i="7"/>
  <c r="AL543" i="7"/>
  <c r="AN520" i="7"/>
  <c r="AN608" i="7" s="1"/>
  <c r="AK517" i="7"/>
  <c r="AL517" i="7" s="1"/>
  <c r="AM517" i="7" s="1"/>
  <c r="AK490" i="7"/>
  <c r="AL474" i="7"/>
  <c r="AQ463" i="7" s="1"/>
  <c r="AQ503" i="7" s="1"/>
  <c r="AK402" i="7"/>
  <c r="AL397" i="7"/>
  <c r="AL448" i="7"/>
  <c r="AL456" i="7" s="1"/>
  <c r="AK479" i="7"/>
  <c r="AL479" i="7" s="1"/>
  <c r="AK384" i="7"/>
  <c r="AL339" i="7"/>
  <c r="AL338" i="7"/>
  <c r="AL333" i="7"/>
  <c r="AL332" i="7"/>
  <c r="AL313" i="7"/>
  <c r="AL314" i="7" s="1"/>
  <c r="AL213" i="7"/>
  <c r="AK167" i="7"/>
  <c r="AK163" i="7"/>
  <c r="AK162" i="7"/>
  <c r="AL999" i="7"/>
  <c r="AL10" i="45" s="1"/>
  <c r="AL993" i="7"/>
  <c r="AL992" i="7"/>
  <c r="AK995" i="7"/>
  <c r="AK994" i="7"/>
  <c r="AJ994" i="7"/>
  <c r="AI994" i="7"/>
  <c r="AH994" i="7"/>
  <c r="AL972" i="7"/>
  <c r="AL970" i="7"/>
  <c r="AK977" i="7"/>
  <c r="AK975" i="7"/>
  <c r="AK971" i="7"/>
  <c r="AL971" i="7" s="1"/>
  <c r="AL215" i="7"/>
  <c r="AL212" i="7"/>
  <c r="AL211" i="7"/>
  <c r="AL209" i="7"/>
  <c r="AK275" i="7"/>
  <c r="AK264" i="7"/>
  <c r="AL570" i="7"/>
  <c r="AK571" i="7"/>
  <c r="AK237" i="7"/>
  <c r="AK217" i="7"/>
  <c r="AK218" i="7" s="1"/>
  <c r="AK214" i="7"/>
  <c r="AL205" i="7"/>
  <c r="AK192" i="7"/>
  <c r="AK189" i="7"/>
  <c r="AL180" i="7"/>
  <c r="AM167" i="7" s="1"/>
  <c r="AL177" i="7"/>
  <c r="AM163" i="7" s="1"/>
  <c r="AL176" i="7"/>
  <c r="AM162" i="7" s="1"/>
  <c r="AK179" i="7"/>
  <c r="AL52" i="7"/>
  <c r="AL45" i="7" s="1"/>
  <c r="AK901" i="7"/>
  <c r="AK961" i="7" s="1"/>
  <c r="AK900" i="7"/>
  <c r="AL891" i="7"/>
  <c r="AL890" i="7"/>
  <c r="AL886" i="7"/>
  <c r="AL885" i="7"/>
  <c r="AK893" i="7"/>
  <c r="AK892" i="7"/>
  <c r="AK887" i="7"/>
  <c r="AK877" i="7"/>
  <c r="AK876" i="7"/>
  <c r="AL871" i="7"/>
  <c r="AM877" i="7" s="1"/>
  <c r="AL870" i="7"/>
  <c r="AM876" i="7" s="1"/>
  <c r="AK869" i="7"/>
  <c r="AL869" i="7" s="1"/>
  <c r="AK806" i="7"/>
  <c r="AK805" i="7"/>
  <c r="AK804" i="7"/>
  <c r="AL781" i="7"/>
  <c r="AK780" i="7"/>
  <c r="AK782" i="7" s="1"/>
  <c r="AL782" i="7" s="1"/>
  <c r="AK793" i="7"/>
  <c r="AL793" i="7"/>
  <c r="AL790" i="7"/>
  <c r="AL789" i="7"/>
  <c r="AL788" i="7"/>
  <c r="AL787" i="7"/>
  <c r="AL804" i="7" s="1"/>
  <c r="AK791" i="7"/>
  <c r="AL791" i="7" s="1"/>
  <c r="AK737" i="7"/>
  <c r="AK736" i="7"/>
  <c r="AL731" i="7"/>
  <c r="AL730" i="7"/>
  <c r="AK733" i="7"/>
  <c r="AK732" i="7"/>
  <c r="AK738" i="7" s="1"/>
  <c r="AL726" i="7"/>
  <c r="AL567" i="7" s="1"/>
  <c r="AL725" i="7"/>
  <c r="AK727" i="7"/>
  <c r="AK716" i="7"/>
  <c r="AL716" i="7" s="1"/>
  <c r="AL709" i="7"/>
  <c r="AK707" i="7"/>
  <c r="AK699" i="7"/>
  <c r="AK698" i="7"/>
  <c r="AK697" i="7"/>
  <c r="AL693" i="7"/>
  <c r="AM699" i="7" s="1"/>
  <c r="AL692" i="7"/>
  <c r="AL691" i="7"/>
  <c r="AM697" i="7" s="1"/>
  <c r="AK694" i="7"/>
  <c r="AK702" i="7" s="1"/>
  <c r="AK653" i="7"/>
  <c r="AL646" i="7"/>
  <c r="AL645" i="7"/>
  <c r="AL653" i="7" s="1"/>
  <c r="AK647" i="7"/>
  <c r="AL647" i="7" s="1"/>
  <c r="AK352" i="7"/>
  <c r="AK339" i="7" s="1"/>
  <c r="AK351" i="7"/>
  <c r="AK333" i="7" s="1"/>
  <c r="AK347" i="7"/>
  <c r="AK338" i="7" s="1"/>
  <c r="AK346" i="7"/>
  <c r="AK332" i="7" s="1"/>
  <c r="AL9" i="7"/>
  <c r="AL13" i="7" s="1"/>
  <c r="AL15" i="7" s="1"/>
  <c r="AL25" i="7" s="1"/>
  <c r="AJ1097" i="7"/>
  <c r="AJ1100" i="7" s="1"/>
  <c r="AJ1093" i="7"/>
  <c r="AJ1092" i="7" s="1"/>
  <c r="AJ966" i="7"/>
  <c r="AJ956" i="7"/>
  <c r="AJ959" i="7" s="1"/>
  <c r="AJ980" i="7"/>
  <c r="AJ293" i="7" s="1"/>
  <c r="AJ295" i="7" s="1"/>
  <c r="AJ246" i="7" s="1"/>
  <c r="AJ780" i="7"/>
  <c r="AJ782" i="7" s="1"/>
  <c r="AJ567" i="7"/>
  <c r="AJ520" i="7"/>
  <c r="AJ608" i="7" s="1"/>
  <c r="AJ514" i="7"/>
  <c r="AJ516" i="7" s="1"/>
  <c r="AJ384" i="7"/>
  <c r="AJ339" i="7"/>
  <c r="AJ338" i="7"/>
  <c r="AJ333" i="7"/>
  <c r="AJ332" i="7"/>
  <c r="AJ995" i="7"/>
  <c r="AJ977" i="7"/>
  <c r="AJ975" i="7"/>
  <c r="AJ971" i="7"/>
  <c r="AJ275" i="7"/>
  <c r="AJ264" i="7"/>
  <c r="AJ237" i="7"/>
  <c r="AJ232" i="7" s="1"/>
  <c r="AJ260" i="7" s="1"/>
  <c r="Q10" i="9"/>
  <c r="P10" i="9"/>
  <c r="O10" i="9"/>
  <c r="N10" i="9"/>
  <c r="V10" i="9"/>
  <c r="U10" i="9"/>
  <c r="T10" i="9"/>
  <c r="S10" i="9"/>
  <c r="AA10" i="9"/>
  <c r="Z10" i="9"/>
  <c r="Y10" i="9"/>
  <c r="X10" i="9"/>
  <c r="AF10" i="9"/>
  <c r="AE10" i="9"/>
  <c r="AD10" i="9"/>
  <c r="AC10" i="9"/>
  <c r="AK10" i="9"/>
  <c r="AJ10" i="9"/>
  <c r="AI10" i="9"/>
  <c r="AH10" i="9"/>
  <c r="J9" i="9"/>
  <c r="K9" i="9"/>
  <c r="L9" i="9"/>
  <c r="Q9" i="9"/>
  <c r="P9" i="9"/>
  <c r="O9" i="9"/>
  <c r="N9" i="9"/>
  <c r="V9" i="9"/>
  <c r="U9" i="9"/>
  <c r="T9" i="9"/>
  <c r="S9" i="9"/>
  <c r="AA9" i="9"/>
  <c r="Z9" i="9"/>
  <c r="Y9" i="9"/>
  <c r="X9" i="9"/>
  <c r="AF9" i="9"/>
  <c r="AE9" i="9"/>
  <c r="AD9" i="9"/>
  <c r="AC9" i="9"/>
  <c r="AB6" i="9"/>
  <c r="AB5" i="9"/>
  <c r="AG6" i="9"/>
  <c r="AG5" i="9"/>
  <c r="M89" i="15" s="1"/>
  <c r="AH9" i="9"/>
  <c r="AJ571" i="7"/>
  <c r="AJ265" i="7" s="1"/>
  <c r="AJ214" i="7"/>
  <c r="AJ217" i="7"/>
  <c r="AJ218" i="7" s="1"/>
  <c r="AJ192" i="7"/>
  <c r="AJ189" i="7"/>
  <c r="AJ901" i="7"/>
  <c r="AJ900" i="7"/>
  <c r="AJ893" i="7"/>
  <c r="AJ892" i="7"/>
  <c r="AJ887" i="7"/>
  <c r="AJ877" i="7"/>
  <c r="AJ876" i="7"/>
  <c r="AJ869" i="7"/>
  <c r="AJ952" i="7" s="1"/>
  <c r="AJ951" i="7" s="1"/>
  <c r="AJ806" i="7"/>
  <c r="AJ805" i="7"/>
  <c r="AJ804" i="7"/>
  <c r="AJ793" i="7"/>
  <c r="AJ791" i="7"/>
  <c r="AJ800" i="7" s="1"/>
  <c r="AJ737" i="7"/>
  <c r="AJ736" i="7"/>
  <c r="AJ733" i="7"/>
  <c r="AJ732" i="7"/>
  <c r="AJ738" i="7" s="1"/>
  <c r="AJ727" i="7"/>
  <c r="AJ716" i="7"/>
  <c r="AJ717" i="7" s="1"/>
  <c r="AJ721" i="7" s="1"/>
  <c r="AJ707" i="7"/>
  <c r="AJ711" i="7" s="1"/>
  <c r="AJ699" i="7"/>
  <c r="AJ698" i="7"/>
  <c r="AJ697" i="7"/>
  <c r="AJ694" i="7"/>
  <c r="AJ702" i="7" s="1"/>
  <c r="AJ653" i="7"/>
  <c r="AJ647" i="7"/>
  <c r="AJ666" i="7" s="1"/>
  <c r="AJ167" i="7"/>
  <c r="AJ163" i="7"/>
  <c r="AJ162" i="7"/>
  <c r="AJ179" i="7"/>
  <c r="AJ181" i="7" s="1"/>
  <c r="AI966" i="7"/>
  <c r="AI1022" i="7"/>
  <c r="AJ1022" i="7" s="1"/>
  <c r="AI1020" i="7"/>
  <c r="AI567" i="7"/>
  <c r="AI1097" i="7"/>
  <c r="AI1100" i="7" s="1"/>
  <c r="AI1093" i="7"/>
  <c r="AI1092" i="7" s="1"/>
  <c r="AI429" i="7"/>
  <c r="AI427" i="7"/>
  <c r="AI384" i="7"/>
  <c r="AJ371" i="7" s="1"/>
  <c r="AI380" i="7"/>
  <c r="AJ380" i="7" s="1"/>
  <c r="AI379" i="7"/>
  <c r="AI313" i="7" s="1"/>
  <c r="AI375" i="7"/>
  <c r="AI410" i="7" s="1"/>
  <c r="AI374" i="7"/>
  <c r="AI339" i="7"/>
  <c r="AI338" i="7"/>
  <c r="AI333" i="7"/>
  <c r="AI332" i="7"/>
  <c r="AI312" i="7"/>
  <c r="AJ312" i="7" s="1"/>
  <c r="AI311" i="7"/>
  <c r="AI308" i="7"/>
  <c r="AJ308" i="7" s="1"/>
  <c r="AK308" i="7" s="1"/>
  <c r="AI307" i="7"/>
  <c r="AJ307" i="7" s="1"/>
  <c r="AK307" i="7" s="1"/>
  <c r="AH980" i="7"/>
  <c r="AH293" i="7" s="1"/>
  <c r="AH295" i="7" s="1"/>
  <c r="AH246" i="7" s="1"/>
  <c r="AI980" i="7"/>
  <c r="AI293" i="7" s="1"/>
  <c r="AI295" i="7" s="1"/>
  <c r="AI246" i="7" s="1"/>
  <c r="AI995" i="7"/>
  <c r="AI977" i="7"/>
  <c r="AI975" i="7"/>
  <c r="AI971" i="7"/>
  <c r="AG1007" i="7"/>
  <c r="AI956" i="7"/>
  <c r="AI959" i="7" s="1"/>
  <c r="BU55" i="12"/>
  <c r="X111" i="1"/>
  <c r="AU782" i="7"/>
  <c r="AR131" i="14"/>
  <c r="X77" i="1"/>
  <c r="X100" i="1"/>
  <c r="AR318" i="12"/>
  <c r="AR295" i="12"/>
  <c r="AP318" i="12"/>
  <c r="AP295" i="12"/>
  <c r="AP220" i="12"/>
  <c r="AP197" i="12"/>
  <c r="AR220" i="12"/>
  <c r="BU53" i="12"/>
  <c r="X113" i="1"/>
  <c r="AP995" i="7"/>
  <c r="AP994" i="7"/>
  <c r="AP1071" i="7"/>
  <c r="AP302" i="7" s="1"/>
  <c r="AP850" i="7"/>
  <c r="AP121" i="7" s="1"/>
  <c r="AP28" i="13"/>
  <c r="AI275" i="7"/>
  <c r="AI264" i="7"/>
  <c r="AI571" i="7"/>
  <c r="AI237" i="7"/>
  <c r="AI217" i="7"/>
  <c r="AI218" i="7" s="1"/>
  <c r="AI214" i="7"/>
  <c r="AI192" i="7"/>
  <c r="AI189" i="7"/>
  <c r="AI167" i="7"/>
  <c r="AI163" i="7"/>
  <c r="AI162" i="7"/>
  <c r="AI179" i="7"/>
  <c r="AI181" i="7" s="1"/>
  <c r="AI185" i="7" s="1"/>
  <c r="AI66" i="7"/>
  <c r="AJ66" i="7" s="1"/>
  <c r="AK66" i="7" s="1"/>
  <c r="AI59" i="7"/>
  <c r="AJ59" i="7" s="1"/>
  <c r="AH65" i="7"/>
  <c r="AH58" i="7"/>
  <c r="AH51" i="7"/>
  <c r="AA918" i="7"/>
  <c r="AB918" i="7" s="1"/>
  <c r="AC918" i="7" s="1"/>
  <c r="AD918" i="7" s="1"/>
  <c r="AE918" i="7" s="1"/>
  <c r="AF918" i="7" s="1"/>
  <c r="AG918" i="7" s="1"/>
  <c r="AH918" i="7" s="1"/>
  <c r="AI918" i="7" s="1"/>
  <c r="AJ918" i="7" s="1"/>
  <c r="AK918" i="7" s="1"/>
  <c r="AL918" i="7" s="1"/>
  <c r="AM918" i="7" s="1"/>
  <c r="AN918" i="7" s="1"/>
  <c r="AO918" i="7" s="1"/>
  <c r="AP918" i="7" s="1"/>
  <c r="AQ918" i="7" s="1"/>
  <c r="AR918" i="7" s="1"/>
  <c r="AS918" i="7" s="1"/>
  <c r="AI901" i="7"/>
  <c r="AI900" i="7"/>
  <c r="AI893" i="7"/>
  <c r="AI892" i="7"/>
  <c r="AI887" i="7"/>
  <c r="AI877" i="7"/>
  <c r="AI876" i="7"/>
  <c r="AI869" i="7"/>
  <c r="AI952" i="7" s="1"/>
  <c r="AI951" i="7" s="1"/>
  <c r="AI806" i="7"/>
  <c r="AI805" i="7"/>
  <c r="AI804" i="7"/>
  <c r="AI793" i="7"/>
  <c r="AI780" i="7"/>
  <c r="AI782" i="7" s="1"/>
  <c r="AI791" i="7"/>
  <c r="AI797" i="7" s="1"/>
  <c r="AI737" i="7"/>
  <c r="AI736" i="7"/>
  <c r="AI733" i="7"/>
  <c r="AI732" i="7"/>
  <c r="AI738" i="7" s="1"/>
  <c r="AI727" i="7"/>
  <c r="AI716" i="7"/>
  <c r="AI720" i="7" s="1"/>
  <c r="AI707" i="7"/>
  <c r="AI711" i="7" s="1"/>
  <c r="AI699" i="7"/>
  <c r="AI698" i="7"/>
  <c r="AI697" i="7"/>
  <c r="AI694" i="7"/>
  <c r="AI653" i="7"/>
  <c r="AI647" i="7"/>
  <c r="AI77" i="7"/>
  <c r="AH966" i="7"/>
  <c r="AH956" i="7"/>
  <c r="AH959" i="7" s="1"/>
  <c r="AH1023" i="7"/>
  <c r="AH567" i="7"/>
  <c r="AH410" i="7"/>
  <c r="AH389" i="7"/>
  <c r="AH384" i="7"/>
  <c r="AI371" i="7" s="1"/>
  <c r="AH372" i="7"/>
  <c r="AH390" i="7" s="1"/>
  <c r="AH339" i="7"/>
  <c r="AH338" i="7"/>
  <c r="AH333" i="7"/>
  <c r="AH332" i="7"/>
  <c r="AH313" i="7"/>
  <c r="AH314" i="7" s="1"/>
  <c r="AH275" i="7"/>
  <c r="AH264" i="7"/>
  <c r="AH571" i="7"/>
  <c r="AH265" i="7" s="1"/>
  <c r="AF214" i="7"/>
  <c r="AE214" i="7"/>
  <c r="AD214" i="7"/>
  <c r="AH214" i="7"/>
  <c r="AH217" i="7"/>
  <c r="AH218" i="7" s="1"/>
  <c r="AH192" i="7"/>
  <c r="AH189" i="7"/>
  <c r="AH928" i="7"/>
  <c r="AH756" i="7"/>
  <c r="AH995" i="7"/>
  <c r="AH971" i="7"/>
  <c r="AH901" i="7"/>
  <c r="AH900" i="7"/>
  <c r="AH893" i="7"/>
  <c r="AH892" i="7"/>
  <c r="AH887" i="7"/>
  <c r="AH806" i="7"/>
  <c r="AH805" i="7"/>
  <c r="AH804" i="7"/>
  <c r="AH793" i="7"/>
  <c r="AH780" i="7"/>
  <c r="AH782" i="7" s="1"/>
  <c r="AH791" i="7"/>
  <c r="AH796" i="7" s="1"/>
  <c r="AH869" i="7"/>
  <c r="AH872" i="7" s="1"/>
  <c r="AH237" i="7"/>
  <c r="AH716" i="7"/>
  <c r="AH720" i="7" s="1"/>
  <c r="AH707" i="7"/>
  <c r="AH708" i="7" s="1"/>
  <c r="AH712" i="7" s="1"/>
  <c r="AH694" i="7"/>
  <c r="AH737" i="7"/>
  <c r="AH736" i="7"/>
  <c r="AH733" i="7"/>
  <c r="AH732" i="7"/>
  <c r="AH738" i="7" s="1"/>
  <c r="AH727" i="7"/>
  <c r="AH653" i="7"/>
  <c r="AH647" i="7"/>
  <c r="AH179" i="7"/>
  <c r="AH181" i="7" s="1"/>
  <c r="AH185" i="7" s="1"/>
  <c r="X114" i="1"/>
  <c r="AP893" i="7"/>
  <c r="AP27" i="13"/>
  <c r="AP892" i="7"/>
  <c r="AH52" i="7"/>
  <c r="AI52" i="7" s="1"/>
  <c r="AJ52" i="7" s="1"/>
  <c r="AJ373" i="7" s="1"/>
  <c r="AH43" i="7"/>
  <c r="AH42" i="7"/>
  <c r="AF966" i="7"/>
  <c r="AE966" i="7"/>
  <c r="AD966" i="7"/>
  <c r="AC966" i="7"/>
  <c r="AG958" i="7"/>
  <c r="AG966" i="7" s="1"/>
  <c r="AF956" i="7"/>
  <c r="AG955" i="7"/>
  <c r="AG954" i="7"/>
  <c r="AG950" i="7"/>
  <c r="AG923" i="7"/>
  <c r="AG753" i="7"/>
  <c r="AG430" i="7"/>
  <c r="AH425" i="7" s="1"/>
  <c r="AH430" i="7" s="1"/>
  <c r="AI425" i="7" s="1"/>
  <c r="AF612" i="7"/>
  <c r="AG612" i="7" s="1"/>
  <c r="AG603" i="7"/>
  <c r="AF567" i="7"/>
  <c r="AG543" i="7"/>
  <c r="AG519" i="7"/>
  <c r="AF520" i="7"/>
  <c r="AF608" i="7" s="1"/>
  <c r="AG517" i="7"/>
  <c r="AF514" i="7"/>
  <c r="AF516" i="7" s="1"/>
  <c r="AG490" i="7"/>
  <c r="AH490" i="7" s="1"/>
  <c r="AG485" i="7"/>
  <c r="AG479" i="7"/>
  <c r="AH479" i="7" s="1"/>
  <c r="AF384" i="7"/>
  <c r="AF401" i="7" s="1"/>
  <c r="AG339" i="7"/>
  <c r="AD339" i="7"/>
  <c r="AG338" i="7"/>
  <c r="AG333" i="7"/>
  <c r="AG332" i="7"/>
  <c r="AG313" i="7"/>
  <c r="AG314" i="7" s="1"/>
  <c r="AF275" i="7"/>
  <c r="AF264" i="7"/>
  <c r="AE264" i="7"/>
  <c r="AF571" i="7"/>
  <c r="AG570" i="7"/>
  <c r="AE571" i="7"/>
  <c r="AE223" i="7" s="1"/>
  <c r="AF237" i="7"/>
  <c r="AF754" i="7" s="1"/>
  <c r="AF682" i="7" s="1"/>
  <c r="AG215" i="7"/>
  <c r="AG212" i="7"/>
  <c r="AG211" i="7"/>
  <c r="AG384" i="7" s="1"/>
  <c r="AF217" i="7"/>
  <c r="AF218" i="7" s="1"/>
  <c r="AG209" i="7"/>
  <c r="AG205" i="7"/>
  <c r="AG180" i="7"/>
  <c r="AH167" i="7" s="1"/>
  <c r="AG177" i="7"/>
  <c r="AH163" i="7" s="1"/>
  <c r="AG176" i="7"/>
  <c r="AH162" i="7" s="1"/>
  <c r="AF167" i="7"/>
  <c r="AF163" i="7"/>
  <c r="AF162" i="7"/>
  <c r="AF192" i="7"/>
  <c r="AF189" i="7"/>
  <c r="AF179" i="7"/>
  <c r="AG179" i="7" s="1"/>
  <c r="AF102" i="7"/>
  <c r="AG43" i="7"/>
  <c r="AG42" i="7"/>
  <c r="AG52" i="7"/>
  <c r="AG45" i="7" s="1"/>
  <c r="AG9" i="7"/>
  <c r="AG13" i="7" s="1"/>
  <c r="AG15" i="7" s="1"/>
  <c r="AG891" i="7"/>
  <c r="AG890" i="7"/>
  <c r="AG886" i="7"/>
  <c r="AG885" i="7"/>
  <c r="AF901" i="7"/>
  <c r="AF961" i="7" s="1"/>
  <c r="AF900" i="7"/>
  <c r="AF893" i="7"/>
  <c r="AF892" i="7"/>
  <c r="AF887" i="7"/>
  <c r="AF806" i="7"/>
  <c r="AF805" i="7"/>
  <c r="AF804" i="7"/>
  <c r="AG793" i="7"/>
  <c r="AG790" i="7"/>
  <c r="AG789" i="7"/>
  <c r="AG806" i="7" s="1"/>
  <c r="AG788" i="7"/>
  <c r="AG787" i="7"/>
  <c r="AG804" i="7" s="1"/>
  <c r="AG781" i="7"/>
  <c r="AF780" i="7"/>
  <c r="AF793" i="7"/>
  <c r="AF791" i="7"/>
  <c r="AF799" i="7" s="1"/>
  <c r="AG871" i="7"/>
  <c r="AG877" i="7" s="1"/>
  <c r="AG870" i="7"/>
  <c r="AH876" i="7" s="1"/>
  <c r="AF877" i="7"/>
  <c r="AF876" i="7"/>
  <c r="AF869" i="7"/>
  <c r="AF952" i="7" s="1"/>
  <c r="AF737" i="7"/>
  <c r="AF736" i="7"/>
  <c r="AG731" i="7"/>
  <c r="AG730" i="7"/>
  <c r="AF733" i="7"/>
  <c r="AF732" i="7"/>
  <c r="AG726" i="7"/>
  <c r="AG264" i="7" s="1"/>
  <c r="AG725" i="7"/>
  <c r="AF727" i="7"/>
  <c r="AG718" i="7"/>
  <c r="AF716" i="7"/>
  <c r="AG709" i="7"/>
  <c r="AF707" i="7"/>
  <c r="AF708" i="7" s="1"/>
  <c r="AG693" i="7"/>
  <c r="AG692" i="7"/>
  <c r="AG691" i="7"/>
  <c r="AG189" i="7" s="1"/>
  <c r="AF699" i="7"/>
  <c r="AF698" i="7"/>
  <c r="AF697" i="7"/>
  <c r="AF694" i="7"/>
  <c r="AG694" i="7" s="1"/>
  <c r="AF653" i="7"/>
  <c r="AG646" i="7"/>
  <c r="AG645" i="7"/>
  <c r="AG653" i="7" s="1"/>
  <c r="AF647" i="7"/>
  <c r="AF665" i="7" s="1"/>
  <c r="AE956" i="7"/>
  <c r="AE959" i="7" s="1"/>
  <c r="AE612" i="7"/>
  <c r="AE567" i="7"/>
  <c r="AE479" i="7"/>
  <c r="AF480" i="7" s="1"/>
  <c r="AE490" i="7"/>
  <c r="AE491" i="7" s="1"/>
  <c r="AE467" i="7" s="1"/>
  <c r="AE384" i="7"/>
  <c r="AF371" i="7" s="1"/>
  <c r="AE352" i="7"/>
  <c r="AE339" i="7" s="1"/>
  <c r="AE275" i="7"/>
  <c r="AE278" i="7" s="1"/>
  <c r="AE245" i="7" s="1"/>
  <c r="AE217" i="7"/>
  <c r="AE218" i="7" s="1"/>
  <c r="AE237" i="7"/>
  <c r="AE228" i="7" s="1"/>
  <c r="AE268" i="7" s="1"/>
  <c r="AE192" i="7"/>
  <c r="AE189" i="7"/>
  <c r="AE167" i="7"/>
  <c r="AE163" i="7"/>
  <c r="AE162" i="7"/>
  <c r="AE179" i="7"/>
  <c r="AE102" i="7"/>
  <c r="AE429" i="7"/>
  <c r="AF429" i="7" s="1"/>
  <c r="AE428" i="7"/>
  <c r="AE427" i="7"/>
  <c r="AF427" i="7" s="1"/>
  <c r="AE426" i="7"/>
  <c r="AE59" i="7"/>
  <c r="AF59" i="7" s="1"/>
  <c r="AE31" i="7"/>
  <c r="AF31" i="7" s="1"/>
  <c r="AE901" i="7"/>
  <c r="AE900" i="7"/>
  <c r="AE893" i="7"/>
  <c r="AE892" i="7"/>
  <c r="AE887" i="7"/>
  <c r="AE737" i="7"/>
  <c r="AE736" i="7"/>
  <c r="AE733" i="7"/>
  <c r="AE732" i="7"/>
  <c r="AE738" i="7" s="1"/>
  <c r="AE727" i="7"/>
  <c r="AE716" i="7"/>
  <c r="AE707" i="7"/>
  <c r="AE699" i="7"/>
  <c r="AE698" i="7"/>
  <c r="AE697" i="7"/>
  <c r="AE694" i="7"/>
  <c r="AE702" i="7" s="1"/>
  <c r="AE653" i="7"/>
  <c r="AE647" i="7"/>
  <c r="AE877" i="7"/>
  <c r="AE876" i="7"/>
  <c r="AE869" i="7"/>
  <c r="AE780" i="7"/>
  <c r="AE782" i="7" s="1"/>
  <c r="AE793" i="7"/>
  <c r="AE806" i="7"/>
  <c r="AE805" i="7"/>
  <c r="AE804" i="7"/>
  <c r="AD806" i="7"/>
  <c r="AD805" i="7"/>
  <c r="AD804" i="7"/>
  <c r="AE791" i="7"/>
  <c r="AE796" i="7" s="1"/>
  <c r="AD780" i="7"/>
  <c r="AD782" i="7" s="1"/>
  <c r="Y956" i="7"/>
  <c r="Y959" i="7" s="1"/>
  <c r="Y952" i="7"/>
  <c r="Y951" i="7" s="1"/>
  <c r="Z956" i="7"/>
  <c r="Z959" i="7" s="1"/>
  <c r="Z952" i="7"/>
  <c r="Z951" i="7" s="1"/>
  <c r="AB958" i="7"/>
  <c r="AB955" i="7"/>
  <c r="AB954" i="7"/>
  <c r="AB950" i="7"/>
  <c r="AA956" i="7"/>
  <c r="AA959" i="7" s="1"/>
  <c r="AB959" i="7" s="1"/>
  <c r="AA952" i="7"/>
  <c r="AB952" i="7" s="1"/>
  <c r="AC956" i="7"/>
  <c r="AC959" i="7" s="1"/>
  <c r="AC952" i="7"/>
  <c r="AC951" i="7" s="1"/>
  <c r="AD956" i="7"/>
  <c r="AD959" i="7" s="1"/>
  <c r="AD430" i="7"/>
  <c r="AD612" i="7"/>
  <c r="AD567" i="7"/>
  <c r="AD520" i="7"/>
  <c r="AD608" i="7" s="1"/>
  <c r="AD514" i="7"/>
  <c r="AD516" i="7" s="1"/>
  <c r="AE516" i="7" s="1"/>
  <c r="AD480" i="7"/>
  <c r="AD491" i="7"/>
  <c r="AD467" i="7" s="1"/>
  <c r="AD384" i="7"/>
  <c r="AD380" i="7"/>
  <c r="AD379" i="7"/>
  <c r="AE379" i="7" s="1"/>
  <c r="AE313" i="7" s="1"/>
  <c r="AD375" i="7"/>
  <c r="AD374" i="7"/>
  <c r="AD312" i="7"/>
  <c r="AE312" i="7" s="1"/>
  <c r="AD311" i="7"/>
  <c r="AE311" i="7" s="1"/>
  <c r="AE372" i="7" s="1"/>
  <c r="AD308" i="7"/>
  <c r="AE308" i="7" s="1"/>
  <c r="AD307" i="7"/>
  <c r="AC225" i="7"/>
  <c r="AD275" i="7"/>
  <c r="AD278" i="7" s="1"/>
  <c r="AD245" i="7" s="1"/>
  <c r="AD264" i="7"/>
  <c r="AD571" i="7"/>
  <c r="AD223" i="7" s="1"/>
  <c r="AD237" i="7"/>
  <c r="AD217" i="7"/>
  <c r="AD218" i="7" s="1"/>
  <c r="AD192" i="7"/>
  <c r="AD189" i="7"/>
  <c r="AD167" i="7"/>
  <c r="AD163" i="7"/>
  <c r="AD162" i="7"/>
  <c r="AD179" i="7"/>
  <c r="AD181" i="7" s="1"/>
  <c r="AD102" i="7"/>
  <c r="AD77" i="7"/>
  <c r="Y77" i="7"/>
  <c r="Z77" i="7" s="1"/>
  <c r="AD57" i="7"/>
  <c r="AD56" i="7"/>
  <c r="AE56" i="7" s="1"/>
  <c r="AD50" i="7"/>
  <c r="AD49" i="7"/>
  <c r="AD351" i="7"/>
  <c r="AE351" i="7" s="1"/>
  <c r="AE333" i="7" s="1"/>
  <c r="AD347" i="7"/>
  <c r="AD346" i="7"/>
  <c r="AE346" i="7" s="1"/>
  <c r="AE332" i="7" s="1"/>
  <c r="AD33" i="7"/>
  <c r="AD32" i="7"/>
  <c r="AE32" i="7" s="1"/>
  <c r="P25" i="1" s="1"/>
  <c r="AD29" i="7"/>
  <c r="AD756" i="7" s="1"/>
  <c r="AD24" i="7"/>
  <c r="AE24" i="7" s="1"/>
  <c r="AD12" i="7"/>
  <c r="AE12" i="7" s="1"/>
  <c r="AD11" i="7"/>
  <c r="AE11" i="7" s="1"/>
  <c r="AD10" i="7"/>
  <c r="AE10" i="7" s="1"/>
  <c r="AD8" i="7"/>
  <c r="AD7" i="7"/>
  <c r="AD6" i="7"/>
  <c r="AE6" i="7" s="1"/>
  <c r="AD901" i="7"/>
  <c r="AD900" i="7"/>
  <c r="AD893" i="7"/>
  <c r="AD892" i="7"/>
  <c r="AD887" i="7"/>
  <c r="AD791" i="7"/>
  <c r="AD799" i="7" s="1"/>
  <c r="AC789" i="7"/>
  <c r="AC788" i="7"/>
  <c r="AD793" i="7"/>
  <c r="AD877" i="7"/>
  <c r="AD876" i="7"/>
  <c r="AD869" i="7"/>
  <c r="AD872" i="7" s="1"/>
  <c r="AD737" i="7"/>
  <c r="AD736" i="7"/>
  <c r="AD733" i="7"/>
  <c r="AD732" i="7"/>
  <c r="AD738" i="7" s="1"/>
  <c r="AD727" i="7"/>
  <c r="AD716" i="7"/>
  <c r="AD720" i="7" s="1"/>
  <c r="AD707" i="7"/>
  <c r="AD711" i="7" s="1"/>
  <c r="AD699" i="7"/>
  <c r="AD698" i="7"/>
  <c r="AD697" i="7"/>
  <c r="AD694" i="7"/>
  <c r="AD703" i="7" s="1"/>
  <c r="AD653" i="7"/>
  <c r="AD647" i="7"/>
  <c r="AD666" i="7" s="1"/>
  <c r="U942" i="7"/>
  <c r="AC612" i="7"/>
  <c r="AC567" i="7"/>
  <c r="AC520" i="7"/>
  <c r="AC608" i="7" s="1"/>
  <c r="AC514" i="7"/>
  <c r="AC516" i="7" s="1"/>
  <c r="AC410" i="7"/>
  <c r="AC389" i="7"/>
  <c r="AC384" i="7"/>
  <c r="AD371" i="7" s="1"/>
  <c r="AC373" i="7"/>
  <c r="AC372" i="7"/>
  <c r="AC390" i="7" s="1"/>
  <c r="AC409" i="7" s="1"/>
  <c r="AC338" i="7"/>
  <c r="AC333" i="7"/>
  <c r="AC332" i="7"/>
  <c r="AC313" i="7"/>
  <c r="AC314" i="7" s="1"/>
  <c r="AC275" i="7"/>
  <c r="AC278" i="7" s="1"/>
  <c r="AC245" i="7" s="1"/>
  <c r="AC264" i="7"/>
  <c r="AC237" i="7"/>
  <c r="AC222" i="7" s="1"/>
  <c r="AC571" i="7"/>
  <c r="AC223" i="7" s="1"/>
  <c r="AC217" i="7"/>
  <c r="AC218" i="7" s="1"/>
  <c r="AC756" i="7"/>
  <c r="AC928" i="7" s="1"/>
  <c r="AC192" i="7"/>
  <c r="AC189" i="7"/>
  <c r="AC179" i="7"/>
  <c r="AC181" i="7" s="1"/>
  <c r="AC185" i="7" s="1"/>
  <c r="AC166" i="7"/>
  <c r="AC102" i="7"/>
  <c r="AC81" i="7" s="1"/>
  <c r="AC43" i="7"/>
  <c r="AC42" i="7"/>
  <c r="AC52" i="7"/>
  <c r="AC9" i="7"/>
  <c r="AC13" i="7" s="1"/>
  <c r="AC15" i="7" s="1"/>
  <c r="AC74" i="7" s="1"/>
  <c r="AC76" i="7" s="1"/>
  <c r="AC901" i="7"/>
  <c r="AC961" i="7" s="1"/>
  <c r="AC900" i="7"/>
  <c r="AC893" i="7"/>
  <c r="AC892" i="7"/>
  <c r="AC733" i="7"/>
  <c r="AA733" i="7"/>
  <c r="Z733" i="7"/>
  <c r="Y733" i="7"/>
  <c r="X733" i="7"/>
  <c r="AC887" i="7"/>
  <c r="AA880" i="7"/>
  <c r="AA881" i="7" s="1"/>
  <c r="Z880" i="7"/>
  <c r="Z881" i="7" s="1"/>
  <c r="Y880" i="7"/>
  <c r="Y881" i="7" s="1"/>
  <c r="AC877" i="7"/>
  <c r="AC872" i="7"/>
  <c r="AC782" i="7"/>
  <c r="AC737" i="7"/>
  <c r="AC736" i="7"/>
  <c r="AC732" i="7"/>
  <c r="AC738" i="7" s="1"/>
  <c r="AC727" i="7"/>
  <c r="AC716" i="7"/>
  <c r="AC717" i="7" s="1"/>
  <c r="AC721" i="7" s="1"/>
  <c r="AC707" i="7"/>
  <c r="AC708" i="7" s="1"/>
  <c r="AC712" i="7" s="1"/>
  <c r="AC694" i="7"/>
  <c r="AC653" i="7"/>
  <c r="AC647" i="7"/>
  <c r="AC665" i="7" s="1"/>
  <c r="AB756" i="7"/>
  <c r="AB753" i="7"/>
  <c r="AA612" i="7"/>
  <c r="AB612" i="7" s="1"/>
  <c r="Z612" i="7"/>
  <c r="AB519" i="7"/>
  <c r="AA520" i="7"/>
  <c r="AA608" i="7" s="1"/>
  <c r="AA514" i="7"/>
  <c r="AA516" i="7" s="1"/>
  <c r="AB517" i="7"/>
  <c r="X520" i="7"/>
  <c r="X514" i="7"/>
  <c r="X516" i="7" s="1"/>
  <c r="AB205" i="7"/>
  <c r="AB479" i="7"/>
  <c r="AC480" i="7" s="1"/>
  <c r="AB474" i="7"/>
  <c r="W474" i="7"/>
  <c r="R474" i="7"/>
  <c r="AA402" i="7"/>
  <c r="AB397" i="7"/>
  <c r="AC388" i="7" s="1"/>
  <c r="V402" i="7"/>
  <c r="W397" i="7"/>
  <c r="X388" i="7" s="1"/>
  <c r="Q402" i="7"/>
  <c r="R397" i="7"/>
  <c r="R402" i="7" s="1"/>
  <c r="AB603" i="7"/>
  <c r="AA567" i="7"/>
  <c r="AB490" i="7"/>
  <c r="AC491" i="7" s="1"/>
  <c r="AC467" i="7" s="1"/>
  <c r="AB485" i="7"/>
  <c r="AB543" i="7"/>
  <c r="AB448" i="7"/>
  <c r="AB456" i="7" s="1"/>
  <c r="AA384" i="7"/>
  <c r="AA401" i="7" s="1"/>
  <c r="AB338" i="7"/>
  <c r="AB333" i="7"/>
  <c r="AB332" i="7"/>
  <c r="AB313" i="7"/>
  <c r="AB314" i="7" s="1"/>
  <c r="AA275" i="7"/>
  <c r="AA278" i="7" s="1"/>
  <c r="AA245" i="7" s="1"/>
  <c r="AA264" i="7"/>
  <c r="AA225" i="7"/>
  <c r="AB570" i="7"/>
  <c r="W570" i="7"/>
  <c r="AA571" i="7"/>
  <c r="AA265" i="7" s="1"/>
  <c r="AB215" i="7"/>
  <c r="AB209" i="7"/>
  <c r="AA237" i="7"/>
  <c r="AB237" i="7" s="1"/>
  <c r="AA217" i="7"/>
  <c r="AA218" i="7" s="1"/>
  <c r="AA192" i="7"/>
  <c r="AA189" i="7"/>
  <c r="AA102" i="7"/>
  <c r="AB43" i="7"/>
  <c r="AB42" i="7"/>
  <c r="AB52" i="7"/>
  <c r="AB45" i="7" s="1"/>
  <c r="AB9" i="7"/>
  <c r="AB13" i="7" s="1"/>
  <c r="AB15" i="7" s="1"/>
  <c r="AA737" i="7"/>
  <c r="AA736" i="7"/>
  <c r="AB731" i="7"/>
  <c r="AB730" i="7"/>
  <c r="AA732" i="7"/>
  <c r="AB732" i="7" s="1"/>
  <c r="AB726" i="7"/>
  <c r="AB567" i="7" s="1"/>
  <c r="AB725" i="7"/>
  <c r="AA727" i="7"/>
  <c r="AA716" i="7"/>
  <c r="AB716" i="7" s="1"/>
  <c r="AB718" i="7"/>
  <c r="AB709" i="7"/>
  <c r="AA707" i="7"/>
  <c r="AB693" i="7"/>
  <c r="AC699" i="7" s="1"/>
  <c r="AB692" i="7"/>
  <c r="AC698" i="7" s="1"/>
  <c r="AB691" i="7"/>
  <c r="AC697" i="7" s="1"/>
  <c r="AA699" i="7"/>
  <c r="AA698" i="7"/>
  <c r="AA697" i="7"/>
  <c r="AA694" i="7"/>
  <c r="AB694" i="7" s="1"/>
  <c r="AB646" i="7"/>
  <c r="AB645" i="7"/>
  <c r="AA653" i="7"/>
  <c r="AA647" i="7"/>
  <c r="AB647" i="7" s="1"/>
  <c r="AB780" i="7"/>
  <c r="AA782" i="7"/>
  <c r="AB782" i="7" s="1"/>
  <c r="AB886" i="7"/>
  <c r="AB275" i="7" s="1"/>
  <c r="AB278" i="7" s="1"/>
  <c r="AB245" i="7" s="1"/>
  <c r="AB885" i="7"/>
  <c r="AA888" i="7"/>
  <c r="AA937" i="7" s="1"/>
  <c r="AA887" i="7"/>
  <c r="AB872" i="7"/>
  <c r="AB878" i="7" s="1"/>
  <c r="AB869" i="7"/>
  <c r="AA878" i="7"/>
  <c r="AA875" i="7"/>
  <c r="AA870" i="7"/>
  <c r="AB870" i="7" s="1"/>
  <c r="AC876" i="7" s="1"/>
  <c r="AB166" i="7"/>
  <c r="Z567" i="7"/>
  <c r="Z384" i="7"/>
  <c r="Z401" i="7" s="1"/>
  <c r="Z275" i="7"/>
  <c r="Z278" i="7" s="1"/>
  <c r="Z245" i="7" s="1"/>
  <c r="Z264" i="7"/>
  <c r="Z225" i="7"/>
  <c r="Z571" i="7"/>
  <c r="Z223" i="7" s="1"/>
  <c r="Z237" i="7"/>
  <c r="Z754" i="7" s="1"/>
  <c r="Z217" i="7"/>
  <c r="Z218" i="7" s="1"/>
  <c r="Z192" i="7"/>
  <c r="Z189" i="7"/>
  <c r="Z102" i="7"/>
  <c r="W912" i="7"/>
  <c r="X912" i="7" s="1"/>
  <c r="Y912" i="7" s="1"/>
  <c r="Z912" i="7" s="1"/>
  <c r="AA912" i="7" s="1"/>
  <c r="AB912" i="7" s="1"/>
  <c r="AC912" i="7" s="1"/>
  <c r="AD912" i="7" s="1"/>
  <c r="AE912" i="7" s="1"/>
  <c r="AF912" i="7" s="1"/>
  <c r="AG912" i="7" s="1"/>
  <c r="AH912" i="7" s="1"/>
  <c r="AI912" i="7" s="1"/>
  <c r="AJ912" i="7" s="1"/>
  <c r="AK912" i="7" s="1"/>
  <c r="AL912" i="7" s="1"/>
  <c r="AM912" i="7" s="1"/>
  <c r="AN912" i="7" s="1"/>
  <c r="AO912" i="7" s="1"/>
  <c r="AP912" i="7" s="1"/>
  <c r="AQ912" i="7" s="1"/>
  <c r="AR912" i="7" s="1"/>
  <c r="AS912" i="7" s="1"/>
  <c r="Z888" i="7"/>
  <c r="Z887" i="7"/>
  <c r="Z737" i="7"/>
  <c r="Z736" i="7"/>
  <c r="Z732" i="7"/>
  <c r="Z738" i="7" s="1"/>
  <c r="Z727" i="7"/>
  <c r="Z57" i="7"/>
  <c r="AA57" i="7" s="1"/>
  <c r="Z351" i="7"/>
  <c r="Z878" i="7"/>
  <c r="Z875" i="7"/>
  <c r="Z870" i="7"/>
  <c r="Z782" i="7"/>
  <c r="Z716" i="7"/>
  <c r="Z707" i="7"/>
  <c r="Z699" i="7"/>
  <c r="Z698" i="7"/>
  <c r="Z697" i="7"/>
  <c r="Z694" i="7"/>
  <c r="Z703" i="7" s="1"/>
  <c r="Z653" i="7"/>
  <c r="Z647" i="7"/>
  <c r="Z665" i="7" s="1"/>
  <c r="Y567" i="7"/>
  <c r="J223" i="7"/>
  <c r="Y275" i="7"/>
  <c r="Y264" i="7"/>
  <c r="Y384" i="7"/>
  <c r="Y401" i="7" s="1"/>
  <c r="Y380" i="7"/>
  <c r="Y379" i="7"/>
  <c r="Y375" i="7"/>
  <c r="Z375" i="7" s="1"/>
  <c r="Y374" i="7"/>
  <c r="Y389" i="7" s="1"/>
  <c r="X338" i="7"/>
  <c r="Y333" i="7"/>
  <c r="X332" i="7"/>
  <c r="Y347" i="7"/>
  <c r="Y346" i="7"/>
  <c r="Y332" i="7" s="1"/>
  <c r="Y308" i="7"/>
  <c r="Z308" i="7" s="1"/>
  <c r="Y312" i="7"/>
  <c r="Z312" i="7" s="1"/>
  <c r="Y311" i="7"/>
  <c r="Z311" i="7" s="1"/>
  <c r="Z372" i="7" s="1"/>
  <c r="Z390" i="7" s="1"/>
  <c r="Y307" i="7"/>
  <c r="Z307" i="7" s="1"/>
  <c r="AA307" i="7" s="1"/>
  <c r="Y887" i="7"/>
  <c r="Y888" i="7" s="1"/>
  <c r="Y937" i="7" s="1"/>
  <c r="Y225" i="7"/>
  <c r="Y878" i="7"/>
  <c r="Y875" i="7"/>
  <c r="Y870" i="7"/>
  <c r="Y876" i="7" s="1"/>
  <c r="Y782" i="7"/>
  <c r="X225" i="7"/>
  <c r="Y571" i="7"/>
  <c r="Y217" i="7"/>
  <c r="Y218" i="7" s="1"/>
  <c r="Y192" i="7"/>
  <c r="Y189" i="7"/>
  <c r="Y167" i="7"/>
  <c r="Y163" i="7"/>
  <c r="Z163" i="7" s="1"/>
  <c r="Y162" i="7"/>
  <c r="Y176" i="7" s="1"/>
  <c r="AP567" i="7"/>
  <c r="AP765" i="7" s="1"/>
  <c r="T31" i="17" s="1"/>
  <c r="AP680" i="7"/>
  <c r="AR28" i="13"/>
  <c r="AR892" i="7"/>
  <c r="AR893" i="7"/>
  <c r="AR27" i="13"/>
  <c r="AP264" i="7"/>
  <c r="AP266" i="7" s="1"/>
  <c r="AP244" i="7" s="1"/>
  <c r="AQ726" i="7"/>
  <c r="AP192" i="7"/>
  <c r="AQ725" i="7"/>
  <c r="AP727" i="7"/>
  <c r="AP174" i="12"/>
  <c r="AQ96" i="12"/>
  <c r="X52" i="7"/>
  <c r="X50" i="7"/>
  <c r="X49" i="7"/>
  <c r="Y49" i="7" s="1"/>
  <c r="Y102" i="7"/>
  <c r="Y33" i="7"/>
  <c r="Z33" i="7" s="1"/>
  <c r="Y32" i="7"/>
  <c r="Z32" i="7" s="1"/>
  <c r="AA32" i="7" s="1"/>
  <c r="AA373" i="7" s="1"/>
  <c r="Y29" i="7"/>
  <c r="Y756" i="7" s="1"/>
  <c r="Y24" i="7"/>
  <c r="Z24" i="7" s="1"/>
  <c r="AA24" i="7" s="1"/>
  <c r="Y12" i="7"/>
  <c r="Z12" i="7" s="1"/>
  <c r="Y11" i="7"/>
  <c r="Z11" i="7" s="1"/>
  <c r="Y10" i="7"/>
  <c r="Y7" i="7"/>
  <c r="Z7" i="7" s="1"/>
  <c r="Y8" i="7"/>
  <c r="Z8" i="7" s="1"/>
  <c r="Y6" i="7"/>
  <c r="Z6" i="7" s="1"/>
  <c r="AA6" i="7" s="1"/>
  <c r="Y237" i="7"/>
  <c r="Y737" i="7"/>
  <c r="Y736" i="7"/>
  <c r="Y732" i="7"/>
  <c r="Y738" i="7" s="1"/>
  <c r="Y727" i="7"/>
  <c r="Y707" i="7"/>
  <c r="Y711" i="7" s="1"/>
  <c r="Y716" i="7"/>
  <c r="Y720" i="7" s="1"/>
  <c r="Y699" i="7"/>
  <c r="Y698" i="7"/>
  <c r="Y697" i="7"/>
  <c r="Y694" i="7"/>
  <c r="Y703" i="7" s="1"/>
  <c r="Y653" i="7"/>
  <c r="Y647" i="7"/>
  <c r="X192" i="7"/>
  <c r="X189" i="7"/>
  <c r="X567" i="7"/>
  <c r="X410" i="7"/>
  <c r="X389" i="7"/>
  <c r="X373" i="7"/>
  <c r="X372" i="7"/>
  <c r="X313" i="7"/>
  <c r="X314" i="7" s="1"/>
  <c r="X571" i="7"/>
  <c r="X223" i="7" s="1"/>
  <c r="X215" i="7"/>
  <c r="X384" i="7" s="1"/>
  <c r="X716" i="7"/>
  <c r="X707" i="7"/>
  <c r="X708" i="7" s="1"/>
  <c r="X712" i="7" s="1"/>
  <c r="X694" i="7"/>
  <c r="X702" i="7" s="1"/>
  <c r="X653" i="7"/>
  <c r="X647" i="7"/>
  <c r="X666" i="7" s="1"/>
  <c r="X179" i="7"/>
  <c r="X181" i="7" s="1"/>
  <c r="X185" i="7" s="1"/>
  <c r="X166" i="7"/>
  <c r="X164" i="7" s="1"/>
  <c r="X145" i="7"/>
  <c r="X102" i="7"/>
  <c r="X756" i="7"/>
  <c r="X237" i="7"/>
  <c r="X754" i="7" s="1"/>
  <c r="V736" i="7"/>
  <c r="W730" i="7"/>
  <c r="V731" i="7"/>
  <c r="V733" i="7" s="1"/>
  <c r="U736" i="7"/>
  <c r="U731" i="7"/>
  <c r="U732" i="7" s="1"/>
  <c r="U738" i="7" s="1"/>
  <c r="X737" i="7"/>
  <c r="X736" i="7"/>
  <c r="X732" i="7"/>
  <c r="X738" i="7" s="1"/>
  <c r="X727" i="7"/>
  <c r="X9" i="7"/>
  <c r="X13" i="7" s="1"/>
  <c r="X15" i="7" s="1"/>
  <c r="X25" i="7" s="1"/>
  <c r="X34" i="7" s="1"/>
  <c r="R180" i="7"/>
  <c r="Q180" i="7" s="1"/>
  <c r="R177" i="7"/>
  <c r="R176" i="7"/>
  <c r="Q176" i="7" s="1"/>
  <c r="L192" i="7"/>
  <c r="J189" i="7"/>
  <c r="J190" i="7" s="1"/>
  <c r="J195" i="7" s="1"/>
  <c r="J200" i="7" s="1"/>
  <c r="W145" i="7"/>
  <c r="W166" i="7"/>
  <c r="R145" i="7"/>
  <c r="R166" i="7"/>
  <c r="S179" i="7"/>
  <c r="S181" i="7" s="1"/>
  <c r="S185" i="7" s="1"/>
  <c r="T167" i="7"/>
  <c r="T145" i="7" s="1"/>
  <c r="T163" i="7"/>
  <c r="T162" i="7"/>
  <c r="O167" i="7"/>
  <c r="O145" i="7" s="1"/>
  <c r="O163" i="7"/>
  <c r="O162" i="7"/>
  <c r="T192" i="7"/>
  <c r="U192" i="7"/>
  <c r="V192" i="7"/>
  <c r="S192" i="7"/>
  <c r="Q192" i="7"/>
  <c r="S145" i="7"/>
  <c r="N166" i="7"/>
  <c r="N145" i="7"/>
  <c r="S166" i="7"/>
  <c r="W726" i="7"/>
  <c r="W680" i="7" s="1"/>
  <c r="W725" i="7"/>
  <c r="V567" i="7"/>
  <c r="W550" i="7"/>
  <c r="W549" i="7"/>
  <c r="V547" i="7"/>
  <c r="W547" i="7" s="1"/>
  <c r="V546" i="7"/>
  <c r="W546" i="7" s="1"/>
  <c r="W543" i="7"/>
  <c r="V411" i="7"/>
  <c r="V571" i="7"/>
  <c r="V223" i="7" s="1"/>
  <c r="W209" i="7"/>
  <c r="V215" i="7"/>
  <c r="V217" i="7" s="1"/>
  <c r="V218" i="7" s="1"/>
  <c r="W756" i="7"/>
  <c r="W753" i="7"/>
  <c r="V237" i="7"/>
  <c r="V754" i="7" s="1"/>
  <c r="V31" i="7"/>
  <c r="V727" i="7"/>
  <c r="V720" i="7"/>
  <c r="W718" i="7"/>
  <c r="W716" i="7"/>
  <c r="V717" i="7"/>
  <c r="V709" i="7"/>
  <c r="W709" i="7" s="1"/>
  <c r="V707" i="7"/>
  <c r="V693" i="7"/>
  <c r="W693" i="7" s="1"/>
  <c r="X699" i="7" s="1"/>
  <c r="V692" i="7"/>
  <c r="V691" i="7"/>
  <c r="W646" i="7"/>
  <c r="V645" i="7"/>
  <c r="V653" i="7" s="1"/>
  <c r="V11" i="7"/>
  <c r="O33" i="7"/>
  <c r="P33" i="7" s="1"/>
  <c r="O31" i="7"/>
  <c r="P31" i="7" s="1"/>
  <c r="O30" i="7"/>
  <c r="P30" i="7" s="1"/>
  <c r="Q30" i="7" s="1"/>
  <c r="O29" i="7"/>
  <c r="S756" i="7"/>
  <c r="R756" i="7"/>
  <c r="N756" i="7"/>
  <c r="M756" i="7"/>
  <c r="M753" i="7"/>
  <c r="R753" i="7"/>
  <c r="U567" i="7"/>
  <c r="U411" i="7"/>
  <c r="U384" i="7"/>
  <c r="V371" i="7" s="1"/>
  <c r="U308" i="7"/>
  <c r="V308" i="7" s="1"/>
  <c r="U571" i="7"/>
  <c r="U223" i="7" s="1"/>
  <c r="U237" i="7"/>
  <c r="U754" i="7" s="1"/>
  <c r="U682" i="7" s="1"/>
  <c r="U217" i="7"/>
  <c r="U418" i="7" s="1"/>
  <c r="U12" i="7"/>
  <c r="U6" i="7"/>
  <c r="V6" i="7" s="1"/>
  <c r="U720" i="7"/>
  <c r="U717" i="7"/>
  <c r="U721" i="7" s="1"/>
  <c r="U709" i="7"/>
  <c r="U707" i="7"/>
  <c r="U693" i="7"/>
  <c r="U692" i="7"/>
  <c r="U691" i="7"/>
  <c r="U645" i="7"/>
  <c r="U728" i="7"/>
  <c r="U770" i="7" s="1"/>
  <c r="U727" i="7"/>
  <c r="T567" i="7"/>
  <c r="T380" i="7"/>
  <c r="T379" i="7"/>
  <c r="T378" i="7"/>
  <c r="T377" i="7"/>
  <c r="T391" i="7" s="1"/>
  <c r="T375" i="7"/>
  <c r="T374" i="7"/>
  <c r="U374" i="7" s="1"/>
  <c r="T312" i="7"/>
  <c r="U312" i="7" s="1"/>
  <c r="T311" i="7"/>
  <c r="U311" i="7" s="1"/>
  <c r="U372" i="7" s="1"/>
  <c r="T307" i="7"/>
  <c r="U307" i="7" s="1"/>
  <c r="T77" i="7"/>
  <c r="U77" i="7" s="1"/>
  <c r="T571" i="7"/>
  <c r="T223" i="7" s="1"/>
  <c r="T237" i="7"/>
  <c r="T215" i="7"/>
  <c r="T217" i="7" s="1"/>
  <c r="T418" i="7" s="1"/>
  <c r="T35" i="7"/>
  <c r="T33" i="7"/>
  <c r="U33" i="7" s="1"/>
  <c r="V33" i="7" s="1"/>
  <c r="T32" i="7"/>
  <c r="T30" i="7"/>
  <c r="T29" i="7"/>
  <c r="T24" i="7"/>
  <c r="T10" i="7"/>
  <c r="T8" i="7"/>
  <c r="U8" i="7" s="1"/>
  <c r="S7" i="7"/>
  <c r="T7" i="7" s="1"/>
  <c r="T720" i="7"/>
  <c r="T717" i="7"/>
  <c r="T721" i="7" s="1"/>
  <c r="T707" i="7"/>
  <c r="T709" i="7"/>
  <c r="T693" i="7"/>
  <c r="T699" i="7" s="1"/>
  <c r="T692" i="7"/>
  <c r="T691" i="7"/>
  <c r="S646" i="7"/>
  <c r="T645" i="7"/>
  <c r="T653" i="7" s="1"/>
  <c r="T728" i="7"/>
  <c r="T770" i="7" s="1"/>
  <c r="T727" i="7"/>
  <c r="S411" i="7"/>
  <c r="S410" i="7"/>
  <c r="S391" i="7"/>
  <c r="S389" i="7"/>
  <c r="S376" i="7"/>
  <c r="S313" i="7" s="1"/>
  <c r="S314" i="7" s="1"/>
  <c r="S373" i="7"/>
  <c r="S372" i="7"/>
  <c r="S567" i="7"/>
  <c r="S571" i="7"/>
  <c r="S223" i="7" s="1"/>
  <c r="S237" i="7"/>
  <c r="S222" i="7" s="1"/>
  <c r="S215" i="7"/>
  <c r="S727" i="7"/>
  <c r="S716" i="7"/>
  <c r="S718" i="7"/>
  <c r="S707" i="7"/>
  <c r="S709" i="7"/>
  <c r="O699" i="7"/>
  <c r="P699" i="7"/>
  <c r="Q699" i="7"/>
  <c r="S692" i="7"/>
  <c r="S691" i="7"/>
  <c r="S189" i="7" s="1"/>
  <c r="S645" i="7"/>
  <c r="S653" i="7" s="1"/>
  <c r="Q645" i="7"/>
  <c r="R645" i="7" s="1"/>
  <c r="R653" i="7" s="1"/>
  <c r="S13" i="7"/>
  <c r="S15" i="7" s="1"/>
  <c r="S25" i="7" s="1"/>
  <c r="S74" i="7" s="1"/>
  <c r="S76" i="7" s="1"/>
  <c r="Q567" i="7"/>
  <c r="R726" i="7"/>
  <c r="R725" i="7"/>
  <c r="Q646" i="7"/>
  <c r="R646" i="7" s="1"/>
  <c r="R376" i="7"/>
  <c r="R313" i="7" s="1"/>
  <c r="R314" i="7" s="1"/>
  <c r="R570" i="7"/>
  <c r="Q571" i="7"/>
  <c r="Q237" i="7"/>
  <c r="Q215" i="7"/>
  <c r="R209" i="7"/>
  <c r="Q727" i="7"/>
  <c r="Q716" i="7"/>
  <c r="Q718" i="7"/>
  <c r="R718" i="7" s="1"/>
  <c r="Q707" i="7"/>
  <c r="Q709" i="7"/>
  <c r="R693" i="7"/>
  <c r="Q691" i="7"/>
  <c r="R691" i="7" s="1"/>
  <c r="Q692" i="7"/>
  <c r="P384" i="7"/>
  <c r="Q371" i="7" s="1"/>
  <c r="P308" i="7"/>
  <c r="Q308" i="7" s="1"/>
  <c r="O307" i="7"/>
  <c r="P307" i="7" s="1"/>
  <c r="P571" i="7"/>
  <c r="P223" i="7" s="1"/>
  <c r="P237" i="7"/>
  <c r="P232" i="7" s="1"/>
  <c r="P681" i="7" s="1"/>
  <c r="P217" i="7"/>
  <c r="P418" i="7" s="1"/>
  <c r="P726" i="7"/>
  <c r="P567" i="7" s="1"/>
  <c r="P725" i="7"/>
  <c r="P718" i="7"/>
  <c r="P716" i="7"/>
  <c r="P709" i="7"/>
  <c r="P707" i="7"/>
  <c r="P692" i="7"/>
  <c r="P691" i="7"/>
  <c r="P189" i="7" s="1"/>
  <c r="P225" i="7"/>
  <c r="P646" i="7"/>
  <c r="P645" i="7"/>
  <c r="P653" i="7" s="1"/>
  <c r="P12" i="7"/>
  <c r="Q12" i="7" s="1"/>
  <c r="P6" i="7"/>
  <c r="O726" i="7"/>
  <c r="O567" i="7" s="1"/>
  <c r="O725" i="7"/>
  <c r="O380" i="7"/>
  <c r="P380" i="7" s="1"/>
  <c r="O32" i="7"/>
  <c r="P32" i="7" s="1"/>
  <c r="P373" i="7" s="1"/>
  <c r="O379" i="7"/>
  <c r="O378" i="7"/>
  <c r="O377" i="7"/>
  <c r="O375" i="7"/>
  <c r="O374" i="7"/>
  <c r="O389" i="7" s="1"/>
  <c r="O312" i="7"/>
  <c r="P312" i="7" s="1"/>
  <c r="O311" i="7"/>
  <c r="O372" i="7" s="1"/>
  <c r="O718" i="7"/>
  <c r="O716" i="7"/>
  <c r="O709" i="7"/>
  <c r="O707" i="7"/>
  <c r="J694" i="7"/>
  <c r="J703" i="7" s="1"/>
  <c r="I694" i="7"/>
  <c r="I702" i="7" s="1"/>
  <c r="O692" i="7"/>
  <c r="O691" i="7"/>
  <c r="O189" i="7" s="1"/>
  <c r="O571" i="7"/>
  <c r="O223" i="7" s="1"/>
  <c r="O237" i="7"/>
  <c r="O215" i="7"/>
  <c r="L215" i="7"/>
  <c r="L217" i="7" s="1"/>
  <c r="L218" i="7" s="1"/>
  <c r="O77" i="7"/>
  <c r="O24" i="7"/>
  <c r="P24" i="7" s="1"/>
  <c r="Q24" i="7" s="1"/>
  <c r="O10" i="7"/>
  <c r="O646" i="7"/>
  <c r="O645" i="7"/>
  <c r="O653" i="7" s="1"/>
  <c r="I627" i="7"/>
  <c r="N411" i="7"/>
  <c r="N410" i="7"/>
  <c r="N391" i="7"/>
  <c r="N376" i="7"/>
  <c r="N313" i="7" s="1"/>
  <c r="N314" i="7" s="1"/>
  <c r="N389" i="7"/>
  <c r="N373" i="7"/>
  <c r="N372" i="7"/>
  <c r="J372" i="7"/>
  <c r="N384" i="7"/>
  <c r="N401" i="7" s="1"/>
  <c r="N237" i="7"/>
  <c r="N754" i="7" s="1"/>
  <c r="N217" i="7"/>
  <c r="N726" i="7"/>
  <c r="N725" i="7"/>
  <c r="N718" i="7"/>
  <c r="N716" i="7"/>
  <c r="N707" i="7"/>
  <c r="N709" i="7"/>
  <c r="N571" i="7"/>
  <c r="N223" i="7" s="1"/>
  <c r="N692" i="7"/>
  <c r="N691" i="7"/>
  <c r="N694" i="7" s="1"/>
  <c r="N702" i="7" s="1"/>
  <c r="N9" i="7"/>
  <c r="N652" i="7"/>
  <c r="O652" i="7" s="1"/>
  <c r="P652" i="7" s="1"/>
  <c r="Q652" i="7" s="1"/>
  <c r="R652" i="7" s="1"/>
  <c r="N646" i="7"/>
  <c r="N645" i="7"/>
  <c r="N653" i="7" s="1"/>
  <c r="AP25" i="12"/>
  <c r="AP189" i="7"/>
  <c r="AR174" i="12"/>
  <c r="AP732" i="7"/>
  <c r="AP26" i="12"/>
  <c r="AP733" i="7"/>
  <c r="AQ176" i="7"/>
  <c r="AR162" i="7" s="1"/>
  <c r="AP980" i="7"/>
  <c r="AP9" i="45" s="1"/>
  <c r="AR10" i="45"/>
  <c r="M570" i="7"/>
  <c r="K570" i="7"/>
  <c r="K571" i="7" s="1"/>
  <c r="K223" i="7" s="1"/>
  <c r="J570" i="7"/>
  <c r="L571" i="7"/>
  <c r="L567" i="7"/>
  <c r="J525" i="7"/>
  <c r="M726" i="7"/>
  <c r="M192" i="7" s="1"/>
  <c r="M725" i="7"/>
  <c r="L727" i="7"/>
  <c r="K726" i="7"/>
  <c r="K725" i="7"/>
  <c r="K748" i="7"/>
  <c r="L748" i="7" s="1"/>
  <c r="M748" i="7" s="1"/>
  <c r="N748" i="7" s="1"/>
  <c r="O748" i="7" s="1"/>
  <c r="P748" i="7" s="1"/>
  <c r="Q748" i="7" s="1"/>
  <c r="R748" i="7" s="1"/>
  <c r="S748" i="7" s="1"/>
  <c r="T748" i="7" s="1"/>
  <c r="U748" i="7" s="1"/>
  <c r="V748" i="7" s="1"/>
  <c r="W748" i="7" s="1"/>
  <c r="X748" i="7" s="1"/>
  <c r="Y748" i="7" s="1"/>
  <c r="Z748" i="7" s="1"/>
  <c r="AA748" i="7" s="1"/>
  <c r="AB748" i="7" s="1"/>
  <c r="AC748" i="7" s="1"/>
  <c r="AD748" i="7" s="1"/>
  <c r="AE748" i="7" s="1"/>
  <c r="AF748" i="7" s="1"/>
  <c r="AG748" i="7" s="1"/>
  <c r="AH748" i="7" s="1"/>
  <c r="AI748" i="7" s="1"/>
  <c r="AJ748" i="7" s="1"/>
  <c r="AK748" i="7" s="1"/>
  <c r="AL748" i="7" s="1"/>
  <c r="AM748" i="7" s="1"/>
  <c r="AN748" i="7" s="1"/>
  <c r="AO748" i="7" s="1"/>
  <c r="AP748" i="7" s="1"/>
  <c r="AQ748" i="7" s="1"/>
  <c r="J726" i="7"/>
  <c r="J725" i="7"/>
  <c r="I444" i="7"/>
  <c r="I443" i="7"/>
  <c r="I440" i="7"/>
  <c r="I439" i="7"/>
  <c r="I471" i="7"/>
  <c r="J463" i="7" s="1"/>
  <c r="I369" i="7"/>
  <c r="V909" i="7" s="1"/>
  <c r="I368" i="7"/>
  <c r="L391" i="7"/>
  <c r="L401" i="7"/>
  <c r="K384" i="7"/>
  <c r="K401" i="7" s="1"/>
  <c r="AR995" i="7"/>
  <c r="AR994" i="7"/>
  <c r="AR1071" i="7"/>
  <c r="AR302" i="7" s="1"/>
  <c r="J384" i="7"/>
  <c r="K371" i="7" s="1"/>
  <c r="K376" i="7"/>
  <c r="K313" i="7" s="1"/>
  <c r="K314" i="7" s="1"/>
  <c r="I373" i="7"/>
  <c r="I365" i="7"/>
  <c r="J388" i="7"/>
  <c r="I375" i="7"/>
  <c r="I364" i="7"/>
  <c r="L312" i="7"/>
  <c r="K311" i="7"/>
  <c r="K372" i="7" s="1"/>
  <c r="L237" i="7"/>
  <c r="L459" i="7" s="1"/>
  <c r="L496" i="7" s="1"/>
  <c r="K237" i="7"/>
  <c r="J237" i="7"/>
  <c r="I237" i="7"/>
  <c r="I222" i="7" s="1"/>
  <c r="M209" i="7"/>
  <c r="J698" i="7"/>
  <c r="J697" i="7"/>
  <c r="J653" i="7"/>
  <c r="I653" i="7"/>
  <c r="L652" i="7"/>
  <c r="K652" i="7" s="1"/>
  <c r="L718" i="7"/>
  <c r="M718" i="7" s="1"/>
  <c r="L716" i="7"/>
  <c r="L709" i="7"/>
  <c r="L707" i="7"/>
  <c r="L692" i="7"/>
  <c r="L691" i="7"/>
  <c r="L225" i="7" s="1"/>
  <c r="L10" i="7"/>
  <c r="M401" i="7"/>
  <c r="L646" i="7"/>
  <c r="M646" i="7" s="1"/>
  <c r="L645" i="7"/>
  <c r="L653" i="7" s="1"/>
  <c r="J225" i="7"/>
  <c r="J307" i="7"/>
  <c r="K307" i="7" s="1"/>
  <c r="L307" i="7" s="1"/>
  <c r="K217" i="7"/>
  <c r="K218" i="7" s="1"/>
  <c r="J217" i="7"/>
  <c r="J218" i="7" s="1"/>
  <c r="J32" i="7"/>
  <c r="J373" i="7" s="1"/>
  <c r="J77" i="7"/>
  <c r="K77" i="7" s="1"/>
  <c r="K718" i="7"/>
  <c r="K716" i="7"/>
  <c r="K707" i="7"/>
  <c r="K709" i="7"/>
  <c r="K692" i="7"/>
  <c r="K698" i="7" s="1"/>
  <c r="K691" i="7"/>
  <c r="K225" i="7" s="1"/>
  <c r="K646" i="7"/>
  <c r="K645" i="7"/>
  <c r="K653" i="7" s="1"/>
  <c r="J720" i="7"/>
  <c r="J711" i="7"/>
  <c r="J717" i="7"/>
  <c r="J721" i="7" s="1"/>
  <c r="J708" i="7"/>
  <c r="J712" i="7" s="1"/>
  <c r="J647" i="7"/>
  <c r="J666" i="7" s="1"/>
  <c r="I647" i="7"/>
  <c r="I666" i="7" s="1"/>
  <c r="J24" i="7"/>
  <c r="K24" i="7" s="1"/>
  <c r="J9" i="7"/>
  <c r="I13" i="7"/>
  <c r="I15" i="7" s="1"/>
  <c r="V102" i="7"/>
  <c r="U102" i="7"/>
  <c r="T102" i="7"/>
  <c r="S102" i="7"/>
  <c r="W448" i="7"/>
  <c r="W456" i="7" s="1"/>
  <c r="R9" i="7"/>
  <c r="R13" i="7" s="1"/>
  <c r="R15" i="7" s="1"/>
  <c r="R25" i="7" s="1"/>
  <c r="W9" i="7"/>
  <c r="W13" i="7" s="1"/>
  <c r="W15" i="7" s="1"/>
  <c r="W25" i="7" s="1"/>
  <c r="R451" i="7"/>
  <c r="R448" i="7"/>
  <c r="Q102" i="7"/>
  <c r="P102" i="7"/>
  <c r="O102" i="7"/>
  <c r="N102" i="7"/>
  <c r="L102" i="7"/>
  <c r="K102" i="7"/>
  <c r="J102" i="7"/>
  <c r="I102" i="7"/>
  <c r="M13" i="7"/>
  <c r="M15" i="7" s="1"/>
  <c r="M25" i="7" s="1"/>
  <c r="AO102" i="7"/>
  <c r="AO97" i="7" s="1"/>
  <c r="AO10" i="9"/>
  <c r="AO9" i="9"/>
  <c r="AI73" i="7"/>
  <c r="AI72" i="7"/>
  <c r="AI65" i="7" s="1"/>
  <c r="AI71" i="7"/>
  <c r="AJ71" i="7" s="1"/>
  <c r="AI70" i="7"/>
  <c r="AI51" i="7" s="1"/>
  <c r="AI33" i="7"/>
  <c r="AJ33" i="7" s="1"/>
  <c r="AK33" i="7" s="1"/>
  <c r="AI32" i="7"/>
  <c r="AJ32" i="7" s="1"/>
  <c r="AI31" i="7"/>
  <c r="AI29" i="7"/>
  <c r="AI928" i="7" s="1"/>
  <c r="AI24" i="7"/>
  <c r="AI14" i="7"/>
  <c r="AJ14" i="7" s="1"/>
  <c r="AI12" i="7"/>
  <c r="AI11" i="7"/>
  <c r="AJ11" i="7" s="1"/>
  <c r="AI10" i="7"/>
  <c r="AI8" i="7"/>
  <c r="AJ8" i="7" s="1"/>
  <c r="AI7" i="7"/>
  <c r="AJ7" i="7" s="1"/>
  <c r="AI6" i="7"/>
  <c r="AJ6" i="7" s="1"/>
  <c r="AN102" i="7"/>
  <c r="AN632" i="7" s="1"/>
  <c r="AN9" i="9"/>
  <c r="AN10" i="9"/>
  <c r="AN73" i="7"/>
  <c r="AO73" i="7" s="1"/>
  <c r="AN72" i="7"/>
  <c r="AN65" i="7" s="1"/>
  <c r="AN71" i="7"/>
  <c r="AN70" i="7"/>
  <c r="AO70" i="7" s="1"/>
  <c r="AP70" i="7" s="1"/>
  <c r="AN33" i="7"/>
  <c r="AN32" i="7"/>
  <c r="Y25" i="1" s="1"/>
  <c r="AN29" i="7"/>
  <c r="AN928" i="7" s="1"/>
  <c r="AN24" i="7"/>
  <c r="AN14" i="7"/>
  <c r="AO14" i="7" s="1"/>
  <c r="AP14" i="7" s="1"/>
  <c r="AN12" i="7"/>
  <c r="AO12" i="7" s="1"/>
  <c r="AN11" i="7"/>
  <c r="AN10" i="7"/>
  <c r="AN8" i="7"/>
  <c r="AO8" i="7" s="1"/>
  <c r="AN7" i="7"/>
  <c r="AO7" i="7" s="1"/>
  <c r="AP7" i="7" s="1"/>
  <c r="AN6" i="7"/>
  <c r="AO6" i="7" s="1"/>
  <c r="W80" i="15"/>
  <c r="AH74" i="7"/>
  <c r="AH76" i="7" s="1"/>
  <c r="AH9" i="7"/>
  <c r="AH13" i="7" s="1"/>
  <c r="AM74" i="7"/>
  <c r="AM76" i="7" s="1"/>
  <c r="AB14" i="1"/>
  <c r="AK102" i="7"/>
  <c r="AJ102" i="7"/>
  <c r="AI102" i="7"/>
  <c r="AH102" i="7"/>
  <c r="AH89" i="7" s="1"/>
  <c r="AM102" i="7"/>
  <c r="AM10" i="9"/>
  <c r="AM9" i="9"/>
  <c r="AL6" i="9"/>
  <c r="AL5" i="9"/>
  <c r="AK9" i="9"/>
  <c r="AJ9" i="9"/>
  <c r="AI9" i="9"/>
  <c r="AM9" i="7"/>
  <c r="AM13" i="7" s="1"/>
  <c r="AM15" i="7" s="1"/>
  <c r="AM25" i="7" s="1"/>
  <c r="W110" i="1"/>
  <c r="R110" i="1"/>
  <c r="W107" i="1"/>
  <c r="W106" i="1"/>
  <c r="W105" i="1"/>
  <c r="W104" i="1"/>
  <c r="W103" i="1"/>
  <c r="W102" i="1"/>
  <c r="W108" i="1"/>
  <c r="W111" i="1"/>
  <c r="V108" i="1"/>
  <c r="R107" i="1"/>
  <c r="R106" i="1"/>
  <c r="R105" i="1"/>
  <c r="R104" i="1"/>
  <c r="R103" i="1"/>
  <c r="R102" i="1"/>
  <c r="Q108" i="1"/>
  <c r="W97" i="1"/>
  <c r="W96" i="1"/>
  <c r="W95" i="1"/>
  <c r="W94" i="1"/>
  <c r="W93" i="1"/>
  <c r="W92" i="1"/>
  <c r="W91" i="1"/>
  <c r="W90" i="1"/>
  <c r="V98" i="1"/>
  <c r="R97" i="1"/>
  <c r="R96" i="1"/>
  <c r="R95" i="1"/>
  <c r="R94" i="1"/>
  <c r="R93" i="1"/>
  <c r="R92" i="1"/>
  <c r="R91" i="1"/>
  <c r="R90" i="1"/>
  <c r="Q98" i="1"/>
  <c r="W87" i="1"/>
  <c r="W86" i="1"/>
  <c r="W85" i="1"/>
  <c r="W84" i="1"/>
  <c r="W83" i="1"/>
  <c r="W82" i="1"/>
  <c r="W81" i="1"/>
  <c r="W80" i="1"/>
  <c r="W79" i="1"/>
  <c r="V88" i="1"/>
  <c r="R87" i="1"/>
  <c r="R86" i="1"/>
  <c r="R85" i="1"/>
  <c r="R84" i="1"/>
  <c r="R83" i="1"/>
  <c r="R82" i="1"/>
  <c r="R81" i="1"/>
  <c r="R80" i="1"/>
  <c r="R79" i="1"/>
  <c r="Q88" i="1"/>
  <c r="W74" i="1"/>
  <c r="W73" i="1"/>
  <c r="W72" i="1"/>
  <c r="W71" i="1"/>
  <c r="W70" i="1"/>
  <c r="W69" i="1"/>
  <c r="W68" i="1"/>
  <c r="W67" i="1"/>
  <c r="W66" i="1"/>
  <c r="W65" i="1"/>
  <c r="W64" i="1"/>
  <c r="W63" i="1"/>
  <c r="V75" i="1"/>
  <c r="R74" i="1"/>
  <c r="R73" i="1"/>
  <c r="R72" i="1"/>
  <c r="R71" i="1"/>
  <c r="R70" i="1"/>
  <c r="R69" i="1"/>
  <c r="R68" i="1"/>
  <c r="R67" i="1"/>
  <c r="R66" i="1"/>
  <c r="R65" i="1"/>
  <c r="R64" i="1"/>
  <c r="R63" i="1"/>
  <c r="Q75" i="1"/>
  <c r="R60" i="1"/>
  <c r="R59" i="1"/>
  <c r="R58" i="1"/>
  <c r="R57" i="1"/>
  <c r="R56" i="1"/>
  <c r="R55" i="1"/>
  <c r="Q61" i="1"/>
  <c r="W60" i="1"/>
  <c r="W59" i="1"/>
  <c r="W58" i="1"/>
  <c r="W57" i="1"/>
  <c r="W56" i="1"/>
  <c r="W55" i="1"/>
  <c r="V61" i="1"/>
  <c r="V111" i="1"/>
  <c r="Q111" i="1"/>
  <c r="R108" i="1"/>
  <c r="R111" i="1"/>
  <c r="V77" i="1"/>
  <c r="R98" i="1"/>
  <c r="R88" i="1"/>
  <c r="Q100" i="1"/>
  <c r="V100" i="1"/>
  <c r="W98" i="1"/>
  <c r="W88" i="1"/>
  <c r="Q77" i="1"/>
  <c r="W61" i="1"/>
  <c r="W75" i="1"/>
  <c r="R75" i="1"/>
  <c r="R61" i="1"/>
  <c r="V113" i="1"/>
  <c r="Q113" i="1"/>
  <c r="W56" i="15"/>
  <c r="Q114" i="1"/>
  <c r="V114" i="1"/>
  <c r="R100" i="1"/>
  <c r="R113" i="1"/>
  <c r="W100" i="1"/>
  <c r="W113" i="1"/>
  <c r="R77" i="1"/>
  <c r="R114" i="1"/>
  <c r="W77" i="1"/>
  <c r="X56" i="15"/>
  <c r="W114" i="1"/>
  <c r="Y56" i="15"/>
  <c r="AQ313" i="7"/>
  <c r="AQ314" i="7" s="1"/>
  <c r="AP179" i="7"/>
  <c r="AQ177" i="7"/>
  <c r="AR163" i="7" s="1"/>
  <c r="AB25" i="1"/>
  <c r="AQ612" i="7"/>
  <c r="AP217" i="7"/>
  <c r="AP218" i="7" s="1"/>
  <c r="AM971" i="7"/>
  <c r="AP694" i="7"/>
  <c r="AQ694" i="7" s="1"/>
  <c r="BS558" i="7"/>
  <c r="AU16" i="15"/>
  <c r="AZ16" i="15"/>
  <c r="BE16" i="15"/>
  <c r="AP10" i="15"/>
  <c r="AQ10" i="15"/>
  <c r="AP36" i="15"/>
  <c r="AU10" i="15"/>
  <c r="AQ16" i="15"/>
  <c r="AU36" i="15"/>
  <c r="AP29" i="15"/>
  <c r="AQ36" i="15"/>
  <c r="AZ10" i="15"/>
  <c r="AV10" i="15"/>
  <c r="AV16" i="15"/>
  <c r="AQ42" i="15"/>
  <c r="AQ29" i="15"/>
  <c r="BE10" i="15"/>
  <c r="AZ36" i="15"/>
  <c r="BA10" i="15"/>
  <c r="BA16" i="15"/>
  <c r="AU29" i="15"/>
  <c r="AV36" i="15"/>
  <c r="AZ29" i="15"/>
  <c r="BA36" i="15"/>
  <c r="AV42" i="15"/>
  <c r="AV29" i="15"/>
  <c r="BE36" i="15"/>
  <c r="BF10" i="15"/>
  <c r="BA29" i="15"/>
  <c r="BA42" i="15"/>
  <c r="BF16" i="15"/>
  <c r="BE29" i="15"/>
  <c r="BF36" i="15"/>
  <c r="BF29" i="15"/>
  <c r="BF42" i="15"/>
  <c r="BD117" i="15"/>
  <c r="BC117" i="15"/>
  <c r="BE117" i="15"/>
  <c r="BB117" i="15"/>
  <c r="BF117" i="15"/>
  <c r="BF123" i="15"/>
  <c r="BU56" i="12"/>
  <c r="AR243" i="12"/>
  <c r="AP243" i="12"/>
  <c r="AP240" i="12"/>
  <c r="AQ240" i="12" s="1"/>
  <c r="AR247" i="12" s="1"/>
  <c r="AR248" i="12" s="1"/>
  <c r="AP347" i="12"/>
  <c r="AR347" i="12"/>
  <c r="AR264" i="7"/>
  <c r="AR266" i="7" s="1"/>
  <c r="AR244" i="7" s="1"/>
  <c r="AR192" i="7"/>
  <c r="AR680" i="7"/>
  <c r="AR567" i="7"/>
  <c r="AR765" i="7" s="1"/>
  <c r="T32" i="17" s="1"/>
  <c r="AR727" i="7"/>
  <c r="M168" i="42"/>
  <c r="X80" i="15"/>
  <c r="AP520" i="7"/>
  <c r="AP608" i="7" s="1"/>
  <c r="AQ397" i="7"/>
  <c r="AV388" i="7" s="1"/>
  <c r="AQ603" i="7"/>
  <c r="AR189" i="7"/>
  <c r="AR25" i="12"/>
  <c r="AR694" i="7"/>
  <c r="AR514" i="7"/>
  <c r="AR516" i="7" s="1"/>
  <c r="AR74" i="7"/>
  <c r="AR76" i="7" s="1"/>
  <c r="AC14" i="1"/>
  <c r="AR179" i="7"/>
  <c r="AR520" i="7"/>
  <c r="AR608" i="7" s="1"/>
  <c r="AR314" i="7"/>
  <c r="AC25" i="1"/>
  <c r="AR217" i="7"/>
  <c r="AR218" i="7" s="1"/>
  <c r="Y80" i="15"/>
  <c r="AQ221" i="14"/>
  <c r="M169" i="42"/>
  <c r="AV182" i="14"/>
  <c r="BA182" i="14"/>
  <c r="BF182" i="14"/>
  <c r="AS189" i="7"/>
  <c r="AS694" i="7"/>
  <c r="AS15" i="7"/>
  <c r="AS21" i="7" s="1"/>
  <c r="AS74" i="7"/>
  <c r="AD25" i="1"/>
  <c r="AS872" i="7"/>
  <c r="AS339" i="7"/>
  <c r="BT159" i="20" l="1"/>
  <c r="BQ159" i="20"/>
  <c r="BS159" i="20"/>
  <c r="BR159" i="20"/>
  <c r="AR36" i="44"/>
  <c r="AR348" i="11"/>
  <c r="AS63" i="44"/>
  <c r="D15" i="47" s="1"/>
  <c r="BC55" i="13"/>
  <c r="AP133" i="12"/>
  <c r="AT402" i="12"/>
  <c r="AT403" i="12" s="1"/>
  <c r="AT400" i="12"/>
  <c r="AU400" i="12"/>
  <c r="AP402" i="12"/>
  <c r="AP400" i="12"/>
  <c r="AR400" i="12"/>
  <c r="AP532" i="12"/>
  <c r="P534" i="42" s="1"/>
  <c r="P532" i="42"/>
  <c r="AS402" i="12"/>
  <c r="AS403" i="12" s="1"/>
  <c r="AS400" i="12"/>
  <c r="AO177" i="11"/>
  <c r="AP163" i="11"/>
  <c r="AQ163" i="11" s="1"/>
  <c r="AN75" i="11"/>
  <c r="AN178" i="11"/>
  <c r="AM171" i="11"/>
  <c r="AM178" i="11"/>
  <c r="AN177" i="11"/>
  <c r="BB109" i="43"/>
  <c r="AZ10" i="43"/>
  <c r="AH175" i="14"/>
  <c r="AM305" i="14"/>
  <c r="AM163" i="11"/>
  <c r="AO305" i="14"/>
  <c r="AO163" i="11"/>
  <c r="AO164" i="11" s="1"/>
  <c r="AR163" i="11"/>
  <c r="AN305" i="14"/>
  <c r="AN163" i="11"/>
  <c r="AN164" i="11" s="1"/>
  <c r="AP989" i="7"/>
  <c r="AQ989" i="7" s="1"/>
  <c r="AM265" i="7"/>
  <c r="AM266" i="7" s="1"/>
  <c r="AM244" i="7" s="1"/>
  <c r="BA70" i="12"/>
  <c r="BJ347" i="20"/>
  <c r="AZ19" i="45"/>
  <c r="AZ9" i="45"/>
  <c r="AZ4" i="45" s="1"/>
  <c r="AZ5" i="45" s="1"/>
  <c r="AR41" i="14"/>
  <c r="AR42" i="14"/>
  <c r="AS42" i="14"/>
  <c r="AS41" i="14"/>
  <c r="AW36" i="14"/>
  <c r="AW41" i="14"/>
  <c r="AW48" i="14"/>
  <c r="AW45" i="14"/>
  <c r="AW44" i="14"/>
  <c r="AW52" i="14"/>
  <c r="AW39" i="14"/>
  <c r="AW37" i="14"/>
  <c r="AW42" i="14"/>
  <c r="AW43" i="14"/>
  <c r="AW40" i="14"/>
  <c r="AW65" i="14" s="1"/>
  <c r="AW35" i="14"/>
  <c r="AW51" i="14"/>
  <c r="AW38" i="14"/>
  <c r="AW50" i="14"/>
  <c r="AW34" i="14"/>
  <c r="AW49" i="14"/>
  <c r="AW53" i="14"/>
  <c r="AS61" i="14"/>
  <c r="AY19" i="45"/>
  <c r="AY9" i="45"/>
  <c r="AR88" i="45" s="1"/>
  <c r="AX19" i="45"/>
  <c r="AQ1097" i="7"/>
  <c r="BN142" i="35"/>
  <c r="Y717" i="7"/>
  <c r="Y721" i="7" s="1"/>
  <c r="Y278" i="7"/>
  <c r="Y245" i="7" s="1"/>
  <c r="AM976" i="7"/>
  <c r="AD708" i="7"/>
  <c r="AD712" i="7" s="1"/>
  <c r="AN717" i="7"/>
  <c r="AN721" i="7" s="1"/>
  <c r="T708" i="7"/>
  <c r="T712" i="7" s="1"/>
  <c r="AR952" i="7"/>
  <c r="AR951" i="7" s="1"/>
  <c r="AC401" i="7"/>
  <c r="P218" i="7"/>
  <c r="AP703" i="7"/>
  <c r="O373" i="7"/>
  <c r="O448" i="7" s="1"/>
  <c r="BK197" i="20"/>
  <c r="BJ242" i="20"/>
  <c r="BK242" i="20" s="1"/>
  <c r="BK57" i="20"/>
  <c r="BJ13" i="20"/>
  <c r="BK13" i="20" s="1"/>
  <c r="AX28" i="43"/>
  <c r="AX31" i="43" s="1"/>
  <c r="AI142" i="35"/>
  <c r="F59" i="52"/>
  <c r="F62" i="52" s="1"/>
  <c r="W720" i="7"/>
  <c r="AP166" i="7"/>
  <c r="X703" i="7"/>
  <c r="AH717" i="7"/>
  <c r="AH721" i="7" s="1"/>
  <c r="AJ225" i="7"/>
  <c r="N649" i="7"/>
  <c r="AB956" i="7"/>
  <c r="AN401" i="7"/>
  <c r="AF797" i="7"/>
  <c r="AN293" i="7"/>
  <c r="AN295" i="7" s="1"/>
  <c r="AN246" i="7" s="1"/>
  <c r="AA8" i="7"/>
  <c r="AA83" i="7" s="1"/>
  <c r="AF1049" i="7"/>
  <c r="AB520" i="7"/>
  <c r="AB608" i="7" s="1"/>
  <c r="W567" i="7"/>
  <c r="L311" i="7"/>
  <c r="L372" i="7" s="1"/>
  <c r="L447" i="7" s="1"/>
  <c r="AK225" i="7"/>
  <c r="AM1010" i="7"/>
  <c r="AM1011" i="7" s="1"/>
  <c r="AP702" i="7"/>
  <c r="AD952" i="7"/>
  <c r="AD951" i="7" s="1"/>
  <c r="K189" i="7"/>
  <c r="K190" i="7" s="1"/>
  <c r="K195" i="7" s="1"/>
  <c r="K200" i="7" s="1"/>
  <c r="S720" i="7"/>
  <c r="AH373" i="7"/>
  <c r="AH448" i="7" s="1"/>
  <c r="AH1010" i="7"/>
  <c r="AH1011" i="7" s="1"/>
  <c r="AJ720" i="7"/>
  <c r="AF832" i="7"/>
  <c r="AF840" i="7" s="1"/>
  <c r="AH190" i="7"/>
  <c r="AH195" i="7" s="1"/>
  <c r="AH198" i="7" s="1"/>
  <c r="T166" i="7"/>
  <c r="T168" i="7" s="1"/>
  <c r="T172" i="7" s="1"/>
  <c r="AL217" i="7"/>
  <c r="AL218" i="7" s="1"/>
  <c r="U167" i="7"/>
  <c r="U145" i="7" s="1"/>
  <c r="AI373" i="7"/>
  <c r="AI448" i="7" s="1"/>
  <c r="AD665" i="7"/>
  <c r="AI800" i="7"/>
  <c r="Y42" i="7"/>
  <c r="Y193" i="7"/>
  <c r="AJ700" i="7"/>
  <c r="Z666" i="7"/>
  <c r="AD225" i="7"/>
  <c r="AD903" i="7"/>
  <c r="AI1046" i="7"/>
  <c r="X711" i="7"/>
  <c r="Z265" i="7"/>
  <c r="Z266" i="7" s="1"/>
  <c r="Z244" i="7" s="1"/>
  <c r="AK798" i="7"/>
  <c r="AQ520" i="7"/>
  <c r="AQ608" i="7" s="1"/>
  <c r="T180" i="7"/>
  <c r="S728" i="7"/>
  <c r="S770" i="7" s="1"/>
  <c r="AF666" i="7"/>
  <c r="Z741" i="7"/>
  <c r="Z742" i="7"/>
  <c r="Z728" i="7" s="1"/>
  <c r="Z770" i="7" s="1"/>
  <c r="AF181" i="7"/>
  <c r="AG181" i="7" s="1"/>
  <c r="AH168" i="7" s="1"/>
  <c r="AQ977" i="7"/>
  <c r="AD797" i="7"/>
  <c r="AQ727" i="7"/>
  <c r="AQ850" i="7"/>
  <c r="AQ121" i="7" s="1"/>
  <c r="L720" i="7"/>
  <c r="Q653" i="7"/>
  <c r="Y372" i="7"/>
  <c r="Y390" i="7" s="1"/>
  <c r="Y465" i="7" s="1"/>
  <c r="AD265" i="7"/>
  <c r="AD266" i="7" s="1"/>
  <c r="AD244" i="7" s="1"/>
  <c r="AJ703" i="7"/>
  <c r="AH830" i="7"/>
  <c r="AH838" i="7" s="1"/>
  <c r="AH839" i="7" s="1"/>
  <c r="AE807" i="7"/>
  <c r="AE810" i="7" s="1"/>
  <c r="AL780" i="7"/>
  <c r="AN1023" i="7"/>
  <c r="AN1025" i="7" s="1"/>
  <c r="AH45" i="7"/>
  <c r="AK193" i="7"/>
  <c r="AN822" i="7"/>
  <c r="AE1046" i="7"/>
  <c r="AB887" i="7"/>
  <c r="AB388" i="7"/>
  <c r="AD800" i="7"/>
  <c r="AD1075" i="7"/>
  <c r="AA405" i="7"/>
  <c r="AM757" i="7"/>
  <c r="N647" i="7"/>
  <c r="N666" i="7" s="1"/>
  <c r="Q708" i="7"/>
  <c r="Q712" i="7" s="1"/>
  <c r="AD372" i="7"/>
  <c r="AD390" i="7" s="1"/>
  <c r="AD465" i="7" s="1"/>
  <c r="Q525" i="7"/>
  <c r="T647" i="7"/>
  <c r="T665" i="7" s="1"/>
  <c r="Z876" i="7"/>
  <c r="P647" i="7"/>
  <c r="P666" i="7" s="1"/>
  <c r="AI193" i="7"/>
  <c r="AJ976" i="7"/>
  <c r="AP665" i="7"/>
  <c r="AQ1071" i="7"/>
  <c r="AQ302" i="7" s="1"/>
  <c r="AD742" i="7"/>
  <c r="AD728" i="7" s="1"/>
  <c r="AD770" i="7" s="1"/>
  <c r="AN371" i="7"/>
  <c r="AF6" i="7"/>
  <c r="AF81" i="7" s="1"/>
  <c r="K717" i="7"/>
  <c r="K721" i="7" s="1"/>
  <c r="AA665" i="7"/>
  <c r="AF56" i="7"/>
  <c r="AF116" i="7" s="1"/>
  <c r="AO32" i="7"/>
  <c r="AP32" i="7" s="1"/>
  <c r="U218" i="7"/>
  <c r="V647" i="7"/>
  <c r="W647" i="7" s="1"/>
  <c r="W666" i="7" s="1"/>
  <c r="AF491" i="7"/>
  <c r="AF467" i="7" s="1"/>
  <c r="AF392" i="7" s="1"/>
  <c r="AL796" i="7"/>
  <c r="AU588" i="7"/>
  <c r="AU575" i="7" s="1"/>
  <c r="P717" i="7"/>
  <c r="P721" i="7" s="1"/>
  <c r="AE166" i="7"/>
  <c r="AE164" i="7" s="1"/>
  <c r="AN51" i="7"/>
  <c r="AN111" i="7" s="1"/>
  <c r="T80" i="15"/>
  <c r="AA223" i="7"/>
  <c r="AE742" i="7"/>
  <c r="AE728" i="7" s="1"/>
  <c r="AE770" i="7" s="1"/>
  <c r="W192" i="7"/>
  <c r="X193" i="7" s="1"/>
  <c r="O698" i="7"/>
  <c r="AP796" i="7"/>
  <c r="AL192" i="7"/>
  <c r="AM193" i="7" s="1"/>
  <c r="AL900" i="7"/>
  <c r="AM905" i="7" s="1"/>
  <c r="AM44" i="7"/>
  <c r="AO903" i="7"/>
  <c r="AG733" i="7"/>
  <c r="AA720" i="7"/>
  <c r="AA190" i="7"/>
  <c r="AA195" i="7" s="1"/>
  <c r="AA266" i="7"/>
  <c r="AA244" i="7" s="1"/>
  <c r="AG520" i="7"/>
  <c r="AG608" i="7" s="1"/>
  <c r="AL214" i="7"/>
  <c r="AP403" i="7"/>
  <c r="AP406" i="7" s="1"/>
  <c r="AG892" i="7"/>
  <c r="M645" i="7"/>
  <c r="M653" i="7" s="1"/>
  <c r="AD875" i="7"/>
  <c r="AB736" i="7"/>
  <c r="AC741" i="7" s="1"/>
  <c r="AF352" i="7"/>
  <c r="AF339" i="7" s="1"/>
  <c r="AE265" i="7"/>
  <c r="AE266" i="7" s="1"/>
  <c r="AH711" i="7"/>
  <c r="AI1051" i="7"/>
  <c r="AI1050" i="7" s="1"/>
  <c r="AF741" i="7"/>
  <c r="AE1049" i="7"/>
  <c r="AJ9" i="7"/>
  <c r="AJ84" i="7" s="1"/>
  <c r="S717" i="7"/>
  <c r="S721" i="7" s="1"/>
  <c r="U708" i="7"/>
  <c r="U712" i="7" s="1"/>
  <c r="AG791" i="7"/>
  <c r="AG798" i="7" s="1"/>
  <c r="AA666" i="7"/>
  <c r="AF742" i="7"/>
  <c r="AF728" i="7" s="1"/>
  <c r="AF770" i="7" s="1"/>
  <c r="AH797" i="7"/>
  <c r="AL1071" i="7"/>
  <c r="AL302" i="7" s="1"/>
  <c r="AL817" i="7"/>
  <c r="AR817" i="7"/>
  <c r="AR825" i="7" s="1"/>
  <c r="AR826" i="7" s="1"/>
  <c r="I665" i="7"/>
  <c r="T384" i="7"/>
  <c r="T459" i="7" s="1"/>
  <c r="AF796" i="7"/>
  <c r="AJ739" i="7"/>
  <c r="AB666" i="7"/>
  <c r="K727" i="7"/>
  <c r="AA703" i="7"/>
  <c r="AG900" i="7"/>
  <c r="AJ807" i="7"/>
  <c r="AJ812" i="7" s="1"/>
  <c r="AL850" i="7"/>
  <c r="AL121" i="7" s="1"/>
  <c r="AO1063" i="7"/>
  <c r="AP1092" i="7"/>
  <c r="AQ1092" i="7" s="1"/>
  <c r="T389" i="7"/>
  <c r="T464" i="7" s="1"/>
  <c r="Q380" i="7"/>
  <c r="AB264" i="7"/>
  <c r="AE347" i="7"/>
  <c r="AE338" i="7" s="1"/>
  <c r="AK976" i="7"/>
  <c r="AP717" i="7"/>
  <c r="AQ717" i="7" s="1"/>
  <c r="AQ721" i="7" s="1"/>
  <c r="AQ264" i="7"/>
  <c r="AQ266" i="7" s="1"/>
  <c r="AQ244" i="7" s="1"/>
  <c r="AF902" i="7"/>
  <c r="AR797" i="7"/>
  <c r="AO807" i="7"/>
  <c r="AO809" i="7" s="1"/>
  <c r="AO832" i="7"/>
  <c r="AO835" i="7" s="1"/>
  <c r="AQ716" i="7"/>
  <c r="AQ720" i="7" s="1"/>
  <c r="AM9" i="45"/>
  <c r="AN20" i="45" s="1"/>
  <c r="AJ70" i="7"/>
  <c r="AJ51" i="7" s="1"/>
  <c r="O525" i="7"/>
  <c r="W699" i="7"/>
  <c r="AH401" i="7"/>
  <c r="AO720" i="7"/>
  <c r="AI401" i="7"/>
  <c r="AK514" i="7"/>
  <c r="AK516" i="7" s="1"/>
  <c r="AK6" i="7"/>
  <c r="AK81" i="7" s="1"/>
  <c r="AF711" i="7"/>
  <c r="S647" i="7"/>
  <c r="S665" i="7" s="1"/>
  <c r="P311" i="7"/>
  <c r="P372" i="7" s="1"/>
  <c r="P447" i="7" s="1"/>
  <c r="AG707" i="7"/>
  <c r="AG711" i="7" s="1"/>
  <c r="AB720" i="7"/>
  <c r="AI430" i="7"/>
  <c r="AI639" i="7" s="1"/>
  <c r="AJ631" i="7" s="1"/>
  <c r="AM902" i="7"/>
  <c r="AO193" i="7"/>
  <c r="AR1041" i="7"/>
  <c r="AR1049" i="7" s="1"/>
  <c r="AR1050" i="7" s="1"/>
  <c r="AA403" i="7"/>
  <c r="AA406" i="7" s="1"/>
  <c r="AB727" i="7"/>
  <c r="AH877" i="7"/>
  <c r="V525" i="7"/>
  <c r="W402" i="7"/>
  <c r="AF225" i="7"/>
  <c r="AI717" i="7"/>
  <c r="AI721" i="7" s="1"/>
  <c r="AR371" i="7"/>
  <c r="W571" i="7"/>
  <c r="W223" i="7" s="1"/>
  <c r="Q717" i="7"/>
  <c r="Q721" i="7" s="1"/>
  <c r="AF798" i="7"/>
  <c r="AE190" i="7"/>
  <c r="AE195" i="7" s="1"/>
  <c r="AE198" i="7" s="1"/>
  <c r="AR717" i="7"/>
  <c r="AR721" i="7" s="1"/>
  <c r="AQ214" i="7"/>
  <c r="AF190" i="7"/>
  <c r="AF195" i="7" s="1"/>
  <c r="AF198" i="7" s="1"/>
  <c r="AG697" i="7"/>
  <c r="AF193" i="7"/>
  <c r="AI708" i="7"/>
  <c r="AI712" i="7" s="1"/>
  <c r="AP634" i="7"/>
  <c r="AD839" i="7"/>
  <c r="AF1075" i="7"/>
  <c r="AV371" i="7"/>
  <c r="K708" i="7"/>
  <c r="K712" i="7" s="1"/>
  <c r="X217" i="7"/>
  <c r="X218" i="7" s="1"/>
  <c r="P708" i="7"/>
  <c r="P712" i="7" s="1"/>
  <c r="S708" i="7"/>
  <c r="S712" i="7" s="1"/>
  <c r="AD717" i="7"/>
  <c r="AD721" i="7" s="1"/>
  <c r="AF459" i="7"/>
  <c r="AF496" i="7" s="1"/>
  <c r="AC265" i="7"/>
  <c r="AC266" i="7" s="1"/>
  <c r="AC244" i="7" s="1"/>
  <c r="O25" i="1"/>
  <c r="AE193" i="7"/>
  <c r="AL561" i="7"/>
  <c r="AL601" i="7" s="1"/>
  <c r="AO902" i="7"/>
  <c r="AG853" i="7"/>
  <c r="AG861" i="7" s="1"/>
  <c r="AG1074" i="7"/>
  <c r="AG1075" i="7" s="1"/>
  <c r="BZ332" i="7"/>
  <c r="AL34" i="7"/>
  <c r="R104" i="15" s="1"/>
  <c r="R72" i="15"/>
  <c r="BK72" i="15" s="1"/>
  <c r="AS741" i="7"/>
  <c r="AS21" i="12" s="1"/>
  <c r="AH807" i="7"/>
  <c r="AH812" i="7" s="1"/>
  <c r="AL732" i="7"/>
  <c r="AL738" i="7" s="1"/>
  <c r="AK1022" i="7"/>
  <c r="AQ217" i="7"/>
  <c r="AQ218" i="7" s="1"/>
  <c r="AR742" i="7"/>
  <c r="AS742" i="7"/>
  <c r="AS190" i="7"/>
  <c r="AS195" i="7" s="1"/>
  <c r="AS149" i="7" s="1"/>
  <c r="J625" i="7"/>
  <c r="K625" i="7" s="1"/>
  <c r="L625" i="7" s="1"/>
  <c r="M625" i="7" s="1"/>
  <c r="N625" i="7" s="1"/>
  <c r="O625" i="7" s="1"/>
  <c r="P625" i="7" s="1"/>
  <c r="Q625" i="7" s="1"/>
  <c r="R625" i="7" s="1"/>
  <c r="S625" i="7" s="1"/>
  <c r="T625" i="7" s="1"/>
  <c r="U625" i="7" s="1"/>
  <c r="V625" i="7" s="1"/>
  <c r="W625" i="7" s="1"/>
  <c r="X625" i="7" s="1"/>
  <c r="Y625" i="7" s="1"/>
  <c r="Z625" i="7" s="1"/>
  <c r="AA625" i="7" s="1"/>
  <c r="AB625" i="7" s="1"/>
  <c r="AC625" i="7" s="1"/>
  <c r="AD625" i="7" s="1"/>
  <c r="AE625" i="7" s="1"/>
  <c r="AF625" i="7" s="1"/>
  <c r="AG625" i="7" s="1"/>
  <c r="AH625" i="7" s="1"/>
  <c r="AI625" i="7" s="1"/>
  <c r="AJ625" i="7" s="1"/>
  <c r="AK625" i="7" s="1"/>
  <c r="AL625" i="7" s="1"/>
  <c r="AM625" i="7" s="1"/>
  <c r="AN625" i="7" s="1"/>
  <c r="AO625" i="7" s="1"/>
  <c r="AP625" i="7" s="1"/>
  <c r="AQ625" i="7" s="1"/>
  <c r="AR625" i="7" s="1"/>
  <c r="AS625" i="7" s="1"/>
  <c r="AT625" i="7" s="1"/>
  <c r="O225" i="7"/>
  <c r="AR798" i="7"/>
  <c r="AH266" i="7"/>
  <c r="AH244" i="7" s="1"/>
  <c r="AJ193" i="7"/>
  <c r="AM666" i="7"/>
  <c r="AL694" i="7"/>
  <c r="AM700" i="7" s="1"/>
  <c r="O694" i="7"/>
  <c r="O703" i="7" s="1"/>
  <c r="P167" i="7"/>
  <c r="Q167" i="7" s="1"/>
  <c r="N225" i="7"/>
  <c r="AE81" i="7"/>
  <c r="AE739" i="7"/>
  <c r="AI976" i="7"/>
  <c r="AM463" i="7"/>
  <c r="AM1054" i="7"/>
  <c r="BU374" i="7"/>
  <c r="AQ900" i="7"/>
  <c r="AR975" i="7"/>
  <c r="AV975" i="7"/>
  <c r="AF703" i="7"/>
  <c r="AJ872" i="7"/>
  <c r="AJ880" i="7" s="1"/>
  <c r="AJ881" i="7" s="1"/>
  <c r="AO225" i="7"/>
  <c r="AL994" i="7"/>
  <c r="AO906" i="7"/>
  <c r="AO888" i="7" s="1"/>
  <c r="AO937" i="7" s="1"/>
  <c r="AR977" i="7"/>
  <c r="AV977" i="7"/>
  <c r="AR463" i="7"/>
  <c r="M716" i="7"/>
  <c r="M720" i="7" s="1"/>
  <c r="P401" i="7"/>
  <c r="Z190" i="7"/>
  <c r="Z195" i="7" s="1"/>
  <c r="AG703" i="7"/>
  <c r="AO875" i="7"/>
  <c r="AK717" i="7"/>
  <c r="AL717" i="7" s="1"/>
  <c r="AL721" i="7" s="1"/>
  <c r="AO961" i="7"/>
  <c r="AI835" i="7"/>
  <c r="AP905" i="7"/>
  <c r="AP23" i="13" s="1"/>
  <c r="AQ561" i="7"/>
  <c r="AQ601" i="7" s="1"/>
  <c r="AQ602" i="7" s="1"/>
  <c r="AB699" i="7"/>
  <c r="P711" i="7"/>
  <c r="X665" i="7"/>
  <c r="U401" i="7"/>
  <c r="AA717" i="7"/>
  <c r="AA721" i="7" s="1"/>
  <c r="AA951" i="7"/>
  <c r="AB951" i="7" s="1"/>
  <c r="AM708" i="7"/>
  <c r="AM712" i="7" s="1"/>
  <c r="AL497" i="7"/>
  <c r="AK720" i="7"/>
  <c r="AN1064" i="7"/>
  <c r="AN1063" i="7" s="1"/>
  <c r="AJ832" i="7"/>
  <c r="AK832" i="7" s="1"/>
  <c r="AN825" i="7"/>
  <c r="AN1059" i="7"/>
  <c r="BZ70" i="7"/>
  <c r="AQ665" i="7"/>
  <c r="AR876" i="7"/>
  <c r="AV876" i="7"/>
  <c r="Q647" i="7"/>
  <c r="R647" i="7" s="1"/>
  <c r="R665" i="7" s="1"/>
  <c r="AK952" i="7"/>
  <c r="AJ266" i="7"/>
  <c r="AJ244" i="7" s="1"/>
  <c r="I703" i="7"/>
  <c r="J418" i="7"/>
  <c r="J558" i="7" s="1"/>
  <c r="AR139" i="7"/>
  <c r="AQ179" i="7"/>
  <c r="AR166" i="7" s="1"/>
  <c r="AR164" i="7" s="1"/>
  <c r="AI9" i="7"/>
  <c r="AI13" i="7" s="1"/>
  <c r="AA12" i="7"/>
  <c r="AA87" i="7" s="1"/>
  <c r="AD338" i="7"/>
  <c r="AL425" i="7"/>
  <c r="AL430" i="7" s="1"/>
  <c r="AM425" i="7" s="1"/>
  <c r="AM430" i="7" s="1"/>
  <c r="AM639" i="7" s="1"/>
  <c r="Y410" i="7"/>
  <c r="Y505" i="7" s="1"/>
  <c r="AP280" i="7"/>
  <c r="AP842" i="7" s="1"/>
  <c r="AP858" i="7" s="1"/>
  <c r="AI799" i="7"/>
  <c r="AJ708" i="7"/>
  <c r="AJ712" i="7" s="1"/>
  <c r="AK703" i="7"/>
  <c r="AO905" i="7"/>
  <c r="AL736" i="7"/>
  <c r="AM741" i="7" s="1"/>
  <c r="AI838" i="7"/>
  <c r="AI839" i="7" s="1"/>
  <c r="P697" i="7"/>
  <c r="T698" i="7"/>
  <c r="AJ665" i="7"/>
  <c r="AA11" i="7"/>
  <c r="AA86" i="7" s="1"/>
  <c r="R707" i="7"/>
  <c r="S525" i="7" s="1"/>
  <c r="X74" i="7"/>
  <c r="X76" i="7" s="1"/>
  <c r="X139" i="7" s="1"/>
  <c r="U698" i="7"/>
  <c r="W736" i="7"/>
  <c r="X741" i="7" s="1"/>
  <c r="Z346" i="7"/>
  <c r="Z332" i="7" s="1"/>
  <c r="AL384" i="7"/>
  <c r="AM371" i="7" s="1"/>
  <c r="AJ799" i="7"/>
  <c r="AK797" i="7"/>
  <c r="AL680" i="7"/>
  <c r="AK166" i="7"/>
  <c r="AK164" i="7" s="1"/>
  <c r="AP666" i="7"/>
  <c r="O232" i="7"/>
  <c r="AF32" i="7"/>
  <c r="Q25" i="1" s="1"/>
  <c r="AK872" i="7"/>
  <c r="AL872" i="7" s="1"/>
  <c r="AA702" i="7"/>
  <c r="AI166" i="7"/>
  <c r="AI164" i="7" s="1"/>
  <c r="AJ797" i="7"/>
  <c r="AK875" i="7"/>
  <c r="AM702" i="7"/>
  <c r="AM1033" i="7"/>
  <c r="AN1028" i="7" s="1"/>
  <c r="AJ796" i="7"/>
  <c r="O711" i="7"/>
  <c r="AF903" i="7"/>
  <c r="U711" i="7"/>
  <c r="J401" i="7"/>
  <c r="O649" i="7"/>
  <c r="AJ223" i="7"/>
  <c r="AS878" i="7"/>
  <c r="AI58" i="7"/>
  <c r="AI118" i="7" s="1"/>
  <c r="Y708" i="7"/>
  <c r="Y525" i="7" s="1"/>
  <c r="AA738" i="7"/>
  <c r="AG163" i="7"/>
  <c r="AH166" i="7"/>
  <c r="AH164" i="7" s="1"/>
  <c r="BZ133" i="7"/>
  <c r="AV782" i="7"/>
  <c r="AK742" i="7"/>
  <c r="AK728" i="7" s="1"/>
  <c r="AK770" i="7" s="1"/>
  <c r="AR748" i="7"/>
  <c r="AJ798" i="7"/>
  <c r="K32" i="7"/>
  <c r="K373" i="7" s="1"/>
  <c r="K381" i="7" s="1"/>
  <c r="K383" i="7" s="1"/>
  <c r="Q33" i="7"/>
  <c r="Q99" i="7" s="1"/>
  <c r="AG162" i="7"/>
  <c r="AQ497" i="7"/>
  <c r="AK7" i="7"/>
  <c r="AK82" i="7" s="1"/>
  <c r="AN700" i="7"/>
  <c r="AP193" i="7"/>
  <c r="AG727" i="7"/>
  <c r="AA876" i="7"/>
  <c r="AE905" i="7"/>
  <c r="AK700" i="7"/>
  <c r="AN976" i="7"/>
  <c r="AP181" i="7"/>
  <c r="AQ181" i="7" s="1"/>
  <c r="AQ185" i="7" s="1"/>
  <c r="AN74" i="7"/>
  <c r="AN76" i="7" s="1"/>
  <c r="AN139" i="7" s="1"/>
  <c r="K720" i="7"/>
  <c r="T218" i="7"/>
  <c r="AF800" i="7"/>
  <c r="AH697" i="7"/>
  <c r="AB738" i="7"/>
  <c r="AG736" i="7"/>
  <c r="AH741" i="7" s="1"/>
  <c r="AP959" i="7"/>
  <c r="AQ959" i="7" s="1"/>
  <c r="BG218" i="20"/>
  <c r="BE76" i="35"/>
  <c r="L7" i="3"/>
  <c r="BD314" i="20" s="1"/>
  <c r="AI96" i="35"/>
  <c r="W64" i="11"/>
  <c r="W235" i="11" s="1"/>
  <c r="BO131" i="35"/>
  <c r="AJ96" i="35"/>
  <c r="BD142" i="35"/>
  <c r="AI97" i="35"/>
  <c r="AQ14" i="36"/>
  <c r="BM76" i="35"/>
  <c r="BE142" i="35"/>
  <c r="AR95" i="35"/>
  <c r="AY10" i="43"/>
  <c r="AX385" i="13"/>
  <c r="AZ109" i="13"/>
  <c r="AZ52" i="13"/>
  <c r="AO138" i="12"/>
  <c r="AQ21" i="11"/>
  <c r="AQ215" i="11" s="1"/>
  <c r="AP215" i="11"/>
  <c r="AP253" i="11" s="1"/>
  <c r="AP306" i="11"/>
  <c r="BK14" i="36"/>
  <c r="AY140" i="35"/>
  <c r="AF11" i="36"/>
  <c r="BH14" i="36"/>
  <c r="BL97" i="35"/>
  <c r="BI140" i="35"/>
  <c r="AI129" i="35"/>
  <c r="AB11" i="36"/>
  <c r="AU131" i="35"/>
  <c r="AA208" i="11"/>
  <c r="AA246" i="11" s="1"/>
  <c r="AB246" i="11" s="1"/>
  <c r="BJ140" i="35"/>
  <c r="AY72" i="35"/>
  <c r="AY126" i="35" s="1"/>
  <c r="BN95" i="35"/>
  <c r="AK95" i="35"/>
  <c r="AM11" i="36"/>
  <c r="AS14" i="36"/>
  <c r="AW14" i="36"/>
  <c r="AR11" i="36"/>
  <c r="AX95" i="35"/>
  <c r="BJ75" i="35"/>
  <c r="AR142" i="35"/>
  <c r="AX11" i="36"/>
  <c r="BK11" i="36"/>
  <c r="AQ11" i="36"/>
  <c r="BI131" i="35"/>
  <c r="BO75" i="35"/>
  <c r="AQ62" i="35"/>
  <c r="AQ95" i="35" s="1"/>
  <c r="BG11" i="36"/>
  <c r="AJ84" i="35"/>
  <c r="AR127" i="7"/>
  <c r="AV127" i="7" s="1"/>
  <c r="AK32" i="35"/>
  <c r="AJ34" i="35"/>
  <c r="P78" i="15" s="1"/>
  <c r="AR505" i="7"/>
  <c r="AO67" i="35"/>
  <c r="AO129" i="35"/>
  <c r="AP92" i="35"/>
  <c r="AP105" i="35" s="1"/>
  <c r="AU129" i="35"/>
  <c r="BG62" i="35"/>
  <c r="BG95" i="35" s="1"/>
  <c r="AF195" i="11"/>
  <c r="AO140" i="35"/>
  <c r="AT137" i="35"/>
  <c r="AT145" i="35" s="1"/>
  <c r="AJ97" i="35"/>
  <c r="BP14" i="36"/>
  <c r="AB195" i="11"/>
  <c r="AU96" i="35"/>
  <c r="AZ11" i="36"/>
  <c r="BK85" i="35"/>
  <c r="AK39" i="35"/>
  <c r="Q118" i="15" s="1"/>
  <c r="AJ14" i="36"/>
  <c r="BG14" i="36"/>
  <c r="AO96" i="35"/>
  <c r="AX14" i="36"/>
  <c r="AL96" i="35"/>
  <c r="AS72" i="35"/>
  <c r="AS81" i="35" s="1"/>
  <c r="AS82" i="35" s="1"/>
  <c r="AY97" i="35"/>
  <c r="AI169" i="35"/>
  <c r="BO97" i="35"/>
  <c r="BN97" i="35"/>
  <c r="AY142" i="35"/>
  <c r="AJ11" i="36"/>
  <c r="BO137" i="35"/>
  <c r="BO145" i="35" s="1"/>
  <c r="BO151" i="35" s="1"/>
  <c r="BO158" i="35" s="1"/>
  <c r="BE95" i="35"/>
  <c r="AK169" i="35"/>
  <c r="BS76" i="35"/>
  <c r="BM11" i="36"/>
  <c r="AU142" i="35"/>
  <c r="AH92" i="35"/>
  <c r="AH105" i="35" s="1"/>
  <c r="BL95" i="35"/>
  <c r="AF62" i="35"/>
  <c r="AF96" i="35" s="1"/>
  <c r="BI129" i="35"/>
  <c r="BE14" i="36"/>
  <c r="AO97" i="35"/>
  <c r="BC14" i="36"/>
  <c r="BF86" i="35"/>
  <c r="BI76" i="35"/>
  <c r="BO141" i="35"/>
  <c r="BU97" i="35"/>
  <c r="BU131" i="35"/>
  <c r="BU96" i="35"/>
  <c r="AX140" i="35"/>
  <c r="AT92" i="35"/>
  <c r="AX85" i="35"/>
  <c r="AX84" i="35" s="1"/>
  <c r="AR97" i="35"/>
  <c r="AJ141" i="35"/>
  <c r="BU129" i="35"/>
  <c r="BG130" i="35"/>
  <c r="AR86" i="35"/>
  <c r="AJ140" i="35"/>
  <c r="AZ137" i="35"/>
  <c r="AZ145" i="35" s="1"/>
  <c r="AZ146" i="35" s="1"/>
  <c r="BJ137" i="35"/>
  <c r="BJ143" i="35" s="1"/>
  <c r="AO169" i="35"/>
  <c r="BI97" i="35"/>
  <c r="BK62" i="35"/>
  <c r="BK142" i="35" s="1"/>
  <c r="BD72" i="35"/>
  <c r="BD126" i="35" s="1"/>
  <c r="BA92" i="35"/>
  <c r="BA105" i="35" s="1"/>
  <c r="BU95" i="35"/>
  <c r="BM92" i="35"/>
  <c r="BU14" i="36"/>
  <c r="BU142" i="35"/>
  <c r="AJ86" i="35"/>
  <c r="BN76" i="35"/>
  <c r="AR96" i="35"/>
  <c r="AX96" i="35"/>
  <c r="BE96" i="35"/>
  <c r="AJ67" i="35"/>
  <c r="AL14" i="36"/>
  <c r="AI14" i="36"/>
  <c r="BA14" i="36"/>
  <c r="AR14" i="36"/>
  <c r="BN11" i="36"/>
  <c r="BI142" i="35"/>
  <c r="AK14" i="36"/>
  <c r="BO14" i="36"/>
  <c r="BJ11" i="36"/>
  <c r="AI11" i="36"/>
  <c r="AO92" i="35"/>
  <c r="AO98" i="35" s="1"/>
  <c r="BI95" i="35"/>
  <c r="BO11" i="36"/>
  <c r="BN96" i="35"/>
  <c r="AO14" i="36"/>
  <c r="AU11" i="36"/>
  <c r="AX72" i="35"/>
  <c r="AX81" i="35" s="1"/>
  <c r="BR75" i="35"/>
  <c r="AO84" i="35"/>
  <c r="AM195" i="11"/>
  <c r="BJ84" i="35"/>
  <c r="BS75" i="35"/>
  <c r="AX129" i="35"/>
  <c r="AM14" i="36"/>
  <c r="AZ85" i="35"/>
  <c r="AZ86" i="35" s="1"/>
  <c r="AM169" i="35"/>
  <c r="AN169" i="35"/>
  <c r="BD76" i="35"/>
  <c r="AO11" i="36"/>
  <c r="BF129" i="35"/>
  <c r="AL142" i="35"/>
  <c r="AK195" i="11"/>
  <c r="AG169" i="35"/>
  <c r="BI14" i="36"/>
  <c r="AH11" i="36"/>
  <c r="BN14" i="36"/>
  <c r="BF97" i="35"/>
  <c r="AS34" i="35"/>
  <c r="Y78" i="15" s="1"/>
  <c r="AZ76" i="35"/>
  <c r="AF14" i="36"/>
  <c r="Q7" i="3"/>
  <c r="Q9" i="3" s="1"/>
  <c r="AP129" i="13"/>
  <c r="AP131" i="13" s="1"/>
  <c r="AR129" i="13"/>
  <c r="AR131" i="13" s="1"/>
  <c r="AO11" i="13"/>
  <c r="AO8" i="13" s="1"/>
  <c r="BA17" i="20"/>
  <c r="BA22" i="20" s="1"/>
  <c r="AV17" i="20"/>
  <c r="AV22" i="20" s="1"/>
  <c r="AI325" i="20"/>
  <c r="AI334" i="20"/>
  <c r="AW321" i="20"/>
  <c r="AW330" i="20" s="1"/>
  <c r="AW334" i="20"/>
  <c r="BC325" i="20"/>
  <c r="BC334" i="20"/>
  <c r="AH323" i="20"/>
  <c r="AH334" i="20"/>
  <c r="BD325" i="20"/>
  <c r="BD334" i="20"/>
  <c r="AQ17" i="20"/>
  <c r="BG65" i="20"/>
  <c r="N15" i="42" s="1"/>
  <c r="W36" i="42" s="1"/>
  <c r="W15" i="42" s="1"/>
  <c r="AR11" i="42" s="1"/>
  <c r="BG13" i="20"/>
  <c r="BG334" i="20" s="1"/>
  <c r="BF17" i="20"/>
  <c r="BF22" i="20" s="1"/>
  <c r="AC687" i="7"/>
  <c r="AT63" i="20"/>
  <c r="AE219" i="14" s="1"/>
  <c r="Y55" i="18" s="1"/>
  <c r="BD37" i="20"/>
  <c r="E25" i="3" s="1"/>
  <c r="J25" i="3" s="1"/>
  <c r="K40" i="18"/>
  <c r="O40" i="18" s="1"/>
  <c r="L40" i="18"/>
  <c r="N40" i="18"/>
  <c r="P40" i="18" s="1"/>
  <c r="L46" i="18"/>
  <c r="K46" i="18"/>
  <c r="O46" i="18" s="1"/>
  <c r="N46" i="18"/>
  <c r="P46" i="18" s="1"/>
  <c r="L43" i="18"/>
  <c r="K43" i="18"/>
  <c r="M43" i="18" s="1"/>
  <c r="N43" i="18"/>
  <c r="P43" i="18" s="1"/>
  <c r="N25" i="18"/>
  <c r="P25" i="18" s="1"/>
  <c r="L25" i="18"/>
  <c r="K25" i="18"/>
  <c r="M25" i="18" s="1"/>
  <c r="K79" i="18"/>
  <c r="O79" i="18" s="1"/>
  <c r="Q79" i="18" s="1"/>
  <c r="N79" i="18"/>
  <c r="P79" i="18" s="1"/>
  <c r="L79" i="18"/>
  <c r="K28" i="18"/>
  <c r="M28" i="18" s="1"/>
  <c r="L28" i="18"/>
  <c r="N28" i="18"/>
  <c r="P28" i="18" s="1"/>
  <c r="L73" i="18"/>
  <c r="K73" i="18"/>
  <c r="O73" i="18" s="1"/>
  <c r="N73" i="18"/>
  <c r="P73" i="18" s="1"/>
  <c r="N82" i="18"/>
  <c r="P82" i="18" s="1"/>
  <c r="K82" i="18"/>
  <c r="M82" i="18" s="1"/>
  <c r="L82" i="18"/>
  <c r="K70" i="18"/>
  <c r="M70" i="18" s="1"/>
  <c r="L70" i="18"/>
  <c r="N70" i="18"/>
  <c r="P70" i="18" s="1"/>
  <c r="N67" i="18"/>
  <c r="P67" i="18" s="1"/>
  <c r="L67" i="18"/>
  <c r="K67" i="18"/>
  <c r="O67" i="18" s="1"/>
  <c r="N64" i="18"/>
  <c r="P64" i="18" s="1"/>
  <c r="K64" i="18"/>
  <c r="M64" i="18" s="1"/>
  <c r="L64" i="18"/>
  <c r="K85" i="18"/>
  <c r="M85" i="18" s="1"/>
  <c r="L85" i="18"/>
  <c r="N85" i="18"/>
  <c r="P85" i="18" s="1"/>
  <c r="L37" i="18"/>
  <c r="N37" i="18"/>
  <c r="P37" i="18" s="1"/>
  <c r="K37" i="18"/>
  <c r="M37" i="18" s="1"/>
  <c r="N58" i="18"/>
  <c r="P58" i="18" s="1"/>
  <c r="L58" i="18"/>
  <c r="K58" i="18"/>
  <c r="M58" i="18" s="1"/>
  <c r="K55" i="18"/>
  <c r="O55" i="18" s="1"/>
  <c r="L55" i="18"/>
  <c r="N55" i="18"/>
  <c r="P55" i="18" s="1"/>
  <c r="N76" i="18"/>
  <c r="P76" i="18" s="1"/>
  <c r="K76" i="18"/>
  <c r="M76" i="18" s="1"/>
  <c r="L76" i="18"/>
  <c r="N52" i="18"/>
  <c r="P52" i="18" s="1"/>
  <c r="K52" i="18"/>
  <c r="L52" i="18"/>
  <c r="L34" i="18"/>
  <c r="N34" i="18"/>
  <c r="P34" i="18" s="1"/>
  <c r="K34" i="18"/>
  <c r="M34" i="18" s="1"/>
  <c r="K31" i="18"/>
  <c r="O31" i="18" s="1"/>
  <c r="L31" i="18"/>
  <c r="N31" i="18"/>
  <c r="P31" i="18" s="1"/>
  <c r="N61" i="18"/>
  <c r="P61" i="18" s="1"/>
  <c r="K61" i="18"/>
  <c r="M61" i="18" s="1"/>
  <c r="L61" i="18"/>
  <c r="N49" i="18"/>
  <c r="P49" i="18" s="1"/>
  <c r="K49" i="18"/>
  <c r="M49" i="18" s="1"/>
  <c r="L49" i="18"/>
  <c r="AY208" i="14"/>
  <c r="AO291" i="14"/>
  <c r="AO20" i="14"/>
  <c r="O13" i="1"/>
  <c r="V100" i="14"/>
  <c r="Z13" i="1"/>
  <c r="U71" i="15"/>
  <c r="AO282" i="14"/>
  <c r="AO284" i="14" s="1"/>
  <c r="V79" i="15"/>
  <c r="AE20" i="14"/>
  <c r="AP18" i="14"/>
  <c r="AP28" i="14" s="1"/>
  <c r="V103" i="15" s="1"/>
  <c r="Z146" i="14"/>
  <c r="AF191" i="14"/>
  <c r="AF192" i="14" s="1"/>
  <c r="T71" i="15"/>
  <c r="AQ282" i="14"/>
  <c r="AQ284" i="14" s="1"/>
  <c r="AN28" i="14"/>
  <c r="AN30" i="14" s="1"/>
  <c r="X71" i="15"/>
  <c r="AS53" i="14"/>
  <c r="AS39" i="14"/>
  <c r="AS38" i="14"/>
  <c r="AS44" i="14"/>
  <c r="AS35" i="14"/>
  <c r="AS52" i="14"/>
  <c r="AS51" i="14"/>
  <c r="AS34" i="14"/>
  <c r="AS37" i="14"/>
  <c r="AS49" i="14"/>
  <c r="AS40" i="14"/>
  <c r="AS65" i="14" s="1"/>
  <c r="AS43" i="14"/>
  <c r="AS36" i="14"/>
  <c r="AS45" i="14"/>
  <c r="AS48" i="14"/>
  <c r="AS50" i="14"/>
  <c r="AQ308" i="14"/>
  <c r="AN291" i="14"/>
  <c r="AN293" i="14" s="1"/>
  <c r="AS227" i="14"/>
  <c r="AT227" i="14"/>
  <c r="AM291" i="14"/>
  <c r="AM293" i="14" s="1"/>
  <c r="AC20" i="14"/>
  <c r="AL18" i="14"/>
  <c r="R71" i="15" s="1"/>
  <c r="BK71" i="15" s="1"/>
  <c r="AD28" i="14"/>
  <c r="AE28" i="14"/>
  <c r="S71" i="15"/>
  <c r="AT74" i="14"/>
  <c r="AU74" i="14" s="1"/>
  <c r="AV74" i="14" s="1"/>
  <c r="AW74" i="14" s="1"/>
  <c r="AX74" i="14" s="1"/>
  <c r="AY74" i="14" s="1"/>
  <c r="AZ74" i="14" s="1"/>
  <c r="BA74" i="14" s="1"/>
  <c r="BB74" i="14" s="1"/>
  <c r="BC74" i="14" s="1"/>
  <c r="BD74" i="14" s="1"/>
  <c r="BE74" i="14" s="1"/>
  <c r="BF74" i="14" s="1"/>
  <c r="BG74" i="14" s="1"/>
  <c r="BH74" i="14" s="1"/>
  <c r="BI74" i="14" s="1"/>
  <c r="BJ74" i="14" s="1"/>
  <c r="BK74" i="14" s="1"/>
  <c r="BL74" i="14" s="1"/>
  <c r="BM74" i="14" s="1"/>
  <c r="BN74" i="14" s="1"/>
  <c r="BO74" i="14" s="1"/>
  <c r="BP74" i="14" s="1"/>
  <c r="BQ74" i="14" s="1"/>
  <c r="BR74" i="14" s="1"/>
  <c r="BS74" i="14" s="1"/>
  <c r="BT74" i="14" s="1"/>
  <c r="BU74" i="14" s="1"/>
  <c r="BV74" i="14" s="1"/>
  <c r="BW74" i="14" s="1"/>
  <c r="BX74" i="14" s="1"/>
  <c r="BY74" i="14" s="1"/>
  <c r="BZ74" i="14" s="1"/>
  <c r="AR51" i="14"/>
  <c r="AR44" i="14"/>
  <c r="AR37" i="14"/>
  <c r="AR48" i="14"/>
  <c r="AR38" i="14"/>
  <c r="AR50" i="14"/>
  <c r="AR36" i="14"/>
  <c r="AR34" i="14"/>
  <c r="AR43" i="14"/>
  <c r="AR53" i="14"/>
  <c r="AR52" i="14"/>
  <c r="AR49" i="14"/>
  <c r="AR40" i="14"/>
  <c r="AR65" i="14" s="1"/>
  <c r="AR35" i="14"/>
  <c r="AR39" i="14"/>
  <c r="AR45" i="14"/>
  <c r="AZ271" i="14"/>
  <c r="BA271" i="14" s="1"/>
  <c r="BB271" i="14" s="1"/>
  <c r="BC271" i="14" s="1"/>
  <c r="BD271" i="14" s="1"/>
  <c r="BE271" i="14" s="1"/>
  <c r="BF271" i="14" s="1"/>
  <c r="BG271" i="14" s="1"/>
  <c r="BH271" i="14" s="1"/>
  <c r="BI271" i="14" s="1"/>
  <c r="BJ271" i="14" s="1"/>
  <c r="BK271" i="14" s="1"/>
  <c r="BL271" i="14" s="1"/>
  <c r="BM271" i="14" s="1"/>
  <c r="BN271" i="14" s="1"/>
  <c r="BO271" i="14" s="1"/>
  <c r="BP271" i="14" s="1"/>
  <c r="BQ271" i="14" s="1"/>
  <c r="BR271" i="14" s="1"/>
  <c r="BS271" i="14" s="1"/>
  <c r="BT271" i="14" s="1"/>
  <c r="BU271" i="14" s="1"/>
  <c r="BV271" i="14" s="1"/>
  <c r="BW271" i="14" s="1"/>
  <c r="BX271" i="14" s="1"/>
  <c r="BY271" i="14" s="1"/>
  <c r="BZ271" i="14" s="1"/>
  <c r="AV281" i="14"/>
  <c r="Y13" i="1"/>
  <c r="BK104" i="20"/>
  <c r="BJ157" i="20"/>
  <c r="AR28" i="14"/>
  <c r="AX44" i="45"/>
  <c r="AW40" i="45"/>
  <c r="AX30" i="45"/>
  <c r="AX28" i="45"/>
  <c r="BD287" i="20"/>
  <c r="BD306" i="20" s="1"/>
  <c r="BH287" i="20"/>
  <c r="AX10" i="43"/>
  <c r="AQ408" i="13"/>
  <c r="BI86" i="35"/>
  <c r="BI84" i="35"/>
  <c r="AI84" i="35"/>
  <c r="AI86" i="35"/>
  <c r="BC92" i="35"/>
  <c r="AN141" i="35"/>
  <c r="AN96" i="35"/>
  <c r="AN67" i="35"/>
  <c r="AZ97" i="35"/>
  <c r="BG92" i="35"/>
  <c r="AQ92" i="35"/>
  <c r="AQ105" i="35" s="1"/>
  <c r="AQ113" i="35" s="1"/>
  <c r="AQ120" i="35" s="1"/>
  <c r="AK137" i="35"/>
  <c r="AK143" i="35" s="1"/>
  <c r="AK140" i="35"/>
  <c r="BO92" i="35"/>
  <c r="BO98" i="35" s="1"/>
  <c r="AN95" i="35"/>
  <c r="AU86" i="35"/>
  <c r="AU84" i="35"/>
  <c r="AV137" i="35"/>
  <c r="AV143" i="35" s="1"/>
  <c r="AV141" i="35"/>
  <c r="BO76" i="35"/>
  <c r="BJ72" i="35"/>
  <c r="AV140" i="35"/>
  <c r="AV97" i="35"/>
  <c r="BM75" i="35"/>
  <c r="BH72" i="35"/>
  <c r="BH126" i="35" s="1"/>
  <c r="BQ75" i="35"/>
  <c r="BT92" i="35"/>
  <c r="BT105" i="35" s="1"/>
  <c r="BT113" i="35" s="1"/>
  <c r="BK92" i="35"/>
  <c r="BD86" i="35"/>
  <c r="BD84" i="35"/>
  <c r="BD140" i="35"/>
  <c r="BE129" i="35"/>
  <c r="BE131" i="35"/>
  <c r="BS72" i="35"/>
  <c r="BS126" i="35" s="1"/>
  <c r="AV142" i="35"/>
  <c r="AV96" i="35"/>
  <c r="BL96" i="35"/>
  <c r="BL129" i="35"/>
  <c r="BL140" i="35"/>
  <c r="BU137" i="35"/>
  <c r="BU143" i="35" s="1"/>
  <c r="BU140" i="35"/>
  <c r="BN84" i="35"/>
  <c r="BN92" i="35"/>
  <c r="BN98" i="35" s="1"/>
  <c r="AV14" i="36"/>
  <c r="AV84" i="35"/>
  <c r="BC11" i="36"/>
  <c r="BU92" i="35"/>
  <c r="BU98" i="35" s="1"/>
  <c r="BN141" i="35"/>
  <c r="AL169" i="35"/>
  <c r="AO86" i="35"/>
  <c r="AS62" i="35"/>
  <c r="AS131" i="35" s="1"/>
  <c r="BC62" i="35"/>
  <c r="BC84" i="35" s="1"/>
  <c r="BF71" i="35"/>
  <c r="AR130" i="35"/>
  <c r="AR129" i="35" s="1"/>
  <c r="AR137" i="35"/>
  <c r="AR143" i="35" s="1"/>
  <c r="AN92" i="35"/>
  <c r="AN98" i="35" s="1"/>
  <c r="AY96" i="35"/>
  <c r="BD96" i="35"/>
  <c r="BU141" i="35"/>
  <c r="AS75" i="35"/>
  <c r="BS92" i="35"/>
  <c r="BS105" i="35" s="1"/>
  <c r="BS113" i="35" s="1"/>
  <c r="BU71" i="35"/>
  <c r="BF96" i="35"/>
  <c r="AG195" i="11"/>
  <c r="BJ97" i="35"/>
  <c r="AX75" i="35"/>
  <c r="BD11" i="36"/>
  <c r="BR92" i="35"/>
  <c r="BR105" i="35" s="1"/>
  <c r="BR113" i="35" s="1"/>
  <c r="BH62" i="35"/>
  <c r="BH142" i="35" s="1"/>
  <c r="BO85" i="35"/>
  <c r="BO84" i="35" s="1"/>
  <c r="BP92" i="35"/>
  <c r="BP105" i="35" s="1"/>
  <c r="BC76" i="35"/>
  <c r="BO72" i="35"/>
  <c r="BO126" i="35" s="1"/>
  <c r="AY84" i="35"/>
  <c r="AK84" i="35"/>
  <c r="AK11" i="36"/>
  <c r="BF11" i="36"/>
  <c r="BR76" i="35"/>
  <c r="BJ142" i="35"/>
  <c r="BF84" i="35"/>
  <c r="AZ96" i="35"/>
  <c r="AO95" i="35"/>
  <c r="AL11" i="36"/>
  <c r="BL92" i="35"/>
  <c r="BL98" i="35" s="1"/>
  <c r="AR140" i="35"/>
  <c r="AM62" i="35"/>
  <c r="AM97" i="35" s="1"/>
  <c r="BF131" i="35"/>
  <c r="AK130" i="35"/>
  <c r="AK51" i="35" s="1"/>
  <c r="BI11" i="36"/>
  <c r="AH34" i="35"/>
  <c r="N78" i="15" s="1"/>
  <c r="N81" i="15" s="1"/>
  <c r="AL195" i="11"/>
  <c r="AV86" i="35"/>
  <c r="AU14" i="36"/>
  <c r="BM85" i="35"/>
  <c r="AI19" i="35"/>
  <c r="O35" i="15" s="1"/>
  <c r="AO141" i="35"/>
  <c r="BE140" i="35"/>
  <c r="AO195" i="11"/>
  <c r="AK97" i="35"/>
  <c r="AN97" i="35"/>
  <c r="AS137" i="35"/>
  <c r="AS145" i="35" s="1"/>
  <c r="AS151" i="35" s="1"/>
  <c r="AN195" i="11"/>
  <c r="BP130" i="35"/>
  <c r="BH11" i="36"/>
  <c r="AL130" i="35"/>
  <c r="AL131" i="35" s="1"/>
  <c r="BP11" i="36"/>
  <c r="AO131" i="35"/>
  <c r="BN130" i="35"/>
  <c r="BD142" i="20"/>
  <c r="BD143" i="20" s="1"/>
  <c r="AB169" i="35"/>
  <c r="AB171" i="35" s="1"/>
  <c r="AB14" i="36"/>
  <c r="AZ14" i="36"/>
  <c r="BN75" i="35"/>
  <c r="AB62" i="35"/>
  <c r="AB142" i="35" s="1"/>
  <c r="AF137" i="35"/>
  <c r="AF145" i="35" s="1"/>
  <c r="AY141" i="35"/>
  <c r="BN140" i="35"/>
  <c r="AR92" i="35"/>
  <c r="AL141" i="35"/>
  <c r="AZ95" i="35"/>
  <c r="BI96" i="35"/>
  <c r="AV11" i="36"/>
  <c r="AX97" i="35"/>
  <c r="BB11" i="36"/>
  <c r="BJ96" i="35"/>
  <c r="AH169" i="35"/>
  <c r="BD14" i="36"/>
  <c r="AX141" i="35"/>
  <c r="BC137" i="35"/>
  <c r="BN86" i="35"/>
  <c r="AY86" i="35"/>
  <c r="BF14" i="36"/>
  <c r="AU97" i="35"/>
  <c r="AO142" i="35"/>
  <c r="BE141" i="35"/>
  <c r="BL141" i="35"/>
  <c r="AG92" i="35"/>
  <c r="AG105" i="35" s="1"/>
  <c r="AY11" i="36"/>
  <c r="AY76" i="35"/>
  <c r="AL97" i="35"/>
  <c r="AO19" i="35"/>
  <c r="U35" i="15" s="1"/>
  <c r="AW137" i="35"/>
  <c r="AW145" i="35" s="1"/>
  <c r="AJ169" i="35"/>
  <c r="AQ428" i="12"/>
  <c r="AR437" i="12" s="1"/>
  <c r="AU19" i="12"/>
  <c r="AW19" i="12" s="1"/>
  <c r="AX19" i="12" s="1"/>
  <c r="AY19" i="12" s="1"/>
  <c r="AZ19" i="12" s="1"/>
  <c r="N218" i="7"/>
  <c r="N418" i="7"/>
  <c r="N558" i="7" s="1"/>
  <c r="O217" i="7"/>
  <c r="O384" i="7"/>
  <c r="O401" i="7" s="1"/>
  <c r="P192" i="7"/>
  <c r="Q193" i="7" s="1"/>
  <c r="P680" i="7"/>
  <c r="P728" i="7"/>
  <c r="P770" i="7" s="1"/>
  <c r="AG74" i="7"/>
  <c r="AG76" i="7" s="1"/>
  <c r="AG25" i="7"/>
  <c r="AG34" i="7" s="1"/>
  <c r="AL371" i="7"/>
  <c r="AH371" i="7"/>
  <c r="AH491" i="7"/>
  <c r="AI490" i="7"/>
  <c r="AN739" i="7"/>
  <c r="AF712" i="7"/>
  <c r="AG708" i="7"/>
  <c r="AF782" i="7"/>
  <c r="AG782" i="7" s="1"/>
  <c r="AG780" i="7"/>
  <c r="AM698" i="7"/>
  <c r="AQ698" i="7"/>
  <c r="AN798" i="7"/>
  <c r="AN796" i="7"/>
  <c r="AN800" i="7"/>
  <c r="AR1018" i="7"/>
  <c r="AR1023" i="7" s="1"/>
  <c r="AS1018" i="7" s="1"/>
  <c r="AS1023" i="7" s="1"/>
  <c r="AS1025" i="7" s="1"/>
  <c r="AE225" i="7"/>
  <c r="AE872" i="7"/>
  <c r="AE878" i="7" s="1"/>
  <c r="AE952" i="7"/>
  <c r="AE951" i="7" s="1"/>
  <c r="AE902" i="7"/>
  <c r="AE903" i="7"/>
  <c r="AG217" i="7"/>
  <c r="AG218" i="7" s="1"/>
  <c r="AG214" i="7"/>
  <c r="AK796" i="7"/>
  <c r="AK799" i="7"/>
  <c r="AD313" i="7"/>
  <c r="AD314" i="7" s="1"/>
  <c r="AF379" i="7"/>
  <c r="AF313" i="7" s="1"/>
  <c r="AE401" i="7"/>
  <c r="AF717" i="7"/>
  <c r="AF721" i="7" s="1"/>
  <c r="AF720" i="7"/>
  <c r="AG716" i="7"/>
  <c r="AG720" i="7" s="1"/>
  <c r="AN797" i="7"/>
  <c r="AK491" i="7"/>
  <c r="AK467" i="7" s="1"/>
  <c r="AK392" i="7" s="1"/>
  <c r="AL490" i="7"/>
  <c r="AM490" i="7" s="1"/>
  <c r="AM491" i="7" s="1"/>
  <c r="AH822" i="7"/>
  <c r="AH825" i="7"/>
  <c r="AH826" i="7" s="1"/>
  <c r="AR830" i="7"/>
  <c r="AR835" i="7" s="1"/>
  <c r="AQ853" i="7"/>
  <c r="AQ861" i="7" s="1"/>
  <c r="AR401" i="7"/>
  <c r="AQ869" i="7"/>
  <c r="AV875" i="7" s="1"/>
  <c r="AP880" i="7"/>
  <c r="AP881" i="7" s="1"/>
  <c r="AP952" i="7"/>
  <c r="AP951" i="7" s="1"/>
  <c r="AQ951" i="7" s="1"/>
  <c r="AP225" i="7"/>
  <c r="AA52" i="7"/>
  <c r="AA45" i="7" s="1"/>
  <c r="W74" i="7"/>
  <c r="W76" i="7" s="1"/>
  <c r="W34" i="7"/>
  <c r="AG401" i="7"/>
  <c r="AP878" i="7"/>
  <c r="X717" i="7"/>
  <c r="X721" i="7" s="1"/>
  <c r="X720" i="7"/>
  <c r="AL800" i="7"/>
  <c r="N567" i="7"/>
  <c r="N765" i="7" s="1"/>
  <c r="T8" i="17" s="1"/>
  <c r="N192" i="7"/>
  <c r="N193" i="7" s="1"/>
  <c r="O411" i="7"/>
  <c r="O506" i="7" s="1"/>
  <c r="AG167" i="7"/>
  <c r="AE666" i="7"/>
  <c r="AE665" i="7"/>
  <c r="M215" i="7"/>
  <c r="M217" i="7" s="1"/>
  <c r="W692" i="7"/>
  <c r="X698" i="7" s="1"/>
  <c r="V698" i="7"/>
  <c r="U163" i="7"/>
  <c r="V163" i="7" s="1"/>
  <c r="T177" i="7"/>
  <c r="L418" i="7"/>
  <c r="L558" i="7" s="1"/>
  <c r="T373" i="7"/>
  <c r="T448" i="7" s="1"/>
  <c r="U32" i="7"/>
  <c r="U98" i="7" s="1"/>
  <c r="AG805" i="7"/>
  <c r="AG807" i="7" s="1"/>
  <c r="V225" i="7"/>
  <c r="V697" i="7"/>
  <c r="V189" i="7"/>
  <c r="W691" i="7"/>
  <c r="W697" i="7" s="1"/>
  <c r="V694" i="7"/>
  <c r="W694" i="7" s="1"/>
  <c r="AB700" i="7" s="1"/>
  <c r="T176" i="7"/>
  <c r="U162" i="7"/>
  <c r="AK800" i="7"/>
  <c r="AI703" i="7"/>
  <c r="AI702" i="7"/>
  <c r="AI872" i="7"/>
  <c r="P720" i="7"/>
  <c r="T525" i="7"/>
  <c r="S711" i="7"/>
  <c r="AN185" i="7"/>
  <c r="AN168" i="7"/>
  <c r="AN172" i="7" s="1"/>
  <c r="AA351" i="7"/>
  <c r="AA333" i="7" s="1"/>
  <c r="Z333" i="7"/>
  <c r="AK223" i="7"/>
  <c r="AK265" i="7"/>
  <c r="AK266" i="7" s="1"/>
  <c r="AK244" i="7" s="1"/>
  <c r="AL571" i="7"/>
  <c r="AL265" i="7" s="1"/>
  <c r="AQ70" i="7"/>
  <c r="AQ51" i="7" s="1"/>
  <c r="AP51" i="7"/>
  <c r="AP111" i="7" s="1"/>
  <c r="AD401" i="7"/>
  <c r="AE371" i="7"/>
  <c r="J13" i="7"/>
  <c r="J15" i="7" s="1"/>
  <c r="J25" i="7" s="1"/>
  <c r="J74" i="7" s="1"/>
  <c r="J76" i="7" s="1"/>
  <c r="J139" i="7" s="1"/>
  <c r="K9" i="7"/>
  <c r="K13" i="7" s="1"/>
  <c r="K15" i="7" s="1"/>
  <c r="U653" i="7"/>
  <c r="U647" i="7"/>
  <c r="U666" i="7" s="1"/>
  <c r="W707" i="7"/>
  <c r="W711" i="7" s="1"/>
  <c r="V711" i="7"/>
  <c r="P77" i="7"/>
  <c r="P140" i="7" s="1"/>
  <c r="P378" i="7"/>
  <c r="P411" i="7" s="1"/>
  <c r="R215" i="7"/>
  <c r="R384" i="7" s="1"/>
  <c r="Q384" i="7"/>
  <c r="Q401" i="7" s="1"/>
  <c r="Q403" i="7" s="1"/>
  <c r="Q217" i="7"/>
  <c r="AE875" i="7"/>
  <c r="AL699" i="7"/>
  <c r="L371" i="7"/>
  <c r="Z373" i="7"/>
  <c r="Z448" i="7" s="1"/>
  <c r="Z52" i="7"/>
  <c r="Z45" i="7" s="1"/>
  <c r="V721" i="7"/>
  <c r="W717" i="7"/>
  <c r="W721" i="7" s="1"/>
  <c r="X390" i="7"/>
  <c r="X409" i="7" s="1"/>
  <c r="X504" i="7" s="1"/>
  <c r="AE797" i="7"/>
  <c r="W463" i="7"/>
  <c r="W503" i="7" s="1"/>
  <c r="R497" i="7"/>
  <c r="AC711" i="7"/>
  <c r="AE480" i="7"/>
  <c r="AE514" i="7"/>
  <c r="AE517" i="7" s="1"/>
  <c r="R164" i="7"/>
  <c r="R168" i="7"/>
  <c r="R172" i="7" s="1"/>
  <c r="V741" i="7"/>
  <c r="Z409" i="7"/>
  <c r="Z504" i="7" s="1"/>
  <c r="AL893" i="7"/>
  <c r="AL892" i="7"/>
  <c r="AK1100" i="7"/>
  <c r="AL1100" i="7" s="1"/>
  <c r="AL1097" i="7"/>
  <c r="AI825" i="7"/>
  <c r="AI822" i="7"/>
  <c r="AM830" i="7"/>
  <c r="AM838" i="7" s="1"/>
  <c r="AM839" i="7" s="1"/>
  <c r="AQ830" i="7"/>
  <c r="AF1064" i="7"/>
  <c r="AG1056" i="7"/>
  <c r="M727" i="7"/>
  <c r="AD492" i="7"/>
  <c r="AL1093" i="7"/>
  <c r="AT822" i="7"/>
  <c r="AT825" i="7"/>
  <c r="AT826" i="7" s="1"/>
  <c r="AJ819" i="7"/>
  <c r="AI827" i="7"/>
  <c r="AR150" i="7"/>
  <c r="AR148" i="7" s="1"/>
  <c r="AQ733" i="7"/>
  <c r="AQ26" i="12"/>
  <c r="AQ27" i="12" s="1"/>
  <c r="L189" i="7"/>
  <c r="L694" i="7"/>
  <c r="L702" i="7" s="1"/>
  <c r="N381" i="7"/>
  <c r="N383" i="7" s="1"/>
  <c r="AA312" i="7"/>
  <c r="AG732" i="7"/>
  <c r="AG738" i="7" s="1"/>
  <c r="AF738" i="7"/>
  <c r="AT918" i="7"/>
  <c r="AU918" i="7" s="1"/>
  <c r="AV918" i="7" s="1"/>
  <c r="AK903" i="7"/>
  <c r="AP708" i="7"/>
  <c r="AQ707" i="7"/>
  <c r="AQ711" i="7" s="1"/>
  <c r="AP711" i="7"/>
  <c r="AP12" i="7"/>
  <c r="AP87" i="7" s="1"/>
  <c r="L698" i="7"/>
  <c r="M692" i="7"/>
  <c r="N698" i="7" s="1"/>
  <c r="R567" i="7"/>
  <c r="R680" i="7"/>
  <c r="R727" i="7"/>
  <c r="AF739" i="7"/>
  <c r="AN666" i="7"/>
  <c r="AN665" i="7"/>
  <c r="AF819" i="7"/>
  <c r="AG819" i="7" s="1"/>
  <c r="AE827" i="7"/>
  <c r="AE1075" i="7"/>
  <c r="M74" i="7"/>
  <c r="M76" i="7" s="1"/>
  <c r="M34" i="7"/>
  <c r="S694" i="7"/>
  <c r="S703" i="7" s="1"/>
  <c r="J702" i="7"/>
  <c r="J700" i="7"/>
  <c r="O727" i="7"/>
  <c r="O192" i="7"/>
  <c r="AL876" i="7"/>
  <c r="AN703" i="7"/>
  <c r="AS1062" i="7"/>
  <c r="AS1063" i="7" s="1"/>
  <c r="AS1059" i="7"/>
  <c r="AQ1041" i="7"/>
  <c r="AM1041" i="7"/>
  <c r="N13" i="7"/>
  <c r="N15" i="7" s="1"/>
  <c r="N25" i="7" s="1"/>
  <c r="O9" i="7"/>
  <c r="O84" i="7" s="1"/>
  <c r="V312" i="7"/>
  <c r="Z10" i="7"/>
  <c r="AA10" i="7" s="1"/>
  <c r="AA85" i="7" s="1"/>
  <c r="S463" i="7"/>
  <c r="AE717" i="7"/>
  <c r="AE721" i="7" s="1"/>
  <c r="AE720" i="7"/>
  <c r="AI739" i="7"/>
  <c r="AI741" i="7"/>
  <c r="AO741" i="7"/>
  <c r="AO190" i="7"/>
  <c r="AO195" i="7" s="1"/>
  <c r="AO198" i="7" s="1"/>
  <c r="AG821" i="7"/>
  <c r="AJ12" i="7"/>
  <c r="AJ87" i="7" s="1"/>
  <c r="AT912" i="7"/>
  <c r="AU912" i="7" s="1"/>
  <c r="AV912" i="7" s="1"/>
  <c r="AB707" i="7"/>
  <c r="AB711" i="7" s="1"/>
  <c r="AA711" i="7"/>
  <c r="AA708" i="7"/>
  <c r="AA712" i="7" s="1"/>
  <c r="AE798" i="7"/>
  <c r="AE800" i="7"/>
  <c r="AQ887" i="7"/>
  <c r="AQ275" i="7"/>
  <c r="O708" i="7"/>
  <c r="O712" i="7" s="1"/>
  <c r="W727" i="7"/>
  <c r="O697" i="7"/>
  <c r="N189" i="7"/>
  <c r="O190" i="7" s="1"/>
  <c r="O195" i="7" s="1"/>
  <c r="O198" i="7" s="1"/>
  <c r="Z711" i="7"/>
  <c r="Z708" i="7"/>
  <c r="Z712" i="7" s="1"/>
  <c r="AE50" i="7"/>
  <c r="AE110" i="7" s="1"/>
  <c r="AH225" i="7"/>
  <c r="AH952" i="7"/>
  <c r="AH951" i="7" s="1"/>
  <c r="AK59" i="7"/>
  <c r="AK119" i="7" s="1"/>
  <c r="AN702" i="7"/>
  <c r="AO409" i="7"/>
  <c r="AO504" i="7" s="1"/>
  <c r="R543" i="7"/>
  <c r="Y223" i="7"/>
  <c r="Y265" i="7"/>
  <c r="Y266" i="7" s="1"/>
  <c r="Y244" i="7" s="1"/>
  <c r="Z717" i="7"/>
  <c r="Z721" i="7" s="1"/>
  <c r="Z720" i="7"/>
  <c r="AM225" i="7"/>
  <c r="AM952" i="7"/>
  <c r="AM951" i="7" s="1"/>
  <c r="U10" i="7"/>
  <c r="U85" i="7" s="1"/>
  <c r="AQ189" i="7"/>
  <c r="AR190" i="7" s="1"/>
  <c r="AR195" i="7" s="1"/>
  <c r="AR198" i="7" s="1"/>
  <c r="AQ514" i="7"/>
  <c r="AQ516" i="7" s="1"/>
  <c r="AC888" i="7"/>
  <c r="AC937" i="7" s="1"/>
  <c r="AG901" i="7"/>
  <c r="AG275" i="7"/>
  <c r="AM872" i="7"/>
  <c r="AM880" i="7" s="1"/>
  <c r="AM881" i="7" s="1"/>
  <c r="AO492" i="7"/>
  <c r="AQ697" i="7"/>
  <c r="AO11" i="7"/>
  <c r="AO86" i="7" s="1"/>
  <c r="AA193" i="7"/>
  <c r="AL162" i="7"/>
  <c r="AQ162" i="7"/>
  <c r="AM373" i="7"/>
  <c r="AM448" i="7" s="1"/>
  <c r="AM45" i="7"/>
  <c r="AN52" i="7"/>
  <c r="AP371" i="7"/>
  <c r="AO401" i="7"/>
  <c r="AA311" i="7"/>
  <c r="AA372" i="7" s="1"/>
  <c r="R561" i="7"/>
  <c r="R601" i="7" s="1"/>
  <c r="AI45" i="7"/>
  <c r="V193" i="7"/>
  <c r="Y702" i="7"/>
  <c r="Y700" i="7"/>
  <c r="AC720" i="7"/>
  <c r="AI168" i="7"/>
  <c r="AI172" i="7" s="1"/>
  <c r="AF906" i="7"/>
  <c r="AF888" i="7" s="1"/>
  <c r="AF937" i="7" s="1"/>
  <c r="AH798" i="7"/>
  <c r="AH799" i="7"/>
  <c r="AH800" i="7"/>
  <c r="AL977" i="7"/>
  <c r="AM977" i="7"/>
  <c r="AN708" i="7"/>
  <c r="AN712" i="7" s="1"/>
  <c r="AN711" i="7"/>
  <c r="AP190" i="7"/>
  <c r="AP195" i="7" s="1"/>
  <c r="AP198" i="7" s="1"/>
  <c r="Y373" i="7"/>
  <c r="Y448" i="7" s="1"/>
  <c r="Y52" i="7"/>
  <c r="Y45" i="7" s="1"/>
  <c r="Z374" i="7"/>
  <c r="Z389" i="7" s="1"/>
  <c r="AT838" i="7"/>
  <c r="AT839" i="7" s="1"/>
  <c r="AT835" i="7"/>
  <c r="AL853" i="7"/>
  <c r="AL861" i="7" s="1"/>
  <c r="AG834" i="7"/>
  <c r="Q32" i="7"/>
  <c r="Q373" i="7" s="1"/>
  <c r="Q448" i="7" s="1"/>
  <c r="Q307" i="7"/>
  <c r="U380" i="7"/>
  <c r="V380" i="7" s="1"/>
  <c r="AE799" i="7"/>
  <c r="AD190" i="7"/>
  <c r="AD195" i="7" s="1"/>
  <c r="AD198" i="7" s="1"/>
  <c r="K418" i="7"/>
  <c r="K558" i="7" s="1"/>
  <c r="AQ372" i="7"/>
  <c r="O647" i="7"/>
  <c r="O654" i="7"/>
  <c r="O658" i="7" s="1"/>
  <c r="W388" i="7"/>
  <c r="S388" i="7"/>
  <c r="AD193" i="7"/>
  <c r="AL877" i="7"/>
  <c r="AG850" i="7"/>
  <c r="AG121" i="7" s="1"/>
  <c r="AG893" i="7"/>
  <c r="AJ375" i="7"/>
  <c r="AJ410" i="7" s="1"/>
  <c r="AJ505" i="7" s="1"/>
  <c r="AQ876" i="7"/>
  <c r="AJ374" i="7"/>
  <c r="AI389" i="7"/>
  <c r="AI464" i="7" s="1"/>
  <c r="AL697" i="7"/>
  <c r="AL189" i="7"/>
  <c r="AM190" i="7" s="1"/>
  <c r="AM195" i="7" s="1"/>
  <c r="AO77" i="7"/>
  <c r="AO140" i="7" s="1"/>
  <c r="Y14" i="1"/>
  <c r="AS24" i="13"/>
  <c r="AR961" i="7"/>
  <c r="T56" i="15"/>
  <c r="Y64" i="15" s="1"/>
  <c r="AO24" i="7"/>
  <c r="AP24" i="7" s="1"/>
  <c r="AP92" i="7" s="1"/>
  <c r="AP104" i="7" s="1"/>
  <c r="AU105" i="7" s="1"/>
  <c r="Z29" i="7"/>
  <c r="Z756" i="7" s="1"/>
  <c r="Z757" i="7" s="1"/>
  <c r="AK14" i="7"/>
  <c r="AK89" i="7" s="1"/>
  <c r="R192" i="7"/>
  <c r="S193" i="7" s="1"/>
  <c r="V384" i="7"/>
  <c r="V401" i="7" s="1"/>
  <c r="Q720" i="7"/>
  <c r="R716" i="7"/>
  <c r="R720" i="7" s="1"/>
  <c r="AG647" i="7"/>
  <c r="AB192" i="7"/>
  <c r="AC193" i="7" s="1"/>
  <c r="AB680" i="7"/>
  <c r="AF959" i="7"/>
  <c r="AG959" i="7" s="1"/>
  <c r="AG956" i="7"/>
  <c r="AH665" i="7"/>
  <c r="AH666" i="7"/>
  <c r="AO166" i="7"/>
  <c r="AO164" i="7" s="1"/>
  <c r="AN166" i="7"/>
  <c r="AN164" i="7" s="1"/>
  <c r="AP875" i="7"/>
  <c r="AP976" i="7"/>
  <c r="AO976" i="7"/>
  <c r="AT1062" i="7"/>
  <c r="AT1063" i="7" s="1"/>
  <c r="AQ702" i="7"/>
  <c r="L708" i="7"/>
  <c r="N654" i="7"/>
  <c r="N650" i="7" s="1"/>
  <c r="V699" i="7"/>
  <c r="AJ427" i="7"/>
  <c r="AJ633" i="7" s="1"/>
  <c r="AP700" i="7"/>
  <c r="AH44" i="7"/>
  <c r="K697" i="7"/>
  <c r="AL163" i="7"/>
  <c r="AL665" i="7"/>
  <c r="AN193" i="7"/>
  <c r="AO66" i="7"/>
  <c r="AO128" i="7" s="1"/>
  <c r="AP782" i="7"/>
  <c r="AQ782" i="7" s="1"/>
  <c r="AQ780" i="7"/>
  <c r="AB402" i="7"/>
  <c r="AG388" i="7"/>
  <c r="AF10" i="7"/>
  <c r="AF85" i="7" s="1"/>
  <c r="AQ163" i="7"/>
  <c r="AQ703" i="7"/>
  <c r="AR796" i="7"/>
  <c r="AR799" i="7"/>
  <c r="T376" i="7"/>
  <c r="T451" i="7" s="1"/>
  <c r="X168" i="7"/>
  <c r="X172" i="7" s="1"/>
  <c r="AC666" i="7"/>
  <c r="AD85" i="7"/>
  <c r="AF905" i="7"/>
  <c r="AJ741" i="7"/>
  <c r="AJ742" i="7"/>
  <c r="AR128" i="7"/>
  <c r="AV128" i="7" s="1"/>
  <c r="AR119" i="7"/>
  <c r="AV119" i="7" s="1"/>
  <c r="AV102" i="7"/>
  <c r="AP164" i="7"/>
  <c r="V708" i="7"/>
  <c r="R456" i="7"/>
  <c r="S225" i="7"/>
  <c r="Y190" i="7"/>
  <c r="Y195" i="7" s="1"/>
  <c r="Y198" i="7" s="1"/>
  <c r="Y9" i="7"/>
  <c r="Y13" i="7" s="1"/>
  <c r="Y15" i="7" s="1"/>
  <c r="Y90" i="7" s="1"/>
  <c r="AK807" i="7"/>
  <c r="AK809" i="7" s="1"/>
  <c r="AJ166" i="7"/>
  <c r="AJ164" i="7" s="1"/>
  <c r="AQ994" i="7"/>
  <c r="AQ980" i="7"/>
  <c r="AQ995" i="7"/>
  <c r="AM390" i="7"/>
  <c r="AM465" i="7" s="1"/>
  <c r="N727" i="7"/>
  <c r="AS1049" i="7"/>
  <c r="AS1050" i="7" s="1"/>
  <c r="AS1046" i="7"/>
  <c r="AD1063" i="7"/>
  <c r="AR112" i="7"/>
  <c r="AR373" i="7"/>
  <c r="AX575" i="7"/>
  <c r="AX576" i="7" s="1"/>
  <c r="AX685" i="7" s="1"/>
  <c r="AX686" i="7" s="1"/>
  <c r="AR118" i="7"/>
  <c r="AV118" i="7" s="1"/>
  <c r="J459" i="7"/>
  <c r="K446" i="7" s="1"/>
  <c r="AO72" i="7"/>
  <c r="AP72" i="7" s="1"/>
  <c r="AQ72" i="7" s="1"/>
  <c r="AQ65" i="7" s="1"/>
  <c r="K459" i="7"/>
  <c r="L446" i="7" s="1"/>
  <c r="AK52" i="7"/>
  <c r="AK373" i="7" s="1"/>
  <c r="AK448" i="7" s="1"/>
  <c r="AG737" i="7"/>
  <c r="AH459" i="7"/>
  <c r="AI446" i="7" s="1"/>
  <c r="AN224" i="7"/>
  <c r="AN226" i="7" s="1"/>
  <c r="AN1046" i="7"/>
  <c r="AR111" i="7"/>
  <c r="AV111" i="7" s="1"/>
  <c r="BZ92" i="7"/>
  <c r="P374" i="7"/>
  <c r="Q374" i="7" s="1"/>
  <c r="Q389" i="7" s="1"/>
  <c r="Z193" i="7"/>
  <c r="AH223" i="7"/>
  <c r="AL901" i="7"/>
  <c r="AM906" i="7" s="1"/>
  <c r="AN905" i="7"/>
  <c r="AQ1054" i="7"/>
  <c r="AR976" i="7"/>
  <c r="L717" i="7"/>
  <c r="M717" i="7" s="1"/>
  <c r="M721" i="7" s="1"/>
  <c r="P525" i="7"/>
  <c r="AK380" i="7"/>
  <c r="AL798" i="7"/>
  <c r="AN190" i="7"/>
  <c r="AN195" i="7" s="1"/>
  <c r="AN198" i="7" s="1"/>
  <c r="AN981" i="7"/>
  <c r="AU90" i="7"/>
  <c r="AU93" i="7" s="1"/>
  <c r="AU25" i="7"/>
  <c r="AU34" i="7" s="1"/>
  <c r="AR36" i="13"/>
  <c r="AQ70" i="35"/>
  <c r="AP72" i="35"/>
  <c r="AP75" i="35"/>
  <c r="AJ92" i="35"/>
  <c r="AJ98" i="35" s="1"/>
  <c r="AJ95" i="35"/>
  <c r="BJ95" i="35"/>
  <c r="BJ92" i="35"/>
  <c r="BJ98" i="35" s="1"/>
  <c r="BT86" i="35"/>
  <c r="BT84" i="35"/>
  <c r="BT96" i="35"/>
  <c r="BT97" i="35"/>
  <c r="AV131" i="35"/>
  <c r="AV129" i="35"/>
  <c r="AU95" i="35"/>
  <c r="AU92" i="35"/>
  <c r="AU98" i="35" s="1"/>
  <c r="AB92" i="35"/>
  <c r="BB62" i="35"/>
  <c r="BB84" i="35" s="1"/>
  <c r="BT14" i="36"/>
  <c r="BT11" i="36"/>
  <c r="BF70" i="35"/>
  <c r="BG75" i="35"/>
  <c r="BB75" i="35"/>
  <c r="AY95" i="35"/>
  <c r="AY92" i="35"/>
  <c r="BK71" i="35"/>
  <c r="BL76" i="35"/>
  <c r="BG76" i="35"/>
  <c r="BG72" i="35"/>
  <c r="BS137" i="35"/>
  <c r="BP70" i="35"/>
  <c r="BL72" i="35"/>
  <c r="BL75" i="35"/>
  <c r="BD141" i="35"/>
  <c r="BD137" i="35"/>
  <c r="BD143" i="35" s="1"/>
  <c r="BT137" i="35"/>
  <c r="BT143" i="35" s="1"/>
  <c r="BT140" i="35"/>
  <c r="BF95" i="35"/>
  <c r="BF92" i="35"/>
  <c r="BF98" i="35" s="1"/>
  <c r="BI137" i="35"/>
  <c r="BI141" i="35"/>
  <c r="AK92" i="35"/>
  <c r="BF137" i="35"/>
  <c r="BF143" i="35" s="1"/>
  <c r="BF141" i="35"/>
  <c r="AM92" i="35"/>
  <c r="AW92" i="35"/>
  <c r="BB92" i="35"/>
  <c r="AG62" i="35"/>
  <c r="AG97" i="35" s="1"/>
  <c r="AG11" i="36"/>
  <c r="BC72" i="35"/>
  <c r="BC75" i="35"/>
  <c r="BB76" i="35"/>
  <c r="BQ72" i="35"/>
  <c r="BU70" i="35"/>
  <c r="BM137" i="35"/>
  <c r="AF92" i="35"/>
  <c r="BA70" i="35"/>
  <c r="AW72" i="35"/>
  <c r="AW75" i="35"/>
  <c r="BJ14" i="36"/>
  <c r="BJ130" i="35"/>
  <c r="AM137" i="35"/>
  <c r="AQ137" i="35"/>
  <c r="AX142" i="35"/>
  <c r="AX137" i="35"/>
  <c r="AX143" i="35" s="1"/>
  <c r="AZ92" i="35"/>
  <c r="AR75" i="35"/>
  <c r="AV70" i="35"/>
  <c r="BU85" i="35"/>
  <c r="BU11" i="36"/>
  <c r="AN137" i="35"/>
  <c r="AN143" i="35" s="1"/>
  <c r="AN140" i="35"/>
  <c r="BB137" i="35"/>
  <c r="AN85" i="35"/>
  <c r="AN19" i="35" s="1"/>
  <c r="T35" i="15" s="1"/>
  <c r="AN11" i="36"/>
  <c r="BL84" i="35"/>
  <c r="BL86" i="35"/>
  <c r="AI137" i="35"/>
  <c r="AI140" i="35"/>
  <c r="BB72" i="35"/>
  <c r="BO96" i="35"/>
  <c r="BO142" i="35"/>
  <c r="BO95" i="35"/>
  <c r="BO140" i="35"/>
  <c r="BO129" i="35"/>
  <c r="AJ129" i="35"/>
  <c r="AJ131" i="35"/>
  <c r="AT75" i="35"/>
  <c r="AT72" i="35"/>
  <c r="AY75" i="35"/>
  <c r="BH75" i="35"/>
  <c r="AZ75" i="35"/>
  <c r="AZ72" i="35"/>
  <c r="AS92" i="35"/>
  <c r="BB14" i="36"/>
  <c r="AK96" i="35"/>
  <c r="BD131" i="35"/>
  <c r="BD129" i="35"/>
  <c r="AU75" i="35"/>
  <c r="AU72" i="35"/>
  <c r="AW76" i="35"/>
  <c r="BA71" i="35"/>
  <c r="BM14" i="36"/>
  <c r="BM62" i="35"/>
  <c r="BE137" i="35"/>
  <c r="BH92" i="35"/>
  <c r="AT62" i="35"/>
  <c r="AT97" i="35" s="1"/>
  <c r="AT11" i="36"/>
  <c r="BT131" i="35"/>
  <c r="BT129" i="35"/>
  <c r="BE85" i="35"/>
  <c r="BE11" i="36"/>
  <c r="AL92" i="35"/>
  <c r="AL98" i="35" s="1"/>
  <c r="AQ71" i="35"/>
  <c r="AQ76" i="35" s="1"/>
  <c r="AP76" i="35"/>
  <c r="BE92" i="35"/>
  <c r="BE98" i="35" s="1"/>
  <c r="BE97" i="35"/>
  <c r="AZ131" i="35"/>
  <c r="AZ129" i="35"/>
  <c r="AZ141" i="35"/>
  <c r="BQ14" i="36"/>
  <c r="BQ62" i="35"/>
  <c r="BQ86" i="35" s="1"/>
  <c r="BQ11" i="36"/>
  <c r="AR72" i="35"/>
  <c r="AJ137" i="35"/>
  <c r="AJ143" i="35" s="1"/>
  <c r="BR62" i="35"/>
  <c r="BR14" i="36"/>
  <c r="BJ141" i="35"/>
  <c r="BQ137" i="35"/>
  <c r="BA62" i="35"/>
  <c r="BA142" i="35" s="1"/>
  <c r="BA11" i="36"/>
  <c r="BS62" i="35"/>
  <c r="BS131" i="35" s="1"/>
  <c r="BS11" i="36"/>
  <c r="BS14" i="36"/>
  <c r="BI72" i="35"/>
  <c r="BI75" i="35"/>
  <c r="BK70" i="35"/>
  <c r="AL95" i="35"/>
  <c r="BE72" i="35"/>
  <c r="BE75" i="35"/>
  <c r="BD95" i="35"/>
  <c r="BD92" i="35"/>
  <c r="AH62" i="35"/>
  <c r="AH96" i="35" s="1"/>
  <c r="AR76" i="35"/>
  <c r="AV71" i="35"/>
  <c r="AI141" i="35"/>
  <c r="AI67" i="35"/>
  <c r="AP137" i="35"/>
  <c r="BT141" i="35"/>
  <c r="BP71" i="35"/>
  <c r="AB137" i="35"/>
  <c r="AU137" i="35"/>
  <c r="AU140" i="35"/>
  <c r="BJ76" i="35"/>
  <c r="BL131" i="35"/>
  <c r="AR84" i="35"/>
  <c r="AR141" i="35"/>
  <c r="BG137" i="35"/>
  <c r="AU76" i="35"/>
  <c r="AT14" i="36"/>
  <c r="AI95" i="35"/>
  <c r="BQ76" i="35"/>
  <c r="AG14" i="36"/>
  <c r="BH137" i="35"/>
  <c r="BL142" i="35"/>
  <c r="BH76" i="35"/>
  <c r="AX76" i="35"/>
  <c r="BT76" i="35"/>
  <c r="BT72" i="35"/>
  <c r="AN130" i="35"/>
  <c r="AN51" i="35" s="1"/>
  <c r="AN14" i="36"/>
  <c r="AG137" i="35"/>
  <c r="AX131" i="35"/>
  <c r="BI92" i="35"/>
  <c r="AO137" i="35"/>
  <c r="BP137" i="35"/>
  <c r="AI131" i="35"/>
  <c r="AW62" i="35"/>
  <c r="AW96" i="35" s="1"/>
  <c r="AW11" i="36"/>
  <c r="BD75" i="35"/>
  <c r="AL84" i="35"/>
  <c r="AL86" i="35"/>
  <c r="AZ142" i="35"/>
  <c r="BQ92" i="35"/>
  <c r="AY137" i="35"/>
  <c r="AY143" i="35" s="1"/>
  <c r="AJ142" i="35"/>
  <c r="AZ140" i="35"/>
  <c r="BA137" i="35"/>
  <c r="BT95" i="35"/>
  <c r="AK86" i="35"/>
  <c r="AK142" i="35"/>
  <c r="AK67" i="35"/>
  <c r="BM72" i="35"/>
  <c r="BJ86" i="35"/>
  <c r="BD97" i="35"/>
  <c r="BF142" i="35"/>
  <c r="BF140" i="35"/>
  <c r="BN72" i="35"/>
  <c r="BR72" i="35"/>
  <c r="AH14" i="36"/>
  <c r="AY130" i="35"/>
  <c r="AY14" i="36"/>
  <c r="AK141" i="35"/>
  <c r="BL137" i="35"/>
  <c r="BL143" i="35" s="1"/>
  <c r="AI92" i="35"/>
  <c r="AF25" i="35"/>
  <c r="AS85" i="35"/>
  <c r="AS19" i="35" s="1"/>
  <c r="AS11" i="36"/>
  <c r="AU141" i="35"/>
  <c r="BT142" i="35"/>
  <c r="BR11" i="36"/>
  <c r="AL140" i="35"/>
  <c r="AL137" i="35"/>
  <c r="AL143" i="35" s="1"/>
  <c r="BK137" i="35"/>
  <c r="BN137" i="35"/>
  <c r="BT75" i="35"/>
  <c r="AN142" i="35"/>
  <c r="BR137" i="35"/>
  <c r="BL11" i="36"/>
  <c r="BL14" i="36"/>
  <c r="AV92" i="35"/>
  <c r="AV95" i="35"/>
  <c r="AP11" i="36"/>
  <c r="AP62" i="35"/>
  <c r="AP6" i="35" s="1"/>
  <c r="AH137" i="35"/>
  <c r="AX92" i="35"/>
  <c r="AF169" i="35"/>
  <c r="AF171" i="35" s="1"/>
  <c r="L11" i="3"/>
  <c r="C191" i="20" s="1"/>
  <c r="BO159" i="20"/>
  <c r="X600" i="42" s="1"/>
  <c r="BP62" i="35"/>
  <c r="AJ32" i="35"/>
  <c r="AP14" i="36"/>
  <c r="AN24" i="35"/>
  <c r="AD6" i="35"/>
  <c r="AD9" i="35" s="1"/>
  <c r="AE6" i="35"/>
  <c r="AE9" i="35" s="1"/>
  <c r="BG39" i="20"/>
  <c r="BG268" i="20"/>
  <c r="AR306" i="11"/>
  <c r="AP75" i="11"/>
  <c r="AP178" i="11"/>
  <c r="AP301" i="11" s="1"/>
  <c r="AO209" i="11"/>
  <c r="AO247" i="11" s="1"/>
  <c r="AM207" i="11"/>
  <c r="AM245" i="11" s="1"/>
  <c r="AR305" i="14"/>
  <c r="AR140" i="11"/>
  <c r="AR177" i="11" s="1"/>
  <c r="AP305" i="14"/>
  <c r="AQ305" i="14" s="1"/>
  <c r="AP140" i="11"/>
  <c r="AP177" i="11" s="1"/>
  <c r="AQ177" i="11" s="1"/>
  <c r="W230" i="11"/>
  <c r="AG221" i="11"/>
  <c r="AK33" i="11"/>
  <c r="AK300" i="14" s="1"/>
  <c r="AK303" i="14" s="1"/>
  <c r="AQ54" i="11"/>
  <c r="AQ227" i="11" s="1"/>
  <c r="W222" i="11"/>
  <c r="V222" i="11"/>
  <c r="V262" i="11" s="1"/>
  <c r="W262" i="11" s="1"/>
  <c r="AG226" i="11"/>
  <c r="W47" i="11"/>
  <c r="W226" i="11" s="1"/>
  <c r="AG229" i="11"/>
  <c r="AA222" i="11"/>
  <c r="AA262" i="11" s="1"/>
  <c r="AB218" i="11"/>
  <c r="AV297" i="11"/>
  <c r="AM265" i="14"/>
  <c r="AM277" i="14" s="1"/>
  <c r="AM276" i="14" s="1"/>
  <c r="AV298" i="11"/>
  <c r="AZ298" i="11"/>
  <c r="BB298" i="11" s="1"/>
  <c r="BC298" i="11" s="1"/>
  <c r="BD298" i="11" s="1"/>
  <c r="BE298" i="11" s="1"/>
  <c r="AK235" i="11"/>
  <c r="AK275" i="11" s="1"/>
  <c r="AL275" i="11" s="1"/>
  <c r="AG228" i="11"/>
  <c r="AN222" i="11"/>
  <c r="AN262" i="11" s="1"/>
  <c r="W218" i="11"/>
  <c r="AP60" i="11"/>
  <c r="AQ60" i="11" s="1"/>
  <c r="AQ231" i="11" s="1"/>
  <c r="AB221" i="11"/>
  <c r="V33" i="11"/>
  <c r="V93" i="11" s="1"/>
  <c r="W93" i="11" s="1"/>
  <c r="Y137" i="1"/>
  <c r="AD757" i="7"/>
  <c r="Y150" i="1"/>
  <c r="AH43" i="14"/>
  <c r="Y146" i="1"/>
  <c r="AF44" i="14"/>
  <c r="AH37" i="14"/>
  <c r="Y169" i="1"/>
  <c r="AB54" i="35"/>
  <c r="AB51" i="35" s="1"/>
  <c r="AH49" i="14"/>
  <c r="AI49" i="14"/>
  <c r="AC232" i="7"/>
  <c r="AC234" i="7" s="1"/>
  <c r="AC254" i="7" s="1"/>
  <c r="AN929" i="7"/>
  <c r="AO326" i="7"/>
  <c r="AO323" i="7" s="1"/>
  <c r="AK33" i="35"/>
  <c r="AN82" i="7"/>
  <c r="AO83" i="7"/>
  <c r="AO633" i="7"/>
  <c r="AO632" i="7"/>
  <c r="AO392" i="7"/>
  <c r="AJ228" i="7"/>
  <c r="AJ268" i="7" s="1"/>
  <c r="AJ256" i="7" s="1"/>
  <c r="S139" i="7"/>
  <c r="S140" i="7"/>
  <c r="S137" i="7"/>
  <c r="AJ23" i="35"/>
  <c r="V86" i="7"/>
  <c r="W86" i="7" s="1"/>
  <c r="AS225" i="14"/>
  <c r="AS226" i="14" s="1"/>
  <c r="AS215" i="14"/>
  <c r="AK19" i="35"/>
  <c r="Q35" i="15" s="1"/>
  <c r="N140" i="7"/>
  <c r="AK6" i="35"/>
  <c r="X119" i="1"/>
  <c r="O464" i="7"/>
  <c r="O140" i="7"/>
  <c r="AD454" i="7"/>
  <c r="AP459" i="7"/>
  <c r="AP268" i="7" s="1"/>
  <c r="AP270" i="7" s="1"/>
  <c r="Y159" i="1"/>
  <c r="L93" i="15"/>
  <c r="X176" i="1"/>
  <c r="P326" i="7"/>
  <c r="P320" i="7" s="1"/>
  <c r="X222" i="7"/>
  <c r="X224" i="7" s="1"/>
  <c r="X226" i="7" s="1"/>
  <c r="Z92" i="7"/>
  <c r="Z104" i="7" s="1"/>
  <c r="Z140" i="7"/>
  <c r="AE98" i="7"/>
  <c r="X170" i="1"/>
  <c r="T140" i="7"/>
  <c r="U326" i="7"/>
  <c r="U320" i="7" s="1"/>
  <c r="U140" i="7"/>
  <c r="Y86" i="7"/>
  <c r="Y140" i="7"/>
  <c r="I140" i="7"/>
  <c r="J140" i="7"/>
  <c r="K140" i="7"/>
  <c r="AD110" i="7"/>
  <c r="AC92" i="7"/>
  <c r="AC104" i="7" s="1"/>
  <c r="AC139" i="7"/>
  <c r="AC137" i="7"/>
  <c r="AC140" i="7"/>
  <c r="L466" i="7"/>
  <c r="AD98" i="7"/>
  <c r="X174" i="1"/>
  <c r="X130" i="1"/>
  <c r="AF326" i="7"/>
  <c r="AH1030" i="7"/>
  <c r="X159" i="1"/>
  <c r="AA97" i="7"/>
  <c r="AI148" i="14"/>
  <c r="S453" i="7"/>
  <c r="AA326" i="7"/>
  <c r="X140" i="7"/>
  <c r="AK1031" i="7"/>
  <c r="AD632" i="7"/>
  <c r="AD140" i="7"/>
  <c r="Y161" i="1"/>
  <c r="AI147" i="14"/>
  <c r="AI166" i="14" s="1"/>
  <c r="AA81" i="7"/>
  <c r="AH23" i="35"/>
  <c r="AS182" i="13"/>
  <c r="AR15" i="45"/>
  <c r="AP7" i="45"/>
  <c r="AP18" i="45" s="1"/>
  <c r="AR7" i="45"/>
  <c r="AO7" i="45"/>
  <c r="AQ7" i="45"/>
  <c r="AR18" i="45" s="1"/>
  <c r="AT52" i="45"/>
  <c r="AT54" i="45"/>
  <c r="AP4" i="45"/>
  <c r="AP5" i="45" s="1"/>
  <c r="AS52" i="45"/>
  <c r="AU78" i="45"/>
  <c r="AW78" i="45"/>
  <c r="AS54" i="45"/>
  <c r="AS7" i="45" s="1"/>
  <c r="AW28" i="45"/>
  <c r="AW30" i="45"/>
  <c r="AW64" i="45"/>
  <c r="W19" i="48"/>
  <c r="W15" i="48"/>
  <c r="AW10" i="43"/>
  <c r="AS146" i="43"/>
  <c r="AX56" i="45"/>
  <c r="AT64" i="45"/>
  <c r="AW63" i="45"/>
  <c r="AW66" i="45" s="1"/>
  <c r="AT66" i="45"/>
  <c r="AU42" i="45"/>
  <c r="AU40" i="45"/>
  <c r="AT40" i="45"/>
  <c r="AT42" i="45"/>
  <c r="AU30" i="45"/>
  <c r="AU28" i="45"/>
  <c r="AT30" i="45"/>
  <c r="AT28" i="45"/>
  <c r="AP406" i="13"/>
  <c r="AQ405" i="13"/>
  <c r="AX410" i="13"/>
  <c r="AX406" i="13" s="1"/>
  <c r="AT406" i="13"/>
  <c r="AU195" i="13"/>
  <c r="AT197" i="13"/>
  <c r="AT198" i="13" s="1"/>
  <c r="AQ200" i="13"/>
  <c r="AR11" i="13"/>
  <c r="AR8" i="13" s="1"/>
  <c r="AS198" i="13"/>
  <c r="AR179" i="13"/>
  <c r="AP441" i="12"/>
  <c r="AR506" i="12"/>
  <c r="AR504" i="12"/>
  <c r="AP506" i="12"/>
  <c r="AP507" i="12" s="1"/>
  <c r="AP504" i="12"/>
  <c r="AV402" i="12"/>
  <c r="AS506" i="12"/>
  <c r="AS507" i="12" s="1"/>
  <c r="AS504" i="12"/>
  <c r="AW153" i="12"/>
  <c r="AV153" i="12"/>
  <c r="AQ405" i="12"/>
  <c r="AV99" i="12"/>
  <c r="AV243" i="12" s="1"/>
  <c r="BO56" i="12"/>
  <c r="BT56" i="12" s="1"/>
  <c r="AV98" i="12"/>
  <c r="BO55" i="12"/>
  <c r="BT55" i="12" s="1"/>
  <c r="BO54" i="12"/>
  <c r="BT54" i="12" s="1"/>
  <c r="AV97" i="12"/>
  <c r="AR402" i="12"/>
  <c r="AR403" i="12" s="1"/>
  <c r="AV131" i="12"/>
  <c r="AW131" i="12" s="1"/>
  <c r="AT506" i="12"/>
  <c r="AT507" i="12" s="1"/>
  <c r="AT504" i="12"/>
  <c r="AU504" i="12"/>
  <c r="AV64" i="12"/>
  <c r="AV480" i="12" s="1"/>
  <c r="AT342" i="12"/>
  <c r="AT344" i="12"/>
  <c r="AT345" i="12" s="1"/>
  <c r="AU342" i="12"/>
  <c r="AT338" i="7"/>
  <c r="S64" i="15"/>
  <c r="AV61" i="12"/>
  <c r="AN65" i="20"/>
  <c r="BD69" i="20"/>
  <c r="BD255" i="20" s="1"/>
  <c r="AL31" i="20"/>
  <c r="AL34" i="20"/>
  <c r="BD138" i="20"/>
  <c r="BA34" i="20"/>
  <c r="AQ6" i="43"/>
  <c r="AG31" i="20"/>
  <c r="AU22" i="20"/>
  <c r="BF31" i="20"/>
  <c r="AN54" i="20"/>
  <c r="BB321" i="20"/>
  <c r="BB330" i="20" s="1"/>
  <c r="BB323" i="20"/>
  <c r="BC324" i="20"/>
  <c r="BC332" i="20" s="1"/>
  <c r="AQ31" i="20"/>
  <c r="BC60" i="20"/>
  <c r="BC155" i="20" s="1"/>
  <c r="BD324" i="20"/>
  <c r="BD332" i="20" s="1"/>
  <c r="AT69" i="20"/>
  <c r="BB55" i="20"/>
  <c r="AQ26" i="20"/>
  <c r="BB68" i="20"/>
  <c r="AK69" i="20"/>
  <c r="AL69" i="20" s="1"/>
  <c r="BC326" i="20"/>
  <c r="AF62" i="20"/>
  <c r="AG62" i="20" s="1"/>
  <c r="AT60" i="20"/>
  <c r="AS12" i="43"/>
  <c r="AQ127" i="43"/>
  <c r="AR128" i="43" s="1"/>
  <c r="AS128" i="43"/>
  <c r="AS50" i="43"/>
  <c r="AO110" i="43"/>
  <c r="AS11" i="43"/>
  <c r="AS106" i="44"/>
  <c r="AR156" i="44"/>
  <c r="BH39" i="20"/>
  <c r="BH44" i="20" s="1"/>
  <c r="AT121" i="44"/>
  <c r="AQ26" i="11"/>
  <c r="AQ265" i="14" s="1"/>
  <c r="AQ277" i="14" s="1"/>
  <c r="AF75" i="11"/>
  <c r="AK298" i="14"/>
  <c r="AF33" i="11"/>
  <c r="AF300" i="14" s="1"/>
  <c r="AF303" i="14" s="1"/>
  <c r="AO222" i="11"/>
  <c r="AO262" i="11" s="1"/>
  <c r="AF110" i="11"/>
  <c r="AG110" i="11" s="1"/>
  <c r="AO60" i="11"/>
  <c r="AO231" i="11" s="1"/>
  <c r="AB30" i="11"/>
  <c r="AB209" i="11" s="1"/>
  <c r="AG230" i="11"/>
  <c r="AQ230" i="11"/>
  <c r="AQ226" i="11"/>
  <c r="AO226" i="11"/>
  <c r="AO266" i="11" s="1"/>
  <c r="W30" i="11"/>
  <c r="W209" i="11" s="1"/>
  <c r="AR222" i="11"/>
  <c r="AR223" i="11" s="1"/>
  <c r="AQ219" i="11"/>
  <c r="AP209" i="11"/>
  <c r="AP247" i="11" s="1"/>
  <c r="AQ247" i="11" s="1"/>
  <c r="AQ220" i="11"/>
  <c r="V163" i="11"/>
  <c r="V200" i="11" s="1"/>
  <c r="W200" i="11" s="1"/>
  <c r="AF298" i="14"/>
  <c r="AK163" i="11"/>
  <c r="AK164" i="11" s="1"/>
  <c r="AP298" i="14"/>
  <c r="AK305" i="14"/>
  <c r="W227" i="11"/>
  <c r="AP208" i="11"/>
  <c r="AP246" i="11" s="1"/>
  <c r="AQ246" i="11" s="1"/>
  <c r="AO105" i="11"/>
  <c r="AN112" i="11"/>
  <c r="AG218" i="11"/>
  <c r="AG219" i="11"/>
  <c r="AQ221" i="11"/>
  <c r="AR33" i="11"/>
  <c r="AQ138" i="11"/>
  <c r="AQ140" i="11" s="1"/>
  <c r="AF265" i="14"/>
  <c r="AF277" i="14" s="1"/>
  <c r="AO112" i="11"/>
  <c r="AM222" i="11"/>
  <c r="AM223" i="11" s="1"/>
  <c r="AG227" i="11"/>
  <c r="V85" i="11"/>
  <c r="W85" i="11" s="1"/>
  <c r="W221" i="11"/>
  <c r="AO84" i="11"/>
  <c r="V84" i="11"/>
  <c r="W84" i="11" s="1"/>
  <c r="W21" i="11"/>
  <c r="W207" i="11" s="1"/>
  <c r="AL235" i="11"/>
  <c r="AQ228" i="11"/>
  <c r="AK265" i="14"/>
  <c r="AK277" i="14" s="1"/>
  <c r="AL218" i="11"/>
  <c r="AO208" i="11"/>
  <c r="AO246" i="11" s="1"/>
  <c r="AO33" i="11"/>
  <c r="AO93" i="11" s="1"/>
  <c r="AK255" i="14"/>
  <c r="AP226" i="11"/>
  <c r="AP266" i="11" s="1"/>
  <c r="AQ266" i="11" s="1"/>
  <c r="AK209" i="11"/>
  <c r="AK247" i="11" s="1"/>
  <c r="AL247" i="11" s="1"/>
  <c r="AB230" i="11"/>
  <c r="AL229" i="11"/>
  <c r="AF84" i="11"/>
  <c r="AG84" i="11" s="1"/>
  <c r="AB227" i="11"/>
  <c r="AS311" i="11"/>
  <c r="AS312" i="11" s="1"/>
  <c r="AU311" i="11"/>
  <c r="AG265" i="14"/>
  <c r="AG277" i="14" s="1"/>
  <c r="AG208" i="11"/>
  <c r="AU314" i="11"/>
  <c r="AG209" i="11"/>
  <c r="AG298" i="14"/>
  <c r="AB208" i="11"/>
  <c r="AO118" i="11"/>
  <c r="AF209" i="11"/>
  <c r="AF247" i="11" s="1"/>
  <c r="AG247" i="11" s="1"/>
  <c r="AL230" i="11"/>
  <c r="V181" i="11"/>
  <c r="W181" i="11" s="1"/>
  <c r="AM33" i="11"/>
  <c r="AM300" i="14" s="1"/>
  <c r="AL219" i="11"/>
  <c r="AL47" i="11"/>
  <c r="AL226" i="11" s="1"/>
  <c r="AL220" i="11"/>
  <c r="AM298" i="14"/>
  <c r="AL221" i="11"/>
  <c r="AK60" i="11"/>
  <c r="AO268" i="11"/>
  <c r="AF208" i="11"/>
  <c r="AF246" i="11" s="1"/>
  <c r="AG246" i="11" s="1"/>
  <c r="V106" i="11"/>
  <c r="W106" i="11" s="1"/>
  <c r="AO270" i="11"/>
  <c r="AP222" i="11"/>
  <c r="AP262" i="11" s="1"/>
  <c r="AQ262" i="11" s="1"/>
  <c r="AF104" i="11"/>
  <c r="AG104" i="11" s="1"/>
  <c r="AG222" i="11"/>
  <c r="AQ209" i="11"/>
  <c r="AR113" i="11"/>
  <c r="AR123" i="11"/>
  <c r="AS306" i="11"/>
  <c r="V184" i="11"/>
  <c r="W184" i="11" s="1"/>
  <c r="AQ311" i="11"/>
  <c r="AQ312" i="11" s="1"/>
  <c r="AF227" i="11"/>
  <c r="AF267" i="11" s="1"/>
  <c r="AG267" i="11" s="1"/>
  <c r="AO90" i="11"/>
  <c r="AL228" i="11"/>
  <c r="AL209" i="11"/>
  <c r="AO269" i="11"/>
  <c r="AA227" i="11"/>
  <c r="AA267" i="11" s="1"/>
  <c r="AB267" i="11" s="1"/>
  <c r="AP294" i="11"/>
  <c r="AK208" i="11"/>
  <c r="AK246" i="11" s="1"/>
  <c r="AL246" i="11" s="1"/>
  <c r="AO77" i="11"/>
  <c r="V207" i="11"/>
  <c r="V245" i="11" s="1"/>
  <c r="W245" i="11" s="1"/>
  <c r="BJ245" i="11" s="1"/>
  <c r="N83" i="42" s="1"/>
  <c r="AM164" i="11"/>
  <c r="AF305" i="14"/>
  <c r="AK207" i="11"/>
  <c r="AK245" i="11" s="1"/>
  <c r="AL245" i="11" s="1"/>
  <c r="BM245" i="11" s="1"/>
  <c r="Q83" i="42" s="1"/>
  <c r="AG220" i="11"/>
  <c r="AF269" i="11"/>
  <c r="AG269" i="11" s="1"/>
  <c r="AO191" i="11"/>
  <c r="AQ218" i="11"/>
  <c r="D10" i="47"/>
  <c r="S63" i="15"/>
  <c r="T63" i="15"/>
  <c r="U63" i="15"/>
  <c r="AR231" i="14"/>
  <c r="AS194" i="14"/>
  <c r="AT194" i="14" s="1"/>
  <c r="AE92" i="14"/>
  <c r="AF92" i="14" s="1"/>
  <c r="AG92" i="14" s="1"/>
  <c r="AD98" i="14"/>
  <c r="AE98" i="14" s="1"/>
  <c r="AF98" i="14" s="1"/>
  <c r="AG98" i="14" s="1"/>
  <c r="AG175" i="14" s="1"/>
  <c r="AH50" i="14"/>
  <c r="AG18" i="14"/>
  <c r="AG28" i="14" s="1"/>
  <c r="AD51" i="14"/>
  <c r="AO82" i="14"/>
  <c r="AO83" i="14" s="1"/>
  <c r="AQ274" i="14"/>
  <c r="W71" i="15"/>
  <c r="BL71" i="15" s="1"/>
  <c r="AO172" i="14"/>
  <c r="AR282" i="14"/>
  <c r="AR284" i="14" s="1"/>
  <c r="AC13" i="1"/>
  <c r="X63" i="15"/>
  <c r="AF225" i="14"/>
  <c r="AG225" i="14" s="1"/>
  <c r="AO318" i="14"/>
  <c r="AO317" i="14"/>
  <c r="BD105" i="20" s="1"/>
  <c r="AH36" i="14"/>
  <c r="AP282" i="14"/>
  <c r="AP284" i="14" s="1"/>
  <c r="AT80" i="14"/>
  <c r="AT61" i="14" s="1"/>
  <c r="AU78" i="14"/>
  <c r="AF96" i="14"/>
  <c r="AF144" i="14" s="1"/>
  <c r="AE133" i="14"/>
  <c r="AD133" i="14"/>
  <c r="AF175" i="14"/>
  <c r="AF176" i="14" s="1"/>
  <c r="AI20" i="14"/>
  <c r="T13" i="1"/>
  <c r="Q13" i="1"/>
  <c r="AF28" i="14"/>
  <c r="O71" i="15"/>
  <c r="Q71" i="15"/>
  <c r="AK28" i="14"/>
  <c r="V13" i="1"/>
  <c r="AK20" i="14"/>
  <c r="AO302" i="14"/>
  <c r="AO293" i="14"/>
  <c r="AI28" i="14"/>
  <c r="W85" i="15"/>
  <c r="W86" i="15" s="1"/>
  <c r="AX71" i="14"/>
  <c r="W103" i="15"/>
  <c r="AQ30" i="14"/>
  <c r="AL308" i="14"/>
  <c r="AP291" i="14"/>
  <c r="AQ291" i="14" s="1"/>
  <c r="AQ288" i="14"/>
  <c r="X131" i="14"/>
  <c r="Y94" i="14"/>
  <c r="Y142" i="14" s="1"/>
  <c r="AJ20" i="14"/>
  <c r="AJ28" i="14"/>
  <c r="U13" i="1"/>
  <c r="AD102" i="14"/>
  <c r="AE102" i="14" s="1"/>
  <c r="AC134" i="14"/>
  <c r="W99" i="14"/>
  <c r="W133" i="14"/>
  <c r="W134" i="14"/>
  <c r="X96" i="14"/>
  <c r="X144" i="14" s="1"/>
  <c r="X142" i="14"/>
  <c r="AR291" i="14"/>
  <c r="AR293" i="14" s="1"/>
  <c r="AA13" i="1"/>
  <c r="V71" i="15"/>
  <c r="AT131" i="14"/>
  <c r="AU142" i="14"/>
  <c r="AM215" i="14"/>
  <c r="AM172" i="14"/>
  <c r="AM82" i="14"/>
  <c r="AM83" i="14" s="1"/>
  <c r="AS131" i="14"/>
  <c r="AE246" i="14"/>
  <c r="AE147" i="14"/>
  <c r="AE146" i="14"/>
  <c r="AI35" i="14"/>
  <c r="AI36" i="14"/>
  <c r="AO276" i="14"/>
  <c r="AT142" i="14"/>
  <c r="AN53" i="14"/>
  <c r="AN51" i="14"/>
  <c r="AN43" i="14"/>
  <c r="AC104" i="14"/>
  <c r="AO30" i="14"/>
  <c r="U103" i="15"/>
  <c r="AJ98" i="14"/>
  <c r="AM302" i="14"/>
  <c r="AN284" i="14"/>
  <c r="S13" i="1"/>
  <c r="S19" i="1" s="1"/>
  <c r="AH28" i="14"/>
  <c r="AH20" i="14"/>
  <c r="N71" i="15"/>
  <c r="AO246" i="14"/>
  <c r="AN146" i="14"/>
  <c r="AP276" i="14"/>
  <c r="W63" i="15"/>
  <c r="AQ20" i="14"/>
  <c r="AB13" i="1"/>
  <c r="AM284" i="14"/>
  <c r="AQ80" i="14"/>
  <c r="AR61" i="14" s="1"/>
  <c r="X128" i="14"/>
  <c r="AD146" i="14"/>
  <c r="AD147" i="14"/>
  <c r="AD148" i="14"/>
  <c r="N13" i="1"/>
  <c r="N19" i="1" s="1"/>
  <c r="N27" i="1" s="1"/>
  <c r="N30" i="1" s="1"/>
  <c r="I120" i="15" s="1"/>
  <c r="I126" i="15" s="1"/>
  <c r="AG308" i="14"/>
  <c r="AE39" i="14"/>
  <c r="AM28" i="14"/>
  <c r="V63" i="15"/>
  <c r="X13" i="1"/>
  <c r="X19" i="1" s="1"/>
  <c r="S74" i="15" s="1"/>
  <c r="AE204" i="14"/>
  <c r="AE144" i="14"/>
  <c r="AF204" i="14"/>
  <c r="AG204" i="14" s="1"/>
  <c r="AO215" i="14"/>
  <c r="W98" i="15"/>
  <c r="AA24" i="1"/>
  <c r="AB22" i="1"/>
  <c r="R85" i="15"/>
  <c r="R86" i="15" s="1"/>
  <c r="AA22" i="1"/>
  <c r="AV181" i="14"/>
  <c r="BZ182" i="14"/>
  <c r="AL78" i="14"/>
  <c r="AL80" i="14" s="1"/>
  <c r="AM61" i="14" s="1"/>
  <c r="AP80" i="14"/>
  <c r="AP61" i="14" s="1"/>
  <c r="AN61" i="14"/>
  <c r="AO61" i="14"/>
  <c r="AN83" i="14"/>
  <c r="AP314" i="14"/>
  <c r="AD36" i="14"/>
  <c r="V259" i="11"/>
  <c r="W259" i="11" s="1"/>
  <c r="AP147" i="14"/>
  <c r="AC246" i="14"/>
  <c r="AD96" i="7"/>
  <c r="AP318" i="14"/>
  <c r="AF51" i="35"/>
  <c r="AK123" i="11"/>
  <c r="AL123" i="11" s="1"/>
  <c r="V90" i="11"/>
  <c r="W90" i="11" s="1"/>
  <c r="AP229" i="7"/>
  <c r="S93" i="15"/>
  <c r="AP82" i="7"/>
  <c r="AF23" i="35"/>
  <c r="AI146" i="14"/>
  <c r="V121" i="11"/>
  <c r="W121" i="11" s="1"/>
  <c r="V275" i="11"/>
  <c r="W275" i="11" s="1"/>
  <c r="AN98" i="7"/>
  <c r="AD109" i="7"/>
  <c r="AD37" i="14"/>
  <c r="AH83" i="7"/>
  <c r="AD633" i="7"/>
  <c r="AF19" i="35"/>
  <c r="L35" i="15" s="1"/>
  <c r="L47" i="15" s="1"/>
  <c r="AD39" i="14"/>
  <c r="AK266" i="11"/>
  <c r="AL266" i="11" s="1"/>
  <c r="V258" i="11"/>
  <c r="W258" i="11" s="1"/>
  <c r="AH112" i="7"/>
  <c r="AD81" i="7"/>
  <c r="AS51" i="35"/>
  <c r="AD43" i="14"/>
  <c r="AO184" i="11"/>
  <c r="AK86" i="11"/>
  <c r="AL86" i="11" s="1"/>
  <c r="V122" i="11"/>
  <c r="W122" i="11" s="1"/>
  <c r="AM246" i="14"/>
  <c r="AD92" i="7"/>
  <c r="AD104" i="7" s="1"/>
  <c r="AD116" i="7"/>
  <c r="AP246" i="14"/>
  <c r="AN40" i="14"/>
  <c r="AN65" i="14" s="1"/>
  <c r="AF99" i="11"/>
  <c r="AG99" i="11" s="1"/>
  <c r="V247" i="11"/>
  <c r="W247" i="11" s="1"/>
  <c r="V198" i="11"/>
  <c r="V197" i="11" s="1"/>
  <c r="AP924" i="7"/>
  <c r="AP228" i="7"/>
  <c r="AD86" i="7"/>
  <c r="Z459" i="7"/>
  <c r="Z496" i="7" s="1"/>
  <c r="Z169" i="1"/>
  <c r="V105" i="11"/>
  <c r="W105" i="11" s="1"/>
  <c r="AM148" i="14"/>
  <c r="J754" i="7"/>
  <c r="S5" i="17" s="1"/>
  <c r="AC924" i="7"/>
  <c r="Q118" i="1"/>
  <c r="R118" i="1" s="1"/>
  <c r="V192" i="11"/>
  <c r="W192" i="11" s="1"/>
  <c r="AP133" i="7"/>
  <c r="L232" i="7"/>
  <c r="AE85" i="7"/>
  <c r="AF228" i="7"/>
  <c r="AF268" i="7" s="1"/>
  <c r="AF256" i="7" s="1"/>
  <c r="AI225" i="14"/>
  <c r="AE225" i="14"/>
  <c r="AK104" i="11"/>
  <c r="AL104" i="11" s="1"/>
  <c r="V103" i="11"/>
  <c r="W103" i="11" s="1"/>
  <c r="AM147" i="14"/>
  <c r="AM166" i="14" s="1"/>
  <c r="I90" i="7"/>
  <c r="I144" i="7" s="1"/>
  <c r="J222" i="7"/>
  <c r="J224" i="7" s="1"/>
  <c r="J226" i="7" s="1"/>
  <c r="AS59" i="20"/>
  <c r="AD865" i="7" s="1"/>
  <c r="V100" i="11"/>
  <c r="W100" i="11" s="1"/>
  <c r="AC459" i="7"/>
  <c r="AC496" i="7" s="1"/>
  <c r="AD450" i="7"/>
  <c r="BB70" i="20"/>
  <c r="AS64" i="20"/>
  <c r="AP82" i="14"/>
  <c r="AQ82" i="14" s="1"/>
  <c r="AN49" i="14"/>
  <c r="AF96" i="11"/>
  <c r="AG96" i="11" s="1"/>
  <c r="V153" i="1"/>
  <c r="W153" i="1" s="1"/>
  <c r="N93" i="15"/>
  <c r="AF119" i="7"/>
  <c r="AQ237" i="7"/>
  <c r="AH172" i="14"/>
  <c r="AH176" i="14" s="1"/>
  <c r="Z151" i="1"/>
  <c r="AM225" i="14"/>
  <c r="Q126" i="1"/>
  <c r="R126" i="1" s="1"/>
  <c r="AI172" i="14"/>
  <c r="AI176" i="14" s="1"/>
  <c r="V104" i="11"/>
  <c r="W104" i="11" s="1"/>
  <c r="AF232" i="7"/>
  <c r="AF260" i="7" s="1"/>
  <c r="AD392" i="7"/>
  <c r="AN48" i="14"/>
  <c r="V266" i="11"/>
  <c r="W266" i="11" s="1"/>
  <c r="AC754" i="7"/>
  <c r="S20" i="17" s="1"/>
  <c r="AD449" i="7"/>
  <c r="AZ65" i="20"/>
  <c r="BA65" i="20" s="1"/>
  <c r="AO64" i="20"/>
  <c r="AP633" i="7"/>
  <c r="AI34" i="14"/>
  <c r="AN52" i="14"/>
  <c r="V188" i="11"/>
  <c r="W188" i="11" s="1"/>
  <c r="AP172" i="14"/>
  <c r="AQ172" i="14" s="1"/>
  <c r="AE633" i="7"/>
  <c r="AI246" i="14"/>
  <c r="AA92" i="7"/>
  <c r="AA104" i="7" s="1"/>
  <c r="AE229" i="7"/>
  <c r="AE280" i="7" s="1"/>
  <c r="AE842" i="7" s="1"/>
  <c r="AP89" i="7"/>
  <c r="AF78" i="11"/>
  <c r="AG78" i="11" s="1"/>
  <c r="Q140" i="1"/>
  <c r="R140" i="1" s="1"/>
  <c r="AO56" i="20"/>
  <c r="AO54" i="20"/>
  <c r="AP317" i="14"/>
  <c r="BE105" i="20" s="1"/>
  <c r="BF105" i="20" s="1"/>
  <c r="O93" i="15"/>
  <c r="V89" i="11"/>
  <c r="W89" i="11" s="1"/>
  <c r="AO79" i="11"/>
  <c r="AO287" i="11" s="1"/>
  <c r="X765" i="7"/>
  <c r="T16" i="17" s="1"/>
  <c r="X682" i="7"/>
  <c r="S16" i="17"/>
  <c r="AP198" i="11"/>
  <c r="AQ198" i="11" s="1"/>
  <c r="AP104" i="11"/>
  <c r="AQ104" i="11" s="1"/>
  <c r="AP79" i="11"/>
  <c r="AP189" i="11"/>
  <c r="AQ189" i="11" s="1"/>
  <c r="AP89" i="11"/>
  <c r="AQ89" i="11" s="1"/>
  <c r="AP90" i="11"/>
  <c r="AQ90" i="11" s="1"/>
  <c r="AP260" i="11"/>
  <c r="AQ260" i="11" s="1"/>
  <c r="AP117" i="11"/>
  <c r="AQ117" i="11" s="1"/>
  <c r="AP103" i="11"/>
  <c r="AQ103" i="11" s="1"/>
  <c r="AM89" i="7"/>
  <c r="AM136" i="7"/>
  <c r="AM86" i="7"/>
  <c r="AM87" i="7"/>
  <c r="AM92" i="7"/>
  <c r="AM104" i="7" s="1"/>
  <c r="Y222" i="7"/>
  <c r="Y754" i="7"/>
  <c r="Y765" i="7" s="1"/>
  <c r="T17" i="17" s="1"/>
  <c r="Y232" i="7"/>
  <c r="Y681" i="7" s="1"/>
  <c r="Q326" i="7"/>
  <c r="Q96" i="7"/>
  <c r="AM450" i="7"/>
  <c r="O453" i="7"/>
  <c r="AK222" i="7"/>
  <c r="AK229" i="7"/>
  <c r="AK280" i="7" s="1"/>
  <c r="AK257" i="7" s="1"/>
  <c r="AY63" i="20"/>
  <c r="AJ219" i="14" s="1"/>
  <c r="Y43" i="18" s="1"/>
  <c r="AY55" i="20"/>
  <c r="AM449" i="7"/>
  <c r="AO229" i="7"/>
  <c r="AO280" i="7" s="1"/>
  <c r="AO842" i="7" s="1"/>
  <c r="AO852" i="7" s="1"/>
  <c r="AO854" i="7" s="1"/>
  <c r="AO230" i="7"/>
  <c r="AO297" i="7" s="1"/>
  <c r="AO1066" i="7" s="1"/>
  <c r="AO1067" i="7" s="1"/>
  <c r="AO228" i="7"/>
  <c r="AO268" i="7" s="1"/>
  <c r="AO681" i="7" s="1"/>
  <c r="AO683" i="7" s="1"/>
  <c r="AO924" i="7"/>
  <c r="AO459" i="7"/>
  <c r="AP446" i="7" s="1"/>
  <c r="AP238" i="7"/>
  <c r="AM454" i="7"/>
  <c r="AM119" i="7"/>
  <c r="AM44" i="14"/>
  <c r="AM37" i="14"/>
  <c r="AP224" i="7"/>
  <c r="AH633" i="7"/>
  <c r="AH140" i="7"/>
  <c r="AH449" i="7"/>
  <c r="AH929" i="7"/>
  <c r="AH450" i="7"/>
  <c r="P93" i="15"/>
  <c r="AI87" i="7"/>
  <c r="AP269" i="11"/>
  <c r="AQ269" i="11" s="1"/>
  <c r="AK128" i="7"/>
  <c r="AK326" i="7"/>
  <c r="AK632" i="7"/>
  <c r="AK634" i="7"/>
  <c r="AP192" i="11"/>
  <c r="AQ192" i="11" s="1"/>
  <c r="N464" i="7"/>
  <c r="N448" i="7"/>
  <c r="N452" i="7"/>
  <c r="N447" i="7"/>
  <c r="N453" i="7"/>
  <c r="N505" i="7"/>
  <c r="N450" i="7"/>
  <c r="N95" i="7"/>
  <c r="N97" i="7"/>
  <c r="N454" i="7"/>
  <c r="N506" i="7"/>
  <c r="N451" i="7"/>
  <c r="AH125" i="7"/>
  <c r="O96" i="7"/>
  <c r="O447" i="7"/>
  <c r="O85" i="7"/>
  <c r="O81" i="7"/>
  <c r="O95" i="7"/>
  <c r="O99" i="7"/>
  <c r="AH128" i="7"/>
  <c r="AJ326" i="7"/>
  <c r="AJ324" i="7" s="1"/>
  <c r="AJ128" i="7"/>
  <c r="AJ634" i="7"/>
  <c r="S85" i="7"/>
  <c r="S451" i="7"/>
  <c r="S96" i="7"/>
  <c r="AP191" i="11"/>
  <c r="AQ191" i="11" s="1"/>
  <c r="T453" i="7"/>
  <c r="AL237" i="7"/>
  <c r="AP105" i="11"/>
  <c r="AQ105" i="11" s="1"/>
  <c r="AM633" i="7"/>
  <c r="AM140" i="7"/>
  <c r="AK471" i="7"/>
  <c r="AK497" i="7" s="1"/>
  <c r="AP97" i="11"/>
  <c r="AQ97" i="11" s="1"/>
  <c r="U447" i="7"/>
  <c r="Q173" i="1"/>
  <c r="R173" i="1" s="1"/>
  <c r="U93" i="15"/>
  <c r="V173" i="11"/>
  <c r="W173" i="11" s="1"/>
  <c r="V185" i="11"/>
  <c r="W185" i="11" s="1"/>
  <c r="AC464" i="7"/>
  <c r="Q171" i="1"/>
  <c r="R171" i="1" s="1"/>
  <c r="AC929" i="7"/>
  <c r="AA106" i="11"/>
  <c r="AB106" i="11" s="1"/>
  <c r="AM313" i="14"/>
  <c r="Y93" i="15"/>
  <c r="V171" i="11"/>
  <c r="W171" i="11" s="1"/>
  <c r="BJ171" i="11" s="1"/>
  <c r="N82" i="42" s="1"/>
  <c r="U453" i="7"/>
  <c r="AC45" i="14"/>
  <c r="AM314" i="14"/>
  <c r="AK182" i="11"/>
  <c r="AL182" i="11" s="1"/>
  <c r="V77" i="11"/>
  <c r="W77" i="11" s="1"/>
  <c r="V78" i="11"/>
  <c r="W78" i="11" s="1"/>
  <c r="AA189" i="11"/>
  <c r="AB189" i="11" s="1"/>
  <c r="V175" i="11"/>
  <c r="W175" i="11" s="1"/>
  <c r="AR125" i="11"/>
  <c r="V81" i="7"/>
  <c r="AA98" i="7"/>
  <c r="AF32" i="35"/>
  <c r="AM316" i="14"/>
  <c r="V270" i="11"/>
  <c r="W270" i="11" s="1"/>
  <c r="AJ222" i="7"/>
  <c r="AP230" i="7"/>
  <c r="AP297" i="7" s="1"/>
  <c r="AS24" i="35"/>
  <c r="AF33" i="35"/>
  <c r="AM317" i="14"/>
  <c r="AK259" i="11"/>
  <c r="AL259" i="11" s="1"/>
  <c r="V76" i="11"/>
  <c r="W76" i="11" s="1"/>
  <c r="V191" i="11"/>
  <c r="W191" i="11" s="1"/>
  <c r="AA247" i="11"/>
  <c r="AB247" i="11" s="1"/>
  <c r="AK261" i="11"/>
  <c r="AL261" i="11" s="1"/>
  <c r="AP268" i="11"/>
  <c r="AQ268" i="11" s="1"/>
  <c r="BB62" i="20"/>
  <c r="AM152" i="14" s="1"/>
  <c r="X37" i="18" s="1"/>
  <c r="AR122" i="11"/>
  <c r="Q174" i="1"/>
  <c r="R174" i="1" s="1"/>
  <c r="AS33" i="35"/>
  <c r="V123" i="11"/>
  <c r="W123" i="11" s="1"/>
  <c r="AF188" i="11"/>
  <c r="AG188" i="11" s="1"/>
  <c r="V112" i="11"/>
  <c r="W112" i="11" s="1"/>
  <c r="AA100" i="11"/>
  <c r="AB100" i="11" s="1"/>
  <c r="AJ83" i="7"/>
  <c r="AJ754" i="7"/>
  <c r="AJ765" i="7" s="1"/>
  <c r="T26" i="17" s="1"/>
  <c r="AP232" i="7"/>
  <c r="AP260" i="7" s="1"/>
  <c r="AF24" i="35"/>
  <c r="AF34" i="35"/>
  <c r="AF45" i="14"/>
  <c r="AM315" i="14"/>
  <c r="AK117" i="11"/>
  <c r="AL117" i="11" s="1"/>
  <c r="AN100" i="11"/>
  <c r="V111" i="11"/>
  <c r="W111" i="11" s="1"/>
  <c r="AP270" i="11"/>
  <c r="AQ270" i="11" s="1"/>
  <c r="Z159" i="14"/>
  <c r="Z158" i="14" s="1"/>
  <c r="AS23" i="35"/>
  <c r="AS25" i="35"/>
  <c r="AF36" i="14"/>
  <c r="AF258" i="11"/>
  <c r="AG258" i="11" s="1"/>
  <c r="V75" i="11"/>
  <c r="V189" i="11"/>
  <c r="W189" i="11" s="1"/>
  <c r="AK99" i="7"/>
  <c r="Q154" i="1"/>
  <c r="R154" i="1" s="1"/>
  <c r="AM146" i="14"/>
  <c r="AM318" i="14"/>
  <c r="Z87" i="7"/>
  <c r="AF37" i="14"/>
  <c r="AF173" i="11"/>
  <c r="AG173" i="11" s="1"/>
  <c r="AF259" i="11"/>
  <c r="AG259" i="11" s="1"/>
  <c r="V110" i="11"/>
  <c r="W110" i="11" s="1"/>
  <c r="V261" i="11"/>
  <c r="W261" i="11" s="1"/>
  <c r="V96" i="11"/>
  <c r="W96" i="11" s="1"/>
  <c r="U506" i="7"/>
  <c r="V182" i="11"/>
  <c r="W182" i="11" s="1"/>
  <c r="V172" i="11"/>
  <c r="W172" i="11" s="1"/>
  <c r="AA266" i="11"/>
  <c r="AB266" i="11" s="1"/>
  <c r="AM88" i="7"/>
  <c r="AJ86" i="7"/>
  <c r="Z81" i="7"/>
  <c r="AF38" i="14"/>
  <c r="AF261" i="11"/>
  <c r="AG261" i="11" s="1"/>
  <c r="V107" i="11"/>
  <c r="W107" i="11" s="1"/>
  <c r="V79" i="11"/>
  <c r="W79" i="11" s="1"/>
  <c r="BJ79" i="11" s="1"/>
  <c r="N81" i="42" s="1"/>
  <c r="V99" i="11"/>
  <c r="W99" i="11" s="1"/>
  <c r="AP267" i="11"/>
  <c r="AQ267" i="11" s="1"/>
  <c r="AA146" i="14"/>
  <c r="AB146" i="14" s="1"/>
  <c r="AN34" i="35"/>
  <c r="T78" i="15" s="1"/>
  <c r="AN39" i="35"/>
  <c r="T118" i="15" s="1"/>
  <c r="AN25" i="35"/>
  <c r="Z150" i="1"/>
  <c r="Z124" i="1"/>
  <c r="Z132" i="1"/>
  <c r="Z119" i="1"/>
  <c r="Z173" i="1"/>
  <c r="Z137" i="1"/>
  <c r="Z148" i="1"/>
  <c r="Z149" i="1"/>
  <c r="Z134" i="1"/>
  <c r="Z174" i="1"/>
  <c r="Z118" i="1"/>
  <c r="Z176" i="1"/>
  <c r="Z122" i="1"/>
  <c r="Z165" i="1"/>
  <c r="K93" i="15"/>
  <c r="U90" i="15"/>
  <c r="BD70" i="20"/>
  <c r="BD60" i="20"/>
  <c r="BD155" i="20" s="1"/>
  <c r="BD200" i="20" s="1"/>
  <c r="BD245" i="20" s="1"/>
  <c r="BD277" i="20" s="1"/>
  <c r="BD64" i="20"/>
  <c r="BD55" i="20"/>
  <c r="X131" i="1"/>
  <c r="X146" i="1"/>
  <c r="X173" i="1"/>
  <c r="X132" i="1"/>
  <c r="X118" i="1"/>
  <c r="X149" i="1"/>
  <c r="X121" i="1"/>
  <c r="X144" i="1"/>
  <c r="X140" i="1"/>
  <c r="X150" i="1"/>
  <c r="X142" i="1"/>
  <c r="X120" i="1"/>
  <c r="X137" i="1"/>
  <c r="X136" i="1"/>
  <c r="X128" i="1"/>
  <c r="X167" i="1"/>
  <c r="X123" i="1"/>
  <c r="X160" i="1"/>
  <c r="X143" i="1"/>
  <c r="X145" i="1"/>
  <c r="X134" i="1"/>
  <c r="X166" i="1"/>
  <c r="X168" i="1"/>
  <c r="X127" i="1"/>
  <c r="X133" i="1"/>
  <c r="X126" i="1"/>
  <c r="X157" i="1"/>
  <c r="X155" i="1"/>
  <c r="X158" i="1"/>
  <c r="X147" i="1"/>
  <c r="X129" i="1"/>
  <c r="X165" i="1"/>
  <c r="X135" i="1"/>
  <c r="X148" i="1"/>
  <c r="AN260" i="11"/>
  <c r="AN79" i="11"/>
  <c r="AN275" i="11"/>
  <c r="AN198" i="11"/>
  <c r="AN118" i="11"/>
  <c r="AN172" i="11"/>
  <c r="AN123" i="11"/>
  <c r="AN173" i="11"/>
  <c r="AN99" i="11"/>
  <c r="AN181" i="11"/>
  <c r="AN191" i="11"/>
  <c r="AN113" i="11"/>
  <c r="AN106" i="11"/>
  <c r="AN188" i="11"/>
  <c r="AN261" i="11"/>
  <c r="AN190" i="11"/>
  <c r="AN258" i="11"/>
  <c r="AN259" i="11"/>
  <c r="AN76" i="11"/>
  <c r="AN96" i="11"/>
  <c r="AN267" i="11"/>
  <c r="AN110" i="11"/>
  <c r="AN121" i="11"/>
  <c r="AN78" i="11"/>
  <c r="AS188" i="11"/>
  <c r="AS118" i="11"/>
  <c r="AS86" i="11"/>
  <c r="AS270" i="11"/>
  <c r="AS183" i="11"/>
  <c r="AS113" i="11"/>
  <c r="AS79" i="11"/>
  <c r="AS287" i="11" s="1"/>
  <c r="AS8" i="44" s="1"/>
  <c r="AS269" i="11"/>
  <c r="AS112" i="11"/>
  <c r="AS268" i="11"/>
  <c r="AS77" i="11"/>
  <c r="AS267" i="11"/>
  <c r="AS110" i="11"/>
  <c r="AS76" i="11"/>
  <c r="AS266" i="11"/>
  <c r="AS107" i="11"/>
  <c r="AS106" i="11"/>
  <c r="AS99" i="11"/>
  <c r="AS98" i="11"/>
  <c r="AS200" i="11"/>
  <c r="AS97" i="11"/>
  <c r="AS192" i="11"/>
  <c r="AS119" i="11"/>
  <c r="AS277" i="11"/>
  <c r="AS185" i="11"/>
  <c r="AS117" i="11"/>
  <c r="AS85" i="11"/>
  <c r="AS275" i="11"/>
  <c r="AS184" i="11"/>
  <c r="AS116" i="11"/>
  <c r="AS84" i="11"/>
  <c r="AS182" i="11"/>
  <c r="AS111" i="11"/>
  <c r="AS96" i="11"/>
  <c r="AS122" i="11"/>
  <c r="AS190" i="11"/>
  <c r="AS89" i="11"/>
  <c r="AS78" i="11"/>
  <c r="AS181" i="11"/>
  <c r="AS175" i="11"/>
  <c r="AS173" i="11"/>
  <c r="AS302" i="11" s="1"/>
  <c r="AS75" i="11"/>
  <c r="AS260" i="11"/>
  <c r="AS172" i="11"/>
  <c r="AS195" i="11"/>
  <c r="AS125" i="11"/>
  <c r="AS93" i="11"/>
  <c r="AS121" i="11"/>
  <c r="AS189" i="11"/>
  <c r="AS105" i="11"/>
  <c r="AS104" i="11"/>
  <c r="AS103" i="11"/>
  <c r="AS197" i="11"/>
  <c r="AS100" i="11"/>
  <c r="AS174" i="11"/>
  <c r="AS127" i="11"/>
  <c r="AS123" i="11"/>
  <c r="AS191" i="11"/>
  <c r="AS90" i="11"/>
  <c r="AS262" i="11"/>
  <c r="AS246" i="11"/>
  <c r="AS248" i="11"/>
  <c r="AS247" i="11"/>
  <c r="AS261" i="11"/>
  <c r="AS259" i="11"/>
  <c r="AS258" i="11"/>
  <c r="AS249" i="11"/>
  <c r="AS271" i="11"/>
  <c r="X124" i="1"/>
  <c r="AM33" i="35"/>
  <c r="AM24" i="35"/>
  <c r="AM39" i="35"/>
  <c r="S118" i="15" s="1"/>
  <c r="AM19" i="35"/>
  <c r="S35" i="15" s="1"/>
  <c r="AM34" i="35"/>
  <c r="S78" i="15" s="1"/>
  <c r="S81" i="15" s="1"/>
  <c r="X81" i="15" s="1"/>
  <c r="AC81" i="15" s="1"/>
  <c r="AH81" i="15" s="1"/>
  <c r="AM81" i="15" s="1"/>
  <c r="AR81" i="15" s="1"/>
  <c r="AW81" i="15" s="1"/>
  <c r="BB81" i="15" s="1"/>
  <c r="AJ225" i="14"/>
  <c r="AK226" i="14" s="1"/>
  <c r="Y156" i="1"/>
  <c r="Y147" i="1"/>
  <c r="Y149" i="1"/>
  <c r="Y165" i="1"/>
  <c r="Y121" i="1"/>
  <c r="Y129" i="1"/>
  <c r="Y166" i="1"/>
  <c r="Y122" i="1"/>
  <c r="Y144" i="1"/>
  <c r="Y138" i="1"/>
  <c r="Y160" i="1"/>
  <c r="Y167" i="1"/>
  <c r="Y176" i="1"/>
  <c r="Y143" i="1"/>
  <c r="Y157" i="1"/>
  <c r="Y118" i="1"/>
  <c r="Y154" i="1"/>
  <c r="Y133" i="1"/>
  <c r="Y140" i="1"/>
  <c r="Y131" i="1"/>
  <c r="Y170" i="1"/>
  <c r="Y171" i="1"/>
  <c r="Y145" i="1"/>
  <c r="Y126" i="1"/>
  <c r="Y128" i="1"/>
  <c r="Y136" i="1"/>
  <c r="Y119" i="1"/>
  <c r="Y134" i="1"/>
  <c r="Y163" i="1"/>
  <c r="Y130" i="1"/>
  <c r="Y132" i="1"/>
  <c r="Y153" i="1"/>
  <c r="Y155" i="1"/>
  <c r="Y148" i="1"/>
  <c r="Y174" i="1"/>
  <c r="Y168" i="1"/>
  <c r="Y173" i="1"/>
  <c r="Y151" i="1"/>
  <c r="Y158" i="1"/>
  <c r="Y120" i="1"/>
  <c r="J93" i="15"/>
  <c r="AA259" i="11"/>
  <c r="AB259" i="11" s="1"/>
  <c r="AA172" i="11"/>
  <c r="AB172" i="11" s="1"/>
  <c r="AA173" i="11"/>
  <c r="AB173" i="11" s="1"/>
  <c r="AA84" i="11"/>
  <c r="AB84" i="11" s="1"/>
  <c r="AA191" i="11"/>
  <c r="AB191" i="11" s="1"/>
  <c r="AA198" i="11"/>
  <c r="AA99" i="11"/>
  <c r="AB99" i="11" s="1"/>
  <c r="AA89" i="11"/>
  <c r="AB89" i="11" s="1"/>
  <c r="AA192" i="11"/>
  <c r="AB192" i="11" s="1"/>
  <c r="AA75" i="11"/>
  <c r="AA96" i="11"/>
  <c r="AB96" i="11" s="1"/>
  <c r="AA103" i="11"/>
  <c r="AB103" i="11" s="1"/>
  <c r="AA77" i="11"/>
  <c r="AB77" i="11" s="1"/>
  <c r="AA85" i="11"/>
  <c r="AB85" i="11" s="1"/>
  <c r="AA76" i="11"/>
  <c r="AB76" i="11" s="1"/>
  <c r="AA121" i="11"/>
  <c r="AB121" i="11" s="1"/>
  <c r="AA104" i="11"/>
  <c r="AB104" i="11" s="1"/>
  <c r="AA112" i="11"/>
  <c r="AB112" i="11" s="1"/>
  <c r="AA171" i="11"/>
  <c r="AB171" i="11" s="1"/>
  <c r="BK171" i="11" s="1"/>
  <c r="O82" i="42" s="1"/>
  <c r="AA184" i="11"/>
  <c r="AB184" i="11" s="1"/>
  <c r="AA111" i="11"/>
  <c r="AB111" i="11" s="1"/>
  <c r="AA182" i="11"/>
  <c r="AB182" i="11" s="1"/>
  <c r="AA258" i="11"/>
  <c r="AB258" i="11" s="1"/>
  <c r="AA78" i="11"/>
  <c r="AB78" i="11" s="1"/>
  <c r="AA118" i="11"/>
  <c r="AB118" i="11" s="1"/>
  <c r="AI232" i="7"/>
  <c r="AI260" i="7" s="1"/>
  <c r="X138" i="1"/>
  <c r="AO34" i="35"/>
  <c r="U78" i="15" s="1"/>
  <c r="AO32" i="35"/>
  <c r="AO24" i="35"/>
  <c r="AO33" i="35"/>
  <c r="AO23" i="35"/>
  <c r="AO51" i="35"/>
  <c r="X156" i="1"/>
  <c r="Y142" i="1"/>
  <c r="AA105" i="11"/>
  <c r="AB105" i="11" s="1"/>
  <c r="AA261" i="11"/>
  <c r="AB261" i="11" s="1"/>
  <c r="AR99" i="7"/>
  <c r="AV99" i="7" s="1"/>
  <c r="X163" i="1"/>
  <c r="X171" i="1"/>
  <c r="AN97" i="11"/>
  <c r="V145" i="1"/>
  <c r="W145" i="1" s="1"/>
  <c r="Z159" i="1"/>
  <c r="AA90" i="11"/>
  <c r="AB90" i="11" s="1"/>
  <c r="AA270" i="11"/>
  <c r="AB270" i="11" s="1"/>
  <c r="AR229" i="7"/>
  <c r="AO25" i="35"/>
  <c r="V157" i="1"/>
  <c r="W157" i="1" s="1"/>
  <c r="V150" i="1"/>
  <c r="W150" i="1" s="1"/>
  <c r="AG54" i="35"/>
  <c r="AG32" i="35" s="1"/>
  <c r="V134" i="1"/>
  <c r="W134" i="1" s="1"/>
  <c r="Z129" i="1"/>
  <c r="Y127" i="1"/>
  <c r="AC6" i="35"/>
  <c r="Z146" i="1"/>
  <c r="Y135" i="1"/>
  <c r="AA110" i="11"/>
  <c r="AB110" i="11" s="1"/>
  <c r="AB245" i="14"/>
  <c r="AA147" i="14"/>
  <c r="AB147" i="14" s="1"/>
  <c r="AA246" i="14"/>
  <c r="AA159" i="14"/>
  <c r="AA158" i="14" s="1"/>
  <c r="AB158" i="14" s="1"/>
  <c r="AM84" i="11"/>
  <c r="AM183" i="11"/>
  <c r="AM261" i="11"/>
  <c r="V158" i="1"/>
  <c r="W158" i="1" s="1"/>
  <c r="V160" i="1"/>
  <c r="W160" i="1" s="1"/>
  <c r="V131" i="1"/>
  <c r="W131" i="1" s="1"/>
  <c r="V156" i="1"/>
  <c r="W156" i="1" s="1"/>
  <c r="V135" i="1"/>
  <c r="W135" i="1" s="1"/>
  <c r="V140" i="1"/>
  <c r="W140" i="1" s="1"/>
  <c r="V155" i="1"/>
  <c r="W155" i="1" s="1"/>
  <c r="V166" i="1"/>
  <c r="W166" i="1" s="1"/>
  <c r="V127" i="1"/>
  <c r="W127" i="1" s="1"/>
  <c r="V147" i="1"/>
  <c r="W147" i="1" s="1"/>
  <c r="V132" i="1"/>
  <c r="W132" i="1" s="1"/>
  <c r="V144" i="1"/>
  <c r="W144" i="1" s="1"/>
  <c r="V167" i="1"/>
  <c r="W167" i="1" s="1"/>
  <c r="V137" i="1"/>
  <c r="W137" i="1" s="1"/>
  <c r="V170" i="1"/>
  <c r="W170" i="1" s="1"/>
  <c r="V119" i="1"/>
  <c r="W119" i="1" s="1"/>
  <c r="V168" i="1"/>
  <c r="W168" i="1" s="1"/>
  <c r="V161" i="1"/>
  <c r="W161" i="1" s="1"/>
  <c r="V171" i="1"/>
  <c r="W171" i="1" s="1"/>
  <c r="V176" i="1"/>
  <c r="W176" i="1" s="1"/>
  <c r="V151" i="1"/>
  <c r="W151" i="1" s="1"/>
  <c r="V163" i="1"/>
  <c r="W163" i="1" s="1"/>
  <c r="V138" i="1"/>
  <c r="W138" i="1" s="1"/>
  <c r="V120" i="1"/>
  <c r="W120" i="1" s="1"/>
  <c r="V118" i="1"/>
  <c r="W118" i="1" s="1"/>
  <c r="V173" i="1"/>
  <c r="W173" i="1" s="1"/>
  <c r="V130" i="1"/>
  <c r="W130" i="1" s="1"/>
  <c r="V123" i="1"/>
  <c r="W123" i="1" s="1"/>
  <c r="V121" i="1"/>
  <c r="W121" i="1" s="1"/>
  <c r="V169" i="1"/>
  <c r="W169" i="1" s="1"/>
  <c r="V159" i="1"/>
  <c r="W159" i="1" s="1"/>
  <c r="V142" i="1"/>
  <c r="W142" i="1" s="1"/>
  <c r="V146" i="1"/>
  <c r="W146" i="1" s="1"/>
  <c r="V128" i="1"/>
  <c r="W128" i="1" s="1"/>
  <c r="V143" i="1"/>
  <c r="W143" i="1" s="1"/>
  <c r="V154" i="1"/>
  <c r="W154" i="1" s="1"/>
  <c r="V126" i="1"/>
  <c r="W126" i="1" s="1"/>
  <c r="V165" i="1"/>
  <c r="W165" i="1" s="1"/>
  <c r="V148" i="1"/>
  <c r="W148" i="1" s="1"/>
  <c r="V133" i="1"/>
  <c r="W133" i="1" s="1"/>
  <c r="V149" i="1"/>
  <c r="W149" i="1" s="1"/>
  <c r="V129" i="1"/>
  <c r="W129" i="1" s="1"/>
  <c r="AP53" i="14"/>
  <c r="AP40" i="14"/>
  <c r="AP65" i="14" s="1"/>
  <c r="AP36" i="14"/>
  <c r="AP45" i="14"/>
  <c r="AP43" i="14"/>
  <c r="AP49" i="14"/>
  <c r="AP48" i="14"/>
  <c r="AP56" i="14" s="1"/>
  <c r="AN215" i="14"/>
  <c r="AN316" i="14"/>
  <c r="BC104" i="20" s="1"/>
  <c r="AN246" i="14"/>
  <c r="AN313" i="14"/>
  <c r="BC106" i="20" s="1"/>
  <c r="AN315" i="14"/>
  <c r="BC97" i="20" s="1"/>
  <c r="AN318" i="14"/>
  <c r="AN317" i="14"/>
  <c r="BC105" i="20" s="1"/>
  <c r="AN314" i="14"/>
  <c r="AN147" i="14"/>
  <c r="AN166" i="14" s="1"/>
  <c r="AN225" i="14"/>
  <c r="AN148" i="14"/>
  <c r="V90" i="15"/>
  <c r="AN172" i="14"/>
  <c r="V122" i="1"/>
  <c r="W122" i="1" s="1"/>
  <c r="X161" i="1"/>
  <c r="AR19" i="35"/>
  <c r="X35" i="15" s="1"/>
  <c r="AR25" i="35"/>
  <c r="AR23" i="35"/>
  <c r="AR32" i="35"/>
  <c r="AR33" i="35"/>
  <c r="AR24" i="35"/>
  <c r="X122" i="1"/>
  <c r="X154" i="1"/>
  <c r="AA122" i="11"/>
  <c r="AB122" i="11" s="1"/>
  <c r="V124" i="1"/>
  <c r="W124" i="1" s="1"/>
  <c r="Z98" i="7"/>
  <c r="Z447" i="7"/>
  <c r="Z450" i="7"/>
  <c r="Z86" i="7"/>
  <c r="AD639" i="7"/>
  <c r="AE631" i="7" s="1"/>
  <c r="AE96" i="7"/>
  <c r="AE119" i="7"/>
  <c r="AE326" i="7"/>
  <c r="AE323" i="7" s="1"/>
  <c r="AO6" i="35"/>
  <c r="AO9" i="35" s="1"/>
  <c r="V136" i="1"/>
  <c r="W136" i="1" s="1"/>
  <c r="AA181" i="11"/>
  <c r="AB181" i="11" s="1"/>
  <c r="AC116" i="7"/>
  <c r="AC119" i="7"/>
  <c r="AC505" i="7"/>
  <c r="AR459" i="7"/>
  <c r="AS315" i="14"/>
  <c r="BH97" i="20" s="1"/>
  <c r="AS317" i="14"/>
  <c r="BH105" i="20" s="1"/>
  <c r="BH158" i="20" s="1"/>
  <c r="AS337" i="11" s="1"/>
  <c r="AS314" i="14"/>
  <c r="AS313" i="14"/>
  <c r="AF51" i="14"/>
  <c r="AN268" i="11"/>
  <c r="AH454" i="7"/>
  <c r="AC97" i="7"/>
  <c r="AH35" i="14"/>
  <c r="AF53" i="14"/>
  <c r="AC50" i="14"/>
  <c r="AC48" i="14"/>
  <c r="AC56" i="14" s="1"/>
  <c r="AC35" i="14"/>
  <c r="AC53" i="14"/>
  <c r="AC44" i="14"/>
  <c r="AC43" i="14"/>
  <c r="AC51" i="14"/>
  <c r="AC39" i="14"/>
  <c r="AC52" i="14"/>
  <c r="AC37" i="14"/>
  <c r="AC40" i="14"/>
  <c r="AN269" i="11"/>
  <c r="AA185" i="11"/>
  <c r="AB185" i="11" s="1"/>
  <c r="AI82" i="7"/>
  <c r="AO447" i="7"/>
  <c r="AO87" i="7"/>
  <c r="AO133" i="7"/>
  <c r="AC96" i="7"/>
  <c r="AH40" i="14"/>
  <c r="AF48" i="14"/>
  <c r="AF56" i="14" s="1"/>
  <c r="AD45" i="14"/>
  <c r="AD40" i="14"/>
  <c r="AD52" i="14"/>
  <c r="AD35" i="14"/>
  <c r="AD49" i="14"/>
  <c r="AD53" i="14"/>
  <c r="AD48" i="14"/>
  <c r="AD56" i="14" s="1"/>
  <c r="AD34" i="14"/>
  <c r="Q127" i="1"/>
  <c r="R127" i="1" s="1"/>
  <c r="Q161" i="1"/>
  <c r="R161" i="1" s="1"/>
  <c r="Q176" i="1"/>
  <c r="Q142" i="1"/>
  <c r="R142" i="1" s="1"/>
  <c r="Q124" i="1"/>
  <c r="R124" i="1" s="1"/>
  <c r="Q163" i="1"/>
  <c r="R163" i="1" s="1"/>
  <c r="Q119" i="1"/>
  <c r="R119" i="1" s="1"/>
  <c r="Q151" i="1"/>
  <c r="R151" i="1" s="1"/>
  <c r="AN270" i="11"/>
  <c r="AR269" i="11"/>
  <c r="AR171" i="11"/>
  <c r="AR97" i="11"/>
  <c r="AR76" i="11"/>
  <c r="AR81" i="11" s="1"/>
  <c r="AR96" i="11"/>
  <c r="AR89" i="11"/>
  <c r="AR84" i="11"/>
  <c r="AR78" i="11"/>
  <c r="AR77" i="11"/>
  <c r="AR185" i="11"/>
  <c r="K447" i="7"/>
  <c r="Q471" i="7"/>
  <c r="Q473" i="7" s="1"/>
  <c r="R237" i="7"/>
  <c r="R222" i="7" s="1"/>
  <c r="Q222" i="7"/>
  <c r="AC757" i="7"/>
  <c r="AK23" i="35"/>
  <c r="AC34" i="14"/>
  <c r="AH48" i="14"/>
  <c r="AH56" i="14" s="1"/>
  <c r="AJ40" i="14"/>
  <c r="AJ43" i="14"/>
  <c r="AJ36" i="14"/>
  <c r="AJ39" i="14"/>
  <c r="AC146" i="14"/>
  <c r="AC159" i="14"/>
  <c r="AC158" i="14" s="1"/>
  <c r="AJ89" i="7"/>
  <c r="V93" i="15"/>
  <c r="W92" i="15"/>
  <c r="X93" i="15" s="1"/>
  <c r="AC36" i="14"/>
  <c r="AJ52" i="14"/>
  <c r="AK43" i="14"/>
  <c r="AK45" i="14"/>
  <c r="AK44" i="14"/>
  <c r="AN70" i="20"/>
  <c r="AN55" i="20"/>
  <c r="AJ119" i="7"/>
  <c r="AJ112" i="7"/>
  <c r="AJ632" i="7"/>
  <c r="AP248" i="7"/>
  <c r="AC38" i="14"/>
  <c r="AN50" i="14"/>
  <c r="AN38" i="14"/>
  <c r="AN45" i="14"/>
  <c r="AN36" i="14"/>
  <c r="AN34" i="14"/>
  <c r="AN39" i="14"/>
  <c r="AH148" i="14"/>
  <c r="AP148" i="14"/>
  <c r="AQ148" i="14" s="1"/>
  <c r="AP316" i="14"/>
  <c r="BE104" i="20" s="1"/>
  <c r="BF104" i="20" s="1"/>
  <c r="AP225" i="14"/>
  <c r="AQ225" i="14" s="1"/>
  <c r="AR226" i="14" s="1"/>
  <c r="AP313" i="14"/>
  <c r="BE106" i="20" s="1"/>
  <c r="AP315" i="14"/>
  <c r="BE97" i="20" s="1"/>
  <c r="AQ245" i="14"/>
  <c r="AQ315" i="14" s="1"/>
  <c r="AH98" i="7"/>
  <c r="AH133" i="7"/>
  <c r="AH136" i="7"/>
  <c r="Y146" i="14"/>
  <c r="Y159" i="14"/>
  <c r="Y158" i="14" s="1"/>
  <c r="Z246" i="14"/>
  <c r="AU55" i="20"/>
  <c r="AV55" i="20" s="1"/>
  <c r="AU60" i="20"/>
  <c r="AV60" i="20" s="1"/>
  <c r="AJ82" i="7"/>
  <c r="AF54" i="20"/>
  <c r="AG54" i="20" s="1"/>
  <c r="AH225" i="14"/>
  <c r="AJ48" i="14"/>
  <c r="AJ56" i="14" s="1"/>
  <c r="AM48" i="14"/>
  <c r="AM56" i="14" s="1"/>
  <c r="AM43" i="14"/>
  <c r="AM39" i="14"/>
  <c r="AH99" i="7"/>
  <c r="I84" i="7"/>
  <c r="I88" i="7"/>
  <c r="AH97" i="7"/>
  <c r="AI632" i="7"/>
  <c r="AI450" i="7"/>
  <c r="AI449" i="7"/>
  <c r="AI133" i="7"/>
  <c r="AI95" i="7"/>
  <c r="AI454" i="7"/>
  <c r="AI136" i="7"/>
  <c r="AI326" i="7"/>
  <c r="AI323" i="7" s="1"/>
  <c r="AI135" i="7"/>
  <c r="AI119" i="7"/>
  <c r="O222" i="7"/>
  <c r="O224" i="7" s="1"/>
  <c r="O754" i="7"/>
  <c r="O765" i="7" s="1"/>
  <c r="T9" i="17" s="1"/>
  <c r="AI53" i="14"/>
  <c r="AI37" i="14"/>
  <c r="AI51" i="14"/>
  <c r="AI44" i="14"/>
  <c r="AI48" i="14"/>
  <c r="AI56" i="14" s="1"/>
  <c r="AJ134" i="7"/>
  <c r="AC447" i="7"/>
  <c r="AE924" i="7"/>
  <c r="AE925" i="7" s="1"/>
  <c r="AE459" i="7"/>
  <c r="AF446" i="7" s="1"/>
  <c r="AJ81" i="7"/>
  <c r="AO89" i="7"/>
  <c r="AO465" i="7"/>
  <c r="AC326" i="7"/>
  <c r="AE62" i="20"/>
  <c r="AP33" i="35"/>
  <c r="AP51" i="35"/>
  <c r="AJ51" i="14"/>
  <c r="AD246" i="14"/>
  <c r="AH147" i="14"/>
  <c r="AH166" i="14" s="1"/>
  <c r="AI111" i="7"/>
  <c r="N466" i="7"/>
  <c r="AR65" i="20"/>
  <c r="AO175" i="11"/>
  <c r="AF39" i="35"/>
  <c r="AM107" i="11"/>
  <c r="T93" i="15"/>
  <c r="AR464" i="7"/>
  <c r="AV464" i="7" s="1"/>
  <c r="Z99" i="7"/>
  <c r="AE86" i="7"/>
  <c r="AD326" i="7"/>
  <c r="AD323" i="7" s="1"/>
  <c r="AO111" i="11"/>
  <c r="AO275" i="11"/>
  <c r="AR267" i="11"/>
  <c r="K90" i="15"/>
  <c r="AR270" i="11"/>
  <c r="AI127" i="7"/>
  <c r="AA96" i="7"/>
  <c r="AO98" i="11"/>
  <c r="N92" i="7"/>
  <c r="N104" i="7" s="1"/>
  <c r="S754" i="7"/>
  <c r="S682" i="7" s="1"/>
  <c r="AA117" i="7"/>
  <c r="P90" i="15"/>
  <c r="Y90" i="15"/>
  <c r="AA275" i="11"/>
  <c r="AB275" i="11" s="1"/>
  <c r="AM113" i="11"/>
  <c r="AR258" i="11"/>
  <c r="AI929" i="7"/>
  <c r="AK1029" i="7"/>
  <c r="AA86" i="11"/>
  <c r="AB86" i="11" s="1"/>
  <c r="AS142" i="14"/>
  <c r="AL140" i="14"/>
  <c r="AL177" i="14" s="1"/>
  <c r="AB140" i="14"/>
  <c r="AD144" i="14"/>
  <c r="AF321" i="20"/>
  <c r="AF330" i="20" s="1"/>
  <c r="AF327" i="20"/>
  <c r="AF326" i="20"/>
  <c r="AF325" i="20"/>
  <c r="BC322" i="20"/>
  <c r="BC321" i="20"/>
  <c r="BC330" i="20" s="1"/>
  <c r="BC327" i="20"/>
  <c r="BC37" i="20"/>
  <c r="E24" i="3" s="1"/>
  <c r="J24" i="3" s="1"/>
  <c r="AV31" i="20"/>
  <c r="AR69" i="20"/>
  <c r="AZ63" i="20"/>
  <c r="AK219" i="14" s="1"/>
  <c r="Y40" i="18" s="1"/>
  <c r="BD322" i="20"/>
  <c r="AR70" i="20"/>
  <c r="BF34" i="20"/>
  <c r="AF61" i="20"/>
  <c r="Q687" i="7" s="1"/>
  <c r="BD326" i="20"/>
  <c r="BC323" i="20"/>
  <c r="AX60" i="20"/>
  <c r="AR55" i="20"/>
  <c r="AF37" i="20"/>
  <c r="BD327" i="20"/>
  <c r="BD323" i="20"/>
  <c r="AE34" i="20"/>
  <c r="BD321" i="20"/>
  <c r="BD330" i="20" s="1"/>
  <c r="AW54" i="20"/>
  <c r="AY69" i="20"/>
  <c r="AM62" i="20"/>
  <c r="X152" i="14" s="1"/>
  <c r="X73" i="18" s="1"/>
  <c r="W24" i="48" s="1"/>
  <c r="AM70" i="20"/>
  <c r="AS70" i="20"/>
  <c r="AM54" i="20"/>
  <c r="AK65" i="20"/>
  <c r="AL65" i="20" s="1"/>
  <c r="AY60" i="20"/>
  <c r="AM69" i="20"/>
  <c r="AM68" i="20"/>
  <c r="AM60" i="20"/>
  <c r="AH37" i="20"/>
  <c r="AM65" i="20"/>
  <c r="AS54" i="20"/>
  <c r="AO68" i="20"/>
  <c r="AO70" i="20"/>
  <c r="AY65" i="20"/>
  <c r="AE69" i="20"/>
  <c r="BB33" i="20"/>
  <c r="BB63" i="20"/>
  <c r="AM219" i="14" s="1"/>
  <c r="Y37" i="18" s="1"/>
  <c r="AM56" i="20"/>
  <c r="AM55" i="20"/>
  <c r="BB37" i="20"/>
  <c r="E23" i="3" s="1"/>
  <c r="J23" i="3" s="1"/>
  <c r="AS60" i="20"/>
  <c r="AO55" i="20"/>
  <c r="AO74" i="20" s="1"/>
  <c r="BB324" i="20"/>
  <c r="BB332" i="20" s="1"/>
  <c r="AM59" i="20"/>
  <c r="AY37" i="20"/>
  <c r="BC33" i="20"/>
  <c r="F34" i="18" s="1"/>
  <c r="BC63" i="20"/>
  <c r="AN219" i="14" s="1"/>
  <c r="Y34" i="18" s="1"/>
  <c r="AO65" i="20"/>
  <c r="AZ70" i="20"/>
  <c r="BA70" i="20" s="1"/>
  <c r="AY59" i="20"/>
  <c r="AJ865" i="7" s="1"/>
  <c r="AO69" i="20"/>
  <c r="AS68" i="20"/>
  <c r="AF55" i="20"/>
  <c r="AG55" i="20" s="1"/>
  <c r="AO59" i="20"/>
  <c r="AZ64" i="20"/>
  <c r="BA64" i="20" s="1"/>
  <c r="AO60" i="20"/>
  <c r="AY33" i="20"/>
  <c r="AY326" i="20"/>
  <c r="AY323" i="20"/>
  <c r="AY322" i="20"/>
  <c r="AY321" i="20"/>
  <c r="AY330" i="20" s="1"/>
  <c r="AW326" i="20"/>
  <c r="AV34" i="20"/>
  <c r="AY70" i="20"/>
  <c r="BC64" i="20"/>
  <c r="BI291" i="20"/>
  <c r="BI310" i="20" s="1"/>
  <c r="AR62" i="20"/>
  <c r="AX64" i="20"/>
  <c r="BC69" i="20"/>
  <c r="AW55" i="20"/>
  <c r="BC70" i="20"/>
  <c r="AK54" i="20"/>
  <c r="AL54" i="20" s="1"/>
  <c r="BA31" i="20"/>
  <c r="AW68" i="20"/>
  <c r="AX56" i="20"/>
  <c r="AX54" i="20"/>
  <c r="AW62" i="20"/>
  <c r="AH152" i="14" s="1"/>
  <c r="X49" i="18" s="1"/>
  <c r="AW324" i="20"/>
  <c r="AW332" i="20" s="1"/>
  <c r="AR22" i="20"/>
  <c r="AK68" i="20"/>
  <c r="AL68" i="20" s="1"/>
  <c r="AX69" i="20"/>
  <c r="AR68" i="20"/>
  <c r="AK22" i="20"/>
  <c r="AV26" i="20"/>
  <c r="AQ34" i="20"/>
  <c r="AW60" i="20"/>
  <c r="AW65" i="20"/>
  <c r="AX55" i="20"/>
  <c r="AS55" i="20"/>
  <c r="AX63" i="20"/>
  <c r="AI219" i="14" s="1"/>
  <c r="Y46" i="18" s="1"/>
  <c r="BD63" i="20"/>
  <c r="AO219" i="14" s="1"/>
  <c r="Y31" i="18" s="1"/>
  <c r="AW69" i="20"/>
  <c r="AX65" i="20"/>
  <c r="BC54" i="20"/>
  <c r="AN86" i="14" s="1"/>
  <c r="AY68" i="20"/>
  <c r="AY62" i="20"/>
  <c r="AJ152" i="14" s="1"/>
  <c r="X43" i="18" s="1"/>
  <c r="AI326" i="20"/>
  <c r="BD59" i="20"/>
  <c r="AO865" i="7" s="1"/>
  <c r="AS56" i="20"/>
  <c r="AP60" i="20"/>
  <c r="AQ60" i="20" s="1"/>
  <c r="AK61" i="20"/>
  <c r="AI327" i="20"/>
  <c r="AX59" i="20"/>
  <c r="AI865" i="7" s="1"/>
  <c r="AY54" i="20"/>
  <c r="AK70" i="20"/>
  <c r="AL70" i="20" s="1"/>
  <c r="AE68" i="20"/>
  <c r="AM22" i="20"/>
  <c r="AI322" i="20"/>
  <c r="BC55" i="20"/>
  <c r="AI324" i="20"/>
  <c r="AI332" i="20" s="1"/>
  <c r="AW59" i="20"/>
  <c r="AH865" i="7" s="1"/>
  <c r="AX70" i="20"/>
  <c r="AX68" i="20"/>
  <c r="BD56" i="20"/>
  <c r="BD62" i="20"/>
  <c r="AO152" i="14" s="1"/>
  <c r="X31" i="18" s="1"/>
  <c r="AW37" i="20"/>
  <c r="AQ62" i="20"/>
  <c r="AY324" i="20"/>
  <c r="AY332" i="20" s="1"/>
  <c r="BD65" i="20"/>
  <c r="AW64" i="20"/>
  <c r="AF34" i="20"/>
  <c r="J88" i="18" s="1"/>
  <c r="AK64" i="20"/>
  <c r="AL64" i="20" s="1"/>
  <c r="BD33" i="20"/>
  <c r="F31" i="18" s="1"/>
  <c r="AY56" i="20"/>
  <c r="AS69" i="20"/>
  <c r="AW70" i="20"/>
  <c r="AY64" i="20"/>
  <c r="AF322" i="20"/>
  <c r="AW325" i="20"/>
  <c r="AI37" i="20"/>
  <c r="BD54" i="20"/>
  <c r="BD149" i="20" s="1"/>
  <c r="BD194" i="20" s="1"/>
  <c r="BD239" i="20" s="1"/>
  <c r="BD273" i="20" s="1"/>
  <c r="AW56" i="20"/>
  <c r="AG11" i="20"/>
  <c r="AG34" i="20" s="1"/>
  <c r="AK55" i="20"/>
  <c r="AL55" i="20" s="1"/>
  <c r="AJ69" i="20"/>
  <c r="AU63" i="20"/>
  <c r="AF219" i="14" s="1"/>
  <c r="Y52" i="18" s="1"/>
  <c r="BE37" i="20"/>
  <c r="E26" i="3" s="1"/>
  <c r="J26" i="3" s="1"/>
  <c r="BE326" i="20"/>
  <c r="BE323" i="20"/>
  <c r="BE321" i="20"/>
  <c r="BE330" i="20" s="1"/>
  <c r="BE324" i="20"/>
  <c r="BE332" i="20" s="1"/>
  <c r="BE33" i="20"/>
  <c r="F28" i="18" s="1"/>
  <c r="BE327" i="20"/>
  <c r="BE322" i="20"/>
  <c r="BE325" i="20"/>
  <c r="AH219" i="14"/>
  <c r="Y49" i="18" s="1"/>
  <c r="AT22" i="20"/>
  <c r="V152" i="14"/>
  <c r="X76" i="18" s="1"/>
  <c r="W25" i="48" s="1"/>
  <c r="AL62" i="20"/>
  <c r="W152" i="14" s="1"/>
  <c r="AS65" i="20"/>
  <c r="AT65" i="20"/>
  <c r="AJ37" i="20"/>
  <c r="BA55" i="20"/>
  <c r="AE323" i="20"/>
  <c r="AE33" i="20"/>
  <c r="F91" i="18" s="1"/>
  <c r="AE327" i="20"/>
  <c r="AE321" i="20"/>
  <c r="AE330" i="20" s="1"/>
  <c r="AE326" i="20"/>
  <c r="AE325" i="20"/>
  <c r="AE324" i="20"/>
  <c r="AE332" i="20" s="1"/>
  <c r="AE37" i="20"/>
  <c r="AJ323" i="20"/>
  <c r="AJ33" i="20"/>
  <c r="F79" i="18" s="1"/>
  <c r="AJ321" i="20"/>
  <c r="AJ330" i="20" s="1"/>
  <c r="AJ326" i="20"/>
  <c r="AJ324" i="20"/>
  <c r="AJ332" i="20" s="1"/>
  <c r="AJ327" i="20"/>
  <c r="AJ325" i="20"/>
  <c r="AJ322" i="20"/>
  <c r="AN22" i="20"/>
  <c r="AN334" i="20" s="1"/>
  <c r="AW322" i="20"/>
  <c r="AF33" i="20"/>
  <c r="F88" i="18" s="1"/>
  <c r="AW327" i="20"/>
  <c r="AW323" i="20"/>
  <c r="AN62" i="20"/>
  <c r="Y152" i="14" s="1"/>
  <c r="X70" i="18" s="1"/>
  <c r="W23" i="48" s="1"/>
  <c r="AF152" i="14"/>
  <c r="AH33" i="20"/>
  <c r="F85" i="18" s="1"/>
  <c r="AQ21" i="20"/>
  <c r="AN68" i="20"/>
  <c r="AX22" i="20"/>
  <c r="AP22" i="20"/>
  <c r="AP334" i="20" s="1"/>
  <c r="AS22" i="20"/>
  <c r="AR54" i="20"/>
  <c r="AU69" i="20"/>
  <c r="AV69" i="20" s="1"/>
  <c r="AH61" i="20"/>
  <c r="S687" i="7" s="1"/>
  <c r="AN69" i="20"/>
  <c r="AN64" i="20"/>
  <c r="AU70" i="20"/>
  <c r="AV70" i="20" s="1"/>
  <c r="BB54" i="20"/>
  <c r="AM86" i="14" s="1"/>
  <c r="AJ62" i="20"/>
  <c r="AJ74" i="20" s="1"/>
  <c r="AT64" i="20"/>
  <c r="AE64" i="20"/>
  <c r="AJ70" i="20"/>
  <c r="AI33" i="20"/>
  <c r="F82" i="18" s="1"/>
  <c r="AU56" i="20"/>
  <c r="AR59" i="20"/>
  <c r="AL22" i="20"/>
  <c r="AT55" i="20"/>
  <c r="BG33" i="20"/>
  <c r="BB59" i="20"/>
  <c r="AM865" i="7" s="1"/>
  <c r="AN56" i="20"/>
  <c r="AU59" i="20"/>
  <c r="AF323" i="20"/>
  <c r="AZ62" i="20"/>
  <c r="AO22" i="20"/>
  <c r="AZ56" i="20"/>
  <c r="AT70" i="20"/>
  <c r="AZ68" i="20"/>
  <c r="BA68" i="20" s="1"/>
  <c r="AN60" i="20"/>
  <c r="AT62" i="20"/>
  <c r="BB322" i="20"/>
  <c r="AW33" i="20"/>
  <c r="F49" i="18" s="1"/>
  <c r="AU65" i="20"/>
  <c r="AV65" i="20" s="1"/>
  <c r="AI54" i="20"/>
  <c r="AT68" i="20"/>
  <c r="AI323" i="20"/>
  <c r="BE64" i="20"/>
  <c r="BF64" i="20" s="1"/>
  <c r="BE69" i="20"/>
  <c r="BE255" i="20" s="1"/>
  <c r="AI321" i="20"/>
  <c r="AI330" i="20" s="1"/>
  <c r="AR60" i="20"/>
  <c r="BB65" i="20"/>
  <c r="BE60" i="20"/>
  <c r="BF60" i="20" s="1"/>
  <c r="BE56" i="20"/>
  <c r="BB56" i="20"/>
  <c r="BB325" i="20"/>
  <c r="AE322" i="20"/>
  <c r="AT56" i="20"/>
  <c r="AT54" i="20"/>
  <c r="AR64" i="20"/>
  <c r="AH324" i="20"/>
  <c r="AH332" i="20" s="1"/>
  <c r="AU68" i="20"/>
  <c r="AV68" i="20" s="1"/>
  <c r="BB327" i="20"/>
  <c r="BB69" i="20"/>
  <c r="AH321" i="20"/>
  <c r="AH330" i="20" s="1"/>
  <c r="AS63" i="20"/>
  <c r="BG60" i="20"/>
  <c r="N10" i="42" s="1"/>
  <c r="AZ59" i="20"/>
  <c r="AZ69" i="20"/>
  <c r="BA69" i="20" s="1"/>
  <c r="AZ54" i="20"/>
  <c r="AU64" i="20"/>
  <c r="AV64" i="20" s="1"/>
  <c r="AH322" i="20"/>
  <c r="AZ60" i="20"/>
  <c r="BA60" i="20" s="1"/>
  <c r="BG70" i="20"/>
  <c r="BG256" i="20" s="1"/>
  <c r="BB326" i="20"/>
  <c r="AH327" i="20"/>
  <c r="AY325" i="20"/>
  <c r="AF324" i="20"/>
  <c r="AF332" i="20" s="1"/>
  <c r="AZ22" i="20"/>
  <c r="BB64" i="20"/>
  <c r="AU54" i="20"/>
  <c r="AH326" i="20"/>
  <c r="BG69" i="20"/>
  <c r="BG255" i="20" s="1"/>
  <c r="AY327" i="20"/>
  <c r="AH325" i="20"/>
  <c r="BG68" i="20"/>
  <c r="BG254" i="20" s="1"/>
  <c r="AH177" i="14"/>
  <c r="L11" i="38"/>
  <c r="M11" i="38" s="1"/>
  <c r="AM177" i="14"/>
  <c r="AT128" i="43"/>
  <c r="AU128" i="43"/>
  <c r="AT146" i="43"/>
  <c r="AP128" i="43"/>
  <c r="AU10" i="43"/>
  <c r="AP110" i="43"/>
  <c r="AS131" i="43"/>
  <c r="AT10" i="43"/>
  <c r="AR110" i="43"/>
  <c r="AO10" i="43"/>
  <c r="AO16" i="43" s="1"/>
  <c r="AR10" i="43"/>
  <c r="AR16" i="43" s="1"/>
  <c r="AR341" i="11" s="1"/>
  <c r="AS10" i="43"/>
  <c r="AR122" i="43"/>
  <c r="AP10" i="43"/>
  <c r="AP16" i="43" s="1"/>
  <c r="AP341" i="11" s="1"/>
  <c r="AS6" i="43"/>
  <c r="BJ212" i="20"/>
  <c r="AV26" i="44"/>
  <c r="G18" i="47"/>
  <c r="AS92" i="44"/>
  <c r="AS94" i="44" s="1"/>
  <c r="AT155" i="44"/>
  <c r="AT157" i="44" s="1"/>
  <c r="AS162" i="44"/>
  <c r="AS163" i="44" s="1"/>
  <c r="AU153" i="44"/>
  <c r="BJ268" i="20" s="1"/>
  <c r="AS96" i="44"/>
  <c r="AV69" i="44"/>
  <c r="D23" i="47"/>
  <c r="F23" i="47"/>
  <c r="AS131" i="44"/>
  <c r="AS132" i="44" s="1"/>
  <c r="AS16" i="44" s="1"/>
  <c r="AS65" i="44" s="1"/>
  <c r="AV149" i="44"/>
  <c r="AN302" i="14"/>
  <c r="AM76" i="11"/>
  <c r="AM182" i="11"/>
  <c r="AM246" i="11"/>
  <c r="AR255" i="14"/>
  <c r="AR79" i="11"/>
  <c r="AR287" i="11" s="1"/>
  <c r="AL148" i="11"/>
  <c r="AL222" i="11" s="1"/>
  <c r="AK185" i="11"/>
  <c r="AL185" i="11" s="1"/>
  <c r="AK222" i="11"/>
  <c r="AK223" i="11" s="1"/>
  <c r="AG64" i="11"/>
  <c r="AG235" i="11" s="1"/>
  <c r="AF235" i="11"/>
  <c r="AF275" i="11" s="1"/>
  <c r="AG275" i="11" s="1"/>
  <c r="AB40" i="11"/>
  <c r="AB222" i="11" s="1"/>
  <c r="W138" i="11"/>
  <c r="AR209" i="11"/>
  <c r="AR247" i="11" s="1"/>
  <c r="AM269" i="11"/>
  <c r="AA163" i="11"/>
  <c r="AA175" i="11"/>
  <c r="AB175" i="11" s="1"/>
  <c r="AF222" i="11"/>
  <c r="AF223" i="11" s="1"/>
  <c r="AF163" i="11"/>
  <c r="AF185" i="11"/>
  <c r="AG185" i="11" s="1"/>
  <c r="AK270" i="11"/>
  <c r="AL270" i="11" s="1"/>
  <c r="AK173" i="11"/>
  <c r="AL173" i="11" s="1"/>
  <c r="AK122" i="11"/>
  <c r="AL122" i="11" s="1"/>
  <c r="AK188" i="11"/>
  <c r="AL188" i="11" s="1"/>
  <c r="AK260" i="11"/>
  <c r="AL260" i="11" s="1"/>
  <c r="AK191" i="11"/>
  <c r="AL191" i="11" s="1"/>
  <c r="AK97" i="11"/>
  <c r="AL97" i="11" s="1"/>
  <c r="AK90" i="11"/>
  <c r="AL90" i="11" s="1"/>
  <c r="AK121" i="11"/>
  <c r="AL121" i="11" s="1"/>
  <c r="AK100" i="11"/>
  <c r="AL100" i="11" s="1"/>
  <c r="AK98" i="11"/>
  <c r="AL98" i="11" s="1"/>
  <c r="AK75" i="11"/>
  <c r="AK112" i="11"/>
  <c r="AL112" i="11" s="1"/>
  <c r="AK118" i="11"/>
  <c r="AL118" i="11" s="1"/>
  <c r="AK84" i="11"/>
  <c r="AL84" i="11" s="1"/>
  <c r="AM247" i="11"/>
  <c r="AM227" i="11"/>
  <c r="AM267" i="11" s="1"/>
  <c r="AM258" i="11"/>
  <c r="AM270" i="11"/>
  <c r="V60" i="11"/>
  <c r="V113" i="11"/>
  <c r="W113" i="11" s="1"/>
  <c r="V227" i="11"/>
  <c r="V267" i="11" s="1"/>
  <c r="W267" i="11" s="1"/>
  <c r="AS294" i="11"/>
  <c r="AR207" i="11"/>
  <c r="AM259" i="11"/>
  <c r="AO207" i="11"/>
  <c r="AO245" i="11" s="1"/>
  <c r="AO255" i="14"/>
  <c r="AP207" i="11"/>
  <c r="AP255" i="14"/>
  <c r="AP33" i="11"/>
  <c r="AM105" i="11"/>
  <c r="AM96" i="11"/>
  <c r="AM121" i="11"/>
  <c r="AM117" i="11"/>
  <c r="AM78" i="11"/>
  <c r="AM118" i="11"/>
  <c r="AM112" i="11"/>
  <c r="AM104" i="11"/>
  <c r="AM172" i="11"/>
  <c r="AM85" i="11"/>
  <c r="AM184" i="11"/>
  <c r="AM106" i="11"/>
  <c r="AM189" i="11"/>
  <c r="AM191" i="11"/>
  <c r="AM190" i="11"/>
  <c r="AM173" i="11"/>
  <c r="AM122" i="11"/>
  <c r="AM86" i="11"/>
  <c r="AM98" i="11"/>
  <c r="AM268" i="11"/>
  <c r="AM97" i="11"/>
  <c r="AM103" i="11"/>
  <c r="AM77" i="11"/>
  <c r="AM181" i="11"/>
  <c r="AM75" i="11"/>
  <c r="AM116" i="11"/>
  <c r="AM99" i="11"/>
  <c r="AM185" i="11"/>
  <c r="AF226" i="11"/>
  <c r="AF266" i="11" s="1"/>
  <c r="AG266" i="11" s="1"/>
  <c r="AF107" i="11"/>
  <c r="AG107" i="11" s="1"/>
  <c r="AF60" i="11"/>
  <c r="AM226" i="11"/>
  <c r="AM266" i="11" s="1"/>
  <c r="AM60" i="11"/>
  <c r="AL54" i="11"/>
  <c r="AL227" i="11" s="1"/>
  <c r="AK227" i="11"/>
  <c r="AK267" i="11" s="1"/>
  <c r="AL267" i="11" s="1"/>
  <c r="AM260" i="11"/>
  <c r="AA60" i="11"/>
  <c r="AB47" i="11"/>
  <c r="AB226" i="11" s="1"/>
  <c r="AT311" i="11"/>
  <c r="AT312" i="11" s="1"/>
  <c r="AQ148" i="11"/>
  <c r="AQ222" i="11" s="1"/>
  <c r="AP185" i="11"/>
  <c r="AQ185" i="11" s="1"/>
  <c r="AM89" i="11"/>
  <c r="AM198" i="11"/>
  <c r="AM111" i="11"/>
  <c r="AK113" i="11"/>
  <c r="AL113" i="11" s="1"/>
  <c r="V86" i="11"/>
  <c r="W86" i="11" s="1"/>
  <c r="W26" i="11"/>
  <c r="W208" i="11" s="1"/>
  <c r="V208" i="11"/>
  <c r="V246" i="11" s="1"/>
  <c r="W246" i="11" s="1"/>
  <c r="AP275" i="11"/>
  <c r="AQ275" i="11" s="1"/>
  <c r="AP195" i="11"/>
  <c r="AQ195" i="11" s="1"/>
  <c r="AM275" i="11"/>
  <c r="AM79" i="11"/>
  <c r="AN255" i="14"/>
  <c r="AN207" i="11"/>
  <c r="AN245" i="11" s="1"/>
  <c r="AN33" i="11"/>
  <c r="AP188" i="11"/>
  <c r="AQ188" i="11" s="1"/>
  <c r="AM123" i="11"/>
  <c r="AN265" i="14"/>
  <c r="AN277" i="14" s="1"/>
  <c r="AN276" i="14" s="1"/>
  <c r="AN208" i="11"/>
  <c r="AN246" i="11" s="1"/>
  <c r="AN86" i="11"/>
  <c r="AA79" i="11"/>
  <c r="AB79" i="11" s="1"/>
  <c r="BK79" i="11" s="1"/>
  <c r="O81" i="42" s="1"/>
  <c r="AA33" i="11"/>
  <c r="AA207" i="11"/>
  <c r="AA245" i="11" s="1"/>
  <c r="AB245" i="11" s="1"/>
  <c r="BK245" i="11" s="1"/>
  <c r="O83" i="42" s="1"/>
  <c r="AB21" i="11"/>
  <c r="AB207" i="11" s="1"/>
  <c r="AP175" i="11"/>
  <c r="AQ175" i="11" s="1"/>
  <c r="AP112" i="11"/>
  <c r="AQ112" i="11" s="1"/>
  <c r="AP76" i="11"/>
  <c r="AQ76" i="11" s="1"/>
  <c r="AP190" i="11"/>
  <c r="AQ190" i="11" s="1"/>
  <c r="AP171" i="11"/>
  <c r="AP182" i="11"/>
  <c r="AQ182" i="11" s="1"/>
  <c r="AP113" i="11"/>
  <c r="AQ113" i="11" s="1"/>
  <c r="AP110" i="11"/>
  <c r="AQ110" i="11" s="1"/>
  <c r="AP106" i="11"/>
  <c r="AQ106" i="11" s="1"/>
  <c r="AP173" i="11"/>
  <c r="AP302" i="11" s="1"/>
  <c r="AP98" i="11"/>
  <c r="AQ98" i="11" s="1"/>
  <c r="AP116" i="11"/>
  <c r="AQ116" i="11" s="1"/>
  <c r="AP78" i="11"/>
  <c r="AQ78" i="11" s="1"/>
  <c r="AP183" i="11"/>
  <c r="AQ183" i="11" s="1"/>
  <c r="AP85" i="11"/>
  <c r="AQ85" i="11" s="1"/>
  <c r="AP84" i="11"/>
  <c r="AQ84" i="11" s="1"/>
  <c r="AP107" i="11"/>
  <c r="AQ107" i="11" s="1"/>
  <c r="AP172" i="11"/>
  <c r="AQ172" i="11" s="1"/>
  <c r="AP118" i="11"/>
  <c r="AQ118" i="11" s="1"/>
  <c r="AP77" i="11"/>
  <c r="AQ77" i="11" s="1"/>
  <c r="AP121" i="11"/>
  <c r="AQ121" i="11" s="1"/>
  <c r="AP184" i="11"/>
  <c r="AQ184" i="11" s="1"/>
  <c r="AP99" i="11"/>
  <c r="AQ99" i="11" s="1"/>
  <c r="AP122" i="11"/>
  <c r="AQ122" i="11" s="1"/>
  <c r="AP100" i="11"/>
  <c r="AQ100" i="11" s="1"/>
  <c r="AP96" i="11"/>
  <c r="AQ96" i="11" s="1"/>
  <c r="AP111" i="11"/>
  <c r="AQ111" i="11" s="1"/>
  <c r="AP123" i="11"/>
  <c r="AQ123" i="11" s="1"/>
  <c r="AP181" i="11"/>
  <c r="AQ181" i="11" s="1"/>
  <c r="AM175" i="11"/>
  <c r="AK106" i="11"/>
  <c r="AL106" i="11" s="1"/>
  <c r="AN209" i="11"/>
  <c r="AN247" i="11" s="1"/>
  <c r="AN90" i="11"/>
  <c r="AP258" i="11"/>
  <c r="AR265" i="14"/>
  <c r="AR277" i="14" s="1"/>
  <c r="AR276" i="14" s="1"/>
  <c r="AR86" i="11"/>
  <c r="AM188" i="11"/>
  <c r="AM100" i="11"/>
  <c r="AM192" i="11"/>
  <c r="AM90" i="11"/>
  <c r="AP259" i="11"/>
  <c r="AQ259" i="11" s="1"/>
  <c r="AN60" i="11"/>
  <c r="AN226" i="11"/>
  <c r="AN266" i="11" s="1"/>
  <c r="AN107" i="11"/>
  <c r="AR60" i="11"/>
  <c r="AR119" i="11" s="1"/>
  <c r="AR226" i="11"/>
  <c r="AR266" i="11" s="1"/>
  <c r="AM110" i="11"/>
  <c r="AA107" i="11"/>
  <c r="AB107" i="11" s="1"/>
  <c r="AP261" i="11"/>
  <c r="AQ261" i="11" s="1"/>
  <c r="AL207" i="11"/>
  <c r="AF175" i="11"/>
  <c r="AG175" i="11" s="1"/>
  <c r="AF191" i="11"/>
  <c r="AG191" i="11" s="1"/>
  <c r="AF268" i="11"/>
  <c r="AG268" i="11" s="1"/>
  <c r="AF183" i="11"/>
  <c r="AG183" i="11" s="1"/>
  <c r="AF171" i="11"/>
  <c r="AG171" i="11" s="1"/>
  <c r="BL171" i="11" s="1"/>
  <c r="P82" i="42" s="1"/>
  <c r="AN98" i="11"/>
  <c r="AR85" i="11"/>
  <c r="AR294" i="11"/>
  <c r="AN184" i="11"/>
  <c r="AF198" i="11"/>
  <c r="AN105" i="11"/>
  <c r="AN183" i="11"/>
  <c r="AN171" i="11"/>
  <c r="AN117" i="11"/>
  <c r="AN104" i="11"/>
  <c r="AP86" i="11"/>
  <c r="AQ86" i="11" s="1"/>
  <c r="AQ64" i="11"/>
  <c r="AQ235" i="11" s="1"/>
  <c r="AF111" i="11"/>
  <c r="AG111" i="11" s="1"/>
  <c r="AF255" i="14"/>
  <c r="AN85" i="11"/>
  <c r="AF207" i="11"/>
  <c r="AF245" i="11" s="1"/>
  <c r="AG245" i="11" s="1"/>
  <c r="BL245" i="11" s="1"/>
  <c r="P83" i="42" s="1"/>
  <c r="AB64" i="11"/>
  <c r="AB235" i="11" s="1"/>
  <c r="AR190" i="11"/>
  <c r="AN182" i="11"/>
  <c r="AN122" i="11"/>
  <c r="AN192" i="11"/>
  <c r="AG21" i="11"/>
  <c r="AA113" i="11"/>
  <c r="AB113" i="11" s="1"/>
  <c r="AL208" i="11"/>
  <c r="AF103" i="11"/>
  <c r="AG103" i="11" s="1"/>
  <c r="AN103" i="11"/>
  <c r="AR98" i="11"/>
  <c r="AN175" i="11"/>
  <c r="AN185" i="11"/>
  <c r="AN116" i="11"/>
  <c r="AR99" i="11"/>
  <c r="AF181" i="11"/>
  <c r="AG181" i="11" s="1"/>
  <c r="AF121" i="11"/>
  <c r="AG121" i="11" s="1"/>
  <c r="AN84" i="11"/>
  <c r="AN111" i="11"/>
  <c r="AA123" i="11"/>
  <c r="AB123" i="11" s="1"/>
  <c r="AR261" i="11"/>
  <c r="AN189" i="11"/>
  <c r="AN89" i="11"/>
  <c r="AN77" i="11"/>
  <c r="AR106" i="11"/>
  <c r="AR302" i="14"/>
  <c r="AS156" i="44"/>
  <c r="AX152" i="44"/>
  <c r="AY152" i="44" s="1"/>
  <c r="AZ152" i="44" s="1"/>
  <c r="BA152" i="44" s="1"/>
  <c r="BB152" i="44" s="1"/>
  <c r="BC152" i="44" s="1"/>
  <c r="BD152" i="44" s="1"/>
  <c r="BE152" i="44" s="1"/>
  <c r="BF152" i="44" s="1"/>
  <c r="BG325" i="20"/>
  <c r="BG327" i="20"/>
  <c r="BG323" i="20"/>
  <c r="BG322" i="20"/>
  <c r="BG326" i="20"/>
  <c r="BG324" i="20"/>
  <c r="BG37" i="20"/>
  <c r="E27" i="3" s="1"/>
  <c r="J27" i="3" s="1"/>
  <c r="BE306" i="20"/>
  <c r="AU198" i="13"/>
  <c r="AP182" i="13"/>
  <c r="AO383" i="13"/>
  <c r="AP195" i="13"/>
  <c r="AP10" i="13"/>
  <c r="AQ10" i="13" s="1"/>
  <c r="AP93" i="13"/>
  <c r="AQ385" i="13"/>
  <c r="AR10" i="13"/>
  <c r="AP197" i="13"/>
  <c r="AS107" i="43"/>
  <c r="AR93" i="13"/>
  <c r="AV60" i="13"/>
  <c r="AZ60" i="13" s="1"/>
  <c r="BA60" i="13" s="1"/>
  <c r="AR91" i="13"/>
  <c r="AT90" i="13"/>
  <c r="AR195" i="13"/>
  <c r="AQ68" i="13"/>
  <c r="AQ178" i="13"/>
  <c r="AS383" i="13"/>
  <c r="AP383" i="13"/>
  <c r="AS127" i="13"/>
  <c r="AS130" i="13" s="1"/>
  <c r="AQ127" i="13"/>
  <c r="AQ130" i="13" s="1"/>
  <c r="AS93" i="13"/>
  <c r="AS95" i="13"/>
  <c r="AT95" i="13"/>
  <c r="AS195" i="13"/>
  <c r="AT93" i="13"/>
  <c r="AT91" i="13"/>
  <c r="AV57" i="13"/>
  <c r="AZ57" i="13" s="1"/>
  <c r="BA57" i="13" s="1"/>
  <c r="AR121" i="7"/>
  <c r="AS90" i="13"/>
  <c r="AP91" i="13"/>
  <c r="AV54" i="13"/>
  <c r="AR383" i="13"/>
  <c r="AR95" i="13"/>
  <c r="AP107" i="43"/>
  <c r="AP90" i="13"/>
  <c r="AP95" i="13"/>
  <c r="AO10" i="13"/>
  <c r="AQ106" i="43"/>
  <c r="AR107" i="43" s="1"/>
  <c r="AT107" i="43"/>
  <c r="AR90" i="13"/>
  <c r="AV58" i="13"/>
  <c r="AZ58" i="13" s="1"/>
  <c r="BA58" i="13" s="1"/>
  <c r="AS91" i="13"/>
  <c r="AV110" i="13"/>
  <c r="AP11" i="13"/>
  <c r="AP8" i="13" s="1"/>
  <c r="AO129" i="13"/>
  <c r="AO131" i="13" s="1"/>
  <c r="AT195" i="13"/>
  <c r="AR842" i="7"/>
  <c r="AR858" i="7" s="1"/>
  <c r="AR406" i="13"/>
  <c r="AH88" i="7"/>
  <c r="AH15" i="7"/>
  <c r="AO136" i="7"/>
  <c r="AP73" i="7"/>
  <c r="AP136" i="7" s="1"/>
  <c r="AH84" i="7"/>
  <c r="L326" i="7"/>
  <c r="L324" i="7" s="1"/>
  <c r="L85" i="7"/>
  <c r="AS25" i="7"/>
  <c r="Y72" i="15" s="1"/>
  <c r="AS90" i="7"/>
  <c r="AS93" i="7" s="1"/>
  <c r="I381" i="7"/>
  <c r="R649" i="7"/>
  <c r="S652" i="7"/>
  <c r="K649" i="7"/>
  <c r="K390" i="7" s="1"/>
  <c r="K465" i="7" s="1"/>
  <c r="AD878" i="7"/>
  <c r="AD880" i="7"/>
  <c r="AD881" i="7" s="1"/>
  <c r="AD14" i="1"/>
  <c r="AS137" i="7"/>
  <c r="AS76" i="7"/>
  <c r="AS139" i="7" s="1"/>
  <c r="AN86" i="7"/>
  <c r="AN83" i="7"/>
  <c r="AN9" i="7"/>
  <c r="AN84" i="7" s="1"/>
  <c r="AP8" i="7"/>
  <c r="AP83" i="7" s="1"/>
  <c r="AJ10" i="7"/>
  <c r="AJ85" i="7" s="1"/>
  <c r="AI85" i="7"/>
  <c r="AR181" i="7"/>
  <c r="AC700" i="7"/>
  <c r="AC703" i="7"/>
  <c r="AC702" i="7"/>
  <c r="AE77" i="7"/>
  <c r="AE140" i="7" s="1"/>
  <c r="O14" i="1"/>
  <c r="S72" i="15"/>
  <c r="AM34" i="7"/>
  <c r="AM100" i="7" s="1"/>
  <c r="Z380" i="7"/>
  <c r="AA380" i="7" s="1"/>
  <c r="AB497" i="7"/>
  <c r="AG463" i="7"/>
  <c r="AB561" i="7"/>
  <c r="AB601" i="7" s="1"/>
  <c r="AB602" i="7" s="1"/>
  <c r="AC463" i="7"/>
  <c r="AN85" i="7"/>
  <c r="AO10" i="7"/>
  <c r="AO85" i="7" s="1"/>
  <c r="Y371" i="7"/>
  <c r="X401" i="7"/>
  <c r="AK11" i="7"/>
  <c r="AK86" i="7" s="1"/>
  <c r="M649" i="7"/>
  <c r="M654" i="7"/>
  <c r="U389" i="7"/>
  <c r="V374" i="7"/>
  <c r="V389" i="7" s="1"/>
  <c r="V464" i="7" s="1"/>
  <c r="AJ99" i="7"/>
  <c r="J652" i="7"/>
  <c r="P449" i="7"/>
  <c r="P389" i="7"/>
  <c r="P464" i="7" s="1"/>
  <c r="R225" i="7"/>
  <c r="S697" i="7"/>
  <c r="R189" i="7"/>
  <c r="S190" i="7" s="1"/>
  <c r="S195" i="7" s="1"/>
  <c r="U193" i="7"/>
  <c r="T193" i="7"/>
  <c r="AB74" i="7"/>
  <c r="AB76" i="7" s="1"/>
  <c r="AB25" i="7"/>
  <c r="AB34" i="7" s="1"/>
  <c r="AJ31" i="7"/>
  <c r="AJ97" i="7" s="1"/>
  <c r="W909" i="7"/>
  <c r="V942" i="7"/>
  <c r="V913" i="7"/>
  <c r="Q177" i="7"/>
  <c r="Q179" i="7" s="1"/>
  <c r="Q181" i="7" s="1"/>
  <c r="R179" i="7"/>
  <c r="R181" i="7" s="1"/>
  <c r="AO81" i="7"/>
  <c r="AP6" i="7"/>
  <c r="I448" i="7"/>
  <c r="I456" i="7" s="1"/>
  <c r="I459" i="7" s="1"/>
  <c r="J446" i="7" s="1"/>
  <c r="I25" i="7"/>
  <c r="AD83" i="7"/>
  <c r="AE8" i="7"/>
  <c r="AF8" i="7" s="1"/>
  <c r="AF83" i="7" s="1"/>
  <c r="AE708" i="7"/>
  <c r="AE711" i="7"/>
  <c r="L649" i="7"/>
  <c r="L654" i="7"/>
  <c r="L655" i="7" s="1"/>
  <c r="AC90" i="7"/>
  <c r="AC25" i="7"/>
  <c r="AC34" i="7" s="1"/>
  <c r="AO9" i="7"/>
  <c r="AO84" i="7" s="1"/>
  <c r="AO82" i="7"/>
  <c r="Q6" i="7"/>
  <c r="Q81" i="7" s="1"/>
  <c r="P81" i="7"/>
  <c r="T225" i="7"/>
  <c r="T189" i="7"/>
  <c r="T694" i="7"/>
  <c r="AM817" i="7"/>
  <c r="AQ817" i="7"/>
  <c r="O717" i="7"/>
  <c r="O721" i="7" s="1"/>
  <c r="O720" i="7"/>
  <c r="S232" i="7"/>
  <c r="S681" i="7" s="1"/>
  <c r="S217" i="7"/>
  <c r="U225" i="7"/>
  <c r="U694" i="7"/>
  <c r="U703" i="7" s="1"/>
  <c r="U189" i="7"/>
  <c r="U697" i="7"/>
  <c r="AK32" i="7"/>
  <c r="J192" i="7"/>
  <c r="J727" i="7"/>
  <c r="J728" i="7" s="1"/>
  <c r="J567" i="7"/>
  <c r="AJ98" i="7"/>
  <c r="AJ45" i="7"/>
  <c r="U25" i="1"/>
  <c r="J665" i="7"/>
  <c r="T697" i="7"/>
  <c r="P97" i="7"/>
  <c r="Q31" i="7"/>
  <c r="Q97" i="7" s="1"/>
  <c r="S164" i="7"/>
  <c r="S168" i="7"/>
  <c r="W168" i="7"/>
  <c r="W172" i="7" s="1"/>
  <c r="W164" i="7"/>
  <c r="R74" i="7"/>
  <c r="R76" i="7" s="1"/>
  <c r="R34" i="7"/>
  <c r="S384" i="7"/>
  <c r="AN58" i="7"/>
  <c r="AN118" i="7" s="1"/>
  <c r="K711" i="7"/>
  <c r="K525" i="7"/>
  <c r="L525" i="7"/>
  <c r="Q654" i="7"/>
  <c r="AI74" i="7"/>
  <c r="AI76" i="7" s="1"/>
  <c r="AI139" i="7" s="1"/>
  <c r="P654" i="7"/>
  <c r="P655" i="7" s="1"/>
  <c r="P663" i="7" s="1"/>
  <c r="P649" i="7"/>
  <c r="Q312" i="7"/>
  <c r="AJ72" i="7"/>
  <c r="AA308" i="7"/>
  <c r="AO71" i="7"/>
  <c r="AN136" i="7"/>
  <c r="Z9" i="7"/>
  <c r="Z82" i="7"/>
  <c r="AA7" i="7"/>
  <c r="AA82" i="7" s="1"/>
  <c r="Q649" i="7"/>
  <c r="AJ448" i="7"/>
  <c r="K567" i="7"/>
  <c r="K192" i="7"/>
  <c r="L193" i="7" s="1"/>
  <c r="K728" i="7"/>
  <c r="K770" i="7" s="1"/>
  <c r="L728" i="7"/>
  <c r="L770" i="7" s="1"/>
  <c r="AF951" i="7"/>
  <c r="AG951" i="7" s="1"/>
  <c r="AG952" i="7"/>
  <c r="AE307" i="7"/>
  <c r="AE425" i="7"/>
  <c r="AE430" i="7" s="1"/>
  <c r="AI479" i="7"/>
  <c r="AH480" i="7"/>
  <c r="AH514" i="7"/>
  <c r="L77" i="7"/>
  <c r="L140" i="7" s="1"/>
  <c r="R654" i="7"/>
  <c r="R655" i="7" s="1"/>
  <c r="AN119" i="7"/>
  <c r="AN634" i="7"/>
  <c r="AN447" i="7"/>
  <c r="AN633" i="7"/>
  <c r="AN95" i="7"/>
  <c r="AN87" i="7"/>
  <c r="AN92" i="7"/>
  <c r="P98" i="7"/>
  <c r="P99" i="7"/>
  <c r="P96" i="7"/>
  <c r="R692" i="7"/>
  <c r="Q698" i="7"/>
  <c r="AA33" i="7"/>
  <c r="AA99" i="7" s="1"/>
  <c r="AJ73" i="7"/>
  <c r="T98" i="7"/>
  <c r="T85" i="7"/>
  <c r="T452" i="7"/>
  <c r="T97" i="7"/>
  <c r="T99" i="7"/>
  <c r="K647" i="7"/>
  <c r="K666" i="7" s="1"/>
  <c r="N720" i="7"/>
  <c r="N717" i="7"/>
  <c r="N721" i="7" s="1"/>
  <c r="S34" i="7"/>
  <c r="V311" i="7"/>
  <c r="V372" i="7" s="1"/>
  <c r="V447" i="7" s="1"/>
  <c r="T372" i="7"/>
  <c r="T447" i="7" s="1"/>
  <c r="AH465" i="7"/>
  <c r="AH409" i="7"/>
  <c r="AK8" i="7"/>
  <c r="AK83" i="7" s="1"/>
  <c r="V77" i="7"/>
  <c r="V140" i="7" s="1"/>
  <c r="Z379" i="7"/>
  <c r="AA379" i="7" s="1"/>
  <c r="Y313" i="7"/>
  <c r="Y314" i="7" s="1"/>
  <c r="AB463" i="7"/>
  <c r="AB503" i="7" s="1"/>
  <c r="W497" i="7"/>
  <c r="X463" i="7"/>
  <c r="W561" i="7"/>
  <c r="W601" i="7" s="1"/>
  <c r="AD741" i="7"/>
  <c r="AD739" i="7"/>
  <c r="AE741" i="7"/>
  <c r="AA77" i="7"/>
  <c r="AA140" i="7" s="1"/>
  <c r="AF308" i="7"/>
  <c r="V12" i="7"/>
  <c r="V87" i="7" s="1"/>
  <c r="U87" i="7"/>
  <c r="AB888" i="7"/>
  <c r="Y909" i="7"/>
  <c r="Y459" i="7"/>
  <c r="AN450" i="7"/>
  <c r="M709" i="7"/>
  <c r="L378" i="7"/>
  <c r="L379" i="7"/>
  <c r="P379" i="7"/>
  <c r="P454" i="7" s="1"/>
  <c r="O454" i="7"/>
  <c r="P727" i="7"/>
  <c r="Q728" i="7"/>
  <c r="Q770" i="7" s="1"/>
  <c r="T411" i="7"/>
  <c r="W378" i="7"/>
  <c r="AN140" i="7"/>
  <c r="AN454" i="7"/>
  <c r="AJ24" i="7"/>
  <c r="O56" i="15"/>
  <c r="I410" i="7"/>
  <c r="P190" i="7"/>
  <c r="P195" i="7" s="1"/>
  <c r="Z371" i="7"/>
  <c r="AO374" i="7"/>
  <c r="AP374" i="7" s="1"/>
  <c r="AN389" i="7"/>
  <c r="AN464" i="7" s="1"/>
  <c r="AR700" i="7"/>
  <c r="AR703" i="7"/>
  <c r="AR702" i="7"/>
  <c r="K654" i="7"/>
  <c r="K655" i="7" s="1"/>
  <c r="AO33" i="7"/>
  <c r="AO99" i="7" s="1"/>
  <c r="T25" i="1"/>
  <c r="AA448" i="7"/>
  <c r="U7" i="7"/>
  <c r="U9" i="7" s="1"/>
  <c r="T9" i="7"/>
  <c r="T84" i="7" s="1"/>
  <c r="AH326" i="7"/>
  <c r="AH323" i="7" s="1"/>
  <c r="AH757" i="7"/>
  <c r="AH126" i="7"/>
  <c r="AH134" i="7"/>
  <c r="AH119" i="7"/>
  <c r="AH81" i="7"/>
  <c r="AH95" i="7"/>
  <c r="AH137" i="7"/>
  <c r="AH92" i="7"/>
  <c r="AH104" i="7" s="1"/>
  <c r="AL102" i="7"/>
  <c r="AO51" i="7"/>
  <c r="AQ732" i="7"/>
  <c r="AQ738" i="7" s="1"/>
  <c r="AP738" i="7"/>
  <c r="O410" i="7"/>
  <c r="P375" i="7"/>
  <c r="P410" i="7" s="1"/>
  <c r="P505" i="7" s="1"/>
  <c r="O450" i="7"/>
  <c r="Y50" i="7"/>
  <c r="Y110" i="7" s="1"/>
  <c r="AN741" i="7"/>
  <c r="AH1049" i="7"/>
  <c r="AH1050" i="7" s="1"/>
  <c r="AH1046" i="7"/>
  <c r="AN127" i="7"/>
  <c r="L711" i="7"/>
  <c r="V732" i="7"/>
  <c r="V737" i="7"/>
  <c r="W731" i="7"/>
  <c r="AO703" i="7"/>
  <c r="AO702" i="7"/>
  <c r="AO700" i="7"/>
  <c r="AH447" i="7"/>
  <c r="AK71" i="7"/>
  <c r="AJ58" i="7"/>
  <c r="AJ118" i="7" s="1"/>
  <c r="I450" i="7"/>
  <c r="M102" i="7"/>
  <c r="M757" i="7" s="1"/>
  <c r="I92" i="7"/>
  <c r="I104" i="7" s="1"/>
  <c r="I326" i="7"/>
  <c r="I319" i="7" s="1"/>
  <c r="V506" i="7"/>
  <c r="L647" i="7"/>
  <c r="L666" i="7" s="1"/>
  <c r="M707" i="7"/>
  <c r="M571" i="7"/>
  <c r="M223" i="7" s="1"/>
  <c r="L223" i="7"/>
  <c r="U24" i="7"/>
  <c r="V24" i="7" s="1"/>
  <c r="V92" i="7" s="1"/>
  <c r="V104" i="7" s="1"/>
  <c r="T92" i="7"/>
  <c r="T104" i="7" s="1"/>
  <c r="N164" i="7"/>
  <c r="N168" i="7"/>
  <c r="AQ680" i="7"/>
  <c r="AQ192" i="7"/>
  <c r="AR193" i="7" s="1"/>
  <c r="AQ567" i="7"/>
  <c r="Z937" i="7"/>
  <c r="Z915" i="7"/>
  <c r="H67" i="16" s="1"/>
  <c r="AB164" i="7"/>
  <c r="AB168" i="7"/>
  <c r="AB172" i="7" s="1"/>
  <c r="AC739" i="7"/>
  <c r="AC45" i="7"/>
  <c r="AD52" i="7"/>
  <c r="AC112" i="7"/>
  <c r="AK459" i="7"/>
  <c r="AK496" i="7" s="1"/>
  <c r="AK401" i="7"/>
  <c r="AK403" i="7" s="1"/>
  <c r="U29" i="7"/>
  <c r="U756" i="7" s="1"/>
  <c r="U757" i="7" s="1"/>
  <c r="T756" i="7"/>
  <c r="T757" i="7" s="1"/>
  <c r="Z347" i="7"/>
  <c r="Z338" i="7" s="1"/>
  <c r="Y338" i="7"/>
  <c r="Z700" i="7"/>
  <c r="Z702" i="7"/>
  <c r="AJ77" i="7"/>
  <c r="AK77" i="7" s="1"/>
  <c r="T14" i="1"/>
  <c r="AI807" i="7"/>
  <c r="AL733" i="7"/>
  <c r="AL737" i="7"/>
  <c r="AM975" i="7"/>
  <c r="AQ975" i="7"/>
  <c r="AL975" i="7"/>
  <c r="AH880" i="7"/>
  <c r="AH881" i="7" s="1"/>
  <c r="O756" i="7"/>
  <c r="O757" i="7" s="1"/>
  <c r="P29" i="7"/>
  <c r="P756" i="7" s="1"/>
  <c r="P757" i="7" s="1"/>
  <c r="AB703" i="7"/>
  <c r="AE390" i="7"/>
  <c r="AE409" i="7" s="1"/>
  <c r="AE504" i="7" s="1"/>
  <c r="AE447" i="7"/>
  <c r="AG514" i="7"/>
  <c r="AG516" i="7" s="1"/>
  <c r="AH516" i="7" s="1"/>
  <c r="AI516" i="7" s="1"/>
  <c r="AG702" i="7"/>
  <c r="AG699" i="7"/>
  <c r="AH699" i="7"/>
  <c r="AN742" i="7"/>
  <c r="AM739" i="7"/>
  <c r="O326" i="7"/>
  <c r="O97" i="7"/>
  <c r="L24" i="7"/>
  <c r="L92" i="7" s="1"/>
  <c r="L104" i="7" s="1"/>
  <c r="K694" i="7"/>
  <c r="M691" i="7"/>
  <c r="AD82" i="7"/>
  <c r="AE7" i="7"/>
  <c r="AD9" i="7"/>
  <c r="AE57" i="7"/>
  <c r="AF57" i="7" s="1"/>
  <c r="AD117" i="7"/>
  <c r="AD43" i="7"/>
  <c r="AF428" i="7"/>
  <c r="AF634" i="7" s="1"/>
  <c r="AE634" i="7"/>
  <c r="AM799" i="7"/>
  <c r="AM796" i="7"/>
  <c r="AM797" i="7"/>
  <c r="AM800" i="7"/>
  <c r="AM798" i="7"/>
  <c r="AO666" i="7"/>
  <c r="AO665" i="7"/>
  <c r="AO9" i="45"/>
  <c r="AO4" i="45" s="1"/>
  <c r="AO5" i="45" s="1"/>
  <c r="AO981" i="7"/>
  <c r="AO989" i="7"/>
  <c r="AO293" i="7"/>
  <c r="AO295" i="7" s="1"/>
  <c r="AO246" i="7" s="1"/>
  <c r="N703" i="7"/>
  <c r="U30" i="7"/>
  <c r="V30" i="7" s="1"/>
  <c r="V96" i="7" s="1"/>
  <c r="N449" i="7"/>
  <c r="R102" i="7"/>
  <c r="N84" i="7"/>
  <c r="M567" i="7"/>
  <c r="N728" i="7"/>
  <c r="V418" i="7"/>
  <c r="Q223" i="7"/>
  <c r="R571" i="7"/>
  <c r="R223" i="7" s="1"/>
  <c r="AA232" i="7"/>
  <c r="AA471" i="7"/>
  <c r="AA222" i="7"/>
  <c r="AA754" i="7"/>
  <c r="S19" i="17" s="1"/>
  <c r="AA459" i="7"/>
  <c r="AA496" i="7" s="1"/>
  <c r="AS700" i="7"/>
  <c r="AR388" i="7"/>
  <c r="AQ402" i="7"/>
  <c r="AQ405" i="7" s="1"/>
  <c r="AR393" i="7" s="1"/>
  <c r="L697" i="7"/>
  <c r="K754" i="7"/>
  <c r="K222" i="7"/>
  <c r="K232" i="7"/>
  <c r="J529" i="7"/>
  <c r="AB702" i="7"/>
  <c r="AE374" i="7"/>
  <c r="AF374" i="7" s="1"/>
  <c r="AF389" i="7" s="1"/>
  <c r="AD389" i="7"/>
  <c r="AP981" i="7"/>
  <c r="AP293" i="7"/>
  <c r="AP295" i="7" s="1"/>
  <c r="AC492" i="7"/>
  <c r="AO29" i="7"/>
  <c r="AP29" i="7" s="1"/>
  <c r="O80" i="15"/>
  <c r="AJ29" i="7"/>
  <c r="AI756" i="7"/>
  <c r="W215" i="7"/>
  <c r="W645" i="7"/>
  <c r="AC903" i="7"/>
  <c r="AC902" i="7"/>
  <c r="AD702" i="7"/>
  <c r="AD700" i="7"/>
  <c r="AF265" i="7"/>
  <c r="AF266" i="7" s="1"/>
  <c r="AF244" i="7" s="1"/>
  <c r="AF223" i="7"/>
  <c r="AG571" i="7"/>
  <c r="Z49" i="7"/>
  <c r="AA49" i="7" s="1"/>
  <c r="V232" i="7"/>
  <c r="V681" i="7" s="1"/>
  <c r="V222" i="7"/>
  <c r="Y742" i="7"/>
  <c r="Y739" i="7"/>
  <c r="AA163" i="7"/>
  <c r="Y177" i="7"/>
  <c r="AN807" i="7"/>
  <c r="AN809" i="7" s="1"/>
  <c r="AN390" i="7"/>
  <c r="AN409" i="7" s="1"/>
  <c r="AO827" i="7"/>
  <c r="AO826" i="7" s="1"/>
  <c r="AO822" i="7"/>
  <c r="AP819" i="7"/>
  <c r="AP827" i="7" s="1"/>
  <c r="AQ102" i="7"/>
  <c r="O728" i="7"/>
  <c r="O770" i="7" s="1"/>
  <c r="N708" i="7"/>
  <c r="N712" i="7" s="1"/>
  <c r="N711" i="7"/>
  <c r="AM128" i="7"/>
  <c r="AO119" i="7"/>
  <c r="AO634" i="7"/>
  <c r="Q189" i="7"/>
  <c r="Q190" i="7" s="1"/>
  <c r="Q195" i="7" s="1"/>
  <c r="Q697" i="7"/>
  <c r="Q225" i="7"/>
  <c r="Q694" i="7"/>
  <c r="U525" i="7"/>
  <c r="T711" i="7"/>
  <c r="O166" i="7"/>
  <c r="P162" i="7"/>
  <c r="AP447" i="7"/>
  <c r="AP465" i="7"/>
  <c r="AP504" i="7"/>
  <c r="AP119" i="7"/>
  <c r="AP326" i="7"/>
  <c r="AP320" i="7" s="1"/>
  <c r="AP342" i="7" s="1"/>
  <c r="AP341" i="7" s="1"/>
  <c r="AP632" i="7"/>
  <c r="AP97" i="7"/>
  <c r="P10" i="7"/>
  <c r="P85" i="7" s="1"/>
  <c r="R699" i="7"/>
  <c r="S699" i="7"/>
  <c r="V307" i="7"/>
  <c r="Y666" i="7"/>
  <c r="Y665" i="7"/>
  <c r="AD42" i="7"/>
  <c r="AE49" i="7"/>
  <c r="AF49" i="7" s="1"/>
  <c r="AM98" i="7"/>
  <c r="U699" i="7"/>
  <c r="W237" i="7"/>
  <c r="W222" i="7" s="1"/>
  <c r="P698" i="7"/>
  <c r="P694" i="7"/>
  <c r="R709" i="7"/>
  <c r="Q711" i="7"/>
  <c r="Z96" i="7"/>
  <c r="Z97" i="7"/>
  <c r="AH698" i="7"/>
  <c r="AL698" i="7"/>
  <c r="AG698" i="7"/>
  <c r="Z167" i="7"/>
  <c r="Y180" i="7"/>
  <c r="AF807" i="7"/>
  <c r="AF809" i="7" s="1"/>
  <c r="AP1056" i="7"/>
  <c r="AG1043" i="7"/>
  <c r="AF1051" i="7"/>
  <c r="AB733" i="7"/>
  <c r="AB737" i="7"/>
  <c r="AG700" i="7"/>
  <c r="AE835" i="7"/>
  <c r="AE838" i="7"/>
  <c r="AE839" i="7" s="1"/>
  <c r="AF831" i="7"/>
  <c r="AG831" i="7" s="1"/>
  <c r="AN827" i="7"/>
  <c r="O376" i="7"/>
  <c r="O391" i="7"/>
  <c r="O466" i="7" s="1"/>
  <c r="P377" i="7"/>
  <c r="P452" i="7" s="1"/>
  <c r="AD332" i="7"/>
  <c r="AF346" i="7"/>
  <c r="AF332" i="7" s="1"/>
  <c r="AF700" i="7"/>
  <c r="AF702" i="7"/>
  <c r="AH739" i="7"/>
  <c r="AI742" i="7"/>
  <c r="AH961" i="7"/>
  <c r="AH903" i="7"/>
  <c r="AH902" i="7"/>
  <c r="AA742" i="7"/>
  <c r="AA739" i="7"/>
  <c r="AC880" i="7"/>
  <c r="AC881" i="7" s="1"/>
  <c r="AC878" i="7"/>
  <c r="AN961" i="7"/>
  <c r="AN906" i="7"/>
  <c r="AN902" i="7"/>
  <c r="AN903" i="7"/>
  <c r="O371" i="7"/>
  <c r="V8" i="7"/>
  <c r="V83" i="7" s="1"/>
  <c r="X739" i="7"/>
  <c r="Y741" i="7"/>
  <c r="AF312" i="7"/>
  <c r="AE314" i="7"/>
  <c r="AB875" i="7"/>
  <c r="AB880" i="7"/>
  <c r="AB881" i="7" s="1"/>
  <c r="AC875" i="7"/>
  <c r="AB754" i="7"/>
  <c r="AB765" i="7" s="1"/>
  <c r="AD333" i="7"/>
  <c r="AF351" i="7"/>
  <c r="AF333" i="7" s="1"/>
  <c r="AF875" i="7"/>
  <c r="AG869" i="7"/>
  <c r="AF872" i="7"/>
  <c r="U737" i="7"/>
  <c r="U739" i="7" s="1"/>
  <c r="U733" i="7"/>
  <c r="Z410" i="7"/>
  <c r="Z505" i="7" s="1"/>
  <c r="AA375" i="7"/>
  <c r="AB225" i="7"/>
  <c r="AB514" i="7"/>
  <c r="AB516" i="7" s="1"/>
  <c r="AB189" i="7"/>
  <c r="AC190" i="7" s="1"/>
  <c r="AC195" i="7" s="1"/>
  <c r="AD902" i="7"/>
  <c r="AD961" i="7"/>
  <c r="AE632" i="7"/>
  <c r="AF426" i="7"/>
  <c r="AF632" i="7" s="1"/>
  <c r="AL167" i="7"/>
  <c r="AO1018" i="7"/>
  <c r="AN1033" i="7"/>
  <c r="AO1028" i="7" s="1"/>
  <c r="AE700" i="7"/>
  <c r="AE703" i="7"/>
  <c r="P163" i="7"/>
  <c r="Q163" i="7" s="1"/>
  <c r="AB384" i="7"/>
  <c r="AB217" i="7"/>
  <c r="AB218" i="7" s="1"/>
  <c r="AI665" i="7"/>
  <c r="AI666" i="7"/>
  <c r="AA371" i="7"/>
  <c r="AB571" i="7"/>
  <c r="AD634" i="7"/>
  <c r="AD119" i="7"/>
  <c r="AD97" i="7"/>
  <c r="AF311" i="7"/>
  <c r="AF372" i="7" s="1"/>
  <c r="AJ311" i="7"/>
  <c r="AK311" i="7" s="1"/>
  <c r="AI372" i="7"/>
  <c r="AI447" i="7" s="1"/>
  <c r="AO800" i="7"/>
  <c r="AO799" i="7"/>
  <c r="AO798" i="7"/>
  <c r="AO796" i="7"/>
  <c r="AD168" i="7"/>
  <c r="AD172" i="7" s="1"/>
  <c r="AD185" i="7"/>
  <c r="AD807" i="7"/>
  <c r="AD809" i="7" s="1"/>
  <c r="AE181" i="7"/>
  <c r="AF166" i="7"/>
  <c r="AF164" i="7" s="1"/>
  <c r="AI225" i="7"/>
  <c r="AI875" i="7"/>
  <c r="AJ875" i="7"/>
  <c r="AK312" i="7"/>
  <c r="AR878" i="7"/>
  <c r="AR880" i="7"/>
  <c r="AR881" i="7" s="1"/>
  <c r="T410" i="7"/>
  <c r="U375" i="7"/>
  <c r="U450" i="7" s="1"/>
  <c r="Z465" i="7"/>
  <c r="AB653" i="7"/>
  <c r="AB665" i="7"/>
  <c r="AF12" i="7"/>
  <c r="AF87" i="7" s="1"/>
  <c r="AD87" i="7"/>
  <c r="AD166" i="7"/>
  <c r="AD164" i="7" s="1"/>
  <c r="AH905" i="7"/>
  <c r="AJ190" i="7"/>
  <c r="AJ195" i="7" s="1"/>
  <c r="AJ198" i="7" s="1"/>
  <c r="AI190" i="7"/>
  <c r="AI195" i="7" s="1"/>
  <c r="AI198" i="7" s="1"/>
  <c r="AJ168" i="7"/>
  <c r="AJ172" i="7" s="1"/>
  <c r="AJ185" i="7"/>
  <c r="AL720" i="7"/>
  <c r="AO576" i="7"/>
  <c r="AO685" i="7" s="1"/>
  <c r="AP575" i="7"/>
  <c r="AF765" i="7"/>
  <c r="T23" i="17" s="1"/>
  <c r="S23" i="17"/>
  <c r="AB876" i="7"/>
  <c r="AG876" i="7"/>
  <c r="AF24" i="7"/>
  <c r="AF92" i="7" s="1"/>
  <c r="AF104" i="7" s="1"/>
  <c r="AH703" i="7"/>
  <c r="AI700" i="7"/>
  <c r="AH702" i="7"/>
  <c r="AH700" i="7"/>
  <c r="AL514" i="7"/>
  <c r="AL516" i="7" s="1"/>
  <c r="AM479" i="7"/>
  <c r="AM514" i="7" s="1"/>
  <c r="AM516" i="7" s="1"/>
  <c r="AS238" i="7"/>
  <c r="AS924" i="7"/>
  <c r="AS459" i="7"/>
  <c r="AN838" i="7"/>
  <c r="AN839" i="7" s="1"/>
  <c r="AN835" i="7"/>
  <c r="AD796" i="7"/>
  <c r="AD798" i="7"/>
  <c r="AE375" i="7"/>
  <c r="AE450" i="7" s="1"/>
  <c r="AD410" i="7"/>
  <c r="AI902" i="7"/>
  <c r="AI961" i="7"/>
  <c r="AI906" i="7"/>
  <c r="AI903" i="7"/>
  <c r="AK741" i="7"/>
  <c r="AK739" i="7"/>
  <c r="AC392" i="7"/>
  <c r="AC454" i="7"/>
  <c r="AC83" i="7"/>
  <c r="AC99" i="7"/>
  <c r="AC110" i="7"/>
  <c r="AC87" i="7"/>
  <c r="AC449" i="7"/>
  <c r="AC85" i="7"/>
  <c r="AC450" i="7"/>
  <c r="AC86" i="7"/>
  <c r="AC117" i="7"/>
  <c r="AC95" i="7"/>
  <c r="AC109" i="7"/>
  <c r="AD928" i="7"/>
  <c r="AD929" i="7" s="1"/>
  <c r="AD95" i="7"/>
  <c r="AE29" i="7"/>
  <c r="AF1008" i="7"/>
  <c r="AF222" i="7"/>
  <c r="AF229" i="7"/>
  <c r="AF280" i="7" s="1"/>
  <c r="AF842" i="7" s="1"/>
  <c r="AG237" i="7"/>
  <c r="AG459" i="7" s="1"/>
  <c r="AG496" i="7" s="1"/>
  <c r="AF924" i="7"/>
  <c r="AQ29" i="13"/>
  <c r="AN230" i="7"/>
  <c r="AN297" i="7" s="1"/>
  <c r="AN229" i="7"/>
  <c r="AN280" i="7" s="1"/>
  <c r="AN842" i="7" s="1"/>
  <c r="AO185" i="7"/>
  <c r="AO168" i="7"/>
  <c r="AO172" i="7" s="1"/>
  <c r="AC168" i="7"/>
  <c r="AC465" i="7"/>
  <c r="AG680" i="7"/>
  <c r="AG192" i="7"/>
  <c r="AH193" i="7" s="1"/>
  <c r="AG567" i="7"/>
  <c r="AJ905" i="7"/>
  <c r="AK905" i="7"/>
  <c r="AP380" i="7"/>
  <c r="BG1056" i="7"/>
  <c r="AC84" i="7"/>
  <c r="AC164" i="7"/>
  <c r="Y166" i="7"/>
  <c r="Z162" i="7"/>
  <c r="AE380" i="7"/>
  <c r="AF380" i="7" s="1"/>
  <c r="AL225" i="7"/>
  <c r="AM875" i="7"/>
  <c r="AJ902" i="7"/>
  <c r="AJ903" i="7"/>
  <c r="AJ906" i="7"/>
  <c r="AJ961" i="7"/>
  <c r="AS791" i="7"/>
  <c r="AS806" i="7"/>
  <c r="AS807" i="7" s="1"/>
  <c r="AS811" i="7" s="1"/>
  <c r="AN1050" i="7"/>
  <c r="AE1050" i="7"/>
  <c r="AO1043" i="7"/>
  <c r="AC82" i="7"/>
  <c r="Z222" i="7"/>
  <c r="Z224" i="7" s="1"/>
  <c r="Z226" i="7" s="1"/>
  <c r="Z232" i="7"/>
  <c r="AD99" i="7"/>
  <c r="AE33" i="7"/>
  <c r="AE232" i="7"/>
  <c r="AE260" i="7" s="1"/>
  <c r="AE754" i="7"/>
  <c r="AE222" i="7"/>
  <c r="AK190" i="7"/>
  <c r="AK195" i="7" s="1"/>
  <c r="AK198" i="7" s="1"/>
  <c r="AM388" i="7"/>
  <c r="AQ388" i="7"/>
  <c r="AL402" i="7"/>
  <c r="AQ167" i="7"/>
  <c r="AP838" i="7"/>
  <c r="AO1029" i="7"/>
  <c r="AO1031" i="7"/>
  <c r="AK825" i="7"/>
  <c r="AP825" i="7"/>
  <c r="AC88" i="7"/>
  <c r="Z739" i="7"/>
  <c r="AE906" i="7"/>
  <c r="AE961" i="7"/>
  <c r="AJ1020" i="7"/>
  <c r="AK1020" i="7" s="1"/>
  <c r="AK1030" i="7" s="1"/>
  <c r="AL805" i="7"/>
  <c r="AL797" i="7"/>
  <c r="AO742" i="7"/>
  <c r="AO739" i="7"/>
  <c r="AP807" i="7"/>
  <c r="AP812" i="7" s="1"/>
  <c r="BB832" i="7"/>
  <c r="AA700" i="7"/>
  <c r="AI905" i="7"/>
  <c r="AK708" i="7"/>
  <c r="AL707" i="7"/>
  <c r="AL711" i="7" s="1"/>
  <c r="AK711" i="7"/>
  <c r="AF1046" i="7"/>
  <c r="AG1042" i="7"/>
  <c r="AA741" i="7"/>
  <c r="AG887" i="7"/>
  <c r="AK906" i="7"/>
  <c r="AK902" i="7"/>
  <c r="AM720" i="7"/>
  <c r="AM903" i="7"/>
  <c r="AM961" i="7"/>
  <c r="AN872" i="7"/>
  <c r="AN952" i="7"/>
  <c r="AN951" i="7" s="1"/>
  <c r="AN875" i="7"/>
  <c r="AN410" i="7"/>
  <c r="AN505" i="7" s="1"/>
  <c r="AO375" i="7"/>
  <c r="AP467" i="7"/>
  <c r="AP392" i="7" s="1"/>
  <c r="AP492" i="7"/>
  <c r="AN313" i="7"/>
  <c r="AN314" i="7" s="1"/>
  <c r="AO379" i="7"/>
  <c r="AQ892" i="7"/>
  <c r="AQ893" i="7"/>
  <c r="AS52" i="7"/>
  <c r="AS45" i="7" s="1"/>
  <c r="AC224" i="7"/>
  <c r="AC226" i="7" s="1"/>
  <c r="AC248" i="7"/>
  <c r="AK666" i="7"/>
  <c r="AK665" i="7"/>
  <c r="AL179" i="7"/>
  <c r="AM166" i="7" s="1"/>
  <c r="AK181" i="7"/>
  <c r="AO708" i="7"/>
  <c r="AO711" i="7"/>
  <c r="AF277" i="7"/>
  <c r="AF289" i="7" s="1"/>
  <c r="AQ666" i="7"/>
  <c r="AQ901" i="7"/>
  <c r="AR906" i="7" s="1"/>
  <c r="AJ1049" i="7"/>
  <c r="AQ805" i="7"/>
  <c r="AJ379" i="7"/>
  <c r="AL976" i="7"/>
  <c r="AQ976" i="7"/>
  <c r="AM1008" i="7"/>
  <c r="AM924" i="7"/>
  <c r="AQ699" i="7"/>
  <c r="AR699" i="7"/>
  <c r="AQ806" i="7"/>
  <c r="AP906" i="7"/>
  <c r="AP903" i="7"/>
  <c r="AP902" i="7"/>
  <c r="AP961" i="7"/>
  <c r="AQ791" i="7"/>
  <c r="AQ797" i="7" s="1"/>
  <c r="AP800" i="7"/>
  <c r="AP799" i="7"/>
  <c r="AP798" i="7"/>
  <c r="AQ45" i="7"/>
  <c r="AG856" i="7"/>
  <c r="AI1018" i="7"/>
  <c r="AI1023" i="7" s="1"/>
  <c r="AI1033" i="7" s="1"/>
  <c r="AJ1028" i="7" s="1"/>
  <c r="AH1033" i="7"/>
  <c r="AI1028" i="7" s="1"/>
  <c r="AI314" i="7"/>
  <c r="AT1041" i="7"/>
  <c r="AT1049" i="7" s="1"/>
  <c r="AT1050" i="7" s="1"/>
  <c r="AJ1043" i="7"/>
  <c r="AR708" i="7"/>
  <c r="AJ401" i="7"/>
  <c r="AK371" i="7"/>
  <c r="AI1063" i="7"/>
  <c r="AL1028" i="7"/>
  <c r="AH1028" i="7"/>
  <c r="AR1054" i="7"/>
  <c r="AQ1074" i="7"/>
  <c r="AF11" i="7"/>
  <c r="AF86" i="7" s="1"/>
  <c r="AI223" i="7"/>
  <c r="AI265" i="7"/>
  <c r="AI266" i="7" s="1"/>
  <c r="AI244" i="7" s="1"/>
  <c r="AL956" i="7"/>
  <c r="AK959" i="7"/>
  <c r="AL959" i="7" s="1"/>
  <c r="AR807" i="7"/>
  <c r="AR810" i="7" s="1"/>
  <c r="AH1029" i="7"/>
  <c r="AD825" i="7"/>
  <c r="AD826" i="7" s="1"/>
  <c r="AE818" i="7"/>
  <c r="AI1059" i="7"/>
  <c r="AJ1056" i="7"/>
  <c r="AL806" i="7"/>
  <c r="AL275" i="7"/>
  <c r="AL856" i="7"/>
  <c r="AL887" i="7"/>
  <c r="AF1055" i="7"/>
  <c r="AE1059" i="7"/>
  <c r="AE1062" i="7"/>
  <c r="AE1063" i="7" s="1"/>
  <c r="AP741" i="7"/>
  <c r="AP21" i="12" s="1"/>
  <c r="AQ736" i="7"/>
  <c r="AQ739" i="7" s="1"/>
  <c r="AK230" i="7"/>
  <c r="AK297" i="7" s="1"/>
  <c r="AK924" i="7"/>
  <c r="AK925" i="7" s="1"/>
  <c r="AK1008" i="7"/>
  <c r="AK232" i="7"/>
  <c r="AK754" i="7"/>
  <c r="AO952" i="7"/>
  <c r="AO951" i="7" s="1"/>
  <c r="AO880" i="7"/>
  <c r="AO881" i="7" s="1"/>
  <c r="BD832" i="7"/>
  <c r="BI832" i="7" s="1"/>
  <c r="BN832" i="7" s="1"/>
  <c r="BS832" i="7" s="1"/>
  <c r="BX832" i="7" s="1"/>
  <c r="AP739" i="7"/>
  <c r="AP742" i="7"/>
  <c r="AQ877" i="7"/>
  <c r="AR877" i="7"/>
  <c r="AR697" i="7"/>
  <c r="AL799" i="7"/>
  <c r="AM807" i="7"/>
  <c r="AO1059" i="7"/>
  <c r="AQ856" i="7"/>
  <c r="AO1020" i="7"/>
  <c r="AN1030" i="7"/>
  <c r="AR492" i="7"/>
  <c r="AR467" i="7"/>
  <c r="AR392" i="7" s="1"/>
  <c r="AS875" i="7"/>
  <c r="AR225" i="7"/>
  <c r="AI796" i="7"/>
  <c r="AI798" i="7"/>
  <c r="AJ429" i="7"/>
  <c r="AK429" i="7" s="1"/>
  <c r="AL666" i="7"/>
  <c r="AL727" i="7"/>
  <c r="AL264" i="7"/>
  <c r="AL980" i="7"/>
  <c r="AL995" i="7"/>
  <c r="AO1022" i="7"/>
  <c r="AP1022" i="7" s="1"/>
  <c r="AS825" i="7"/>
  <c r="AS826" i="7" s="1"/>
  <c r="AS822" i="7"/>
  <c r="AL1041" i="7"/>
  <c r="AI1008" i="7"/>
  <c r="AI754" i="7"/>
  <c r="S25" i="17" s="1"/>
  <c r="AI228" i="7"/>
  <c r="AI924" i="7"/>
  <c r="AI459" i="7"/>
  <c r="AD1050" i="7"/>
  <c r="AG1067" i="7"/>
  <c r="AH1054" i="7"/>
  <c r="AR409" i="7"/>
  <c r="AR504" i="7" s="1"/>
  <c r="AR449" i="7"/>
  <c r="AU830" i="7"/>
  <c r="AR31" i="13"/>
  <c r="AO29" i="13"/>
  <c r="AU584" i="7"/>
  <c r="AV583" i="7"/>
  <c r="AW583" i="7" s="1"/>
  <c r="AX583" i="7" s="1"/>
  <c r="AX584" i="7" s="1"/>
  <c r="AS581" i="7"/>
  <c r="AT580" i="7"/>
  <c r="AU580" i="7" s="1"/>
  <c r="AP29" i="13"/>
  <c r="AO31" i="13"/>
  <c r="AS334" i="7"/>
  <c r="AS27" i="13"/>
  <c r="AS880" i="7"/>
  <c r="AS881" i="7" s="1"/>
  <c r="BR832" i="7"/>
  <c r="AU805" i="7"/>
  <c r="AV805" i="7"/>
  <c r="AU804" i="7"/>
  <c r="AR739" i="7"/>
  <c r="AN11" i="45"/>
  <c r="X64" i="15"/>
  <c r="W64" i="15"/>
  <c r="AP11" i="45"/>
  <c r="AQ31" i="13"/>
  <c r="AP31" i="13"/>
  <c r="AR29" i="13"/>
  <c r="AP8" i="45"/>
  <c r="AQ243" i="12"/>
  <c r="AR463" i="12"/>
  <c r="AR469" i="12" s="1"/>
  <c r="AQ347" i="12"/>
  <c r="AQ197" i="12"/>
  <c r="AP178" i="12"/>
  <c r="AP183" i="12" s="1"/>
  <c r="AQ295" i="12"/>
  <c r="AP172" i="12"/>
  <c r="AQ576" i="12"/>
  <c r="AQ577" i="12" s="1"/>
  <c r="AQ376" i="12"/>
  <c r="AP316" i="12"/>
  <c r="AO172" i="12"/>
  <c r="AP181" i="12"/>
  <c r="AP478" i="12"/>
  <c r="AQ74" i="12"/>
  <c r="AQ120" i="12" s="1"/>
  <c r="AP33" i="12"/>
  <c r="AQ174" i="12"/>
  <c r="AS712" i="12"/>
  <c r="AO154" i="12"/>
  <c r="AO548" i="12"/>
  <c r="AO549" i="12" s="1"/>
  <c r="AO218" i="12"/>
  <c r="AQ318" i="12"/>
  <c r="AN548" i="12"/>
  <c r="AN549" i="12" s="1"/>
  <c r="AO241" i="12"/>
  <c r="AR559" i="12"/>
  <c r="AO9" i="12"/>
  <c r="AO4" i="12" s="1"/>
  <c r="BD225" i="20" s="1"/>
  <c r="AO293" i="12"/>
  <c r="AO8" i="12"/>
  <c r="AQ744" i="12"/>
  <c r="AR644" i="12"/>
  <c r="AR643" i="12"/>
  <c r="AQ220" i="12"/>
  <c r="AP163" i="12"/>
  <c r="BE221" i="20" s="1"/>
  <c r="BE223" i="20" s="1"/>
  <c r="AR612" i="12"/>
  <c r="AR712" i="12"/>
  <c r="AQ480" i="12"/>
  <c r="AP8" i="12"/>
  <c r="AP241" i="12"/>
  <c r="AS752" i="12"/>
  <c r="AP548" i="12"/>
  <c r="AP549" i="12" s="1"/>
  <c r="AP550" i="12" s="1"/>
  <c r="AP551" i="12" s="1"/>
  <c r="AT760" i="12"/>
  <c r="AO744" i="12"/>
  <c r="AP195" i="12"/>
  <c r="AR449" i="12"/>
  <c r="AP554" i="12"/>
  <c r="AP564" i="12" s="1"/>
  <c r="AQ163" i="12"/>
  <c r="BF221" i="20" s="1"/>
  <c r="BF223" i="20" s="1"/>
  <c r="AS222" i="12"/>
  <c r="AU153" i="12"/>
  <c r="AS245" i="12"/>
  <c r="AS426" i="12"/>
  <c r="AP138" i="12"/>
  <c r="AQ138" i="12" s="1"/>
  <c r="AP463" i="12"/>
  <c r="AQ554" i="12"/>
  <c r="AQ564" i="12" s="1"/>
  <c r="AP449" i="12"/>
  <c r="AP518" i="12"/>
  <c r="AT130" i="12"/>
  <c r="AU130" i="12" s="1"/>
  <c r="AS535" i="12"/>
  <c r="AS544" i="12" s="1"/>
  <c r="AP541" i="12"/>
  <c r="AO532" i="12" s="1"/>
  <c r="O534" i="42" s="1"/>
  <c r="AO507" i="12"/>
  <c r="AR316" i="12"/>
  <c r="AS342" i="12"/>
  <c r="AP154" i="12"/>
  <c r="AS759" i="12"/>
  <c r="AQ129" i="12"/>
  <c r="AP436" i="12"/>
  <c r="AQ759" i="12"/>
  <c r="AT734" i="12"/>
  <c r="AT758" i="12"/>
  <c r="AR163" i="12"/>
  <c r="BG221" i="20" s="1"/>
  <c r="BG223" i="20" s="1"/>
  <c r="AS758" i="12"/>
  <c r="AS199" i="12"/>
  <c r="AS195" i="12" s="1"/>
  <c r="AR573" i="12"/>
  <c r="AP516" i="12"/>
  <c r="AQ758" i="12"/>
  <c r="AQ705" i="12"/>
  <c r="AR182" i="13"/>
  <c r="D19" i="16"/>
  <c r="E34" i="17" s="1"/>
  <c r="AS158" i="12"/>
  <c r="AR8" i="12"/>
  <c r="AS197" i="12"/>
  <c r="AR462" i="12"/>
  <c r="AR466" i="12"/>
  <c r="AS644" i="12"/>
  <c r="AS643" i="12"/>
  <c r="AU735" i="12"/>
  <c r="AR735" i="12"/>
  <c r="AT640" i="12"/>
  <c r="AT639" i="12" s="1"/>
  <c r="AT642" i="12" s="1"/>
  <c r="AT652" i="12" s="1"/>
  <c r="AO676" i="12"/>
  <c r="AO677" i="12" s="1"/>
  <c r="AQ194" i="12"/>
  <c r="AS428" i="12"/>
  <c r="AT437" i="12" s="1"/>
  <c r="AS735" i="12"/>
  <c r="AR27" i="12"/>
  <c r="AU746" i="12"/>
  <c r="AU747" i="12" s="1"/>
  <c r="AT708" i="12"/>
  <c r="AS734" i="12"/>
  <c r="AT759" i="12"/>
  <c r="AN539" i="12"/>
  <c r="AR435" i="12"/>
  <c r="AR436" i="12" s="1"/>
  <c r="AP155" i="12"/>
  <c r="AT748" i="12"/>
  <c r="AT153" i="12"/>
  <c r="AT735" i="12"/>
  <c r="AQ454" i="12"/>
  <c r="AT726" i="12"/>
  <c r="AR759" i="12"/>
  <c r="AR699" i="12"/>
  <c r="AU759" i="12"/>
  <c r="BD223" i="20"/>
  <c r="AR746" i="12"/>
  <c r="AR748" i="12" s="1"/>
  <c r="AU726" i="12"/>
  <c r="AT480" i="12"/>
  <c r="AR218" i="12"/>
  <c r="AP27" i="12"/>
  <c r="AQ726" i="12"/>
  <c r="AS724" i="12"/>
  <c r="AS624" i="12" s="1"/>
  <c r="AO27" i="12"/>
  <c r="AT670" i="12"/>
  <c r="AR726" i="12"/>
  <c r="AU724" i="12"/>
  <c r="AR241" i="12"/>
  <c r="AR760" i="12"/>
  <c r="AS760" i="12"/>
  <c r="AO451" i="12"/>
  <c r="AO454" i="12" s="1"/>
  <c r="AO455" i="12" s="1"/>
  <c r="AP403" i="12"/>
  <c r="AQ402" i="12"/>
  <c r="AS676" i="12"/>
  <c r="AS672" i="12"/>
  <c r="AT612" i="12"/>
  <c r="AT611" i="12"/>
  <c r="AR686" i="12"/>
  <c r="AR685" i="12"/>
  <c r="AS685" i="12"/>
  <c r="AU685" i="12"/>
  <c r="AU684" i="12"/>
  <c r="AQ685" i="12"/>
  <c r="AQ686" i="12"/>
  <c r="AR684" i="12"/>
  <c r="AS684" i="12"/>
  <c r="AT684" i="12"/>
  <c r="AQ684" i="12"/>
  <c r="AQ670" i="12"/>
  <c r="AU612" i="12"/>
  <c r="AU611" i="12"/>
  <c r="AT685" i="12"/>
  <c r="AP750" i="12"/>
  <c r="AP744" i="12"/>
  <c r="AQ650" i="12"/>
  <c r="AU650" i="12"/>
  <c r="AQ652" i="12"/>
  <c r="AU651" i="12"/>
  <c r="AT651" i="12"/>
  <c r="AT650" i="12"/>
  <c r="AQ651" i="12"/>
  <c r="AR650" i="12"/>
  <c r="AR652" i="12"/>
  <c r="AS652" i="12"/>
  <c r="AS650" i="12"/>
  <c r="AR651" i="12"/>
  <c r="AS651" i="12"/>
  <c r="AR678" i="12"/>
  <c r="AR677" i="12"/>
  <c r="AS747" i="12"/>
  <c r="AP373" i="12"/>
  <c r="AP371" i="12"/>
  <c r="AR371" i="12"/>
  <c r="AS371" i="12"/>
  <c r="AP574" i="12"/>
  <c r="AP576" i="12"/>
  <c r="AO573" i="12"/>
  <c r="AO576" i="12" s="1"/>
  <c r="AU620" i="12"/>
  <c r="AQ619" i="12"/>
  <c r="AQ620" i="12"/>
  <c r="AR619" i="12"/>
  <c r="AS619" i="12"/>
  <c r="AQ618" i="12"/>
  <c r="AR620" i="12"/>
  <c r="AU619" i="12"/>
  <c r="AT619" i="12"/>
  <c r="AT620" i="12"/>
  <c r="AS620" i="12"/>
  <c r="AT618" i="12"/>
  <c r="AU618" i="12"/>
  <c r="AR618" i="12"/>
  <c r="AR624" i="12" s="1"/>
  <c r="AQ457" i="12"/>
  <c r="AR464" i="12"/>
  <c r="BT17" i="13"/>
  <c r="AR155" i="12"/>
  <c r="AR154" i="12"/>
  <c r="AQ292" i="12"/>
  <c r="AP293" i="12"/>
  <c r="AP344" i="12"/>
  <c r="AP342" i="12"/>
  <c r="AS612" i="12"/>
  <c r="AS611" i="12"/>
  <c r="AP676" i="12"/>
  <c r="AQ678" i="12" s="1"/>
  <c r="AP670" i="12"/>
  <c r="AQ532" i="12"/>
  <c r="AR752" i="12"/>
  <c r="AR751" i="12"/>
  <c r="AP120" i="12"/>
  <c r="AP9" i="12"/>
  <c r="AS153" i="12"/>
  <c r="AR344" i="12"/>
  <c r="AR345" i="12" s="1"/>
  <c r="AR342" i="12"/>
  <c r="AQ154" i="12"/>
  <c r="AS703" i="12"/>
  <c r="AS699" i="12"/>
  <c r="AR704" i="12"/>
  <c r="AR705" i="12"/>
  <c r="AR725" i="12"/>
  <c r="AS586" i="12" s="1"/>
  <c r="AT752" i="12"/>
  <c r="BQ15" i="12"/>
  <c r="BR17" i="13"/>
  <c r="BR986" i="7" s="1"/>
  <c r="BF218" i="20"/>
  <c r="AR195" i="12"/>
  <c r="AQ118" i="12"/>
  <c r="BE218" i="20"/>
  <c r="AO122" i="12"/>
  <c r="AR293" i="12"/>
  <c r="AS436" i="12"/>
  <c r="AS439" i="12"/>
  <c r="AS441" i="12" s="1"/>
  <c r="AP561" i="12"/>
  <c r="AP571" i="12"/>
  <c r="AO571" i="12" s="1"/>
  <c r="AN571" i="12" s="1"/>
  <c r="AM571" i="12" s="1"/>
  <c r="AO552" i="12"/>
  <c r="AO560" i="12"/>
  <c r="AT751" i="12"/>
  <c r="AP158" i="12"/>
  <c r="AQ157" i="12"/>
  <c r="AR158" i="12" s="1"/>
  <c r="AU752" i="12"/>
  <c r="AU760" i="12"/>
  <c r="AR711" i="12"/>
  <c r="AU712" i="12"/>
  <c r="AR507" i="12"/>
  <c r="AQ704" i="12"/>
  <c r="AQ725" i="12"/>
  <c r="AT712" i="12"/>
  <c r="AS162" i="12"/>
  <c r="AS164" i="12" s="1"/>
  <c r="AR129" i="12"/>
  <c r="AR133" i="12" s="1"/>
  <c r="AP218" i="12"/>
  <c r="AQ217" i="12"/>
  <c r="AS449" i="12"/>
  <c r="AP708" i="12"/>
  <c r="AR672" i="12"/>
  <c r="AT747" i="12"/>
  <c r="AR758" i="12"/>
  <c r="AQ708" i="12"/>
  <c r="AS726" i="12"/>
  <c r="AQ760" i="12"/>
  <c r="AQ724" i="12"/>
  <c r="AT724" i="12"/>
  <c r="AO530" i="12"/>
  <c r="O532" i="42" s="1"/>
  <c r="AS509" i="12"/>
  <c r="AT220" i="12"/>
  <c r="AS295" i="12"/>
  <c r="AS243" i="12"/>
  <c r="AT252" i="12" s="1"/>
  <c r="AS220" i="12"/>
  <c r="AR120" i="12"/>
  <c r="AR9" i="12"/>
  <c r="AS703" i="7"/>
  <c r="AS702" i="7"/>
  <c r="AT666" i="7"/>
  <c r="AS712" i="7"/>
  <c r="AS711" i="7"/>
  <c r="AS721" i="7"/>
  <c r="W140" i="14"/>
  <c r="W144" i="14" s="1"/>
  <c r="W149" i="14" s="1"/>
  <c r="AP168" i="14"/>
  <c r="I2" i="38"/>
  <c r="AW54" i="35"/>
  <c r="AW23" i="35" s="1"/>
  <c r="I29" i="38"/>
  <c r="AI168" i="14"/>
  <c r="AI177" i="14"/>
  <c r="AO177" i="14"/>
  <c r="L9" i="38"/>
  <c r="M9" i="38" s="1"/>
  <c r="T754" i="7"/>
  <c r="T558" i="7"/>
  <c r="T232" i="7"/>
  <c r="T681" i="7" s="1"/>
  <c r="X92" i="7"/>
  <c r="X454" i="7"/>
  <c r="X85" i="7"/>
  <c r="X86" i="7"/>
  <c r="X87" i="7"/>
  <c r="X110" i="7"/>
  <c r="X90" i="7"/>
  <c r="X95" i="7"/>
  <c r="X112" i="7"/>
  <c r="X83" i="7"/>
  <c r="X84" i="7"/>
  <c r="X757" i="7"/>
  <c r="X109" i="7"/>
  <c r="X447" i="7"/>
  <c r="X81" i="7"/>
  <c r="X448" i="7"/>
  <c r="X82" i="7"/>
  <c r="X99" i="7"/>
  <c r="X88" i="7"/>
  <c r="X450" i="7"/>
  <c r="X96" i="7"/>
  <c r="X326" i="7"/>
  <c r="X464" i="7"/>
  <c r="X505" i="7"/>
  <c r="X98" i="7"/>
  <c r="X449" i="7"/>
  <c r="X97" i="7"/>
  <c r="AP865" i="7"/>
  <c r="BF59" i="20"/>
  <c r="AQ865" i="7" s="1"/>
  <c r="AH754" i="7"/>
  <c r="AH222" i="7"/>
  <c r="AH228" i="7"/>
  <c r="AH268" i="7" s="1"/>
  <c r="AH1008" i="7"/>
  <c r="AH229" i="7"/>
  <c r="AH280" i="7" s="1"/>
  <c r="AH232" i="7"/>
  <c r="AH639" i="7"/>
  <c r="AH230" i="7"/>
  <c r="AH297" i="7" s="1"/>
  <c r="AH924" i="7"/>
  <c r="T222" i="7"/>
  <c r="AB102" i="7"/>
  <c r="AI1029" i="7"/>
  <c r="AI1031" i="7"/>
  <c r="AI1030" i="7"/>
  <c r="AT1035" i="7"/>
  <c r="Y87" i="7"/>
  <c r="AG172" i="14"/>
  <c r="Y92" i="7"/>
  <c r="Y104" i="7" s="1"/>
  <c r="Y97" i="7"/>
  <c r="Y757" i="7"/>
  <c r="Y98" i="7"/>
  <c r="Y109" i="7"/>
  <c r="Y326" i="7"/>
  <c r="Y449" i="7"/>
  <c r="Y83" i="7"/>
  <c r="Y117" i="7"/>
  <c r="Y81" i="7"/>
  <c r="Y454" i="7"/>
  <c r="Y95" i="7"/>
  <c r="Y96" i="7"/>
  <c r="Y464" i="7"/>
  <c r="Y450" i="7"/>
  <c r="Y82" i="7"/>
  <c r="Y99" i="7"/>
  <c r="S15" i="17"/>
  <c r="V765" i="7"/>
  <c r="T15" i="17" s="1"/>
  <c r="V682" i="7"/>
  <c r="S8" i="17"/>
  <c r="Y85" i="7"/>
  <c r="S14" i="17"/>
  <c r="U765" i="7"/>
  <c r="T14" i="17" s="1"/>
  <c r="U222" i="7"/>
  <c r="U232" i="7"/>
  <c r="U681" i="7" s="1"/>
  <c r="U683" i="7" s="1"/>
  <c r="U558" i="7"/>
  <c r="U459" i="7"/>
  <c r="N459" i="7"/>
  <c r="N222" i="7"/>
  <c r="N232" i="7"/>
  <c r="AD228" i="7"/>
  <c r="AD268" i="7" s="1"/>
  <c r="AD229" i="7"/>
  <c r="AD280" i="7" s="1"/>
  <c r="AD222" i="7"/>
  <c r="AD232" i="7"/>
  <c r="AD924" i="7"/>
  <c r="AD925" i="7" s="1"/>
  <c r="AD754" i="7"/>
  <c r="AD459" i="7"/>
  <c r="J98" i="7"/>
  <c r="J84" i="7"/>
  <c r="J92" i="7"/>
  <c r="J104" i="7" s="1"/>
  <c r="J466" i="7"/>
  <c r="J447" i="7"/>
  <c r="J467" i="7"/>
  <c r="J326" i="7"/>
  <c r="J448" i="7"/>
  <c r="S326" i="7"/>
  <c r="S448" i="7"/>
  <c r="S506" i="7"/>
  <c r="S450" i="7"/>
  <c r="S464" i="7"/>
  <c r="S95" i="7"/>
  <c r="S92" i="7"/>
  <c r="S98" i="7"/>
  <c r="S84" i="7"/>
  <c r="S452" i="7"/>
  <c r="S449" i="7"/>
  <c r="S447" i="7"/>
  <c r="S88" i="7"/>
  <c r="S757" i="7"/>
  <c r="S90" i="7"/>
  <c r="S454" i="7"/>
  <c r="W102" i="7"/>
  <c r="S505" i="7"/>
  <c r="S99" i="7"/>
  <c r="S97" i="7"/>
  <c r="S82" i="7"/>
  <c r="S466" i="7"/>
  <c r="AM1030" i="7"/>
  <c r="AM1029" i="7"/>
  <c r="T326" i="7"/>
  <c r="T83" i="7"/>
  <c r="T466" i="7"/>
  <c r="T82" i="7"/>
  <c r="T450" i="7"/>
  <c r="T449" i="7"/>
  <c r="T87" i="7"/>
  <c r="T454" i="7"/>
  <c r="Z765" i="7"/>
  <c r="T18" i="17" s="1"/>
  <c r="Z682" i="7"/>
  <c r="S18" i="17"/>
  <c r="AE681" i="7"/>
  <c r="AE256" i="7"/>
  <c r="AP1031" i="7"/>
  <c r="AP1029" i="7"/>
  <c r="T96" i="7"/>
  <c r="U97" i="7"/>
  <c r="U449" i="7"/>
  <c r="U99" i="7"/>
  <c r="U81" i="7"/>
  <c r="U83" i="7"/>
  <c r="T95" i="7"/>
  <c r="T81" i="7"/>
  <c r="P558" i="7"/>
  <c r="P459" i="7"/>
  <c r="P754" i="7"/>
  <c r="P222" i="7"/>
  <c r="X232" i="7"/>
  <c r="X681" i="7" s="1"/>
  <c r="X459" i="7"/>
  <c r="AM447" i="7"/>
  <c r="AN248" i="7"/>
  <c r="AM118" i="7"/>
  <c r="AM95" i="7"/>
  <c r="AM90" i="7"/>
  <c r="AM139" i="7"/>
  <c r="AM505" i="7"/>
  <c r="AM137" i="7"/>
  <c r="AM97" i="7"/>
  <c r="AM112" i="7"/>
  <c r="AM634" i="7"/>
  <c r="AM111" i="7"/>
  <c r="AM82" i="7"/>
  <c r="AM84" i="7"/>
  <c r="AM81" i="7"/>
  <c r="AM929" i="7"/>
  <c r="AM83" i="7"/>
  <c r="AM127" i="7"/>
  <c r="AM85" i="7"/>
  <c r="AM99" i="7"/>
  <c r="AM133" i="7"/>
  <c r="AM464" i="7"/>
  <c r="I98" i="7"/>
  <c r="AM135" i="7"/>
  <c r="AM326" i="7"/>
  <c r="AI84" i="7"/>
  <c r="AI83" i="7"/>
  <c r="AI89" i="7"/>
  <c r="AI97" i="7"/>
  <c r="AI633" i="7"/>
  <c r="AI128" i="7"/>
  <c r="AI98" i="7"/>
  <c r="AI634" i="7"/>
  <c r="AI112" i="7"/>
  <c r="AI86" i="7"/>
  <c r="AI92" i="7"/>
  <c r="AI505" i="7"/>
  <c r="AI140" i="7"/>
  <c r="AI134" i="7"/>
  <c r="AI81" i="7"/>
  <c r="AI99" i="7"/>
  <c r="S224" i="7"/>
  <c r="AM134" i="7"/>
  <c r="AM632" i="7"/>
  <c r="AO43" i="14"/>
  <c r="AO34" i="14"/>
  <c r="AO37" i="14"/>
  <c r="AO38" i="14"/>
  <c r="AO53" i="14"/>
  <c r="AO51" i="14"/>
  <c r="AO49" i="14"/>
  <c r="AO48" i="14"/>
  <c r="AO40" i="14"/>
  <c r="AO65" i="14" s="1"/>
  <c r="AO35" i="14"/>
  <c r="AO44" i="14"/>
  <c r="AO36" i="14"/>
  <c r="AO52" i="14"/>
  <c r="AO50" i="14"/>
  <c r="AO39" i="14"/>
  <c r="K451" i="7"/>
  <c r="K326" i="7"/>
  <c r="K467" i="7"/>
  <c r="K85" i="7"/>
  <c r="K92" i="7"/>
  <c r="K104" i="7" s="1"/>
  <c r="V99" i="7"/>
  <c r="V97" i="7"/>
  <c r="V326" i="7"/>
  <c r="V453" i="7"/>
  <c r="AM222" i="7"/>
  <c r="AM232" i="7"/>
  <c r="AM228" i="7"/>
  <c r="AM268" i="7" s="1"/>
  <c r="AM754" i="7"/>
  <c r="AM230" i="7"/>
  <c r="AM297" i="7" s="1"/>
  <c r="AM229" i="7"/>
  <c r="AM280" i="7" s="1"/>
  <c r="AM459" i="7"/>
  <c r="Q92" i="7"/>
  <c r="Q104" i="7" s="1"/>
  <c r="AJ1031" i="7"/>
  <c r="AO45" i="14"/>
  <c r="AN89" i="7"/>
  <c r="AN128" i="7"/>
  <c r="P92" i="7"/>
  <c r="P104" i="7" s="1"/>
  <c r="N757" i="7"/>
  <c r="N85" i="7"/>
  <c r="N96" i="7"/>
  <c r="N99" i="7"/>
  <c r="N326" i="7"/>
  <c r="N98" i="7"/>
  <c r="M237" i="7"/>
  <c r="L754" i="7"/>
  <c r="L222" i="7"/>
  <c r="AN449" i="7"/>
  <c r="AN97" i="7"/>
  <c r="AN99" i="7"/>
  <c r="AN133" i="7"/>
  <c r="AN81" i="7"/>
  <c r="AN135" i="7"/>
  <c r="O98" i="7"/>
  <c r="O452" i="7"/>
  <c r="O449" i="7"/>
  <c r="AN134" i="7"/>
  <c r="AN326" i="7"/>
  <c r="L452" i="7"/>
  <c r="O92" i="7"/>
  <c r="P448" i="7"/>
  <c r="Q449" i="7"/>
  <c r="Q464" i="7"/>
  <c r="AI55" i="20"/>
  <c r="AI61" i="20"/>
  <c r="AI65" i="20"/>
  <c r="AI69" i="20"/>
  <c r="AI68" i="20"/>
  <c r="AI62" i="20"/>
  <c r="AI70" i="20"/>
  <c r="Q232" i="7"/>
  <c r="Q681" i="7" s="1"/>
  <c r="Q754" i="7"/>
  <c r="AB232" i="7"/>
  <c r="AB222" i="7"/>
  <c r="AH87" i="7"/>
  <c r="AH139" i="7"/>
  <c r="AH464" i="7"/>
  <c r="AU39" i="35"/>
  <c r="AA118" i="15" s="1"/>
  <c r="AU32" i="35"/>
  <c r="AU6" i="35"/>
  <c r="AU10" i="35" s="1"/>
  <c r="AA9" i="15" s="1"/>
  <c r="AU19" i="35"/>
  <c r="AA35" i="15" s="1"/>
  <c r="AL1036" i="7"/>
  <c r="AL1033" i="7" s="1"/>
  <c r="AQ1028" i="7"/>
  <c r="AB152" i="14"/>
  <c r="X64" i="18"/>
  <c r="W21" i="48" s="1"/>
  <c r="AH109" i="7"/>
  <c r="AH505" i="7"/>
  <c r="AH127" i="7"/>
  <c r="AF96" i="7"/>
  <c r="AF633" i="7"/>
  <c r="AF97" i="7"/>
  <c r="AH135" i="7"/>
  <c r="AH86" i="7"/>
  <c r="AH110" i="7"/>
  <c r="AH632" i="7"/>
  <c r="AH118" i="7"/>
  <c r="V471" i="7"/>
  <c r="AH82" i="7"/>
  <c r="AH116" i="7"/>
  <c r="AH634" i="7"/>
  <c r="AH111" i="7"/>
  <c r="AH85" i="7"/>
  <c r="AH117" i="7"/>
  <c r="AJ229" i="7"/>
  <c r="AJ280" i="7" s="1"/>
  <c r="AJ1008" i="7"/>
  <c r="AJ924" i="7"/>
  <c r="AJ925" i="7" s="1"/>
  <c r="AJ230" i="7"/>
  <c r="AJ297" i="7" s="1"/>
  <c r="AJ459" i="7"/>
  <c r="J232" i="7"/>
  <c r="AE392" i="7"/>
  <c r="AE116" i="7"/>
  <c r="AE87" i="7"/>
  <c r="AE92" i="7"/>
  <c r="AE454" i="7"/>
  <c r="AE97" i="7"/>
  <c r="AP64" i="20"/>
  <c r="AQ64" i="20" s="1"/>
  <c r="AP55" i="20"/>
  <c r="AP54" i="20"/>
  <c r="AQ54" i="20" s="1"/>
  <c r="AP68" i="20"/>
  <c r="AP69" i="20"/>
  <c r="AQ69" i="20" s="1"/>
  <c r="AP65" i="20"/>
  <c r="AQ65" i="20" s="1"/>
  <c r="AP59" i="20"/>
  <c r="AQ59" i="20" s="1"/>
  <c r="AP70" i="20"/>
  <c r="AQ70" i="20" s="1"/>
  <c r="AP56" i="20"/>
  <c r="AQ1036" i="7"/>
  <c r="AQ1033" i="7" s="1"/>
  <c r="AP39" i="35"/>
  <c r="AP34" i="35"/>
  <c r="AP19" i="35"/>
  <c r="AP32" i="35"/>
  <c r="AP24" i="35"/>
  <c r="AP23" i="35"/>
  <c r="AP25" i="35"/>
  <c r="AO232" i="7"/>
  <c r="AO222" i="7"/>
  <c r="AO248" i="7" s="1"/>
  <c r="Z326" i="7"/>
  <c r="Z83" i="7"/>
  <c r="Z117" i="7"/>
  <c r="AH70" i="20"/>
  <c r="AH54" i="20"/>
  <c r="AH62" i="20"/>
  <c r="AH64" i="20"/>
  <c r="AH65" i="20"/>
  <c r="AH68" i="20"/>
  <c r="AH69" i="20"/>
  <c r="N90" i="15"/>
  <c r="O90" i="15"/>
  <c r="AR313" i="14"/>
  <c r="AR246" i="14"/>
  <c r="AR82" i="14"/>
  <c r="AR83" i="14" s="1"/>
  <c r="AP38" i="14"/>
  <c r="AP34" i="14"/>
  <c r="AP52" i="14"/>
  <c r="AP39" i="14"/>
  <c r="AP35" i="14"/>
  <c r="AP51" i="14"/>
  <c r="AJ61" i="20"/>
  <c r="AJ54" i="20"/>
  <c r="AJ64" i="20"/>
  <c r="AJ68" i="20"/>
  <c r="AJ65" i="20"/>
  <c r="AP50" i="14"/>
  <c r="AC504" i="7"/>
  <c r="AL225" i="14"/>
  <c r="AC448" i="7"/>
  <c r="AE70" i="20"/>
  <c r="AE55" i="20"/>
  <c r="AE61" i="20"/>
  <c r="AE65" i="20"/>
  <c r="AP37" i="14"/>
  <c r="AC98" i="7"/>
  <c r="AG102" i="7"/>
  <c r="AI229" i="7"/>
  <c r="AI280" i="7" s="1"/>
  <c r="AI222" i="7"/>
  <c r="AI230" i="7"/>
  <c r="AI297" i="7" s="1"/>
  <c r="AN228" i="7"/>
  <c r="AN268" i="7" s="1"/>
  <c r="AN924" i="7"/>
  <c r="AN232" i="7"/>
  <c r="AN234" i="7" s="1"/>
  <c r="AN254" i="7" s="1"/>
  <c r="AN459" i="7"/>
  <c r="AF64" i="20"/>
  <c r="AG64" i="20" s="1"/>
  <c r="AF65" i="20"/>
  <c r="AG65" i="20" s="1"/>
  <c r="AF68" i="20"/>
  <c r="AF70" i="20"/>
  <c r="AG70" i="20" s="1"/>
  <c r="AP44" i="14"/>
  <c r="AN1031" i="7"/>
  <c r="AN1029" i="7"/>
  <c r="AE56" i="14"/>
  <c r="X159" i="14"/>
  <c r="X157" i="14"/>
  <c r="Y246" i="14"/>
  <c r="X246" i="14"/>
  <c r="X147" i="14"/>
  <c r="BC56" i="20"/>
  <c r="BC59" i="20"/>
  <c r="BC68" i="20"/>
  <c r="BC62" i="20"/>
  <c r="AR44" i="44"/>
  <c r="AK228" i="7"/>
  <c r="AH25" i="35"/>
  <c r="AH19" i="35"/>
  <c r="AH39" i="35"/>
  <c r="AH33" i="35"/>
  <c r="AH32" i="35"/>
  <c r="AL54" i="35"/>
  <c r="AI51" i="35"/>
  <c r="AI23" i="35"/>
  <c r="AI39" i="35"/>
  <c r="AI34" i="35"/>
  <c r="O78" i="15" s="1"/>
  <c r="AI25" i="35"/>
  <c r="AI33" i="35"/>
  <c r="AI24" i="35"/>
  <c r="AI32" i="35"/>
  <c r="AI6" i="35"/>
  <c r="BE68" i="20"/>
  <c r="BE54" i="20"/>
  <c r="BE65" i="20"/>
  <c r="BE55" i="20"/>
  <c r="BE63" i="20"/>
  <c r="BE62" i="20"/>
  <c r="BE70" i="20"/>
  <c r="AJ39" i="35"/>
  <c r="AJ6" i="35"/>
  <c r="AJ9" i="35" s="1"/>
  <c r="AJ51" i="35"/>
  <c r="AJ33" i="35"/>
  <c r="AJ25" i="35"/>
  <c r="AK24" i="35"/>
  <c r="AK25" i="35"/>
  <c r="AK34" i="35"/>
  <c r="Q78" i="15" s="1"/>
  <c r="AJ24" i="35"/>
  <c r="Q93" i="15"/>
  <c r="AH51" i="35"/>
  <c r="Q143" i="1"/>
  <c r="R143" i="1" s="1"/>
  <c r="Q136" i="1"/>
  <c r="R136" i="1" s="1"/>
  <c r="Q147" i="1"/>
  <c r="R147" i="1" s="1"/>
  <c r="Q153" i="1"/>
  <c r="R153" i="1" s="1"/>
  <c r="Q128" i="1"/>
  <c r="R128" i="1" s="1"/>
  <c r="Q120" i="1"/>
  <c r="R120" i="1" s="1"/>
  <c r="Q121" i="1"/>
  <c r="R121" i="1" s="1"/>
  <c r="Q145" i="1"/>
  <c r="R145" i="1" s="1"/>
  <c r="Q157" i="1"/>
  <c r="R157" i="1" s="1"/>
  <c r="Q148" i="1"/>
  <c r="R148" i="1" s="1"/>
  <c r="Q130" i="1"/>
  <c r="R130" i="1" s="1"/>
  <c r="Q168" i="1"/>
  <c r="R168" i="1" s="1"/>
  <c r="Q135" i="1"/>
  <c r="R135" i="1" s="1"/>
  <c r="Q159" i="1"/>
  <c r="R159" i="1" s="1"/>
  <c r="Q149" i="1"/>
  <c r="R149" i="1" s="1"/>
  <c r="Q123" i="1"/>
  <c r="R123" i="1" s="1"/>
  <c r="Q144" i="1"/>
  <c r="R144" i="1" s="1"/>
  <c r="Q170" i="1"/>
  <c r="R170" i="1" s="1"/>
  <c r="Q150" i="1"/>
  <c r="R150" i="1" s="1"/>
  <c r="Q133" i="1"/>
  <c r="R133" i="1" s="1"/>
  <c r="Q158" i="1"/>
  <c r="R158" i="1" s="1"/>
  <c r="Q134" i="1"/>
  <c r="R134" i="1" s="1"/>
  <c r="Q122" i="1"/>
  <c r="R122" i="1" s="1"/>
  <c r="Q155" i="1"/>
  <c r="R155" i="1" s="1"/>
  <c r="Q166" i="1"/>
  <c r="R166" i="1" s="1"/>
  <c r="Q167" i="1"/>
  <c r="R167" i="1" s="1"/>
  <c r="Q156" i="1"/>
  <c r="R156" i="1" s="1"/>
  <c r="Q160" i="1"/>
  <c r="R160" i="1" s="1"/>
  <c r="Q137" i="1"/>
  <c r="R137" i="1" s="1"/>
  <c r="Q131" i="1"/>
  <c r="R131" i="1" s="1"/>
  <c r="Q165" i="1"/>
  <c r="R165" i="1" s="1"/>
  <c r="Q169" i="1"/>
  <c r="R169" i="1" s="1"/>
  <c r="Q146" i="1"/>
  <c r="R146" i="1" s="1"/>
  <c r="Q132" i="1"/>
  <c r="R132" i="1" s="1"/>
  <c r="Q129" i="1"/>
  <c r="R129" i="1" s="1"/>
  <c r="AR1031" i="7"/>
  <c r="AR1030" i="7"/>
  <c r="AF146" i="14"/>
  <c r="AG146" i="14" s="1"/>
  <c r="AF147" i="14"/>
  <c r="AG147" i="14" s="1"/>
  <c r="AF148" i="14"/>
  <c r="AG148" i="14" s="1"/>
  <c r="AH246" i="14"/>
  <c r="AF246" i="14"/>
  <c r="AG245" i="14"/>
  <c r="AF215" i="14"/>
  <c r="AG215" i="14" s="1"/>
  <c r="AJ19" i="35"/>
  <c r="AH24" i="35"/>
  <c r="L90" i="15"/>
  <c r="X146" i="14"/>
  <c r="AK50" i="14"/>
  <c r="AK53" i="14"/>
  <c r="AK40" i="14"/>
  <c r="AK34" i="14"/>
  <c r="AK35" i="14"/>
  <c r="AK39" i="14"/>
  <c r="AK38" i="14"/>
  <c r="AO259" i="11"/>
  <c r="AO89" i="11"/>
  <c r="AO123" i="11"/>
  <c r="AO260" i="11"/>
  <c r="AO78" i="11"/>
  <c r="AO103" i="11"/>
  <c r="AO181" i="11"/>
  <c r="AO188" i="11"/>
  <c r="AO258" i="11"/>
  <c r="AO117" i="11"/>
  <c r="AO122" i="11"/>
  <c r="AO99" i="11"/>
  <c r="AO75" i="11"/>
  <c r="AO189" i="11"/>
  <c r="AO190" i="11"/>
  <c r="AO182" i="11"/>
  <c r="AO97" i="11"/>
  <c r="AO185" i="11"/>
  <c r="AO110" i="11"/>
  <c r="AO85" i="11"/>
  <c r="AO121" i="11"/>
  <c r="AO104" i="11"/>
  <c r="AO96" i="11"/>
  <c r="AO106" i="11"/>
  <c r="AO172" i="11"/>
  <c r="AO261" i="11"/>
  <c r="AO267" i="11"/>
  <c r="AO116" i="11"/>
  <c r="AK246" i="14"/>
  <c r="AL245" i="14"/>
  <c r="AK146" i="14"/>
  <c r="AL146" i="14" s="1"/>
  <c r="AK172" i="14"/>
  <c r="J90" i="15"/>
  <c r="AK36" i="14"/>
  <c r="AF184" i="11"/>
  <c r="AG184" i="11" s="1"/>
  <c r="Z140" i="1"/>
  <c r="Z142" i="1"/>
  <c r="Z171" i="1"/>
  <c r="Q90" i="15"/>
  <c r="AK148" i="14"/>
  <c r="AL148" i="14" s="1"/>
  <c r="AO225" i="14"/>
  <c r="AO316" i="14"/>
  <c r="BD104" i="20" s="1"/>
  <c r="AO147" i="14"/>
  <c r="AO166" i="14" s="1"/>
  <c r="AO314" i="14"/>
  <c r="AO313" i="14"/>
  <c r="BD106" i="20" s="1"/>
  <c r="AO148" i="14"/>
  <c r="AK49" i="14"/>
  <c r="AE49" i="14"/>
  <c r="AE52" i="14"/>
  <c r="AE53" i="14"/>
  <c r="AE51" i="14"/>
  <c r="AE43" i="14"/>
  <c r="AE50" i="14"/>
  <c r="AE36" i="14"/>
  <c r="AE35" i="14"/>
  <c r="AE34" i="14"/>
  <c r="AE45" i="14"/>
  <c r="AE44" i="14"/>
  <c r="AO76" i="11"/>
  <c r="AO86" i="11"/>
  <c r="AJ146" i="14"/>
  <c r="AJ147" i="14"/>
  <c r="AJ166" i="14" s="1"/>
  <c r="AJ167" i="14" s="1"/>
  <c r="AJ148" i="14"/>
  <c r="AJ172" i="14"/>
  <c r="AJ246" i="14"/>
  <c r="AM23" i="35"/>
  <c r="AM51" i="35"/>
  <c r="AM25" i="35"/>
  <c r="AM32" i="35"/>
  <c r="AJ35" i="14"/>
  <c r="AE37" i="14"/>
  <c r="AK52" i="14"/>
  <c r="AF35" i="14"/>
  <c r="AF34" i="14"/>
  <c r="AF40" i="14"/>
  <c r="AF50" i="14"/>
  <c r="AF49" i="14"/>
  <c r="AF52" i="14"/>
  <c r="AF43" i="14"/>
  <c r="Z136" i="1"/>
  <c r="Z123" i="1"/>
  <c r="Z153" i="1"/>
  <c r="T90" i="15"/>
  <c r="S90" i="15"/>
  <c r="AK147" i="14"/>
  <c r="AN33" i="35"/>
  <c r="AN23" i="35"/>
  <c r="AN6" i="35"/>
  <c r="AN32" i="35"/>
  <c r="AE38" i="14"/>
  <c r="AH45" i="14"/>
  <c r="AH38" i="14"/>
  <c r="AH44" i="14"/>
  <c r="AH39" i="14"/>
  <c r="AH53" i="14"/>
  <c r="AH51" i="14"/>
  <c r="AH34" i="14"/>
  <c r="AO113" i="11"/>
  <c r="AK110" i="11"/>
  <c r="AL110" i="11" s="1"/>
  <c r="AK76" i="11"/>
  <c r="AL76" i="11" s="1"/>
  <c r="AK96" i="11"/>
  <c r="AL96" i="11" s="1"/>
  <c r="AK111" i="11"/>
  <c r="AL111" i="11" s="1"/>
  <c r="AK198" i="11"/>
  <c r="AK116" i="11"/>
  <c r="AL116" i="11" s="1"/>
  <c r="AK268" i="11"/>
  <c r="AL268" i="11" s="1"/>
  <c r="AK171" i="11"/>
  <c r="AL171" i="11" s="1"/>
  <c r="BM171" i="11" s="1"/>
  <c r="Q82" i="42" s="1"/>
  <c r="AK175" i="11"/>
  <c r="AL175" i="11" s="1"/>
  <c r="AK258" i="11"/>
  <c r="AL258" i="11" s="1"/>
  <c r="AK192" i="11"/>
  <c r="AL192" i="11" s="1"/>
  <c r="AK77" i="11"/>
  <c r="AL77" i="11" s="1"/>
  <c r="AK89" i="11"/>
  <c r="AL89" i="11" s="1"/>
  <c r="AK190" i="11"/>
  <c r="AL190" i="11" s="1"/>
  <c r="AK78" i="11"/>
  <c r="AL78" i="11" s="1"/>
  <c r="AK103" i="11"/>
  <c r="AL103" i="11" s="1"/>
  <c r="AK85" i="11"/>
  <c r="AL85" i="11" s="1"/>
  <c r="AK105" i="11"/>
  <c r="AL105" i="11" s="1"/>
  <c r="AK183" i="11"/>
  <c r="AL183" i="11" s="1"/>
  <c r="AK181" i="11"/>
  <c r="AL181" i="11" s="1"/>
  <c r="AK269" i="11"/>
  <c r="AL269" i="11" s="1"/>
  <c r="AK99" i="11"/>
  <c r="AL99" i="11" s="1"/>
  <c r="AK107" i="11"/>
  <c r="AL107" i="11" s="1"/>
  <c r="AK79" i="11"/>
  <c r="AL79" i="11" s="1"/>
  <c r="BM79" i="11" s="1"/>
  <c r="Q81" i="42" s="1"/>
  <c r="AK189" i="11"/>
  <c r="AL189" i="11" s="1"/>
  <c r="AK172" i="11"/>
  <c r="AL172" i="11" s="1"/>
  <c r="AO171" i="11"/>
  <c r="AK48" i="14"/>
  <c r="AI40" i="14"/>
  <c r="AI39" i="14"/>
  <c r="AI38" i="14"/>
  <c r="AI43" i="14"/>
  <c r="AI52" i="14"/>
  <c r="AI45" i="14"/>
  <c r="AO107" i="11"/>
  <c r="Z145" i="1"/>
  <c r="Z131" i="1"/>
  <c r="Z121" i="1"/>
  <c r="Z161" i="1"/>
  <c r="Z158" i="1"/>
  <c r="Z160" i="1"/>
  <c r="Z147" i="1"/>
  <c r="Z154" i="1"/>
  <c r="Z144" i="1"/>
  <c r="Z130" i="1"/>
  <c r="Z135" i="1"/>
  <c r="Z138" i="1"/>
  <c r="Z170" i="1"/>
  <c r="Z168" i="1"/>
  <c r="Z120" i="1"/>
  <c r="Z163" i="1"/>
  <c r="Z128" i="1"/>
  <c r="Z126" i="1"/>
  <c r="Z143" i="1"/>
  <c r="Z155" i="1"/>
  <c r="Z166" i="1"/>
  <c r="Z157" i="1"/>
  <c r="Z127" i="1"/>
  <c r="Z133" i="1"/>
  <c r="Z167" i="1"/>
  <c r="AM53" i="14"/>
  <c r="AM52" i="14"/>
  <c r="AM45" i="14"/>
  <c r="AM51" i="14"/>
  <c r="AM36" i="14"/>
  <c r="AM49" i="14"/>
  <c r="AM35" i="14"/>
  <c r="AM50" i="14"/>
  <c r="AM34" i="14"/>
  <c r="AM40" i="14"/>
  <c r="AM38" i="14"/>
  <c r="AE40" i="14"/>
  <c r="AK51" i="14"/>
  <c r="AJ49" i="14"/>
  <c r="AJ37" i="14"/>
  <c r="AJ53" i="14"/>
  <c r="AJ34" i="14"/>
  <c r="AJ38" i="14"/>
  <c r="AJ44" i="14"/>
  <c r="AJ50" i="14"/>
  <c r="AJ45" i="14"/>
  <c r="AO198" i="11"/>
  <c r="AO183" i="11"/>
  <c r="AO192" i="11"/>
  <c r="AO100" i="11"/>
  <c r="AF89" i="11"/>
  <c r="AG89" i="11" s="1"/>
  <c r="AF190" i="11"/>
  <c r="AG190" i="11" s="1"/>
  <c r="AF182" i="11"/>
  <c r="AG182" i="11" s="1"/>
  <c r="AF97" i="11"/>
  <c r="AG97" i="11" s="1"/>
  <c r="AF117" i="11"/>
  <c r="AG117" i="11" s="1"/>
  <c r="AF122" i="11"/>
  <c r="AG122" i="11" s="1"/>
  <c r="AF79" i="11"/>
  <c r="AG79" i="11" s="1"/>
  <c r="BL79" i="11" s="1"/>
  <c r="P81" i="42" s="1"/>
  <c r="AF118" i="11"/>
  <c r="AG118" i="11" s="1"/>
  <c r="AF77" i="11"/>
  <c r="AG77" i="11" s="1"/>
  <c r="AF192" i="11"/>
  <c r="AG192" i="11" s="1"/>
  <c r="AF100" i="11"/>
  <c r="AG100" i="11" s="1"/>
  <c r="AF85" i="11"/>
  <c r="AG85" i="11" s="1"/>
  <c r="AF90" i="11"/>
  <c r="AG90" i="11" s="1"/>
  <c r="AF86" i="11"/>
  <c r="AG86" i="11" s="1"/>
  <c r="AF112" i="11"/>
  <c r="AG112" i="11" s="1"/>
  <c r="AF98" i="11"/>
  <c r="AG98" i="11" s="1"/>
  <c r="AF116" i="11"/>
  <c r="AG116" i="11" s="1"/>
  <c r="AF105" i="11"/>
  <c r="AG105" i="11" s="1"/>
  <c r="AF270" i="11"/>
  <c r="AG270" i="11" s="1"/>
  <c r="AF123" i="11"/>
  <c r="AG123" i="11" s="1"/>
  <c r="AF106" i="11"/>
  <c r="AG106" i="11" s="1"/>
  <c r="AF76" i="11"/>
  <c r="AG76" i="11" s="1"/>
  <c r="AF113" i="11"/>
  <c r="AG113" i="11" s="1"/>
  <c r="AF172" i="11"/>
  <c r="AG172" i="11" s="1"/>
  <c r="AF260" i="11"/>
  <c r="AG260" i="11" s="1"/>
  <c r="AO173" i="11"/>
  <c r="AO302" i="11" s="1"/>
  <c r="AO303" i="11" s="1"/>
  <c r="AE148" i="14"/>
  <c r="AK215" i="14"/>
  <c r="AL215" i="14" s="1"/>
  <c r="AO39" i="35"/>
  <c r="AR97" i="7"/>
  <c r="AV97" i="7" s="1"/>
  <c r="AR230" i="7"/>
  <c r="AH146" i="14"/>
  <c r="AR232" i="7"/>
  <c r="AR260" i="7" s="1"/>
  <c r="AR260" i="11"/>
  <c r="AN35" i="14"/>
  <c r="AN44" i="14"/>
  <c r="Y124" i="1"/>
  <c r="AD38" i="14"/>
  <c r="AN37" i="14"/>
  <c r="AD44" i="14"/>
  <c r="AC147" i="14"/>
  <c r="AR268" i="11"/>
  <c r="AS44" i="44"/>
  <c r="AS48" i="44" s="1"/>
  <c r="AS1035" i="7"/>
  <c r="AS39" i="35"/>
  <c r="Y118" i="15" s="1"/>
  <c r="AS32" i="35"/>
  <c r="AR99" i="44"/>
  <c r="AR100" i="44"/>
  <c r="AR125" i="44"/>
  <c r="AR126" i="44" s="1"/>
  <c r="AR25" i="44" s="1"/>
  <c r="AR74" i="44" s="1"/>
  <c r="C22" i="47" s="1"/>
  <c r="AR131" i="44"/>
  <c r="AR81" i="7"/>
  <c r="AV81" i="7" s="1"/>
  <c r="AR92" i="7"/>
  <c r="AV92" i="7" s="1"/>
  <c r="AR326" i="7"/>
  <c r="AR89" i="7"/>
  <c r="AV89" i="7" s="1"/>
  <c r="AR87" i="7"/>
  <c r="AV87" i="7" s="1"/>
  <c r="AR465" i="7"/>
  <c r="AR86" i="7"/>
  <c r="AV86" i="7" s="1"/>
  <c r="AR85" i="7"/>
  <c r="AV85" i="7" s="1"/>
  <c r="AR140" i="7"/>
  <c r="AV140" i="7" s="1"/>
  <c r="AR83" i="7"/>
  <c r="AV83" i="7" s="1"/>
  <c r="AR137" i="7"/>
  <c r="AR82" i="7"/>
  <c r="AV82" i="7" s="1"/>
  <c r="AR136" i="7"/>
  <c r="AV136" i="7" s="1"/>
  <c r="AR135" i="7"/>
  <c r="AV135" i="7" s="1"/>
  <c r="AR634" i="7"/>
  <c r="AV634" i="7" s="1"/>
  <c r="AR450" i="7"/>
  <c r="AR929" i="7"/>
  <c r="AV929" i="7" s="1"/>
  <c r="AR95" i="7"/>
  <c r="AV95" i="7" s="1"/>
  <c r="AR447" i="7"/>
  <c r="AR633" i="7"/>
  <c r="AV633" i="7" s="1"/>
  <c r="AR632" i="7"/>
  <c r="AV632" i="7" s="1"/>
  <c r="AR134" i="7"/>
  <c r="AV134" i="7" s="1"/>
  <c r="AR133" i="7"/>
  <c r="AV133" i="7" s="1"/>
  <c r="AR454" i="7"/>
  <c r="AR98" i="7"/>
  <c r="AV98" i="7" s="1"/>
  <c r="AR314" i="14"/>
  <c r="AR316" i="14"/>
  <c r="BG104" i="20" s="1"/>
  <c r="AR315" i="14"/>
  <c r="BG97" i="20" s="1"/>
  <c r="AR172" i="14"/>
  <c r="AR148" i="14" s="1"/>
  <c r="AR317" i="14"/>
  <c r="BG105" i="20" s="1"/>
  <c r="AS246" i="14"/>
  <c r="AT238" i="7"/>
  <c r="AR924" i="7"/>
  <c r="AR222" i="7"/>
  <c r="AR228" i="7"/>
  <c r="BG62" i="20"/>
  <c r="AR152" i="14" s="1"/>
  <c r="BG54" i="20"/>
  <c r="BG59" i="20"/>
  <c r="AR865" i="7" s="1"/>
  <c r="BG63" i="20"/>
  <c r="BG56" i="20"/>
  <c r="BG64" i="20"/>
  <c r="BG55" i="20"/>
  <c r="AR215" i="14"/>
  <c r="AR105" i="11"/>
  <c r="AR182" i="11"/>
  <c r="AR259" i="11"/>
  <c r="AR34" i="35"/>
  <c r="X78" i="15" s="1"/>
  <c r="AR6" i="35"/>
  <c r="AR84" i="7"/>
  <c r="AV84" i="7" s="1"/>
  <c r="AR90" i="11"/>
  <c r="AR197" i="11"/>
  <c r="AR92" i="11"/>
  <c r="AR121" i="11"/>
  <c r="AR195" i="11"/>
  <c r="AR275" i="11"/>
  <c r="AR39" i="35"/>
  <c r="AR100" i="11"/>
  <c r="AR175" i="11"/>
  <c r="AR246" i="11"/>
  <c r="AR103" i="11"/>
  <c r="AR174" i="11"/>
  <c r="AR13" i="7"/>
  <c r="AR44" i="7" s="1"/>
  <c r="AV140" i="14"/>
  <c r="AU168" i="14"/>
  <c r="AU167" i="14" s="1"/>
  <c r="AJ168" i="14"/>
  <c r="AJ177" i="14"/>
  <c r="AR142" i="14"/>
  <c r="AK168" i="14"/>
  <c r="AN227" i="14"/>
  <c r="AF227" i="14"/>
  <c r="AG200" i="14"/>
  <c r="AH227" i="14" s="1"/>
  <c r="BF306" i="20"/>
  <c r="AU24" i="35"/>
  <c r="AU33" i="35"/>
  <c r="AU34" i="35"/>
  <c r="AA78" i="15" s="1"/>
  <c r="AU25" i="35"/>
  <c r="AU51" i="35"/>
  <c r="AU23" i="35"/>
  <c r="AU326" i="7"/>
  <c r="AA89" i="15"/>
  <c r="AU10" i="9"/>
  <c r="AU244" i="14"/>
  <c r="AU114" i="44"/>
  <c r="I21" i="38"/>
  <c r="L8" i="38"/>
  <c r="M8" i="38" s="1"/>
  <c r="AT10" i="9"/>
  <c r="AT244" i="14"/>
  <c r="AT54" i="35"/>
  <c r="AT114" i="44"/>
  <c r="AT100" i="44" s="1"/>
  <c r="AT91" i="44" s="1"/>
  <c r="H41" i="38"/>
  <c r="AT9" i="9"/>
  <c r="AG140" i="14"/>
  <c r="AG177" i="14" s="1"/>
  <c r="AF177" i="14"/>
  <c r="Z89" i="15"/>
  <c r="Z90" i="15" s="1"/>
  <c r="AU1035" i="7"/>
  <c r="AC89" i="15"/>
  <c r="AC90" i="15" s="1"/>
  <c r="L10" i="38"/>
  <c r="M10" i="38" s="1"/>
  <c r="AT42" i="44"/>
  <c r="AT43" i="44" s="1"/>
  <c r="AT44" i="44" s="1"/>
  <c r="AT245" i="14"/>
  <c r="Z92" i="15"/>
  <c r="Z93" i="15" s="1"/>
  <c r="AT846" i="7"/>
  <c r="L7" i="38"/>
  <c r="M7" i="38" s="1"/>
  <c r="L12" i="38"/>
  <c r="M12" i="38" s="1"/>
  <c r="L6" i="38"/>
  <c r="M6" i="38" s="1"/>
  <c r="AL200" i="14"/>
  <c r="AI227" i="14"/>
  <c r="AO227" i="14"/>
  <c r="AK227" i="14"/>
  <c r="AJ227" i="14"/>
  <c r="AK177" i="14"/>
  <c r="AR168" i="14"/>
  <c r="AR167" i="14" s="1"/>
  <c r="AO168" i="14"/>
  <c r="AN168" i="14"/>
  <c r="AS168" i="14"/>
  <c r="AS167" i="14" s="1"/>
  <c r="AT168" i="14"/>
  <c r="AT167" i="14" s="1"/>
  <c r="AQ200" i="14"/>
  <c r="AP227" i="14"/>
  <c r="BK210" i="20"/>
  <c r="BL211" i="20" s="1"/>
  <c r="AA600" i="42" l="1"/>
  <c r="BC335" i="11"/>
  <c r="BC343" i="11" s="1"/>
  <c r="BR168" i="20"/>
  <c r="BR64" i="20"/>
  <c r="AB600" i="42"/>
  <c r="BD335" i="11"/>
  <c r="BD343" i="11" s="1"/>
  <c r="BS168" i="20"/>
  <c r="BS64" i="20"/>
  <c r="Z600" i="42"/>
  <c r="BB335" i="11"/>
  <c r="BB343" i="11" s="1"/>
  <c r="BQ168" i="20"/>
  <c r="BQ64" i="20"/>
  <c r="BU159" i="20"/>
  <c r="BE335" i="11"/>
  <c r="BE343" i="11" s="1"/>
  <c r="BT168" i="20"/>
  <c r="BT64" i="20"/>
  <c r="BU64" i="20" s="1"/>
  <c r="AQ253" i="11"/>
  <c r="AQ36" i="44" s="1"/>
  <c r="AP348" i="11"/>
  <c r="BK157" i="20"/>
  <c r="BH150" i="20"/>
  <c r="BH169" i="20" s="1"/>
  <c r="BP159" i="20"/>
  <c r="E16" i="39" s="1"/>
  <c r="AZ335" i="11"/>
  <c r="AZ343" i="11" s="1"/>
  <c r="BF97" i="20"/>
  <c r="BF114" i="20" s="1"/>
  <c r="AP349" i="11"/>
  <c r="AP345" i="11"/>
  <c r="AR345" i="11"/>
  <c r="AN81" i="11"/>
  <c r="AP962" i="7"/>
  <c r="AP925" i="7"/>
  <c r="AO962" i="7"/>
  <c r="AO925" i="7"/>
  <c r="AI962" i="7"/>
  <c r="AI925" i="7"/>
  <c r="AM857" i="7"/>
  <c r="AT931" i="7"/>
  <c r="AS925" i="7"/>
  <c r="AT925" i="7"/>
  <c r="AN925" i="7"/>
  <c r="U23" i="17"/>
  <c r="AF925" i="7"/>
  <c r="AU1031" i="7"/>
  <c r="AU1029" i="7"/>
  <c r="BD55" i="13"/>
  <c r="AR552" i="12"/>
  <c r="R536" i="42"/>
  <c r="Q534" i="42"/>
  <c r="AR532" i="12"/>
  <c r="BC109" i="43"/>
  <c r="BB10" i="43"/>
  <c r="AQ178" i="11"/>
  <c r="AQ301" i="11" s="1"/>
  <c r="AW297" i="11"/>
  <c r="AX297" i="11" s="1"/>
  <c r="AY297" i="11" s="1"/>
  <c r="AZ297" i="11" s="1"/>
  <c r="BB297" i="11" s="1"/>
  <c r="BC297" i="11" s="1"/>
  <c r="BD297" i="11" s="1"/>
  <c r="BE297" i="11" s="1"/>
  <c r="AS14" i="44"/>
  <c r="AS56" i="44" s="1"/>
  <c r="D8" i="47" s="1"/>
  <c r="T103" i="15"/>
  <c r="AR300" i="14"/>
  <c r="AR68" i="11"/>
  <c r="AR127" i="11" s="1"/>
  <c r="AQ952" i="7"/>
  <c r="AF827" i="7"/>
  <c r="AK9" i="7"/>
  <c r="Z743" i="7"/>
  <c r="AK70" i="7"/>
  <c r="AL70" i="7" s="1"/>
  <c r="AJ810" i="7"/>
  <c r="AR381" i="7"/>
  <c r="AR383" i="7" s="1"/>
  <c r="BA52" i="13"/>
  <c r="BB52" i="13" s="1"/>
  <c r="AR37" i="13"/>
  <c r="BA109" i="13"/>
  <c r="AZ385" i="13"/>
  <c r="AI100" i="35"/>
  <c r="AI101" i="35" s="1"/>
  <c r="BG314" i="20"/>
  <c r="BF314" i="20"/>
  <c r="BH314" i="20"/>
  <c r="BM314" i="20"/>
  <c r="BP314" i="20"/>
  <c r="F25" i="18"/>
  <c r="R25" i="18" s="1"/>
  <c r="T25" i="18" s="1"/>
  <c r="J32" i="17" s="1"/>
  <c r="BG41" i="20"/>
  <c r="AQ142" i="35"/>
  <c r="BL314" i="20"/>
  <c r="BK314" i="20"/>
  <c r="BJ314" i="20"/>
  <c r="BI314" i="20"/>
  <c r="BF39" i="20"/>
  <c r="BE39" i="20" s="1"/>
  <c r="BG44" i="20"/>
  <c r="BG46" i="20" s="1"/>
  <c r="BG47" i="20" s="1"/>
  <c r="AW46" i="14"/>
  <c r="AT42" i="14"/>
  <c r="AT41" i="14"/>
  <c r="AU41" i="14"/>
  <c r="AV41" i="14" s="1"/>
  <c r="AU42" i="14"/>
  <c r="AV42" i="14" s="1"/>
  <c r="AW56" i="14"/>
  <c r="AW54" i="14"/>
  <c r="BN314" i="20"/>
  <c r="BO314" i="20"/>
  <c r="BE314" i="20"/>
  <c r="AY4" i="45"/>
  <c r="AY5" i="45" s="1"/>
  <c r="BT145" i="35"/>
  <c r="BT146" i="35" s="1"/>
  <c r="AL739" i="7"/>
  <c r="S666" i="7"/>
  <c r="AB708" i="7"/>
  <c r="AC525" i="7" s="1"/>
  <c r="AP843" i="7"/>
  <c r="AP852" i="7"/>
  <c r="AP854" i="7" s="1"/>
  <c r="AG185" i="7"/>
  <c r="AD525" i="7"/>
  <c r="O700" i="7"/>
  <c r="AL700" i="7"/>
  <c r="AO98" i="7"/>
  <c r="AP257" i="7"/>
  <c r="AQ280" i="7"/>
  <c r="AQ842" i="7" s="1"/>
  <c r="AG796" i="7"/>
  <c r="O19" i="1"/>
  <c r="O27" i="1" s="1"/>
  <c r="O28" i="1" s="1"/>
  <c r="AJ319" i="7"/>
  <c r="AJ336" i="7" s="1"/>
  <c r="AJ335" i="7" s="1"/>
  <c r="Z85" i="7"/>
  <c r="AB85" i="7" s="1"/>
  <c r="K98" i="7"/>
  <c r="AE811" i="7"/>
  <c r="AP721" i="7"/>
  <c r="AE809" i="7"/>
  <c r="AI432" i="7"/>
  <c r="AE812" i="7"/>
  <c r="Q319" i="7"/>
  <c r="BC97" i="35"/>
  <c r="BC129" i="35"/>
  <c r="BC100" i="35" s="1"/>
  <c r="T81" i="15"/>
  <c r="Y81" i="15" s="1"/>
  <c r="AD81" i="15" s="1"/>
  <c r="AI81" i="15" s="1"/>
  <c r="AN81" i="15" s="1"/>
  <c r="AS81" i="15" s="1"/>
  <c r="K448" i="7"/>
  <c r="K456" i="7" s="1"/>
  <c r="K458" i="7" s="1"/>
  <c r="P371" i="7"/>
  <c r="N665" i="7"/>
  <c r="L390" i="7"/>
  <c r="L465" i="7" s="1"/>
  <c r="AB698" i="7"/>
  <c r="AQ425" i="7"/>
  <c r="AQ430" i="7" s="1"/>
  <c r="AV425" i="7" s="1"/>
  <c r="AV430" i="7" s="1"/>
  <c r="AW425" i="7" s="1"/>
  <c r="AW430" i="7" s="1"/>
  <c r="AX425" i="7" s="1"/>
  <c r="AX430" i="7" s="1"/>
  <c r="AY425" i="7" s="1"/>
  <c r="AY430" i="7" s="1"/>
  <c r="AJ425" i="7"/>
  <c r="AJ430" i="7" s="1"/>
  <c r="AJ639" i="7" s="1"/>
  <c r="AK631" i="7" s="1"/>
  <c r="AP414" i="7"/>
  <c r="AI857" i="7"/>
  <c r="V167" i="7"/>
  <c r="V145" i="7" s="1"/>
  <c r="U180" i="7"/>
  <c r="AF1050" i="7"/>
  <c r="M372" i="7"/>
  <c r="K88" i="7"/>
  <c r="AH381" i="7"/>
  <c r="AH383" i="7" s="1"/>
  <c r="Y447" i="7"/>
  <c r="AR822" i="7"/>
  <c r="AJ133" i="7"/>
  <c r="N88" i="7"/>
  <c r="AP226" i="7"/>
  <c r="Z112" i="7"/>
  <c r="AM381" i="7"/>
  <c r="AM383" i="7" s="1"/>
  <c r="T164" i="7"/>
  <c r="L190" i="7"/>
  <c r="L195" i="7" s="1"/>
  <c r="M195" i="7" s="1"/>
  <c r="AG832" i="7"/>
  <c r="AG835" i="7" s="1"/>
  <c r="AE244" i="7"/>
  <c r="AE270" i="7"/>
  <c r="AE250" i="7" s="1"/>
  <c r="AF907" i="7"/>
  <c r="U56" i="15"/>
  <c r="AH809" i="7"/>
  <c r="AO92" i="7"/>
  <c r="AO104" i="7" s="1"/>
  <c r="AT105" i="7" s="1"/>
  <c r="Z95" i="7"/>
  <c r="P9" i="7"/>
  <c r="P84" i="7" s="1"/>
  <c r="Z25" i="1"/>
  <c r="O13" i="7"/>
  <c r="O15" i="7" s="1"/>
  <c r="O90" i="7" s="1"/>
  <c r="O144" i="7" s="1"/>
  <c r="O146" i="7" s="1"/>
  <c r="O161" i="7" s="1"/>
  <c r="AG797" i="7"/>
  <c r="AE743" i="7"/>
  <c r="AH811" i="7"/>
  <c r="AG717" i="7"/>
  <c r="AG721" i="7" s="1"/>
  <c r="AM11" i="45"/>
  <c r="AH810" i="7"/>
  <c r="Y84" i="7"/>
  <c r="Y409" i="7"/>
  <c r="Y504" i="7" s="1"/>
  <c r="AG800" i="7"/>
  <c r="AJ320" i="7"/>
  <c r="AJ342" i="7" s="1"/>
  <c r="AJ341" i="7" s="1"/>
  <c r="AU576" i="7"/>
  <c r="AU685" i="7" s="1"/>
  <c r="AV575" i="7"/>
  <c r="AW575" i="7" s="1"/>
  <c r="AW576" i="7" s="1"/>
  <c r="AW685" i="7" s="1"/>
  <c r="AJ1030" i="7"/>
  <c r="AL1030" i="7" s="1"/>
  <c r="AK375" i="7"/>
  <c r="AK450" i="7" s="1"/>
  <c r="AG739" i="7"/>
  <c r="AF50" i="7"/>
  <c r="AF110" i="7" s="1"/>
  <c r="AG110" i="7" s="1"/>
  <c r="U665" i="7"/>
  <c r="AG372" i="7"/>
  <c r="Q657" i="7"/>
  <c r="AK721" i="7"/>
  <c r="AS34" i="7"/>
  <c r="AS100" i="7" s="1"/>
  <c r="AG491" i="7"/>
  <c r="AG492" i="7" s="1"/>
  <c r="M694" i="7"/>
  <c r="M700" i="7" s="1"/>
  <c r="J90" i="7"/>
  <c r="J144" i="7" s="1"/>
  <c r="AG467" i="7"/>
  <c r="AP496" i="7"/>
  <c r="AJ811" i="7"/>
  <c r="R717" i="7"/>
  <c r="R721" i="7" s="1"/>
  <c r="T666" i="7"/>
  <c r="AM835" i="7"/>
  <c r="AK427" i="7"/>
  <c r="AK633" i="7" s="1"/>
  <c r="AL633" i="7" s="1"/>
  <c r="V666" i="7"/>
  <c r="AD409" i="7"/>
  <c r="AD504" i="7" s="1"/>
  <c r="R708" i="7"/>
  <c r="R712" i="7" s="1"/>
  <c r="J34" i="7"/>
  <c r="AJ450" i="7"/>
  <c r="AA324" i="7"/>
  <c r="N90" i="7"/>
  <c r="N93" i="7" s="1"/>
  <c r="N100" i="7" s="1"/>
  <c r="X465" i="7"/>
  <c r="X418" i="7"/>
  <c r="X558" i="7" s="1"/>
  <c r="AF185" i="7"/>
  <c r="V449" i="7"/>
  <c r="AH835" i="7"/>
  <c r="AJ809" i="7"/>
  <c r="R711" i="7"/>
  <c r="V665" i="7"/>
  <c r="AD447" i="7"/>
  <c r="AL401" i="7"/>
  <c r="AL405" i="7" s="1"/>
  <c r="AM393" i="7" s="1"/>
  <c r="AQ371" i="7"/>
  <c r="AF347" i="7"/>
  <c r="AF338" i="7" s="1"/>
  <c r="J88" i="7"/>
  <c r="AL703" i="7"/>
  <c r="O226" i="7"/>
  <c r="AD743" i="7"/>
  <c r="AA414" i="7"/>
  <c r="AN137" i="7"/>
  <c r="AO811" i="7"/>
  <c r="Z198" i="7"/>
  <c r="AJ74" i="7"/>
  <c r="AJ137" i="7" s="1"/>
  <c r="AH105" i="7"/>
  <c r="AP185" i="7"/>
  <c r="AJ840" i="7"/>
  <c r="AJ839" i="7" s="1"/>
  <c r="AO812" i="7"/>
  <c r="Q98" i="7"/>
  <c r="R98" i="7" s="1"/>
  <c r="AR1046" i="7"/>
  <c r="AL373" i="7"/>
  <c r="AP168" i="7"/>
  <c r="AP172" i="7" s="1"/>
  <c r="X683" i="7"/>
  <c r="AN826" i="7"/>
  <c r="AJ525" i="7"/>
  <c r="R373" i="7"/>
  <c r="AI525" i="7"/>
  <c r="P198" i="7"/>
  <c r="AJ835" i="7"/>
  <c r="AF42" i="7"/>
  <c r="L9" i="7"/>
  <c r="L13" i="7" s="1"/>
  <c r="W389" i="7"/>
  <c r="AO810" i="7"/>
  <c r="Y712" i="7"/>
  <c r="M655" i="7"/>
  <c r="M661" i="7" s="1"/>
  <c r="K84" i="7"/>
  <c r="AG799" i="7"/>
  <c r="W525" i="7"/>
  <c r="O459" i="7"/>
  <c r="O496" i="7" s="1"/>
  <c r="AK112" i="7"/>
  <c r="AL112" i="7" s="1"/>
  <c r="L703" i="7"/>
  <c r="P665" i="7"/>
  <c r="X137" i="7"/>
  <c r="J137" i="7"/>
  <c r="AS585" i="7"/>
  <c r="AS575" i="7" s="1"/>
  <c r="AS576" i="7" s="1"/>
  <c r="AS685" i="7" s="1"/>
  <c r="AA346" i="7"/>
  <c r="AA332" i="7" s="1"/>
  <c r="P145" i="7"/>
  <c r="Q77" i="7"/>
  <c r="Q140" i="7" s="1"/>
  <c r="R140" i="7" s="1"/>
  <c r="T401" i="7"/>
  <c r="U371" i="7"/>
  <c r="AR1033" i="7"/>
  <c r="AS1028" i="7" s="1"/>
  <c r="AM409" i="7"/>
  <c r="AM504" i="7" s="1"/>
  <c r="AA374" i="7"/>
  <c r="AA389" i="7" s="1"/>
  <c r="AA464" i="7" s="1"/>
  <c r="Q311" i="7"/>
  <c r="Q372" i="7" s="1"/>
  <c r="Q447" i="7" s="1"/>
  <c r="R389" i="7"/>
  <c r="Q655" i="7"/>
  <c r="Q660" i="7" s="1"/>
  <c r="N526" i="7"/>
  <c r="AF743" i="7"/>
  <c r="AK743" i="7"/>
  <c r="L32" i="7"/>
  <c r="L373" i="7" s="1"/>
  <c r="M373" i="7" s="1"/>
  <c r="AO907" i="7"/>
  <c r="AR811" i="7"/>
  <c r="Q224" i="7"/>
  <c r="Q226" i="7" s="1"/>
  <c r="AF838" i="7"/>
  <c r="AF839" i="7" s="1"/>
  <c r="U13" i="7"/>
  <c r="U15" i="7" s="1"/>
  <c r="U25" i="7" s="1"/>
  <c r="U74" i="7" s="1"/>
  <c r="AO840" i="7"/>
  <c r="AO839" i="7" s="1"/>
  <c r="AP832" i="7"/>
  <c r="AF454" i="7"/>
  <c r="AG454" i="7" s="1"/>
  <c r="AS1033" i="7"/>
  <c r="AT1028" i="7" s="1"/>
  <c r="AG811" i="7"/>
  <c r="AG812" i="7"/>
  <c r="AG809" i="7"/>
  <c r="AL880" i="7"/>
  <c r="AL881" i="7" s="1"/>
  <c r="AM878" i="7"/>
  <c r="AQ878" i="7"/>
  <c r="AW912" i="7"/>
  <c r="AX912" i="7" s="1"/>
  <c r="AY912" i="7" s="1"/>
  <c r="AZ912" i="7" s="1"/>
  <c r="BA912" i="7" s="1"/>
  <c r="BB912" i="7" s="1"/>
  <c r="BC912" i="7" s="1"/>
  <c r="BD912" i="7" s="1"/>
  <c r="BE912" i="7" s="1"/>
  <c r="BF912" i="7" s="1"/>
  <c r="BG912" i="7" s="1"/>
  <c r="BH912" i="7" s="1"/>
  <c r="BI912" i="7" s="1"/>
  <c r="BJ912" i="7" s="1"/>
  <c r="BK912" i="7" s="1"/>
  <c r="BL912" i="7" s="1"/>
  <c r="BM912" i="7" s="1"/>
  <c r="BN912" i="7" s="1"/>
  <c r="BO912" i="7" s="1"/>
  <c r="BP912" i="7" s="1"/>
  <c r="BQ912" i="7" s="1"/>
  <c r="BR912" i="7" s="1"/>
  <c r="BS912" i="7" s="1"/>
  <c r="BT912" i="7" s="1"/>
  <c r="BU912" i="7" s="1"/>
  <c r="BV912" i="7" s="1"/>
  <c r="BW912" i="7" s="1"/>
  <c r="BX912" i="7" s="1"/>
  <c r="BY912" i="7" s="1"/>
  <c r="BZ912" i="7" s="1"/>
  <c r="AF109" i="7"/>
  <c r="AC247" i="7"/>
  <c r="AC934" i="7" s="1"/>
  <c r="AC935" i="7" s="1"/>
  <c r="AC938" i="7" s="1"/>
  <c r="K409" i="7"/>
  <c r="K504" i="7" s="1"/>
  <c r="Q459" i="7"/>
  <c r="Q496" i="7" s="1"/>
  <c r="AF270" i="7"/>
  <c r="AF250" i="7" s="1"/>
  <c r="AG1046" i="7"/>
  <c r="Q665" i="7"/>
  <c r="AK880" i="7"/>
  <c r="AK881" i="7" s="1"/>
  <c r="AU835" i="7"/>
  <c r="AU838" i="7"/>
  <c r="AU839" i="7" s="1"/>
  <c r="AF77" i="7"/>
  <c r="AF140" i="7" s="1"/>
  <c r="AG140" i="7" s="1"/>
  <c r="AO320" i="7"/>
  <c r="AO342" i="7" s="1"/>
  <c r="AO341" i="7" s="1"/>
  <c r="AN743" i="7"/>
  <c r="R666" i="7"/>
  <c r="V56" i="15"/>
  <c r="AJ224" i="7"/>
  <c r="AJ226" i="7" s="1"/>
  <c r="AU323" i="7"/>
  <c r="AU324" i="7"/>
  <c r="N655" i="7"/>
  <c r="N662" i="7" s="1"/>
  <c r="V459" i="7"/>
  <c r="V496" i="7" s="1"/>
  <c r="AR728" i="7"/>
  <c r="AR770" i="7" s="1"/>
  <c r="N658" i="7"/>
  <c r="AP10" i="7"/>
  <c r="AP85" i="7" s="1"/>
  <c r="AQ85" i="7" s="1"/>
  <c r="AB717" i="7"/>
  <c r="AB721" i="7" s="1"/>
  <c r="AJ878" i="7"/>
  <c r="T313" i="7"/>
  <c r="T314" i="7" s="1"/>
  <c r="V10" i="7"/>
  <c r="V85" i="7" s="1"/>
  <c r="W85" i="7" s="1"/>
  <c r="Q405" i="7"/>
  <c r="AW918" i="7"/>
  <c r="AX918" i="7" s="1"/>
  <c r="AY918" i="7" s="1"/>
  <c r="AZ918" i="7" s="1"/>
  <c r="BA918" i="7" s="1"/>
  <c r="BB918" i="7" s="1"/>
  <c r="BC918" i="7" s="1"/>
  <c r="BD918" i="7" s="1"/>
  <c r="BE918" i="7" s="1"/>
  <c r="BF918" i="7" s="1"/>
  <c r="BG918" i="7" s="1"/>
  <c r="BH918" i="7" s="1"/>
  <c r="BI918" i="7" s="1"/>
  <c r="BJ918" i="7" s="1"/>
  <c r="BK918" i="7" s="1"/>
  <c r="BL918" i="7" s="1"/>
  <c r="BM918" i="7" s="1"/>
  <c r="BN918" i="7" s="1"/>
  <c r="BO918" i="7" s="1"/>
  <c r="BP918" i="7" s="1"/>
  <c r="BQ918" i="7" s="1"/>
  <c r="BR918" i="7" s="1"/>
  <c r="BS918" i="7" s="1"/>
  <c r="BT918" i="7" s="1"/>
  <c r="BU918" i="7" s="1"/>
  <c r="BV918" i="7" s="1"/>
  <c r="BW918" i="7" s="1"/>
  <c r="BX918" i="7" s="1"/>
  <c r="BY918" i="7" s="1"/>
  <c r="BZ918" i="7" s="1"/>
  <c r="N657" i="7"/>
  <c r="M657" i="7"/>
  <c r="O702" i="7"/>
  <c r="AQ225" i="7"/>
  <c r="P657" i="7"/>
  <c r="AS743" i="7"/>
  <c r="AS728" i="7"/>
  <c r="AL903" i="7"/>
  <c r="S226" i="7"/>
  <c r="AK10" i="7"/>
  <c r="AK85" i="7" s="1"/>
  <c r="AL85" i="7" s="1"/>
  <c r="AL702" i="7"/>
  <c r="AR905" i="7"/>
  <c r="AR907" i="7" s="1"/>
  <c r="AP826" i="7"/>
  <c r="AA347" i="7"/>
  <c r="AA338" i="7" s="1"/>
  <c r="AO135" i="7"/>
  <c r="AP66" i="7"/>
  <c r="AP128" i="7" s="1"/>
  <c r="AQ128" i="7" s="1"/>
  <c r="AR741" i="7"/>
  <c r="AR21" i="12" s="1"/>
  <c r="AL952" i="7"/>
  <c r="AK951" i="7"/>
  <c r="AL951" i="7" s="1"/>
  <c r="AK31" i="7"/>
  <c r="AK97" i="7" s="1"/>
  <c r="AL97" i="7" s="1"/>
  <c r="AM1059" i="7"/>
  <c r="AM1062" i="7"/>
  <c r="AM1063" i="7" s="1"/>
  <c r="U82" i="7"/>
  <c r="AO65" i="7"/>
  <c r="AO127" i="7" s="1"/>
  <c r="AI137" i="7"/>
  <c r="AR875" i="7"/>
  <c r="AR838" i="7"/>
  <c r="AR839" i="7" s="1"/>
  <c r="AI381" i="7"/>
  <c r="AI383" i="7" s="1"/>
  <c r="Q379" i="7"/>
  <c r="Q454" i="7" s="1"/>
  <c r="L721" i="7"/>
  <c r="AK878" i="7"/>
  <c r="AP11" i="7"/>
  <c r="AP86" i="7" s="1"/>
  <c r="AQ86" i="7" s="1"/>
  <c r="AS748" i="7"/>
  <c r="AT748" i="7" s="1"/>
  <c r="AU748" i="7" s="1"/>
  <c r="AV748" i="7" s="1"/>
  <c r="AF98" i="7"/>
  <c r="AG98" i="7" s="1"/>
  <c r="AQ700" i="7"/>
  <c r="AU625" i="7"/>
  <c r="AV625" i="7" s="1"/>
  <c r="Q666" i="7"/>
  <c r="U92" i="7"/>
  <c r="U104" i="7" s="1"/>
  <c r="U105" i="7" s="1"/>
  <c r="AQ403" i="7"/>
  <c r="AQ406" i="7" s="1"/>
  <c r="AO963" i="7"/>
  <c r="AO965" i="7" s="1"/>
  <c r="K657" i="7"/>
  <c r="AK12" i="7"/>
  <c r="AK87" i="7" s="1"/>
  <c r="AL87" i="7" s="1"/>
  <c r="AY385" i="13"/>
  <c r="AR227" i="14"/>
  <c r="AV227" i="14"/>
  <c r="AH140" i="35"/>
  <c r="BA98" i="35"/>
  <c r="BA97" i="35"/>
  <c r="BG143" i="35"/>
  <c r="BT98" i="35"/>
  <c r="AQ129" i="35"/>
  <c r="BU145" i="35"/>
  <c r="BU146" i="35" s="1"/>
  <c r="AY81" i="35"/>
  <c r="BA129" i="35"/>
  <c r="AQ255" i="14"/>
  <c r="AQ207" i="11"/>
  <c r="AQ214" i="11" s="1"/>
  <c r="BO143" i="35"/>
  <c r="BA131" i="35"/>
  <c r="BN105" i="35"/>
  <c r="BN113" i="35" s="1"/>
  <c r="AU100" i="35"/>
  <c r="AU101" i="35" s="1"/>
  <c r="BD127" i="35"/>
  <c r="BO156" i="35"/>
  <c r="BG140" i="35"/>
  <c r="AS126" i="35"/>
  <c r="AS127" i="35" s="1"/>
  <c r="BT106" i="35"/>
  <c r="BO153" i="35"/>
  <c r="AM171" i="35"/>
  <c r="AY6" i="43"/>
  <c r="AZ6" i="43" s="1"/>
  <c r="AY50" i="43"/>
  <c r="AX40" i="45"/>
  <c r="AY44" i="45"/>
  <c r="AY40" i="45" s="1"/>
  <c r="AR7" i="13"/>
  <c r="BG233" i="20" s="1"/>
  <c r="AP7" i="13"/>
  <c r="AX408" i="13"/>
  <c r="AZ110" i="13"/>
  <c r="AX127" i="13"/>
  <c r="AX130" i="13" s="1"/>
  <c r="AY410" i="13"/>
  <c r="AX131" i="12"/>
  <c r="AY131" i="12" s="1"/>
  <c r="AX197" i="12"/>
  <c r="BH218" i="20"/>
  <c r="AP245" i="11"/>
  <c r="AQ245" i="11" s="1"/>
  <c r="AP214" i="11"/>
  <c r="AP252" i="11" s="1"/>
  <c r="AQ252" i="11" s="1"/>
  <c r="AR245" i="11"/>
  <c r="AR214" i="11"/>
  <c r="AR252" i="11" s="1"/>
  <c r="AO119" i="11"/>
  <c r="AS81" i="11"/>
  <c r="AM81" i="11"/>
  <c r="BK141" i="35"/>
  <c r="AR100" i="35"/>
  <c r="AR101" i="35" s="1"/>
  <c r="AF86" i="35"/>
  <c r="AE131" i="35" s="1"/>
  <c r="AE130" i="35" s="1"/>
  <c r="AE129" i="35" s="1"/>
  <c r="BK95" i="35"/>
  <c r="BH86" i="35"/>
  <c r="BG145" i="35"/>
  <c r="BG151" i="35" s="1"/>
  <c r="AO100" i="35"/>
  <c r="AO101" i="35" s="1"/>
  <c r="AQ84" i="35"/>
  <c r="AZ84" i="35"/>
  <c r="AZ100" i="35" s="1"/>
  <c r="BG97" i="35"/>
  <c r="AM142" i="35"/>
  <c r="BG98" i="35"/>
  <c r="AO105" i="35"/>
  <c r="AO106" i="35" s="1"/>
  <c r="AX100" i="35"/>
  <c r="AX101" i="35" s="1"/>
  <c r="AQ140" i="35"/>
  <c r="BG84" i="35"/>
  <c r="BK96" i="35"/>
  <c r="BG86" i="35"/>
  <c r="AF97" i="35"/>
  <c r="BH81" i="35"/>
  <c r="AS77" i="35"/>
  <c r="BG142" i="35"/>
  <c r="AP81" i="11"/>
  <c r="AU312" i="11"/>
  <c r="AU323" i="11"/>
  <c r="AU86" i="44" s="1"/>
  <c r="AO81" i="11"/>
  <c r="AT98" i="35"/>
  <c r="AJ100" i="35"/>
  <c r="AJ101" i="35" s="1"/>
  <c r="AT105" i="35"/>
  <c r="AT113" i="35" s="1"/>
  <c r="AT115" i="35" s="1"/>
  <c r="AQ86" i="35"/>
  <c r="AQ141" i="35"/>
  <c r="AQ131" i="35"/>
  <c r="AM197" i="11"/>
  <c r="AQ143" i="35"/>
  <c r="AN171" i="35"/>
  <c r="BG96" i="35"/>
  <c r="AX86" i="35"/>
  <c r="AQ96" i="35"/>
  <c r="AX126" i="35"/>
  <c r="BS129" i="35"/>
  <c r="AQ97" i="35"/>
  <c r="AQ98" i="35"/>
  <c r="BO146" i="35"/>
  <c r="BO152" i="35"/>
  <c r="BH129" i="35"/>
  <c r="BK105" i="35"/>
  <c r="BK113" i="35" s="1"/>
  <c r="AQ222" i="7"/>
  <c r="AQ248" i="7" s="1"/>
  <c r="AQ924" i="7"/>
  <c r="AQ857" i="7" s="1"/>
  <c r="BG106" i="20"/>
  <c r="AR14" i="44"/>
  <c r="AL459" i="7"/>
  <c r="AL496" i="7" s="1"/>
  <c r="AL924" i="7"/>
  <c r="AL857" i="7" s="1"/>
  <c r="AS303" i="11"/>
  <c r="AT321" i="11" s="1"/>
  <c r="AT323" i="11" s="1"/>
  <c r="AT86" i="44" s="1"/>
  <c r="J496" i="7"/>
  <c r="AC93" i="7"/>
  <c r="AC100" i="7" s="1"/>
  <c r="AP681" i="7"/>
  <c r="AP683" i="7" s="1"/>
  <c r="AG75" i="11"/>
  <c r="AG81" i="11" s="1"/>
  <c r="BL81" i="11" s="1"/>
  <c r="AF81" i="11"/>
  <c r="U319" i="7"/>
  <c r="AB39" i="35"/>
  <c r="AO496" i="7"/>
  <c r="AB75" i="11"/>
  <c r="AB81" i="11" s="1"/>
  <c r="BK81" i="11" s="1"/>
  <c r="AA81" i="11"/>
  <c r="AF320" i="7"/>
  <c r="AF342" i="7" s="1"/>
  <c r="U324" i="7"/>
  <c r="AB19" i="35"/>
  <c r="AK842" i="7"/>
  <c r="AK852" i="7" s="1"/>
  <c r="AK854" i="7" s="1"/>
  <c r="AL75" i="11"/>
  <c r="AL81" i="11" s="1"/>
  <c r="BM81" i="11" s="1"/>
  <c r="AK81" i="11"/>
  <c r="AJ270" i="7"/>
  <c r="AJ250" i="7" s="1"/>
  <c r="AJ558" i="7" s="1"/>
  <c r="W75" i="11"/>
  <c r="W81" i="11" s="1"/>
  <c r="BJ81" i="11" s="1"/>
  <c r="V81" i="11"/>
  <c r="U323" i="7"/>
  <c r="AB32" i="35"/>
  <c r="AQ75" i="11"/>
  <c r="K496" i="7"/>
  <c r="AI765" i="7"/>
  <c r="T25" i="17" s="1"/>
  <c r="AH106" i="35"/>
  <c r="AH113" i="35"/>
  <c r="AH118" i="35" s="1"/>
  <c r="AN197" i="11"/>
  <c r="AM140" i="35"/>
  <c r="AS143" i="35"/>
  <c r="BL100" i="35"/>
  <c r="BL101" i="35" s="1"/>
  <c r="AF142" i="35"/>
  <c r="AF131" i="35"/>
  <c r="AM129" i="35"/>
  <c r="AF95" i="35"/>
  <c r="AL129" i="35"/>
  <c r="AL100" i="35" s="1"/>
  <c r="AL101" i="35" s="1"/>
  <c r="AF143" i="35"/>
  <c r="AF141" i="35"/>
  <c r="AF129" i="35"/>
  <c r="BQ84" i="35"/>
  <c r="BC142" i="35"/>
  <c r="AF84" i="35"/>
  <c r="AX77" i="35"/>
  <c r="AF67" i="35"/>
  <c r="BI100" i="35"/>
  <c r="BI101" i="35" s="1"/>
  <c r="AW140" i="35"/>
  <c r="BH140" i="35"/>
  <c r="AB98" i="35"/>
  <c r="BC143" i="35"/>
  <c r="BF100" i="35"/>
  <c r="BF101" i="35" s="1"/>
  <c r="AM67" i="35"/>
  <c r="AF140" i="35"/>
  <c r="AF6" i="35"/>
  <c r="AG6" i="35" s="1"/>
  <c r="AG9" i="35" s="1"/>
  <c r="AM96" i="35"/>
  <c r="BO81" i="35"/>
  <c r="AV100" i="35"/>
  <c r="AV101" i="35" s="1"/>
  <c r="BM105" i="35"/>
  <c r="BM113" i="35" s="1"/>
  <c r="BF105" i="35"/>
  <c r="BF113" i="35" s="1"/>
  <c r="AT143" i="35"/>
  <c r="BS140" i="35"/>
  <c r="AV145" i="35"/>
  <c r="AV146" i="35" s="1"/>
  <c r="BG141" i="35"/>
  <c r="BC141" i="35"/>
  <c r="BS143" i="35"/>
  <c r="AK171" i="35"/>
  <c r="AO171" i="35"/>
  <c r="AQ114" i="35"/>
  <c r="AH97" i="35"/>
  <c r="AQ118" i="35"/>
  <c r="AM84" i="35"/>
  <c r="BH131" i="35"/>
  <c r="BA76" i="35"/>
  <c r="AS129" i="35"/>
  <c r="AR145" i="35"/>
  <c r="AR146" i="35" s="1"/>
  <c r="BC95" i="35"/>
  <c r="AB141" i="35"/>
  <c r="AM95" i="35"/>
  <c r="BD77" i="35"/>
  <c r="AM141" i="35"/>
  <c r="AS95" i="35"/>
  <c r="BG131" i="35"/>
  <c r="BG129" i="35"/>
  <c r="BD81" i="35"/>
  <c r="AH171" i="35"/>
  <c r="AH6" i="35"/>
  <c r="AH9" i="35" s="1"/>
  <c r="AG141" i="35"/>
  <c r="BK97" i="35"/>
  <c r="AB84" i="35"/>
  <c r="AM131" i="35"/>
  <c r="AM6" i="35"/>
  <c r="AM9" i="35" s="1"/>
  <c r="BC140" i="35"/>
  <c r="BK86" i="35"/>
  <c r="AZ143" i="35"/>
  <c r="BK76" i="35"/>
  <c r="BK98" i="35"/>
  <c r="AS141" i="35"/>
  <c r="AZ151" i="35"/>
  <c r="AZ156" i="35" s="1"/>
  <c r="BK140" i="35"/>
  <c r="AG129" i="35"/>
  <c r="BH97" i="35"/>
  <c r="BO100" i="35"/>
  <c r="BO101" i="35" s="1"/>
  <c r="AH142" i="35"/>
  <c r="BL105" i="35"/>
  <c r="BL106" i="35" s="1"/>
  <c r="AR131" i="35"/>
  <c r="AS6" i="35"/>
  <c r="AS10" i="35" s="1"/>
  <c r="Y9" i="15" s="1"/>
  <c r="AX145" i="35"/>
  <c r="AX151" i="35" s="1"/>
  <c r="AS140" i="35"/>
  <c r="AS96" i="35"/>
  <c r="AQ106" i="35"/>
  <c r="BO86" i="35"/>
  <c r="BK129" i="35"/>
  <c r="AB67" i="35"/>
  <c r="BK84" i="35"/>
  <c r="AR51" i="35"/>
  <c r="AR50" i="35" s="1"/>
  <c r="BP145" i="35"/>
  <c r="BP151" i="35" s="1"/>
  <c r="AQ115" i="35"/>
  <c r="BK131" i="35"/>
  <c r="AW143" i="35"/>
  <c r="AO5" i="13"/>
  <c r="BD234" i="20" s="1"/>
  <c r="AO12" i="13"/>
  <c r="AO7" i="13"/>
  <c r="AO4" i="13"/>
  <c r="BD233" i="20" s="1"/>
  <c r="AP4" i="13"/>
  <c r="BE233" i="20" s="1"/>
  <c r="AR4" i="13"/>
  <c r="BG234" i="20"/>
  <c r="AQ11" i="13"/>
  <c r="AQ8" i="13" s="1"/>
  <c r="BG160" i="20"/>
  <c r="AR25" i="43"/>
  <c r="AS26" i="43" s="1"/>
  <c r="Q73" i="18"/>
  <c r="AZ324" i="20"/>
  <c r="AZ332" i="20" s="1"/>
  <c r="AZ334" i="20"/>
  <c r="AT326" i="20"/>
  <c r="AT334" i="20"/>
  <c r="AM33" i="20"/>
  <c r="F73" i="18" s="1"/>
  <c r="H73" i="18" s="1"/>
  <c r="I16" i="17" s="1"/>
  <c r="AM334" i="20"/>
  <c r="Q31" i="18"/>
  <c r="AO326" i="20"/>
  <c r="AO334" i="20"/>
  <c r="AK323" i="20"/>
  <c r="AK334" i="20"/>
  <c r="AS37" i="20"/>
  <c r="AS334" i="20"/>
  <c r="Q67" i="18"/>
  <c r="AH331" i="20"/>
  <c r="Q46" i="18"/>
  <c r="AR33" i="20"/>
  <c r="F61" i="18" s="1"/>
  <c r="R61" i="18" s="1"/>
  <c r="T61" i="18" s="1"/>
  <c r="AR334" i="20"/>
  <c r="Q55" i="18"/>
  <c r="AX324" i="20"/>
  <c r="AX332" i="20" s="1"/>
  <c r="AX334" i="20"/>
  <c r="BG332" i="20"/>
  <c r="AU33" i="20"/>
  <c r="AU35" i="20" s="1"/>
  <c r="AU334" i="20"/>
  <c r="Q40" i="18"/>
  <c r="M40" i="18"/>
  <c r="M73" i="18"/>
  <c r="AR61" i="20"/>
  <c r="AR66" i="20" s="1"/>
  <c r="AM687" i="7"/>
  <c r="BB61" i="20"/>
  <c r="BB66" i="20" s="1"/>
  <c r="BB333" i="20" s="1"/>
  <c r="AJ687" i="7"/>
  <c r="AY61" i="20"/>
  <c r="AY66" i="20" s="1"/>
  <c r="AY333" i="20" s="1"/>
  <c r="AP687" i="7"/>
  <c r="BE61" i="20"/>
  <c r="BE66" i="20" s="1"/>
  <c r="BE333" i="20" s="1"/>
  <c r="Z687" i="7"/>
  <c r="AO61" i="20"/>
  <c r="AO66" i="20" s="1"/>
  <c r="Y687" i="7"/>
  <c r="AN61" i="20"/>
  <c r="AN66" i="20" s="1"/>
  <c r="X687" i="7"/>
  <c r="AM61" i="20"/>
  <c r="AM66" i="20" s="1"/>
  <c r="BC61" i="20"/>
  <c r="AU61" i="20"/>
  <c r="AU66" i="20" s="1"/>
  <c r="AI687" i="7"/>
  <c r="AX61" i="20"/>
  <c r="AX66" i="20" s="1"/>
  <c r="AO687" i="7"/>
  <c r="AO686" i="7" s="1"/>
  <c r="BD61" i="20"/>
  <c r="BD66" i="20" s="1"/>
  <c r="BD333" i="20" s="1"/>
  <c r="AS61" i="20"/>
  <c r="AS66" i="20" s="1"/>
  <c r="AH687" i="7"/>
  <c r="AW61" i="20"/>
  <c r="AW66" i="20" s="1"/>
  <c r="AW333" i="20" s="1"/>
  <c r="AP61" i="20"/>
  <c r="AP66" i="20" s="1"/>
  <c r="AT61" i="20"/>
  <c r="AT66" i="20" s="1"/>
  <c r="AR687" i="7"/>
  <c r="BG61" i="20"/>
  <c r="AZ61" i="20"/>
  <c r="AZ66" i="20" s="1"/>
  <c r="O34" i="18"/>
  <c r="M55" i="18"/>
  <c r="O82" i="18"/>
  <c r="Q82" i="18" s="1"/>
  <c r="O64" i="18"/>
  <c r="O25" i="18"/>
  <c r="O61" i="18"/>
  <c r="M46" i="18"/>
  <c r="BC331" i="20"/>
  <c r="O37" i="18"/>
  <c r="BE331" i="20"/>
  <c r="BD331" i="20"/>
  <c r="M79" i="18"/>
  <c r="O85" i="18"/>
  <c r="Q85" i="18" s="1"/>
  <c r="O28" i="18"/>
  <c r="M31" i="18"/>
  <c r="BF33" i="20"/>
  <c r="BF35" i="20" s="1"/>
  <c r="AE331" i="20"/>
  <c r="N88" i="18"/>
  <c r="P88" i="18" s="1"/>
  <c r="L88" i="18"/>
  <c r="K88" i="18"/>
  <c r="M52" i="18"/>
  <c r="AY331" i="20"/>
  <c r="AL33" i="20"/>
  <c r="AL35" i="20" s="1"/>
  <c r="H85" i="18"/>
  <c r="I12" i="17" s="1"/>
  <c r="R85" i="18"/>
  <c r="T85" i="18" s="1"/>
  <c r="J12" i="17" s="1"/>
  <c r="G85" i="18"/>
  <c r="F43" i="18"/>
  <c r="O76" i="18"/>
  <c r="F37" i="18"/>
  <c r="O52" i="18"/>
  <c r="H82" i="18"/>
  <c r="I13" i="17" s="1"/>
  <c r="R82" i="18"/>
  <c r="T82" i="18" s="1"/>
  <c r="J13" i="17" s="1"/>
  <c r="G82" i="18"/>
  <c r="O49" i="18"/>
  <c r="G28" i="18"/>
  <c r="I28" i="18" s="1"/>
  <c r="H28" i="18"/>
  <c r="I31" i="17" s="1"/>
  <c r="D26" i="3" s="1"/>
  <c r="I26" i="3" s="1"/>
  <c r="R28" i="18"/>
  <c r="T28" i="18" s="1"/>
  <c r="J31" i="17" s="1"/>
  <c r="G34" i="18"/>
  <c r="I34" i="18" s="1"/>
  <c r="R34" i="18"/>
  <c r="T34" i="18" s="1"/>
  <c r="J29" i="17" s="1"/>
  <c r="H34" i="18"/>
  <c r="I29" i="17" s="1"/>
  <c r="D24" i="3" s="1"/>
  <c r="I24" i="3" s="1"/>
  <c r="J91" i="18"/>
  <c r="K91" i="18" s="1"/>
  <c r="O91" i="18" s="1"/>
  <c r="Q91" i="18" s="1"/>
  <c r="G49" i="18"/>
  <c r="H49" i="18"/>
  <c r="R49" i="18"/>
  <c r="T49" i="18" s="1"/>
  <c r="H88" i="18"/>
  <c r="I11" i="17" s="1"/>
  <c r="G88" i="18"/>
  <c r="R88" i="18"/>
  <c r="T88" i="18" s="1"/>
  <c r="J11" i="17" s="1"/>
  <c r="H79" i="18"/>
  <c r="I14" i="17" s="1"/>
  <c r="G79" i="18"/>
  <c r="R79" i="18"/>
  <c r="T79" i="18" s="1"/>
  <c r="J14" i="17" s="1"/>
  <c r="BG331" i="20"/>
  <c r="AW331" i="20"/>
  <c r="O43" i="18"/>
  <c r="M67" i="18"/>
  <c r="O70" i="18"/>
  <c r="H31" i="18"/>
  <c r="R31" i="18"/>
  <c r="T31" i="18" s="1"/>
  <c r="G31" i="18"/>
  <c r="O58" i="18"/>
  <c r="BO204" i="20"/>
  <c r="AS16" i="43"/>
  <c r="AS341" i="11" s="1"/>
  <c r="BA202" i="14"/>
  <c r="BB202" i="14" s="1"/>
  <c r="AZ208" i="14"/>
  <c r="AI167" i="14"/>
  <c r="AP293" i="14"/>
  <c r="AQ293" i="14" s="1"/>
  <c r="AQ294" i="14" s="1"/>
  <c r="AG39" i="14"/>
  <c r="W13" i="1"/>
  <c r="W19" i="1" s="1"/>
  <c r="BP19" i="1" s="1"/>
  <c r="AD99" i="14"/>
  <c r="AD100" i="14" s="1"/>
  <c r="AG191" i="14"/>
  <c r="AH191" i="14" s="1"/>
  <c r="AF63" i="14"/>
  <c r="AU72" i="14"/>
  <c r="AT72" i="14"/>
  <c r="AR56" i="14"/>
  <c r="AR54" i="14"/>
  <c r="AE63" i="14"/>
  <c r="X103" i="15"/>
  <c r="AE216" i="14"/>
  <c r="AE218" i="14" s="1"/>
  <c r="X18" i="48" s="1"/>
  <c r="AT34" i="14"/>
  <c r="AT51" i="14"/>
  <c r="AT35" i="14"/>
  <c r="AT39" i="14"/>
  <c r="AT38" i="14"/>
  <c r="AT37" i="14"/>
  <c r="AT53" i="14"/>
  <c r="AT50" i="14"/>
  <c r="AT48" i="14"/>
  <c r="AT49" i="14"/>
  <c r="AT36" i="14"/>
  <c r="AT44" i="14"/>
  <c r="AT52" i="14"/>
  <c r="AT40" i="14"/>
  <c r="AT65" i="14" s="1"/>
  <c r="AT45" i="14"/>
  <c r="AT43" i="14"/>
  <c r="AL28" i="14"/>
  <c r="R103" i="15" s="1"/>
  <c r="AQ276" i="14"/>
  <c r="AS46" i="14"/>
  <c r="AW72" i="14"/>
  <c r="AR30" i="14"/>
  <c r="Y19" i="1"/>
  <c r="T74" i="15" s="1"/>
  <c r="AU35" i="14"/>
  <c r="AU51" i="14"/>
  <c r="AU34" i="14"/>
  <c r="AU38" i="14"/>
  <c r="AU37" i="14"/>
  <c r="AU39" i="14"/>
  <c r="AU36" i="14"/>
  <c r="AU52" i="14"/>
  <c r="AU48" i="14"/>
  <c r="AU44" i="14"/>
  <c r="AV44" i="14" s="1"/>
  <c r="AU50" i="14"/>
  <c r="AU53" i="14"/>
  <c r="AU49" i="14"/>
  <c r="AU40" i="14"/>
  <c r="AU65" i="14" s="1"/>
  <c r="AU43" i="14"/>
  <c r="AU45" i="14"/>
  <c r="AR46" i="14"/>
  <c r="AS54" i="14"/>
  <c r="AS56" i="14"/>
  <c r="AS18" i="45"/>
  <c r="AX130" i="43"/>
  <c r="AY130" i="43" s="1"/>
  <c r="AZ130" i="43" s="1"/>
  <c r="BB130" i="43" s="1"/>
  <c r="AX50" i="43"/>
  <c r="AX6" i="43"/>
  <c r="AX37" i="43" s="1"/>
  <c r="AX41" i="43" s="1"/>
  <c r="AQ10" i="43"/>
  <c r="AQ16" i="43" s="1"/>
  <c r="AV10" i="43"/>
  <c r="AR20" i="13"/>
  <c r="BS114" i="35"/>
  <c r="BS118" i="35"/>
  <c r="BS120" i="35"/>
  <c r="BS121" i="35" s="1"/>
  <c r="BS115" i="35"/>
  <c r="BS145" i="35"/>
  <c r="BS146" i="35" s="1"/>
  <c r="BR115" i="35"/>
  <c r="BR118" i="35"/>
  <c r="BR120" i="35"/>
  <c r="BR122" i="35" s="1"/>
  <c r="AP142" i="35"/>
  <c r="BB131" i="35"/>
  <c r="AJ105" i="35"/>
  <c r="AJ106" i="35" s="1"/>
  <c r="AP98" i="35"/>
  <c r="BJ81" i="35"/>
  <c r="BJ126" i="35"/>
  <c r="BO127" i="35" s="1"/>
  <c r="BB129" i="35"/>
  <c r="BB100" i="35" s="1"/>
  <c r="BB101" i="35" s="1"/>
  <c r="AS98" i="35"/>
  <c r="BN129" i="35"/>
  <c r="BN100" i="35" s="1"/>
  <c r="BN131" i="35"/>
  <c r="AX82" i="35"/>
  <c r="BC105" i="35"/>
  <c r="BC98" i="35"/>
  <c r="AL171" i="35"/>
  <c r="AP95" i="35"/>
  <c r="BL145" i="35"/>
  <c r="BL151" i="35" s="1"/>
  <c r="AU105" i="35"/>
  <c r="AU106" i="35" s="1"/>
  <c r="AJ171" i="35"/>
  <c r="AI171" i="35"/>
  <c r="AP143" i="35"/>
  <c r="AB86" i="35"/>
  <c r="AB131" i="35"/>
  <c r="BS81" i="35"/>
  <c r="BD145" i="35"/>
  <c r="BD151" i="35" s="1"/>
  <c r="BF76" i="35"/>
  <c r="AB129" i="35"/>
  <c r="AB140" i="35"/>
  <c r="AO197" i="11"/>
  <c r="BD100" i="35"/>
  <c r="AB96" i="35"/>
  <c r="BO105" i="35"/>
  <c r="BB97" i="35"/>
  <c r="AB95" i="35"/>
  <c r="AR105" i="35"/>
  <c r="AR98" i="35"/>
  <c r="AS156" i="35"/>
  <c r="AS158" i="35"/>
  <c r="AS153" i="35"/>
  <c r="AS152" i="35"/>
  <c r="AK129" i="35"/>
  <c r="AK100" i="35" s="1"/>
  <c r="AK101" i="35" s="1"/>
  <c r="AK131" i="35"/>
  <c r="AK145" i="35"/>
  <c r="BG105" i="35"/>
  <c r="L36" i="15"/>
  <c r="L42" i="15" s="1"/>
  <c r="AL105" i="35"/>
  <c r="AL106" i="35" s="1"/>
  <c r="BB142" i="35"/>
  <c r="AB97" i="35"/>
  <c r="AS97" i="35"/>
  <c r="BO77" i="35"/>
  <c r="BJ105" i="35"/>
  <c r="BJ113" i="35" s="1"/>
  <c r="BE121" i="20"/>
  <c r="AS142" i="35"/>
  <c r="BC145" i="35"/>
  <c r="AL23" i="35"/>
  <c r="AG171" i="35"/>
  <c r="AS146" i="35"/>
  <c r="AM86" i="35"/>
  <c r="AQ121" i="35"/>
  <c r="AQ122" i="35"/>
  <c r="BH96" i="35"/>
  <c r="BH141" i="35"/>
  <c r="BH84" i="35"/>
  <c r="BC86" i="35"/>
  <c r="BC96" i="35"/>
  <c r="BC131" i="35"/>
  <c r="BH95" i="35"/>
  <c r="AR43" i="12"/>
  <c r="AR44" i="12" s="1"/>
  <c r="AS241" i="12"/>
  <c r="AS412" i="12"/>
  <c r="AS409" i="12"/>
  <c r="AS414" i="12" s="1"/>
  <c r="AQ626" i="12"/>
  <c r="AR33" i="12"/>
  <c r="M218" i="7"/>
  <c r="M418" i="7"/>
  <c r="M558" i="7" s="1"/>
  <c r="K663" i="7"/>
  <c r="K661" i="7"/>
  <c r="W371" i="7"/>
  <c r="S371" i="7"/>
  <c r="S381" i="7" s="1"/>
  <c r="S383" i="7" s="1"/>
  <c r="R401" i="7"/>
  <c r="AH496" i="7"/>
  <c r="P453" i="7"/>
  <c r="AJ13" i="7"/>
  <c r="AJ88" i="7" s="1"/>
  <c r="AJ389" i="7"/>
  <c r="AK374" i="7"/>
  <c r="V703" i="7"/>
  <c r="AH906" i="7"/>
  <c r="AH888" i="7" s="1"/>
  <c r="AH937" i="7" s="1"/>
  <c r="AG961" i="7"/>
  <c r="AF681" i="7"/>
  <c r="AF683" i="7" s="1"/>
  <c r="AB373" i="7"/>
  <c r="W703" i="7"/>
  <c r="AU100" i="7"/>
  <c r="AJ827" i="7"/>
  <c r="AJ826" i="7" s="1"/>
  <c r="AK819" i="7"/>
  <c r="AF835" i="7"/>
  <c r="AR238" i="7"/>
  <c r="L712" i="7"/>
  <c r="M708" i="7"/>
  <c r="M712" i="7" s="1"/>
  <c r="AJ491" i="7"/>
  <c r="AJ467" i="7" s="1"/>
  <c r="AJ392" i="7" s="1"/>
  <c r="AI491" i="7"/>
  <c r="AI467" i="7" s="1"/>
  <c r="AI392" i="7" s="1"/>
  <c r="Z449" i="7"/>
  <c r="AQ390" i="7"/>
  <c r="AQ9" i="45"/>
  <c r="AQ8" i="45" s="1"/>
  <c r="AR981" i="7"/>
  <c r="AV981" i="7" s="1"/>
  <c r="AQ293" i="7"/>
  <c r="AQ295" i="7" s="1"/>
  <c r="AQ246" i="7" s="1"/>
  <c r="AJ743" i="7"/>
  <c r="AJ728" i="7"/>
  <c r="AJ770" i="7" s="1"/>
  <c r="AA29" i="7"/>
  <c r="O193" i="7"/>
  <c r="P193" i="7"/>
  <c r="Q218" i="7"/>
  <c r="Q418" i="7"/>
  <c r="V702" i="7"/>
  <c r="AH467" i="7"/>
  <c r="AG633" i="7"/>
  <c r="U464" i="7"/>
  <c r="W464" i="7" s="1"/>
  <c r="AL266" i="7"/>
  <c r="AL244" i="7" s="1"/>
  <c r="Q198" i="7"/>
  <c r="AJ449" i="7"/>
  <c r="AK324" i="7"/>
  <c r="X700" i="7"/>
  <c r="Q406" i="7"/>
  <c r="Q414" i="7"/>
  <c r="X697" i="7"/>
  <c r="W189" i="7"/>
  <c r="X190" i="7" s="1"/>
  <c r="X195" i="7" s="1"/>
  <c r="W702" i="7"/>
  <c r="W225" i="7"/>
  <c r="AB697" i="7"/>
  <c r="U176" i="7"/>
  <c r="U166" i="7"/>
  <c r="AQ228" i="7"/>
  <c r="AL223" i="7"/>
  <c r="V162" i="7"/>
  <c r="V166" i="7" s="1"/>
  <c r="V164" i="7" s="1"/>
  <c r="AK810" i="7"/>
  <c r="AK812" i="7"/>
  <c r="O666" i="7"/>
  <c r="O665" i="7"/>
  <c r="AA525" i="7"/>
  <c r="AQ232" i="7"/>
  <c r="AQ260" i="7" s="1"/>
  <c r="AQ230" i="7"/>
  <c r="O655" i="7"/>
  <c r="O662" i="7" s="1"/>
  <c r="AO52" i="7"/>
  <c r="AN373" i="7"/>
  <c r="AN45" i="7"/>
  <c r="AI963" i="7"/>
  <c r="AI965" i="7" s="1"/>
  <c r="AN491" i="7"/>
  <c r="AN467" i="7" s="1"/>
  <c r="AN392" i="7" s="1"/>
  <c r="P661" i="7"/>
  <c r="Y25" i="7"/>
  <c r="Y34" i="7" s="1"/>
  <c r="Y36" i="7" s="1"/>
  <c r="Y74" i="7"/>
  <c r="BD101" i="20"/>
  <c r="BD103" i="20" s="1"/>
  <c r="Y88" i="7"/>
  <c r="AG902" i="7"/>
  <c r="AH742" i="7"/>
  <c r="AH728" i="7" s="1"/>
  <c r="O650" i="7"/>
  <c r="O526" i="7" s="1"/>
  <c r="Q378" i="7"/>
  <c r="AG903" i="7"/>
  <c r="AQ708" i="7"/>
  <c r="AQ712" i="7" s="1"/>
  <c r="AP712" i="7"/>
  <c r="Q145" i="7"/>
  <c r="P180" i="7"/>
  <c r="O180" i="7" s="1"/>
  <c r="N180" i="7" s="1"/>
  <c r="M180" i="7" s="1"/>
  <c r="L180" i="7" s="1"/>
  <c r="AJ681" i="7"/>
  <c r="U95" i="7"/>
  <c r="AO857" i="7"/>
  <c r="T64" i="15"/>
  <c r="O657" i="7"/>
  <c r="AA112" i="7"/>
  <c r="AJ822" i="7"/>
  <c r="S702" i="7"/>
  <c r="AS25" i="13"/>
  <c r="AS19" i="13"/>
  <c r="AS22" i="44" s="1"/>
  <c r="AS71" i="44" s="1"/>
  <c r="D20" i="47" s="1"/>
  <c r="AG810" i="7"/>
  <c r="AL961" i="7"/>
  <c r="AL902" i="7"/>
  <c r="V32" i="7"/>
  <c r="U373" i="7"/>
  <c r="Q375" i="7"/>
  <c r="M698" i="7"/>
  <c r="AK835" i="7"/>
  <c r="AK840" i="7"/>
  <c r="AK839" i="7" s="1"/>
  <c r="AL832" i="7"/>
  <c r="AL835" i="7" s="1"/>
  <c r="P450" i="7"/>
  <c r="AN465" i="7"/>
  <c r="AQ465" i="7" s="1"/>
  <c r="AG166" i="7"/>
  <c r="AG164" i="7" s="1"/>
  <c r="AC681" i="7"/>
  <c r="AE83" i="7"/>
  <c r="AG83" i="7" s="1"/>
  <c r="AH320" i="7"/>
  <c r="AH342" i="7" s="1"/>
  <c r="AH341" i="7" s="1"/>
  <c r="AP811" i="7"/>
  <c r="AK811" i="7"/>
  <c r="AI880" i="7"/>
  <c r="AI881" i="7" s="1"/>
  <c r="AC268" i="7"/>
  <c r="AC270" i="7" s="1"/>
  <c r="AC250" i="7" s="1"/>
  <c r="Y381" i="7"/>
  <c r="Y383" i="7" s="1"/>
  <c r="AR448" i="7"/>
  <c r="AP77" i="7"/>
  <c r="Z14" i="1"/>
  <c r="Z19" i="1" s="1"/>
  <c r="U74" i="15" s="1"/>
  <c r="O418" i="7"/>
  <c r="O558" i="7" s="1"/>
  <c r="O218" i="7"/>
  <c r="U377" i="7"/>
  <c r="U376" i="7" s="1"/>
  <c r="R217" i="7"/>
  <c r="T179" i="7"/>
  <c r="T181" i="7" s="1"/>
  <c r="U177" i="7"/>
  <c r="V177" i="7" s="1"/>
  <c r="W177" i="7" s="1"/>
  <c r="AG712" i="7"/>
  <c r="AH525" i="7"/>
  <c r="AP809" i="7"/>
  <c r="AE880" i="7"/>
  <c r="AE881" i="7" s="1"/>
  <c r="Z464" i="7"/>
  <c r="P506" i="7"/>
  <c r="AS373" i="7"/>
  <c r="AS112" i="7"/>
  <c r="AT52" i="7"/>
  <c r="AT45" i="7" s="1"/>
  <c r="AO256" i="7"/>
  <c r="AN525" i="7"/>
  <c r="AL166" i="7"/>
  <c r="AL164" i="7" s="1"/>
  <c r="AL195" i="7"/>
  <c r="AI878" i="7"/>
  <c r="Z525" i="7"/>
  <c r="N34" i="7"/>
  <c r="N74" i="7"/>
  <c r="AI826" i="7"/>
  <c r="AQ875" i="7"/>
  <c r="AQ880" i="7"/>
  <c r="AQ881" i="7" s="1"/>
  <c r="AQ229" i="7"/>
  <c r="AO270" i="7"/>
  <c r="AO250" i="7" s="1"/>
  <c r="AO558" i="7" s="1"/>
  <c r="U84" i="7"/>
  <c r="Y112" i="7"/>
  <c r="AS812" i="7"/>
  <c r="P95" i="7"/>
  <c r="AN112" i="7"/>
  <c r="V190" i="7"/>
  <c r="V195" i="7" s="1"/>
  <c r="V712" i="7"/>
  <c r="W708" i="7"/>
  <c r="AG666" i="7"/>
  <c r="AG665" i="7"/>
  <c r="AM1049" i="7"/>
  <c r="AM1050" i="7" s="1"/>
  <c r="AM1046" i="7"/>
  <c r="AU145" i="35"/>
  <c r="AU143" i="35"/>
  <c r="AO143" i="35"/>
  <c r="AO145" i="35"/>
  <c r="BE145" i="35"/>
  <c r="BE143" i="35"/>
  <c r="AJ145" i="35"/>
  <c r="AM145" i="35"/>
  <c r="AM143" i="35"/>
  <c r="BP72" i="35"/>
  <c r="BP75" i="35"/>
  <c r="BP140" i="35"/>
  <c r="BP96" i="35"/>
  <c r="BP86" i="35"/>
  <c r="BP142" i="35"/>
  <c r="BP131" i="35"/>
  <c r="BP84" i="35"/>
  <c r="BP129" i="35"/>
  <c r="BP97" i="35"/>
  <c r="BR77" i="35"/>
  <c r="BR81" i="35"/>
  <c r="BR126" i="35"/>
  <c r="AB143" i="35"/>
  <c r="AB145" i="35"/>
  <c r="AW146" i="35"/>
  <c r="AW151" i="35"/>
  <c r="BM96" i="35"/>
  <c r="BM131" i="35"/>
  <c r="BM129" i="35"/>
  <c r="BM97" i="35"/>
  <c r="BM142" i="35"/>
  <c r="BM140" i="35"/>
  <c r="BB143" i="35"/>
  <c r="BB145" i="35"/>
  <c r="BJ145" i="35"/>
  <c r="BJ131" i="35"/>
  <c r="BJ129" i="35"/>
  <c r="BJ100" i="35" s="1"/>
  <c r="BC126" i="35"/>
  <c r="BC77" i="35"/>
  <c r="BC81" i="35"/>
  <c r="BC82" i="35" s="1"/>
  <c r="BH77" i="35"/>
  <c r="BA106" i="35"/>
  <c r="BA113" i="35"/>
  <c r="AN105" i="35"/>
  <c r="AN86" i="35"/>
  <c r="AN84" i="35"/>
  <c r="BN145" i="35"/>
  <c r="BN143" i="35"/>
  <c r="BN126" i="35"/>
  <c r="BN81" i="35"/>
  <c r="BN77" i="35"/>
  <c r="BQ98" i="35"/>
  <c r="BQ105" i="35"/>
  <c r="AF146" i="35"/>
  <c r="AF151" i="35"/>
  <c r="AN145" i="35"/>
  <c r="AN129" i="35"/>
  <c r="AN131" i="35"/>
  <c r="BE81" i="35"/>
  <c r="BE126" i="35"/>
  <c r="BE77" i="35"/>
  <c r="AR126" i="35"/>
  <c r="AR127" i="35" s="1"/>
  <c r="AR81" i="35"/>
  <c r="AR82" i="35" s="1"/>
  <c r="AR77" i="35"/>
  <c r="AP113" i="35"/>
  <c r="AP106" i="35"/>
  <c r="L41" i="15"/>
  <c r="BK143" i="35"/>
  <c r="BK145" i="35"/>
  <c r="BT77" i="35"/>
  <c r="BT126" i="35"/>
  <c r="BT127" i="35" s="1"/>
  <c r="BT81" i="35"/>
  <c r="AG140" i="35"/>
  <c r="AG67" i="35"/>
  <c r="AG84" i="35"/>
  <c r="AG86" i="35"/>
  <c r="AK98" i="35"/>
  <c r="AK105" i="35"/>
  <c r="BD98" i="35"/>
  <c r="BD105" i="35"/>
  <c r="BJ77" i="35"/>
  <c r="BT118" i="35"/>
  <c r="BT120" i="35"/>
  <c r="BT114" i="35"/>
  <c r="BT115" i="35"/>
  <c r="AT146" i="35"/>
  <c r="AT151" i="35"/>
  <c r="AW77" i="35"/>
  <c r="AW126" i="35"/>
  <c r="AW81" i="35"/>
  <c r="BB98" i="35"/>
  <c r="BB105" i="35"/>
  <c r="AG98" i="35"/>
  <c r="BB141" i="35"/>
  <c r="BB95" i="35"/>
  <c r="BB96" i="35"/>
  <c r="BB86" i="35"/>
  <c r="BI105" i="35"/>
  <c r="BI98" i="35"/>
  <c r="BK75" i="35"/>
  <c r="BK72" i="35"/>
  <c r="BA72" i="35"/>
  <c r="BA75" i="35"/>
  <c r="AG106" i="35"/>
  <c r="AG113" i="35"/>
  <c r="BG81" i="35"/>
  <c r="BG77" i="35"/>
  <c r="BG126" i="35"/>
  <c r="BM98" i="35"/>
  <c r="BP95" i="35"/>
  <c r="AG131" i="35"/>
  <c r="BU76" i="35"/>
  <c r="BP76" i="35"/>
  <c r="BI81" i="35"/>
  <c r="BI126" i="35"/>
  <c r="BI127" i="35" s="1"/>
  <c r="BI77" i="35"/>
  <c r="AL145" i="35"/>
  <c r="BU84" i="35"/>
  <c r="BU100" i="35" s="1"/>
  <c r="BU105" i="35"/>
  <c r="BU86" i="35"/>
  <c r="AF98" i="35"/>
  <c r="AF105" i="35"/>
  <c r="BI143" i="35"/>
  <c r="BI145" i="35"/>
  <c r="BQ96" i="35"/>
  <c r="BQ129" i="35"/>
  <c r="BQ140" i="35"/>
  <c r="BQ142" i="35"/>
  <c r="BQ95" i="35"/>
  <c r="BB126" i="35"/>
  <c r="BB81" i="35"/>
  <c r="BB77" i="35"/>
  <c r="BM143" i="35"/>
  <c r="BM145" i="35"/>
  <c r="AW98" i="35"/>
  <c r="AW105" i="35"/>
  <c r="AG95" i="35"/>
  <c r="AX98" i="35"/>
  <c r="AX105" i="35"/>
  <c r="AQ145" i="35"/>
  <c r="BM84" i="35"/>
  <c r="AB105" i="35"/>
  <c r="BQ131" i="35"/>
  <c r="BM141" i="35"/>
  <c r="BM77" i="35"/>
  <c r="BM126" i="35"/>
  <c r="BM127" i="35" s="1"/>
  <c r="BM81" i="35"/>
  <c r="BS97" i="35"/>
  <c r="BS95" i="35"/>
  <c r="BS96" i="35"/>
  <c r="BS141" i="35"/>
  <c r="BS98" i="35"/>
  <c r="BS86" i="35"/>
  <c r="BS84" i="35"/>
  <c r="BS106" i="35"/>
  <c r="BE86" i="35"/>
  <c r="BE84" i="35"/>
  <c r="BE100" i="35" s="1"/>
  <c r="BE105" i="35"/>
  <c r="AU81" i="35"/>
  <c r="AU126" i="35"/>
  <c r="AU77" i="35"/>
  <c r="AV75" i="35"/>
  <c r="AV72" i="35"/>
  <c r="BM86" i="35"/>
  <c r="AM98" i="35"/>
  <c r="AM105" i="35"/>
  <c r="BF72" i="35"/>
  <c r="BF75" i="35"/>
  <c r="BN204" i="20"/>
  <c r="AH143" i="35"/>
  <c r="AH145" i="35"/>
  <c r="AW95" i="35"/>
  <c r="AW141" i="35"/>
  <c r="AW84" i="35"/>
  <c r="AW129" i="35"/>
  <c r="AW97" i="35"/>
  <c r="AW131" i="35"/>
  <c r="AW86" i="35"/>
  <c r="BT100" i="35"/>
  <c r="BO160" i="35"/>
  <c r="BO159" i="35"/>
  <c r="AI143" i="35"/>
  <c r="AI145" i="35"/>
  <c r="AP84" i="35"/>
  <c r="AP129" i="35"/>
  <c r="AP131" i="35"/>
  <c r="AP140" i="35"/>
  <c r="AP141" i="35"/>
  <c r="AP86" i="35"/>
  <c r="AP96" i="35"/>
  <c r="AP97" i="35"/>
  <c r="AS105" i="35"/>
  <c r="AS86" i="35"/>
  <c r="AS84" i="35"/>
  <c r="BA141" i="35"/>
  <c r="BA84" i="35"/>
  <c r="BA96" i="35"/>
  <c r="BA86" i="35"/>
  <c r="BA95" i="35"/>
  <c r="AZ126" i="35"/>
  <c r="AZ77" i="35"/>
  <c r="AZ81" i="35"/>
  <c r="BQ97" i="35"/>
  <c r="BU72" i="35"/>
  <c r="BU75" i="35"/>
  <c r="AG96" i="35"/>
  <c r="BR84" i="35"/>
  <c r="BR97" i="35"/>
  <c r="BR114" i="35"/>
  <c r="BR140" i="35"/>
  <c r="BR141" i="35"/>
  <c r="BR106" i="35"/>
  <c r="BR142" i="35"/>
  <c r="BR95" i="35"/>
  <c r="BR96" i="35"/>
  <c r="BR98" i="35"/>
  <c r="BR129" i="35"/>
  <c r="BR131" i="35"/>
  <c r="BR86" i="35"/>
  <c r="BP204" i="20"/>
  <c r="H16" i="39" s="1"/>
  <c r="AG142" i="35"/>
  <c r="AV76" i="35"/>
  <c r="BQ145" i="35"/>
  <c r="BQ143" i="35"/>
  <c r="AZ105" i="35"/>
  <c r="AZ98" i="35"/>
  <c r="BQ77" i="35"/>
  <c r="BQ126" i="35"/>
  <c r="BQ81" i="35"/>
  <c r="BS77" i="35"/>
  <c r="AY131" i="35"/>
  <c r="AY145" i="35"/>
  <c r="AY129" i="35"/>
  <c r="AY100" i="35" s="1"/>
  <c r="AI98" i="35"/>
  <c r="AI105" i="35"/>
  <c r="BQ141" i="35"/>
  <c r="BP106" i="35"/>
  <c r="BP113" i="35"/>
  <c r="AP77" i="35"/>
  <c r="AP81" i="35"/>
  <c r="AP82" i="35" s="1"/>
  <c r="AP126" i="35"/>
  <c r="AP127" i="35" s="1"/>
  <c r="BR145" i="35"/>
  <c r="BR143" i="35"/>
  <c r="BH98" i="35"/>
  <c r="BH105" i="35"/>
  <c r="BL81" i="35"/>
  <c r="BL77" i="35"/>
  <c r="BL126" i="35"/>
  <c r="AV98" i="35"/>
  <c r="AV105" i="35"/>
  <c r="BS142" i="35"/>
  <c r="BA143" i="35"/>
  <c r="BA145" i="35"/>
  <c r="BP143" i="35"/>
  <c r="AP145" i="35"/>
  <c r="AH95" i="35"/>
  <c r="AH141" i="35"/>
  <c r="AH86" i="35"/>
  <c r="AH67" i="35"/>
  <c r="AH84" i="35"/>
  <c r="AH98" i="35"/>
  <c r="AH131" i="35"/>
  <c r="AH129" i="35"/>
  <c r="AT84" i="35"/>
  <c r="AT96" i="35"/>
  <c r="AT131" i="35"/>
  <c r="AT86" i="35"/>
  <c r="AT140" i="35"/>
  <c r="AT129" i="35"/>
  <c r="AT141" i="35"/>
  <c r="AT95" i="35"/>
  <c r="BB140" i="35"/>
  <c r="BP98" i="35"/>
  <c r="AW142" i="35"/>
  <c r="AY98" i="35"/>
  <c r="AY105" i="35"/>
  <c r="AQ72" i="35"/>
  <c r="AQ75" i="35"/>
  <c r="BA140" i="35"/>
  <c r="BP141" i="35"/>
  <c r="AG143" i="35"/>
  <c r="AG145" i="35"/>
  <c r="BH143" i="35"/>
  <c r="BH145" i="35"/>
  <c r="BF145" i="35"/>
  <c r="BM95" i="35"/>
  <c r="AT77" i="35"/>
  <c r="AT126" i="35"/>
  <c r="AY77" i="35"/>
  <c r="AT81" i="35"/>
  <c r="AT142" i="35"/>
  <c r="AU480" i="12"/>
  <c r="BA10" i="43"/>
  <c r="AF211" i="11"/>
  <c r="AF212" i="11" s="1"/>
  <c r="AK211" i="11"/>
  <c r="AK249" i="11" s="1"/>
  <c r="AK250" i="11" s="1"/>
  <c r="V223" i="11"/>
  <c r="AK93" i="11"/>
  <c r="AL93" i="11" s="1"/>
  <c r="AK68" i="11"/>
  <c r="AK237" i="11" s="1"/>
  <c r="AA223" i="11"/>
  <c r="V211" i="11"/>
  <c r="V249" i="11" s="1"/>
  <c r="AL33" i="11"/>
  <c r="AR262" i="11"/>
  <c r="AR263" i="11" s="1"/>
  <c r="AR93" i="11"/>
  <c r="W163" i="11"/>
  <c r="AR211" i="11"/>
  <c r="AR249" i="11" s="1"/>
  <c r="W33" i="11"/>
  <c r="W211" i="11" s="1"/>
  <c r="W212" i="11" s="1"/>
  <c r="AP119" i="11"/>
  <c r="AQ119" i="11" s="1"/>
  <c r="AQ208" i="11"/>
  <c r="AN223" i="11"/>
  <c r="AK306" i="14"/>
  <c r="AK309" i="14" s="1"/>
  <c r="AN200" i="11"/>
  <c r="AK200" i="11"/>
  <c r="AL200" i="11" s="1"/>
  <c r="AB223" i="11"/>
  <c r="AP223" i="11"/>
  <c r="AG33" i="11"/>
  <c r="AG300" i="14" s="1"/>
  <c r="AG303" i="14" s="1"/>
  <c r="AG306" i="14" s="1"/>
  <c r="AO300" i="14"/>
  <c r="AO303" i="14" s="1"/>
  <c r="AO306" i="14" s="1"/>
  <c r="AO68" i="11"/>
  <c r="AO127" i="11" s="1"/>
  <c r="AO211" i="11"/>
  <c r="AO212" i="11" s="1"/>
  <c r="AM200" i="11"/>
  <c r="AP231" i="11"/>
  <c r="AP271" i="11" s="1"/>
  <c r="AP272" i="11" s="1"/>
  <c r="AM93" i="11"/>
  <c r="W223" i="11"/>
  <c r="AO200" i="11"/>
  <c r="AF93" i="11"/>
  <c r="AG93" i="11" s="1"/>
  <c r="AO223" i="11"/>
  <c r="AQ24" i="35"/>
  <c r="AH324" i="7"/>
  <c r="AO324" i="7"/>
  <c r="AA320" i="7"/>
  <c r="AA342" i="7" s="1"/>
  <c r="AB33" i="35"/>
  <c r="AB6" i="35"/>
  <c r="AB9" i="35" s="1"/>
  <c r="AG81" i="7"/>
  <c r="AB24" i="35"/>
  <c r="AJ248" i="7"/>
  <c r="AO1073" i="7"/>
  <c r="AO1075" i="7" s="1"/>
  <c r="Y35" i="15"/>
  <c r="Y37" i="15" s="1"/>
  <c r="Y47" i="15" s="1"/>
  <c r="AB34" i="35"/>
  <c r="AP256" i="7"/>
  <c r="AO282" i="7"/>
  <c r="AO283" i="7" s="1"/>
  <c r="AB23" i="35"/>
  <c r="AO858" i="7"/>
  <c r="AE149" i="14"/>
  <c r="AO843" i="7"/>
  <c r="AA319" i="7"/>
  <c r="AA336" i="7" s="1"/>
  <c r="P324" i="7"/>
  <c r="AB25" i="35"/>
  <c r="AK498" i="7"/>
  <c r="AK501" i="7" s="1"/>
  <c r="AO319" i="7"/>
  <c r="AO336" i="7" s="1"/>
  <c r="AO335" i="7" s="1"/>
  <c r="AO257" i="7"/>
  <c r="O759" i="7"/>
  <c r="AH319" i="7"/>
  <c r="AH336" i="7" s="1"/>
  <c r="AH335" i="7" s="1"/>
  <c r="AA323" i="7"/>
  <c r="AI682" i="7"/>
  <c r="AN54" i="14"/>
  <c r="AJ636" i="7"/>
  <c r="Z759" i="7"/>
  <c r="P323" i="7"/>
  <c r="AE282" i="7"/>
  <c r="AE283" i="7" s="1"/>
  <c r="AQ633" i="7"/>
  <c r="AO173" i="14"/>
  <c r="P319" i="7"/>
  <c r="Q320" i="7"/>
  <c r="AQ119" i="7"/>
  <c r="AK50" i="35"/>
  <c r="BE101" i="20"/>
  <c r="AP350" i="11" s="1"/>
  <c r="AA446" i="7"/>
  <c r="AK561" i="7"/>
  <c r="AK764" i="7" s="1"/>
  <c r="AB140" i="7"/>
  <c r="AK473" i="7"/>
  <c r="Q561" i="7"/>
  <c r="Q766" i="7" s="1"/>
  <c r="Q767" i="7" s="1"/>
  <c r="Q768" i="7" s="1"/>
  <c r="Q771" i="7" s="1"/>
  <c r="AO299" i="7"/>
  <c r="AO300" i="7" s="1"/>
  <c r="BD150" i="20"/>
  <c r="AF26" i="35"/>
  <c r="AF28" i="35" s="1"/>
  <c r="AF36" i="35" s="1"/>
  <c r="AF42" i="35" s="1"/>
  <c r="AD89" i="15"/>
  <c r="AD90" i="15" s="1"/>
  <c r="AX114" i="44"/>
  <c r="AT215" i="14"/>
  <c r="AT225" i="14"/>
  <c r="AT226" i="14" s="1"/>
  <c r="AS288" i="11"/>
  <c r="AH57" i="14"/>
  <c r="AG86" i="7"/>
  <c r="M140" i="7"/>
  <c r="AO18" i="35"/>
  <c r="U28" i="15" s="1"/>
  <c r="AK18" i="35"/>
  <c r="Q28" i="15" s="1"/>
  <c r="AK20" i="35"/>
  <c r="AG92" i="7"/>
  <c r="AN85" i="14"/>
  <c r="AH446" i="7"/>
  <c r="AH456" i="7" s="1"/>
  <c r="AH458" i="7" s="1"/>
  <c r="AS26" i="35"/>
  <c r="Y54" i="15" s="1"/>
  <c r="AJ57" i="14"/>
  <c r="BH106" i="20"/>
  <c r="AL83" i="7"/>
  <c r="J765" i="7"/>
  <c r="T5" i="17" s="1"/>
  <c r="W453" i="7"/>
  <c r="X177" i="1"/>
  <c r="AC931" i="7"/>
  <c r="AS1029" i="7"/>
  <c r="AS1031" i="7"/>
  <c r="AS1030" i="7"/>
  <c r="AG229" i="7"/>
  <c r="AG280" i="7" s="1"/>
  <c r="AG257" i="7" s="1"/>
  <c r="AB766" i="7"/>
  <c r="AB767" i="7" s="1"/>
  <c r="AB768" i="7" s="1"/>
  <c r="AG228" i="7"/>
  <c r="AG268" i="7" s="1"/>
  <c r="AG256" i="7" s="1"/>
  <c r="AF257" i="7"/>
  <c r="AF259" i="7" s="1"/>
  <c r="AK9" i="35"/>
  <c r="AG232" i="7"/>
  <c r="AG260" i="7" s="1"/>
  <c r="AR18" i="35"/>
  <c r="AR297" i="7"/>
  <c r="AR1066" i="7" s="1"/>
  <c r="AC765" i="7"/>
  <c r="T20" i="17" s="1"/>
  <c r="AD636" i="7"/>
  <c r="AD638" i="7" s="1"/>
  <c r="AT1029" i="7"/>
  <c r="AT1031" i="7"/>
  <c r="AT1030" i="7"/>
  <c r="AD446" i="7"/>
  <c r="AK52" i="35"/>
  <c r="W140" i="7"/>
  <c r="M95" i="7"/>
  <c r="AU131" i="44"/>
  <c r="AU132" i="44" s="1"/>
  <c r="AU16" i="44" s="1"/>
  <c r="AU96" i="44"/>
  <c r="AR16" i="45"/>
  <c r="AS16" i="45"/>
  <c r="AS496" i="7"/>
  <c r="AT446" i="7"/>
  <c r="AT18" i="45"/>
  <c r="AU54" i="45"/>
  <c r="AU52" i="45"/>
  <c r="W12" i="48"/>
  <c r="W10" i="48"/>
  <c r="W14" i="48"/>
  <c r="W16" i="48"/>
  <c r="AW131" i="43"/>
  <c r="AW50" i="43"/>
  <c r="AW6" i="43"/>
  <c r="AW37" i="43" s="1"/>
  <c r="AW41" i="43" s="1"/>
  <c r="AU11" i="43"/>
  <c r="AV11" i="43" s="1"/>
  <c r="AU131" i="43"/>
  <c r="AU64" i="45"/>
  <c r="AU66" i="45"/>
  <c r="AO11" i="45"/>
  <c r="AV405" i="13"/>
  <c r="AV102" i="13"/>
  <c r="AU127" i="13"/>
  <c r="AU130" i="13" s="1"/>
  <c r="AV382" i="13"/>
  <c r="AR12" i="13"/>
  <c r="AR5" i="13"/>
  <c r="AV220" i="12"/>
  <c r="AV130" i="12"/>
  <c r="AW130" i="12" s="1"/>
  <c r="AV425" i="12"/>
  <c r="AP185" i="12"/>
  <c r="AV66" i="12"/>
  <c r="AV96" i="12"/>
  <c r="BO53" i="12"/>
  <c r="BT53" i="12" s="1"/>
  <c r="AS218" i="12"/>
  <c r="AT218" i="12"/>
  <c r="AU356" i="7"/>
  <c r="AU334" i="7" s="1"/>
  <c r="AV334" i="7" s="1"/>
  <c r="AO20" i="45"/>
  <c r="AU174" i="12"/>
  <c r="BD114" i="20"/>
  <c r="BG114" i="20"/>
  <c r="BB331" i="20"/>
  <c r="AJ331" i="20"/>
  <c r="AF331" i="20"/>
  <c r="AI331" i="20"/>
  <c r="AM324" i="20"/>
  <c r="AM332" i="20" s="1"/>
  <c r="AG74" i="20"/>
  <c r="AU324" i="20"/>
  <c r="AU332" i="20" s="1"/>
  <c r="BD71" i="20"/>
  <c r="BD257" i="20" s="1"/>
  <c r="AQ22" i="20"/>
  <c r="AQ33" i="20" s="1"/>
  <c r="AQ35" i="20" s="1"/>
  <c r="AU327" i="20"/>
  <c r="AE74" i="20"/>
  <c r="AU325" i="20"/>
  <c r="AU326" i="20"/>
  <c r="AU323" i="20"/>
  <c r="AU321" i="20"/>
  <c r="AU330" i="20" s="1"/>
  <c r="AU322" i="20"/>
  <c r="AU37" i="20"/>
  <c r="BD256" i="20"/>
  <c r="BA33" i="20"/>
  <c r="BA35" i="20" s="1"/>
  <c r="BB71" i="20"/>
  <c r="AV33" i="20"/>
  <c r="AV35" i="20" s="1"/>
  <c r="AK327" i="20"/>
  <c r="AF226" i="14"/>
  <c r="AM322" i="20"/>
  <c r="BF37" i="20"/>
  <c r="CC37" i="20" s="1"/>
  <c r="R85" i="42" s="1"/>
  <c r="AM37" i="20"/>
  <c r="AK37" i="20"/>
  <c r="AS54" i="44"/>
  <c r="AS97" i="44"/>
  <c r="AR103" i="44"/>
  <c r="AR58" i="44" s="1"/>
  <c r="BA148" i="44"/>
  <c r="AT162" i="44"/>
  <c r="AT163" i="44" s="1"/>
  <c r="AQ232" i="11"/>
  <c r="AF306" i="14"/>
  <c r="AF309" i="14" s="1"/>
  <c r="AK119" i="11"/>
  <c r="AL119" i="11" s="1"/>
  <c r="AO232" i="11"/>
  <c r="AL163" i="11"/>
  <c r="AL164" i="11" s="1"/>
  <c r="AQ223" i="11"/>
  <c r="AV308" i="11"/>
  <c r="AM262" i="11"/>
  <c r="AM263" i="11" s="1"/>
  <c r="AA263" i="11"/>
  <c r="AG223" i="11"/>
  <c r="AP288" i="11"/>
  <c r="AO271" i="11"/>
  <c r="AO272" i="11" s="1"/>
  <c r="AB262" i="11"/>
  <c r="AB263" i="11" s="1"/>
  <c r="AK262" i="11"/>
  <c r="AK263" i="11" s="1"/>
  <c r="AS10" i="44"/>
  <c r="AL223" i="11"/>
  <c r="AM211" i="11"/>
  <c r="AT306" i="11"/>
  <c r="AR231" i="11"/>
  <c r="AR271" i="11" s="1"/>
  <c r="AR272" i="11" s="1"/>
  <c r="AM303" i="14"/>
  <c r="AM306" i="14" s="1"/>
  <c r="W263" i="11"/>
  <c r="AL60" i="11"/>
  <c r="AL231" i="11" s="1"/>
  <c r="AL232" i="11" s="1"/>
  <c r="AK231" i="11"/>
  <c r="AK271" i="11" s="1"/>
  <c r="AL271" i="11" s="1"/>
  <c r="AL272" i="11" s="1"/>
  <c r="AM226" i="14"/>
  <c r="AR303" i="11"/>
  <c r="AS321" i="11" s="1"/>
  <c r="AS323" i="11" s="1"/>
  <c r="AS86" i="44" s="1"/>
  <c r="AD149" i="14"/>
  <c r="AD151" i="14" s="1"/>
  <c r="AQ83" i="14"/>
  <c r="R13" i="1"/>
  <c r="R19" i="1" s="1"/>
  <c r="BO19" i="1" s="1"/>
  <c r="AE99" i="14"/>
  <c r="AE100" i="14" s="1"/>
  <c r="T19" i="1"/>
  <c r="O74" i="15" s="1"/>
  <c r="AQ43" i="14"/>
  <c r="AD54" i="14"/>
  <c r="AG192" i="14"/>
  <c r="AN56" i="14"/>
  <c r="AC149" i="14"/>
  <c r="AR303" i="14"/>
  <c r="AR306" i="14" s="1"/>
  <c r="AN226" i="14"/>
  <c r="AP173" i="14"/>
  <c r="AN167" i="14"/>
  <c r="BE292" i="20"/>
  <c r="BE311" i="20" s="1"/>
  <c r="X27" i="1"/>
  <c r="X28" i="1" s="1"/>
  <c r="N74" i="15"/>
  <c r="S27" i="1"/>
  <c r="S28" i="1" s="1"/>
  <c r="AM85" i="14"/>
  <c r="AU131" i="14"/>
  <c r="AC54" i="14"/>
  <c r="N103" i="15"/>
  <c r="AH30" i="14"/>
  <c r="AM30" i="14"/>
  <c r="S103" i="15"/>
  <c r="AK98" i="14"/>
  <c r="AJ175" i="14"/>
  <c r="AJ176" i="14" s="1"/>
  <c r="X99" i="14"/>
  <c r="X133" i="14"/>
  <c r="X95" i="14"/>
  <c r="Y96" i="14"/>
  <c r="X134" i="14"/>
  <c r="AD134" i="14"/>
  <c r="AI226" i="14"/>
  <c r="AY71" i="14"/>
  <c r="AX72" i="14"/>
  <c r="W104" i="14"/>
  <c r="W100" i="14"/>
  <c r="AF102" i="14"/>
  <c r="AG102" i="14" s="1"/>
  <c r="AH102" i="14" s="1"/>
  <c r="AI102" i="14" s="1"/>
  <c r="AJ102" i="14" s="1"/>
  <c r="AK102" i="14" s="1"/>
  <c r="AL102" i="14" s="1"/>
  <c r="AE134" i="14"/>
  <c r="O103" i="15"/>
  <c r="AI30" i="14"/>
  <c r="AG96" i="14"/>
  <c r="AF133" i="14"/>
  <c r="AF99" i="14"/>
  <c r="AP83" i="14"/>
  <c r="AJ30" i="14"/>
  <c r="P103" i="15"/>
  <c r="X82" i="15"/>
  <c r="AC21" i="1" s="1"/>
  <c r="BF106" i="20"/>
  <c r="BF121" i="20" s="1"/>
  <c r="AU80" i="14"/>
  <c r="AV78" i="14"/>
  <c r="Z94" i="14"/>
  <c r="Y131" i="14"/>
  <c r="AK30" i="14"/>
  <c r="Q103" i="15"/>
  <c r="AB24" i="1"/>
  <c r="W97" i="15"/>
  <c r="AM168" i="14"/>
  <c r="AD62" i="14"/>
  <c r="AQ61" i="14"/>
  <c r="L319" i="7"/>
  <c r="AN257" i="7"/>
  <c r="AB86" i="7"/>
  <c r="Y268" i="7"/>
  <c r="Y270" i="7" s="1"/>
  <c r="Y250" i="7" s="1"/>
  <c r="U31" i="17"/>
  <c r="AJ226" i="14"/>
  <c r="U25" i="17"/>
  <c r="AP857" i="7"/>
  <c r="AP859" i="7" s="1"/>
  <c r="AP862" i="7" s="1"/>
  <c r="AP864" i="7" s="1"/>
  <c r="L323" i="7"/>
  <c r="BG155" i="20"/>
  <c r="BG200" i="20" s="1"/>
  <c r="BG245" i="20" s="1"/>
  <c r="BG277" i="20" s="1"/>
  <c r="AJ234" i="7"/>
  <c r="AJ254" i="7" s="1"/>
  <c r="Z234" i="7"/>
  <c r="Z235" i="7" s="1"/>
  <c r="AP231" i="7"/>
  <c r="AR26" i="35"/>
  <c r="X54" i="15" s="1"/>
  <c r="AG25" i="35"/>
  <c r="AL128" i="7"/>
  <c r="AL639" i="7"/>
  <c r="AQ631" i="7" s="1"/>
  <c r="AK320" i="7"/>
  <c r="AK342" i="7" s="1"/>
  <c r="AK341" i="7" s="1"/>
  <c r="AG23" i="35"/>
  <c r="AG36" i="14"/>
  <c r="Z177" i="1"/>
  <c r="W198" i="11"/>
  <c r="W197" i="11" s="1"/>
  <c r="V263" i="11"/>
  <c r="W754" i="7"/>
  <c r="X759" i="7" s="1"/>
  <c r="AL754" i="7"/>
  <c r="AL765" i="7" s="1"/>
  <c r="AK319" i="7"/>
  <c r="AK336" i="7" s="1"/>
  <c r="AK335" i="7" s="1"/>
  <c r="AE257" i="7"/>
  <c r="AE259" i="7" s="1"/>
  <c r="AG34" i="35"/>
  <c r="J234" i="7"/>
  <c r="J235" i="7" s="1"/>
  <c r="AL229" i="7"/>
  <c r="AL280" i="7" s="1"/>
  <c r="AL842" i="7" s="1"/>
  <c r="AR198" i="11"/>
  <c r="R96" i="7"/>
  <c r="R97" i="7"/>
  <c r="AL222" i="7"/>
  <c r="AI324" i="7"/>
  <c r="AG96" i="7"/>
  <c r="AP166" i="14"/>
  <c r="AQ166" i="14" s="1"/>
  <c r="AQ147" i="14"/>
  <c r="AG45" i="14"/>
  <c r="AA105" i="7"/>
  <c r="M447" i="7"/>
  <c r="AF105" i="7"/>
  <c r="AG43" i="14"/>
  <c r="AL36" i="14"/>
  <c r="BC158" i="20"/>
  <c r="AQ39" i="14"/>
  <c r="AL228" i="7"/>
  <c r="AL268" i="7" s="1"/>
  <c r="AI173" i="14"/>
  <c r="AE636" i="7"/>
  <c r="AC682" i="7"/>
  <c r="AL230" i="7"/>
  <c r="AL297" i="7" s="1"/>
  <c r="AL1066" i="7" s="1"/>
  <c r="AG119" i="7"/>
  <c r="S17" i="17"/>
  <c r="AL632" i="7"/>
  <c r="R81" i="7"/>
  <c r="M97" i="7"/>
  <c r="BE155" i="20"/>
  <c r="BF155" i="20" s="1"/>
  <c r="AB159" i="14"/>
  <c r="AG53" i="14"/>
  <c r="AL1008" i="7"/>
  <c r="Y759" i="7"/>
  <c r="Y682" i="7"/>
  <c r="Y683" i="7" s="1"/>
  <c r="U30" i="17"/>
  <c r="AQ316" i="14"/>
  <c r="S26" i="17"/>
  <c r="AA682" i="7"/>
  <c r="AI931" i="7"/>
  <c r="AH1032" i="7"/>
  <c r="AE234" i="7"/>
  <c r="AE235" i="7" s="1"/>
  <c r="S683" i="7"/>
  <c r="S686" i="7" s="1"/>
  <c r="AQ314" i="14"/>
  <c r="AJ682" i="7"/>
  <c r="AL50" i="14"/>
  <c r="AQ53" i="14"/>
  <c r="AA765" i="7"/>
  <c r="T19" i="17" s="1"/>
  <c r="AO258" i="7"/>
  <c r="U20" i="17"/>
  <c r="AC962" i="7"/>
  <c r="AC963" i="7" s="1"/>
  <c r="AC965" i="7" s="1"/>
  <c r="W177" i="1"/>
  <c r="AC759" i="7"/>
  <c r="AL74" i="20"/>
  <c r="AG50" i="14"/>
  <c r="AG1008" i="7"/>
  <c r="AH1013" i="7" s="1"/>
  <c r="AP234" i="7"/>
  <c r="AK248" i="7"/>
  <c r="AK224" i="7"/>
  <c r="AK226" i="7" s="1"/>
  <c r="AP271" i="7"/>
  <c r="AP250" i="7"/>
  <c r="AP558" i="7" s="1"/>
  <c r="AP605" i="7" s="1"/>
  <c r="BH114" i="20"/>
  <c r="AL81" i="7"/>
  <c r="AL35" i="14"/>
  <c r="AG33" i="35"/>
  <c r="AC235" i="7"/>
  <c r="AG222" i="7"/>
  <c r="M99" i="7"/>
  <c r="AE496" i="7"/>
  <c r="AG37" i="14"/>
  <c r="AG639" i="7"/>
  <c r="AH631" i="7" s="1"/>
  <c r="AH636" i="7" s="1"/>
  <c r="AH638" i="7" s="1"/>
  <c r="AQ45" i="14"/>
  <c r="AG52" i="14"/>
  <c r="AQ52" i="14"/>
  <c r="AN26" i="35"/>
  <c r="AN28" i="35" s="1"/>
  <c r="AQ25" i="35"/>
  <c r="AG116" i="7"/>
  <c r="AF231" i="7"/>
  <c r="AF962" i="7"/>
  <c r="AF963" i="7" s="1"/>
  <c r="AF965" i="7" s="1"/>
  <c r="Z248" i="7"/>
  <c r="Z247" i="7" s="1"/>
  <c r="Z933" i="7" s="1"/>
  <c r="AG924" i="7"/>
  <c r="AH931" i="7" s="1"/>
  <c r="M96" i="7"/>
  <c r="AN263" i="11"/>
  <c r="AP287" i="11"/>
  <c r="AQ79" i="11"/>
  <c r="AQ33" i="35"/>
  <c r="AG754" i="7"/>
  <c r="AG765" i="7" s="1"/>
  <c r="AH226" i="14"/>
  <c r="M85" i="7"/>
  <c r="AL1029" i="7"/>
  <c r="O234" i="7"/>
  <c r="O235" i="7" s="1"/>
  <c r="AL37" i="14"/>
  <c r="AO26" i="35"/>
  <c r="AO28" i="35" s="1"/>
  <c r="AP258" i="7"/>
  <c r="AP1066" i="7"/>
  <c r="Y248" i="7"/>
  <c r="Y247" i="7" s="1"/>
  <c r="Y934" i="7" s="1"/>
  <c r="Y935" i="7" s="1"/>
  <c r="Y938" i="7" s="1"/>
  <c r="Y224" i="7"/>
  <c r="Y226" i="7" s="1"/>
  <c r="AO167" i="14"/>
  <c r="AL24" i="35"/>
  <c r="AC46" i="14"/>
  <c r="AK26" i="35"/>
  <c r="Q54" i="15" s="1"/>
  <c r="AQ83" i="7"/>
  <c r="AO20" i="35"/>
  <c r="AS250" i="11"/>
  <c r="AL232" i="7"/>
  <c r="AL260" i="7" s="1"/>
  <c r="AB764" i="7"/>
  <c r="AB154" i="7" s="1"/>
  <c r="AB155" i="7" s="1"/>
  <c r="BC159" i="20"/>
  <c r="BC168" i="20" s="1"/>
  <c r="AJ26" i="35"/>
  <c r="P54" i="15" s="1"/>
  <c r="AP54" i="14"/>
  <c r="AG40" i="14"/>
  <c r="AQ632" i="7"/>
  <c r="AQ82" i="7"/>
  <c r="AB682" i="7"/>
  <c r="Y234" i="7"/>
  <c r="Y235" i="7" s="1"/>
  <c r="AP304" i="11"/>
  <c r="Q105" i="7"/>
  <c r="V683" i="7"/>
  <c r="AK500" i="7"/>
  <c r="AW74" i="20"/>
  <c r="S41" i="15"/>
  <c r="S36" i="15"/>
  <c r="S47" i="15"/>
  <c r="AQ318" i="14"/>
  <c r="AQ317" i="14"/>
  <c r="AQ313" i="14"/>
  <c r="AK66" i="20"/>
  <c r="AD324" i="7"/>
  <c r="AD319" i="7"/>
  <c r="AD336" i="7" s="1"/>
  <c r="AD335" i="7" s="1"/>
  <c r="AO52" i="35"/>
  <c r="AO50" i="35"/>
  <c r="AL86" i="7"/>
  <c r="AS272" i="11"/>
  <c r="U47" i="15"/>
  <c r="U36" i="15"/>
  <c r="U41" i="15"/>
  <c r="AR71" i="20"/>
  <c r="AE54" i="14"/>
  <c r="AC319" i="7"/>
  <c r="AC336" i="7" s="1"/>
  <c r="AC335" i="7" s="1"/>
  <c r="AC324" i="7"/>
  <c r="AC323" i="7"/>
  <c r="AC320" i="7"/>
  <c r="AI319" i="7"/>
  <c r="AI336" i="7" s="1"/>
  <c r="AI335" i="7" s="1"/>
  <c r="AI320" i="7"/>
  <c r="AI342" i="7" s="1"/>
  <c r="AI341" i="7" s="1"/>
  <c r="W97" i="7"/>
  <c r="S765" i="7"/>
  <c r="T12" i="17" s="1"/>
  <c r="S12" i="17"/>
  <c r="R754" i="7"/>
  <c r="S759" i="7" s="1"/>
  <c r="R459" i="7"/>
  <c r="R232" i="7"/>
  <c r="R681" i="7" s="1"/>
  <c r="AN173" i="14"/>
  <c r="AB198" i="11"/>
  <c r="AB197" i="11" s="1"/>
  <c r="AA197" i="11"/>
  <c r="AS198" i="11"/>
  <c r="AE231" i="7"/>
  <c r="AQ44" i="14"/>
  <c r="S9" i="17"/>
  <c r="AS962" i="7"/>
  <c r="AS963" i="7" s="1"/>
  <c r="AS965" i="7" s="1"/>
  <c r="BH101" i="20"/>
  <c r="AS350" i="11" s="1"/>
  <c r="Q177" i="1"/>
  <c r="R176" i="1"/>
  <c r="R177" i="1" s="1"/>
  <c r="AC9" i="35"/>
  <c r="AQ37" i="14"/>
  <c r="AL43" i="14"/>
  <c r="X149" i="14"/>
  <c r="X151" i="14" s="1"/>
  <c r="AI46" i="14"/>
  <c r="AQ89" i="7"/>
  <c r="AQ634" i="7"/>
  <c r="AE319" i="7"/>
  <c r="AE336" i="7" s="1"/>
  <c r="AE335" i="7" s="1"/>
  <c r="BA63" i="20"/>
  <c r="AL219" i="14" s="1"/>
  <c r="AS263" i="11"/>
  <c r="AI54" i="14"/>
  <c r="AH26" i="35"/>
  <c r="N54" i="15" s="1"/>
  <c r="N57" i="15" s="1"/>
  <c r="S234" i="7"/>
  <c r="S235" i="7" s="1"/>
  <c r="AL89" i="7"/>
  <c r="AN46" i="14"/>
  <c r="AL53" i="14"/>
  <c r="AG34" i="14"/>
  <c r="AF54" i="14"/>
  <c r="AL99" i="7"/>
  <c r="Q497" i="7"/>
  <c r="AE324" i="7"/>
  <c r="U22" i="17"/>
  <c r="AE962" i="7"/>
  <c r="AE963" i="7" s="1"/>
  <c r="AE965" i="7" s="1"/>
  <c r="AE857" i="7"/>
  <c r="AS931" i="7"/>
  <c r="AL40" i="14"/>
  <c r="AQ173" i="11"/>
  <c r="AQ302" i="11" s="1"/>
  <c r="AL119" i="7"/>
  <c r="T47" i="15"/>
  <c r="T36" i="15"/>
  <c r="T41" i="15"/>
  <c r="AL48" i="14"/>
  <c r="AG48" i="14"/>
  <c r="AL82" i="7"/>
  <c r="AG85" i="7"/>
  <c r="AQ136" i="7"/>
  <c r="AF74" i="20"/>
  <c r="AI231" i="7"/>
  <c r="AE320" i="7"/>
  <c r="AE342" i="7" s="1"/>
  <c r="AE341" i="7" s="1"/>
  <c r="AS446" i="7"/>
  <c r="AR268" i="7"/>
  <c r="AR496" i="7"/>
  <c r="AG39" i="35"/>
  <c r="AG24" i="35"/>
  <c r="V177" i="1"/>
  <c r="AQ87" i="7"/>
  <c r="Y177" i="1"/>
  <c r="AD46" i="14"/>
  <c r="AG49" i="14"/>
  <c r="AL32" i="35"/>
  <c r="AG56" i="14"/>
  <c r="AL33" i="35"/>
  <c r="AQ48" i="14"/>
  <c r="AG38" i="14"/>
  <c r="AG51" i="14"/>
  <c r="AP26" i="35"/>
  <c r="V54" i="15" s="1"/>
  <c r="AD320" i="7"/>
  <c r="AD342" i="7" s="1"/>
  <c r="AD341" i="7" s="1"/>
  <c r="BD158" i="20"/>
  <c r="BD203" i="20" s="1"/>
  <c r="BD248" i="20" s="1"/>
  <c r="BD280" i="20" s="1"/>
  <c r="AI57" i="14"/>
  <c r="AE62" i="14"/>
  <c r="I41" i="38"/>
  <c r="I42" i="38" s="1"/>
  <c r="AU20" i="35"/>
  <c r="AG61" i="20"/>
  <c r="R687" i="7" s="1"/>
  <c r="AK33" i="20"/>
  <c r="F76" i="18" s="1"/>
  <c r="AV63" i="20"/>
  <c r="AG219" i="14" s="1"/>
  <c r="AX71" i="20"/>
  <c r="AY71" i="20"/>
  <c r="AK321" i="20"/>
  <c r="AK330" i="20" s="1"/>
  <c r="AS71" i="20"/>
  <c r="AK326" i="20"/>
  <c r="W151" i="14"/>
  <c r="BC35" i="20"/>
  <c r="AD687" i="7"/>
  <c r="BA37" i="20"/>
  <c r="CB37" i="20" s="1"/>
  <c r="Q85" i="42" s="1"/>
  <c r="BF69" i="20"/>
  <c r="BF255" i="20" s="1"/>
  <c r="AE687" i="7"/>
  <c r="AY35" i="20"/>
  <c r="AO71" i="20"/>
  <c r="AE71" i="20"/>
  <c r="AH66" i="20"/>
  <c r="AH333" i="20" s="1"/>
  <c r="BE159" i="20"/>
  <c r="AM71" i="20"/>
  <c r="AR326" i="20"/>
  <c r="AM327" i="20"/>
  <c r="AR325" i="20"/>
  <c r="BD35" i="20"/>
  <c r="BB35" i="20"/>
  <c r="BB74" i="20"/>
  <c r="BC150" i="20"/>
  <c r="BC169" i="20" s="1"/>
  <c r="AL71" i="20"/>
  <c r="AM323" i="20"/>
  <c r="BD74" i="20"/>
  <c r="AN71" i="20"/>
  <c r="AV37" i="20"/>
  <c r="CA37" i="20" s="1"/>
  <c r="P85" i="42" s="1"/>
  <c r="AM74" i="20"/>
  <c r="AJ71" i="20"/>
  <c r="AF35" i="20"/>
  <c r="AV71" i="20"/>
  <c r="BC149" i="20"/>
  <c r="AR37" i="20"/>
  <c r="AR327" i="20"/>
  <c r="AT74" i="20"/>
  <c r="AR321" i="20"/>
  <c r="AR330" i="20" s="1"/>
  <c r="AT37" i="20"/>
  <c r="AG22" i="20"/>
  <c r="AY74" i="20"/>
  <c r="AR323" i="20"/>
  <c r="AW71" i="20"/>
  <c r="BD151" i="20"/>
  <c r="AK71" i="20"/>
  <c r="BA71" i="20"/>
  <c r="AR324" i="20"/>
  <c r="AR332" i="20" s="1"/>
  <c r="AR322" i="20"/>
  <c r="AT71" i="20"/>
  <c r="AM325" i="20"/>
  <c r="AO86" i="14"/>
  <c r="AO85" i="14" s="1"/>
  <c r="AM326" i="20"/>
  <c r="V687" i="7"/>
  <c r="AL61" i="20"/>
  <c r="W687" i="7" s="1"/>
  <c r="AX74" i="20"/>
  <c r="BF56" i="20"/>
  <c r="BF61" i="20" s="1"/>
  <c r="AK74" i="20"/>
  <c r="BE151" i="20"/>
  <c r="AE152" i="14"/>
  <c r="X55" i="18" s="1"/>
  <c r="AU74" i="20"/>
  <c r="AO25" i="43"/>
  <c r="AO23" i="43" s="1"/>
  <c r="BD160" i="20"/>
  <c r="V151" i="14"/>
  <c r="BJ291" i="20"/>
  <c r="AM321" i="20"/>
  <c r="AM330" i="20" s="1"/>
  <c r="AK325" i="20"/>
  <c r="AK322" i="20"/>
  <c r="AK324" i="20"/>
  <c r="AK332" i="20" s="1"/>
  <c r="AC152" i="14"/>
  <c r="X61" i="18" s="1"/>
  <c r="W20" i="48" s="1"/>
  <c r="AR74" i="20"/>
  <c r="AH35" i="20"/>
  <c r="AH74" i="20"/>
  <c r="AW35" i="20"/>
  <c r="AJ35" i="20"/>
  <c r="BG71" i="20"/>
  <c r="AV56" i="20"/>
  <c r="AF687" i="7"/>
  <c r="AE35" i="20"/>
  <c r="AI35" i="20"/>
  <c r="AS325" i="20"/>
  <c r="AS33" i="20"/>
  <c r="F58" i="18" s="1"/>
  <c r="AS322" i="20"/>
  <c r="AS321" i="20"/>
  <c r="AS330" i="20" s="1"/>
  <c r="AS327" i="20"/>
  <c r="AS323" i="20"/>
  <c r="BA59" i="20"/>
  <c r="AL865" i="7" s="1"/>
  <c r="AK865" i="7"/>
  <c r="AP323" i="20"/>
  <c r="AP33" i="20"/>
  <c r="F64" i="18" s="1"/>
  <c r="AP324" i="20"/>
  <c r="AP332" i="20" s="1"/>
  <c r="AP325" i="20"/>
  <c r="AP327" i="20"/>
  <c r="AP322" i="20"/>
  <c r="AP321" i="20"/>
  <c r="AP330" i="20" s="1"/>
  <c r="AP37" i="20"/>
  <c r="AS326" i="20"/>
  <c r="AU71" i="20"/>
  <c r="BA56" i="20"/>
  <c r="AK687" i="7"/>
  <c r="AO33" i="20"/>
  <c r="F67" i="18" s="1"/>
  <c r="AO323" i="20"/>
  <c r="AO322" i="20"/>
  <c r="AO327" i="20"/>
  <c r="AO321" i="20"/>
  <c r="AO330" i="20" s="1"/>
  <c r="AO325" i="20"/>
  <c r="AO37" i="20"/>
  <c r="AO324" i="20"/>
  <c r="AO332" i="20" s="1"/>
  <c r="BG35" i="20"/>
  <c r="AS324" i="20"/>
  <c r="AS332" i="20" s="1"/>
  <c r="AS74" i="20"/>
  <c r="AD219" i="14"/>
  <c r="Y58" i="18" s="1"/>
  <c r="AV54" i="20"/>
  <c r="AK152" i="14"/>
  <c r="BA62" i="20"/>
  <c r="AZ71" i="20"/>
  <c r="AZ327" i="20"/>
  <c r="AZ326" i="20"/>
  <c r="AZ323" i="20"/>
  <c r="AZ325" i="20"/>
  <c r="AZ322" i="20"/>
  <c r="AZ321" i="20"/>
  <c r="AZ330" i="20" s="1"/>
  <c r="AZ33" i="20"/>
  <c r="F40" i="18" s="1"/>
  <c r="AZ37" i="20"/>
  <c r="AV59" i="20"/>
  <c r="AG865" i="7" s="1"/>
  <c r="AF865" i="7"/>
  <c r="AN33" i="20"/>
  <c r="F70" i="18" s="1"/>
  <c r="AN321" i="20"/>
  <c r="AN330" i="20" s="1"/>
  <c r="AN325" i="20"/>
  <c r="AN322" i="20"/>
  <c r="AN327" i="20"/>
  <c r="AN37" i="20"/>
  <c r="AN324" i="20"/>
  <c r="AN332" i="20" s="1"/>
  <c r="AN323" i="20"/>
  <c r="AX33" i="20"/>
  <c r="F46" i="18" s="1"/>
  <c r="AX327" i="20"/>
  <c r="AX322" i="20"/>
  <c r="AX321" i="20"/>
  <c r="AX330" i="20" s="1"/>
  <c r="AX326" i="20"/>
  <c r="AX325" i="20"/>
  <c r="AX37" i="20"/>
  <c r="AX323" i="20"/>
  <c r="AP326" i="20"/>
  <c r="AN74" i="20"/>
  <c r="AG152" i="14"/>
  <c r="X52" i="18"/>
  <c r="BA54" i="20"/>
  <c r="AZ74" i="20"/>
  <c r="AT327" i="20"/>
  <c r="AT324" i="20"/>
  <c r="AT332" i="20" s="1"/>
  <c r="AT323" i="20"/>
  <c r="AT33" i="20"/>
  <c r="F55" i="18" s="1"/>
  <c r="AT322" i="20"/>
  <c r="AT325" i="20"/>
  <c r="AT321" i="20"/>
  <c r="AT330" i="20" s="1"/>
  <c r="AI74" i="20"/>
  <c r="AN326" i="20"/>
  <c r="BE35" i="20"/>
  <c r="AL37" i="20"/>
  <c r="BY37" i="20" s="1"/>
  <c r="N85" i="42" s="1"/>
  <c r="AW25" i="35"/>
  <c r="AU18" i="35"/>
  <c r="AW19" i="35"/>
  <c r="AC35" i="15" s="1"/>
  <c r="AX244" i="14"/>
  <c r="AU50" i="43"/>
  <c r="AU6" i="43"/>
  <c r="AU37" i="43" s="1"/>
  <c r="AU41" i="43" s="1"/>
  <c r="AT12" i="43"/>
  <c r="AZ145" i="43"/>
  <c r="AT131" i="43"/>
  <c r="AT11" i="43"/>
  <c r="AT50" i="43"/>
  <c r="AT6" i="43"/>
  <c r="AU155" i="44"/>
  <c r="AU157" i="44" s="1"/>
  <c r="AT153" i="44"/>
  <c r="AS137" i="44"/>
  <c r="AS143" i="44" s="1"/>
  <c r="AT102" i="44"/>
  <c r="AT93" i="44" s="1"/>
  <c r="AT94" i="44" s="1"/>
  <c r="AV94" i="44" s="1"/>
  <c r="AT105" i="44"/>
  <c r="AT63" i="44" s="1"/>
  <c r="AV75" i="44"/>
  <c r="G23" i="47"/>
  <c r="BJ39" i="20"/>
  <c r="AA119" i="11"/>
  <c r="AB119" i="11" s="1"/>
  <c r="AA231" i="11"/>
  <c r="AB60" i="11"/>
  <c r="AB231" i="11" s="1"/>
  <c r="AB232" i="11" s="1"/>
  <c r="AT294" i="11"/>
  <c r="AT288" i="11" s="1"/>
  <c r="AN68" i="11"/>
  <c r="AN300" i="14"/>
  <c r="AN303" i="14" s="1"/>
  <c r="AN306" i="14" s="1"/>
  <c r="AN93" i="11"/>
  <c r="AN211" i="11"/>
  <c r="AQ33" i="11"/>
  <c r="AQ211" i="11" s="1"/>
  <c r="AP211" i="11"/>
  <c r="AP300" i="14"/>
  <c r="AP93" i="11"/>
  <c r="AQ93" i="11" s="1"/>
  <c r="AP68" i="11"/>
  <c r="AP303" i="11"/>
  <c r="AQ321" i="11" s="1"/>
  <c r="AQ323" i="11" s="1"/>
  <c r="AQ324" i="11" s="1"/>
  <c r="AZ324" i="11" s="1"/>
  <c r="M108" i="42"/>
  <c r="V231" i="11"/>
  <c r="W60" i="11"/>
  <c r="W231" i="11" s="1"/>
  <c r="W232" i="11" s="1"/>
  <c r="V119" i="11"/>
  <c r="W119" i="11" s="1"/>
  <c r="AM68" i="11"/>
  <c r="AM119" i="11"/>
  <c r="AM231" i="11"/>
  <c r="AG163" i="11"/>
  <c r="AG164" i="11" s="1"/>
  <c r="AF164" i="11"/>
  <c r="V68" i="11"/>
  <c r="AN119" i="11"/>
  <c r="AN231" i="11"/>
  <c r="AP197" i="11"/>
  <c r="AQ197" i="11" s="1"/>
  <c r="AA200" i="11"/>
  <c r="AB200" i="11" s="1"/>
  <c r="AB163" i="11"/>
  <c r="AA93" i="11"/>
  <c r="AB93" i="11" s="1"/>
  <c r="AA211" i="11"/>
  <c r="AA68" i="11"/>
  <c r="AB33" i="11"/>
  <c r="AB211" i="11" s="1"/>
  <c r="AB212" i="11" s="1"/>
  <c r="AR8" i="44"/>
  <c r="AS6" i="44" s="1"/>
  <c r="AF200" i="11"/>
  <c r="AG200" i="11" s="1"/>
  <c r="AR200" i="11"/>
  <c r="AR164" i="11"/>
  <c r="AG207" i="11"/>
  <c r="AG255" i="14"/>
  <c r="AP263" i="11"/>
  <c r="AQ258" i="11"/>
  <c r="AQ263" i="11" s="1"/>
  <c r="AQ171" i="11"/>
  <c r="AG198" i="11"/>
  <c r="AG197" i="11" s="1"/>
  <c r="AF197" i="11"/>
  <c r="AF119" i="11"/>
  <c r="AG119" i="11" s="1"/>
  <c r="AG60" i="11"/>
  <c r="AG231" i="11" s="1"/>
  <c r="AG232" i="11" s="1"/>
  <c r="AF231" i="11"/>
  <c r="AF262" i="11"/>
  <c r="AF263" i="11" s="1"/>
  <c r="AQ164" i="11"/>
  <c r="AP200" i="11"/>
  <c r="AQ200" i="11" s="1"/>
  <c r="AP164" i="11"/>
  <c r="AF68" i="11"/>
  <c r="BH306" i="20"/>
  <c r="AQ129" i="13"/>
  <c r="AQ131" i="13" s="1"/>
  <c r="AS10" i="13"/>
  <c r="AR852" i="7"/>
  <c r="AR854" i="7" s="1"/>
  <c r="AP132" i="13"/>
  <c r="AT127" i="13"/>
  <c r="AS112" i="43"/>
  <c r="AS110" i="43" s="1"/>
  <c r="AQ197" i="13"/>
  <c r="AP198" i="13"/>
  <c r="AT200" i="13"/>
  <c r="AR843" i="7"/>
  <c r="AS68" i="13"/>
  <c r="AS385" i="13"/>
  <c r="AP12" i="13"/>
  <c r="AP5" i="13"/>
  <c r="BE234" i="20" s="1"/>
  <c r="O81" i="15"/>
  <c r="AP389" i="7"/>
  <c r="AP449" i="7"/>
  <c r="AK372" i="7"/>
  <c r="AK323" i="7"/>
  <c r="R663" i="7"/>
  <c r="R661" i="7"/>
  <c r="R660" i="7"/>
  <c r="L663" i="7"/>
  <c r="L660" i="7"/>
  <c r="L661" i="7"/>
  <c r="AA381" i="7"/>
  <c r="AA383" i="7" s="1"/>
  <c r="AA454" i="7"/>
  <c r="AA313" i="7"/>
  <c r="AA314" i="7" s="1"/>
  <c r="AS22" i="12"/>
  <c r="AS17" i="12" s="1"/>
  <c r="AS21" i="44" s="1"/>
  <c r="AI1025" i="7"/>
  <c r="AJ1018" i="7"/>
  <c r="AJ1023" i="7" s="1"/>
  <c r="AE888" i="7"/>
  <c r="AE907" i="7"/>
  <c r="BL1056" i="7"/>
  <c r="AG872" i="7"/>
  <c r="AG880" i="7" s="1"/>
  <c r="AG881" i="7" s="1"/>
  <c r="AF878" i="7"/>
  <c r="BD1056" i="7"/>
  <c r="BI1056" i="7" s="1"/>
  <c r="BN1056" i="7" s="1"/>
  <c r="BS1056" i="7" s="1"/>
  <c r="BX1056" i="7" s="1"/>
  <c r="K234" i="7"/>
  <c r="K235" i="7" s="1"/>
  <c r="K224" i="7"/>
  <c r="K226" i="7" s="1"/>
  <c r="L454" i="7"/>
  <c r="M454" i="7" s="1"/>
  <c r="M379" i="7"/>
  <c r="V405" i="7"/>
  <c r="V403" i="7"/>
  <c r="V420" i="7" s="1"/>
  <c r="AK84" i="7"/>
  <c r="AL84" i="7" s="1"/>
  <c r="AP22" i="12"/>
  <c r="AP743" i="7"/>
  <c r="AP728" i="7"/>
  <c r="AP770" i="7" s="1"/>
  <c r="AF1062" i="7"/>
  <c r="AF1063" i="7" s="1"/>
  <c r="AF1059" i="7"/>
  <c r="AG1055" i="7"/>
  <c r="AG1059" i="7" s="1"/>
  <c r="AT806" i="7"/>
  <c r="AT807" i="7" s="1"/>
  <c r="AT809" i="7" s="1"/>
  <c r="AG225" i="7"/>
  <c r="AG875" i="7"/>
  <c r="AH875" i="7"/>
  <c r="AL875" i="7"/>
  <c r="AN907" i="7"/>
  <c r="AN888" i="7"/>
  <c r="AN937" i="7" s="1"/>
  <c r="AZ1056" i="7"/>
  <c r="BE1056" i="7" s="1"/>
  <c r="BJ1056" i="7" s="1"/>
  <c r="BO1056" i="7" s="1"/>
  <c r="BT1056" i="7" s="1"/>
  <c r="BY1056" i="7" s="1"/>
  <c r="AP1064" i="7"/>
  <c r="AP1063" i="7" s="1"/>
  <c r="AP1059" i="7"/>
  <c r="AN504" i="7"/>
  <c r="V80" i="15"/>
  <c r="AP928" i="7"/>
  <c r="AP929" i="7" s="1"/>
  <c r="AP931" i="7" s="1"/>
  <c r="AP95" i="7"/>
  <c r="K765" i="7"/>
  <c r="T6" i="17" s="1"/>
  <c r="S6" i="17"/>
  <c r="AF117" i="7"/>
  <c r="L376" i="7"/>
  <c r="L411" i="7"/>
  <c r="L506" i="7" s="1"/>
  <c r="L453" i="7"/>
  <c r="W372" i="7"/>
  <c r="R698" i="7"/>
  <c r="AO134" i="7"/>
  <c r="AO58" i="7"/>
  <c r="AO118" i="7" s="1"/>
  <c r="AP71" i="7"/>
  <c r="AQ71" i="7" s="1"/>
  <c r="V700" i="7"/>
  <c r="U700" i="7"/>
  <c r="AN1032" i="7"/>
  <c r="AM962" i="7"/>
  <c r="AM963" i="7" s="1"/>
  <c r="AM965" i="7" s="1"/>
  <c r="AJ313" i="7"/>
  <c r="AJ314" i="7" s="1"/>
  <c r="AJ454" i="7"/>
  <c r="AF285" i="7"/>
  <c r="AG277" i="7"/>
  <c r="AF278" i="7"/>
  <c r="AS800" i="7"/>
  <c r="AS797" i="7"/>
  <c r="AS796" i="7"/>
  <c r="AS799" i="7"/>
  <c r="AE168" i="7"/>
  <c r="AE172" i="7" s="1"/>
  <c r="AE185" i="7"/>
  <c r="AO1023" i="7"/>
  <c r="P703" i="7"/>
  <c r="P702" i="7"/>
  <c r="P700" i="7"/>
  <c r="U80" i="15"/>
  <c r="U81" i="15" s="1"/>
  <c r="Z81" i="15" s="1"/>
  <c r="AE81" i="15" s="1"/>
  <c r="AJ81" i="15" s="1"/>
  <c r="AO95" i="7"/>
  <c r="AO928" i="7"/>
  <c r="AO929" i="7" s="1"/>
  <c r="AO931" i="7" s="1"/>
  <c r="AE117" i="7"/>
  <c r="AE43" i="7"/>
  <c r="AI810" i="7"/>
  <c r="AI811" i="7"/>
  <c r="AI812" i="7"/>
  <c r="AE52" i="7"/>
  <c r="AD112" i="7"/>
  <c r="AD373" i="7"/>
  <c r="AD45" i="7"/>
  <c r="W737" i="7"/>
  <c r="W733" i="7"/>
  <c r="S104" i="15"/>
  <c r="AJ111" i="7"/>
  <c r="AQ1031" i="7"/>
  <c r="U28" i="17"/>
  <c r="AR24" i="13"/>
  <c r="AR888" i="7"/>
  <c r="BC1056" i="7"/>
  <c r="AK379" i="7"/>
  <c r="AK712" i="7"/>
  <c r="AK525" i="7"/>
  <c r="AL708" i="7"/>
  <c r="AE248" i="7"/>
  <c r="AE224" i="7"/>
  <c r="AE226" i="7" s="1"/>
  <c r="AF224" i="7"/>
  <c r="AF226" i="7" s="1"/>
  <c r="AF248" i="7"/>
  <c r="AF234" i="7"/>
  <c r="AL198" i="7"/>
  <c r="AF880" i="7"/>
  <c r="AF881" i="7" s="1"/>
  <c r="AD13" i="7"/>
  <c r="AD84" i="7"/>
  <c r="AI809" i="7"/>
  <c r="V742" i="7"/>
  <c r="V739" i="7"/>
  <c r="AH517" i="7"/>
  <c r="Q658" i="7"/>
  <c r="Q650" i="7"/>
  <c r="Q526" i="7" s="1"/>
  <c r="U702" i="7"/>
  <c r="K660" i="7"/>
  <c r="AS809" i="7"/>
  <c r="AK405" i="7"/>
  <c r="AM198" i="7"/>
  <c r="AQ198" i="7" s="1"/>
  <c r="AQ195" i="7"/>
  <c r="AO450" i="7"/>
  <c r="AO410" i="7"/>
  <c r="AO505" i="7" s="1"/>
  <c r="S22" i="17"/>
  <c r="AE765" i="7"/>
  <c r="T22" i="17" s="1"/>
  <c r="AE682" i="7"/>
  <c r="AE683" i="7" s="1"/>
  <c r="AI888" i="7"/>
  <c r="AI907" i="7"/>
  <c r="AD812" i="7"/>
  <c r="AD811" i="7"/>
  <c r="AD810" i="7"/>
  <c r="AF812" i="7"/>
  <c r="AF811" i="7"/>
  <c r="AF810" i="7"/>
  <c r="AN812" i="7"/>
  <c r="AN810" i="7"/>
  <c r="AN811" i="7"/>
  <c r="AE9" i="7"/>
  <c r="AF9" i="7" s="1"/>
  <c r="AE82" i="7"/>
  <c r="AE465" i="7"/>
  <c r="V14" i="1"/>
  <c r="AK140" i="7"/>
  <c r="V738" i="7"/>
  <c r="W732" i="7"/>
  <c r="W738" i="7" s="1"/>
  <c r="AO111" i="7"/>
  <c r="AQ111" i="7" s="1"/>
  <c r="K665" i="7"/>
  <c r="AI15" i="7"/>
  <c r="AI88" i="7"/>
  <c r="S218" i="7"/>
  <c r="S418" i="7"/>
  <c r="AP810" i="7"/>
  <c r="J654" i="7"/>
  <c r="J655" i="7" s="1"/>
  <c r="J660" i="7" s="1"/>
  <c r="I652" i="7"/>
  <c r="J649" i="7"/>
  <c r="J390" i="7" s="1"/>
  <c r="AH90" i="7"/>
  <c r="AH25" i="7"/>
  <c r="AH1062" i="7"/>
  <c r="AH1063" i="7" s="1"/>
  <c r="AH1059" i="7"/>
  <c r="AR1059" i="7"/>
  <c r="AR1062" i="7"/>
  <c r="AR1063" i="7" s="1"/>
  <c r="AQ799" i="7"/>
  <c r="AO712" i="7"/>
  <c r="AP525" i="7"/>
  <c r="AO525" i="7"/>
  <c r="AJ888" i="7"/>
  <c r="AJ937" i="7" s="1"/>
  <c r="AJ907" i="7"/>
  <c r="AF29" i="7"/>
  <c r="AE95" i="7"/>
  <c r="AE756" i="7"/>
  <c r="AE928" i="7" s="1"/>
  <c r="AE929" i="7" s="1"/>
  <c r="AE931" i="7" s="1"/>
  <c r="AB401" i="7"/>
  <c r="AB459" i="7"/>
  <c r="AC371" i="7"/>
  <c r="AC381" i="7" s="1"/>
  <c r="AC383" i="7" s="1"/>
  <c r="AG371" i="7"/>
  <c r="P391" i="7"/>
  <c r="P466" i="7" s="1"/>
  <c r="Q377" i="7"/>
  <c r="P376" i="7"/>
  <c r="AA167" i="7"/>
  <c r="AA198" i="7" s="1"/>
  <c r="AP323" i="7"/>
  <c r="AP319" i="7"/>
  <c r="AP336" i="7" s="1"/>
  <c r="AP335" i="7" s="1"/>
  <c r="AM467" i="7"/>
  <c r="AM392" i="7" s="1"/>
  <c r="V558" i="7"/>
  <c r="AO74" i="7"/>
  <c r="AM105" i="7"/>
  <c r="AI514" i="7"/>
  <c r="AI517" i="7" s="1"/>
  <c r="AJ480" i="7"/>
  <c r="AI480" i="7"/>
  <c r="I74" i="7"/>
  <c r="I34" i="7"/>
  <c r="J27" i="7"/>
  <c r="S649" i="7"/>
  <c r="T652" i="7"/>
  <c r="S654" i="7"/>
  <c r="S655" i="7" s="1"/>
  <c r="S660" i="7" s="1"/>
  <c r="AG87" i="7"/>
  <c r="M104" i="7"/>
  <c r="AF857" i="7"/>
  <c r="AR22" i="12"/>
  <c r="AR17" i="12" s="1"/>
  <c r="AO1030" i="7"/>
  <c r="AP1020" i="7"/>
  <c r="AP1030" i="7" s="1"/>
  <c r="AK185" i="7"/>
  <c r="AL181" i="7"/>
  <c r="AK168" i="7"/>
  <c r="AK172" i="7" s="1"/>
  <c r="AP375" i="7"/>
  <c r="AP822" i="7"/>
  <c r="AE99" i="7"/>
  <c r="AF33" i="7"/>
  <c r="AF99" i="7" s="1"/>
  <c r="AA743" i="7"/>
  <c r="AA728" i="7"/>
  <c r="AA770" i="7" s="1"/>
  <c r="Z180" i="7"/>
  <c r="AF7" i="7"/>
  <c r="AF82" i="7" s="1"/>
  <c r="N770" i="7"/>
  <c r="R728" i="7"/>
  <c r="AJ140" i="7"/>
  <c r="U14" i="1"/>
  <c r="AO389" i="7"/>
  <c r="AO464" i="7" s="1"/>
  <c r="AO449" i="7"/>
  <c r="Y496" i="7"/>
  <c r="Z446" i="7"/>
  <c r="AF425" i="7"/>
  <c r="AF430" i="7" s="1"/>
  <c r="AE639" i="7"/>
  <c r="AF631" i="7" s="1"/>
  <c r="AF636" i="7" s="1"/>
  <c r="AE432" i="7"/>
  <c r="AN425" i="7"/>
  <c r="AN430" i="7" s="1"/>
  <c r="AM432" i="7"/>
  <c r="W698" i="7"/>
  <c r="W87" i="7"/>
  <c r="BG832" i="7"/>
  <c r="AD505" i="7"/>
  <c r="O381" i="7"/>
  <c r="O383" i="7" s="1"/>
  <c r="O313" i="7"/>
  <c r="O314" i="7" s="1"/>
  <c r="O451" i="7"/>
  <c r="Z177" i="7"/>
  <c r="AA177" i="7" s="1"/>
  <c r="AB177" i="7" s="1"/>
  <c r="Y179" i="7"/>
  <c r="Y181" i="7" s="1"/>
  <c r="AD464" i="7"/>
  <c r="M711" i="7"/>
  <c r="N525" i="7"/>
  <c r="Z381" i="7"/>
  <c r="Z383" i="7" s="1"/>
  <c r="AF307" i="7"/>
  <c r="AF319" i="7" s="1"/>
  <c r="T170" i="7"/>
  <c r="S172" i="7"/>
  <c r="P14" i="1"/>
  <c r="P19" i="1" s="1"/>
  <c r="P27" i="1" s="1"/>
  <c r="P28" i="1" s="1"/>
  <c r="AM164" i="7"/>
  <c r="AQ166" i="7"/>
  <c r="AQ164" i="7" s="1"/>
  <c r="AQ807" i="7"/>
  <c r="AE410" i="7"/>
  <c r="AE505" i="7" s="1"/>
  <c r="AF375" i="7"/>
  <c r="AP246" i="7"/>
  <c r="AP299" i="7"/>
  <c r="AE449" i="7"/>
  <c r="AE389" i="7"/>
  <c r="AE464" i="7" s="1"/>
  <c r="Q29" i="7"/>
  <c r="Z919" i="7"/>
  <c r="F18" i="17"/>
  <c r="AA915" i="7"/>
  <c r="H64" i="16" s="1"/>
  <c r="L665" i="7"/>
  <c r="M647" i="7"/>
  <c r="Y942" i="7"/>
  <c r="Z909" i="7"/>
  <c r="Y913" i="7"/>
  <c r="AK72" i="7"/>
  <c r="AL72" i="7" s="1"/>
  <c r="AL65" i="7" s="1"/>
  <c r="AJ135" i="7"/>
  <c r="AJ65" i="7"/>
  <c r="AJ127" i="7" s="1"/>
  <c r="AP9" i="7"/>
  <c r="AP84" i="7" s="1"/>
  <c r="AQ84" i="7" s="1"/>
  <c r="AQ800" i="7"/>
  <c r="AQ796" i="7"/>
  <c r="AN880" i="7"/>
  <c r="AN881" i="7" s="1"/>
  <c r="AN878" i="7"/>
  <c r="AO878" i="7"/>
  <c r="Z681" i="7"/>
  <c r="Z683" i="7" s="1"/>
  <c r="Z268" i="7"/>
  <c r="U410" i="7"/>
  <c r="U505" i="7" s="1"/>
  <c r="V375" i="7"/>
  <c r="AG195" i="7"/>
  <c r="AC198" i="7"/>
  <c r="AG198" i="7" s="1"/>
  <c r="AQ819" i="7"/>
  <c r="AQ822" i="7" s="1"/>
  <c r="W665" i="7"/>
  <c r="W653" i="7"/>
  <c r="AF464" i="7"/>
  <c r="AA224" i="7"/>
  <c r="AA226" i="7" s="1"/>
  <c r="AA234" i="7"/>
  <c r="AA248" i="7"/>
  <c r="AA247" i="7" s="1"/>
  <c r="M189" i="7"/>
  <c r="N190" i="7" s="1"/>
  <c r="N195" i="7" s="1"/>
  <c r="M225" i="7"/>
  <c r="M697" i="7"/>
  <c r="N697" i="7"/>
  <c r="I505" i="7"/>
  <c r="Z454" i="7"/>
  <c r="Z313" i="7"/>
  <c r="Z314" i="7" s="1"/>
  <c r="AN104" i="7"/>
  <c r="M728" i="7"/>
  <c r="J745" i="7"/>
  <c r="E106" i="16" s="1"/>
  <c r="J770" i="7"/>
  <c r="T759" i="7"/>
  <c r="AT853" i="7"/>
  <c r="AT861" i="7" s="1"/>
  <c r="AJ446" i="7"/>
  <c r="AI496" i="7"/>
  <c r="AL293" i="7"/>
  <c r="AL295" i="7" s="1"/>
  <c r="AL246" i="7" s="1"/>
  <c r="AM981" i="7"/>
  <c r="AQ981" i="7" s="1"/>
  <c r="AL9" i="45"/>
  <c r="AJ1059" i="7"/>
  <c r="AJ1064" i="7"/>
  <c r="AJ1063" i="7" s="1"/>
  <c r="AK1056" i="7"/>
  <c r="AM907" i="7"/>
  <c r="AM888" i="7"/>
  <c r="AC172" i="7"/>
  <c r="AE109" i="7"/>
  <c r="AE42" i="7"/>
  <c r="AA473" i="7"/>
  <c r="AA497" i="7"/>
  <c r="AA500" i="7" s="1"/>
  <c r="AA561" i="7"/>
  <c r="K700" i="7"/>
  <c r="K702" i="7"/>
  <c r="K703" i="7"/>
  <c r="AQ765" i="7"/>
  <c r="AQ766" i="7"/>
  <c r="AQ767" i="7" s="1"/>
  <c r="AQ768" i="7" s="1"/>
  <c r="AQ764" i="7"/>
  <c r="AQ154" i="7" s="1"/>
  <c r="AQ155" i="7" s="1"/>
  <c r="K193" i="7"/>
  <c r="J193" i="7"/>
  <c r="AP135" i="7"/>
  <c r="AP65" i="7"/>
  <c r="AP127" i="7" s="1"/>
  <c r="I403" i="7"/>
  <c r="I384" i="7"/>
  <c r="J371" i="7" s="1"/>
  <c r="J381" i="7" s="1"/>
  <c r="J383" i="7" s="1"/>
  <c r="I93" i="7"/>
  <c r="I100" i="7" s="1"/>
  <c r="AK765" i="7"/>
  <c r="T27" i="17" s="1"/>
  <c r="AK682" i="7"/>
  <c r="S27" i="17"/>
  <c r="AO728" i="7"/>
  <c r="AO770" i="7" s="1"/>
  <c r="AO743" i="7"/>
  <c r="AI390" i="7"/>
  <c r="AQ1056" i="7"/>
  <c r="AQ1059" i="7" s="1"/>
  <c r="W217" i="7"/>
  <c r="W232" i="7"/>
  <c r="W681" i="7" s="1"/>
  <c r="W384" i="7"/>
  <c r="AA268" i="7"/>
  <c r="AA681" i="7"/>
  <c r="AP33" i="7"/>
  <c r="AP99" i="7" s="1"/>
  <c r="AQ99" i="7" s="1"/>
  <c r="AP81" i="7"/>
  <c r="AQ81" i="7" s="1"/>
  <c r="V377" i="7"/>
  <c r="AK234" i="7"/>
  <c r="AK260" i="7"/>
  <c r="AF818" i="7"/>
  <c r="AG818" i="7" s="1"/>
  <c r="AG822" i="7" s="1"/>
  <c r="AE825" i="7"/>
  <c r="AE826" i="7" s="1"/>
  <c r="AE822" i="7"/>
  <c r="AP576" i="7"/>
  <c r="AQ575" i="7"/>
  <c r="AF324" i="7"/>
  <c r="AF314" i="7"/>
  <c r="AH172" i="7"/>
  <c r="P166" i="7"/>
  <c r="Q162" i="7"/>
  <c r="Y728" i="7"/>
  <c r="Y770" i="7" s="1"/>
  <c r="Y743" i="7"/>
  <c r="W411" i="7"/>
  <c r="T506" i="7"/>
  <c r="K25" i="7"/>
  <c r="K27" i="7" s="1"/>
  <c r="K90" i="7"/>
  <c r="K144" i="7" s="1"/>
  <c r="AM825" i="7"/>
  <c r="AM826" i="7" s="1"/>
  <c r="AM822" i="7"/>
  <c r="AS525" i="7"/>
  <c r="AR712" i="7"/>
  <c r="AP907" i="7"/>
  <c r="AP24" i="13"/>
  <c r="AP888" i="7"/>
  <c r="AP937" i="7" s="1"/>
  <c r="AJ372" i="7"/>
  <c r="AJ323" i="7"/>
  <c r="AA450" i="7"/>
  <c r="AA410" i="7"/>
  <c r="AA505" i="7" s="1"/>
  <c r="AB505" i="7" s="1"/>
  <c r="O164" i="7"/>
  <c r="O168" i="7"/>
  <c r="O172" i="7" s="1"/>
  <c r="V224" i="7"/>
  <c r="V226" i="7" s="1"/>
  <c r="V234" i="7"/>
  <c r="V235" i="7" s="1"/>
  <c r="O324" i="7"/>
  <c r="O320" i="7"/>
  <c r="O323" i="7"/>
  <c r="O319" i="7"/>
  <c r="P56" i="15"/>
  <c r="AJ92" i="7"/>
  <c r="AJ104" i="7" s="1"/>
  <c r="AK24" i="7"/>
  <c r="AI44" i="7"/>
  <c r="L658" i="7"/>
  <c r="L662" i="7"/>
  <c r="L650" i="7"/>
  <c r="L526" i="7" s="1"/>
  <c r="L537" i="7" s="1"/>
  <c r="L538" i="7" s="1"/>
  <c r="L657" i="7"/>
  <c r="AO13" i="7"/>
  <c r="M650" i="7"/>
  <c r="M658" i="7"/>
  <c r="AS810" i="7"/>
  <c r="U27" i="17"/>
  <c r="AK962" i="7"/>
  <c r="AK963" i="7" s="1"/>
  <c r="AK965" i="7" s="1"/>
  <c r="AK857" i="7"/>
  <c r="AJ1051" i="7"/>
  <c r="AJ1050" i="7" s="1"/>
  <c r="AK1043" i="7"/>
  <c r="AJ1046" i="7"/>
  <c r="AA162" i="7"/>
  <c r="AA166" i="7" s="1"/>
  <c r="Z176" i="7"/>
  <c r="Z166" i="7"/>
  <c r="AF447" i="7"/>
  <c r="AF390" i="7"/>
  <c r="AF465" i="7" s="1"/>
  <c r="Y43" i="7"/>
  <c r="Z50" i="7"/>
  <c r="AA50" i="7" s="1"/>
  <c r="Q324" i="7"/>
  <c r="P446" i="7"/>
  <c r="T703" i="7"/>
  <c r="T700" i="7"/>
  <c r="R697" i="7"/>
  <c r="AR185" i="7"/>
  <c r="AR168" i="7"/>
  <c r="AR172" i="7" s="1"/>
  <c r="AI1032" i="7"/>
  <c r="R92" i="7"/>
  <c r="T505" i="7"/>
  <c r="AM811" i="7"/>
  <c r="AM810" i="7"/>
  <c r="AM812" i="7"/>
  <c r="AK299" i="7"/>
  <c r="AK258" i="7"/>
  <c r="AK1066" i="7"/>
  <c r="AR812" i="7"/>
  <c r="AR809" i="7"/>
  <c r="AQ798" i="7"/>
  <c r="AK907" i="7"/>
  <c r="AK888" i="7"/>
  <c r="AK937" i="7" s="1"/>
  <c r="AL807" i="7"/>
  <c r="AL811" i="7" s="1"/>
  <c r="AP1043" i="7"/>
  <c r="AO1051" i="7"/>
  <c r="AO1050" i="7" s="1"/>
  <c r="AO1046" i="7"/>
  <c r="Y164" i="7"/>
  <c r="Y168" i="7"/>
  <c r="AF323" i="7"/>
  <c r="AI743" i="7"/>
  <c r="AI728" i="7"/>
  <c r="AI770" i="7" s="1"/>
  <c r="AF168" i="7"/>
  <c r="AF172" i="7" s="1"/>
  <c r="AA109" i="7"/>
  <c r="AA42" i="7"/>
  <c r="V29" i="7"/>
  <c r="K650" i="7"/>
  <c r="K526" i="7" s="1"/>
  <c r="K617" i="7" s="1"/>
  <c r="K658" i="7"/>
  <c r="K662" i="7"/>
  <c r="L700" i="7"/>
  <c r="P660" i="7"/>
  <c r="U190" i="7"/>
  <c r="U195" i="7" s="1"/>
  <c r="U198" i="7" s="1"/>
  <c r="T190" i="7"/>
  <c r="T195" i="7" s="1"/>
  <c r="T198" i="7" s="1"/>
  <c r="P177" i="7"/>
  <c r="O177" i="7" s="1"/>
  <c r="N177" i="7" s="1"/>
  <c r="M177" i="7" s="1"/>
  <c r="L177" i="7" s="1"/>
  <c r="AR231" i="7"/>
  <c r="AF449" i="7"/>
  <c r="R464" i="7"/>
  <c r="AP963" i="7"/>
  <c r="AP965" i="7" s="1"/>
  <c r="AI268" i="7"/>
  <c r="AI256" i="7" s="1"/>
  <c r="AM809" i="7"/>
  <c r="AP324" i="7"/>
  <c r="AB739" i="7"/>
  <c r="AC742" i="7"/>
  <c r="Z42" i="7"/>
  <c r="Z109" i="7"/>
  <c r="M525" i="7"/>
  <c r="AM742" i="7"/>
  <c r="AK58" i="7"/>
  <c r="AK118" i="7" s="1"/>
  <c r="AL118" i="7" s="1"/>
  <c r="AK134" i="7"/>
  <c r="AL134" i="7" s="1"/>
  <c r="AL71" i="7"/>
  <c r="AL58" i="7" s="1"/>
  <c r="AJ136" i="7"/>
  <c r="AK73" i="7"/>
  <c r="AK136" i="7" s="1"/>
  <c r="AA9" i="7"/>
  <c r="Z13" i="7"/>
  <c r="Z84" i="7"/>
  <c r="T702" i="7"/>
  <c r="S198" i="7"/>
  <c r="AL634" i="7"/>
  <c r="AP20" i="45"/>
  <c r="AO8" i="45"/>
  <c r="AP19" i="45" s="1"/>
  <c r="AO313" i="7"/>
  <c r="AO314" i="7" s="1"/>
  <c r="AP379" i="7"/>
  <c r="AO454" i="7"/>
  <c r="S698" i="7"/>
  <c r="R694" i="7"/>
  <c r="Q700" i="7"/>
  <c r="Q702" i="7"/>
  <c r="AG265" i="7"/>
  <c r="AG266" i="7" s="1"/>
  <c r="AG244" i="7" s="1"/>
  <c r="AG223" i="7"/>
  <c r="K529" i="7"/>
  <c r="N172" i="7"/>
  <c r="AN13" i="7"/>
  <c r="AN44" i="7" s="1"/>
  <c r="P662" i="7"/>
  <c r="P658" i="7"/>
  <c r="P650" i="7"/>
  <c r="P526" i="7" s="1"/>
  <c r="AK45" i="7"/>
  <c r="V25" i="1"/>
  <c r="AK98" i="7"/>
  <c r="AL98" i="7" s="1"/>
  <c r="AP98" i="7"/>
  <c r="AQ98" i="7" s="1"/>
  <c r="AA25" i="1"/>
  <c r="AG634" i="7"/>
  <c r="AK406" i="7"/>
  <c r="AK414" i="7"/>
  <c r="T13" i="7"/>
  <c r="V9" i="7"/>
  <c r="AH504" i="7"/>
  <c r="R650" i="7"/>
  <c r="R658" i="7"/>
  <c r="R662" i="7"/>
  <c r="R657" i="7"/>
  <c r="S401" i="7"/>
  <c r="T371" i="7"/>
  <c r="T381" i="7" s="1"/>
  <c r="T383" i="7" s="1"/>
  <c r="S459" i="7"/>
  <c r="AE712" i="7"/>
  <c r="AE525" i="7"/>
  <c r="AF525" i="7"/>
  <c r="W913" i="7"/>
  <c r="X909" i="7"/>
  <c r="W942" i="7"/>
  <c r="AN258" i="7"/>
  <c r="AN1066" i="7"/>
  <c r="AN299" i="7"/>
  <c r="AU1054" i="7"/>
  <c r="AI757" i="7"/>
  <c r="AI1010" i="7"/>
  <c r="AI1011" i="7" s="1"/>
  <c r="U96" i="7"/>
  <c r="AQ903" i="7"/>
  <c r="AQ961" i="7"/>
  <c r="AQ902" i="7"/>
  <c r="AS798" i="7"/>
  <c r="AB223" i="7"/>
  <c r="AB224" i="7" s="1"/>
  <c r="AB226" i="7" s="1"/>
  <c r="AB265" i="7"/>
  <c r="AB266" i="7" s="1"/>
  <c r="AB244" i="7" s="1"/>
  <c r="Q10" i="7"/>
  <c r="Q85" i="7" s="1"/>
  <c r="R85" i="7" s="1"/>
  <c r="AJ928" i="7"/>
  <c r="AJ929" i="7" s="1"/>
  <c r="AJ931" i="7" s="1"/>
  <c r="P80" i="15"/>
  <c r="P81" i="15" s="1"/>
  <c r="AJ95" i="7"/>
  <c r="AJ756" i="7"/>
  <c r="AJ757" i="7" s="1"/>
  <c r="AJ759" i="7" s="1"/>
  <c r="AK29" i="7"/>
  <c r="O505" i="7"/>
  <c r="V7" i="7"/>
  <c r="V82" i="7" s="1"/>
  <c r="Q703" i="7"/>
  <c r="AQ73" i="7"/>
  <c r="AA447" i="7"/>
  <c r="AB372" i="7"/>
  <c r="AA390" i="7"/>
  <c r="AA409" i="7" s="1"/>
  <c r="AU581" i="7"/>
  <c r="AV580" i="7"/>
  <c r="AW580" i="7" s="1"/>
  <c r="AX580" i="7" s="1"/>
  <c r="AX581" i="7" s="1"/>
  <c r="N28" i="1"/>
  <c r="AW356" i="7"/>
  <c r="AW334" i="7" s="1"/>
  <c r="AW336" i="7" s="1"/>
  <c r="AX356" i="7"/>
  <c r="AX334" i="7" s="1"/>
  <c r="AX336" i="7" s="1"/>
  <c r="BW832" i="7"/>
  <c r="AV804" i="7"/>
  <c r="AW805" i="7"/>
  <c r="AU426" i="12"/>
  <c r="AQ578" i="12"/>
  <c r="AP179" i="12"/>
  <c r="AP182" i="12"/>
  <c r="AR561" i="12"/>
  <c r="AP186" i="12"/>
  <c r="AR571" i="12"/>
  <c r="AO10" i="12"/>
  <c r="AR576" i="12"/>
  <c r="AR577" i="12" s="1"/>
  <c r="AS573" i="12"/>
  <c r="AR439" i="12"/>
  <c r="AR441" i="12" s="1"/>
  <c r="AO5" i="12"/>
  <c r="BD226" i="20" s="1"/>
  <c r="AP464" i="12"/>
  <c r="AP556" i="12"/>
  <c r="AP557" i="12" s="1"/>
  <c r="AU691" i="12"/>
  <c r="AQ133" i="12"/>
  <c r="AU640" i="12"/>
  <c r="AU639" i="12" s="1"/>
  <c r="AU642" i="12" s="1"/>
  <c r="AU652" i="12" s="1"/>
  <c r="AP517" i="12"/>
  <c r="AP520" i="12"/>
  <c r="AP522" i="12" s="1"/>
  <c r="AP461" i="12"/>
  <c r="AP469" i="12" s="1"/>
  <c r="AT426" i="12"/>
  <c r="AT428" i="12"/>
  <c r="AU437" i="12" s="1"/>
  <c r="AT535" i="12"/>
  <c r="AT573" i="12" s="1"/>
  <c r="AT626" i="12"/>
  <c r="AV344" i="12"/>
  <c r="AR626" i="12"/>
  <c r="AS178" i="13"/>
  <c r="AS179" i="13"/>
  <c r="AT707" i="12"/>
  <c r="AU708" i="12"/>
  <c r="AU707" i="12" s="1"/>
  <c r="AR747" i="12"/>
  <c r="AR701" i="12"/>
  <c r="AR700" i="12"/>
  <c r="AQ692" i="12"/>
  <c r="AU624" i="12"/>
  <c r="AQ691" i="12"/>
  <c r="AS748" i="12"/>
  <c r="AQ9" i="12"/>
  <c r="AQ5" i="12" s="1"/>
  <c r="BF226" i="20" s="1"/>
  <c r="AT691" i="12"/>
  <c r="AR692" i="12"/>
  <c r="AQ624" i="12"/>
  <c r="AU748" i="12"/>
  <c r="AT669" i="12"/>
  <c r="AU670" i="12"/>
  <c r="AU669" i="12" s="1"/>
  <c r="AT509" i="12"/>
  <c r="AU626" i="12"/>
  <c r="AO577" i="12"/>
  <c r="BQ17" i="13"/>
  <c r="BQ986" i="7" s="1"/>
  <c r="BP15" i="12"/>
  <c r="AP123" i="12"/>
  <c r="AP122" i="12"/>
  <c r="BU17" i="13"/>
  <c r="BT986" i="7"/>
  <c r="AU593" i="12"/>
  <c r="AT585" i="12"/>
  <c r="AU690" i="12"/>
  <c r="AO533" i="12"/>
  <c r="AN530" i="12"/>
  <c r="N532" i="42" s="1"/>
  <c r="AR138" i="12"/>
  <c r="AR140" i="12" s="1"/>
  <c r="AR141" i="12" s="1"/>
  <c r="AS593" i="12"/>
  <c r="AP751" i="12"/>
  <c r="AP752" i="12"/>
  <c r="AS691" i="12"/>
  <c r="AR593" i="12"/>
  <c r="AR582" i="12" s="1"/>
  <c r="AR625" i="12"/>
  <c r="AR691" i="12"/>
  <c r="AP10" i="12"/>
  <c r="AP4" i="12"/>
  <c r="AP5" i="12"/>
  <c r="BE226" i="20" s="1"/>
  <c r="AP18" i="12"/>
  <c r="AS163" i="12"/>
  <c r="BH221" i="20" s="1"/>
  <c r="BH223" i="20" s="1"/>
  <c r="AT162" i="12"/>
  <c r="BI218" i="20" s="1"/>
  <c r="AS129" i="12"/>
  <c r="AS133" i="12" s="1"/>
  <c r="AT292" i="12"/>
  <c r="AS677" i="12"/>
  <c r="AS678" i="12"/>
  <c r="AN559" i="12"/>
  <c r="N536" i="42" s="1"/>
  <c r="AP345" i="12"/>
  <c r="AQ344" i="12"/>
  <c r="AT644" i="12"/>
  <c r="AT643" i="12"/>
  <c r="AS700" i="12"/>
  <c r="AS701" i="12"/>
  <c r="AR468" i="12"/>
  <c r="AR470" i="12" s="1"/>
  <c r="AR465" i="12"/>
  <c r="AQ690" i="12"/>
  <c r="AP578" i="12"/>
  <c r="AP577" i="12"/>
  <c r="AR673" i="12"/>
  <c r="AR674" i="12"/>
  <c r="AS704" i="12"/>
  <c r="AS705" i="12"/>
  <c r="AS725" i="12"/>
  <c r="AS625" i="12" s="1"/>
  <c r="AS686" i="12"/>
  <c r="AS692" i="12" s="1"/>
  <c r="AQ752" i="12"/>
  <c r="AQ556" i="12"/>
  <c r="AQ533" i="12"/>
  <c r="AT690" i="12"/>
  <c r="AQ593" i="12"/>
  <c r="AQ625" i="12"/>
  <c r="AO556" i="12"/>
  <c r="AO566" i="12" s="1"/>
  <c r="AN532" i="12"/>
  <c r="AP374" i="12"/>
  <c r="AR373" i="12"/>
  <c r="AQ373" i="12"/>
  <c r="AS690" i="12"/>
  <c r="AO574" i="12"/>
  <c r="AN573" i="12"/>
  <c r="AT624" i="12"/>
  <c r="AT174" i="12"/>
  <c r="AT593" i="12"/>
  <c r="AO554" i="12"/>
  <c r="AS674" i="12"/>
  <c r="AS673" i="12"/>
  <c r="AQ8" i="12"/>
  <c r="AQ121" i="12"/>
  <c r="AQ122" i="12" s="1"/>
  <c r="AS559" i="12"/>
  <c r="S536" i="42" s="1"/>
  <c r="AP677" i="12"/>
  <c r="AP678" i="12"/>
  <c r="AS626" i="12"/>
  <c r="AR690" i="12"/>
  <c r="AT318" i="12"/>
  <c r="AS347" i="12"/>
  <c r="AR18" i="12"/>
  <c r="AR10" i="12"/>
  <c r="AR5" i="12"/>
  <c r="BG226" i="20" s="1"/>
  <c r="AR123" i="12"/>
  <c r="AR122" i="12"/>
  <c r="AR4" i="12"/>
  <c r="AT665" i="7"/>
  <c r="AS720" i="7"/>
  <c r="AU665" i="7"/>
  <c r="AU653" i="7"/>
  <c r="AX54" i="35"/>
  <c r="AY114" i="44"/>
  <c r="AW32" i="35"/>
  <c r="AW34" i="35"/>
  <c r="AC78" i="15" s="1"/>
  <c r="AW51" i="35"/>
  <c r="AW39" i="35"/>
  <c r="AC118" i="15" s="1"/>
  <c r="AW24" i="35"/>
  <c r="AW33" i="35"/>
  <c r="AW6" i="35"/>
  <c r="Q47" i="15"/>
  <c r="Q36" i="15"/>
  <c r="Q41" i="15"/>
  <c r="Q765" i="7"/>
  <c r="T11" i="17" s="1"/>
  <c r="S11" i="17"/>
  <c r="Q682" i="7"/>
  <c r="Q683" i="7" s="1"/>
  <c r="Q686" i="7" s="1"/>
  <c r="R99" i="7"/>
  <c r="AQ133" i="7"/>
  <c r="AQ1029" i="7"/>
  <c r="U446" i="7"/>
  <c r="T496" i="7"/>
  <c r="AQ51" i="14"/>
  <c r="AJ18" i="35"/>
  <c r="P28" i="15" s="1"/>
  <c r="P35" i="15"/>
  <c r="AJ20" i="35"/>
  <c r="AK446" i="7"/>
  <c r="AJ496" i="7"/>
  <c r="AM1028" i="7"/>
  <c r="AM1032" i="7" s="1"/>
  <c r="N224" i="7"/>
  <c r="N226" i="7" s="1"/>
  <c r="N234" i="7"/>
  <c r="N235" i="7" s="1"/>
  <c r="AB81" i="7"/>
  <c r="T765" i="7"/>
  <c r="T13" i="17" s="1"/>
  <c r="T682" i="7"/>
  <c r="T683" i="7" s="1"/>
  <c r="S13" i="17"/>
  <c r="AN20" i="35"/>
  <c r="AN18" i="35"/>
  <c r="T28" i="15" s="1"/>
  <c r="AN9" i="35"/>
  <c r="AO263" i="11"/>
  <c r="O118" i="15"/>
  <c r="AE104" i="7"/>
  <c r="P224" i="7"/>
  <c r="P226" i="7" s="1"/>
  <c r="P234" i="7"/>
  <c r="P235" i="7" s="1"/>
  <c r="X234" i="7"/>
  <c r="X235" i="7" s="1"/>
  <c r="AF858" i="7"/>
  <c r="AF843" i="7"/>
  <c r="AF852" i="7"/>
  <c r="AF854" i="7" s="1"/>
  <c r="AQ32" i="35"/>
  <c r="AI26" i="35"/>
  <c r="AQ68" i="20"/>
  <c r="AQ71" i="20" s="1"/>
  <c r="AP71" i="20"/>
  <c r="AJ258" i="7"/>
  <c r="AJ299" i="7"/>
  <c r="AJ1066" i="7"/>
  <c r="V324" i="7"/>
  <c r="V320" i="7"/>
  <c r="V323" i="7"/>
  <c r="V319" i="7"/>
  <c r="AI456" i="7"/>
  <c r="AI458" i="7" s="1"/>
  <c r="P765" i="7"/>
  <c r="T10" i="17" s="1"/>
  <c r="P682" i="7"/>
  <c r="P683" i="7" s="1"/>
  <c r="S10" i="17"/>
  <c r="N496" i="7"/>
  <c r="O446" i="7"/>
  <c r="N105" i="7"/>
  <c r="W224" i="7"/>
  <c r="Q446" i="7"/>
  <c r="P496" i="7"/>
  <c r="AJ46" i="14"/>
  <c r="AQ23" i="35"/>
  <c r="AM26" i="35"/>
  <c r="AN496" i="7"/>
  <c r="AO446" i="7"/>
  <c r="AQ55" i="20"/>
  <c r="AQ74" i="20" s="1"/>
  <c r="AP74" i="20"/>
  <c r="AG392" i="7"/>
  <c r="AN235" i="7"/>
  <c r="Y105" i="7"/>
  <c r="AD105" i="7"/>
  <c r="AR20" i="35"/>
  <c r="AL198" i="11"/>
  <c r="AL197" i="11" s="1"/>
  <c r="AK197" i="11"/>
  <c r="AL147" i="14"/>
  <c r="AL166" i="14" s="1"/>
  <c r="AM167" i="14" s="1"/>
  <c r="AK166" i="14"/>
  <c r="AK167" i="14" s="1"/>
  <c r="P118" i="15"/>
  <c r="AN231" i="7"/>
  <c r="AN260" i="7"/>
  <c r="AJ842" i="7"/>
  <c r="AJ257" i="7"/>
  <c r="AM323" i="7"/>
  <c r="AM319" i="7"/>
  <c r="AM324" i="7"/>
  <c r="AM320" i="7"/>
  <c r="U759" i="7"/>
  <c r="S104" i="7"/>
  <c r="AD496" i="7"/>
  <c r="AE446" i="7"/>
  <c r="P759" i="7"/>
  <c r="AB83" i="7"/>
  <c r="AG216" i="14"/>
  <c r="BE256" i="20"/>
  <c r="BF70" i="20"/>
  <c r="BF256" i="20" s="1"/>
  <c r="BC101" i="20"/>
  <c r="AN962" i="7"/>
  <c r="AN963" i="7" s="1"/>
  <c r="AN965" i="7" s="1"/>
  <c r="AN931" i="7"/>
  <c r="AN857" i="7"/>
  <c r="U29" i="17"/>
  <c r="AP10" i="35"/>
  <c r="AP52" i="35"/>
  <c r="P105" i="7"/>
  <c r="AO54" i="14"/>
  <c r="AO56" i="14"/>
  <c r="AD682" i="7"/>
  <c r="AD759" i="7"/>
  <c r="S21" i="17"/>
  <c r="AD765" i="7"/>
  <c r="T21" i="17" s="1"/>
  <c r="Q234" i="7"/>
  <c r="Q235" i="7" s="1"/>
  <c r="AB97" i="7"/>
  <c r="AF216" i="14"/>
  <c r="AF218" i="14" s="1"/>
  <c r="X17" i="48" s="1"/>
  <c r="AL49" i="14"/>
  <c r="AJ173" i="14"/>
  <c r="BF62" i="20"/>
  <c r="AP152" i="14"/>
  <c r="BE157" i="20"/>
  <c r="AN256" i="7"/>
  <c r="AN681" i="7"/>
  <c r="AN683" i="7" s="1"/>
  <c r="AN270" i="7"/>
  <c r="AN250" i="7" s="1"/>
  <c r="AP46" i="14"/>
  <c r="Z320" i="7"/>
  <c r="Z342" i="7" s="1"/>
  <c r="Z341" i="7" s="1"/>
  <c r="Z324" i="7"/>
  <c r="Z323" i="7"/>
  <c r="Z319" i="7"/>
  <c r="Z336" i="7" s="1"/>
  <c r="Z335" i="7" s="1"/>
  <c r="V35" i="15"/>
  <c r="AQ19" i="35"/>
  <c r="AP18" i="35"/>
  <c r="AP20" i="35"/>
  <c r="R224" i="7"/>
  <c r="R226" i="7" s="1"/>
  <c r="AI71" i="20"/>
  <c r="O104" i="7"/>
  <c r="AN446" i="7"/>
  <c r="AM496" i="7"/>
  <c r="J456" i="7"/>
  <c r="J458" i="7" s="1"/>
  <c r="AD857" i="7"/>
  <c r="U21" i="17"/>
  <c r="AD962" i="7"/>
  <c r="AD963" i="7" s="1"/>
  <c r="AD965" i="7" s="1"/>
  <c r="AD931" i="7"/>
  <c r="U24" i="17"/>
  <c r="AH857" i="7"/>
  <c r="AH962" i="7"/>
  <c r="AH963" i="7" s="1"/>
  <c r="AH965" i="7" s="1"/>
  <c r="AQ51" i="35"/>
  <c r="AJ857" i="7"/>
  <c r="U26" i="17"/>
  <c r="AJ962" i="7"/>
  <c r="AJ963" i="7" s="1"/>
  <c r="AJ965" i="7" s="1"/>
  <c r="BD292" i="20"/>
  <c r="BD311" i="20" s="1"/>
  <c r="BD121" i="20"/>
  <c r="BD159" i="20"/>
  <c r="BF63" i="20"/>
  <c r="AQ219" i="14" s="1"/>
  <c r="AP219" i="14"/>
  <c r="BE158" i="20"/>
  <c r="AI1066" i="7"/>
  <c r="AI299" i="7"/>
  <c r="AI258" i="7"/>
  <c r="AL34" i="35"/>
  <c r="R78" i="15" s="1"/>
  <c r="R81" i="15" s="1"/>
  <c r="V78" i="15"/>
  <c r="AQ34" i="35"/>
  <c r="W78" i="15" s="1"/>
  <c r="V473" i="7"/>
  <c r="V497" i="7"/>
  <c r="V561" i="7"/>
  <c r="AG632" i="7"/>
  <c r="AM257" i="7"/>
  <c r="AM842" i="7"/>
  <c r="W81" i="7"/>
  <c r="AD231" i="7"/>
  <c r="AD260" i="7"/>
  <c r="V446" i="7"/>
  <c r="U496" i="7"/>
  <c r="AH1066" i="7"/>
  <c r="AH299" i="7"/>
  <c r="AH258" i="7"/>
  <c r="AJ52" i="35"/>
  <c r="AJ50" i="35"/>
  <c r="BF55" i="20"/>
  <c r="BE74" i="20"/>
  <c r="BE150" i="20"/>
  <c r="AP336" i="11" s="1"/>
  <c r="AL39" i="35"/>
  <c r="N118" i="15"/>
  <c r="X158" i="14"/>
  <c r="AI248" i="7"/>
  <c r="AI224" i="7"/>
  <c r="AI226" i="7" s="1"/>
  <c r="AI234" i="7"/>
  <c r="AJ66" i="20"/>
  <c r="AJ333" i="20" s="1"/>
  <c r="U687" i="7"/>
  <c r="U686" i="7" s="1"/>
  <c r="V118" i="15"/>
  <c r="AM57" i="14"/>
  <c r="AP50" i="35"/>
  <c r="AM1066" i="7"/>
  <c r="AM299" i="7"/>
  <c r="AM258" i="7"/>
  <c r="J323" i="7"/>
  <c r="J319" i="7"/>
  <c r="AD234" i="7"/>
  <c r="AD224" i="7"/>
  <c r="AD226" i="7" s="1"/>
  <c r="AD248" i="7"/>
  <c r="AD247" i="7" s="1"/>
  <c r="AD934" i="7" s="1"/>
  <c r="AD935" i="7" s="1"/>
  <c r="AD938" i="7" s="1"/>
  <c r="AH173" i="14"/>
  <c r="AG176" i="14"/>
  <c r="AI631" i="7"/>
  <c r="AI636" i="7" s="1"/>
  <c r="AI638" i="7" s="1"/>
  <c r="X93" i="7"/>
  <c r="X100" i="7" s="1"/>
  <c r="X144" i="7"/>
  <c r="X146" i="7" s="1"/>
  <c r="X161" i="7" s="1"/>
  <c r="AH260" i="7"/>
  <c r="AH231" i="7"/>
  <c r="AB98" i="7"/>
  <c r="AN52" i="35"/>
  <c r="AN50" i="35"/>
  <c r="AI842" i="7"/>
  <c r="AI257" i="7"/>
  <c r="BD157" i="20"/>
  <c r="BD202" i="20" s="1"/>
  <c r="BD247" i="20" s="1"/>
  <c r="BD279" i="20" s="1"/>
  <c r="AL25" i="35"/>
  <c r="S324" i="7"/>
  <c r="S323" i="7"/>
  <c r="S319" i="7"/>
  <c r="AD270" i="7"/>
  <c r="AD256" i="7"/>
  <c r="AD681" i="7"/>
  <c r="AH842" i="7"/>
  <c r="AH257" i="7"/>
  <c r="AB87" i="7"/>
  <c r="AL1031" i="7"/>
  <c r="AI52" i="35"/>
  <c r="AI50" i="35"/>
  <c r="N35" i="15"/>
  <c r="AL19" i="35"/>
  <c r="AM54" i="14"/>
  <c r="AN324" i="7"/>
  <c r="AN323" i="7"/>
  <c r="AN320" i="7"/>
  <c r="AN342" i="7" s="1"/>
  <c r="AN341" i="7" s="1"/>
  <c r="AN319" i="7"/>
  <c r="AN336" i="7" s="1"/>
  <c r="AN335" i="7" s="1"/>
  <c r="AD257" i="7"/>
  <c r="AD842" i="7"/>
  <c r="AD282" i="7"/>
  <c r="AM682" i="7"/>
  <c r="S28" i="17"/>
  <c r="AM765" i="7"/>
  <c r="T28" i="17" s="1"/>
  <c r="AI104" i="7"/>
  <c r="AG44" i="14"/>
  <c r="AQ38" i="14"/>
  <c r="BF68" i="20"/>
  <c r="BE254" i="20"/>
  <c r="BE71" i="20"/>
  <c r="AP255" i="11" s="1"/>
  <c r="AP254" i="11" s="1"/>
  <c r="AQ97" i="7"/>
  <c r="AJ231" i="7"/>
  <c r="W99" i="7"/>
  <c r="U224" i="7"/>
  <c r="U226" i="7" s="1"/>
  <c r="U234" i="7"/>
  <c r="U235" i="7" s="1"/>
  <c r="AL51" i="35"/>
  <c r="BE149" i="20"/>
  <c r="BF54" i="20"/>
  <c r="AP86" i="14"/>
  <c r="AL52" i="14"/>
  <c r="AH46" i="14"/>
  <c r="AL34" i="14"/>
  <c r="AO226" i="14"/>
  <c r="AP226" i="14"/>
  <c r="L224" i="7"/>
  <c r="L226" i="7" s="1"/>
  <c r="L234" i="7"/>
  <c r="L235" i="7" s="1"/>
  <c r="AM270" i="7"/>
  <c r="AM256" i="7"/>
  <c r="AM681" i="7"/>
  <c r="AO46" i="14"/>
  <c r="BE114" i="20"/>
  <c r="AM65" i="14"/>
  <c r="AQ40" i="14"/>
  <c r="AL51" i="14"/>
  <c r="AJ54" i="14"/>
  <c r="AK46" i="14"/>
  <c r="AK268" i="7"/>
  <c r="AK231" i="7"/>
  <c r="AR1028" i="7"/>
  <c r="AV1028" i="7"/>
  <c r="AB234" i="7"/>
  <c r="AB248" i="7"/>
  <c r="S7" i="17"/>
  <c r="L765" i="7"/>
  <c r="T7" i="17" s="1"/>
  <c r="M759" i="7"/>
  <c r="AM260" i="7"/>
  <c r="AM231" i="7"/>
  <c r="Y93" i="7"/>
  <c r="Y100" i="7" s="1"/>
  <c r="AH270" i="7"/>
  <c r="AH681" i="7"/>
  <c r="AH256" i="7"/>
  <c r="X323" i="7"/>
  <c r="X319" i="7"/>
  <c r="X320" i="7"/>
  <c r="X324" i="7"/>
  <c r="AM248" i="7"/>
  <c r="AM224" i="7"/>
  <c r="AM226" i="7" s="1"/>
  <c r="AM234" i="7"/>
  <c r="AM254" i="7" s="1"/>
  <c r="J487" i="7"/>
  <c r="AE852" i="7"/>
  <c r="AE854" i="7" s="1"/>
  <c r="AE858" i="7"/>
  <c r="AE843" i="7"/>
  <c r="AB117" i="7"/>
  <c r="AH248" i="7"/>
  <c r="AH224" i="7"/>
  <c r="AH226" i="7" s="1"/>
  <c r="AH234" i="7"/>
  <c r="AB96" i="7"/>
  <c r="AN852" i="7"/>
  <c r="AN854" i="7" s="1"/>
  <c r="AN858" i="7"/>
  <c r="AN843" i="7"/>
  <c r="AL226" i="14"/>
  <c r="AQ226" i="14"/>
  <c r="M754" i="7"/>
  <c r="M765" i="7" s="1"/>
  <c r="M459" i="7"/>
  <c r="M232" i="7"/>
  <c r="M222" i="7"/>
  <c r="AH682" i="7"/>
  <c r="S24" i="17"/>
  <c r="AH765" i="7"/>
  <c r="T24" i="17" s="1"/>
  <c r="X104" i="7"/>
  <c r="AB92" i="7"/>
  <c r="BF65" i="20"/>
  <c r="BE160" i="20"/>
  <c r="AP25" i="43"/>
  <c r="AP23" i="43" s="1"/>
  <c r="AK56" i="14"/>
  <c r="AK54" i="14"/>
  <c r="AI9" i="35"/>
  <c r="AI20" i="35"/>
  <c r="BC157" i="20"/>
  <c r="AN152" i="14"/>
  <c r="X34" i="18" s="1"/>
  <c r="BC74" i="20"/>
  <c r="AH71" i="20"/>
  <c r="AQ35" i="14"/>
  <c r="AL44" i="14"/>
  <c r="AF46" i="14"/>
  <c r="AL172" i="14"/>
  <c r="AK173" i="14"/>
  <c r="BC71" i="20"/>
  <c r="AF71" i="20"/>
  <c r="AG68" i="20"/>
  <c r="AG71" i="20" s="1"/>
  <c r="AF66" i="20"/>
  <c r="AF333" i="20" s="1"/>
  <c r="K324" i="7"/>
  <c r="M324" i="7" s="1"/>
  <c r="K323" i="7"/>
  <c r="K319" i="7"/>
  <c r="W83" i="7"/>
  <c r="J482" i="7"/>
  <c r="AN631" i="7"/>
  <c r="AN636" i="7" s="1"/>
  <c r="AH54" i="14"/>
  <c r="AS82" i="14"/>
  <c r="AQ50" i="14"/>
  <c r="AL39" i="14"/>
  <c r="AN865" i="7"/>
  <c r="V105" i="7"/>
  <c r="T323" i="7"/>
  <c r="T319" i="7"/>
  <c r="T320" i="7"/>
  <c r="T324" i="7"/>
  <c r="AB99" i="7"/>
  <c r="U118" i="15"/>
  <c r="AQ39" i="35"/>
  <c r="T687" i="7"/>
  <c r="AI66" i="20"/>
  <c r="AI333" i="20" s="1"/>
  <c r="AM46" i="14"/>
  <c r="AQ34" i="14"/>
  <c r="AR48" i="44"/>
  <c r="AB681" i="7"/>
  <c r="AB268" i="7"/>
  <c r="AQ49" i="14"/>
  <c r="AL38" i="14"/>
  <c r="AE46" i="14"/>
  <c r="AI18" i="35"/>
  <c r="O28" i="15" s="1"/>
  <c r="AE66" i="20"/>
  <c r="AE333" i="20" s="1"/>
  <c r="P687" i="7"/>
  <c r="AO234" i="7"/>
  <c r="AO254" i="7" s="1"/>
  <c r="AO247" i="7"/>
  <c r="AO224" i="7"/>
  <c r="AO226" i="7" s="1"/>
  <c r="AQ56" i="20"/>
  <c r="AQ61" i="20" s="1"/>
  <c r="AA687" i="7"/>
  <c r="AM93" i="7"/>
  <c r="S144" i="7"/>
  <c r="S146" i="7" s="1"/>
  <c r="S161" i="7" s="1"/>
  <c r="S93" i="7"/>
  <c r="S100" i="7" s="1"/>
  <c r="AQ36" i="14"/>
  <c r="AL45" i="14"/>
  <c r="AG35" i="14"/>
  <c r="BC151" i="20"/>
  <c r="AN687" i="7"/>
  <c r="O47" i="15"/>
  <c r="O41" i="15"/>
  <c r="O36" i="15"/>
  <c r="AO260" i="7"/>
  <c r="AO231" i="7"/>
  <c r="AG97" i="7"/>
  <c r="N323" i="7"/>
  <c r="N324" i="7"/>
  <c r="N319" i="7"/>
  <c r="M92" i="7"/>
  <c r="X496" i="7"/>
  <c r="Y446" i="7"/>
  <c r="Y319" i="7"/>
  <c r="Y336" i="7" s="1"/>
  <c r="Y335" i="7" s="1"/>
  <c r="Y323" i="7"/>
  <c r="Y320" i="7"/>
  <c r="Y342" i="7" s="1"/>
  <c r="Y341" i="7" s="1"/>
  <c r="Y324" i="7"/>
  <c r="T234" i="7"/>
  <c r="T235" i="7" s="1"/>
  <c r="T224" i="7"/>
  <c r="T226" i="7" s="1"/>
  <c r="AB82" i="7"/>
  <c r="X37" i="15"/>
  <c r="X118" i="15"/>
  <c r="AR324" i="7"/>
  <c r="AR323" i="7"/>
  <c r="AR320" i="7"/>
  <c r="AR319" i="7"/>
  <c r="AS274" i="14"/>
  <c r="AR219" i="14"/>
  <c r="BG158" i="20"/>
  <c r="BG203" i="20" s="1"/>
  <c r="BG248" i="20" s="1"/>
  <c r="BG280" i="20" s="1"/>
  <c r="N13" i="42"/>
  <c r="N9" i="42"/>
  <c r="AR173" i="14"/>
  <c r="AS173" i="14"/>
  <c r="AR132" i="44"/>
  <c r="AR16" i="44" s="1"/>
  <c r="AR137" i="44"/>
  <c r="BG149" i="20"/>
  <c r="AR86" i="14"/>
  <c r="AR85" i="14" s="1"/>
  <c r="AS85" i="14" s="1"/>
  <c r="AT85" i="14" s="1"/>
  <c r="AU85" i="14" s="1"/>
  <c r="AV85" i="14" s="1"/>
  <c r="AW85" i="14" s="1"/>
  <c r="AX85" i="14" s="1"/>
  <c r="AY85" i="14" s="1"/>
  <c r="AZ85" i="14" s="1"/>
  <c r="BA85" i="14" s="1"/>
  <c r="BB85" i="14" s="1"/>
  <c r="BC85" i="14" s="1"/>
  <c r="BD85" i="14" s="1"/>
  <c r="BE85" i="14" s="1"/>
  <c r="BF85" i="14" s="1"/>
  <c r="BG85" i="14" s="1"/>
  <c r="BH85" i="14" s="1"/>
  <c r="BI85" i="14" s="1"/>
  <c r="BJ85" i="14" s="1"/>
  <c r="BK85" i="14" s="1"/>
  <c r="BL85" i="14" s="1"/>
  <c r="BM85" i="14" s="1"/>
  <c r="BN85" i="14" s="1"/>
  <c r="BO85" i="14" s="1"/>
  <c r="BP85" i="14" s="1"/>
  <c r="BQ85" i="14" s="1"/>
  <c r="BR85" i="14" s="1"/>
  <c r="BS85" i="14" s="1"/>
  <c r="BT85" i="14" s="1"/>
  <c r="BU85" i="14" s="1"/>
  <c r="BV85" i="14" s="1"/>
  <c r="BW85" i="14" s="1"/>
  <c r="BX85" i="14" s="1"/>
  <c r="BY85" i="14" s="1"/>
  <c r="BZ85" i="14" s="1"/>
  <c r="N14" i="42"/>
  <c r="N7" i="42"/>
  <c r="BG157" i="20"/>
  <c r="N12" i="42"/>
  <c r="BG150" i="20"/>
  <c r="BG169" i="20" s="1"/>
  <c r="BG74" i="20"/>
  <c r="N11" i="42"/>
  <c r="BG151" i="20"/>
  <c r="N8" i="42"/>
  <c r="AR234" i="7"/>
  <c r="AR254" i="7" s="1"/>
  <c r="AR248" i="7"/>
  <c r="AR224" i="7"/>
  <c r="AR226" i="7" s="1"/>
  <c r="AR10" i="35"/>
  <c r="AR962" i="7"/>
  <c r="AR963" i="7" s="1"/>
  <c r="AR965" i="7" s="1"/>
  <c r="BG101" i="20"/>
  <c r="AR350" i="11" s="1"/>
  <c r="U32" i="17"/>
  <c r="AR857" i="7"/>
  <c r="AR859" i="7" s="1"/>
  <c r="AR862" i="7" s="1"/>
  <c r="AR29" i="12"/>
  <c r="AR104" i="7"/>
  <c r="AR88" i="7"/>
  <c r="AV88" i="7" s="1"/>
  <c r="AR15" i="7"/>
  <c r="AR21" i="7" s="1"/>
  <c r="AR22" i="7" s="1"/>
  <c r="AS22" i="7" s="1"/>
  <c r="AV142" i="14"/>
  <c r="AQ227" i="14"/>
  <c r="AA41" i="15"/>
  <c r="AA37" i="15"/>
  <c r="AA47" i="15" s="1"/>
  <c r="AA28" i="15"/>
  <c r="AT48" i="44"/>
  <c r="AT315" i="14"/>
  <c r="BI97" i="20" s="1"/>
  <c r="AT246" i="14"/>
  <c r="AU26" i="35"/>
  <c r="AU52" i="35"/>
  <c r="AU50" i="35"/>
  <c r="AA90" i="15"/>
  <c r="AA11" i="15"/>
  <c r="AA21" i="15" s="1"/>
  <c r="AF149" i="14"/>
  <c r="AF62" i="14"/>
  <c r="AG144" i="14"/>
  <c r="AT125" i="44"/>
  <c r="AT126" i="44" s="1"/>
  <c r="AT25" i="44" s="1"/>
  <c r="AT74" i="44" s="1"/>
  <c r="AT131" i="44"/>
  <c r="AT39" i="35"/>
  <c r="AT24" i="35"/>
  <c r="AV24" i="35" s="1"/>
  <c r="AT33" i="35"/>
  <c r="AV33" i="35" s="1"/>
  <c r="AT34" i="35"/>
  <c r="AT25" i="35"/>
  <c r="AV25" i="35" s="1"/>
  <c r="AT6" i="35"/>
  <c r="AT51" i="35"/>
  <c r="AT23" i="35"/>
  <c r="AT32" i="35"/>
  <c r="AV32" i="35" s="1"/>
  <c r="AT19" i="35"/>
  <c r="L13" i="38"/>
  <c r="M13" i="38" s="1"/>
  <c r="AT326" i="7"/>
  <c r="AW1035" i="7"/>
  <c r="AT1036" i="7"/>
  <c r="AU42" i="44"/>
  <c r="AU43" i="44" s="1"/>
  <c r="AU44" i="44" s="1"/>
  <c r="AU245" i="14"/>
  <c r="AA92" i="15"/>
  <c r="AF179" i="1"/>
  <c r="AU55" i="35"/>
  <c r="AU846" i="7"/>
  <c r="AU194" i="14"/>
  <c r="AL227" i="14"/>
  <c r="AM227" i="14"/>
  <c r="BH203" i="20"/>
  <c r="BH248" i="20" s="1"/>
  <c r="BH202" i="20"/>
  <c r="BH247" i="20" s="1"/>
  <c r="BT151" i="35" l="1"/>
  <c r="AQ6" i="35"/>
  <c r="BD204" i="20"/>
  <c r="BD249" i="20" s="1"/>
  <c r="M600" i="42"/>
  <c r="BE168" i="20"/>
  <c r="N600" i="42"/>
  <c r="BH292" i="20"/>
  <c r="BH311" i="20" s="1"/>
  <c r="BG159" i="20"/>
  <c r="BG204" i="20" s="1"/>
  <c r="BG249" i="20" s="1"/>
  <c r="BD195" i="20"/>
  <c r="BD240" i="20" s="1"/>
  <c r="BD274" i="20" s="1"/>
  <c r="BD169" i="20"/>
  <c r="BE169" i="20"/>
  <c r="H48" i="39"/>
  <c r="BD168" i="20"/>
  <c r="AP337" i="11"/>
  <c r="AP344" i="11" s="1"/>
  <c r="BI150" i="20"/>
  <c r="BI169" i="20" s="1"/>
  <c r="AP351" i="11"/>
  <c r="BG202" i="20"/>
  <c r="BG247" i="20" s="1"/>
  <c r="BG279" i="20" s="1"/>
  <c r="AR337" i="11"/>
  <c r="AR335" i="11"/>
  <c r="BG195" i="20"/>
  <c r="BG240" i="20" s="1"/>
  <c r="BG274" i="20" s="1"/>
  <c r="AR336" i="11"/>
  <c r="AS349" i="11"/>
  <c r="AS351" i="11" s="1"/>
  <c r="BE204" i="20"/>
  <c r="BF204" i="20" s="1"/>
  <c r="AP335" i="11"/>
  <c r="BH195" i="20"/>
  <c r="BH240" i="20" s="1"/>
  <c r="BH274" i="20" s="1"/>
  <c r="AS336" i="11"/>
  <c r="AS344" i="11" s="1"/>
  <c r="AR349" i="11"/>
  <c r="AR351" i="11" s="1"/>
  <c r="AS345" i="11"/>
  <c r="AM925" i="7"/>
  <c r="AQ925" i="7" s="1"/>
  <c r="AK51" i="7"/>
  <c r="AH925" i="7"/>
  <c r="AL925" i="7" s="1"/>
  <c r="AR925" i="7"/>
  <c r="AV925" i="7" s="1"/>
  <c r="AK133" i="7"/>
  <c r="M663" i="7"/>
  <c r="Y456" i="7"/>
  <c r="Y458" i="7" s="1"/>
  <c r="AY432" i="7"/>
  <c r="AY639" i="7"/>
  <c r="AB712" i="7"/>
  <c r="BC52" i="13"/>
  <c r="BB68" i="13"/>
  <c r="BB339" i="11" s="1"/>
  <c r="BE55" i="13"/>
  <c r="AN556" i="12"/>
  <c r="AN566" i="12" s="1"/>
  <c r="N534" i="42"/>
  <c r="R534" i="42"/>
  <c r="AR533" i="12"/>
  <c r="AZ131" i="12"/>
  <c r="BA131" i="12" s="1"/>
  <c r="BJ58" i="12"/>
  <c r="BK58" i="12" s="1"/>
  <c r="AS7" i="44"/>
  <c r="D6" i="47"/>
  <c r="BB145" i="43"/>
  <c r="AZ146" i="43"/>
  <c r="AZ12" i="43"/>
  <c r="BB131" i="43"/>
  <c r="BC130" i="43"/>
  <c r="BB11" i="43"/>
  <c r="BD109" i="43"/>
  <c r="BC10" i="43"/>
  <c r="AZ131" i="43"/>
  <c r="AZ11" i="43"/>
  <c r="AQ83" i="44"/>
  <c r="AV54" i="44" s="1"/>
  <c r="AU162" i="44"/>
  <c r="AV162" i="44" s="1"/>
  <c r="AW57" i="14"/>
  <c r="AU61" i="14"/>
  <c r="AV61" i="14" s="1"/>
  <c r="AV49" i="14"/>
  <c r="BG121" i="20"/>
  <c r="BG292" i="20"/>
  <c r="BG311" i="20" s="1"/>
  <c r="AZ68" i="13"/>
  <c r="BA68" i="13"/>
  <c r="BA129" i="13" s="1"/>
  <c r="AZ410" i="13"/>
  <c r="AZ406" i="13" s="1"/>
  <c r="BA110" i="13"/>
  <c r="BA127" i="13" s="1"/>
  <c r="BA130" i="13" s="1"/>
  <c r="AZ408" i="13"/>
  <c r="G42" i="62"/>
  <c r="BJ48" i="13"/>
  <c r="AY197" i="12"/>
  <c r="AZ97" i="12"/>
  <c r="AY93" i="44"/>
  <c r="AY100" i="44"/>
  <c r="G25" i="18"/>
  <c r="I25" i="18" s="1"/>
  <c r="H25" i="18"/>
  <c r="I32" i="17" s="1"/>
  <c r="D27" i="3" s="1"/>
  <c r="I27" i="3" s="1"/>
  <c r="F52" i="18"/>
  <c r="H52" i="18" s="1"/>
  <c r="I23" i="17" s="1"/>
  <c r="AP100" i="35"/>
  <c r="AP102" i="35" s="1"/>
  <c r="AP103" i="35" s="1"/>
  <c r="AQ103" i="35" s="1"/>
  <c r="BK39" i="20"/>
  <c r="BK44" i="20" s="1"/>
  <c r="BJ44" i="20"/>
  <c r="AK331" i="20"/>
  <c r="AL133" i="7"/>
  <c r="AX52" i="14"/>
  <c r="AX39" i="14"/>
  <c r="AX42" i="14"/>
  <c r="AX48" i="14"/>
  <c r="AX45" i="14"/>
  <c r="AX44" i="14"/>
  <c r="AX41" i="14"/>
  <c r="AX35" i="14"/>
  <c r="AX51" i="14"/>
  <c r="AX38" i="14"/>
  <c r="AX49" i="14"/>
  <c r="AX43" i="14"/>
  <c r="AX53" i="14"/>
  <c r="AX34" i="14"/>
  <c r="AX40" i="14"/>
  <c r="AX65" i="14" s="1"/>
  <c r="AX50" i="14"/>
  <c r="AX37" i="14"/>
  <c r="AX36" i="14"/>
  <c r="BG146" i="35"/>
  <c r="AM20" i="35"/>
  <c r="L200" i="7"/>
  <c r="AL403" i="7"/>
  <c r="AL414" i="7" s="1"/>
  <c r="AQ135" i="7"/>
  <c r="AQ257" i="7"/>
  <c r="AQ414" i="7"/>
  <c r="AV408" i="7" s="1"/>
  <c r="AK410" i="7"/>
  <c r="AK505" i="7" s="1"/>
  <c r="AL505" i="7" s="1"/>
  <c r="V180" i="7"/>
  <c r="W180" i="7" s="1"/>
  <c r="AV576" i="7"/>
  <c r="AV685" i="7" s="1"/>
  <c r="V198" i="7"/>
  <c r="W198" i="7" s="1"/>
  <c r="AB464" i="7"/>
  <c r="U64" i="15"/>
  <c r="AQ504" i="7"/>
  <c r="AQ100" i="35"/>
  <c r="AQ101" i="35" s="1"/>
  <c r="AZ333" i="20"/>
  <c r="BG84" i="20"/>
  <c r="AR255" i="11"/>
  <c r="AR254" i="11" s="1"/>
  <c r="AQ639" i="7"/>
  <c r="AR631" i="7" s="1"/>
  <c r="AR636" i="7" s="1"/>
  <c r="AR425" i="7"/>
  <c r="AR430" i="7" s="1"/>
  <c r="AS425" i="7" s="1"/>
  <c r="AS430" i="7" s="1"/>
  <c r="AT425" i="7" s="1"/>
  <c r="AT430" i="7" s="1"/>
  <c r="AU425" i="7" s="1"/>
  <c r="AU430" i="7" s="1"/>
  <c r="L409" i="7"/>
  <c r="L504" i="7" s="1"/>
  <c r="AW1029" i="7"/>
  <c r="AW1031" i="7"/>
  <c r="AW1030" i="7"/>
  <c r="AV639" i="7"/>
  <c r="AW631" i="7" s="1"/>
  <c r="AW636" i="7" s="1"/>
  <c r="AW432" i="7"/>
  <c r="AP235" i="7"/>
  <c r="AP254" i="7"/>
  <c r="AC933" i="7"/>
  <c r="V20" i="17" s="1"/>
  <c r="AK636" i="7"/>
  <c r="AY11" i="43"/>
  <c r="AY131" i="43"/>
  <c r="AY146" i="43"/>
  <c r="AY12" i="43"/>
  <c r="BA140" i="13"/>
  <c r="BF102" i="35"/>
  <c r="AJ113" i="35"/>
  <c r="AJ118" i="35" s="1"/>
  <c r="AE86" i="35"/>
  <c r="AE85" i="35" s="1"/>
  <c r="AE84" i="35" s="1"/>
  <c r="AS52" i="35"/>
  <c r="AC131" i="35"/>
  <c r="AC130" i="35" s="1"/>
  <c r="AC129" i="35" s="1"/>
  <c r="AR102" i="35"/>
  <c r="AX129" i="13"/>
  <c r="AX42" i="43"/>
  <c r="AQ92" i="7"/>
  <c r="AT575" i="7"/>
  <c r="AT576" i="7" s="1"/>
  <c r="AT685" i="7" s="1"/>
  <c r="AE247" i="7"/>
  <c r="AE933" i="7" s="1"/>
  <c r="Q14" i="1"/>
  <c r="Q19" i="1" s="1"/>
  <c r="Q27" i="1" s="1"/>
  <c r="Q28" i="1" s="1"/>
  <c r="U34" i="7"/>
  <c r="Q9" i="7"/>
  <c r="Q84" i="7" s="1"/>
  <c r="R84" i="7" s="1"/>
  <c r="AL810" i="7"/>
  <c r="U88" i="7"/>
  <c r="U90" i="7"/>
  <c r="U93" i="7" s="1"/>
  <c r="U100" i="7" s="1"/>
  <c r="N144" i="7"/>
  <c r="N146" i="7" s="1"/>
  <c r="N161" i="7" s="1"/>
  <c r="AB112" i="7"/>
  <c r="O88" i="7"/>
  <c r="AJ76" i="7"/>
  <c r="AJ139" i="7" s="1"/>
  <c r="AQ409" i="7"/>
  <c r="AG109" i="7"/>
  <c r="O25" i="7"/>
  <c r="O74" i="7" s="1"/>
  <c r="V500" i="7"/>
  <c r="Y104" i="15"/>
  <c r="U379" i="7"/>
  <c r="U313" i="7" s="1"/>
  <c r="U314" i="7" s="1"/>
  <c r="U391" i="7"/>
  <c r="U466" i="7" s="1"/>
  <c r="L84" i="7"/>
  <c r="M84" i="7" s="1"/>
  <c r="U452" i="7"/>
  <c r="W377" i="7"/>
  <c r="O30" i="1"/>
  <c r="J120" i="15" s="1"/>
  <c r="J126" i="15" s="1"/>
  <c r="Q323" i="7"/>
  <c r="R323" i="7" s="1"/>
  <c r="M703" i="7"/>
  <c r="M702" i="7"/>
  <c r="N700" i="7"/>
  <c r="Z105" i="7"/>
  <c r="P13" i="7"/>
  <c r="P15" i="7" s="1"/>
  <c r="AR1032" i="7"/>
  <c r="AF686" i="7"/>
  <c r="M660" i="7"/>
  <c r="AQ127" i="7"/>
  <c r="AB389" i="7"/>
  <c r="W92" i="7"/>
  <c r="R372" i="7"/>
  <c r="R381" i="7" s="1"/>
  <c r="R383" i="7" s="1"/>
  <c r="M662" i="7"/>
  <c r="AL168" i="7"/>
  <c r="AL172" i="7" s="1"/>
  <c r="J93" i="7"/>
  <c r="J100" i="7" s="1"/>
  <c r="AF341" i="7"/>
  <c r="AM446" i="7"/>
  <c r="AM456" i="7" s="1"/>
  <c r="AM458" i="7" s="1"/>
  <c r="AL458" i="7"/>
  <c r="AA335" i="7"/>
  <c r="L448" i="7"/>
  <c r="M448" i="7" s="1"/>
  <c r="AQ224" i="7"/>
  <c r="AQ226" i="7" s="1"/>
  <c r="W82" i="7"/>
  <c r="V168" i="7"/>
  <c r="V172" i="7" s="1"/>
  <c r="AL224" i="7"/>
  <c r="AL226" i="7" s="1"/>
  <c r="X686" i="7"/>
  <c r="AK843" i="7"/>
  <c r="L381" i="7"/>
  <c r="L383" i="7" s="1"/>
  <c r="AK858" i="7"/>
  <c r="AK859" i="7" s="1"/>
  <c r="AK862" i="7" s="1"/>
  <c r="AK864" i="7" s="1"/>
  <c r="N661" i="7"/>
  <c r="AO859" i="7"/>
  <c r="AO862" i="7" s="1"/>
  <c r="AO864" i="7" s="1"/>
  <c r="Q498" i="7"/>
  <c r="Q501" i="7" s="1"/>
  <c r="Q661" i="7"/>
  <c r="Q663" i="7"/>
  <c r="AA341" i="7"/>
  <c r="W226" i="7"/>
  <c r="Q662" i="7"/>
  <c r="N660" i="7"/>
  <c r="AA449" i="7"/>
  <c r="L98" i="7"/>
  <c r="M98" i="7" s="1"/>
  <c r="AZ832" i="7"/>
  <c r="AP840" i="7"/>
  <c r="AP839" i="7" s="1"/>
  <c r="AP835" i="7"/>
  <c r="AQ832" i="7"/>
  <c r="AQ835" i="7" s="1"/>
  <c r="N663" i="7"/>
  <c r="AW625" i="7"/>
  <c r="AX625" i="7" s="1"/>
  <c r="AX432" i="7"/>
  <c r="AX639" i="7"/>
  <c r="AY631" i="7" s="1"/>
  <c r="AY636" i="7" s="1"/>
  <c r="AY638" i="7" s="1"/>
  <c r="AQ491" i="7"/>
  <c r="AR23" i="13"/>
  <c r="AR25" i="13" s="1"/>
  <c r="AK381" i="7"/>
  <c r="AK383" i="7" s="1"/>
  <c r="AV104" i="7"/>
  <c r="AW105" i="7"/>
  <c r="AJ432" i="7"/>
  <c r="AK425" i="7"/>
  <c r="AK430" i="7" s="1"/>
  <c r="AK639" i="7" s="1"/>
  <c r="AR937" i="7"/>
  <c r="AT323" i="7"/>
  <c r="AV323" i="7" s="1"/>
  <c r="AT324" i="7"/>
  <c r="AV324" i="7" s="1"/>
  <c r="AK766" i="7"/>
  <c r="AK767" i="7" s="1"/>
  <c r="AK768" i="7" s="1"/>
  <c r="AK771" i="7" s="1"/>
  <c r="AH743" i="7"/>
  <c r="AW639" i="7"/>
  <c r="AK601" i="7"/>
  <c r="AL491" i="7"/>
  <c r="M198" i="7"/>
  <c r="L198" i="7" s="1"/>
  <c r="L167" i="7" s="1"/>
  <c r="AC683" i="7"/>
  <c r="AC686" i="7" s="1"/>
  <c r="AL525" i="7"/>
  <c r="AU1062" i="7"/>
  <c r="AU1063" i="7" s="1"/>
  <c r="AU1059" i="7"/>
  <c r="AK13" i="7"/>
  <c r="AK88" i="7" s="1"/>
  <c r="AL88" i="7" s="1"/>
  <c r="AL270" i="7"/>
  <c r="AL250" i="7" s="1"/>
  <c r="AL558" i="7" s="1"/>
  <c r="AJ638" i="7"/>
  <c r="AW748" i="7"/>
  <c r="AR743" i="7"/>
  <c r="AR211" i="14"/>
  <c r="AS212" i="14" s="1"/>
  <c r="Y25" i="18"/>
  <c r="AP211" i="14"/>
  <c r="AQ211" i="14" s="1"/>
  <c r="Y28" i="18"/>
  <c r="Z686" i="7"/>
  <c r="AX93" i="44"/>
  <c r="AX92" i="44"/>
  <c r="AY408" i="13"/>
  <c r="AZ127" i="13"/>
  <c r="BL102" i="35"/>
  <c r="AB100" i="35"/>
  <c r="AB101" i="35" s="1"/>
  <c r="AV102" i="35"/>
  <c r="AU102" i="35"/>
  <c r="AC86" i="35"/>
  <c r="AC85" i="35" s="1"/>
  <c r="AC84" i="35" s="1"/>
  <c r="AX127" i="35"/>
  <c r="AM50" i="35"/>
  <c r="AD131" i="35"/>
  <c r="AD130" i="35" s="1"/>
  <c r="AD51" i="35" s="1"/>
  <c r="BD82" i="35"/>
  <c r="BN106" i="35"/>
  <c r="BU151" i="35"/>
  <c r="BU156" i="35" s="1"/>
  <c r="AM52" i="35"/>
  <c r="AD86" i="35"/>
  <c r="AD85" i="35" s="1"/>
  <c r="AD84" i="35" s="1"/>
  <c r="BT82" i="35"/>
  <c r="BA100" i="35"/>
  <c r="BA102" i="35" s="1"/>
  <c r="BN245" i="11"/>
  <c r="R83" i="42" s="1"/>
  <c r="AR250" i="11"/>
  <c r="AQ9" i="44"/>
  <c r="AS11" i="35"/>
  <c r="AG100" i="35"/>
  <c r="AG101" i="35" s="1"/>
  <c r="BG100" i="35"/>
  <c r="BG101" i="35" s="1"/>
  <c r="BF106" i="35"/>
  <c r="AT118" i="35"/>
  <c r="AR151" i="35"/>
  <c r="AR158" i="35" s="1"/>
  <c r="AB50" i="35"/>
  <c r="BM82" i="35"/>
  <c r="D38" i="52"/>
  <c r="D66" i="52" s="1"/>
  <c r="D27" i="53"/>
  <c r="AY129" i="13"/>
  <c r="AQ7" i="13"/>
  <c r="AS416" i="12"/>
  <c r="AX130" i="12"/>
  <c r="AY130" i="12" s="1"/>
  <c r="AU241" i="12"/>
  <c r="AW245" i="12"/>
  <c r="AY199" i="12"/>
  <c r="BS122" i="35"/>
  <c r="AB52" i="35"/>
  <c r="AZ153" i="35"/>
  <c r="AX102" i="35"/>
  <c r="BN127" i="35"/>
  <c r="BO82" i="35"/>
  <c r="AT114" i="35"/>
  <c r="BM106" i="35"/>
  <c r="BP146" i="35"/>
  <c r="AT106" i="35"/>
  <c r="AO113" i="35"/>
  <c r="AO118" i="35" s="1"/>
  <c r="AT120" i="35"/>
  <c r="AM100" i="35"/>
  <c r="AM101" i="35" s="1"/>
  <c r="AZ152" i="35"/>
  <c r="BJ106" i="35"/>
  <c r="AK127" i="11"/>
  <c r="AL127" i="11" s="1"/>
  <c r="AL68" i="11"/>
  <c r="AL237" i="11" s="1"/>
  <c r="AL249" i="11"/>
  <c r="AL250" i="11" s="1"/>
  <c r="AF249" i="11"/>
  <c r="AG249" i="11" s="1"/>
  <c r="AG250" i="11" s="1"/>
  <c r="AQ81" i="11"/>
  <c r="BN81" i="11" s="1"/>
  <c r="AP232" i="11"/>
  <c r="AK212" i="11"/>
  <c r="AU324" i="11"/>
  <c r="AU326" i="11" s="1"/>
  <c r="AU328" i="11" s="1"/>
  <c r="BK106" i="35"/>
  <c r="AF20" i="35"/>
  <c r="BP100" i="35"/>
  <c r="BP101" i="35" s="1"/>
  <c r="AF43" i="35"/>
  <c r="AX146" i="35"/>
  <c r="BO102" i="35"/>
  <c r="AH114" i="35"/>
  <c r="AH115" i="35"/>
  <c r="AH120" i="35"/>
  <c r="AH121" i="35" s="1"/>
  <c r="AF18" i="35"/>
  <c r="L28" i="15" s="1"/>
  <c r="BS100" i="35"/>
  <c r="BS102" i="35" s="1"/>
  <c r="BH100" i="35"/>
  <c r="BH101" i="35" s="1"/>
  <c r="AF100" i="35"/>
  <c r="AF101" i="35" s="1"/>
  <c r="BL113" i="35"/>
  <c r="BL118" i="35" s="1"/>
  <c r="BS151" i="35"/>
  <c r="BS156" i="35" s="1"/>
  <c r="AF50" i="35"/>
  <c r="BI82" i="35"/>
  <c r="AE19" i="35"/>
  <c r="AE20" i="35" s="1"/>
  <c r="AF9" i="35"/>
  <c r="AS18" i="35"/>
  <c r="BS82" i="35"/>
  <c r="AL6" i="35"/>
  <c r="AL9" i="35" s="1"/>
  <c r="AF52" i="35"/>
  <c r="AL324" i="7"/>
  <c r="Q601" i="7"/>
  <c r="AH18" i="35"/>
  <c r="N28" i="15" s="1"/>
  <c r="AT324" i="11"/>
  <c r="AT326" i="11" s="1"/>
  <c r="AT328" i="11" s="1"/>
  <c r="AT330" i="11" s="1"/>
  <c r="AP333" i="20"/>
  <c r="AR56" i="44"/>
  <c r="AH20" i="35"/>
  <c r="AH50" i="35"/>
  <c r="AM333" i="20"/>
  <c r="AS80" i="44"/>
  <c r="AS324" i="11"/>
  <c r="AS326" i="11" s="1"/>
  <c r="AS328" i="11" s="1"/>
  <c r="AS330" i="11" s="1"/>
  <c r="AH52" i="35"/>
  <c r="Q764" i="7"/>
  <c r="Q772" i="7" s="1"/>
  <c r="Q773" i="7" s="1"/>
  <c r="AU215" i="14"/>
  <c r="AU225" i="14"/>
  <c r="AL256" i="7"/>
  <c r="AR52" i="35"/>
  <c r="AK509" i="7"/>
  <c r="AK559" i="7" s="1"/>
  <c r="AO333" i="20"/>
  <c r="AO251" i="7"/>
  <c r="AP259" i="7"/>
  <c r="AJ683" i="7"/>
  <c r="AJ686" i="7" s="1"/>
  <c r="AR23" i="43"/>
  <c r="AR22" i="43" s="1"/>
  <c r="BK100" i="35"/>
  <c r="BK102" i="35" s="1"/>
  <c r="BQ100" i="35"/>
  <c r="BQ101" i="35" s="1"/>
  <c r="BL146" i="35"/>
  <c r="AV151" i="35"/>
  <c r="AV153" i="35" s="1"/>
  <c r="AW100" i="35"/>
  <c r="AW102" i="35" s="1"/>
  <c r="BI102" i="35"/>
  <c r="BR121" i="35"/>
  <c r="L48" i="15"/>
  <c r="BB82" i="35"/>
  <c r="BC101" i="35"/>
  <c r="BC102" i="35"/>
  <c r="AP28" i="35"/>
  <c r="AP36" i="35" s="1"/>
  <c r="AW82" i="35"/>
  <c r="AZ101" i="35"/>
  <c r="AZ102" i="35"/>
  <c r="BD146" i="35"/>
  <c r="BB102" i="35"/>
  <c r="AS100" i="35"/>
  <c r="AS102" i="35" s="1"/>
  <c r="AB18" i="35"/>
  <c r="AM18" i="35"/>
  <c r="S28" i="15" s="1"/>
  <c r="AS50" i="35"/>
  <c r="AZ127" i="35"/>
  <c r="AB20" i="35"/>
  <c r="BL127" i="35"/>
  <c r="AZ158" i="35"/>
  <c r="AZ160" i="35" s="1"/>
  <c r="AZ82" i="35"/>
  <c r="AS20" i="35"/>
  <c r="AQ4" i="13"/>
  <c r="BF233" i="20" s="1"/>
  <c r="AQ5" i="13"/>
  <c r="BF234" i="20" s="1"/>
  <c r="AQ12" i="13"/>
  <c r="AS11" i="13"/>
  <c r="AS144" i="13" s="1"/>
  <c r="AN333" i="20"/>
  <c r="AU333" i="20"/>
  <c r="AM35" i="20"/>
  <c r="G73" i="18"/>
  <c r="S73" i="18" s="1"/>
  <c r="U73" i="18" s="1"/>
  <c r="Q76" i="18"/>
  <c r="Q28" i="18"/>
  <c r="AK333" i="20"/>
  <c r="G61" i="18"/>
  <c r="I61" i="18" s="1"/>
  <c r="Q61" i="18"/>
  <c r="Q25" i="18"/>
  <c r="AX333" i="20"/>
  <c r="Q64" i="18"/>
  <c r="R73" i="18"/>
  <c r="T73" i="18" s="1"/>
  <c r="J16" i="17" s="1"/>
  <c r="Q34" i="18"/>
  <c r="BA61" i="20"/>
  <c r="BA66" i="20" s="1"/>
  <c r="Q43" i="18"/>
  <c r="Q49" i="18"/>
  <c r="Q37" i="18"/>
  <c r="H61" i="18"/>
  <c r="I20" i="17" s="1"/>
  <c r="AS333" i="20"/>
  <c r="AR333" i="20"/>
  <c r="Q58" i="18"/>
  <c r="AT333" i="20"/>
  <c r="AR35" i="20"/>
  <c r="Q70" i="18"/>
  <c r="Q52" i="18"/>
  <c r="AZ331" i="20"/>
  <c r="BG103" i="20"/>
  <c r="BG108" i="20" s="1"/>
  <c r="BG100" i="20"/>
  <c r="BH103" i="20"/>
  <c r="BH100" i="20"/>
  <c r="Y686" i="7"/>
  <c r="N91" i="18"/>
  <c r="P91" i="18" s="1"/>
  <c r="BD219" i="20"/>
  <c r="BD216" i="20" s="1"/>
  <c r="AG687" i="7"/>
  <c r="AV61" i="20"/>
  <c r="AV66" i="20" s="1"/>
  <c r="BE154" i="20"/>
  <c r="BF154" i="20" s="1"/>
  <c r="BF231" i="20" s="1"/>
  <c r="BE103" i="20"/>
  <c r="BE219" i="20"/>
  <c r="BC154" i="20"/>
  <c r="BC156" i="20" s="1"/>
  <c r="BC103" i="20"/>
  <c r="BC108" i="20" s="1"/>
  <c r="BG219" i="20"/>
  <c r="L91" i="18"/>
  <c r="AW197" i="13"/>
  <c r="AW43" i="13" s="1"/>
  <c r="AX202" i="13"/>
  <c r="AM331" i="20"/>
  <c r="AU331" i="20"/>
  <c r="BF41" i="20"/>
  <c r="BF42" i="20" s="1"/>
  <c r="AP331" i="20"/>
  <c r="S85" i="18"/>
  <c r="U85" i="18" s="1"/>
  <c r="I85" i="18"/>
  <c r="S79" i="18"/>
  <c r="U79" i="18" s="1"/>
  <c r="I79" i="18"/>
  <c r="AQ25" i="43"/>
  <c r="AR26" i="43" s="1"/>
  <c r="G40" i="18"/>
  <c r="H40" i="18"/>
  <c r="R40" i="18"/>
  <c r="T40" i="18" s="1"/>
  <c r="S28" i="18"/>
  <c r="U28" i="18" s="1"/>
  <c r="O88" i="18"/>
  <c r="Q88" i="18" s="1"/>
  <c r="M88" i="18"/>
  <c r="R58" i="18"/>
  <c r="T58" i="18" s="1"/>
  <c r="H58" i="18"/>
  <c r="G58" i="18"/>
  <c r="S88" i="18"/>
  <c r="U88" i="18" s="1"/>
  <c r="I88" i="18"/>
  <c r="G46" i="18"/>
  <c r="H46" i="18"/>
  <c r="R46" i="18"/>
  <c r="T46" i="18" s="1"/>
  <c r="G37" i="18"/>
  <c r="R37" i="18"/>
  <c r="T37" i="18" s="1"/>
  <c r="J28" i="17" s="1"/>
  <c r="H37" i="18"/>
  <c r="I28" i="17" s="1"/>
  <c r="D23" i="3" s="1"/>
  <c r="I23" i="3" s="1"/>
  <c r="H70" i="18"/>
  <c r="R70" i="18"/>
  <c r="T70" i="18" s="1"/>
  <c r="G70" i="18"/>
  <c r="H64" i="18"/>
  <c r="G64" i="18"/>
  <c r="R64" i="18"/>
  <c r="T64" i="18" s="1"/>
  <c r="H76" i="18"/>
  <c r="I15" i="17" s="1"/>
  <c r="G76" i="18"/>
  <c r="R76" i="18"/>
  <c r="T76" i="18" s="1"/>
  <c r="J15" i="17" s="1"/>
  <c r="S82" i="18"/>
  <c r="U82" i="18" s="1"/>
  <c r="I82" i="18"/>
  <c r="G55" i="18"/>
  <c r="H55" i="18"/>
  <c r="R55" i="18"/>
  <c r="T55" i="18" s="1"/>
  <c r="S31" i="18"/>
  <c r="U31" i="18" s="1"/>
  <c r="I31" i="18"/>
  <c r="S49" i="18"/>
  <c r="U49" i="18" s="1"/>
  <c r="I49" i="18"/>
  <c r="G67" i="18"/>
  <c r="R67" i="18"/>
  <c r="T67" i="18" s="1"/>
  <c r="H67" i="18"/>
  <c r="S34" i="18"/>
  <c r="U34" i="18" s="1"/>
  <c r="M91" i="18"/>
  <c r="R43" i="18"/>
  <c r="T43" i="18" s="1"/>
  <c r="J26" i="17" s="1"/>
  <c r="G43" i="18"/>
  <c r="H43" i="18"/>
  <c r="I26" i="17" s="1"/>
  <c r="BC202" i="14"/>
  <c r="BB208" i="14"/>
  <c r="AT16" i="43"/>
  <c r="AT341" i="11" s="1"/>
  <c r="AT37" i="43"/>
  <c r="AT41" i="43" s="1"/>
  <c r="R74" i="15"/>
  <c r="BK74" i="15" s="1"/>
  <c r="W27" i="1"/>
  <c r="W30" i="1" s="1"/>
  <c r="R120" i="15" s="1"/>
  <c r="R126" i="15" s="1"/>
  <c r="AG63" i="14"/>
  <c r="AV43" i="14"/>
  <c r="AV36" i="14"/>
  <c r="AV48" i="14"/>
  <c r="Y27" i="1"/>
  <c r="Y30" i="1" s="1"/>
  <c r="T120" i="15" s="1"/>
  <c r="T126" i="15" s="1"/>
  <c r="AV40" i="14"/>
  <c r="AR206" i="14"/>
  <c r="AS206" i="14"/>
  <c r="AV52" i="14"/>
  <c r="AV45" i="14"/>
  <c r="AD104" i="14"/>
  <c r="AV50" i="14"/>
  <c r="AE104" i="14"/>
  <c r="AV37" i="14"/>
  <c r="AV53" i="14"/>
  <c r="AV38" i="14"/>
  <c r="AV39" i="14"/>
  <c r="AV35" i="14"/>
  <c r="AV51" i="14"/>
  <c r="AU54" i="14"/>
  <c r="AU56" i="14"/>
  <c r="AU57" i="14" s="1"/>
  <c r="AT46" i="14"/>
  <c r="AS57" i="14"/>
  <c r="AU46" i="14"/>
  <c r="AR57" i="14"/>
  <c r="BI114" i="20"/>
  <c r="AV34" i="14"/>
  <c r="AT54" i="14"/>
  <c r="AT56" i="14"/>
  <c r="AT57" i="14" s="1"/>
  <c r="AW54" i="45"/>
  <c r="AX12" i="43"/>
  <c r="AX146" i="43"/>
  <c r="AX11" i="43"/>
  <c r="AX131" i="43"/>
  <c r="AP22" i="43"/>
  <c r="AV50" i="13"/>
  <c r="AV385" i="13" s="1"/>
  <c r="AU385" i="13"/>
  <c r="AR113" i="35"/>
  <c r="AR106" i="35"/>
  <c r="AB26" i="35"/>
  <c r="AB28" i="35" s="1"/>
  <c r="AB29" i="35" s="1"/>
  <c r="AU127" i="35"/>
  <c r="AU113" i="35"/>
  <c r="AU118" i="35" s="1"/>
  <c r="AS160" i="35"/>
  <c r="AS159" i="35"/>
  <c r="BC146" i="35"/>
  <c r="BC151" i="35"/>
  <c r="AE51" i="35"/>
  <c r="AH100" i="35"/>
  <c r="AH101" i="35" s="1"/>
  <c r="BO106" i="35"/>
  <c r="BO113" i="35"/>
  <c r="BC106" i="35"/>
  <c r="BC113" i="35"/>
  <c r="BR82" i="35"/>
  <c r="BD101" i="35"/>
  <c r="BD102" i="35"/>
  <c r="AN100" i="35"/>
  <c r="AN101" i="35" s="1"/>
  <c r="L29" i="15"/>
  <c r="BB127" i="35"/>
  <c r="BG113" i="35"/>
  <c r="BG106" i="35"/>
  <c r="BN101" i="35"/>
  <c r="BN102" i="35"/>
  <c r="AL113" i="35"/>
  <c r="AL115" i="35" s="1"/>
  <c r="AK146" i="35"/>
  <c r="AK151" i="35"/>
  <c r="BN120" i="35"/>
  <c r="BN118" i="35"/>
  <c r="BN114" i="35"/>
  <c r="BN115" i="35"/>
  <c r="AT100" i="35"/>
  <c r="AT101" i="35" s="1"/>
  <c r="AR32" i="12"/>
  <c r="AR31" i="12" s="1"/>
  <c r="AR30" i="12" s="1"/>
  <c r="AS417" i="12"/>
  <c r="AS413" i="12"/>
  <c r="AS410" i="12"/>
  <c r="AX345" i="12"/>
  <c r="AX426" i="12"/>
  <c r="AU162" i="12"/>
  <c r="AU129" i="12" s="1"/>
  <c r="AT164" i="12"/>
  <c r="AT163" i="12" s="1"/>
  <c r="BI221" i="20" s="1"/>
  <c r="BI223" i="20" s="1"/>
  <c r="AW243" i="12"/>
  <c r="AX252" i="12" s="1"/>
  <c r="AW220" i="12"/>
  <c r="AX403" i="12"/>
  <c r="BD154" i="20"/>
  <c r="BD231" i="20" s="1"/>
  <c r="BD230" i="20" s="1"/>
  <c r="BD116" i="20"/>
  <c r="BD118" i="20" s="1"/>
  <c r="AG682" i="7"/>
  <c r="AP13" i="7"/>
  <c r="AP15" i="7" s="1"/>
  <c r="AA95" i="7"/>
  <c r="AB95" i="7" s="1"/>
  <c r="AA756" i="7"/>
  <c r="AA757" i="7" s="1"/>
  <c r="AB247" i="7"/>
  <c r="AB934" i="7" s="1"/>
  <c r="AB935" i="7" s="1"/>
  <c r="AN582" i="7"/>
  <c r="AG389" i="7"/>
  <c r="W712" i="7"/>
  <c r="X525" i="7"/>
  <c r="AB525" i="7" s="1"/>
  <c r="O663" i="7"/>
  <c r="I76" i="7"/>
  <c r="I139" i="7" s="1"/>
  <c r="I137" i="7"/>
  <c r="AK389" i="7"/>
  <c r="AK464" i="7" s="1"/>
  <c r="AK449" i="7"/>
  <c r="X198" i="7"/>
  <c r="AB198" i="7" s="1"/>
  <c r="AB195" i="7"/>
  <c r="AO373" i="7"/>
  <c r="AO45" i="7"/>
  <c r="AO112" i="7"/>
  <c r="AT373" i="7"/>
  <c r="AT112" i="7"/>
  <c r="AQ4" i="45"/>
  <c r="AQ5" i="45" s="1"/>
  <c r="AQ11" i="45"/>
  <c r="O661" i="7"/>
  <c r="U448" i="7"/>
  <c r="AJ464" i="7"/>
  <c r="O660" i="7"/>
  <c r="V373" i="7"/>
  <c r="V448" i="7" s="1"/>
  <c r="V98" i="7"/>
  <c r="W98" i="7" s="1"/>
  <c r="Q411" i="7"/>
  <c r="Q453" i="7"/>
  <c r="AR525" i="7"/>
  <c r="AC280" i="7"/>
  <c r="AC282" i="7" s="1"/>
  <c r="AC283" i="7" s="1"/>
  <c r="AH907" i="7"/>
  <c r="O617" i="7"/>
  <c r="O537" i="7"/>
  <c r="O538" i="7" s="1"/>
  <c r="AH759" i="7"/>
  <c r="AL467" i="7"/>
  <c r="AH392" i="7"/>
  <c r="AL392" i="7" s="1"/>
  <c r="AL819" i="7"/>
  <c r="AL822" i="7" s="1"/>
  <c r="AK827" i="7"/>
  <c r="AK826" i="7" s="1"/>
  <c r="AK822" i="7"/>
  <c r="AA14" i="1"/>
  <c r="AP140" i="7"/>
  <c r="AQ140" i="7" s="1"/>
  <c r="T185" i="7"/>
  <c r="T183" i="7"/>
  <c r="Y137" i="7"/>
  <c r="Y76" i="7"/>
  <c r="Y139" i="7" s="1"/>
  <c r="R405" i="7"/>
  <c r="R403" i="7"/>
  <c r="AO271" i="7"/>
  <c r="AV356" i="7"/>
  <c r="R320" i="7"/>
  <c r="U76" i="7"/>
  <c r="U139" i="7" s="1"/>
  <c r="U137" i="7"/>
  <c r="R418" i="7"/>
  <c r="R218" i="7"/>
  <c r="AP52" i="7"/>
  <c r="AQ234" i="7"/>
  <c r="Q420" i="7"/>
  <c r="Q558" i="7"/>
  <c r="Q421" i="7"/>
  <c r="AJ15" i="7"/>
  <c r="AJ90" i="7" s="1"/>
  <c r="AJ93" i="7" s="1"/>
  <c r="N76" i="7"/>
  <c r="N139" i="7" s="1"/>
  <c r="N137" i="7"/>
  <c r="U168" i="7"/>
  <c r="U164" i="7"/>
  <c r="AU52" i="7"/>
  <c r="AU45" i="7" s="1"/>
  <c r="AJ1010" i="7"/>
  <c r="AJ1011" i="7" s="1"/>
  <c r="AG390" i="7"/>
  <c r="AO252" i="7"/>
  <c r="U179" i="7"/>
  <c r="U181" i="7" s="1"/>
  <c r="V176" i="7"/>
  <c r="AN381" i="7"/>
  <c r="AN383" i="7" s="1"/>
  <c r="AN448" i="7"/>
  <c r="AN456" i="7" s="1"/>
  <c r="AN458" i="7" s="1"/>
  <c r="Q410" i="7"/>
  <c r="Q450" i="7"/>
  <c r="AQ231" i="7"/>
  <c r="AB270" i="7"/>
  <c r="AB250" i="7" s="1"/>
  <c r="Z27" i="1"/>
  <c r="AS23" i="12"/>
  <c r="AY106" i="35"/>
  <c r="AY113" i="35"/>
  <c r="BT153" i="35"/>
  <c r="BT156" i="35"/>
  <c r="BT158" i="35"/>
  <c r="BT152" i="35"/>
  <c r="BM146" i="35"/>
  <c r="BM151" i="35"/>
  <c r="BG82" i="35"/>
  <c r="BE127" i="35"/>
  <c r="BJ127" i="35"/>
  <c r="BR127" i="35"/>
  <c r="AT127" i="35"/>
  <c r="AY127" i="35"/>
  <c r="BA146" i="35"/>
  <c r="BA151" i="35"/>
  <c r="BD152" i="35"/>
  <c r="BD153" i="35"/>
  <c r="BD156" i="35"/>
  <c r="BD158" i="35"/>
  <c r="AX156" i="35"/>
  <c r="AX158" i="35"/>
  <c r="AX153" i="35"/>
  <c r="AX152" i="35"/>
  <c r="AV126" i="35"/>
  <c r="AV77" i="35"/>
  <c r="AV81" i="35"/>
  <c r="BK77" i="35"/>
  <c r="BK81" i="35"/>
  <c r="BK126" i="35"/>
  <c r="BJ146" i="35"/>
  <c r="BJ151" i="35"/>
  <c r="BU126" i="35"/>
  <c r="BU81" i="35"/>
  <c r="BU77" i="35"/>
  <c r="BQ106" i="35"/>
  <c r="BQ113" i="35"/>
  <c r="BB151" i="35"/>
  <c r="BB146" i="35"/>
  <c r="BF81" i="35"/>
  <c r="BF126" i="35"/>
  <c r="BF77" i="35"/>
  <c r="BT101" i="35"/>
  <c r="BT102" i="35"/>
  <c r="BH82" i="35"/>
  <c r="BJ114" i="35"/>
  <c r="BJ115" i="35"/>
  <c r="BJ118" i="35"/>
  <c r="BJ120" i="35"/>
  <c r="BF120" i="35"/>
  <c r="BF118" i="35"/>
  <c r="BF114" i="35"/>
  <c r="BF115" i="35"/>
  <c r="AP151" i="35"/>
  <c r="AP146" i="35"/>
  <c r="BG156" i="35"/>
  <c r="BG158" i="35"/>
  <c r="BG152" i="35"/>
  <c r="BG153" i="35"/>
  <c r="BF146" i="35"/>
  <c r="BF151" i="35"/>
  <c r="AV106" i="35"/>
  <c r="AV113" i="35"/>
  <c r="AI113" i="35"/>
  <c r="AI106" i="35"/>
  <c r="AS106" i="35"/>
  <c r="AS113" i="35"/>
  <c r="AM113" i="35"/>
  <c r="AM106" i="35"/>
  <c r="BH151" i="35"/>
  <c r="BH146" i="35"/>
  <c r="AU82" i="35"/>
  <c r="AB113" i="35"/>
  <c r="AB106" i="35"/>
  <c r="BI146" i="35"/>
  <c r="BI151" i="35"/>
  <c r="BI106" i="35"/>
  <c r="BI113" i="35"/>
  <c r="BN82" i="35"/>
  <c r="BK120" i="35"/>
  <c r="BK114" i="35"/>
  <c r="BK115" i="35"/>
  <c r="BK118" i="35"/>
  <c r="AT153" i="35"/>
  <c r="AT156" i="35"/>
  <c r="AT158" i="35"/>
  <c r="AT152" i="35"/>
  <c r="BC127" i="35"/>
  <c r="BH127" i="35"/>
  <c r="AY101" i="35"/>
  <c r="AY102" i="35"/>
  <c r="BR100" i="35"/>
  <c r="BE106" i="35"/>
  <c r="BE113" i="35"/>
  <c r="BM114" i="35"/>
  <c r="BM115" i="35"/>
  <c r="BM118" i="35"/>
  <c r="BM120" i="35"/>
  <c r="BT121" i="35"/>
  <c r="BT122" i="35"/>
  <c r="AG146" i="35"/>
  <c r="AG151" i="35"/>
  <c r="AY146" i="35"/>
  <c r="AY151" i="35"/>
  <c r="BE101" i="35"/>
  <c r="BE102" i="35"/>
  <c r="AF113" i="35"/>
  <c r="AF106" i="35"/>
  <c r="BM100" i="35"/>
  <c r="BP81" i="35"/>
  <c r="BP77" i="35"/>
  <c r="BP126" i="35"/>
  <c r="AO151" i="35"/>
  <c r="AO146" i="35"/>
  <c r="AP120" i="35"/>
  <c r="AP115" i="35"/>
  <c r="AP118" i="35"/>
  <c r="AP114" i="35"/>
  <c r="BN146" i="35"/>
  <c r="BN151" i="35"/>
  <c r="AG115" i="35"/>
  <c r="AG118" i="35"/>
  <c r="AG120" i="35"/>
  <c r="AG114" i="35"/>
  <c r="BA81" i="35"/>
  <c r="BA126" i="35"/>
  <c r="BA77" i="35"/>
  <c r="BL82" i="35"/>
  <c r="AQ146" i="35"/>
  <c r="AQ151" i="35"/>
  <c r="BL153" i="35"/>
  <c r="BL158" i="35"/>
  <c r="BL152" i="35"/>
  <c r="BL156" i="35"/>
  <c r="BD113" i="35"/>
  <c r="BD106" i="35"/>
  <c r="AM151" i="35"/>
  <c r="AM146" i="35"/>
  <c r="BE82" i="35"/>
  <c r="BJ82" i="35"/>
  <c r="BP118" i="35"/>
  <c r="BP120" i="35"/>
  <c r="BP115" i="35"/>
  <c r="BP114" i="35"/>
  <c r="AT82" i="35"/>
  <c r="AY82" i="35"/>
  <c r="AF152" i="35"/>
  <c r="AF153" i="35"/>
  <c r="AF156" i="35"/>
  <c r="AF158" i="35"/>
  <c r="BH106" i="35"/>
  <c r="BH113" i="35"/>
  <c r="BQ82" i="35"/>
  <c r="AX113" i="35"/>
  <c r="AX106" i="35"/>
  <c r="BU106" i="35"/>
  <c r="BU113" i="35"/>
  <c r="BP156" i="35"/>
  <c r="BP158" i="35"/>
  <c r="BP153" i="35"/>
  <c r="BP152" i="35"/>
  <c r="AU146" i="35"/>
  <c r="AU151" i="35"/>
  <c r="BQ146" i="35"/>
  <c r="BQ151" i="35"/>
  <c r="BJ101" i="35"/>
  <c r="BJ102" i="35"/>
  <c r="BK146" i="35"/>
  <c r="BK151" i="35"/>
  <c r="BQ127" i="35"/>
  <c r="AP101" i="35"/>
  <c r="BU101" i="35"/>
  <c r="BU102" i="35"/>
  <c r="BB106" i="35"/>
  <c r="BB113" i="35"/>
  <c r="AK106" i="35"/>
  <c r="AK113" i="35"/>
  <c r="AW153" i="35"/>
  <c r="AW156" i="35"/>
  <c r="AW158" i="35"/>
  <c r="AW152" i="35"/>
  <c r="AH151" i="35"/>
  <c r="AH146" i="35"/>
  <c r="AL146" i="35"/>
  <c r="AL151" i="35"/>
  <c r="AN113" i="35"/>
  <c r="AN106" i="35"/>
  <c r="AJ146" i="35"/>
  <c r="AJ151" i="35"/>
  <c r="AN151" i="35"/>
  <c r="AN146" i="35"/>
  <c r="AQ77" i="35"/>
  <c r="AQ126" i="35"/>
  <c r="AQ127" i="35" s="1"/>
  <c r="AQ81" i="35"/>
  <c r="AQ82" i="35" s="1"/>
  <c r="BR146" i="35"/>
  <c r="BR151" i="35"/>
  <c r="AW113" i="35"/>
  <c r="AW106" i="35"/>
  <c r="BG127" i="35"/>
  <c r="BA115" i="35"/>
  <c r="BA118" i="35"/>
  <c r="BA114" i="35"/>
  <c r="BA120" i="35"/>
  <c r="AB146" i="35"/>
  <c r="AB151" i="35"/>
  <c r="AI151" i="35"/>
  <c r="AI146" i="35"/>
  <c r="BS127" i="35"/>
  <c r="AZ113" i="35"/>
  <c r="AZ106" i="35"/>
  <c r="AW127" i="35"/>
  <c r="BE146" i="35"/>
  <c r="BE151" i="35"/>
  <c r="BI39" i="20"/>
  <c r="BI44" i="20" s="1"/>
  <c r="BI268" i="20"/>
  <c r="AU137" i="44"/>
  <c r="AU143" i="44" s="1"/>
  <c r="BG42" i="20"/>
  <c r="C27" i="3"/>
  <c r="H27" i="3" s="1"/>
  <c r="BD39" i="20"/>
  <c r="BE41" i="20"/>
  <c r="V212" i="11"/>
  <c r="AR212" i="11"/>
  <c r="AL300" i="14"/>
  <c r="AL303" i="14" s="1"/>
  <c r="AL306" i="14" s="1"/>
  <c r="AL309" i="14" s="1"/>
  <c r="AL211" i="11"/>
  <c r="AL212" i="11" s="1"/>
  <c r="AQ212" i="11"/>
  <c r="AK238" i="11"/>
  <c r="AO237" i="11"/>
  <c r="AO277" i="11" s="1"/>
  <c r="AO309" i="14"/>
  <c r="AO249" i="11"/>
  <c r="AO250" i="11" s="1"/>
  <c r="AQ271" i="11"/>
  <c r="AQ272" i="11" s="1"/>
  <c r="AV311" i="11"/>
  <c r="AV312" i="11" s="1"/>
  <c r="AG211" i="11"/>
  <c r="AG212" i="11" s="1"/>
  <c r="AF29" i="35"/>
  <c r="AL681" i="7"/>
  <c r="AL257" i="7"/>
  <c r="AE251" i="7"/>
  <c r="AQ26" i="35"/>
  <c r="W54" i="15" s="1"/>
  <c r="AF37" i="35"/>
  <c r="AL140" i="7"/>
  <c r="AF40" i="35"/>
  <c r="AL258" i="7"/>
  <c r="AL299" i="7"/>
  <c r="AL300" i="7" s="1"/>
  <c r="AE254" i="7"/>
  <c r="AO259" i="7"/>
  <c r="BE116" i="20"/>
  <c r="BE118" i="20" s="1"/>
  <c r="AL631" i="7"/>
  <c r="AL636" i="7" s="1"/>
  <c r="AL638" i="7" s="1"/>
  <c r="AM759" i="7"/>
  <c r="BF101" i="20"/>
  <c r="BF116" i="20" s="1"/>
  <c r="BF118" i="20" s="1"/>
  <c r="AL682" i="7"/>
  <c r="V686" i="7"/>
  <c r="AL764" i="7"/>
  <c r="AL154" i="7" s="1"/>
  <c r="AL155" i="7" s="1"/>
  <c r="AV1031" i="7"/>
  <c r="AY125" i="44"/>
  <c r="AY131" i="44"/>
  <c r="AX131" i="44"/>
  <c r="AX96" i="44"/>
  <c r="AR1067" i="7"/>
  <c r="AR1073" i="7"/>
  <c r="AR1075" i="7" s="1"/>
  <c r="AG231" i="7"/>
  <c r="AN57" i="14"/>
  <c r="AG681" i="7"/>
  <c r="AM631" i="7"/>
  <c r="AM636" i="7" s="1"/>
  <c r="AM638" i="7" s="1"/>
  <c r="BH121" i="20"/>
  <c r="AI270" i="7"/>
  <c r="AI250" i="7" s="1"/>
  <c r="AI558" i="7" s="1"/>
  <c r="AR258" i="7"/>
  <c r="AL234" i="7"/>
  <c r="AL254" i="7" s="1"/>
  <c r="T54" i="15"/>
  <c r="Y62" i="15" s="1"/>
  <c r="AP167" i="14"/>
  <c r="AQ56" i="14"/>
  <c r="Y280" i="7"/>
  <c r="Y282" i="7" s="1"/>
  <c r="Y251" i="7" s="1"/>
  <c r="AV1029" i="7"/>
  <c r="AL248" i="7"/>
  <c r="Z934" i="7"/>
  <c r="Z935" i="7" s="1"/>
  <c r="Z938" i="7" s="1"/>
  <c r="AR28" i="35"/>
  <c r="X70" i="15" s="1"/>
  <c r="AG857" i="7"/>
  <c r="BH159" i="20"/>
  <c r="AG449" i="7"/>
  <c r="AS28" i="35"/>
  <c r="Y70" i="15" s="1"/>
  <c r="AG234" i="7"/>
  <c r="AG235" i="7" s="1"/>
  <c r="AG842" i="7"/>
  <c r="AG858" i="7" s="1"/>
  <c r="AL231" i="7"/>
  <c r="AL962" i="7"/>
  <c r="AL963" i="7" s="1"/>
  <c r="AL965" i="7" s="1"/>
  <c r="AS1032" i="7"/>
  <c r="AU97" i="44"/>
  <c r="AW52" i="45"/>
  <c r="J42" i="38"/>
  <c r="W18" i="48"/>
  <c r="Z55" i="18"/>
  <c r="W17" i="48"/>
  <c r="Z52" i="18"/>
  <c r="W11" i="48"/>
  <c r="AW121" i="44"/>
  <c r="AW122" i="44" s="1"/>
  <c r="AW124" i="44" s="1"/>
  <c r="AW126" i="44" s="1"/>
  <c r="AW25" i="44" s="1"/>
  <c r="AW74" i="44" s="1"/>
  <c r="H22" i="47" s="1"/>
  <c r="BK268" i="20"/>
  <c r="AW12" i="43"/>
  <c r="AW16" i="43" s="1"/>
  <c r="AW341" i="11" s="1"/>
  <c r="AW146" i="43"/>
  <c r="AT130" i="13"/>
  <c r="AT10" i="13"/>
  <c r="AW102" i="13"/>
  <c r="AW168" i="13" s="1"/>
  <c r="AW170" i="13" s="1"/>
  <c r="AV127" i="13"/>
  <c r="AV130" i="13" s="1"/>
  <c r="AW408" i="13"/>
  <c r="AV51" i="13"/>
  <c r="AV408" i="13" s="1"/>
  <c r="AU408" i="13"/>
  <c r="AV197" i="13"/>
  <c r="AT385" i="13"/>
  <c r="AP187" i="12"/>
  <c r="AW181" i="12"/>
  <c r="AV174" i="12"/>
  <c r="AW183" i="12" s="1"/>
  <c r="AZ106" i="12"/>
  <c r="AU172" i="12"/>
  <c r="AW426" i="12"/>
  <c r="AW509" i="12"/>
  <c r="AX518" i="12" s="1"/>
  <c r="AW347" i="12"/>
  <c r="AV482" i="12"/>
  <c r="AU428" i="12"/>
  <c r="AV62" i="12"/>
  <c r="AV428" i="12" s="1"/>
  <c r="T27" i="1"/>
  <c r="T30" i="1" s="1"/>
  <c r="O120" i="15" s="1"/>
  <c r="O126" i="15" s="1"/>
  <c r="AT811" i="7"/>
  <c r="AT812" i="7"/>
  <c r="AT810" i="7"/>
  <c r="R27" i="1"/>
  <c r="R30" i="1" s="1"/>
  <c r="M120" i="15" s="1"/>
  <c r="M126" i="15" s="1"/>
  <c r="AR21" i="44"/>
  <c r="AR70" i="44" s="1"/>
  <c r="AR23" i="12"/>
  <c r="X30" i="1"/>
  <c r="S120" i="15" s="1"/>
  <c r="S126" i="15" s="1"/>
  <c r="AT293" i="12"/>
  <c r="BP58" i="12"/>
  <c r="BU58" i="12" s="1"/>
  <c r="AX331" i="20"/>
  <c r="AO331" i="20"/>
  <c r="AT331" i="20"/>
  <c r="AS331" i="20"/>
  <c r="AN331" i="20"/>
  <c r="AR331" i="20"/>
  <c r="AS335" i="20"/>
  <c r="AY335" i="20"/>
  <c r="AY336" i="20" s="1"/>
  <c r="AT335" i="20"/>
  <c r="AJ335" i="20"/>
  <c r="AJ336" i="20" s="1"/>
  <c r="AZ335" i="20"/>
  <c r="AR335" i="20"/>
  <c r="AI335" i="20"/>
  <c r="AI336" i="20" s="1"/>
  <c r="AQ37" i="20"/>
  <c r="BZ37" i="20" s="1"/>
  <c r="O85" i="42" s="1"/>
  <c r="AE335" i="20"/>
  <c r="AM335" i="20"/>
  <c r="AK335" i="20"/>
  <c r="AN335" i="20"/>
  <c r="AX335" i="20"/>
  <c r="AO335" i="20"/>
  <c r="AF335" i="20"/>
  <c r="AF336" i="20" s="1"/>
  <c r="AU335" i="20"/>
  <c r="AW335" i="20"/>
  <c r="AW336" i="20" s="1"/>
  <c r="AP335" i="20"/>
  <c r="AH335" i="20"/>
  <c r="AH336" i="20" s="1"/>
  <c r="BE335" i="20"/>
  <c r="BE336" i="20" s="1"/>
  <c r="BB73" i="20"/>
  <c r="BB75" i="20" s="1"/>
  <c r="BB335" i="20"/>
  <c r="BB336" i="20" s="1"/>
  <c r="BD77" i="20"/>
  <c r="M606" i="42" s="1"/>
  <c r="BD335" i="20"/>
  <c r="BD336" i="20" s="1"/>
  <c r="AR73" i="20"/>
  <c r="AR75" i="20" s="1"/>
  <c r="AK35" i="20"/>
  <c r="AO22" i="43"/>
  <c r="BF292" i="20"/>
  <c r="BF311" i="20" s="1"/>
  <c r="BK291" i="20"/>
  <c r="BL291" i="20" s="1"/>
  <c r="BE200" i="20"/>
  <c r="AT156" i="44"/>
  <c r="AU48" i="44"/>
  <c r="AU49" i="44"/>
  <c r="AU50" i="44"/>
  <c r="AW153" i="44"/>
  <c r="BL39" i="20" s="1"/>
  <c r="BL44" i="20" s="1"/>
  <c r="AX148" i="44"/>
  <c r="AX151" i="44" s="1"/>
  <c r="AK277" i="11"/>
  <c r="AL277" i="11" s="1"/>
  <c r="AL262" i="11"/>
  <c r="AL263" i="11" s="1"/>
  <c r="AR9" i="44"/>
  <c r="AS50" i="44" s="1"/>
  <c r="AP317" i="11"/>
  <c r="AP321" i="11"/>
  <c r="AP323" i="11" s="1"/>
  <c r="AP324" i="11" s="1"/>
  <c r="AP326" i="11" s="1"/>
  <c r="AP328" i="11" s="1"/>
  <c r="AP330" i="11" s="1"/>
  <c r="AR232" i="11"/>
  <c r="AK272" i="11"/>
  <c r="AM212" i="11"/>
  <c r="AM249" i="11"/>
  <c r="AM250" i="11" s="1"/>
  <c r="AK232" i="11"/>
  <c r="AR237" i="11"/>
  <c r="AR238" i="11" s="1"/>
  <c r="AU156" i="44"/>
  <c r="AV155" i="44"/>
  <c r="AH204" i="14"/>
  <c r="AI191" i="14"/>
  <c r="AH192" i="14"/>
  <c r="AP85" i="14"/>
  <c r="AQ85" i="14" s="1"/>
  <c r="AQ86" i="14" s="1"/>
  <c r="AK175" i="14"/>
  <c r="AK176" i="14" s="1"/>
  <c r="AL98" i="14"/>
  <c r="AA94" i="14"/>
  <c r="Z131" i="14"/>
  <c r="Z142" i="14"/>
  <c r="AS276" i="14"/>
  <c r="AS318" i="14"/>
  <c r="X100" i="14"/>
  <c r="X104" i="14"/>
  <c r="AW78" i="14"/>
  <c r="AV80" i="14"/>
  <c r="AY72" i="14"/>
  <c r="AZ71" i="14"/>
  <c r="AW142" i="14"/>
  <c r="AV131" i="14"/>
  <c r="AH96" i="14"/>
  <c r="AG99" i="14"/>
  <c r="AG133" i="14"/>
  <c r="AG134" i="14"/>
  <c r="S30" i="1"/>
  <c r="N120" i="15" s="1"/>
  <c r="N126" i="15" s="1"/>
  <c r="AF134" i="14"/>
  <c r="Y133" i="14"/>
  <c r="Z96" i="14"/>
  <c r="Y134" i="14"/>
  <c r="Y99" i="14"/>
  <c r="Y144" i="14"/>
  <c r="Y149" i="14" s="1"/>
  <c r="Y151" i="14" s="1"/>
  <c r="AF100" i="14"/>
  <c r="AF104" i="14"/>
  <c r="Y95" i="14"/>
  <c r="X132" i="14"/>
  <c r="X143" i="14"/>
  <c r="P30" i="1"/>
  <c r="K120" i="15" s="1"/>
  <c r="K126" i="15" s="1"/>
  <c r="AL766" i="7"/>
  <c r="AL767" i="7" s="1"/>
  <c r="AL768" i="7" s="1"/>
  <c r="AY77" i="20"/>
  <c r="AS77" i="20"/>
  <c r="Q500" i="7"/>
  <c r="AG54" i="14"/>
  <c r="O93" i="7"/>
  <c r="O100" i="7" s="1"/>
  <c r="AG218" i="14"/>
  <c r="W766" i="7"/>
  <c r="W767" i="7" s="1"/>
  <c r="W768" i="7" s="1"/>
  <c r="W764" i="7"/>
  <c r="W154" i="7" s="1"/>
  <c r="W155" i="7" s="1"/>
  <c r="R234" i="7"/>
  <c r="R235" i="7" s="1"/>
  <c r="AJ235" i="7"/>
  <c r="W682" i="7"/>
  <c r="W683" i="7" s="1"/>
  <c r="W686" i="7" s="1"/>
  <c r="W765" i="7"/>
  <c r="Y254" i="7"/>
  <c r="AL26" i="35"/>
  <c r="R54" i="15" s="1"/>
  <c r="R57" i="15" s="1"/>
  <c r="AG26" i="35"/>
  <c r="Z254" i="7"/>
  <c r="AG962" i="7"/>
  <c r="AG963" i="7" s="1"/>
  <c r="AG965" i="7" s="1"/>
  <c r="V62" i="15"/>
  <c r="AK28" i="35"/>
  <c r="Q70" i="15" s="1"/>
  <c r="AA683" i="7"/>
  <c r="AA686" i="7" s="1"/>
  <c r="AG117" i="7"/>
  <c r="AV74" i="20"/>
  <c r="AM931" i="7"/>
  <c r="AO77" i="20"/>
  <c r="AO73" i="20"/>
  <c r="AO75" i="20" s="1"/>
  <c r="AG248" i="7"/>
  <c r="AQ1030" i="7"/>
  <c r="AQ1032" i="7" s="1"/>
  <c r="AP1073" i="7"/>
  <c r="AP1075" i="7" s="1"/>
  <c r="AP1067" i="7"/>
  <c r="AM683" i="7"/>
  <c r="AM686" i="7" s="1"/>
  <c r="Y933" i="7"/>
  <c r="Y939" i="7" s="1"/>
  <c r="Y940" i="7" s="1"/>
  <c r="AQ636" i="7"/>
  <c r="AA456" i="7"/>
  <c r="AA458" i="7" s="1"/>
  <c r="AG66" i="20"/>
  <c r="AG73" i="20" s="1"/>
  <c r="AG75" i="20" s="1"/>
  <c r="AB683" i="7"/>
  <c r="AV12" i="44"/>
  <c r="AJ28" i="35"/>
  <c r="AJ29" i="35" s="1"/>
  <c r="BN79" i="11"/>
  <c r="R81" i="42" s="1"/>
  <c r="AQ287" i="11"/>
  <c r="AX1035" i="7"/>
  <c r="AG224" i="7"/>
  <c r="AG226" i="7" s="1"/>
  <c r="U54" i="15"/>
  <c r="K163" i="7"/>
  <c r="AQ54" i="14"/>
  <c r="AG636" i="7"/>
  <c r="AG638" i="7" s="1"/>
  <c r="AE73" i="20"/>
  <c r="AE75" i="20" s="1"/>
  <c r="AL323" i="7"/>
  <c r="AG465" i="7"/>
  <c r="AW20" i="35"/>
  <c r="BH154" i="20"/>
  <c r="AG46" i="14"/>
  <c r="P686" i="7"/>
  <c r="AB109" i="7"/>
  <c r="AL54" i="14"/>
  <c r="AL1032" i="7"/>
  <c r="BF151" i="20"/>
  <c r="AR681" i="7"/>
  <c r="AR683" i="7" s="1"/>
  <c r="AR256" i="7"/>
  <c r="AR270" i="7"/>
  <c r="AG262" i="11"/>
  <c r="AG263" i="11" s="1"/>
  <c r="V498" i="7"/>
  <c r="V597" i="7" s="1"/>
  <c r="V565" i="7" s="1"/>
  <c r="AI259" i="7"/>
  <c r="K93" i="7"/>
  <c r="K100" i="7" s="1"/>
  <c r="O456" i="7"/>
  <c r="O458" i="7" s="1"/>
  <c r="AE686" i="7"/>
  <c r="W36" i="15"/>
  <c r="S48" i="15"/>
  <c r="S42" i="15"/>
  <c r="S29" i="15"/>
  <c r="AL136" i="7"/>
  <c r="U48" i="15"/>
  <c r="U42" i="15"/>
  <c r="U29" i="15"/>
  <c r="AG324" i="7"/>
  <c r="R319" i="7"/>
  <c r="AL46" i="14"/>
  <c r="R458" i="7"/>
  <c r="R496" i="7"/>
  <c r="S446" i="7"/>
  <c r="S456" i="7" s="1"/>
  <c r="S458" i="7" s="1"/>
  <c r="AG323" i="7"/>
  <c r="R324" i="7"/>
  <c r="R682" i="7"/>
  <c r="R683" i="7" s="1"/>
  <c r="R686" i="7" s="1"/>
  <c r="R764" i="7"/>
  <c r="R154" i="7" s="1"/>
  <c r="R155" i="7" s="1"/>
  <c r="R765" i="7"/>
  <c r="R766" i="7"/>
  <c r="R767" i="7" s="1"/>
  <c r="R768" i="7" s="1"/>
  <c r="BA74" i="20"/>
  <c r="AC342" i="7"/>
  <c r="AC341" i="7" s="1"/>
  <c r="AG320" i="7"/>
  <c r="AG342" i="7" s="1"/>
  <c r="AG341" i="7" s="1"/>
  <c r="AN686" i="7"/>
  <c r="AG99" i="7"/>
  <c r="AG82" i="7"/>
  <c r="AL320" i="7"/>
  <c r="AL342" i="7" s="1"/>
  <c r="AL341" i="7" s="1"/>
  <c r="AQ46" i="14"/>
  <c r="AH28" i="35"/>
  <c r="AH36" i="35" s="1"/>
  <c r="AL319" i="7"/>
  <c r="AL336" i="7" s="1"/>
  <c r="AL335" i="7" s="1"/>
  <c r="AF859" i="7"/>
  <c r="AF862" i="7" s="1"/>
  <c r="AF864" i="7" s="1"/>
  <c r="AQ95" i="7"/>
  <c r="AR77" i="20"/>
  <c r="AE859" i="7"/>
  <c r="AE862" i="7" s="1"/>
  <c r="AE864" i="7" s="1"/>
  <c r="AG464" i="7"/>
  <c r="T42" i="15"/>
  <c r="T48" i="15"/>
  <c r="T29" i="15"/>
  <c r="AO36" i="35"/>
  <c r="AO29" i="35"/>
  <c r="U70" i="15"/>
  <c r="AW26" i="35"/>
  <c r="AC54" i="15" s="1"/>
  <c r="AC62" i="15" s="1"/>
  <c r="AM77" i="20"/>
  <c r="AW77" i="20"/>
  <c r="AZ73" i="20"/>
  <c r="AZ75" i="20" s="1"/>
  <c r="AP73" i="20"/>
  <c r="AP75" i="20" s="1"/>
  <c r="BD73" i="20"/>
  <c r="BD75" i="20" s="1"/>
  <c r="AT77" i="20"/>
  <c r="BB77" i="20"/>
  <c r="AS73" i="20"/>
  <c r="AS75" i="20" s="1"/>
  <c r="AX73" i="20"/>
  <c r="AX75" i="20" s="1"/>
  <c r="AX77" i="20"/>
  <c r="AW73" i="20"/>
  <c r="AW75" i="20" s="1"/>
  <c r="AJ73" i="20"/>
  <c r="AJ75" i="20" s="1"/>
  <c r="AR122" i="44"/>
  <c r="AR123" i="44" s="1"/>
  <c r="AT122" i="44"/>
  <c r="AT123" i="44" s="1"/>
  <c r="AH73" i="20"/>
  <c r="AH75" i="20" s="1"/>
  <c r="AM73" i="20"/>
  <c r="AM75" i="20" s="1"/>
  <c r="AY73" i="20"/>
  <c r="AY75" i="20" s="1"/>
  <c r="BF159" i="20"/>
  <c r="AN73" i="20"/>
  <c r="AN75" i="20" s="1"/>
  <c r="AC151" i="14"/>
  <c r="AE151" i="14"/>
  <c r="BD301" i="20"/>
  <c r="AG33" i="20"/>
  <c r="AG35" i="20" s="1"/>
  <c r="AG37" i="20"/>
  <c r="J30" i="17"/>
  <c r="I30" i="17"/>
  <c r="D25" i="3" s="1"/>
  <c r="I25" i="3" s="1"/>
  <c r="BJ310" i="20"/>
  <c r="AQ687" i="7"/>
  <c r="AL66" i="20"/>
  <c r="AK73" i="20"/>
  <c r="AK75" i="20" s="1"/>
  <c r="AK77" i="20"/>
  <c r="AT73" i="20"/>
  <c r="AT75" i="20" s="1"/>
  <c r="AU73" i="20"/>
  <c r="AU75" i="20" s="1"/>
  <c r="AU77" i="20"/>
  <c r="AN35" i="20"/>
  <c r="AP35" i="20"/>
  <c r="N19" i="42"/>
  <c r="AZ35" i="20"/>
  <c r="AE77" i="20"/>
  <c r="AX35" i="20"/>
  <c r="AF73" i="20"/>
  <c r="AF75" i="20" s="1"/>
  <c r="J24" i="17"/>
  <c r="I24" i="17"/>
  <c r="J20" i="17"/>
  <c r="G91" i="18"/>
  <c r="H91" i="18"/>
  <c r="I10" i="17" s="1"/>
  <c r="R91" i="18"/>
  <c r="T91" i="18" s="1"/>
  <c r="J10" i="17" s="1"/>
  <c r="AO35" i="20"/>
  <c r="AT35" i="20"/>
  <c r="AZ77" i="20"/>
  <c r="AI77" i="20"/>
  <c r="AS35" i="20"/>
  <c r="AD218" i="14"/>
  <c r="X40" i="18"/>
  <c r="AL152" i="14"/>
  <c r="AL687" i="7"/>
  <c r="AN77" i="20"/>
  <c r="AU12" i="43"/>
  <c r="AV12" i="43" s="1"/>
  <c r="AU146" i="43"/>
  <c r="AV6" i="43"/>
  <c r="E15" i="47"/>
  <c r="AT96" i="44"/>
  <c r="AT97" i="44" s="1"/>
  <c r="AS49" i="44"/>
  <c r="AP249" i="11"/>
  <c r="AP212" i="11"/>
  <c r="AP303" i="14"/>
  <c r="AP306" i="14" s="1"/>
  <c r="AQ300" i="14"/>
  <c r="AQ303" i="14" s="1"/>
  <c r="AF237" i="11"/>
  <c r="AG68" i="11"/>
  <c r="AG237" i="11" s="1"/>
  <c r="AF127" i="11"/>
  <c r="AG127" i="11" s="1"/>
  <c r="W68" i="11"/>
  <c r="W237" i="11" s="1"/>
  <c r="W238" i="11" s="1"/>
  <c r="V237" i="11"/>
  <c r="V127" i="11"/>
  <c r="W127" i="11" s="1"/>
  <c r="AQ68" i="11"/>
  <c r="AQ237" i="11" s="1"/>
  <c r="AQ238" i="11" s="1"/>
  <c r="AP237" i="11"/>
  <c r="AP127" i="11"/>
  <c r="AQ127" i="11" s="1"/>
  <c r="AN271" i="11"/>
  <c r="AN272" i="11" s="1"/>
  <c r="AN232" i="11"/>
  <c r="AN309" i="14"/>
  <c r="AM271" i="11"/>
  <c r="AM272" i="11" s="1"/>
  <c r="AM232" i="11"/>
  <c r="AV296" i="11"/>
  <c r="AU294" i="11"/>
  <c r="AU288" i="11" s="1"/>
  <c r="V250" i="11"/>
  <c r="W249" i="11"/>
  <c r="W250" i="11" s="1"/>
  <c r="AM127" i="11"/>
  <c r="AM237" i="11"/>
  <c r="AA232" i="11"/>
  <c r="AA271" i="11"/>
  <c r="AN127" i="11"/>
  <c r="AN237" i="11"/>
  <c r="AF271" i="11"/>
  <c r="AF232" i="11"/>
  <c r="AA237" i="11"/>
  <c r="AB68" i="11"/>
  <c r="AB237" i="11" s="1"/>
  <c r="AB238" i="11" s="1"/>
  <c r="AA127" i="11"/>
  <c r="AB127" i="11" s="1"/>
  <c r="AN212" i="11"/>
  <c r="AN249" i="11"/>
  <c r="AN250" i="11" s="1"/>
  <c r="BN171" i="11"/>
  <c r="R82" i="42" s="1"/>
  <c r="AA212" i="11"/>
  <c r="AA249" i="11"/>
  <c r="V232" i="11"/>
  <c r="V271" i="11"/>
  <c r="AT112" i="43"/>
  <c r="AT110" i="43" s="1"/>
  <c r="AX387" i="13"/>
  <c r="AR132" i="13"/>
  <c r="AT68" i="13"/>
  <c r="AS129" i="13"/>
  <c r="AS131" i="13" s="1"/>
  <c r="AT872" i="7"/>
  <c r="AT878" i="7" s="1"/>
  <c r="X913" i="7"/>
  <c r="X942" i="7"/>
  <c r="AO88" i="7"/>
  <c r="AO15" i="7"/>
  <c r="AA601" i="7"/>
  <c r="AA602" i="7" s="1"/>
  <c r="AA766" i="7"/>
  <c r="AA767" i="7" s="1"/>
  <c r="AA768" i="7" s="1"/>
  <c r="AA771" i="7" s="1"/>
  <c r="AA764" i="7"/>
  <c r="L617" i="7"/>
  <c r="S658" i="7"/>
  <c r="S662" i="7"/>
  <c r="S650" i="7"/>
  <c r="S526" i="7" s="1"/>
  <c r="S657" i="7"/>
  <c r="AO137" i="7"/>
  <c r="AO76" i="7"/>
  <c r="AO139" i="7" s="1"/>
  <c r="AF756" i="7"/>
  <c r="AF757" i="7" s="1"/>
  <c r="AF759" i="7" s="1"/>
  <c r="AF95" i="7"/>
  <c r="AG95" i="7" s="1"/>
  <c r="AO1033" i="7"/>
  <c r="AO1025" i="7"/>
  <c r="AP1018" i="7"/>
  <c r="AP1023" i="7" s="1"/>
  <c r="AQ809" i="7"/>
  <c r="AQ812" i="7"/>
  <c r="AK65" i="7"/>
  <c r="AK127" i="7" s="1"/>
  <c r="AL127" i="7" s="1"/>
  <c r="AK135" i="7"/>
  <c r="AL135" i="7" s="1"/>
  <c r="Z456" i="7"/>
  <c r="Z458" i="7" s="1"/>
  <c r="J658" i="7"/>
  <c r="J657" i="7"/>
  <c r="J650" i="7"/>
  <c r="J526" i="7" s="1"/>
  <c r="J662" i="7"/>
  <c r="AK74" i="7"/>
  <c r="AD448" i="7"/>
  <c r="AD381" i="7"/>
  <c r="AD383" i="7" s="1"/>
  <c r="AK95" i="7"/>
  <c r="AL95" i="7" s="1"/>
  <c r="AK928" i="7"/>
  <c r="AK929" i="7" s="1"/>
  <c r="AK931" i="7" s="1"/>
  <c r="AK756" i="7"/>
  <c r="Q80" i="15"/>
  <c r="Q81" i="15" s="1"/>
  <c r="V81" i="15" s="1"/>
  <c r="W81" i="15" s="1"/>
  <c r="W82" i="15" s="1"/>
  <c r="AB21" i="1" s="1"/>
  <c r="Z88" i="7"/>
  <c r="Z15" i="7"/>
  <c r="Z270" i="7"/>
  <c r="Z250" i="7" s="1"/>
  <c r="Z280" i="7"/>
  <c r="Z282" i="7" s="1"/>
  <c r="AA498" i="7"/>
  <c r="AM168" i="7"/>
  <c r="AL185" i="7"/>
  <c r="AF235" i="7"/>
  <c r="AF254" i="7"/>
  <c r="AL73" i="7"/>
  <c r="AL74" i="7" s="1"/>
  <c r="AL76" i="7" s="1"/>
  <c r="AA164" i="7"/>
  <c r="AA168" i="7"/>
  <c r="AA172" i="7" s="1"/>
  <c r="V410" i="7"/>
  <c r="V505" i="7" s="1"/>
  <c r="W505" i="7" s="1"/>
  <c r="V450" i="7"/>
  <c r="R525" i="7"/>
  <c r="N617" i="7"/>
  <c r="N537" i="7"/>
  <c r="BL832" i="7"/>
  <c r="AF432" i="7"/>
  <c r="AF639" i="7"/>
  <c r="AF638" i="7" s="1"/>
  <c r="S663" i="7"/>
  <c r="S661" i="7"/>
  <c r="I649" i="7"/>
  <c r="I654" i="7"/>
  <c r="I655" i="7" s="1"/>
  <c r="W506" i="7"/>
  <c r="S496" i="7"/>
  <c r="T446" i="7"/>
  <c r="T456" i="7" s="1"/>
  <c r="T458" i="7" s="1"/>
  <c r="AA84" i="7"/>
  <c r="AB84" i="7" s="1"/>
  <c r="AA13" i="7"/>
  <c r="AK92" i="7"/>
  <c r="AK104" i="7" s="1"/>
  <c r="AL104" i="7" s="1"/>
  <c r="Q56" i="15"/>
  <c r="V64" i="15" s="1"/>
  <c r="AJ390" i="7"/>
  <c r="AJ465" i="7" s="1"/>
  <c r="AJ447" i="7"/>
  <c r="AJ456" i="7" s="1"/>
  <c r="AJ458" i="7" s="1"/>
  <c r="AJ381" i="7"/>
  <c r="AJ383" i="7" s="1"/>
  <c r="Q166" i="7"/>
  <c r="P176" i="7"/>
  <c r="AA270" i="7"/>
  <c r="AA250" i="7" s="1"/>
  <c r="AA280" i="7"/>
  <c r="AA282" i="7" s="1"/>
  <c r="Z910" i="7"/>
  <c r="Z913" i="7"/>
  <c r="AA909" i="7"/>
  <c r="AQ467" i="7"/>
  <c r="S558" i="7"/>
  <c r="V19" i="1"/>
  <c r="Q74" i="15" s="1"/>
  <c r="AE112" i="7"/>
  <c r="AE373" i="7"/>
  <c r="AE45" i="7"/>
  <c r="AF52" i="7"/>
  <c r="AP134" i="7"/>
  <c r="AQ134" i="7" s="1"/>
  <c r="AP58" i="7"/>
  <c r="AP74" i="7"/>
  <c r="AP17" i="12"/>
  <c r="AP23" i="12"/>
  <c r="W700" i="7"/>
  <c r="R700" i="7"/>
  <c r="R702" i="7"/>
  <c r="S700" i="7"/>
  <c r="AQ811" i="7"/>
  <c r="P164" i="7"/>
  <c r="P168" i="7"/>
  <c r="P172" i="7" s="1"/>
  <c r="X371" i="7"/>
  <c r="X381" i="7" s="1"/>
  <c r="X383" i="7" s="1"/>
  <c r="W401" i="7"/>
  <c r="W459" i="7"/>
  <c r="AB371" i="7"/>
  <c r="AB381" i="7" s="1"/>
  <c r="AB383" i="7" s="1"/>
  <c r="I414" i="7"/>
  <c r="I498" i="7"/>
  <c r="I509" i="7" s="1"/>
  <c r="AJ44" i="7"/>
  <c r="AT800" i="7"/>
  <c r="AT798" i="7"/>
  <c r="AT797" i="7"/>
  <c r="AT796" i="7"/>
  <c r="AT799" i="7"/>
  <c r="V84" i="7"/>
  <c r="W84" i="7" s="1"/>
  <c r="V13" i="7"/>
  <c r="AK111" i="7"/>
  <c r="AL111" i="7" s="1"/>
  <c r="AP450" i="7"/>
  <c r="AP410" i="7"/>
  <c r="AP505" i="7" s="1"/>
  <c r="AQ505" i="7" s="1"/>
  <c r="T15" i="7"/>
  <c r="T88" i="7"/>
  <c r="W218" i="7"/>
  <c r="W418" i="7"/>
  <c r="AG168" i="7"/>
  <c r="AG172" i="7" s="1"/>
  <c r="R195" i="7"/>
  <c r="N198" i="7"/>
  <c r="R198" i="7" s="1"/>
  <c r="AI90" i="7"/>
  <c r="AI93" i="7" s="1"/>
  <c r="AI25" i="7"/>
  <c r="AH277" i="7"/>
  <c r="AH289" i="7" s="1"/>
  <c r="AG278" i="7"/>
  <c r="BQ1056" i="7"/>
  <c r="T654" i="7"/>
  <c r="T655" i="7" s="1"/>
  <c r="T649" i="7"/>
  <c r="U652" i="7"/>
  <c r="AD88" i="7"/>
  <c r="AD15" i="7"/>
  <c r="AA176" i="7"/>
  <c r="Z179" i="7"/>
  <c r="Z181" i="7" s="1"/>
  <c r="AL812" i="7"/>
  <c r="AL809" i="7"/>
  <c r="AI937" i="7"/>
  <c r="AL888" i="7"/>
  <c r="AI759" i="7"/>
  <c r="AK1051" i="7"/>
  <c r="AK1050" i="7" s="1"/>
  <c r="AK1046" i="7"/>
  <c r="V756" i="7"/>
  <c r="V757" i="7" s="1"/>
  <c r="V95" i="7"/>
  <c r="W95" i="7" s="1"/>
  <c r="AK1067" i="7"/>
  <c r="AK1073" i="7"/>
  <c r="AK1075" i="7" s="1"/>
  <c r="U19" i="1"/>
  <c r="P74" i="15" s="1"/>
  <c r="AL1043" i="7"/>
  <c r="AL1046" i="7" s="1"/>
  <c r="F19" i="17"/>
  <c r="AB915" i="7"/>
  <c r="AA919" i="7"/>
  <c r="W96" i="7"/>
  <c r="AE638" i="7"/>
  <c r="P313" i="7"/>
  <c r="P314" i="7" s="1"/>
  <c r="P451" i="7"/>
  <c r="P456" i="7" s="1"/>
  <c r="P458" i="7" s="1"/>
  <c r="P381" i="7"/>
  <c r="P383" i="7" s="1"/>
  <c r="AE13" i="7"/>
  <c r="AE84" i="7"/>
  <c r="AL712" i="7"/>
  <c r="AM525" i="7"/>
  <c r="R703" i="7"/>
  <c r="W195" i="7"/>
  <c r="AQ810" i="7"/>
  <c r="AF84" i="7"/>
  <c r="AF13" i="7"/>
  <c r="P537" i="7"/>
  <c r="P538" i="7" s="1"/>
  <c r="P617" i="7"/>
  <c r="AK300" i="7"/>
  <c r="AK252" i="7"/>
  <c r="AP19" i="13"/>
  <c r="AP25" i="13"/>
  <c r="AI465" i="7"/>
  <c r="AM937" i="7"/>
  <c r="AQ888" i="7"/>
  <c r="Y185" i="7"/>
  <c r="Y183" i="7"/>
  <c r="Q391" i="7"/>
  <c r="Q466" i="7" s="1"/>
  <c r="R466" i="7" s="1"/>
  <c r="Q452" i="7"/>
  <c r="M200" i="7"/>
  <c r="Z168" i="7"/>
  <c r="Z172" i="7" s="1"/>
  <c r="Z164" i="7"/>
  <c r="AC743" i="7"/>
  <c r="AC728" i="7"/>
  <c r="AG270" i="7"/>
  <c r="AG250" i="7" s="1"/>
  <c r="AG525" i="7"/>
  <c r="AN300" i="7"/>
  <c r="AN252" i="7"/>
  <c r="AP454" i="7"/>
  <c r="AP313" i="7"/>
  <c r="AP314" i="7" s="1"/>
  <c r="AQ576" i="7"/>
  <c r="AQ685" i="7" s="1"/>
  <c r="AR575" i="7"/>
  <c r="AR576" i="7" s="1"/>
  <c r="AR685" i="7" s="1"/>
  <c r="V379" i="7"/>
  <c r="V391" i="7"/>
  <c r="V376" i="7"/>
  <c r="W376" i="7" s="1"/>
  <c r="V452" i="7"/>
  <c r="AI409" i="7"/>
  <c r="L15" i="7"/>
  <c r="L88" i="7"/>
  <c r="M88" i="7" s="1"/>
  <c r="Q537" i="7"/>
  <c r="Q538" i="7" s="1"/>
  <c r="Q617" i="7"/>
  <c r="V414" i="7"/>
  <c r="V406" i="7"/>
  <c r="V421" i="7"/>
  <c r="AE937" i="7"/>
  <c r="AG888" i="7"/>
  <c r="J661" i="7"/>
  <c r="J663" i="7"/>
  <c r="W234" i="7"/>
  <c r="W235" i="7" s="1"/>
  <c r="AA504" i="7"/>
  <c r="AB504" i="7" s="1"/>
  <c r="AB409" i="7"/>
  <c r="AN1067" i="7"/>
  <c r="AN1073" i="7"/>
  <c r="AN1075" i="7" s="1"/>
  <c r="U451" i="7"/>
  <c r="AP685" i="7"/>
  <c r="AP686" i="7" s="1"/>
  <c r="AP593" i="7"/>
  <c r="AP611" i="7" s="1"/>
  <c r="AL372" i="7"/>
  <c r="AL381" i="7" s="1"/>
  <c r="AL383" i="7" s="1"/>
  <c r="J749" i="7"/>
  <c r="J156" i="7" s="1"/>
  <c r="C5" i="17"/>
  <c r="K745" i="7"/>
  <c r="E103" i="16" s="1"/>
  <c r="AA933" i="7"/>
  <c r="AA934" i="7"/>
  <c r="AA935" i="7" s="1"/>
  <c r="AA938" i="7" s="1"/>
  <c r="Q756" i="7"/>
  <c r="Q757" i="7" s="1"/>
  <c r="Q95" i="7"/>
  <c r="R95" i="7" s="1"/>
  <c r="AK313" i="7"/>
  <c r="AK314" i="7" s="1"/>
  <c r="AK454" i="7"/>
  <c r="AJ1025" i="7"/>
  <c r="AK1018" i="7"/>
  <c r="AK1023" i="7" s="1"/>
  <c r="AJ1033" i="7"/>
  <c r="AA465" i="7"/>
  <c r="AB465" i="7" s="1"/>
  <c r="AB390" i="7"/>
  <c r="AN15" i="7"/>
  <c r="AN88" i="7"/>
  <c r="AK1059" i="7"/>
  <c r="AK1064" i="7"/>
  <c r="AK1063" i="7" s="1"/>
  <c r="AA254" i="7"/>
  <c r="AA235" i="7"/>
  <c r="BA1056" i="7"/>
  <c r="M390" i="7"/>
  <c r="J389" i="7"/>
  <c r="J465" i="7"/>
  <c r="J409" i="7"/>
  <c r="W739" i="7"/>
  <c r="X742" i="7"/>
  <c r="K537" i="7"/>
  <c r="K538" i="7" s="1"/>
  <c r="AA180" i="7"/>
  <c r="AB180" i="7" s="1"/>
  <c r="BH1056" i="7"/>
  <c r="BF1056" i="7"/>
  <c r="M376" i="7"/>
  <c r="L313" i="7"/>
  <c r="L314" i="7" s="1"/>
  <c r="L451" i="7"/>
  <c r="M451" i="7" s="1"/>
  <c r="AK254" i="7"/>
  <c r="AK235" i="7"/>
  <c r="P57" i="15"/>
  <c r="W320" i="7"/>
  <c r="J163" i="7"/>
  <c r="AM743" i="7"/>
  <c r="AM728" i="7"/>
  <c r="Z43" i="7"/>
  <c r="Z110" i="7"/>
  <c r="AL728" i="7"/>
  <c r="AH770" i="7"/>
  <c r="AP300" i="7"/>
  <c r="AQ300" i="7" s="1"/>
  <c r="AQ299" i="7" s="1"/>
  <c r="AP252" i="7"/>
  <c r="Q376" i="7"/>
  <c r="R526" i="7"/>
  <c r="AG446" i="7"/>
  <c r="AG503" i="7" s="1"/>
  <c r="AC446" i="7"/>
  <c r="AC456" i="7" s="1"/>
  <c r="AC458" i="7" s="1"/>
  <c r="AB458" i="7"/>
  <c r="AB496" i="7"/>
  <c r="N72" i="15"/>
  <c r="AH34" i="7"/>
  <c r="AF43" i="7"/>
  <c r="AK390" i="7"/>
  <c r="AK465" i="7" s="1"/>
  <c r="AK447" i="7"/>
  <c r="L529" i="7"/>
  <c r="AQ58" i="7"/>
  <c r="AQ44" i="7" s="1"/>
  <c r="AQ74" i="7"/>
  <c r="AQ76" i="7" s="1"/>
  <c r="AQ929" i="7"/>
  <c r="AG878" i="7"/>
  <c r="AL878" i="7"/>
  <c r="AH878" i="7"/>
  <c r="AD933" i="7"/>
  <c r="AD939" i="7" s="1"/>
  <c r="AD940" i="7" s="1"/>
  <c r="AL51" i="7"/>
  <c r="AL44" i="7" s="1"/>
  <c r="O170" i="7"/>
  <c r="Y172" i="7"/>
  <c r="Y170" i="7"/>
  <c r="AL1056" i="7"/>
  <c r="AL1059" i="7" s="1"/>
  <c r="AB403" i="7"/>
  <c r="AB405" i="7"/>
  <c r="AC393" i="7" s="1"/>
  <c r="AH93" i="7"/>
  <c r="V743" i="7"/>
  <c r="V728" i="7"/>
  <c r="AR19" i="13"/>
  <c r="AR22" i="44" s="1"/>
  <c r="AR71" i="44" s="1"/>
  <c r="C20" i="47" s="1"/>
  <c r="AU806" i="7"/>
  <c r="AU807" i="7" s="1"/>
  <c r="AU809" i="7" s="1"/>
  <c r="AI681" i="7"/>
  <c r="AI683" i="7" s="1"/>
  <c r="AI686" i="7" s="1"/>
  <c r="AM20" i="45"/>
  <c r="AL11" i="45"/>
  <c r="AS105" i="7"/>
  <c r="AQ104" i="7"/>
  <c r="AF410" i="7"/>
  <c r="AF450" i="7"/>
  <c r="AG450" i="7" s="1"/>
  <c r="AE757" i="7"/>
  <c r="AQ389" i="7"/>
  <c r="AP1051" i="7"/>
  <c r="AP1050" i="7" s="1"/>
  <c r="AP1046" i="7"/>
  <c r="AQ1043" i="7"/>
  <c r="AQ1046" i="7" s="1"/>
  <c r="AF336" i="7"/>
  <c r="AF335" i="7" s="1"/>
  <c r="AG319" i="7"/>
  <c r="AG336" i="7" s="1"/>
  <c r="AG335" i="7" s="1"/>
  <c r="AA43" i="7"/>
  <c r="AA110" i="7"/>
  <c r="M666" i="7"/>
  <c r="M665" i="7"/>
  <c r="AF245" i="7"/>
  <c r="AF247" i="7" s="1"/>
  <c r="AF933" i="7" s="1"/>
  <c r="V23" i="17" s="1"/>
  <c r="AF282" i="7"/>
  <c r="AM259" i="7"/>
  <c r="AF409" i="7"/>
  <c r="K34" i="7"/>
  <c r="K74" i="7"/>
  <c r="AF822" i="7"/>
  <c r="AF825" i="7"/>
  <c r="AF826" i="7" s="1"/>
  <c r="AO105" i="7"/>
  <c r="AB410" i="7"/>
  <c r="AO425" i="7"/>
  <c r="AO430" i="7" s="1"/>
  <c r="AN639" i="7"/>
  <c r="AO631" i="7" s="1"/>
  <c r="AO636" i="7" s="1"/>
  <c r="AN432" i="7"/>
  <c r="AO44" i="7"/>
  <c r="AG447" i="7"/>
  <c r="AP464" i="7"/>
  <c r="AP29" i="12" s="1"/>
  <c r="AP32" i="12" s="1"/>
  <c r="AZ992" i="7"/>
  <c r="AY356" i="7"/>
  <c r="AY334" i="7" s="1"/>
  <c r="AW804" i="7"/>
  <c r="AX790" i="7"/>
  <c r="AX780" i="7" s="1"/>
  <c r="AY782" i="7" s="1"/>
  <c r="AX805" i="7"/>
  <c r="AR578" i="12"/>
  <c r="AO6" i="12"/>
  <c r="BD227" i="20" s="1"/>
  <c r="AP566" i="12"/>
  <c r="AP468" i="12"/>
  <c r="AP470" i="12" s="1"/>
  <c r="AU643" i="12"/>
  <c r="AP462" i="12"/>
  <c r="AU644" i="12"/>
  <c r="AP466" i="12"/>
  <c r="AT544" i="12"/>
  <c r="AP465" i="12"/>
  <c r="AU535" i="12"/>
  <c r="AU544" i="12" s="1"/>
  <c r="AT178" i="13"/>
  <c r="AT179" i="13"/>
  <c r="AT676" i="12"/>
  <c r="AT672" i="12"/>
  <c r="AU676" i="12"/>
  <c r="AU672" i="12"/>
  <c r="AQ10" i="12"/>
  <c r="AQ4" i="12"/>
  <c r="BF225" i="20" s="1"/>
  <c r="AU703" i="12"/>
  <c r="AU699" i="12"/>
  <c r="AT703" i="12"/>
  <c r="AT699" i="12"/>
  <c r="AS561" i="12"/>
  <c r="AS571" i="12"/>
  <c r="AS552" i="12"/>
  <c r="AS576" i="12"/>
  <c r="AS594" i="12" s="1"/>
  <c r="BU986" i="7"/>
  <c r="BV17" i="13"/>
  <c r="AR580" i="12"/>
  <c r="AT592" i="12"/>
  <c r="AS592" i="12"/>
  <c r="AQ592" i="12"/>
  <c r="AQ594" i="12"/>
  <c r="AR592" i="12"/>
  <c r="AR594" i="12"/>
  <c r="AO557" i="12"/>
  <c r="AO564" i="12"/>
  <c r="AS138" i="12"/>
  <c r="AS140" i="12" s="1"/>
  <c r="AS141" i="12" s="1"/>
  <c r="BP17" i="13"/>
  <c r="BP986" i="7" s="1"/>
  <c r="BO15" i="12"/>
  <c r="AN533" i="12"/>
  <c r="AN534" i="12" s="1"/>
  <c r="N531" i="42" s="1"/>
  <c r="AN554" i="12"/>
  <c r="AN547" i="12" s="1"/>
  <c r="AN550" i="12" s="1"/>
  <c r="AS118" i="12"/>
  <c r="AV105" i="12"/>
  <c r="AS405" i="12"/>
  <c r="AT295" i="12"/>
  <c r="AQ542" i="12"/>
  <c r="AQ534" i="12"/>
  <c r="Q531" i="42" s="1"/>
  <c r="AO547" i="12"/>
  <c r="AO550" i="12" s="1"/>
  <c r="AO551" i="12" s="1"/>
  <c r="AT129" i="12"/>
  <c r="AT133" i="12" s="1"/>
  <c r="AP558" i="12"/>
  <c r="AP568" i="12" s="1"/>
  <c r="AP567" i="12"/>
  <c r="AM573" i="12"/>
  <c r="AM574" i="12" s="1"/>
  <c r="AN574" i="12"/>
  <c r="AS152" i="12"/>
  <c r="AM559" i="12"/>
  <c r="AN561" i="12" s="1"/>
  <c r="AN560" i="12"/>
  <c r="AN576" i="12"/>
  <c r="AO561" i="12"/>
  <c r="AQ566" i="12"/>
  <c r="AQ557" i="12"/>
  <c r="AQ550" i="12" s="1"/>
  <c r="AS856" i="7"/>
  <c r="AS888" i="7"/>
  <c r="AS937" i="7" s="1"/>
  <c r="AS275" i="7"/>
  <c r="AS887" i="7"/>
  <c r="AO534" i="12"/>
  <c r="O531" i="42" s="1"/>
  <c r="AP542" i="12"/>
  <c r="BE225" i="20"/>
  <c r="AP6" i="12"/>
  <c r="BE227" i="20" s="1"/>
  <c r="AT559" i="12"/>
  <c r="AR374" i="12"/>
  <c r="AS373" i="12"/>
  <c r="AS374" i="12" s="1"/>
  <c r="AS120" i="12"/>
  <c r="AT347" i="12"/>
  <c r="AT243" i="12"/>
  <c r="AU252" i="12" s="1"/>
  <c r="BG225" i="20"/>
  <c r="AR6" i="12"/>
  <c r="BG227" i="20" s="1"/>
  <c r="AS167" i="7"/>
  <c r="AV653" i="7"/>
  <c r="AV666" i="7"/>
  <c r="AU666" i="7"/>
  <c r="AW10" i="35"/>
  <c r="AC9" i="15" s="1"/>
  <c r="AC41" i="15" s="1"/>
  <c r="AW52" i="35"/>
  <c r="AW50" i="35"/>
  <c r="AW18" i="35"/>
  <c r="AY244" i="14"/>
  <c r="AY9" i="9"/>
  <c r="AY10" i="9"/>
  <c r="AZ114" i="44"/>
  <c r="AE89" i="15"/>
  <c r="AE90" i="15" s="1"/>
  <c r="AY54" i="35"/>
  <c r="AX39" i="35"/>
  <c r="AD118" i="15" s="1"/>
  <c r="AX32" i="35"/>
  <c r="AX33" i="35"/>
  <c r="AX51" i="35"/>
  <c r="AX24" i="35"/>
  <c r="AX34" i="35"/>
  <c r="AD78" i="15" s="1"/>
  <c r="AX23" i="35"/>
  <c r="AX6" i="35"/>
  <c r="AX10" i="35" s="1"/>
  <c r="AX19" i="35"/>
  <c r="AX25" i="35"/>
  <c r="AO235" i="7"/>
  <c r="AH683" i="7"/>
  <c r="AH686" i="7" s="1"/>
  <c r="AD852" i="7"/>
  <c r="AD854" i="7" s="1"/>
  <c r="AD843" i="7"/>
  <c r="AD858" i="7"/>
  <c r="AD859" i="7" s="1"/>
  <c r="AD862" i="7" s="1"/>
  <c r="AD864" i="7" s="1"/>
  <c r="M323" i="7"/>
  <c r="AI300" i="7"/>
  <c r="AI252" i="7"/>
  <c r="O105" i="7"/>
  <c r="T105" i="7"/>
  <c r="BE77" i="20"/>
  <c r="N606" i="42" s="1"/>
  <c r="AH1067" i="7"/>
  <c r="AH1073" i="7"/>
  <c r="AH1075" i="7" s="1"/>
  <c r="BE203" i="20"/>
  <c r="BF158" i="20"/>
  <c r="AJ1073" i="7"/>
  <c r="AJ1075" i="7" s="1"/>
  <c r="AJ1067" i="7"/>
  <c r="BF66" i="20"/>
  <c r="AK270" i="7"/>
  <c r="AK256" i="7"/>
  <c r="AK259" i="7" s="1"/>
  <c r="AK681" i="7"/>
  <c r="AK683" i="7" s="1"/>
  <c r="AK686" i="7" s="1"/>
  <c r="AO81" i="15"/>
  <c r="AM843" i="7"/>
  <c r="AM858" i="7"/>
  <c r="AM859" i="7" s="1"/>
  <c r="AM862" i="7" s="1"/>
  <c r="AM864" i="7" s="1"/>
  <c r="AM852" i="7"/>
  <c r="AM854" i="7" s="1"/>
  <c r="S54" i="15"/>
  <c r="AM28" i="35"/>
  <c r="AJ252" i="7"/>
  <c r="AJ300" i="7"/>
  <c r="AE105" i="7"/>
  <c r="AG104" i="7"/>
  <c r="AJ105" i="7"/>
  <c r="AH250" i="7"/>
  <c r="AH558" i="7" s="1"/>
  <c r="AH843" i="7"/>
  <c r="AH858" i="7"/>
  <c r="AH859" i="7" s="1"/>
  <c r="AH862" i="7" s="1"/>
  <c r="AH864" i="7" s="1"/>
  <c r="AH852" i="7"/>
  <c r="AH854" i="7" s="1"/>
  <c r="BE202" i="20"/>
  <c r="BF157" i="20"/>
  <c r="AH300" i="7"/>
  <c r="AH252" i="7"/>
  <c r="AQ152" i="14"/>
  <c r="X28" i="18"/>
  <c r="AB687" i="7"/>
  <c r="AQ66" i="20"/>
  <c r="AQ73" i="20" s="1"/>
  <c r="AQ75" i="20" s="1"/>
  <c r="AI73" i="20"/>
  <c r="AI75" i="20" s="1"/>
  <c r="T686" i="7"/>
  <c r="AM235" i="7"/>
  <c r="BF254" i="20"/>
  <c r="BF71" i="20"/>
  <c r="AQ255" i="11" s="1"/>
  <c r="AQ254" i="11" s="1"/>
  <c r="AG259" i="7"/>
  <c r="AH259" i="7"/>
  <c r="AL852" i="7"/>
  <c r="AL854" i="7" s="1"/>
  <c r="AL843" i="7"/>
  <c r="AL858" i="7"/>
  <c r="AL859" i="7" s="1"/>
  <c r="AL862" i="7" s="1"/>
  <c r="AL864" i="7" s="1"/>
  <c r="J488" i="7"/>
  <c r="K487" i="7"/>
  <c r="AP77" i="20"/>
  <c r="P47" i="15"/>
  <c r="P41" i="15"/>
  <c r="P36" i="15"/>
  <c r="AX81" i="15"/>
  <c r="W104" i="7"/>
  <c r="S105" i="7"/>
  <c r="BE73" i="20"/>
  <c r="BE75" i="20" s="1"/>
  <c r="BE301" i="20"/>
  <c r="AT82" i="14"/>
  <c r="AT83" i="14" s="1"/>
  <c r="AT86" i="14" s="1"/>
  <c r="AS83" i="14"/>
  <c r="AS86" i="14" s="1"/>
  <c r="AM300" i="7"/>
  <c r="AM252" i="7"/>
  <c r="W35" i="15"/>
  <c r="AQ18" i="35"/>
  <c r="AQ20" i="35"/>
  <c r="AQ10" i="35"/>
  <c r="AP11" i="35"/>
  <c r="V9" i="15"/>
  <c r="V41" i="15" s="1"/>
  <c r="AU11" i="35"/>
  <c r="AM342" i="7"/>
  <c r="AM341" i="7" s="1"/>
  <c r="AQ320" i="7"/>
  <c r="AQ342" i="7" s="1"/>
  <c r="AQ341" i="7" s="1"/>
  <c r="W118" i="15"/>
  <c r="J483" i="7"/>
  <c r="AK772" i="7"/>
  <c r="AK154" i="7"/>
  <c r="AK155" i="7" s="1"/>
  <c r="AD250" i="7"/>
  <c r="AM1067" i="7"/>
  <c r="AM1073" i="7"/>
  <c r="AM1075" i="7" s="1"/>
  <c r="V766" i="7"/>
  <c r="V767" i="7" s="1"/>
  <c r="V768" i="7" s="1"/>
  <c r="V601" i="7"/>
  <c r="V764" i="7"/>
  <c r="V37" i="15"/>
  <c r="V47" i="15" s="1"/>
  <c r="AJ77" i="20"/>
  <c r="AQ324" i="7"/>
  <c r="N759" i="7"/>
  <c r="M224" i="7"/>
  <c r="M226" i="7" s="1"/>
  <c r="M234" i="7"/>
  <c r="M235" i="7" s="1"/>
  <c r="AB254" i="7"/>
  <c r="AB235" i="7"/>
  <c r="AM336" i="7"/>
  <c r="AM335" i="7" s="1"/>
  <c r="AQ319" i="7"/>
  <c r="AQ336" i="7" s="1"/>
  <c r="AQ335" i="7" s="1"/>
  <c r="R104" i="7"/>
  <c r="R105" i="7" s="1"/>
  <c r="O54" i="15"/>
  <c r="O57" i="15" s="1"/>
  <c r="AI28" i="35"/>
  <c r="AS304" i="11"/>
  <c r="AS317" i="11" s="1"/>
  <c r="AL173" i="14"/>
  <c r="AM173" i="14"/>
  <c r="AQ173" i="14"/>
  <c r="AI105" i="7"/>
  <c r="AN105" i="7"/>
  <c r="R118" i="15"/>
  <c r="AQ323" i="7"/>
  <c r="BE257" i="20"/>
  <c r="BD284" i="20"/>
  <c r="BD303" i="20" s="1"/>
  <c r="AQ50" i="35"/>
  <c r="AQ52" i="35"/>
  <c r="BC66" i="20"/>
  <c r="BC333" i="20" s="1"/>
  <c r="X105" i="7"/>
  <c r="AB104" i="7"/>
  <c r="AC105" i="7"/>
  <c r="M496" i="7"/>
  <c r="N446" i="7"/>
  <c r="N456" i="7" s="1"/>
  <c r="N458" i="7" s="1"/>
  <c r="AB324" i="7"/>
  <c r="BF149" i="20"/>
  <c r="BE194" i="20"/>
  <c r="W319" i="7"/>
  <c r="BE195" i="20"/>
  <c r="BF150" i="20"/>
  <c r="AD259" i="7"/>
  <c r="AN859" i="7"/>
  <c r="AN862" i="7" s="1"/>
  <c r="AN864" i="7" s="1"/>
  <c r="AO934" i="7"/>
  <c r="AO935" i="7" s="1"/>
  <c r="AO938" i="7" s="1"/>
  <c r="AO933" i="7"/>
  <c r="AQ843" i="7"/>
  <c r="AQ852" i="7"/>
  <c r="AQ854" i="7" s="1"/>
  <c r="AQ858" i="7"/>
  <c r="AI254" i="7"/>
  <c r="AI235" i="7"/>
  <c r="Z939" i="7"/>
  <c r="V18" i="17"/>
  <c r="AH235" i="7"/>
  <c r="AH254" i="7"/>
  <c r="AL498" i="7"/>
  <c r="AL500" i="7"/>
  <c r="AK57" i="14"/>
  <c r="AL56" i="14"/>
  <c r="AL57" i="14" s="1"/>
  <c r="AD683" i="7"/>
  <c r="AD686" i="7" s="1"/>
  <c r="X342" i="7"/>
  <c r="X341" i="7" s="1"/>
  <c r="AB320" i="7"/>
  <c r="AB342" i="7" s="1"/>
  <c r="AB341" i="7" s="1"/>
  <c r="W323" i="7"/>
  <c r="AZ56" i="14"/>
  <c r="AA55" i="15"/>
  <c r="AA63" i="15" s="1"/>
  <c r="AJ259" i="7"/>
  <c r="AN29" i="35"/>
  <c r="AN36" i="35"/>
  <c r="T70" i="15"/>
  <c r="BD108" i="20"/>
  <c r="AB319" i="7"/>
  <c r="AB336" i="7" s="1"/>
  <c r="AB335" i="7" s="1"/>
  <c r="X336" i="7"/>
  <c r="X335" i="7" s="1"/>
  <c r="AM250" i="7"/>
  <c r="AM558" i="7" s="1"/>
  <c r="W324" i="7"/>
  <c r="AP57" i="14"/>
  <c r="BF74" i="20"/>
  <c r="AL1067" i="7"/>
  <c r="AL1073" i="7"/>
  <c r="AL1075" i="7" s="1"/>
  <c r="BF160" i="20"/>
  <c r="AI1067" i="7"/>
  <c r="AI1073" i="7"/>
  <c r="AI1075" i="7" s="1"/>
  <c r="AO57" i="14"/>
  <c r="Q48" i="15"/>
  <c r="Q42" i="15"/>
  <c r="Q29" i="15"/>
  <c r="AF77" i="20"/>
  <c r="R35" i="15"/>
  <c r="N41" i="15"/>
  <c r="N47" i="15"/>
  <c r="N36" i="15"/>
  <c r="O48" i="15"/>
  <c r="O29" i="15"/>
  <c r="O42" i="15"/>
  <c r="AB280" i="7"/>
  <c r="AB282" i="7" s="1"/>
  <c r="AB323" i="7"/>
  <c r="AD254" i="7"/>
  <c r="AD235" i="7"/>
  <c r="AN558" i="7"/>
  <c r="AN271" i="7"/>
  <c r="AJ843" i="7"/>
  <c r="AJ858" i="7"/>
  <c r="AJ859" i="7" s="1"/>
  <c r="AJ862" i="7" s="1"/>
  <c r="AJ864" i="7" s="1"/>
  <c r="AJ852" i="7"/>
  <c r="AJ854" i="7" s="1"/>
  <c r="AD251" i="7"/>
  <c r="AD283" i="7"/>
  <c r="AI843" i="7"/>
  <c r="AI858" i="7"/>
  <c r="AI859" i="7" s="1"/>
  <c r="AI862" i="7" s="1"/>
  <c r="AI864" i="7" s="1"/>
  <c r="AI852" i="7"/>
  <c r="AI854" i="7" s="1"/>
  <c r="M319" i="7"/>
  <c r="AN259" i="7"/>
  <c r="AO605" i="7"/>
  <c r="AO593" i="7"/>
  <c r="AS142" i="44"/>
  <c r="AS165" i="44"/>
  <c r="BG66" i="20"/>
  <c r="Y96" i="15"/>
  <c r="Y98" i="15" s="1"/>
  <c r="AD24" i="1" s="1"/>
  <c r="AR336" i="7"/>
  <c r="AR335" i="7" s="1"/>
  <c r="AV335" i="7" s="1"/>
  <c r="AR342" i="7"/>
  <c r="AR341" i="7" s="1"/>
  <c r="AV341" i="7" s="1"/>
  <c r="AR105" i="7"/>
  <c r="BG194" i="20"/>
  <c r="BG239" i="20" s="1"/>
  <c r="BG273" i="20" s="1"/>
  <c r="W11" i="42"/>
  <c r="W13" i="42"/>
  <c r="W32" i="42" s="1"/>
  <c r="Y11" i="15"/>
  <c r="Y30" i="15" s="1"/>
  <c r="AD7" i="1" s="1"/>
  <c r="Y15" i="15"/>
  <c r="Y28" i="15"/>
  <c r="W12" i="42"/>
  <c r="X48" i="15"/>
  <c r="X49" i="15"/>
  <c r="X46" i="15"/>
  <c r="AV221" i="14"/>
  <c r="Y41" i="15"/>
  <c r="AR143" i="44"/>
  <c r="AR65" i="44"/>
  <c r="BG116" i="20"/>
  <c r="BG118" i="20" s="1"/>
  <c r="Y49" i="15"/>
  <c r="Y48" i="15"/>
  <c r="Y46" i="15"/>
  <c r="AS12" i="44"/>
  <c r="AR37" i="44"/>
  <c r="AR39" i="44"/>
  <c r="X47" i="15"/>
  <c r="N17" i="42"/>
  <c r="AV6" i="42"/>
  <c r="W7" i="42"/>
  <c r="W28" i="42"/>
  <c r="AR235" i="7"/>
  <c r="X9" i="15"/>
  <c r="AR11" i="35"/>
  <c r="BG154" i="20"/>
  <c r="BG156" i="20" s="1"/>
  <c r="AR90" i="7"/>
  <c r="AR25" i="7"/>
  <c r="AW168" i="14"/>
  <c r="AW167" i="14" s="1"/>
  <c r="AB92" i="15"/>
  <c r="AA93" i="15"/>
  <c r="AT132" i="44"/>
  <c r="AT16" i="44" s="1"/>
  <c r="AT137" i="44"/>
  <c r="AU315" i="14"/>
  <c r="AV245" i="14"/>
  <c r="AV315" i="14" s="1"/>
  <c r="AU246" i="14"/>
  <c r="AT20" i="35"/>
  <c r="AT18" i="35"/>
  <c r="AV19" i="35"/>
  <c r="Z35" i="15"/>
  <c r="AT314" i="14"/>
  <c r="AG149" i="14"/>
  <c r="AF151" i="14"/>
  <c r="AG151" i="14" s="1"/>
  <c r="AV23" i="35"/>
  <c r="AV26" i="35" s="1"/>
  <c r="AB54" i="15" s="1"/>
  <c r="AT26" i="35"/>
  <c r="Z54" i="15" s="1"/>
  <c r="AT52" i="35"/>
  <c r="AT50" i="35"/>
  <c r="AV51" i="35"/>
  <c r="AA23" i="15"/>
  <c r="AF6" i="1"/>
  <c r="AA20" i="15"/>
  <c r="AA22" i="15"/>
  <c r="AT317" i="14"/>
  <c r="BI105" i="20" s="1"/>
  <c r="AT313" i="14"/>
  <c r="AT274" i="14"/>
  <c r="AV25" i="44"/>
  <c r="AC92" i="15"/>
  <c r="AW245" i="14"/>
  <c r="AW55" i="35"/>
  <c r="AH179" i="1"/>
  <c r="AU817" i="7"/>
  <c r="AT10" i="35"/>
  <c r="AV6" i="35"/>
  <c r="AV34" i="35"/>
  <c r="AB78" i="15" s="1"/>
  <c r="Z78" i="15"/>
  <c r="AU65" i="44"/>
  <c r="AU305" i="14"/>
  <c r="AV305" i="14" s="1"/>
  <c r="AA46" i="15"/>
  <c r="AA48" i="15"/>
  <c r="AA30" i="15"/>
  <c r="AF7" i="1" s="1"/>
  <c r="AA49" i="15"/>
  <c r="AA43" i="15"/>
  <c r="AC37" i="15"/>
  <c r="AC47" i="15" s="1"/>
  <c r="AU1036" i="7"/>
  <c r="Z118" i="15"/>
  <c r="AV39" i="35"/>
  <c r="AA54" i="15"/>
  <c r="AU28" i="35"/>
  <c r="AV194" i="14"/>
  <c r="BH168" i="20" l="1"/>
  <c r="Q600" i="42"/>
  <c r="BG168" i="20"/>
  <c r="P600" i="42"/>
  <c r="AZ129" i="13"/>
  <c r="AZ339" i="11"/>
  <c r="AR344" i="11"/>
  <c r="BE249" i="20"/>
  <c r="BF249" i="20" s="1"/>
  <c r="AR343" i="11"/>
  <c r="AR342" i="11"/>
  <c r="AR355" i="11" s="1"/>
  <c r="P652" i="42" s="1"/>
  <c r="BH204" i="20"/>
  <c r="BH249" i="20" s="1"/>
  <c r="AS335" i="11"/>
  <c r="AP343" i="11"/>
  <c r="AP342" i="11"/>
  <c r="AP355" i="11" s="1"/>
  <c r="N652" i="42" s="1"/>
  <c r="BI195" i="20"/>
  <c r="BI240" i="20" s="1"/>
  <c r="BI274" i="20" s="1"/>
  <c r="AT336" i="11"/>
  <c r="AZ16" i="43"/>
  <c r="AW345" i="11"/>
  <c r="AT345" i="11"/>
  <c r="AY625" i="7"/>
  <c r="AZ625" i="7" s="1"/>
  <c r="BA625" i="7" s="1"/>
  <c r="BB625" i="7" s="1"/>
  <c r="BC625" i="7" s="1"/>
  <c r="BD625" i="7" s="1"/>
  <c r="BE625" i="7" s="1"/>
  <c r="BF625" i="7" s="1"/>
  <c r="BG625" i="7" s="1"/>
  <c r="BH625" i="7" s="1"/>
  <c r="BI625" i="7" s="1"/>
  <c r="BJ625" i="7" s="1"/>
  <c r="BK625" i="7" s="1"/>
  <c r="BL625" i="7" s="1"/>
  <c r="BM625" i="7" s="1"/>
  <c r="BN625" i="7" s="1"/>
  <c r="BO625" i="7" s="1"/>
  <c r="BP625" i="7" s="1"/>
  <c r="BQ625" i="7" s="1"/>
  <c r="BR625" i="7" s="1"/>
  <c r="BS625" i="7" s="1"/>
  <c r="AR408" i="7"/>
  <c r="AL406" i="7"/>
  <c r="AE934" i="7"/>
  <c r="AE935" i="7" s="1"/>
  <c r="BB129" i="13"/>
  <c r="BD52" i="13"/>
  <c r="BC68" i="13"/>
  <c r="BC339" i="11" s="1"/>
  <c r="BF55" i="13"/>
  <c r="BA131" i="13"/>
  <c r="G9" i="52"/>
  <c r="AU133" i="12"/>
  <c r="AV133" i="12" s="1"/>
  <c r="AS418" i="12"/>
  <c r="BJ57" i="12"/>
  <c r="BK57" i="12" s="1"/>
  <c r="AZ130" i="12"/>
  <c r="BA130" i="12" s="1"/>
  <c r="AY195" i="12"/>
  <c r="AZ199" i="12"/>
  <c r="AZ195" i="12" s="1"/>
  <c r="AW241" i="12"/>
  <c r="AX245" i="12"/>
  <c r="AU163" i="44"/>
  <c r="AX94" i="44"/>
  <c r="AX97" i="44" s="1"/>
  <c r="BD130" i="43"/>
  <c r="BC131" i="43"/>
  <c r="BC11" i="43"/>
  <c r="BE109" i="43"/>
  <c r="BD10" i="43"/>
  <c r="BB146" i="43"/>
  <c r="BC145" i="43"/>
  <c r="BB12" i="43"/>
  <c r="BB16" i="43" s="1"/>
  <c r="AR212" i="14"/>
  <c r="AV212" i="14" s="1"/>
  <c r="AQ303" i="11"/>
  <c r="AR321" i="11" s="1"/>
  <c r="AR323" i="11" s="1"/>
  <c r="AR86" i="44" s="1"/>
  <c r="AR152" i="35"/>
  <c r="Q13" i="7"/>
  <c r="Q15" i="7" s="1"/>
  <c r="AL410" i="7"/>
  <c r="AY387" i="13"/>
  <c r="AZ387" i="13" s="1"/>
  <c r="AX383" i="13"/>
  <c r="G52" i="62"/>
  <c r="G54" i="62" s="1"/>
  <c r="G44" i="62"/>
  <c r="BA106" i="12"/>
  <c r="AZ428" i="12"/>
  <c r="BA97" i="12"/>
  <c r="AZ197" i="12"/>
  <c r="AZ66" i="12"/>
  <c r="BJ55" i="12"/>
  <c r="BK55" i="12" s="1"/>
  <c r="AY91" i="44"/>
  <c r="AY94" i="44" s="1"/>
  <c r="AY97" i="44" s="1"/>
  <c r="AY103" i="44"/>
  <c r="AY58" i="44" s="1"/>
  <c r="AC51" i="35"/>
  <c r="AC50" i="35" s="1"/>
  <c r="AR156" i="35"/>
  <c r="S25" i="18"/>
  <c r="U25" i="18" s="1"/>
  <c r="AZ131" i="44"/>
  <c r="AZ137" i="44" s="1"/>
  <c r="AZ96" i="44"/>
  <c r="AZ97" i="44" s="1"/>
  <c r="R52" i="18"/>
  <c r="T52" i="18" s="1"/>
  <c r="J23" i="17" s="1"/>
  <c r="G52" i="18"/>
  <c r="S52" i="18" s="1"/>
  <c r="U52" i="18" s="1"/>
  <c r="BK82" i="35"/>
  <c r="AR103" i="35"/>
  <c r="AS103" i="35" s="1"/>
  <c r="AX46" i="14"/>
  <c r="AX54" i="14"/>
  <c r="AX56" i="14"/>
  <c r="AX57" i="14" s="1"/>
  <c r="AQ102" i="35"/>
  <c r="BS101" i="35"/>
  <c r="AJ120" i="35"/>
  <c r="AJ122" i="35" s="1"/>
  <c r="AJ114" i="35"/>
  <c r="AJ115" i="35"/>
  <c r="AW101" i="35"/>
  <c r="BQ102" i="35"/>
  <c r="AZ130" i="13"/>
  <c r="AZ131" i="13" s="1"/>
  <c r="AC939" i="7"/>
  <c r="AC940" i="7" s="1"/>
  <c r="AQ638" i="7"/>
  <c r="AR639" i="7"/>
  <c r="AS631" i="7" s="1"/>
  <c r="AS636" i="7" s="1"/>
  <c r="AO253" i="7"/>
  <c r="AR432" i="7"/>
  <c r="AV631" i="7"/>
  <c r="AV636" i="7" s="1"/>
  <c r="AV638" i="7" s="1"/>
  <c r="AR153" i="35"/>
  <c r="AC19" i="35"/>
  <c r="AC20" i="35" s="1"/>
  <c r="AD129" i="35"/>
  <c r="BK127" i="35"/>
  <c r="AX1030" i="7"/>
  <c r="AX1029" i="7"/>
  <c r="BA1029" i="7" s="1"/>
  <c r="AX1031" i="7"/>
  <c r="AK638" i="7"/>
  <c r="AQ235" i="7"/>
  <c r="AQ254" i="7"/>
  <c r="Q30" i="1"/>
  <c r="L120" i="15" s="1"/>
  <c r="L126" i="15" s="1"/>
  <c r="BA28" i="43"/>
  <c r="BU153" i="35"/>
  <c r="BU152" i="35"/>
  <c r="BG102" i="35"/>
  <c r="BA101" i="35"/>
  <c r="BU158" i="35"/>
  <c r="BU160" i="35" s="1"/>
  <c r="AX131" i="13"/>
  <c r="U454" i="7"/>
  <c r="U456" i="7" s="1"/>
  <c r="U458" i="7" s="1"/>
  <c r="Q596" i="7"/>
  <c r="Q564" i="7" s="1"/>
  <c r="Q605" i="7" s="1"/>
  <c r="Q154" i="7"/>
  <c r="Q155" i="7" s="1"/>
  <c r="U381" i="7"/>
  <c r="U383" i="7" s="1"/>
  <c r="O27" i="7"/>
  <c r="P88" i="7"/>
  <c r="O34" i="7"/>
  <c r="O36" i="7" s="1"/>
  <c r="U144" i="7"/>
  <c r="U146" i="7" s="1"/>
  <c r="U161" i="7" s="1"/>
  <c r="W391" i="7"/>
  <c r="W452" i="7"/>
  <c r="AQ410" i="7"/>
  <c r="AK432" i="7"/>
  <c r="AK773" i="7"/>
  <c r="M456" i="7"/>
  <c r="M458" i="7" s="1"/>
  <c r="AG852" i="7"/>
  <c r="AG854" i="7" s="1"/>
  <c r="Q509" i="7"/>
  <c r="Q559" i="7" s="1"/>
  <c r="Q560" i="7" s="1"/>
  <c r="AG843" i="7"/>
  <c r="AP88" i="7"/>
  <c r="AQ88" i="7" s="1"/>
  <c r="AB933" i="7"/>
  <c r="BA104" i="7"/>
  <c r="AZ104" i="7" s="1"/>
  <c r="AK15" i="7"/>
  <c r="AK25" i="7" s="1"/>
  <c r="AW638" i="7"/>
  <c r="AX631" i="7"/>
  <c r="AX636" i="7" s="1"/>
  <c r="AX638" i="7" s="1"/>
  <c r="AL259" i="7"/>
  <c r="BE832" i="7"/>
  <c r="BA832" i="7"/>
  <c r="AL235" i="7"/>
  <c r="AX748" i="7"/>
  <c r="AY748" i="7" s="1"/>
  <c r="AZ748" i="7" s="1"/>
  <c r="BA748" i="7" s="1"/>
  <c r="BB748" i="7" s="1"/>
  <c r="BC748" i="7" s="1"/>
  <c r="BD748" i="7" s="1"/>
  <c r="BE748" i="7" s="1"/>
  <c r="BF748" i="7" s="1"/>
  <c r="BG748" i="7" s="1"/>
  <c r="BH748" i="7" s="1"/>
  <c r="BI748" i="7" s="1"/>
  <c r="BJ748" i="7" s="1"/>
  <c r="BK748" i="7" s="1"/>
  <c r="BL748" i="7" s="1"/>
  <c r="BM748" i="7" s="1"/>
  <c r="BN748" i="7" s="1"/>
  <c r="BO748" i="7" s="1"/>
  <c r="BP748" i="7" s="1"/>
  <c r="BQ748" i="7" s="1"/>
  <c r="BR748" i="7" s="1"/>
  <c r="BS748" i="7" s="1"/>
  <c r="AX782" i="7"/>
  <c r="AZ782" i="7" s="1"/>
  <c r="BA782" i="7" s="1"/>
  <c r="BB782" i="7" s="1"/>
  <c r="BC782" i="7" s="1"/>
  <c r="BD782" i="7" s="1"/>
  <c r="BE782" i="7" s="1"/>
  <c r="BF782" i="7" s="1"/>
  <c r="BG782" i="7" s="1"/>
  <c r="BH782" i="7" s="1"/>
  <c r="BI782" i="7" s="1"/>
  <c r="BJ782" i="7" s="1"/>
  <c r="BK782" i="7" s="1"/>
  <c r="BL782" i="7" s="1"/>
  <c r="BM782" i="7" s="1"/>
  <c r="BN782" i="7" s="1"/>
  <c r="BO782" i="7" s="1"/>
  <c r="BP782" i="7" s="1"/>
  <c r="BQ782" i="7" s="1"/>
  <c r="BR782" i="7" s="1"/>
  <c r="BS782" i="7" s="1"/>
  <c r="BT782" i="7" s="1"/>
  <c r="BU782" i="7" s="1"/>
  <c r="BV782" i="7" s="1"/>
  <c r="BW782" i="7" s="1"/>
  <c r="BX782" i="7" s="1"/>
  <c r="BY782" i="7" s="1"/>
  <c r="BZ782" i="7" s="1"/>
  <c r="AZ780" i="7"/>
  <c r="BA780" i="7" s="1"/>
  <c r="BB780" i="7" s="1"/>
  <c r="BC780" i="7" s="1"/>
  <c r="BD780" i="7" s="1"/>
  <c r="BE780" i="7" s="1"/>
  <c r="BF780" i="7" s="1"/>
  <c r="BG780" i="7" s="1"/>
  <c r="BH780" i="7" s="1"/>
  <c r="BI780" i="7" s="1"/>
  <c r="BJ780" i="7" s="1"/>
  <c r="BK780" i="7" s="1"/>
  <c r="BL780" i="7" s="1"/>
  <c r="BM780" i="7" s="1"/>
  <c r="BN780" i="7" s="1"/>
  <c r="BO780" i="7" s="1"/>
  <c r="BP780" i="7" s="1"/>
  <c r="BQ780" i="7" s="1"/>
  <c r="BR780" i="7" s="1"/>
  <c r="BS780" i="7" s="1"/>
  <c r="BT780" i="7" s="1"/>
  <c r="BU780" i="7" s="1"/>
  <c r="BV780" i="7" s="1"/>
  <c r="BW780" i="7" s="1"/>
  <c r="BX780" i="7" s="1"/>
  <c r="BY780" i="7" s="1"/>
  <c r="BZ780" i="7" s="1"/>
  <c r="L163" i="7"/>
  <c r="K177" i="7" s="1"/>
  <c r="J177" i="7" s="1"/>
  <c r="I177" i="7" s="1"/>
  <c r="AU825" i="7"/>
  <c r="AU826" i="7" s="1"/>
  <c r="AU822" i="7"/>
  <c r="AK409" i="7"/>
  <c r="AK504" i="7" s="1"/>
  <c r="W410" i="7"/>
  <c r="J198" i="7"/>
  <c r="J167" i="7" s="1"/>
  <c r="K198" i="7"/>
  <c r="K167" i="7" s="1"/>
  <c r="K145" i="7" s="1"/>
  <c r="K146" i="7" s="1"/>
  <c r="AL390" i="7"/>
  <c r="AU432" i="7"/>
  <c r="AU639" i="7"/>
  <c r="AL252" i="7"/>
  <c r="AJ25" i="7"/>
  <c r="AJ34" i="7" s="1"/>
  <c r="B27" i="56"/>
  <c r="AW313" i="14"/>
  <c r="BL106" i="20" s="1"/>
  <c r="AW317" i="14"/>
  <c r="AW315" i="14"/>
  <c r="BL97" i="20" s="1"/>
  <c r="AY112" i="43"/>
  <c r="AY110" i="43" s="1"/>
  <c r="AY428" i="12"/>
  <c r="BK54" i="12"/>
  <c r="AD19" i="35"/>
  <c r="AD18" i="35" s="1"/>
  <c r="J28" i="15" s="1"/>
  <c r="AL20" i="35"/>
  <c r="AL18" i="35"/>
  <c r="R28" i="15" s="1"/>
  <c r="AH122" i="35"/>
  <c r="AF250" i="11"/>
  <c r="AQ39" i="44"/>
  <c r="AR40" i="44" s="1"/>
  <c r="AR12" i="44"/>
  <c r="AY174" i="12"/>
  <c r="BP102" i="35"/>
  <c r="BL120" i="35"/>
  <c r="BL121" i="35" s="1"/>
  <c r="BA11" i="43"/>
  <c r="AX54" i="45"/>
  <c r="AX52" i="45"/>
  <c r="AW18" i="45"/>
  <c r="AS8" i="13"/>
  <c r="BH234" i="20" s="1"/>
  <c r="AS7" i="13"/>
  <c r="BH233" i="20" s="1"/>
  <c r="AY130" i="13"/>
  <c r="AY131" i="13" s="1"/>
  <c r="AW151" i="13"/>
  <c r="AS12" i="13"/>
  <c r="AS20" i="13"/>
  <c r="AS4" i="13"/>
  <c r="AX197" i="13"/>
  <c r="AX43" i="13" s="1"/>
  <c r="AX151" i="13" s="1"/>
  <c r="AY202" i="13"/>
  <c r="Y28" i="1"/>
  <c r="W28" i="1"/>
  <c r="AX243" i="12"/>
  <c r="AU164" i="12"/>
  <c r="AV164" i="12" s="1"/>
  <c r="BJ218" i="20"/>
  <c r="AX220" i="12"/>
  <c r="AY347" i="12"/>
  <c r="AX428" i="12"/>
  <c r="AL238" i="11"/>
  <c r="AO238" i="11"/>
  <c r="BK101" i="35"/>
  <c r="AT102" i="35"/>
  <c r="AO115" i="35"/>
  <c r="AO120" i="35"/>
  <c r="AO122" i="35" s="1"/>
  <c r="AL114" i="35"/>
  <c r="AL50" i="35"/>
  <c r="AL52" i="35"/>
  <c r="AO114" i="35"/>
  <c r="AU115" i="35"/>
  <c r="AT121" i="35"/>
  <c r="AT122" i="35"/>
  <c r="AU114" i="35"/>
  <c r="AW294" i="11"/>
  <c r="BL115" i="35"/>
  <c r="BS153" i="35"/>
  <c r="BS158" i="35"/>
  <c r="BS160" i="35" s="1"/>
  <c r="BS152" i="35"/>
  <c r="AV152" i="35"/>
  <c r="AV158" i="35"/>
  <c r="AV160" i="35" s="1"/>
  <c r="AU120" i="35"/>
  <c r="AU122" i="35" s="1"/>
  <c r="K35" i="15"/>
  <c r="AV156" i="35"/>
  <c r="BL114" i="35"/>
  <c r="BH102" i="35"/>
  <c r="AE18" i="35"/>
  <c r="K28" i="15" s="1"/>
  <c r="C8" i="47"/>
  <c r="AR336" i="20"/>
  <c r="AN336" i="20"/>
  <c r="BI106" i="20"/>
  <c r="AT14" i="44"/>
  <c r="Q597" i="7"/>
  <c r="Q565" i="7" s="1"/>
  <c r="AL683" i="7"/>
  <c r="AL686" i="7" s="1"/>
  <c r="AP29" i="35"/>
  <c r="AU336" i="20"/>
  <c r="AE253" i="7"/>
  <c r="AE558" i="7" s="1"/>
  <c r="AU226" i="14"/>
  <c r="AV225" i="14"/>
  <c r="AV226" i="14" s="1"/>
  <c r="BG333" i="20"/>
  <c r="BG83" i="20"/>
  <c r="AC251" i="7"/>
  <c r="AC253" i="7" s="1"/>
  <c r="AC558" i="7" s="1"/>
  <c r="V70" i="15"/>
  <c r="AL464" i="7"/>
  <c r="AO336" i="20"/>
  <c r="AZ336" i="20"/>
  <c r="AK336" i="20"/>
  <c r="AM336" i="20"/>
  <c r="AT336" i="20"/>
  <c r="AS336" i="20"/>
  <c r="AX336" i="20"/>
  <c r="AL120" i="35"/>
  <c r="AL121" i="35" s="1"/>
  <c r="AB36" i="35"/>
  <c r="AB42" i="35" s="1"/>
  <c r="AB43" i="35" s="1"/>
  <c r="AL118" i="35"/>
  <c r="AS101" i="35"/>
  <c r="AV127" i="35"/>
  <c r="AS29" i="35"/>
  <c r="AZ159" i="35"/>
  <c r="H10" i="52"/>
  <c r="BF229" i="20"/>
  <c r="I73" i="18"/>
  <c r="AS5" i="13"/>
  <c r="S61" i="18"/>
  <c r="U61" i="18" s="1"/>
  <c r="AP336" i="20"/>
  <c r="BF230" i="20"/>
  <c r="BE156" i="20"/>
  <c r="BF156" i="20" s="1"/>
  <c r="BF161" i="20" s="1"/>
  <c r="BG216" i="20"/>
  <c r="BD217" i="20"/>
  <c r="BD196" i="20" s="1"/>
  <c r="BE231" i="20"/>
  <c r="BE217" i="20"/>
  <c r="BE245" i="20"/>
  <c r="BF200" i="20"/>
  <c r="BE239" i="20"/>
  <c r="BF194" i="20"/>
  <c r="BE248" i="20"/>
  <c r="BF203" i="20"/>
  <c r="BE247" i="20"/>
  <c r="BF202" i="20"/>
  <c r="BE240" i="20"/>
  <c r="BF195" i="20"/>
  <c r="BH153" i="20"/>
  <c r="BH156" i="20"/>
  <c r="BH161" i="20" s="1"/>
  <c r="Q602" i="42" s="1"/>
  <c r="Q605" i="42" s="1"/>
  <c r="BD156" i="20"/>
  <c r="BD161" i="20" s="1"/>
  <c r="M602" i="42" s="1"/>
  <c r="M605" i="42" s="1"/>
  <c r="BG153" i="20"/>
  <c r="BG217" i="20"/>
  <c r="AW130" i="13"/>
  <c r="AX102" i="13"/>
  <c r="AX168" i="13" s="1"/>
  <c r="AX170" i="13" s="1"/>
  <c r="AY170" i="13" s="1"/>
  <c r="AX112" i="43"/>
  <c r="AX110" i="43" s="1"/>
  <c r="S55" i="18"/>
  <c r="U55" i="18" s="1"/>
  <c r="I55" i="18"/>
  <c r="S58" i="18"/>
  <c r="U58" i="18" s="1"/>
  <c r="I58" i="18"/>
  <c r="S67" i="18"/>
  <c r="U67" i="18" s="1"/>
  <c r="I67" i="18"/>
  <c r="S64" i="18"/>
  <c r="U64" i="18" s="1"/>
  <c r="I64" i="18"/>
  <c r="S76" i="18"/>
  <c r="U76" i="18" s="1"/>
  <c r="I76" i="18"/>
  <c r="S70" i="18"/>
  <c r="U70" i="18" s="1"/>
  <c r="I70" i="18"/>
  <c r="S37" i="18"/>
  <c r="U37" i="18" s="1"/>
  <c r="I37" i="18"/>
  <c r="AQ23" i="43"/>
  <c r="BD229" i="20"/>
  <c r="S46" i="18"/>
  <c r="U46" i="18" s="1"/>
  <c r="I46" i="18"/>
  <c r="BE42" i="20"/>
  <c r="C26" i="3"/>
  <c r="H26" i="3" s="1"/>
  <c r="S40" i="18"/>
  <c r="U40" i="18" s="1"/>
  <c r="I40" i="18"/>
  <c r="S43" i="18"/>
  <c r="U43" i="18" s="1"/>
  <c r="I43" i="18"/>
  <c r="BD202" i="14"/>
  <c r="BC208" i="14"/>
  <c r="D28" i="47"/>
  <c r="AV16" i="43"/>
  <c r="AV22" i="43" s="1"/>
  <c r="AV37" i="43"/>
  <c r="AV41" i="43" s="1"/>
  <c r="AW42" i="43" s="1"/>
  <c r="AX16" i="43"/>
  <c r="AU16" i="43"/>
  <c r="T119" i="15"/>
  <c r="AV206" i="14"/>
  <c r="AV54" i="14"/>
  <c r="AV46" i="14"/>
  <c r="AV56" i="14"/>
  <c r="AV57" i="14" s="1"/>
  <c r="BJ97" i="20"/>
  <c r="AU18" i="45"/>
  <c r="AW112" i="43"/>
  <c r="AW110" i="43" s="1"/>
  <c r="BC114" i="35"/>
  <c r="BC115" i="35"/>
  <c r="BC118" i="35"/>
  <c r="BC120" i="35"/>
  <c r="AE52" i="35"/>
  <c r="AE50" i="35"/>
  <c r="AV82" i="35"/>
  <c r="BN121" i="35"/>
  <c r="BN122" i="35"/>
  <c r="BC156" i="35"/>
  <c r="BC158" i="35"/>
  <c r="BC153" i="35"/>
  <c r="BC152" i="35"/>
  <c r="BA127" i="35"/>
  <c r="AK152" i="35"/>
  <c r="AK153" i="35"/>
  <c r="AK156" i="35"/>
  <c r="AK158" i="35"/>
  <c r="BF82" i="35"/>
  <c r="BO120" i="35"/>
  <c r="BO115" i="35"/>
  <c r="BO114" i="35"/>
  <c r="BO118" i="35"/>
  <c r="BG114" i="35"/>
  <c r="BG115" i="35"/>
  <c r="BG118" i="35"/>
  <c r="BG120" i="35"/>
  <c r="AR115" i="35"/>
  <c r="AR120" i="35"/>
  <c r="AR118" i="35"/>
  <c r="AR114" i="35"/>
  <c r="AW428" i="12"/>
  <c r="AX347" i="12"/>
  <c r="BF103" i="20"/>
  <c r="BF108" i="20" s="1"/>
  <c r="BE108" i="20"/>
  <c r="AU373" i="7"/>
  <c r="AU448" i="7" s="1"/>
  <c r="AU456" i="7" s="1"/>
  <c r="AU458" i="7" s="1"/>
  <c r="AU112" i="7"/>
  <c r="AV112" i="7" s="1"/>
  <c r="R421" i="7"/>
  <c r="R406" i="7"/>
  <c r="R414" i="7"/>
  <c r="S393" i="7"/>
  <c r="S390" i="7"/>
  <c r="AS198" i="7"/>
  <c r="Z30" i="1"/>
  <c r="U120" i="15" s="1"/>
  <c r="Z28" i="1"/>
  <c r="AL389" i="7"/>
  <c r="U172" i="7"/>
  <c r="U170" i="7"/>
  <c r="V170" i="7"/>
  <c r="W373" i="7"/>
  <c r="AT432" i="7"/>
  <c r="AT639" i="7"/>
  <c r="AU631" i="7" s="1"/>
  <c r="AU636" i="7" s="1"/>
  <c r="AR93" i="7"/>
  <c r="Q505" i="7"/>
  <c r="R505" i="7" s="1"/>
  <c r="R410" i="7"/>
  <c r="AJ409" i="7"/>
  <c r="AJ504" i="7" s="1"/>
  <c r="U183" i="7"/>
  <c r="U185" i="7"/>
  <c r="Q506" i="7"/>
  <c r="R506" i="7" s="1"/>
  <c r="R411" i="7"/>
  <c r="AP112" i="7"/>
  <c r="AQ112" i="7" s="1"/>
  <c r="AP373" i="7"/>
  <c r="AP45" i="7"/>
  <c r="AR686" i="7"/>
  <c r="R420" i="7"/>
  <c r="R558" i="7"/>
  <c r="AA759" i="7"/>
  <c r="AB757" i="7"/>
  <c r="AB759" i="7" s="1"/>
  <c r="O76" i="7"/>
  <c r="O139" i="7" s="1"/>
  <c r="O137" i="7"/>
  <c r="AO448" i="7"/>
  <c r="AO456" i="7" s="1"/>
  <c r="AO458" i="7" s="1"/>
  <c r="AO381" i="7"/>
  <c r="AO383" i="7" s="1"/>
  <c r="K76" i="7"/>
  <c r="K139" i="7" s="1"/>
  <c r="K137" i="7"/>
  <c r="AA170" i="7"/>
  <c r="Z170" i="7"/>
  <c r="AG683" i="7"/>
  <c r="AG686" i="7" s="1"/>
  <c r="S392" i="7"/>
  <c r="V179" i="7"/>
  <c r="W176" i="7"/>
  <c r="AT448" i="7"/>
  <c r="AT456" i="7" s="1"/>
  <c r="AT458" i="7" s="1"/>
  <c r="AT381" i="7"/>
  <c r="AT383" i="7" s="1"/>
  <c r="AF928" i="7"/>
  <c r="AF929" i="7" s="1"/>
  <c r="AF931" i="7" s="1"/>
  <c r="AF939" i="7" s="1"/>
  <c r="AV105" i="7"/>
  <c r="BJ156" i="35"/>
  <c r="BJ152" i="35"/>
  <c r="BJ158" i="35"/>
  <c r="BJ153" i="35"/>
  <c r="BL160" i="35"/>
  <c r="BL159" i="35"/>
  <c r="AM115" i="35"/>
  <c r="AM114" i="35"/>
  <c r="AM118" i="35"/>
  <c r="AM120" i="35"/>
  <c r="BA158" i="35"/>
  <c r="BA156" i="35"/>
  <c r="BA153" i="35"/>
  <c r="BA152" i="35"/>
  <c r="AN120" i="35"/>
  <c r="AN118" i="35"/>
  <c r="AN115" i="35"/>
  <c r="AN114" i="35"/>
  <c r="BP159" i="35"/>
  <c r="BP160" i="35"/>
  <c r="AO156" i="35"/>
  <c r="AO158" i="35"/>
  <c r="AO153" i="35"/>
  <c r="AO152" i="35"/>
  <c r="AS120" i="35"/>
  <c r="AS115" i="35"/>
  <c r="AS114" i="35"/>
  <c r="AS118" i="35"/>
  <c r="AL153" i="35"/>
  <c r="AL152" i="35"/>
  <c r="AL156" i="35"/>
  <c r="AL158" i="35"/>
  <c r="BP127" i="35"/>
  <c r="BI153" i="35"/>
  <c r="BI152" i="35"/>
  <c r="BI156" i="35"/>
  <c r="BI158" i="35"/>
  <c r="BI114" i="35"/>
  <c r="BI118" i="35"/>
  <c r="BI120" i="35"/>
  <c r="BI115" i="35"/>
  <c r="BA122" i="35"/>
  <c r="BA121" i="35"/>
  <c r="AK120" i="35"/>
  <c r="AK115" i="35"/>
  <c r="AK114" i="35"/>
  <c r="AK118" i="35"/>
  <c r="BU114" i="35"/>
  <c r="BU120" i="35"/>
  <c r="BU115" i="35"/>
  <c r="BU118" i="35"/>
  <c r="BA82" i="35"/>
  <c r="BB120" i="35"/>
  <c r="BB114" i="35"/>
  <c r="BB115" i="35"/>
  <c r="BB118" i="35"/>
  <c r="BP82" i="35"/>
  <c r="BE115" i="35"/>
  <c r="BE118" i="35"/>
  <c r="BE120" i="35"/>
  <c r="BE114" i="35"/>
  <c r="BF121" i="35"/>
  <c r="BF122" i="35"/>
  <c r="BM153" i="35"/>
  <c r="BM158" i="35"/>
  <c r="BM152" i="35"/>
  <c r="BM156" i="35"/>
  <c r="AH158" i="35"/>
  <c r="AH152" i="35"/>
  <c r="AH153" i="35"/>
  <c r="AH156" i="35"/>
  <c r="AM153" i="35"/>
  <c r="AM158" i="35"/>
  <c r="AM152" i="35"/>
  <c r="AM156" i="35"/>
  <c r="BM101" i="35"/>
  <c r="BM102" i="35"/>
  <c r="AB120" i="35"/>
  <c r="AB118" i="35"/>
  <c r="AB115" i="35"/>
  <c r="AB114" i="35"/>
  <c r="BF127" i="35"/>
  <c r="AX118" i="35"/>
  <c r="AX120" i="35"/>
  <c r="AX114" i="35"/>
  <c r="AX115" i="35"/>
  <c r="BR101" i="35"/>
  <c r="BR102" i="35"/>
  <c r="AX159" i="35"/>
  <c r="AX160" i="35"/>
  <c r="AF115" i="35"/>
  <c r="AF118" i="35"/>
  <c r="AF114" i="35"/>
  <c r="AF120" i="35"/>
  <c r="BT160" i="35"/>
  <c r="BT159" i="35"/>
  <c r="AR159" i="35"/>
  <c r="AR160" i="35"/>
  <c r="BG160" i="35"/>
  <c r="BG159" i="35"/>
  <c r="AJ152" i="35"/>
  <c r="AJ156" i="35"/>
  <c r="AJ158" i="35"/>
  <c r="AJ153" i="35"/>
  <c r="AB158" i="35"/>
  <c r="AB152" i="35"/>
  <c r="AB153" i="35"/>
  <c r="AB156" i="35"/>
  <c r="AP156" i="35"/>
  <c r="AP158" i="35"/>
  <c r="AP153" i="35"/>
  <c r="AP152" i="35"/>
  <c r="AW114" i="35"/>
  <c r="AW118" i="35"/>
  <c r="AW115" i="35"/>
  <c r="AW120" i="35"/>
  <c r="BH114" i="35"/>
  <c r="BH118" i="35"/>
  <c r="BH120" i="35"/>
  <c r="BH115" i="35"/>
  <c r="BH156" i="35"/>
  <c r="BH158" i="35"/>
  <c r="BH153" i="35"/>
  <c r="BH152" i="35"/>
  <c r="AI118" i="35"/>
  <c r="AI120" i="35"/>
  <c r="AI115" i="35"/>
  <c r="AI114" i="35"/>
  <c r="BB156" i="35"/>
  <c r="BB158" i="35"/>
  <c r="BB153" i="35"/>
  <c r="BB152" i="35"/>
  <c r="AD50" i="35"/>
  <c r="AD52" i="35"/>
  <c r="BP121" i="35"/>
  <c r="BP122" i="35"/>
  <c r="BR152" i="35"/>
  <c r="BR153" i="35"/>
  <c r="BR156" i="35"/>
  <c r="BR158" i="35"/>
  <c r="AG122" i="35"/>
  <c r="AG121" i="35"/>
  <c r="AV114" i="35"/>
  <c r="AV118" i="35"/>
  <c r="AV120" i="35"/>
  <c r="AV115" i="35"/>
  <c r="BQ114" i="35"/>
  <c r="BQ115" i="35"/>
  <c r="BQ120" i="35"/>
  <c r="BQ118" i="35"/>
  <c r="AZ120" i="35"/>
  <c r="AZ115" i="35"/>
  <c r="AZ118" i="35"/>
  <c r="AZ114" i="35"/>
  <c r="AQ156" i="35"/>
  <c r="AQ153" i="35"/>
  <c r="AQ158" i="35"/>
  <c r="AQ152" i="35"/>
  <c r="BK121" i="35"/>
  <c r="BK122" i="35"/>
  <c r="AI153" i="35"/>
  <c r="AI158" i="35"/>
  <c r="AI156" i="35"/>
  <c r="AI152" i="35"/>
  <c r="BM122" i="35"/>
  <c r="BM121" i="35"/>
  <c r="AF160" i="35"/>
  <c r="AF159" i="35"/>
  <c r="AY152" i="35"/>
  <c r="AY158" i="35"/>
  <c r="AY153" i="35"/>
  <c r="AY156" i="35"/>
  <c r="BD159" i="35"/>
  <c r="BD160" i="35"/>
  <c r="AY118" i="35"/>
  <c r="AY120" i="35"/>
  <c r="AY114" i="35"/>
  <c r="AY115" i="35"/>
  <c r="BQ156" i="35"/>
  <c r="BQ158" i="35"/>
  <c r="BQ153" i="35"/>
  <c r="BQ152" i="35"/>
  <c r="AW159" i="35"/>
  <c r="AW160" i="35"/>
  <c r="BK153" i="35"/>
  <c r="BK152" i="35"/>
  <c r="BK158" i="35"/>
  <c r="BK156" i="35"/>
  <c r="BD114" i="35"/>
  <c r="BD115" i="35"/>
  <c r="BD118" i="35"/>
  <c r="BD120" i="35"/>
  <c r="BF156" i="35"/>
  <c r="BF158" i="35"/>
  <c r="BF153" i="35"/>
  <c r="BF152" i="35"/>
  <c r="AN153" i="35"/>
  <c r="AN152" i="35"/>
  <c r="AN156" i="35"/>
  <c r="AN158" i="35"/>
  <c r="AU153" i="35"/>
  <c r="AU152" i="35"/>
  <c r="AU156" i="35"/>
  <c r="AU158" i="35"/>
  <c r="AP121" i="35"/>
  <c r="AP122" i="35"/>
  <c r="T57" i="15"/>
  <c r="Y57" i="15" s="1"/>
  <c r="AD57" i="15" s="1"/>
  <c r="AI57" i="15" s="1"/>
  <c r="AN57" i="15" s="1"/>
  <c r="AS57" i="15" s="1"/>
  <c r="AX57" i="15" s="1"/>
  <c r="BC57" i="15" s="1"/>
  <c r="BE156" i="35"/>
  <c r="BE158" i="35"/>
  <c r="BE152" i="35"/>
  <c r="BE153" i="35"/>
  <c r="BN152" i="35"/>
  <c r="BN153" i="35"/>
  <c r="BN156" i="35"/>
  <c r="BN158" i="35"/>
  <c r="AG156" i="35"/>
  <c r="AG158" i="35"/>
  <c r="AG153" i="35"/>
  <c r="AG152" i="35"/>
  <c r="AT159" i="35"/>
  <c r="AT160" i="35"/>
  <c r="BU82" i="35"/>
  <c r="AQ28" i="35"/>
  <c r="AQ29" i="35" s="1"/>
  <c r="BJ121" i="35"/>
  <c r="BJ122" i="35"/>
  <c r="BU127" i="35"/>
  <c r="BC39" i="20"/>
  <c r="BD41" i="20"/>
  <c r="BA12" i="43"/>
  <c r="AT318" i="14"/>
  <c r="AT276" i="14"/>
  <c r="AM309" i="14"/>
  <c r="AG238" i="11"/>
  <c r="AX294" i="11"/>
  <c r="AX288" i="11" s="1"/>
  <c r="AU306" i="11"/>
  <c r="AU304" i="11" s="1"/>
  <c r="AZ315" i="11"/>
  <c r="BB315" i="11" s="1"/>
  <c r="BC315" i="11" s="1"/>
  <c r="BD315" i="11" s="1"/>
  <c r="BE315" i="11" s="1"/>
  <c r="AW312" i="11"/>
  <c r="AW309" i="11" s="1"/>
  <c r="AR36" i="35"/>
  <c r="AR29" i="35"/>
  <c r="AG254" i="7"/>
  <c r="AS36" i="35"/>
  <c r="AS37" i="35" s="1"/>
  <c r="AG859" i="7"/>
  <c r="AG862" i="7" s="1"/>
  <c r="AG864" i="7" s="1"/>
  <c r="AX137" i="44"/>
  <c r="AX132" i="44"/>
  <c r="AX16" i="44" s="1"/>
  <c r="AY137" i="44"/>
  <c r="AY132" i="44"/>
  <c r="AY16" i="44" s="1"/>
  <c r="BI158" i="20"/>
  <c r="AT337" i="11" s="1"/>
  <c r="Y253" i="7"/>
  <c r="Y558" i="7" s="1"/>
  <c r="V17" i="17"/>
  <c r="Y283" i="7"/>
  <c r="Z940" i="7"/>
  <c r="Z945" i="7" s="1"/>
  <c r="I67" i="16" s="1"/>
  <c r="AR259" i="7"/>
  <c r="AV96" i="44"/>
  <c r="AV97" i="44" s="1"/>
  <c r="AK29" i="35"/>
  <c r="W13" i="48"/>
  <c r="X19" i="48"/>
  <c r="Z58" i="18"/>
  <c r="W9" i="48"/>
  <c r="D7" i="3"/>
  <c r="BL268" i="20"/>
  <c r="BK45" i="13"/>
  <c r="T28" i="1"/>
  <c r="N119" i="15"/>
  <c r="AW200" i="13"/>
  <c r="AV43" i="13"/>
  <c r="AU200" i="13"/>
  <c r="AU68" i="13"/>
  <c r="AU112" i="43"/>
  <c r="AU110" i="43" s="1"/>
  <c r="AQ6" i="12"/>
  <c r="BF227" i="20" s="1"/>
  <c r="AV129" i="12"/>
  <c r="AV53" i="12"/>
  <c r="AV197" i="12" s="1"/>
  <c r="BP54" i="12"/>
  <c r="BU54" i="12" s="1"/>
  <c r="AV405" i="12"/>
  <c r="AV118" i="12"/>
  <c r="AV8" i="12" s="1"/>
  <c r="AW185" i="12"/>
  <c r="AW182" i="12"/>
  <c r="AW174" i="12"/>
  <c r="AX183" i="12" s="1"/>
  <c r="O119" i="15"/>
  <c r="AW197" i="12"/>
  <c r="AW74" i="12"/>
  <c r="AU509" i="12"/>
  <c r="AV65" i="12"/>
  <c r="AV509" i="12" s="1"/>
  <c r="AU347" i="12"/>
  <c r="AV59" i="12"/>
  <c r="AV347" i="12" s="1"/>
  <c r="R28" i="1"/>
  <c r="AT333" i="7"/>
  <c r="AT888" i="7"/>
  <c r="AU810" i="7"/>
  <c r="AU811" i="7"/>
  <c r="AU812" i="7"/>
  <c r="AV665" i="7"/>
  <c r="S119" i="15"/>
  <c r="AU118" i="12"/>
  <c r="AU8" i="12" s="1"/>
  <c r="AT197" i="12"/>
  <c r="AT129" i="13"/>
  <c r="AT11" i="13"/>
  <c r="AU197" i="12"/>
  <c r="BC335" i="20"/>
  <c r="BC336" i="20" s="1"/>
  <c r="BG335" i="20"/>
  <c r="BL310" i="20"/>
  <c r="BM291" i="20"/>
  <c r="BK310" i="20"/>
  <c r="AU34" i="44"/>
  <c r="AS34" i="44"/>
  <c r="AX153" i="44"/>
  <c r="BM268" i="20" s="1"/>
  <c r="AY148" i="44"/>
  <c r="AY151" i="44" s="1"/>
  <c r="AR10" i="44"/>
  <c r="AV163" i="44"/>
  <c r="AW162" i="44"/>
  <c r="AV157" i="44"/>
  <c r="AW155" i="44"/>
  <c r="AR277" i="11"/>
  <c r="AV156" i="44"/>
  <c r="V27" i="1"/>
  <c r="V28" i="1" s="1"/>
  <c r="AI204" i="14"/>
  <c r="AI192" i="14"/>
  <c r="AJ191" i="14"/>
  <c r="AH216" i="14"/>
  <c r="AH218" i="14" s="1"/>
  <c r="AH63" i="14"/>
  <c r="BA71" i="14"/>
  <c r="AZ72" i="14"/>
  <c r="Y104" i="14"/>
  <c r="Y100" i="14"/>
  <c r="AX78" i="14"/>
  <c r="AW80" i="14"/>
  <c r="AW61" i="14" s="1"/>
  <c r="AX142" i="14"/>
  <c r="AW131" i="14"/>
  <c r="AA96" i="14"/>
  <c r="Z134" i="14"/>
  <c r="Z99" i="14"/>
  <c r="Z133" i="14"/>
  <c r="Z144" i="14"/>
  <c r="Z149" i="14" s="1"/>
  <c r="Z151" i="14" s="1"/>
  <c r="AB94" i="14"/>
  <c r="AA131" i="14"/>
  <c r="AA142" i="14"/>
  <c r="AB142" i="14" s="1"/>
  <c r="Y132" i="14"/>
  <c r="Z95" i="14"/>
  <c r="Y143" i="14"/>
  <c r="AL175" i="14"/>
  <c r="AL176" i="14" s="1"/>
  <c r="AM98" i="14"/>
  <c r="AG104" i="14"/>
  <c r="AG100" i="14"/>
  <c r="AH99" i="14"/>
  <c r="AH134" i="14"/>
  <c r="AH133" i="14"/>
  <c r="AI96" i="14"/>
  <c r="AH144" i="14"/>
  <c r="AZ181" i="14"/>
  <c r="BA181" i="14" s="1"/>
  <c r="U27" i="1"/>
  <c r="U30" i="1" s="1"/>
  <c r="P120" i="15" s="1"/>
  <c r="W62" i="15"/>
  <c r="AG77" i="20"/>
  <c r="AL28" i="35"/>
  <c r="AL29" i="35" s="1"/>
  <c r="AK36" i="35"/>
  <c r="AK42" i="35" s="1"/>
  <c r="P70" i="15"/>
  <c r="AJ36" i="35"/>
  <c r="P102" i="15" s="1"/>
  <c r="AD253" i="7"/>
  <c r="AD558" i="7" s="1"/>
  <c r="AU82" i="14"/>
  <c r="AG105" i="7"/>
  <c r="AQ8" i="44"/>
  <c r="AR288" i="11"/>
  <c r="BF219" i="20"/>
  <c r="BF216" i="20" s="1"/>
  <c r="AB686" i="7"/>
  <c r="U62" i="15"/>
  <c r="U57" i="15"/>
  <c r="Z57" i="15" s="1"/>
  <c r="AE57" i="15" s="1"/>
  <c r="AJ57" i="15" s="1"/>
  <c r="AO57" i="15" s="1"/>
  <c r="AT57" i="15" s="1"/>
  <c r="AY57" i="15" s="1"/>
  <c r="BD57" i="15" s="1"/>
  <c r="V501" i="7"/>
  <c r="V596" i="7"/>
  <c r="V564" i="7" s="1"/>
  <c r="V605" i="7" s="1"/>
  <c r="V21" i="17"/>
  <c r="N70" i="15"/>
  <c r="N73" i="15" s="1"/>
  <c r="V509" i="7"/>
  <c r="V559" i="7" s="1"/>
  <c r="V560" i="7" s="1"/>
  <c r="AH29" i="35"/>
  <c r="AK456" i="7"/>
  <c r="AK458" i="7" s="1"/>
  <c r="AL92" i="7"/>
  <c r="V82" i="15"/>
  <c r="AA21" i="1" s="1"/>
  <c r="AA81" i="15"/>
  <c r="AB81" i="15" s="1"/>
  <c r="L456" i="7"/>
  <c r="L458" i="7" s="1"/>
  <c r="AL465" i="7"/>
  <c r="AL929" i="7"/>
  <c r="AO37" i="35"/>
  <c r="AO42" i="35"/>
  <c r="U102" i="15"/>
  <c r="AO40" i="35"/>
  <c r="R498" i="7"/>
  <c r="R500" i="7"/>
  <c r="AR250" i="7"/>
  <c r="AR271" i="7"/>
  <c r="AG84" i="7"/>
  <c r="AQ57" i="14"/>
  <c r="BH108" i="20"/>
  <c r="BD304" i="20"/>
  <c r="BD307" i="20" s="1"/>
  <c r="BD308" i="20" s="1"/>
  <c r="BD312" i="20" s="1"/>
  <c r="BD315" i="20" s="1"/>
  <c r="BD316" i="20" s="1"/>
  <c r="BF77" i="20"/>
  <c r="W29" i="15"/>
  <c r="W42" i="15"/>
  <c r="AT28" i="35"/>
  <c r="AT29" i="35" s="1"/>
  <c r="AW28" i="35"/>
  <c r="AW29" i="35" s="1"/>
  <c r="AW11" i="35"/>
  <c r="BI306" i="20"/>
  <c r="AL73" i="20"/>
  <c r="AL75" i="20" s="1"/>
  <c r="AL77" i="20"/>
  <c r="I27" i="17"/>
  <c r="J27" i="17"/>
  <c r="J18" i="17"/>
  <c r="I18" i="17"/>
  <c r="BA73" i="20"/>
  <c r="BA75" i="20" s="1"/>
  <c r="BA77" i="20"/>
  <c r="I19" i="17"/>
  <c r="J19" i="17"/>
  <c r="I22" i="17"/>
  <c r="J22" i="17"/>
  <c r="AV73" i="20"/>
  <c r="AV75" i="20" s="1"/>
  <c r="AV77" i="20"/>
  <c r="J25" i="17"/>
  <c r="I25" i="17"/>
  <c r="I91" i="18"/>
  <c r="S91" i="18"/>
  <c r="U91" i="18" s="1"/>
  <c r="J17" i="17"/>
  <c r="I17" i="17"/>
  <c r="J21" i="17"/>
  <c r="I21" i="17"/>
  <c r="AC28" i="15"/>
  <c r="BH280" i="20"/>
  <c r="Z96" i="15"/>
  <c r="Z98" i="15" s="1"/>
  <c r="AE24" i="1" s="1"/>
  <c r="AR84" i="44"/>
  <c r="AR54" i="44"/>
  <c r="B31" i="47"/>
  <c r="G6" i="47" s="1"/>
  <c r="AG271" i="11"/>
  <c r="AG272" i="11" s="1"/>
  <c r="AF272" i="11"/>
  <c r="Y85" i="15"/>
  <c r="Y87" i="15" s="1"/>
  <c r="AD22" i="1" s="1"/>
  <c r="W271" i="11"/>
  <c r="W272" i="11" s="1"/>
  <c r="V272" i="11"/>
  <c r="AA238" i="11"/>
  <c r="AA277" i="11"/>
  <c r="AB277" i="11" s="1"/>
  <c r="AA272" i="11"/>
  <c r="AB271" i="11"/>
  <c r="AB272" i="11" s="1"/>
  <c r="AF238" i="11"/>
  <c r="AF277" i="11"/>
  <c r="AG277" i="11" s="1"/>
  <c r="AP238" i="11"/>
  <c r="AP277" i="11"/>
  <c r="AQ277" i="11" s="1"/>
  <c r="AN277" i="11"/>
  <c r="AN238" i="11"/>
  <c r="AM238" i="11"/>
  <c r="AM277" i="11"/>
  <c r="AB249" i="11"/>
  <c r="AB250" i="11" s="1"/>
  <c r="AA250" i="11"/>
  <c r="AQ306" i="14"/>
  <c r="AR309" i="14" s="1"/>
  <c r="AP309" i="14"/>
  <c r="V238" i="11"/>
  <c r="V277" i="11"/>
  <c r="W277" i="11" s="1"/>
  <c r="AQ249" i="11"/>
  <c r="AQ250" i="11" s="1"/>
  <c r="AP250" i="11"/>
  <c r="AS132" i="13"/>
  <c r="AT880" i="7"/>
  <c r="AT881" i="7" s="1"/>
  <c r="Q57" i="15"/>
  <c r="V57" i="15" s="1"/>
  <c r="AA57" i="15" s="1"/>
  <c r="AF57" i="15" s="1"/>
  <c r="AK57" i="15" s="1"/>
  <c r="AP57" i="15" s="1"/>
  <c r="AU57" i="15" s="1"/>
  <c r="AZ57" i="15" s="1"/>
  <c r="BE57" i="15" s="1"/>
  <c r="T663" i="7"/>
  <c r="T661" i="7"/>
  <c r="T660" i="7"/>
  <c r="BQ832" i="7"/>
  <c r="W105" i="7"/>
  <c r="AF251" i="7"/>
  <c r="AF253" i="7" s="1"/>
  <c r="AF558" i="7" s="1"/>
  <c r="AF283" i="7"/>
  <c r="BM1056" i="7"/>
  <c r="BK1056" i="7"/>
  <c r="AQ408" i="7"/>
  <c r="AM408" i="7"/>
  <c r="AD456" i="7"/>
  <c r="AD458" i="7" s="1"/>
  <c r="Z183" i="7"/>
  <c r="Z185" i="7"/>
  <c r="AD74" i="7"/>
  <c r="AD25" i="7"/>
  <c r="AD34" i="7" s="1"/>
  <c r="AD90" i="7"/>
  <c r="U649" i="7"/>
  <c r="U654" i="7"/>
  <c r="U655" i="7" s="1"/>
  <c r="V652" i="7"/>
  <c r="P170" i="7"/>
  <c r="M529" i="7"/>
  <c r="V313" i="7"/>
  <c r="V314" i="7" s="1"/>
  <c r="V451" i="7"/>
  <c r="W451" i="7" s="1"/>
  <c r="V381" i="7"/>
  <c r="V383" i="7" s="1"/>
  <c r="AQ525" i="7"/>
  <c r="T25" i="7"/>
  <c r="T90" i="7"/>
  <c r="AF45" i="7"/>
  <c r="AF373" i="7"/>
  <c r="AG373" i="7" s="1"/>
  <c r="AG381" i="7" s="1"/>
  <c r="AG383" i="7" s="1"/>
  <c r="AF112" i="7"/>
  <c r="AG112" i="7" s="1"/>
  <c r="R617" i="7"/>
  <c r="Z283" i="7"/>
  <c r="Z251" i="7"/>
  <c r="Z253" i="7" s="1"/>
  <c r="Z558" i="7" s="1"/>
  <c r="AF15" i="7"/>
  <c r="AF88" i="7"/>
  <c r="AK1028" i="7"/>
  <c r="AJ1032" i="7"/>
  <c r="Q168" i="7"/>
  <c r="Q172" i="7" s="1"/>
  <c r="Q164" i="7"/>
  <c r="L145" i="7"/>
  <c r="K180" i="7"/>
  <c r="AB110" i="7"/>
  <c r="AA501" i="7"/>
  <c r="AA509" i="7"/>
  <c r="AA559" i="7" s="1"/>
  <c r="AM770" i="7"/>
  <c r="AQ728" i="7"/>
  <c r="V466" i="7"/>
  <c r="W466" i="7" s="1"/>
  <c r="X391" i="7"/>
  <c r="W458" i="7"/>
  <c r="X446" i="7"/>
  <c r="X456" i="7" s="1"/>
  <c r="X458" i="7" s="1"/>
  <c r="W496" i="7"/>
  <c r="S617" i="7"/>
  <c r="S537" i="7"/>
  <c r="AM172" i="7"/>
  <c r="AQ168" i="7"/>
  <c r="AQ172" i="7" s="1"/>
  <c r="AP118" i="7"/>
  <c r="AQ118" i="7" s="1"/>
  <c r="AP44" i="7"/>
  <c r="R537" i="7"/>
  <c r="N538" i="7"/>
  <c r="R538" i="7" s="1"/>
  <c r="V454" i="7"/>
  <c r="W403" i="7"/>
  <c r="W405" i="7"/>
  <c r="X393" i="7" s="1"/>
  <c r="AE381" i="7"/>
  <c r="AE383" i="7" s="1"/>
  <c r="AE448" i="7"/>
  <c r="AE456" i="7" s="1"/>
  <c r="AE458" i="7" s="1"/>
  <c r="Z25" i="7"/>
  <c r="Z34" i="7" s="1"/>
  <c r="Z90" i="7"/>
  <c r="Z74" i="7"/>
  <c r="AK1025" i="7"/>
  <c r="AK1033" i="7"/>
  <c r="I413" i="7"/>
  <c r="J408" i="7"/>
  <c r="AP90" i="7"/>
  <c r="AP93" i="7" s="1"/>
  <c r="AP25" i="7"/>
  <c r="AE88" i="7"/>
  <c r="AE15" i="7"/>
  <c r="V759" i="7"/>
  <c r="W757" i="7"/>
  <c r="W759" i="7" s="1"/>
  <c r="T662" i="7"/>
  <c r="T650" i="7"/>
  <c r="T526" i="7" s="1"/>
  <c r="T658" i="7"/>
  <c r="T657" i="7"/>
  <c r="AK105" i="7"/>
  <c r="AP105" i="7"/>
  <c r="BV1056" i="7"/>
  <c r="AK44" i="7"/>
  <c r="AA15" i="7"/>
  <c r="AA88" i="7"/>
  <c r="AB88" i="7" s="1"/>
  <c r="AQ464" i="7"/>
  <c r="N200" i="7"/>
  <c r="X728" i="7"/>
  <c r="X743" i="7"/>
  <c r="AG245" i="7"/>
  <c r="AG282" i="7"/>
  <c r="P25" i="7"/>
  <c r="P90" i="7"/>
  <c r="Q759" i="7"/>
  <c r="R757" i="7"/>
  <c r="R759" i="7" s="1"/>
  <c r="W379" i="7"/>
  <c r="W313" i="7" s="1"/>
  <c r="W314" i="7" s="1"/>
  <c r="AH285" i="7"/>
  <c r="AI277" i="7"/>
  <c r="AI289" i="7" s="1"/>
  <c r="AH278" i="7"/>
  <c r="V88" i="7"/>
  <c r="W88" i="7" s="1"/>
  <c r="V15" i="7"/>
  <c r="AK757" i="7"/>
  <c r="AL756" i="7"/>
  <c r="AP1028" i="7"/>
  <c r="AO1032" i="7"/>
  <c r="AS432" i="7"/>
  <c r="AS639" i="7"/>
  <c r="J530" i="7"/>
  <c r="J537" i="7"/>
  <c r="M526" i="7"/>
  <c r="M527" i="7" s="1"/>
  <c r="J617" i="7"/>
  <c r="M617" i="7" s="1"/>
  <c r="J527" i="7"/>
  <c r="AA154" i="7"/>
  <c r="AA155" i="7" s="1"/>
  <c r="AA772" i="7"/>
  <c r="AA773" i="7" s="1"/>
  <c r="N104" i="15"/>
  <c r="AH100" i="7"/>
  <c r="AV806" i="7"/>
  <c r="AV807" i="7" s="1"/>
  <c r="AV809" i="7" s="1"/>
  <c r="AB500" i="7"/>
  <c r="AB498" i="7"/>
  <c r="AN25" i="7"/>
  <c r="AN90" i="7"/>
  <c r="AQ25" i="7"/>
  <c r="V22" i="17"/>
  <c r="AE939" i="7"/>
  <c r="AK1010" i="7"/>
  <c r="AK1011" i="7" s="1"/>
  <c r="AL1011" i="7" s="1"/>
  <c r="AO90" i="7"/>
  <c r="AO93" i="7" s="1"/>
  <c r="AO25" i="7"/>
  <c r="Q313" i="7"/>
  <c r="Q314" i="7" s="1"/>
  <c r="Q451" i="7"/>
  <c r="Q456" i="7" s="1"/>
  <c r="Q458" i="7" s="1"/>
  <c r="Q381" i="7"/>
  <c r="Q383" i="7" s="1"/>
  <c r="AA251" i="7"/>
  <c r="AA253" i="7" s="1"/>
  <c r="AA558" i="7" s="1"/>
  <c r="AA283" i="7"/>
  <c r="W558" i="7"/>
  <c r="P179" i="7"/>
  <c r="P181" i="7" s="1"/>
  <c r="O176" i="7"/>
  <c r="AP76" i="7"/>
  <c r="AP139" i="7" s="1"/>
  <c r="AQ139" i="7" s="1"/>
  <c r="AP137" i="7"/>
  <c r="AQ137" i="7" s="1"/>
  <c r="AI504" i="7"/>
  <c r="AF504" i="7"/>
  <c r="AG504" i="7" s="1"/>
  <c r="AG409" i="7"/>
  <c r="AG756" i="7"/>
  <c r="AG928" i="7" s="1"/>
  <c r="M409" i="7"/>
  <c r="J504" i="7"/>
  <c r="AA939" i="7"/>
  <c r="AA940" i="7" s="1"/>
  <c r="V19" i="17"/>
  <c r="AE938" i="7"/>
  <c r="I663" i="7"/>
  <c r="I661" i="7"/>
  <c r="AF934" i="7"/>
  <c r="AF935" i="7" s="1"/>
  <c r="AF938" i="7" s="1"/>
  <c r="AQ252" i="7"/>
  <c r="AQ297" i="7"/>
  <c r="AB176" i="7"/>
  <c r="AA179" i="7"/>
  <c r="L90" i="7"/>
  <c r="L25" i="7"/>
  <c r="AO432" i="7"/>
  <c r="AP425" i="7"/>
  <c r="AP430" i="7" s="1"/>
  <c r="AO639" i="7"/>
  <c r="AP631" i="7" s="1"/>
  <c r="AP636" i="7" s="1"/>
  <c r="AC770" i="7"/>
  <c r="AG728" i="7"/>
  <c r="AG757" i="7"/>
  <c r="AG759" i="7" s="1"/>
  <c r="AE759" i="7"/>
  <c r="J476" i="7"/>
  <c r="M465" i="7"/>
  <c r="L745" i="7"/>
  <c r="E100" i="16" s="1"/>
  <c r="K749" i="7"/>
  <c r="K156" i="7" s="1"/>
  <c r="C6" i="17"/>
  <c r="AB919" i="7"/>
  <c r="AC915" i="7"/>
  <c r="H61" i="16" s="1"/>
  <c r="AI34" i="7"/>
  <c r="AI36" i="7" s="1"/>
  <c r="O72" i="15"/>
  <c r="AQ392" i="7"/>
  <c r="I660" i="7"/>
  <c r="AK137" i="7"/>
  <c r="AL137" i="7" s="1"/>
  <c r="AK76" i="7"/>
  <c r="AK139" i="7" s="1"/>
  <c r="AL139" i="7" s="1"/>
  <c r="AB406" i="7"/>
  <c r="AB414" i="7"/>
  <c r="AN638" i="7"/>
  <c r="M313" i="7"/>
  <c r="M314" i="7" s="1"/>
  <c r="M381" i="7"/>
  <c r="M383" i="7" s="1"/>
  <c r="J464" i="7"/>
  <c r="J374" i="7"/>
  <c r="J394" i="7"/>
  <c r="AU798" i="7"/>
  <c r="AU796" i="7"/>
  <c r="AU799" i="7"/>
  <c r="AU800" i="7"/>
  <c r="AU797" i="7"/>
  <c r="AA910" i="7"/>
  <c r="AB909" i="7"/>
  <c r="AA913" i="7"/>
  <c r="I658" i="7"/>
  <c r="I662" i="7"/>
  <c r="I650" i="7"/>
  <c r="I657" i="7"/>
  <c r="J503" i="7"/>
  <c r="I508" i="7"/>
  <c r="AF505" i="7"/>
  <c r="AG505" i="7" s="1"/>
  <c r="AG410" i="7"/>
  <c r="V770" i="7"/>
  <c r="V771" i="7" s="1"/>
  <c r="W728" i="7"/>
  <c r="R391" i="7"/>
  <c r="AU1074" i="7"/>
  <c r="AP1025" i="7"/>
  <c r="AP1033" i="7"/>
  <c r="AZ356" i="7"/>
  <c r="BA992" i="7"/>
  <c r="BB992" i="7" s="1"/>
  <c r="AY805" i="7"/>
  <c r="AZ788" i="7"/>
  <c r="AX804" i="7"/>
  <c r="AU559" i="12"/>
  <c r="AU571" i="12" s="1"/>
  <c r="AU592" i="12"/>
  <c r="AU573" i="12"/>
  <c r="AT138" i="12"/>
  <c r="AT140" i="12" s="1"/>
  <c r="AT141" i="12" s="1"/>
  <c r="AO542" i="12"/>
  <c r="BE216" i="20"/>
  <c r="AS9" i="12"/>
  <c r="AT701" i="12"/>
  <c r="AT700" i="12"/>
  <c r="AT704" i="12"/>
  <c r="AT725" i="12"/>
  <c r="AT625" i="12" s="1"/>
  <c r="AT705" i="12"/>
  <c r="AU701" i="12"/>
  <c r="AU700" i="12"/>
  <c r="AU705" i="12"/>
  <c r="AU725" i="12"/>
  <c r="AU625" i="12" s="1"/>
  <c r="AU704" i="12"/>
  <c r="AU686" i="12"/>
  <c r="AU692" i="12" s="1"/>
  <c r="AU678" i="12"/>
  <c r="AU677" i="12"/>
  <c r="AU673" i="12"/>
  <c r="AU674" i="12"/>
  <c r="AT673" i="12"/>
  <c r="AT674" i="12"/>
  <c r="AT677" i="12"/>
  <c r="AT686" i="12"/>
  <c r="AT692" i="12" s="1"/>
  <c r="AT678" i="12"/>
  <c r="AV162" i="12"/>
  <c r="AS155" i="12"/>
  <c r="AS154" i="12"/>
  <c r="AT405" i="12"/>
  <c r="AS850" i="7"/>
  <c r="AS28" i="13"/>
  <c r="AS892" i="7"/>
  <c r="AS893" i="7"/>
  <c r="AN577" i="12"/>
  <c r="AO578" i="12"/>
  <c r="BO17" i="13"/>
  <c r="BO986" i="7" s="1"/>
  <c r="BN15" i="12"/>
  <c r="AP543" i="12"/>
  <c r="AO543" i="12"/>
  <c r="BW17" i="13"/>
  <c r="BV986" i="7"/>
  <c r="AT74" i="12"/>
  <c r="AS578" i="12"/>
  <c r="AS577" i="12"/>
  <c r="AT576" i="12"/>
  <c r="AT561" i="12"/>
  <c r="AT571" i="12"/>
  <c r="AT552" i="12"/>
  <c r="AO567" i="12"/>
  <c r="AO558" i="12"/>
  <c r="AO568" i="12" s="1"/>
  <c r="AQ543" i="12"/>
  <c r="AS8" i="12"/>
  <c r="AS121" i="12"/>
  <c r="AS122" i="12" s="1"/>
  <c r="AQ558" i="12"/>
  <c r="AQ551" i="12" s="1"/>
  <c r="AQ567" i="12"/>
  <c r="AM560" i="12"/>
  <c r="AM576" i="12"/>
  <c r="AM577" i="12" s="1"/>
  <c r="AN557" i="12"/>
  <c r="AN564" i="12"/>
  <c r="AT152" i="12"/>
  <c r="AZ646" i="7"/>
  <c r="AW666" i="7"/>
  <c r="AW653" i="7"/>
  <c r="AY19" i="35"/>
  <c r="AY24" i="35"/>
  <c r="AY39" i="35"/>
  <c r="AE118" i="15" s="1"/>
  <c r="AY51" i="35"/>
  <c r="AY33" i="35"/>
  <c r="AY32" i="35"/>
  <c r="AY6" i="35"/>
  <c r="AY10" i="35" s="1"/>
  <c r="AE9" i="15" s="1"/>
  <c r="AE11" i="15" s="1"/>
  <c r="AE21" i="15" s="1"/>
  <c r="AY34" i="35"/>
  <c r="AE78" i="15" s="1"/>
  <c r="AY25" i="35"/>
  <c r="AY23" i="35"/>
  <c r="AD35" i="15"/>
  <c r="AX20" i="35"/>
  <c r="AX18" i="35"/>
  <c r="AX11" i="35"/>
  <c r="AD9" i="15"/>
  <c r="AF8" i="1"/>
  <c r="AF9" i="1" s="1"/>
  <c r="AX50" i="35"/>
  <c r="AX52" i="35"/>
  <c r="AZ9" i="9"/>
  <c r="AF89" i="15"/>
  <c r="AF90" i="15" s="1"/>
  <c r="AZ102" i="7"/>
  <c r="AZ845" i="7"/>
  <c r="AZ244" i="14"/>
  <c r="AZ54" i="35"/>
  <c r="BB5" i="9"/>
  <c r="BB114" i="44" s="1"/>
  <c r="AZ10" i="9"/>
  <c r="AX26" i="35"/>
  <c r="AD54" i="15" s="1"/>
  <c r="AD62" i="15" s="1"/>
  <c r="AO611" i="7"/>
  <c r="R47" i="15"/>
  <c r="R41" i="15"/>
  <c r="R36" i="15"/>
  <c r="Z55" i="15"/>
  <c r="Z63" i="15" s="1"/>
  <c r="AZ48" i="14"/>
  <c r="BE56" i="14"/>
  <c r="AL596" i="7"/>
  <c r="AL564" i="7" s="1"/>
  <c r="BC73" i="20"/>
  <c r="BC75" i="20" s="1"/>
  <c r="W9" i="15"/>
  <c r="W41" i="15" s="1"/>
  <c r="AQ11" i="35"/>
  <c r="AL509" i="7"/>
  <c r="AL501" i="7"/>
  <c r="AL597" i="7"/>
  <c r="AL565" i="7" s="1"/>
  <c r="V28" i="15"/>
  <c r="AT81" i="15"/>
  <c r="S62" i="15"/>
  <c r="S57" i="15"/>
  <c r="X62" i="15"/>
  <c r="AK250" i="7"/>
  <c r="AR50" i="44"/>
  <c r="BF73" i="20"/>
  <c r="BF75" i="20" s="1"/>
  <c r="BF301" i="20"/>
  <c r="AN605" i="7"/>
  <c r="AN593" i="7"/>
  <c r="N48" i="15"/>
  <c r="N42" i="15"/>
  <c r="N29" i="15"/>
  <c r="T62" i="15"/>
  <c r="BC56" i="14"/>
  <c r="AD55" i="15"/>
  <c r="V772" i="7"/>
  <c r="V154" i="7"/>
  <c r="V155" i="7" s="1"/>
  <c r="W37" i="15"/>
  <c r="W47" i="15" s="1"/>
  <c r="P48" i="15"/>
  <c r="P29" i="15"/>
  <c r="P42" i="15"/>
  <c r="AP37" i="35"/>
  <c r="AP42" i="35"/>
  <c r="V102" i="15"/>
  <c r="AP40" i="35"/>
  <c r="BC81" i="15"/>
  <c r="R119" i="15"/>
  <c r="AI29" i="35"/>
  <c r="AI36" i="35"/>
  <c r="O70" i="15"/>
  <c r="K488" i="7"/>
  <c r="AQ77" i="20"/>
  <c r="BC77" i="20"/>
  <c r="V15" i="15"/>
  <c r="V11" i="15"/>
  <c r="V43" i="15" s="1"/>
  <c r="AA15" i="15"/>
  <c r="V30" i="17"/>
  <c r="AO939" i="7"/>
  <c r="AO940" i="7" s="1"/>
  <c r="AB251" i="7"/>
  <c r="AB253" i="7" s="1"/>
  <c r="AB558" i="7" s="1"/>
  <c r="AB283" i="7"/>
  <c r="AM36" i="35"/>
  <c r="AM29" i="35"/>
  <c r="S70" i="15"/>
  <c r="S73" i="15" s="1"/>
  <c r="AL105" i="7"/>
  <c r="AQ105" i="7"/>
  <c r="AH37" i="35"/>
  <c r="AH42" i="35"/>
  <c r="N102" i="15"/>
  <c r="AH40" i="35"/>
  <c r="BF257" i="20"/>
  <c r="BE284" i="20"/>
  <c r="BE303" i="20" s="1"/>
  <c r="BE304" i="20" s="1"/>
  <c r="BE307" i="20" s="1"/>
  <c r="BE308" i="20" s="1"/>
  <c r="BE312" i="20" s="1"/>
  <c r="BE315" i="20" s="1"/>
  <c r="BE316" i="20" s="1"/>
  <c r="AN42" i="35"/>
  <c r="T102" i="15"/>
  <c r="AN37" i="35"/>
  <c r="AN40" i="35"/>
  <c r="V49" i="15"/>
  <c r="V46" i="15"/>
  <c r="V48" i="15"/>
  <c r="AB105" i="7"/>
  <c r="BC161" i="20"/>
  <c r="AS166" i="44"/>
  <c r="AS167" i="44"/>
  <c r="Y20" i="15"/>
  <c r="Y23" i="15"/>
  <c r="AD6" i="1"/>
  <c r="AD8" i="1" s="1"/>
  <c r="Y17" i="15"/>
  <c r="Y22" i="15"/>
  <c r="C10" i="47"/>
  <c r="X11" i="15"/>
  <c r="X21" i="15" s="1"/>
  <c r="X15" i="15"/>
  <c r="X41" i="15"/>
  <c r="X28" i="15"/>
  <c r="Y43" i="15"/>
  <c r="BH194" i="20"/>
  <c r="BG161" i="20"/>
  <c r="P602" i="42" s="1"/>
  <c r="P605" i="42" s="1"/>
  <c r="N22" i="42"/>
  <c r="N20" i="42"/>
  <c r="AV7" i="42"/>
  <c r="BG73" i="20"/>
  <c r="BG301" i="20"/>
  <c r="BG77" i="20"/>
  <c r="P606" i="42" s="1"/>
  <c r="AR9" i="42"/>
  <c r="W31" i="42"/>
  <c r="AR6" i="42"/>
  <c r="BB56" i="14"/>
  <c r="AR8" i="42"/>
  <c r="AV8" i="42"/>
  <c r="AV215" i="14"/>
  <c r="Y21" i="15"/>
  <c r="AR34" i="7"/>
  <c r="X72" i="15"/>
  <c r="AX168" i="14"/>
  <c r="AX167" i="14" s="1"/>
  <c r="AT1046" i="7"/>
  <c r="AU1041" i="7"/>
  <c r="AU1049" i="7" s="1"/>
  <c r="AU1050" i="7" s="1"/>
  <c r="AV16" i="44"/>
  <c r="AT65" i="44"/>
  <c r="AU314" i="14"/>
  <c r="AV270" i="14"/>
  <c r="AU142" i="44"/>
  <c r="AU165" i="44"/>
  <c r="AC46" i="15"/>
  <c r="AC49" i="15"/>
  <c r="AC48" i="15"/>
  <c r="AU313" i="14"/>
  <c r="AU274" i="14"/>
  <c r="AV269" i="14"/>
  <c r="AV280" i="14" s="1"/>
  <c r="AV282" i="14" s="1"/>
  <c r="AV284" i="14" s="1"/>
  <c r="AB118" i="15"/>
  <c r="AW246" i="14"/>
  <c r="AU36" i="35"/>
  <c r="AA70" i="15"/>
  <c r="AU29" i="35"/>
  <c r="AA62" i="15"/>
  <c r="AV1036" i="7"/>
  <c r="AC93" i="15"/>
  <c r="Z62" i="15"/>
  <c r="AV52" i="35"/>
  <c r="AV50" i="35"/>
  <c r="AB62" i="15"/>
  <c r="AI179" i="1"/>
  <c r="AX55" i="35"/>
  <c r="AD92" i="15"/>
  <c r="AD93" i="15" s="1"/>
  <c r="AX245" i="14"/>
  <c r="BN79" i="20"/>
  <c r="AW1036" i="7"/>
  <c r="Z37" i="15"/>
  <c r="AV20" i="35"/>
  <c r="AV18" i="35"/>
  <c r="AB35" i="15"/>
  <c r="AV28" i="35"/>
  <c r="AC15" i="15"/>
  <c r="AC11" i="15"/>
  <c r="AC21" i="15" s="1"/>
  <c r="AV74" i="44"/>
  <c r="E22" i="47"/>
  <c r="G22" i="47" s="1"/>
  <c r="AV10" i="35"/>
  <c r="AT11" i="35"/>
  <c r="Z9" i="15"/>
  <c r="AU317" i="14"/>
  <c r="BJ105" i="20" s="1"/>
  <c r="AV273" i="14"/>
  <c r="AT143" i="44"/>
  <c r="AW194" i="14"/>
  <c r="AW192" i="14" s="1"/>
  <c r="BH34" i="20"/>
  <c r="J22" i="18" s="1"/>
  <c r="BH279" i="20"/>
  <c r="M604" i="42" l="1"/>
  <c r="P604" i="42"/>
  <c r="Q604" i="42"/>
  <c r="BB125" i="44"/>
  <c r="BB131" i="44"/>
  <c r="BI159" i="20"/>
  <c r="AT335" i="11" s="1"/>
  <c r="AZ170" i="13"/>
  <c r="AZ171" i="13" s="1"/>
  <c r="AT344" i="11"/>
  <c r="BI204" i="20"/>
  <c r="BI249" i="20" s="1"/>
  <c r="BG342" i="20"/>
  <c r="BG346" i="20" s="1"/>
  <c r="AR357" i="11"/>
  <c r="AS343" i="11"/>
  <c r="AS342" i="11"/>
  <c r="BL150" i="20"/>
  <c r="BL169" i="20" s="1"/>
  <c r="BH342" i="20"/>
  <c r="BH346" i="20" s="1"/>
  <c r="AS357" i="11"/>
  <c r="AS353" i="11" s="1"/>
  <c r="AP352" i="11"/>
  <c r="AT349" i="11"/>
  <c r="AR352" i="11"/>
  <c r="AU22" i="43"/>
  <c r="AU341" i="11"/>
  <c r="AX22" i="43"/>
  <c r="AX341" i="11"/>
  <c r="AR304" i="11"/>
  <c r="Q88" i="7"/>
  <c r="R88" i="7" s="1"/>
  <c r="BC129" i="13"/>
  <c r="BE52" i="13"/>
  <c r="BD68" i="13"/>
  <c r="BB131" i="13"/>
  <c r="BB132" i="13"/>
  <c r="AT7" i="13"/>
  <c r="AT144" i="13"/>
  <c r="AR49" i="44"/>
  <c r="AR34" i="44" s="1"/>
  <c r="AR324" i="11"/>
  <c r="AR326" i="11" s="1"/>
  <c r="AR328" i="11" s="1"/>
  <c r="AZ132" i="44"/>
  <c r="AZ16" i="44" s="1"/>
  <c r="AZ65" i="44" s="1"/>
  <c r="BC146" i="43"/>
  <c r="BD145" i="43"/>
  <c r="BC12" i="43"/>
  <c r="BC16" i="43" s="1"/>
  <c r="BE130" i="43"/>
  <c r="BD131" i="43"/>
  <c r="BD11" i="43"/>
  <c r="BE10" i="43"/>
  <c r="BN55" i="20"/>
  <c r="BN60" i="20"/>
  <c r="BN155" i="20" s="1"/>
  <c r="BN64" i="20"/>
  <c r="BN65" i="20"/>
  <c r="BN59" i="20"/>
  <c r="BN70" i="20"/>
  <c r="BN69" i="20"/>
  <c r="BN68" i="20"/>
  <c r="BN54" i="20"/>
  <c r="BN149" i="20" s="1"/>
  <c r="BN63" i="20"/>
  <c r="BN158" i="20" s="1"/>
  <c r="BO158" i="20" s="1"/>
  <c r="BP158" i="20" s="1"/>
  <c r="BQ158" i="20" s="1"/>
  <c r="BR158" i="20" s="1"/>
  <c r="BS158" i="20" s="1"/>
  <c r="BT158" i="20" s="1"/>
  <c r="BU158" i="20" s="1"/>
  <c r="BN62" i="20"/>
  <c r="BN157" i="20" s="1"/>
  <c r="BN56" i="20"/>
  <c r="AC52" i="35"/>
  <c r="AG51" i="35"/>
  <c r="AG50" i="35" s="1"/>
  <c r="AR638" i="7"/>
  <c r="AZ112" i="43"/>
  <c r="AZ383" i="13"/>
  <c r="G57" i="62"/>
  <c r="AY243" i="12"/>
  <c r="AZ99" i="12"/>
  <c r="AY220" i="12"/>
  <c r="AZ98" i="12"/>
  <c r="BA66" i="12"/>
  <c r="BA74" i="12" s="1"/>
  <c r="BA120" i="12" s="1"/>
  <c r="AZ74" i="12"/>
  <c r="AZ120" i="12" s="1"/>
  <c r="AY106" i="44"/>
  <c r="AY6" i="44" s="1"/>
  <c r="BA103" i="44"/>
  <c r="BA106" i="44" s="1"/>
  <c r="BA56" i="14"/>
  <c r="BA94" i="44"/>
  <c r="BA97" i="44" s="1"/>
  <c r="AJ121" i="35"/>
  <c r="J35" i="15"/>
  <c r="J36" i="15" s="1"/>
  <c r="J48" i="15" s="1"/>
  <c r="BG75" i="20"/>
  <c r="BG343" i="20"/>
  <c r="BG347" i="20" s="1"/>
  <c r="I52" i="18"/>
  <c r="D27" i="46"/>
  <c r="D28" i="46" s="1"/>
  <c r="E7" i="18"/>
  <c r="D4" i="18"/>
  <c r="AX215" i="14"/>
  <c r="AX216" i="14" s="1"/>
  <c r="AX218" i="14" s="1"/>
  <c r="BM97" i="20"/>
  <c r="AX7" i="45"/>
  <c r="AY18" i="45" s="1"/>
  <c r="AX9" i="45"/>
  <c r="AX18" i="45"/>
  <c r="AG19" i="35"/>
  <c r="AG28" i="35" s="1"/>
  <c r="AG29" i="35" s="1"/>
  <c r="I35" i="15"/>
  <c r="I36" i="15" s="1"/>
  <c r="AC18" i="35"/>
  <c r="I28" i="15" s="1"/>
  <c r="AV159" i="35"/>
  <c r="BL122" i="35"/>
  <c r="AO121" i="35"/>
  <c r="BU159" i="35"/>
  <c r="AD20" i="35"/>
  <c r="BI292" i="20"/>
  <c r="BI311" i="20" s="1"/>
  <c r="BI121" i="20"/>
  <c r="AR558" i="7"/>
  <c r="AR605" i="7" s="1"/>
  <c r="AX153" i="13"/>
  <c r="AY153" i="13" s="1"/>
  <c r="AZ153" i="13" s="1"/>
  <c r="BA153" i="13" s="1"/>
  <c r="BB153" i="13" s="1"/>
  <c r="AB40" i="35"/>
  <c r="AB37" i="35"/>
  <c r="BF104" i="7"/>
  <c r="BK104" i="7" s="1"/>
  <c r="M163" i="7"/>
  <c r="AK90" i="7"/>
  <c r="AK93" i="7" s="1"/>
  <c r="J180" i="7"/>
  <c r="I180" i="7" s="1"/>
  <c r="J201" i="7"/>
  <c r="K201" i="7" s="1"/>
  <c r="AU638" i="7"/>
  <c r="BJ832" i="7"/>
  <c r="BF832" i="7"/>
  <c r="AJ36" i="7"/>
  <c r="P72" i="15"/>
  <c r="P73" i="15" s="1"/>
  <c r="AL409" i="7"/>
  <c r="AT937" i="7"/>
  <c r="W381" i="7"/>
  <c r="W383" i="7" s="1"/>
  <c r="AV373" i="7"/>
  <c r="D27" i="56"/>
  <c r="D28" i="56" s="1"/>
  <c r="AX478" i="12"/>
  <c r="AY482" i="12"/>
  <c r="AU163" i="12"/>
  <c r="BJ221" i="20" s="1"/>
  <c r="BJ223" i="20" s="1"/>
  <c r="AZ132" i="13"/>
  <c r="AU561" i="12"/>
  <c r="AU552" i="12"/>
  <c r="AU576" i="12"/>
  <c r="AU578" i="12" s="1"/>
  <c r="AT103" i="35"/>
  <c r="AU103" i="35" s="1"/>
  <c r="AV103" i="35" s="1"/>
  <c r="AW103" i="35" s="1"/>
  <c r="AX103" i="35" s="1"/>
  <c r="AY103" i="35" s="1"/>
  <c r="AZ103" i="35" s="1"/>
  <c r="BA103" i="35" s="1"/>
  <c r="BB103" i="35" s="1"/>
  <c r="BC103" i="35" s="1"/>
  <c r="BD103" i="35" s="1"/>
  <c r="BE103" i="35" s="1"/>
  <c r="BF103" i="35" s="1"/>
  <c r="BG103" i="35" s="1"/>
  <c r="BH103" i="35" s="1"/>
  <c r="BI103" i="35" s="1"/>
  <c r="BJ103" i="35" s="1"/>
  <c r="BK103" i="35" s="1"/>
  <c r="BL103" i="35" s="1"/>
  <c r="BM103" i="35" s="1"/>
  <c r="BN103" i="35" s="1"/>
  <c r="BO103" i="35" s="1"/>
  <c r="BP103" i="35" s="1"/>
  <c r="BQ103" i="35" s="1"/>
  <c r="BR103" i="35" s="1"/>
  <c r="BS103" i="35" s="1"/>
  <c r="BT103" i="35" s="1"/>
  <c r="BU103" i="35" s="1"/>
  <c r="AU121" i="35"/>
  <c r="G12" i="52"/>
  <c r="H12" i="52" s="1"/>
  <c r="AT8" i="13"/>
  <c r="BI234" i="20" s="1"/>
  <c r="AY197" i="13"/>
  <c r="AY43" i="13" s="1"/>
  <c r="AY151" i="13" s="1"/>
  <c r="BJ46" i="13" s="1"/>
  <c r="AZ202" i="13"/>
  <c r="AY102" i="13"/>
  <c r="AY168" i="13" s="1"/>
  <c r="AW162" i="12"/>
  <c r="BK218" i="20"/>
  <c r="E32" i="39" s="1"/>
  <c r="H32" i="39" s="1"/>
  <c r="AX172" i="12"/>
  <c r="AY176" i="12"/>
  <c r="AX241" i="12"/>
  <c r="AY245" i="12"/>
  <c r="AL122" i="35"/>
  <c r="BS159" i="35"/>
  <c r="AR330" i="11"/>
  <c r="AR13" i="44" s="1"/>
  <c r="AZ314" i="11"/>
  <c r="BB314" i="11" s="1"/>
  <c r="AW306" i="11"/>
  <c r="AW304" i="11" s="1"/>
  <c r="AQ36" i="35"/>
  <c r="AQ37" i="35" s="1"/>
  <c r="K36" i="15"/>
  <c r="K47" i="15"/>
  <c r="K41" i="15"/>
  <c r="BE196" i="20"/>
  <c r="BE241" i="20" s="1"/>
  <c r="BE275" i="20" s="1"/>
  <c r="AT56" i="44"/>
  <c r="AU31" i="44"/>
  <c r="AV31" i="44" s="1"/>
  <c r="BG336" i="20"/>
  <c r="BJ106" i="20"/>
  <c r="AU14" i="44"/>
  <c r="AU56" i="44" s="1"/>
  <c r="F8" i="47" s="1"/>
  <c r="W70" i="15"/>
  <c r="BL70" i="15" s="1"/>
  <c r="AS40" i="35"/>
  <c r="Y102" i="15"/>
  <c r="Y110" i="15" s="1"/>
  <c r="AW129" i="13"/>
  <c r="AX200" i="13"/>
  <c r="BU49" i="13"/>
  <c r="BV49" i="13" s="1"/>
  <c r="BK47" i="13"/>
  <c r="BI233" i="20"/>
  <c r="H9" i="52"/>
  <c r="BG196" i="20"/>
  <c r="BG241" i="20" s="1"/>
  <c r="BE161" i="20"/>
  <c r="BE229" i="20"/>
  <c r="BE230" i="20"/>
  <c r="BG58" i="20"/>
  <c r="BG14" i="20" s="1"/>
  <c r="BG231" i="20"/>
  <c r="BD241" i="20"/>
  <c r="BD275" i="20" s="1"/>
  <c r="BE279" i="20"/>
  <c r="BF247" i="20"/>
  <c r="BF279" i="20" s="1"/>
  <c r="BH58" i="20"/>
  <c r="BH14" i="20" s="1"/>
  <c r="BH231" i="20"/>
  <c r="BE280" i="20"/>
  <c r="BF248" i="20"/>
  <c r="BF280" i="20" s="1"/>
  <c r="BD199" i="20"/>
  <c r="BD244" i="20" s="1"/>
  <c r="BD276" i="20" s="1"/>
  <c r="BE273" i="20"/>
  <c r="BF239" i="20"/>
  <c r="BF273" i="20" s="1"/>
  <c r="BE277" i="20"/>
  <c r="BF245" i="20"/>
  <c r="BF277" i="20" s="1"/>
  <c r="BE274" i="20"/>
  <c r="BF240" i="20"/>
  <c r="BF274" i="20" s="1"/>
  <c r="L22" i="18"/>
  <c r="K22" i="18"/>
  <c r="N22" i="18"/>
  <c r="P22" i="18" s="1"/>
  <c r="AQ22" i="43"/>
  <c r="BD42" i="20"/>
  <c r="C25" i="3"/>
  <c r="H25" i="3" s="1"/>
  <c r="BE202" i="14"/>
  <c r="BD208" i="14"/>
  <c r="X16" i="48"/>
  <c r="Z49" i="18"/>
  <c r="D13" i="3"/>
  <c r="G24" i="53" s="1"/>
  <c r="BM287" i="20"/>
  <c r="BM306" i="20" s="1"/>
  <c r="BJ150" i="20"/>
  <c r="AU336" i="11" s="1"/>
  <c r="BK97" i="20"/>
  <c r="BK114" i="20" s="1"/>
  <c r="BJ114" i="20"/>
  <c r="AU318" i="14"/>
  <c r="AU276" i="14"/>
  <c r="AV60" i="44"/>
  <c r="BK105" i="20"/>
  <c r="BJ158" i="20"/>
  <c r="BO287" i="20"/>
  <c r="BP287" i="20" s="1"/>
  <c r="BP306" i="20" s="1"/>
  <c r="BN287" i="20"/>
  <c r="BN306" i="20" s="1"/>
  <c r="BO122" i="35"/>
  <c r="BO121" i="35"/>
  <c r="AK159" i="35"/>
  <c r="AK160" i="35"/>
  <c r="BC121" i="35"/>
  <c r="BC122" i="35"/>
  <c r="BG122" i="35"/>
  <c r="BG121" i="35"/>
  <c r="BC160" i="35"/>
  <c r="BC159" i="35"/>
  <c r="AR121" i="35"/>
  <c r="AR122" i="35"/>
  <c r="AW405" i="12"/>
  <c r="U126" i="15"/>
  <c r="U119" i="15"/>
  <c r="U125" i="15" s="1"/>
  <c r="AP381" i="7"/>
  <c r="AP383" i="7" s="1"/>
  <c r="AP448" i="7"/>
  <c r="AP456" i="7" s="1"/>
  <c r="AP458" i="7" s="1"/>
  <c r="AQ458" i="7" s="1"/>
  <c r="AQ459" i="7" s="1"/>
  <c r="AQ268" i="7" s="1"/>
  <c r="AQ681" i="7" s="1"/>
  <c r="AQ683" i="7" s="1"/>
  <c r="AQ686" i="7" s="1"/>
  <c r="AQ373" i="7"/>
  <c r="AQ381" i="7" s="1"/>
  <c r="AQ383" i="7" s="1"/>
  <c r="AG929" i="7"/>
  <c r="S412" i="7"/>
  <c r="S507" i="7" s="1"/>
  <c r="S467" i="7"/>
  <c r="AS36" i="7"/>
  <c r="W179" i="7"/>
  <c r="V181" i="7"/>
  <c r="S465" i="7"/>
  <c r="S409" i="7"/>
  <c r="S504" i="7" s="1"/>
  <c r="S394" i="7"/>
  <c r="AL504" i="7"/>
  <c r="AW665" i="7"/>
  <c r="S408" i="7"/>
  <c r="W408" i="7"/>
  <c r="AD76" i="7"/>
  <c r="AD139" i="7" s="1"/>
  <c r="AD137" i="7"/>
  <c r="Z76" i="7"/>
  <c r="Z139" i="7" s="1"/>
  <c r="Z137" i="7"/>
  <c r="T65" i="15"/>
  <c r="AS36" i="13"/>
  <c r="AT36" i="13"/>
  <c r="AT37" i="13" s="1"/>
  <c r="BR160" i="35"/>
  <c r="BR159" i="35"/>
  <c r="BH160" i="35"/>
  <c r="BH159" i="35"/>
  <c r="AJ159" i="35"/>
  <c r="AJ160" i="35"/>
  <c r="BI121" i="35"/>
  <c r="BI122" i="35"/>
  <c r="BI160" i="35"/>
  <c r="BI159" i="35"/>
  <c r="BE160" i="35"/>
  <c r="BE159" i="35"/>
  <c r="AW121" i="35"/>
  <c r="AW122" i="35"/>
  <c r="AL160" i="35"/>
  <c r="AL159" i="35"/>
  <c r="BD121" i="35"/>
  <c r="BD122" i="35"/>
  <c r="AS42" i="35"/>
  <c r="AS43" i="35" s="1"/>
  <c r="AY160" i="35"/>
  <c r="AY159" i="35"/>
  <c r="AZ121" i="35"/>
  <c r="AZ122" i="35"/>
  <c r="AF121" i="35"/>
  <c r="AF122" i="35"/>
  <c r="AH160" i="35"/>
  <c r="AH159" i="35"/>
  <c r="BA159" i="35"/>
  <c r="BA160" i="35"/>
  <c r="BU121" i="35"/>
  <c r="BU122" i="35"/>
  <c r="AM121" i="35"/>
  <c r="AM122" i="35"/>
  <c r="BK159" i="35"/>
  <c r="BK160" i="35"/>
  <c r="BQ122" i="35"/>
  <c r="BQ121" i="35"/>
  <c r="BB159" i="35"/>
  <c r="BB160" i="35"/>
  <c r="BM159" i="35"/>
  <c r="BM160" i="35"/>
  <c r="AP160" i="35"/>
  <c r="AP159" i="35"/>
  <c r="AU159" i="35"/>
  <c r="AU160" i="35"/>
  <c r="BF160" i="35"/>
  <c r="BF159" i="35"/>
  <c r="AM160" i="35"/>
  <c r="AM159" i="35"/>
  <c r="AS122" i="35"/>
  <c r="AS121" i="35"/>
  <c r="AI121" i="35"/>
  <c r="AI122" i="35"/>
  <c r="AK121" i="35"/>
  <c r="AK122" i="35"/>
  <c r="AG159" i="35"/>
  <c r="AG160" i="35"/>
  <c r="AV121" i="35"/>
  <c r="AV122" i="35"/>
  <c r="BE121" i="35"/>
  <c r="BE122" i="35"/>
  <c r="BJ160" i="35"/>
  <c r="BJ159" i="35"/>
  <c r="AY121" i="35"/>
  <c r="AY122" i="35"/>
  <c r="AQ159" i="35"/>
  <c r="AQ160" i="35"/>
  <c r="BH121" i="35"/>
  <c r="BH122" i="35"/>
  <c r="AX122" i="35"/>
  <c r="AX121" i="35"/>
  <c r="AN121" i="35"/>
  <c r="AN122" i="35"/>
  <c r="AN160" i="35"/>
  <c r="AN159" i="35"/>
  <c r="AI160" i="35"/>
  <c r="AI159" i="35"/>
  <c r="AB159" i="35"/>
  <c r="AB160" i="35"/>
  <c r="AO160" i="35"/>
  <c r="AO159" i="35"/>
  <c r="BB121" i="35"/>
  <c r="BB122" i="35"/>
  <c r="BN159" i="35"/>
  <c r="BN160" i="35"/>
  <c r="BQ159" i="35"/>
  <c r="BQ160" i="35"/>
  <c r="AB122" i="35"/>
  <c r="AB121" i="35"/>
  <c r="AW118" i="12"/>
  <c r="AW8" i="12" s="1"/>
  <c r="BL287" i="20"/>
  <c r="BL306" i="20" s="1"/>
  <c r="BB39" i="20"/>
  <c r="BB41" i="20" s="1"/>
  <c r="BC41" i="20"/>
  <c r="BI203" i="20"/>
  <c r="AY308" i="11"/>
  <c r="AX312" i="11"/>
  <c r="AX309" i="11" s="1"/>
  <c r="AY309" i="11" s="1"/>
  <c r="AZ309" i="11" s="1"/>
  <c r="BA309" i="11" s="1"/>
  <c r="BB309" i="11" s="1"/>
  <c r="BC309" i="11" s="1"/>
  <c r="BD309" i="11" s="1"/>
  <c r="BE309" i="11" s="1"/>
  <c r="AZ296" i="11"/>
  <c r="BB296" i="11" s="1"/>
  <c r="AY294" i="11"/>
  <c r="AR40" i="35"/>
  <c r="AR42" i="35"/>
  <c r="X102" i="15"/>
  <c r="AR37" i="35"/>
  <c r="Z942" i="7"/>
  <c r="Z943" i="7" s="1"/>
  <c r="AY65" i="44"/>
  <c r="AY143" i="44"/>
  <c r="AX143" i="44"/>
  <c r="AX65" i="44"/>
  <c r="AZ143" i="44"/>
  <c r="AJ42" i="35"/>
  <c r="AJ43" i="35" s="1"/>
  <c r="AJ40" i="35"/>
  <c r="AJ37" i="35"/>
  <c r="AS638" i="7"/>
  <c r="AT631" i="7"/>
  <c r="AT636" i="7" s="1"/>
  <c r="AT638" i="7" s="1"/>
  <c r="AU129" i="13"/>
  <c r="AU131" i="13" s="1"/>
  <c r="AT5" i="13"/>
  <c r="AT20" i="13"/>
  <c r="AV176" i="13"/>
  <c r="AU11" i="13"/>
  <c r="AU144" i="13" s="1"/>
  <c r="AV200" i="13"/>
  <c r="AV68" i="13"/>
  <c r="AV163" i="12"/>
  <c r="BK221" i="20" s="1"/>
  <c r="BL221" i="20" s="1"/>
  <c r="AV121" i="12"/>
  <c r="AW187" i="12"/>
  <c r="AW120" i="12"/>
  <c r="AV74" i="12"/>
  <c r="AV120" i="12" s="1"/>
  <c r="AT132" i="13"/>
  <c r="AT131" i="13"/>
  <c r="AU74" i="12"/>
  <c r="V30" i="1"/>
  <c r="Q120" i="15" s="1"/>
  <c r="Q126" i="15" s="1"/>
  <c r="AV811" i="7"/>
  <c r="AV810" i="7"/>
  <c r="AV812" i="7"/>
  <c r="AU121" i="12"/>
  <c r="AS4" i="12"/>
  <c r="BH225" i="20" s="1"/>
  <c r="AS18" i="12"/>
  <c r="AT120" i="12"/>
  <c r="BK11" i="20"/>
  <c r="BJ306" i="20"/>
  <c r="BK287" i="20"/>
  <c r="BK306" i="20" s="1"/>
  <c r="BM310" i="20"/>
  <c r="BN291" i="20"/>
  <c r="AY121" i="44"/>
  <c r="AY122" i="44" s="1"/>
  <c r="AY124" i="44" s="1"/>
  <c r="AY126" i="44" s="1"/>
  <c r="AY25" i="44" s="1"/>
  <c r="AY74" i="44" s="1"/>
  <c r="BM39" i="20"/>
  <c r="BM44" i="20" s="1"/>
  <c r="C6" i="47"/>
  <c r="AW157" i="44"/>
  <c r="AX155" i="44"/>
  <c r="AW156" i="44"/>
  <c r="AW163" i="44"/>
  <c r="AX162" i="44"/>
  <c r="AZ148" i="44"/>
  <c r="AZ151" i="44" s="1"/>
  <c r="BA151" i="44" s="1"/>
  <c r="AJ192" i="14"/>
  <c r="AJ204" i="14"/>
  <c r="AK191" i="14"/>
  <c r="AI216" i="14"/>
  <c r="AI218" i="14" s="1"/>
  <c r="AI63" i="14"/>
  <c r="U28" i="1"/>
  <c r="AJ96" i="14"/>
  <c r="AI133" i="14"/>
  <c r="AI134" i="14"/>
  <c r="AI99" i="14"/>
  <c r="AI144" i="14"/>
  <c r="Z104" i="14"/>
  <c r="Z100" i="14"/>
  <c r="AA133" i="14"/>
  <c r="AA134" i="14"/>
  <c r="AA99" i="14"/>
  <c r="AB96" i="14"/>
  <c r="AA144" i="14"/>
  <c r="AH104" i="14"/>
  <c r="AH100" i="14"/>
  <c r="AN98" i="14"/>
  <c r="AM175" i="14"/>
  <c r="AM176" i="14" s="1"/>
  <c r="AY142" i="14"/>
  <c r="AX131" i="14"/>
  <c r="AA95" i="14"/>
  <c r="Z132" i="14"/>
  <c r="Z143" i="14"/>
  <c r="AY78" i="14"/>
  <c r="AX80" i="14"/>
  <c r="AX61" i="14" s="1"/>
  <c r="AC94" i="14"/>
  <c r="AB131" i="14"/>
  <c r="AH149" i="14"/>
  <c r="AH151" i="14" s="1"/>
  <c r="AH62" i="14"/>
  <c r="BB71" i="14"/>
  <c r="BB181" i="14"/>
  <c r="AV82" i="14"/>
  <c r="AV83" i="14" s="1"/>
  <c r="AV86" i="14" s="1"/>
  <c r="AU83" i="14"/>
  <c r="AU86" i="14" s="1"/>
  <c r="AK37" i="35"/>
  <c r="AK40" i="35"/>
  <c r="Q102" i="15"/>
  <c r="V114" i="15" s="1"/>
  <c r="BF217" i="20"/>
  <c r="AQ10" i="44"/>
  <c r="R70" i="15"/>
  <c r="R73" i="15" s="1"/>
  <c r="BK73" i="15" s="1"/>
  <c r="AL36" i="35"/>
  <c r="AL42" i="35" s="1"/>
  <c r="AG88" i="7"/>
  <c r="AF81" i="15"/>
  <c r="AK81" i="15" s="1"/>
  <c r="V21" i="15"/>
  <c r="U65" i="15"/>
  <c r="V30" i="15"/>
  <c r="AA7" i="1" s="1"/>
  <c r="AR317" i="11"/>
  <c r="AT36" i="35"/>
  <c r="Z102" i="15" s="1"/>
  <c r="AC70" i="15"/>
  <c r="AO43" i="35"/>
  <c r="Z47" i="1"/>
  <c r="Z48" i="1" s="1"/>
  <c r="Z50" i="1" s="1"/>
  <c r="Z70" i="15"/>
  <c r="AW36" i="35"/>
  <c r="AC102" i="15" s="1"/>
  <c r="R596" i="7"/>
  <c r="R564" i="7" s="1"/>
  <c r="R605" i="7" s="1"/>
  <c r="R597" i="7"/>
  <c r="R565" i="7" s="1"/>
  <c r="R501" i="7"/>
  <c r="R509" i="7"/>
  <c r="V58" i="15"/>
  <c r="AA18" i="1" s="1"/>
  <c r="U124" i="15"/>
  <c r="U110" i="15"/>
  <c r="AR80" i="44"/>
  <c r="V773" i="7"/>
  <c r="AU138" i="12"/>
  <c r="AZ22" i="14"/>
  <c r="AF55" i="15" s="1"/>
  <c r="AF63" i="15" s="1"/>
  <c r="AE15" i="15"/>
  <c r="BH239" i="20"/>
  <c r="BH273" i="20" s="1"/>
  <c r="AX28" i="35"/>
  <c r="AX36" i="35" s="1"/>
  <c r="AS33" i="44"/>
  <c r="AS79" i="44" s="1"/>
  <c r="D27" i="47" s="1"/>
  <c r="AQ309" i="14"/>
  <c r="AT12" i="13"/>
  <c r="AT4" i="13"/>
  <c r="AT850" i="7"/>
  <c r="O73" i="15"/>
  <c r="U663" i="7"/>
  <c r="U661" i="7"/>
  <c r="U660" i="7"/>
  <c r="AA597" i="7"/>
  <c r="AA565" i="7" s="1"/>
  <c r="AA596" i="7"/>
  <c r="AA564" i="7" s="1"/>
  <c r="AA605" i="7" s="1"/>
  <c r="AA560" i="7"/>
  <c r="AA562" i="7" s="1"/>
  <c r="AL928" i="7"/>
  <c r="AL1010" i="7" s="1"/>
  <c r="AP1032" i="7"/>
  <c r="AG408" i="7"/>
  <c r="AC408" i="7"/>
  <c r="AK34" i="7"/>
  <c r="Q72" i="15"/>
  <c r="Q73" i="15" s="1"/>
  <c r="AG283" i="7"/>
  <c r="AG251" i="7"/>
  <c r="AG253" i="7" s="1"/>
  <c r="AG558" i="7" s="1"/>
  <c r="S538" i="7"/>
  <c r="AK759" i="7"/>
  <c r="AL757" i="7"/>
  <c r="AL759" i="7" s="1"/>
  <c r="AV797" i="7"/>
  <c r="AV800" i="7"/>
  <c r="AV799" i="7"/>
  <c r="AV796" i="7"/>
  <c r="AC919" i="7"/>
  <c r="AD915" i="7"/>
  <c r="H58" i="16" s="1"/>
  <c r="F20" i="17"/>
  <c r="AH245" i="7"/>
  <c r="AH282" i="7"/>
  <c r="AG247" i="7"/>
  <c r="AG934" i="7" s="1"/>
  <c r="AG935" i="7" s="1"/>
  <c r="Z36" i="7"/>
  <c r="J145" i="7"/>
  <c r="J146" i="7" s="1"/>
  <c r="M167" i="7"/>
  <c r="M145" i="7" s="1"/>
  <c r="AA181" i="7"/>
  <c r="AB179" i="7"/>
  <c r="X392" i="7"/>
  <c r="X394" i="7" s="1"/>
  <c r="Y391" i="7"/>
  <c r="X466" i="7"/>
  <c r="AJ277" i="7"/>
  <c r="AJ289" i="7" s="1"/>
  <c r="AI285" i="7"/>
  <c r="AI278" i="7"/>
  <c r="V72" i="15"/>
  <c r="AP34" i="7"/>
  <c r="J471" i="7"/>
  <c r="K389" i="7"/>
  <c r="J402" i="7"/>
  <c r="K388" i="7"/>
  <c r="AN93" i="7"/>
  <c r="AQ90" i="7"/>
  <c r="AQ93" i="7" s="1"/>
  <c r="AA90" i="7"/>
  <c r="AA93" i="7" s="1"/>
  <c r="AA100" i="7" s="1"/>
  <c r="AA25" i="7"/>
  <c r="AA34" i="7" s="1"/>
  <c r="AA36" i="7" s="1"/>
  <c r="AA74" i="7"/>
  <c r="AF381" i="7"/>
  <c r="AF383" i="7" s="1"/>
  <c r="AF448" i="7"/>
  <c r="AF456" i="7" s="1"/>
  <c r="AF458" i="7" s="1"/>
  <c r="W421" i="7"/>
  <c r="W414" i="7"/>
  <c r="W406" i="7"/>
  <c r="AN34" i="7"/>
  <c r="T72" i="15"/>
  <c r="T73" i="15" s="1"/>
  <c r="P126" i="15"/>
  <c r="P119" i="15"/>
  <c r="P125" i="15" s="1"/>
  <c r="AD93" i="7"/>
  <c r="AD100" i="7" s="1"/>
  <c r="Q25" i="7"/>
  <c r="Q27" i="7" s="1"/>
  <c r="Q90" i="7"/>
  <c r="R90" i="7" s="1"/>
  <c r="T617" i="7"/>
  <c r="T537" i="7"/>
  <c r="T538" i="7" s="1"/>
  <c r="AE74" i="7"/>
  <c r="AE90" i="7"/>
  <c r="AE93" i="7" s="1"/>
  <c r="AE100" i="7" s="1"/>
  <c r="AE25" i="7"/>
  <c r="AE34" i="7" s="1"/>
  <c r="AB728" i="7"/>
  <c r="X770" i="7"/>
  <c r="L144" i="7"/>
  <c r="L146" i="7" s="1"/>
  <c r="L93" i="7"/>
  <c r="L100" i="7" s="1"/>
  <c r="M90" i="7"/>
  <c r="AI100" i="7"/>
  <c r="O104" i="15"/>
  <c r="J468" i="7"/>
  <c r="AK1032" i="7"/>
  <c r="T74" i="7"/>
  <c r="T34" i="7"/>
  <c r="U27" i="7"/>
  <c r="T27" i="7"/>
  <c r="BA1054" i="7"/>
  <c r="AW1054" i="7"/>
  <c r="AW1062" i="7" s="1"/>
  <c r="AW1063" i="7" s="1"/>
  <c r="AV1074" i="7"/>
  <c r="J511" i="7"/>
  <c r="M504" i="7"/>
  <c r="V25" i="7"/>
  <c r="V27" i="7" s="1"/>
  <c r="V90" i="7"/>
  <c r="W90" i="7" s="1"/>
  <c r="AQ258" i="7"/>
  <c r="AQ1066" i="7"/>
  <c r="T144" i="7"/>
  <c r="T146" i="7" s="1"/>
  <c r="T161" i="7" s="1"/>
  <c r="T93" i="7"/>
  <c r="T100" i="7" s="1"/>
  <c r="J477" i="7"/>
  <c r="K476" i="7"/>
  <c r="AF940" i="7"/>
  <c r="N524" i="7"/>
  <c r="N527" i="7" s="1"/>
  <c r="O524" i="7" s="1"/>
  <c r="O527" i="7" s="1"/>
  <c r="P524" i="7" s="1"/>
  <c r="P527" i="7" s="1"/>
  <c r="Q524" i="7" s="1"/>
  <c r="Q527" i="7" s="1"/>
  <c r="R524" i="7"/>
  <c r="R527" i="7" s="1"/>
  <c r="Z93" i="7"/>
  <c r="Z100" i="7" s="1"/>
  <c r="AC909" i="7"/>
  <c r="AB910" i="7"/>
  <c r="AB913" i="7"/>
  <c r="N529" i="7"/>
  <c r="M532" i="7"/>
  <c r="AF74" i="7"/>
  <c r="AF25" i="7"/>
  <c r="AF34" i="7" s="1"/>
  <c r="AF90" i="7"/>
  <c r="AF93" i="7" s="1"/>
  <c r="AF100" i="7" s="1"/>
  <c r="J375" i="7"/>
  <c r="J449" i="7"/>
  <c r="W420" i="7"/>
  <c r="AV798" i="7"/>
  <c r="M537" i="7"/>
  <c r="J538" i="7"/>
  <c r="M538" i="7" s="1"/>
  <c r="Q170" i="7"/>
  <c r="AJ100" i="7"/>
  <c r="P104" i="15"/>
  <c r="P105" i="15" s="1"/>
  <c r="BR1056" i="7"/>
  <c r="BP1056" i="7"/>
  <c r="W72" i="15"/>
  <c r="BL72" i="15" s="1"/>
  <c r="AQ34" i="7"/>
  <c r="W104" i="15" s="1"/>
  <c r="BV832" i="7"/>
  <c r="AD36" i="7"/>
  <c r="AB509" i="7"/>
  <c r="AB501" i="7"/>
  <c r="AX789" i="7"/>
  <c r="AX791" i="7" s="1"/>
  <c r="AW806" i="7"/>
  <c r="AW807" i="7" s="1"/>
  <c r="AW809" i="7" s="1"/>
  <c r="K530" i="7"/>
  <c r="J533" i="7"/>
  <c r="AP432" i="7"/>
  <c r="AP639" i="7"/>
  <c r="AP638" i="7" s="1"/>
  <c r="O200" i="7"/>
  <c r="W652" i="7"/>
  <c r="V654" i="7"/>
  <c r="V649" i="7"/>
  <c r="AE940" i="7"/>
  <c r="P93" i="7"/>
  <c r="P100" i="7" s="1"/>
  <c r="P144" i="7"/>
  <c r="P146" i="7" s="1"/>
  <c r="P161" i="7" s="1"/>
  <c r="AO34" i="7"/>
  <c r="U72" i="15"/>
  <c r="U73" i="15" s="1"/>
  <c r="W498" i="7"/>
  <c r="W596" i="7" s="1"/>
  <c r="W564" i="7" s="1"/>
  <c r="W605" i="7" s="1"/>
  <c r="W500" i="7"/>
  <c r="L34" i="7"/>
  <c r="L74" i="7"/>
  <c r="L27" i="7"/>
  <c r="U650" i="7"/>
  <c r="U526" i="7" s="1"/>
  <c r="U662" i="7"/>
  <c r="U658" i="7"/>
  <c r="U657" i="7"/>
  <c r="C7" i="17"/>
  <c r="L749" i="7"/>
  <c r="L156" i="7" s="1"/>
  <c r="M745" i="7"/>
  <c r="N176" i="7"/>
  <c r="O179" i="7"/>
  <c r="O181" i="7" s="1"/>
  <c r="K524" i="7"/>
  <c r="K527" i="7" s="1"/>
  <c r="J532" i="7"/>
  <c r="P74" i="7"/>
  <c r="P34" i="7"/>
  <c r="P27" i="7"/>
  <c r="AO638" i="7"/>
  <c r="V456" i="7"/>
  <c r="V458" i="7" s="1"/>
  <c r="BC992" i="7"/>
  <c r="BB356" i="7"/>
  <c r="AZ334" i="7"/>
  <c r="BA334" i="7" s="1"/>
  <c r="BA356" i="7"/>
  <c r="AY804" i="7"/>
  <c r="BA788" i="7"/>
  <c r="AZ805" i="7"/>
  <c r="AZ790" i="7"/>
  <c r="AS5" i="12"/>
  <c r="BH226" i="20" s="1"/>
  <c r="AS123" i="12"/>
  <c r="BN17" i="13"/>
  <c r="BN986" i="7" s="1"/>
  <c r="BM15" i="12"/>
  <c r="AT154" i="12"/>
  <c r="AT155" i="12"/>
  <c r="AN578" i="12"/>
  <c r="AT9" i="12"/>
  <c r="AS280" i="7"/>
  <c r="AS121" i="7"/>
  <c r="AT8" i="12"/>
  <c r="AT121" i="12"/>
  <c r="BW986" i="7"/>
  <c r="BX17" i="13"/>
  <c r="AN567" i="12"/>
  <c r="AN558" i="12"/>
  <c r="AN568" i="12" s="1"/>
  <c r="AS29" i="13"/>
  <c r="AS31" i="13"/>
  <c r="AS10" i="12"/>
  <c r="AQ568" i="12"/>
  <c r="AT578" i="12"/>
  <c r="AT577" i="12"/>
  <c r="AT594" i="12"/>
  <c r="AS266" i="7"/>
  <c r="AS244" i="7" s="1"/>
  <c r="AS727" i="7"/>
  <c r="AS192" i="7"/>
  <c r="AS680" i="7"/>
  <c r="AS765" i="7"/>
  <c r="BA646" i="7"/>
  <c r="AX653" i="7"/>
  <c r="AX666" i="7"/>
  <c r="BB9" i="9"/>
  <c r="BB102" i="7"/>
  <c r="BC5" i="9"/>
  <c r="BC114" i="44" s="1"/>
  <c r="AH89" i="15"/>
  <c r="AH90" i="15" s="1"/>
  <c r="BB845" i="7"/>
  <c r="BB10" i="9"/>
  <c r="BB244" i="14"/>
  <c r="BB54" i="35"/>
  <c r="AY26" i="35"/>
  <c r="AZ23" i="35"/>
  <c r="AZ51" i="35"/>
  <c r="AZ24" i="35"/>
  <c r="BA24" i="35" s="1"/>
  <c r="AZ34" i="35"/>
  <c r="AZ19" i="35"/>
  <c r="AZ6" i="35"/>
  <c r="AZ10" i="35" s="1"/>
  <c r="AF9" i="15" s="1"/>
  <c r="AZ39" i="35"/>
  <c r="AZ33" i="35"/>
  <c r="BA33" i="35" s="1"/>
  <c r="AZ32" i="35"/>
  <c r="BA32" i="35" s="1"/>
  <c r="AZ25" i="35"/>
  <c r="BA25" i="35" s="1"/>
  <c r="AD28" i="15"/>
  <c r="AD37" i="15"/>
  <c r="AD41" i="15"/>
  <c r="AY11" i="35"/>
  <c r="AE35" i="15"/>
  <c r="AY20" i="35"/>
  <c r="AY18" i="35"/>
  <c r="BA102" i="7"/>
  <c r="AZ326" i="7"/>
  <c r="AY50" i="35"/>
  <c r="AY52" i="35"/>
  <c r="AD15" i="15"/>
  <c r="AD11" i="15"/>
  <c r="AZ819" i="7"/>
  <c r="BA819" i="7" s="1"/>
  <c r="AZ1035" i="7"/>
  <c r="AZ1043" i="7" s="1"/>
  <c r="BA1043" i="7" s="1"/>
  <c r="AB596" i="7"/>
  <c r="AB564" i="7" s="1"/>
  <c r="AB597" i="7"/>
  <c r="AB565" i="7" s="1"/>
  <c r="AL605" i="7"/>
  <c r="AL271" i="7"/>
  <c r="BA57" i="14"/>
  <c r="P110" i="15"/>
  <c r="P124" i="15"/>
  <c r="U114" i="15"/>
  <c r="AA6" i="1"/>
  <c r="V17" i="15"/>
  <c r="V20" i="15"/>
  <c r="V22" i="15"/>
  <c r="V23" i="15"/>
  <c r="AA17" i="15"/>
  <c r="AP43" i="35"/>
  <c r="AA47" i="1"/>
  <c r="AA48" i="1" s="1"/>
  <c r="AA35" i="1" s="1"/>
  <c r="W49" i="15"/>
  <c r="W46" i="15"/>
  <c r="W48" i="15"/>
  <c r="BC104" i="7"/>
  <c r="Y47" i="1"/>
  <c r="Y48" i="1" s="1"/>
  <c r="Y50" i="1" s="1"/>
  <c r="AN43" i="35"/>
  <c r="AZ105" i="7"/>
  <c r="AZ92" i="7"/>
  <c r="AZ24" i="7" s="1"/>
  <c r="AF56" i="15" s="1"/>
  <c r="AS55" i="44"/>
  <c r="AS13" i="44"/>
  <c r="AK43" i="35"/>
  <c r="V47" i="1"/>
  <c r="V48" i="1" s="1"/>
  <c r="V50" i="1" s="1"/>
  <c r="O102" i="15"/>
  <c r="T114" i="15" s="1"/>
  <c r="AI37" i="35"/>
  <c r="AI42" i="35"/>
  <c r="AI40" i="35"/>
  <c r="AY81" i="15"/>
  <c r="Z56" i="15"/>
  <c r="AB56" i="15"/>
  <c r="AB64" i="15" s="1"/>
  <c r="S65" i="15"/>
  <c r="X57" i="15"/>
  <c r="W57" i="15"/>
  <c r="BD56" i="14"/>
  <c r="AE55" i="15"/>
  <c r="R42" i="15"/>
  <c r="R48" i="15"/>
  <c r="R29" i="15"/>
  <c r="AM42" i="35"/>
  <c r="S102" i="15"/>
  <c r="AM40" i="35"/>
  <c r="AM37" i="35"/>
  <c r="Q562" i="7"/>
  <c r="Q620" i="7"/>
  <c r="AL559" i="7"/>
  <c r="AL560" i="7" s="1"/>
  <c r="AM503" i="7"/>
  <c r="BE48" i="14"/>
  <c r="BJ56" i="14"/>
  <c r="AK558" i="7"/>
  <c r="W28" i="15"/>
  <c r="Z28" i="15"/>
  <c r="AN611" i="7"/>
  <c r="BG257" i="20"/>
  <c r="BF284" i="20"/>
  <c r="BF303" i="20" s="1"/>
  <c r="BF304" i="20" s="1"/>
  <c r="BF307" i="20" s="1"/>
  <c r="BF308" i="20" s="1"/>
  <c r="BF312" i="20" s="1"/>
  <c r="BF315" i="20" s="1"/>
  <c r="BF316" i="20" s="1"/>
  <c r="V562" i="7"/>
  <c r="V620" i="7"/>
  <c r="G18" i="17"/>
  <c r="AA945" i="7"/>
  <c r="I64" i="16" s="1"/>
  <c r="AA56" i="15"/>
  <c r="Z41" i="15"/>
  <c r="V110" i="15"/>
  <c r="V124" i="15"/>
  <c r="BL9" i="15"/>
  <c r="W11" i="15"/>
  <c r="W15" i="15"/>
  <c r="T110" i="15"/>
  <c r="T124" i="15"/>
  <c r="T125" i="15"/>
  <c r="N110" i="15"/>
  <c r="N105" i="15"/>
  <c r="N124" i="15"/>
  <c r="AH43" i="35"/>
  <c r="S47" i="1"/>
  <c r="S48" i="1" s="1"/>
  <c r="S50" i="1" s="1"/>
  <c r="BC48" i="14"/>
  <c r="BH56" i="14"/>
  <c r="N125" i="15"/>
  <c r="Y55" i="15"/>
  <c r="AD63" i="15" s="1"/>
  <c r="AB55" i="15"/>
  <c r="C22" i="46"/>
  <c r="B26" i="46"/>
  <c r="BI194" i="20"/>
  <c r="P7" i="42"/>
  <c r="O15" i="42"/>
  <c r="O10" i="42"/>
  <c r="O11" i="42"/>
  <c r="O9" i="42"/>
  <c r="O13" i="42"/>
  <c r="O12" i="42"/>
  <c r="O7" i="42"/>
  <c r="O8" i="42"/>
  <c r="O14" i="42"/>
  <c r="X22" i="15"/>
  <c r="X17" i="15"/>
  <c r="AC6" i="1"/>
  <c r="X20" i="15"/>
  <c r="X23" i="15"/>
  <c r="X30" i="15"/>
  <c r="AC7" i="1" s="1"/>
  <c r="X43" i="15"/>
  <c r="AD10" i="1"/>
  <c r="AD9" i="1"/>
  <c r="AU300" i="14"/>
  <c r="AV300" i="14" s="1"/>
  <c r="BB48" i="14"/>
  <c r="BG56" i="14"/>
  <c r="X104" i="15"/>
  <c r="AR100" i="7"/>
  <c r="AY168" i="14"/>
  <c r="AY167" i="14" s="1"/>
  <c r="AV11" i="35"/>
  <c r="AB9" i="15"/>
  <c r="AB41" i="15" s="1"/>
  <c r="AE22" i="15"/>
  <c r="AJ6" i="1"/>
  <c r="AE20" i="15"/>
  <c r="AE23" i="15"/>
  <c r="AC43" i="15"/>
  <c r="BL159" i="20"/>
  <c r="AV274" i="14"/>
  <c r="AV313" i="14"/>
  <c r="Z46" i="15"/>
  <c r="Z48" i="15"/>
  <c r="Z49" i="15"/>
  <c r="BL105" i="20"/>
  <c r="BL158" i="20" s="1"/>
  <c r="AV317" i="14"/>
  <c r="Z47" i="15"/>
  <c r="AC22" i="15"/>
  <c r="AH6" i="1"/>
  <c r="AC23" i="15"/>
  <c r="AC20" i="15"/>
  <c r="AC17" i="15"/>
  <c r="AU166" i="44"/>
  <c r="AU167" i="44"/>
  <c r="AU33" i="44" s="1"/>
  <c r="AW817" i="7"/>
  <c r="BA817" i="7"/>
  <c r="AB70" i="15"/>
  <c r="BM70" i="15" s="1"/>
  <c r="AV36" i="35"/>
  <c r="AV29" i="35"/>
  <c r="AV314" i="14"/>
  <c r="AU1046" i="7"/>
  <c r="AU37" i="35"/>
  <c r="AA102" i="15"/>
  <c r="AU42" i="35"/>
  <c r="AU40" i="35"/>
  <c r="AT142" i="44"/>
  <c r="AT165" i="44"/>
  <c r="AB37" i="15"/>
  <c r="AB47" i="15" s="1"/>
  <c r="AX246" i="14"/>
  <c r="AX1036" i="7"/>
  <c r="Z15" i="15"/>
  <c r="Z11" i="15"/>
  <c r="AE17" i="15" s="1"/>
  <c r="AV65" i="44"/>
  <c r="AY245" i="14"/>
  <c r="AJ179" i="1"/>
  <c r="BO79" i="20"/>
  <c r="BO150" i="20" s="1"/>
  <c r="AE92" i="15"/>
  <c r="AE93" i="15" s="1"/>
  <c r="AY55" i="35"/>
  <c r="AC30" i="15"/>
  <c r="AH7" i="1" s="1"/>
  <c r="AX194" i="14"/>
  <c r="AW231" i="14"/>
  <c r="AY195" i="14"/>
  <c r="J47" i="15" l="1"/>
  <c r="AG52" i="35"/>
  <c r="AP357" i="11"/>
  <c r="N602" i="42"/>
  <c r="AR356" i="11"/>
  <c r="P653" i="42" s="1"/>
  <c r="AR353" i="11"/>
  <c r="BI168" i="20"/>
  <c r="R600" i="42"/>
  <c r="BL168" i="20"/>
  <c r="U600" i="42"/>
  <c r="BD129" i="13"/>
  <c r="BD339" i="11"/>
  <c r="BB137" i="44"/>
  <c r="BB132" i="44"/>
  <c r="BB16" i="44" s="1"/>
  <c r="BJ159" i="20"/>
  <c r="BK159" i="20" s="1"/>
  <c r="BJ169" i="20"/>
  <c r="AW349" i="11"/>
  <c r="AY687" i="7"/>
  <c r="BN151" i="20"/>
  <c r="AY337" i="11"/>
  <c r="BL195" i="20"/>
  <c r="BL240" i="20" s="1"/>
  <c r="BL274" i="20" s="1"/>
  <c r="AW336" i="11"/>
  <c r="AS355" i="11"/>
  <c r="AS352" i="11"/>
  <c r="AZ336" i="11"/>
  <c r="BL203" i="20"/>
  <c r="BL248" i="20" s="1"/>
  <c r="AW337" i="11"/>
  <c r="BM150" i="20"/>
  <c r="AX336" i="11" s="1"/>
  <c r="AX344" i="11" s="1"/>
  <c r="AU349" i="11"/>
  <c r="BN160" i="20"/>
  <c r="AY25" i="43"/>
  <c r="AY26" i="43" s="1"/>
  <c r="BK158" i="20"/>
  <c r="AU337" i="11"/>
  <c r="AT343" i="11"/>
  <c r="AT342" i="11"/>
  <c r="AT355" i="11" s="1"/>
  <c r="R652" i="42" s="1"/>
  <c r="BL204" i="20"/>
  <c r="BL249" i="20" s="1"/>
  <c r="AW335" i="11"/>
  <c r="AX345" i="11"/>
  <c r="AU345" i="11"/>
  <c r="BA16" i="44"/>
  <c r="BC153" i="13"/>
  <c r="BD132" i="13"/>
  <c r="BD131" i="13"/>
  <c r="BF52" i="13"/>
  <c r="BF68" i="13" s="1"/>
  <c r="BF129" i="13" s="1"/>
  <c r="BF131" i="13" s="1"/>
  <c r="BE68" i="13"/>
  <c r="BC132" i="13"/>
  <c r="BC131" i="13"/>
  <c r="AZ197" i="13"/>
  <c r="BB202" i="13"/>
  <c r="AZ43" i="13"/>
  <c r="AZ341" i="11" s="1"/>
  <c r="BA197" i="13"/>
  <c r="AY172" i="12"/>
  <c r="AZ176" i="12"/>
  <c r="AZ172" i="12" s="1"/>
  <c r="AX162" i="12"/>
  <c r="AX164" i="12" s="1"/>
  <c r="AX163" i="12" s="1"/>
  <c r="BM221" i="20" s="1"/>
  <c r="BM223" i="20" s="1"/>
  <c r="AW129" i="12"/>
  <c r="AW133" i="12" s="1"/>
  <c r="AY478" i="12"/>
  <c r="AZ482" i="12"/>
  <c r="AZ478" i="12" s="1"/>
  <c r="AY241" i="12"/>
  <c r="AZ245" i="12"/>
  <c r="AZ241" i="12" s="1"/>
  <c r="AY7" i="44"/>
  <c r="BC296" i="11"/>
  <c r="BB294" i="11"/>
  <c r="BC314" i="11"/>
  <c r="D7" i="47"/>
  <c r="BB151" i="44"/>
  <c r="BC151" i="44" s="1"/>
  <c r="BD151" i="44" s="1"/>
  <c r="BE151" i="44" s="1"/>
  <c r="BF151" i="44" s="1"/>
  <c r="BF153" i="44" s="1"/>
  <c r="BA153" i="44"/>
  <c r="BF10" i="43"/>
  <c r="AZ110" i="43"/>
  <c r="BB112" i="43"/>
  <c r="BE131" i="43"/>
  <c r="BE11" i="43"/>
  <c r="BF11" i="43" s="1"/>
  <c r="BE145" i="43"/>
  <c r="BD146" i="43"/>
  <c r="BD12" i="43"/>
  <c r="BD16" i="43" s="1"/>
  <c r="AZ294" i="11"/>
  <c r="BJ292" i="20"/>
  <c r="BJ311" i="20" s="1"/>
  <c r="BN71" i="20"/>
  <c r="AY255" i="11" s="1"/>
  <c r="AY254" i="11" s="1"/>
  <c r="BJ121" i="20"/>
  <c r="BK106" i="20"/>
  <c r="BK121" i="20" s="1"/>
  <c r="BN61" i="20"/>
  <c r="BN66" i="20" s="1"/>
  <c r="BN74" i="20"/>
  <c r="AX306" i="11"/>
  <c r="AX304" i="11" s="1"/>
  <c r="AY306" i="11"/>
  <c r="AY304" i="11" s="1"/>
  <c r="J29" i="15"/>
  <c r="J41" i="15"/>
  <c r="AG20" i="35"/>
  <c r="J42" i="15"/>
  <c r="BD104" i="7"/>
  <c r="BD92" i="7" s="1"/>
  <c r="AS37" i="13"/>
  <c r="AY405" i="12"/>
  <c r="AZ105" i="12"/>
  <c r="AZ118" i="12" s="1"/>
  <c r="BA98" i="12"/>
  <c r="AZ220" i="12"/>
  <c r="BA99" i="12"/>
  <c r="AZ243" i="12"/>
  <c r="J10" i="47"/>
  <c r="L10" i="47" s="1"/>
  <c r="BA58" i="44"/>
  <c r="I47" i="15"/>
  <c r="BP358" i="20"/>
  <c r="G12" i="53"/>
  <c r="BP348" i="20"/>
  <c r="BQ348" i="20"/>
  <c r="I41" i="15"/>
  <c r="AG18" i="35"/>
  <c r="M28" i="15" s="1"/>
  <c r="M35" i="15"/>
  <c r="M47" i="15" s="1"/>
  <c r="E4" i="18"/>
  <c r="AG36" i="35"/>
  <c r="AG42" i="35" s="1"/>
  <c r="AG43" i="35" s="1"/>
  <c r="AR593" i="7"/>
  <c r="AR611" i="7" s="1"/>
  <c r="BM106" i="20"/>
  <c r="AX349" i="11" s="1"/>
  <c r="AX351" i="11" s="1"/>
  <c r="AY61" i="44"/>
  <c r="AY30" i="44" s="1"/>
  <c r="AX4" i="45"/>
  <c r="AX5" i="45" s="1"/>
  <c r="AZ151" i="13"/>
  <c r="BA43" i="13"/>
  <c r="G29" i="53"/>
  <c r="G22" i="53"/>
  <c r="AJ286" i="7"/>
  <c r="BE104" i="7"/>
  <c r="BE92" i="7" s="1"/>
  <c r="J202" i="7"/>
  <c r="BB104" i="7"/>
  <c r="BB92" i="7" s="1"/>
  <c r="AQ40" i="35"/>
  <c r="AQ42" i="35"/>
  <c r="AQ43" i="35" s="1"/>
  <c r="AW825" i="7"/>
  <c r="AW826" i="7" s="1"/>
  <c r="AW822" i="7"/>
  <c r="W102" i="15"/>
  <c r="W110" i="15" s="1"/>
  <c r="AW131" i="13"/>
  <c r="AX132" i="13"/>
  <c r="AL90" i="7"/>
  <c r="AL93" i="7" s="1"/>
  <c r="S468" i="7"/>
  <c r="AF36" i="7"/>
  <c r="BO832" i="7"/>
  <c r="BK832" i="7"/>
  <c r="AW1059" i="7"/>
  <c r="F42" i="53"/>
  <c r="J42" i="53" s="1"/>
  <c r="L42" i="53" s="1"/>
  <c r="G18" i="53"/>
  <c r="AY118" i="12"/>
  <c r="AU594" i="12"/>
  <c r="BL218" i="20"/>
  <c r="AW164" i="12"/>
  <c r="AW163" i="12" s="1"/>
  <c r="AU577" i="12"/>
  <c r="AU8" i="13"/>
  <c r="BJ234" i="20" s="1"/>
  <c r="AU7" i="13"/>
  <c r="BJ233" i="20" s="1"/>
  <c r="AY200" i="13"/>
  <c r="AZ102" i="13"/>
  <c r="AY132" i="13"/>
  <c r="AV138" i="12"/>
  <c r="AU140" i="12"/>
  <c r="AU141" i="12" s="1"/>
  <c r="BF196" i="20"/>
  <c r="Y114" i="15"/>
  <c r="K29" i="15"/>
  <c r="K42" i="15"/>
  <c r="K48" i="15"/>
  <c r="AA942" i="7"/>
  <c r="AA943" i="7" s="1"/>
  <c r="Y124" i="15"/>
  <c r="AQ496" i="7"/>
  <c r="AQ498" i="7" s="1"/>
  <c r="AQ509" i="7" s="1"/>
  <c r="AR503" i="7" s="1"/>
  <c r="AQ270" i="7"/>
  <c r="AQ250" i="7" s="1"/>
  <c r="AQ256" i="7"/>
  <c r="AQ259" i="7" s="1"/>
  <c r="AV14" i="44"/>
  <c r="E8" i="47"/>
  <c r="G8" i="47" s="1"/>
  <c r="AV56" i="44"/>
  <c r="AV446" i="7"/>
  <c r="AR446" i="7"/>
  <c r="AR456" i="7" s="1"/>
  <c r="AR458" i="7" s="1"/>
  <c r="AW14" i="44"/>
  <c r="AW56" i="44" s="1"/>
  <c r="H8" i="47" s="1"/>
  <c r="N24" i="42"/>
  <c r="Q7" i="42" s="1"/>
  <c r="G23" i="53"/>
  <c r="G25" i="53"/>
  <c r="G7" i="53"/>
  <c r="G28" i="53"/>
  <c r="G21" i="53"/>
  <c r="G13" i="53"/>
  <c r="G19" i="53"/>
  <c r="G8" i="53"/>
  <c r="G9" i="53"/>
  <c r="G33" i="53"/>
  <c r="G20" i="53"/>
  <c r="G34" i="53"/>
  <c r="G10" i="53"/>
  <c r="G26" i="53"/>
  <c r="AV129" i="13"/>
  <c r="AV131" i="13" s="1"/>
  <c r="AU20" i="13"/>
  <c r="AV20" i="13" s="1"/>
  <c r="BE199" i="20"/>
  <c r="BD278" i="20"/>
  <c r="BD201" i="20"/>
  <c r="BD246" i="20"/>
  <c r="BF241" i="20"/>
  <c r="BG230" i="20"/>
  <c r="BG229" i="20"/>
  <c r="BH216" i="20"/>
  <c r="BB42" i="20"/>
  <c r="C23" i="3"/>
  <c r="H23" i="3" s="1"/>
  <c r="BC42" i="20"/>
  <c r="C24" i="3"/>
  <c r="H24" i="3" s="1"/>
  <c r="M22" i="18"/>
  <c r="O22" i="18"/>
  <c r="BH217" i="20"/>
  <c r="BF202" i="14"/>
  <c r="BG202" i="14" s="1"/>
  <c r="BG208" i="14" s="1"/>
  <c r="BE208" i="14"/>
  <c r="C28" i="47"/>
  <c r="X15" i="48"/>
  <c r="Z46" i="18"/>
  <c r="BO306" i="20"/>
  <c r="AV318" i="14"/>
  <c r="AV276" i="14"/>
  <c r="BK150" i="20"/>
  <c r="BJ195" i="20"/>
  <c r="Q119" i="15"/>
  <c r="Q125" i="15" s="1"/>
  <c r="BK70" i="15"/>
  <c r="AU132" i="13"/>
  <c r="BK48" i="13"/>
  <c r="BU50" i="13"/>
  <c r="BV50" i="13" s="1"/>
  <c r="AV122" i="12"/>
  <c r="AX405" i="12"/>
  <c r="AX8" i="12"/>
  <c r="AV134" i="12"/>
  <c r="AV9" i="12" s="1"/>
  <c r="AV10" i="12" s="1"/>
  <c r="AU9" i="12"/>
  <c r="AU10" i="12" s="1"/>
  <c r="AE36" i="7"/>
  <c r="T76" i="7"/>
  <c r="T139" i="7" s="1"/>
  <c r="T137" i="7"/>
  <c r="AF76" i="7"/>
  <c r="AF139" i="7" s="1"/>
  <c r="AF137" i="7"/>
  <c r="AE76" i="7"/>
  <c r="AE139" i="7" s="1"/>
  <c r="AE137" i="7"/>
  <c r="S402" i="7"/>
  <c r="S471" i="7"/>
  <c r="T388" i="7"/>
  <c r="V185" i="7"/>
  <c r="V183" i="7"/>
  <c r="W181" i="7"/>
  <c r="W185" i="7" s="1"/>
  <c r="L76" i="7"/>
  <c r="L139" i="7" s="1"/>
  <c r="M139" i="7" s="1"/>
  <c r="L137" i="7"/>
  <c r="M137" i="7" s="1"/>
  <c r="P76" i="7"/>
  <c r="P139" i="7" s="1"/>
  <c r="P137" i="7"/>
  <c r="AA76" i="7"/>
  <c r="AA139" i="7" s="1"/>
  <c r="AB139" i="7" s="1"/>
  <c r="AA137" i="7"/>
  <c r="AB137" i="7" s="1"/>
  <c r="J541" i="7"/>
  <c r="J544" i="7" s="1"/>
  <c r="K535" i="7" s="1"/>
  <c r="K536" i="7" s="1"/>
  <c r="AD47" i="1"/>
  <c r="AD48" i="1" s="1"/>
  <c r="AD35" i="1" s="1"/>
  <c r="I29" i="15"/>
  <c r="I42" i="15"/>
  <c r="I48" i="15"/>
  <c r="AU4" i="13"/>
  <c r="BK223" i="20"/>
  <c r="AW121" i="12"/>
  <c r="AW122" i="12" s="1"/>
  <c r="AU79" i="44"/>
  <c r="F27" i="47" s="1"/>
  <c r="AZ308" i="11"/>
  <c r="AZ306" i="11" s="1"/>
  <c r="AY311" i="11"/>
  <c r="AY312" i="11" s="1"/>
  <c r="X124" i="15"/>
  <c r="X110" i="15"/>
  <c r="AR43" i="35"/>
  <c r="AC47" i="1"/>
  <c r="AC48" i="1" s="1"/>
  <c r="AC35" i="1" s="1"/>
  <c r="Q124" i="15"/>
  <c r="Q110" i="15"/>
  <c r="U47" i="1"/>
  <c r="U48" i="1" s="1"/>
  <c r="U50" i="1" s="1"/>
  <c r="AX29" i="35"/>
  <c r="AT40" i="35"/>
  <c r="AT42" i="35"/>
  <c r="AT43" i="35" s="1"/>
  <c r="AT37" i="35"/>
  <c r="AD70" i="15"/>
  <c r="AX165" i="44"/>
  <c r="AX142" i="44"/>
  <c r="AZ165" i="44"/>
  <c r="AZ142" i="44"/>
  <c r="AY142" i="44"/>
  <c r="AY165" i="44"/>
  <c r="BA65" i="44"/>
  <c r="AL40" i="35"/>
  <c r="BL292" i="20"/>
  <c r="BL311" i="20" s="1"/>
  <c r="AL37" i="35"/>
  <c r="BA25" i="44"/>
  <c r="BA74" i="44"/>
  <c r="J22" i="47"/>
  <c r="L22" i="47" s="1"/>
  <c r="BO39" i="20"/>
  <c r="BO44" i="20" s="1"/>
  <c r="BO268" i="20"/>
  <c r="BN39" i="20"/>
  <c r="BN44" i="20" s="1"/>
  <c r="BN268" i="20"/>
  <c r="AU5" i="13"/>
  <c r="AW9" i="12"/>
  <c r="AW18" i="12" s="1"/>
  <c r="AU120" i="12"/>
  <c r="AU123" i="12" s="1"/>
  <c r="AT123" i="12"/>
  <c r="BI239" i="20"/>
  <c r="BI273" i="20" s="1"/>
  <c r="C32" i="39"/>
  <c r="BL223" i="20"/>
  <c r="BN310" i="20"/>
  <c r="BO291" i="20"/>
  <c r="AX163" i="44"/>
  <c r="AY162" i="44"/>
  <c r="AX157" i="44"/>
  <c r="AY155" i="44"/>
  <c r="AX156" i="44"/>
  <c r="V66" i="15"/>
  <c r="AG81" i="15"/>
  <c r="AL191" i="14"/>
  <c r="AK192" i="14"/>
  <c r="AK204" i="14"/>
  <c r="AJ63" i="14"/>
  <c r="AJ216" i="14"/>
  <c r="AJ218" i="14" s="1"/>
  <c r="AW82" i="14"/>
  <c r="AX82" i="14" s="1"/>
  <c r="AB144" i="14"/>
  <c r="AC62" i="14" s="1"/>
  <c r="AG62" i="14" s="1"/>
  <c r="AA149" i="14"/>
  <c r="AO98" i="14"/>
  <c r="AN175" i="14"/>
  <c r="AN176" i="14" s="1"/>
  <c r="AA100" i="14"/>
  <c r="AA104" i="14"/>
  <c r="BB72" i="14"/>
  <c r="BC71" i="14"/>
  <c r="AB134" i="14"/>
  <c r="AB133" i="14"/>
  <c r="AB99" i="14"/>
  <c r="AI149" i="14"/>
  <c r="AI151" i="14" s="1"/>
  <c r="AI62" i="14"/>
  <c r="AZ78" i="14"/>
  <c r="AY80" i="14"/>
  <c r="AI104" i="14"/>
  <c r="AI100" i="14"/>
  <c r="AD94" i="14"/>
  <c r="AC131" i="14"/>
  <c r="AC142" i="14"/>
  <c r="AA132" i="14"/>
  <c r="AB95" i="14"/>
  <c r="AA143" i="14"/>
  <c r="AB143" i="14" s="1"/>
  <c r="AY131" i="14"/>
  <c r="AZ142" i="14"/>
  <c r="AJ133" i="14"/>
  <c r="AJ134" i="14"/>
  <c r="AJ99" i="14"/>
  <c r="AK96" i="14"/>
  <c r="AJ144" i="14"/>
  <c r="BC181" i="14"/>
  <c r="AW42" i="35"/>
  <c r="AH47" i="1" s="1"/>
  <c r="AH48" i="1" s="1"/>
  <c r="AH35" i="1" s="1"/>
  <c r="R102" i="15"/>
  <c r="R125" i="15" s="1"/>
  <c r="AR55" i="44"/>
  <c r="AG448" i="7"/>
  <c r="AG456" i="7" s="1"/>
  <c r="AG458" i="7" s="1"/>
  <c r="AW40" i="35"/>
  <c r="AW37" i="35"/>
  <c r="AA620" i="7"/>
  <c r="R559" i="7"/>
  <c r="R560" i="7" s="1"/>
  <c r="S503" i="7"/>
  <c r="AA271" i="7"/>
  <c r="AB90" i="7"/>
  <c r="AB93" i="7" s="1"/>
  <c r="AB100" i="7" s="1"/>
  <c r="AT4" i="12"/>
  <c r="BI225" i="20" s="1"/>
  <c r="AT18" i="12"/>
  <c r="AU152" i="12"/>
  <c r="AZ11" i="35"/>
  <c r="BA10" i="35"/>
  <c r="BA11" i="35" s="1"/>
  <c r="AT275" i="7"/>
  <c r="AT856" i="7"/>
  <c r="AW1074" i="7"/>
  <c r="AX1054" i="7"/>
  <c r="AA185" i="7"/>
  <c r="AB181" i="7"/>
  <c r="AB185" i="7" s="1"/>
  <c r="AA183" i="7"/>
  <c r="AC503" i="7"/>
  <c r="AB559" i="7"/>
  <c r="AB560" i="7" s="1"/>
  <c r="AB620" i="7" s="1"/>
  <c r="J410" i="7"/>
  <c r="J450" i="7"/>
  <c r="AG90" i="7"/>
  <c r="AG93" i="7" s="1"/>
  <c r="AG100" i="7" s="1"/>
  <c r="J561" i="7"/>
  <c r="J497" i="7"/>
  <c r="K463" i="7"/>
  <c r="AG933" i="7"/>
  <c r="AK100" i="7"/>
  <c r="AL100" i="7" s="1"/>
  <c r="Q104" i="15"/>
  <c r="Q105" i="15" s="1"/>
  <c r="AK36" i="7"/>
  <c r="L476" i="7"/>
  <c r="K477" i="7"/>
  <c r="N179" i="7"/>
  <c r="N181" i="7" s="1"/>
  <c r="M176" i="7"/>
  <c r="AX806" i="7"/>
  <c r="AX807" i="7" s="1"/>
  <c r="AX812" i="7" s="1"/>
  <c r="L530" i="7"/>
  <c r="K533" i="7"/>
  <c r="AW811" i="7"/>
  <c r="J405" i="7"/>
  <c r="J403" i="7"/>
  <c r="AW810" i="7"/>
  <c r="AW812" i="7"/>
  <c r="K464" i="7"/>
  <c r="K374" i="7"/>
  <c r="K377" i="7"/>
  <c r="P36" i="7"/>
  <c r="V658" i="7"/>
  <c r="V650" i="7"/>
  <c r="V526" i="7" s="1"/>
  <c r="V657" i="7"/>
  <c r="AH247" i="7"/>
  <c r="AH934" i="7" s="1"/>
  <c r="AH935" i="7" s="1"/>
  <c r="AH938" i="7" s="1"/>
  <c r="V655" i="7"/>
  <c r="V662" i="7" s="1"/>
  <c r="J470" i="7"/>
  <c r="Q93" i="7"/>
  <c r="Q100" i="7" s="1"/>
  <c r="Q144" i="7"/>
  <c r="Q146" i="7" s="1"/>
  <c r="Q161" i="7" s="1"/>
  <c r="T36" i="7"/>
  <c r="U36" i="7"/>
  <c r="AH283" i="7"/>
  <c r="AH251" i="7"/>
  <c r="AH253" i="7" s="1"/>
  <c r="W93" i="7"/>
  <c r="W100" i="7" s="1"/>
  <c r="W144" i="7"/>
  <c r="W146" i="7" s="1"/>
  <c r="W161" i="7" s="1"/>
  <c r="AI245" i="7"/>
  <c r="AI282" i="7"/>
  <c r="AJ285" i="7"/>
  <c r="AK277" i="7"/>
  <c r="AK289" i="7" s="1"/>
  <c r="AJ278" i="7"/>
  <c r="AO286" i="7"/>
  <c r="P200" i="7"/>
  <c r="X408" i="7"/>
  <c r="AB408" i="7"/>
  <c r="BW1056" i="7"/>
  <c r="BZ1056" i="7" s="1"/>
  <c r="BU1056" i="7"/>
  <c r="L201" i="7"/>
  <c r="K202" i="7"/>
  <c r="X467" i="7"/>
  <c r="X468" i="7" s="1"/>
  <c r="W524" i="7"/>
  <c r="S524" i="7"/>
  <c r="S527" i="7" s="1"/>
  <c r="T524" i="7" s="1"/>
  <c r="T527" i="7" s="1"/>
  <c r="U524" i="7" s="1"/>
  <c r="U527" i="7" s="1"/>
  <c r="V524" i="7" s="1"/>
  <c r="Q34" i="7"/>
  <c r="Q36" i="7" s="1"/>
  <c r="Q74" i="7"/>
  <c r="V144" i="7"/>
  <c r="V146" i="7" s="1"/>
  <c r="V161" i="7" s="1"/>
  <c r="V93" i="7"/>
  <c r="V100" i="7" s="1"/>
  <c r="AX798" i="7"/>
  <c r="V74" i="7"/>
  <c r="V34" i="7"/>
  <c r="V36" i="7" s="1"/>
  <c r="Z391" i="7"/>
  <c r="Y392" i="7"/>
  <c r="Y467" i="7" s="1"/>
  <c r="Y466" i="7"/>
  <c r="K511" i="7"/>
  <c r="J512" i="7"/>
  <c r="X412" i="7"/>
  <c r="N745" i="7"/>
  <c r="E97" i="16" s="1"/>
  <c r="M749" i="7"/>
  <c r="M156" i="7" s="1"/>
  <c r="X652" i="7"/>
  <c r="W654" i="7"/>
  <c r="W649" i="7"/>
  <c r="T104" i="15"/>
  <c r="T105" i="15" s="1"/>
  <c r="AN100" i="7"/>
  <c r="AN36" i="7"/>
  <c r="AO36" i="7"/>
  <c r="AP36" i="7"/>
  <c r="W509" i="7"/>
  <c r="W501" i="7"/>
  <c r="W597" i="7"/>
  <c r="W565" i="7" s="1"/>
  <c r="M144" i="7"/>
  <c r="M146" i="7" s="1"/>
  <c r="M93" i="7"/>
  <c r="M100" i="7" s="1"/>
  <c r="U104" i="15"/>
  <c r="U105" i="15" s="1"/>
  <c r="AO100" i="7"/>
  <c r="R144" i="7"/>
  <c r="R146" i="7" s="1"/>
  <c r="R93" i="7"/>
  <c r="R100" i="7" s="1"/>
  <c r="U537" i="7"/>
  <c r="U538" i="7" s="1"/>
  <c r="U617" i="7"/>
  <c r="AP100" i="7"/>
  <c r="V104" i="15"/>
  <c r="AQ1067" i="7"/>
  <c r="AQ1073" i="7"/>
  <c r="AQ1075" i="7" s="1"/>
  <c r="AE915" i="7"/>
  <c r="H55" i="16" s="1"/>
  <c r="AD916" i="7"/>
  <c r="AD919" i="7"/>
  <c r="F21" i="17"/>
  <c r="Y388" i="7"/>
  <c r="X402" i="7"/>
  <c r="X471" i="7"/>
  <c r="O529" i="7"/>
  <c r="N532" i="7"/>
  <c r="L524" i="7"/>
  <c r="L527" i="7" s="1"/>
  <c r="L532" i="7" s="1"/>
  <c r="K532" i="7"/>
  <c r="AC910" i="7"/>
  <c r="AD909" i="7"/>
  <c r="AC913" i="7"/>
  <c r="BB334" i="7"/>
  <c r="BD992" i="7"/>
  <c r="BC356" i="7"/>
  <c r="BC334" i="7" s="1"/>
  <c r="BA790" i="7"/>
  <c r="BA805" i="7"/>
  <c r="BB788" i="7"/>
  <c r="AZ804" i="7"/>
  <c r="BA787" i="7"/>
  <c r="AS6" i="12"/>
  <c r="BH227" i="20" s="1"/>
  <c r="AT10" i="12"/>
  <c r="AT5" i="12"/>
  <c r="AT122" i="12"/>
  <c r="AT31" i="13"/>
  <c r="BL15" i="12"/>
  <c r="BM17" i="13"/>
  <c r="BM986" i="7" s="1"/>
  <c r="AT121" i="7"/>
  <c r="AT280" i="7"/>
  <c r="AT257" i="7" s="1"/>
  <c r="AS842" i="7"/>
  <c r="AS257" i="7"/>
  <c r="AS338" i="7"/>
  <c r="AS467" i="7"/>
  <c r="AS70" i="44"/>
  <c r="BY17" i="13"/>
  <c r="BX986" i="7"/>
  <c r="AS770" i="7"/>
  <c r="AS193" i="7"/>
  <c r="BB646" i="7"/>
  <c r="AZ645" i="7"/>
  <c r="AY653" i="7"/>
  <c r="AX665" i="7"/>
  <c r="BA39" i="35"/>
  <c r="AG118" i="15" s="1"/>
  <c r="AF118" i="15"/>
  <c r="AE37" i="15"/>
  <c r="AE28" i="15"/>
  <c r="AE41" i="15"/>
  <c r="BA23" i="35"/>
  <c r="BA26" i="35" s="1"/>
  <c r="AG54" i="15" s="1"/>
  <c r="AG62" i="15" s="1"/>
  <c r="AZ26" i="35"/>
  <c r="AF54" i="15" s="1"/>
  <c r="AF62" i="15" s="1"/>
  <c r="AF64" i="15"/>
  <c r="AE54" i="15"/>
  <c r="AE62" i="15" s="1"/>
  <c r="AY28" i="35"/>
  <c r="AD48" i="15"/>
  <c r="AD49" i="15"/>
  <c r="AD30" i="15"/>
  <c r="AI7" i="1" s="1"/>
  <c r="AD43" i="15"/>
  <c r="AD46" i="15"/>
  <c r="BB25" i="35"/>
  <c r="BB23" i="35"/>
  <c r="BB19" i="35"/>
  <c r="BB34" i="35"/>
  <c r="AH78" i="15" s="1"/>
  <c r="BB24" i="35"/>
  <c r="BB51" i="35"/>
  <c r="BB39" i="35"/>
  <c r="AH118" i="15" s="1"/>
  <c r="BB6" i="35"/>
  <c r="BB10" i="35" s="1"/>
  <c r="BB11" i="35" s="1"/>
  <c r="BB32" i="35"/>
  <c r="BB33" i="35"/>
  <c r="AD47" i="15"/>
  <c r="AF78" i="15"/>
  <c r="BA34" i="35"/>
  <c r="AG78" i="15" s="1"/>
  <c r="BB819" i="7"/>
  <c r="BB1035" i="7"/>
  <c r="BB1043" i="7" s="1"/>
  <c r="AZ52" i="35"/>
  <c r="AZ50" i="35"/>
  <c r="BA51" i="35"/>
  <c r="AX40" i="35"/>
  <c r="AD102" i="15"/>
  <c r="AX42" i="35"/>
  <c r="AX37" i="35"/>
  <c r="BC845" i="7"/>
  <c r="AI89" i="15"/>
  <c r="AI90" i="15" s="1"/>
  <c r="BC54" i="35"/>
  <c r="BC10" i="9"/>
  <c r="BC9" i="9"/>
  <c r="BD5" i="9"/>
  <c r="BD114" i="44" s="1"/>
  <c r="BC102" i="7"/>
  <c r="BC244" i="14"/>
  <c r="BC22" i="14" s="1"/>
  <c r="AI55" i="15" s="1"/>
  <c r="AI63" i="15" s="1"/>
  <c r="BA6" i="35"/>
  <c r="BB326" i="7"/>
  <c r="AZ18" i="35"/>
  <c r="BA19" i="35"/>
  <c r="AZ20" i="35"/>
  <c r="AF35" i="15"/>
  <c r="AF41" i="15" s="1"/>
  <c r="AD20" i="15"/>
  <c r="AI6" i="1"/>
  <c r="AD17" i="15"/>
  <c r="AD22" i="15"/>
  <c r="AD23" i="15"/>
  <c r="AD21" i="15"/>
  <c r="Z30" i="15"/>
  <c r="AE7" i="1" s="1"/>
  <c r="Z64" i="15"/>
  <c r="Z58" i="15"/>
  <c r="AA611" i="7"/>
  <c r="S114" i="15"/>
  <c r="S124" i="15"/>
  <c r="S110" i="15"/>
  <c r="S105" i="15"/>
  <c r="S125" i="15"/>
  <c r="X114" i="15"/>
  <c r="BD81" i="15"/>
  <c r="AK560" i="7"/>
  <c r="AK596" i="7"/>
  <c r="AK564" i="7" s="1"/>
  <c r="AK597" i="7"/>
  <c r="AK565" i="7" s="1"/>
  <c r="AM43" i="35"/>
  <c r="X47" i="1"/>
  <c r="X48" i="1" s="1"/>
  <c r="X50" i="1" s="1"/>
  <c r="AI43" i="35"/>
  <c r="T47" i="1"/>
  <c r="T48" i="1" s="1"/>
  <c r="T50" i="1" s="1"/>
  <c r="G19" i="17"/>
  <c r="AB945" i="7"/>
  <c r="AC945" i="7" s="1"/>
  <c r="I61" i="16" s="1"/>
  <c r="BJ48" i="14"/>
  <c r="BO56" i="14"/>
  <c r="AL611" i="7"/>
  <c r="O110" i="15"/>
  <c r="O105" i="15"/>
  <c r="O124" i="15"/>
  <c r="O125" i="15"/>
  <c r="BD48" i="14"/>
  <c r="BF48" i="14" s="1"/>
  <c r="BI56" i="14"/>
  <c r="BK56" i="14" s="1"/>
  <c r="W23" i="15"/>
  <c r="W20" i="15"/>
  <c r="W22" i="15"/>
  <c r="W17" i="15"/>
  <c r="BL11" i="15"/>
  <c r="BC105" i="7"/>
  <c r="BC92" i="7"/>
  <c r="AE63" i="15"/>
  <c r="BG104" i="7"/>
  <c r="BH104" i="7"/>
  <c r="BP104" i="7"/>
  <c r="BJ104" i="7"/>
  <c r="BI104" i="7"/>
  <c r="W21" i="15"/>
  <c r="AL562" i="7"/>
  <c r="AL620" i="7"/>
  <c r="BG284" i="20"/>
  <c r="BG303" i="20" s="1"/>
  <c r="BG304" i="20" s="1"/>
  <c r="BG307" i="20" s="1"/>
  <c r="BG308" i="20" s="1"/>
  <c r="BG312" i="20" s="1"/>
  <c r="BG315" i="20" s="1"/>
  <c r="BG316" i="20" s="1"/>
  <c r="AB6" i="1"/>
  <c r="AA8" i="1"/>
  <c r="Q566" i="7"/>
  <c r="Q607" i="7"/>
  <c r="AA566" i="7"/>
  <c r="AA607" i="7"/>
  <c r="AA671" i="7" s="1"/>
  <c r="W65" i="15"/>
  <c r="W58" i="15"/>
  <c r="BA48" i="14"/>
  <c r="BM56" i="14"/>
  <c r="BH48" i="14"/>
  <c r="AC57" i="15"/>
  <c r="AB57" i="15"/>
  <c r="AB65" i="15" s="1"/>
  <c r="X58" i="15"/>
  <c r="AB605" i="7"/>
  <c r="AB271" i="7"/>
  <c r="BF56" i="14"/>
  <c r="BF57" i="14" s="1"/>
  <c r="AD56" i="15"/>
  <c r="AA64" i="15"/>
  <c r="AA58" i="15"/>
  <c r="W30" i="15"/>
  <c r="AB7" i="1" s="1"/>
  <c r="BQ7" i="1" s="1"/>
  <c r="AB63" i="15"/>
  <c r="Y63" i="15"/>
  <c r="Y58" i="15"/>
  <c r="AL43" i="35"/>
  <c r="W47" i="1"/>
  <c r="W48" i="1" s="1"/>
  <c r="W50" i="1" s="1"/>
  <c r="V566" i="7"/>
  <c r="V607" i="7"/>
  <c r="W43" i="15"/>
  <c r="AP81" i="15"/>
  <c r="AL81" i="15"/>
  <c r="AC8" i="1"/>
  <c r="BJ194" i="20"/>
  <c r="BG275" i="20"/>
  <c r="BL56" i="14"/>
  <c r="BG48" i="14"/>
  <c r="BB22" i="14"/>
  <c r="AH55" i="15" s="1"/>
  <c r="AC55" i="15"/>
  <c r="BA22" i="14"/>
  <c r="AG55" i="15" s="1"/>
  <c r="AA96" i="15"/>
  <c r="AA98" i="15" s="1"/>
  <c r="AB96" i="15"/>
  <c r="X106" i="15"/>
  <c r="X119" i="15"/>
  <c r="X120" i="15" s="1"/>
  <c r="AZ168" i="14"/>
  <c r="AZ167" i="14" s="1"/>
  <c r="BA140" i="14"/>
  <c r="AU302" i="14"/>
  <c r="Z23" i="15"/>
  <c r="Z17" i="15"/>
  <c r="AE6" i="1"/>
  <c r="Z20" i="15"/>
  <c r="Z22" i="15"/>
  <c r="AA110" i="15"/>
  <c r="AA114" i="15"/>
  <c r="AA124" i="15"/>
  <c r="AU43" i="35"/>
  <c r="AF47" i="1"/>
  <c r="AF48" i="1" s="1"/>
  <c r="AF35" i="1" s="1"/>
  <c r="AW274" i="14"/>
  <c r="Z43" i="15"/>
  <c r="Z21" i="15"/>
  <c r="BA1041" i="7"/>
  <c r="AW1041" i="7"/>
  <c r="AH8" i="1"/>
  <c r="Z114" i="15"/>
  <c r="Z110" i="15"/>
  <c r="Z124" i="15"/>
  <c r="AB28" i="15"/>
  <c r="AX1041" i="7"/>
  <c r="AV42" i="35"/>
  <c r="AV37" i="35"/>
  <c r="AB102" i="15"/>
  <c r="AV40" i="35"/>
  <c r="AF92" i="15"/>
  <c r="AZ237" i="7"/>
  <c r="AZ245" i="14"/>
  <c r="AZ55" i="35"/>
  <c r="AZ846" i="7"/>
  <c r="AK179" i="1"/>
  <c r="BB6" i="9"/>
  <c r="AC114" i="15"/>
  <c r="AC110" i="15"/>
  <c r="AC124" i="15"/>
  <c r="AT166" i="44"/>
  <c r="AT167" i="44"/>
  <c r="AT33" i="44" s="1"/>
  <c r="AB48" i="15"/>
  <c r="AB46" i="15"/>
  <c r="AB49" i="15"/>
  <c r="AB11" i="15"/>
  <c r="AB21" i="15" s="1"/>
  <c r="AB15" i="15"/>
  <c r="BM9" i="15"/>
  <c r="AF11" i="15"/>
  <c r="AF15" i="15"/>
  <c r="AY246" i="14"/>
  <c r="AY194" i="14"/>
  <c r="AZ200" i="14"/>
  <c r="AZ195" i="14"/>
  <c r="BA201" i="14"/>
  <c r="AG40" i="35" l="1"/>
  <c r="AG37" i="35"/>
  <c r="BN73" i="20"/>
  <c r="BN75" i="20" s="1"/>
  <c r="BJ204" i="20"/>
  <c r="BK204" i="20" s="1"/>
  <c r="AU335" i="11"/>
  <c r="AU343" i="11" s="1"/>
  <c r="S600" i="42"/>
  <c r="AU342" i="11"/>
  <c r="N605" i="42"/>
  <c r="N604" i="42"/>
  <c r="AP356" i="11"/>
  <c r="N653" i="42" s="1"/>
  <c r="AP353" i="11"/>
  <c r="AS356" i="11"/>
  <c r="Q653" i="42" s="1"/>
  <c r="Q652" i="42"/>
  <c r="BE129" i="13"/>
  <c r="BE339" i="11"/>
  <c r="BB65" i="44"/>
  <c r="BD125" i="44"/>
  <c r="BD131" i="44"/>
  <c r="BB42" i="44"/>
  <c r="BB43" i="44" s="1"/>
  <c r="BB44" i="44" s="1"/>
  <c r="BB48" i="44" s="1"/>
  <c r="BQ79" i="20"/>
  <c r="BQ150" i="20" s="1"/>
  <c r="BJ168" i="20"/>
  <c r="BM159" i="20"/>
  <c r="V600" i="42" s="1"/>
  <c r="BM169" i="20"/>
  <c r="AU344" i="11"/>
  <c r="AW343" i="11"/>
  <c r="AW342" i="11"/>
  <c r="AW355" i="11" s="1"/>
  <c r="U652" i="42" s="1"/>
  <c r="AW344" i="11"/>
  <c r="BK292" i="20"/>
  <c r="BK311" i="20" s="1"/>
  <c r="BM195" i="20"/>
  <c r="BM240" i="20" s="1"/>
  <c r="BM274" i="20" s="1"/>
  <c r="AU355" i="11"/>
  <c r="S652" i="42" s="1"/>
  <c r="BE132" i="13"/>
  <c r="BE131" i="13"/>
  <c r="BD153" i="13"/>
  <c r="BB197" i="13"/>
  <c r="BB43" i="13" s="1"/>
  <c r="BC202" i="13"/>
  <c r="AZ162" i="12"/>
  <c r="AZ129" i="12" s="1"/>
  <c r="AX129" i="12"/>
  <c r="E32" i="53" s="1"/>
  <c r="F32" i="53" s="1"/>
  <c r="BM218" i="20"/>
  <c r="BN218" i="20" s="1"/>
  <c r="BO218" i="20" s="1"/>
  <c r="BD314" i="11"/>
  <c r="BD296" i="11"/>
  <c r="BC294" i="11"/>
  <c r="BC288" i="11" s="1"/>
  <c r="BB153" i="44"/>
  <c r="BC153" i="44" s="1"/>
  <c r="BB121" i="44"/>
  <c r="BB122" i="44" s="1"/>
  <c r="BB124" i="44" s="1"/>
  <c r="BB126" i="44" s="1"/>
  <c r="BB25" i="44" s="1"/>
  <c r="BP268" i="20"/>
  <c r="BE146" i="43"/>
  <c r="BE12" i="43"/>
  <c r="BF12" i="43" s="1"/>
  <c r="BF16" i="43" s="1"/>
  <c r="BC112" i="43"/>
  <c r="BB110" i="43"/>
  <c r="BE105" i="7"/>
  <c r="E55" i="63"/>
  <c r="E56" i="63" s="1"/>
  <c r="F54" i="63" s="1"/>
  <c r="AY791" i="7"/>
  <c r="BA151" i="13"/>
  <c r="AZ154" i="13"/>
  <c r="AZ276" i="7" s="1"/>
  <c r="BA276" i="7" s="1"/>
  <c r="BB276" i="7" s="1"/>
  <c r="BC276" i="7" s="1"/>
  <c r="BD276" i="7" s="1"/>
  <c r="BE276" i="7" s="1"/>
  <c r="BF276" i="7" s="1"/>
  <c r="BG276" i="7" s="1"/>
  <c r="BH276" i="7" s="1"/>
  <c r="BI276" i="7" s="1"/>
  <c r="BJ276" i="7" s="1"/>
  <c r="BK276" i="7" s="1"/>
  <c r="BL276" i="7" s="1"/>
  <c r="BM276" i="7" s="1"/>
  <c r="BN276" i="7" s="1"/>
  <c r="BO276" i="7" s="1"/>
  <c r="BP276" i="7" s="1"/>
  <c r="BQ276" i="7" s="1"/>
  <c r="BR276" i="7" s="1"/>
  <c r="BS276" i="7" s="1"/>
  <c r="BT276" i="7" s="1"/>
  <c r="BU276" i="7" s="1"/>
  <c r="BV276" i="7" s="1"/>
  <c r="BW276" i="7" s="1"/>
  <c r="BX276" i="7" s="1"/>
  <c r="BY276" i="7" s="1"/>
  <c r="BZ276" i="7" s="1"/>
  <c r="AY276" i="7"/>
  <c r="AZ168" i="13"/>
  <c r="BA168" i="13" s="1"/>
  <c r="BA102" i="13"/>
  <c r="BB102" i="13" s="1"/>
  <c r="BC102" i="13" s="1"/>
  <c r="BD102" i="13" s="1"/>
  <c r="BE102" i="13" s="1"/>
  <c r="BF102" i="13" s="1"/>
  <c r="BA129" i="12"/>
  <c r="BA162" i="12"/>
  <c r="AZ164" i="12"/>
  <c r="AZ405" i="12"/>
  <c r="BA105" i="12"/>
  <c r="BA118" i="12" s="1"/>
  <c r="BA121" i="12" s="1"/>
  <c r="BA122" i="12" s="1"/>
  <c r="AZ121" i="12"/>
  <c r="AZ122" i="12" s="1"/>
  <c r="AZ8" i="12"/>
  <c r="AZ725" i="7" s="1"/>
  <c r="M36" i="15"/>
  <c r="M48" i="15" s="1"/>
  <c r="M41" i="15"/>
  <c r="W124" i="15"/>
  <c r="AB47" i="1"/>
  <c r="AB48" i="1" s="1"/>
  <c r="BA30" i="44"/>
  <c r="BA61" i="44"/>
  <c r="BB105" i="7"/>
  <c r="AZ315" i="14"/>
  <c r="AZ269" i="14"/>
  <c r="BA269" i="14" s="1"/>
  <c r="BN97" i="20"/>
  <c r="AW318" i="14"/>
  <c r="AX1049" i="7"/>
  <c r="AX1050" i="7" s="1"/>
  <c r="AX1046" i="7"/>
  <c r="AW1046" i="7"/>
  <c r="AW1049" i="7"/>
  <c r="AW1050" i="7" s="1"/>
  <c r="AX1062" i="7"/>
  <c r="AX1063" i="7" s="1"/>
  <c r="AX1059" i="7"/>
  <c r="AQ558" i="7"/>
  <c r="AQ605" i="7" s="1"/>
  <c r="G42" i="53"/>
  <c r="AG137" i="7"/>
  <c r="AQ500" i="7"/>
  <c r="AQ271" i="7"/>
  <c r="AG139" i="7"/>
  <c r="AV503" i="7"/>
  <c r="AQ501" i="7"/>
  <c r="BT832" i="7"/>
  <c r="BP832" i="7"/>
  <c r="AB942" i="7"/>
  <c r="AC942" i="7" s="1"/>
  <c r="AS392" i="7"/>
  <c r="AV467" i="7"/>
  <c r="AY8" i="12"/>
  <c r="AY121" i="12"/>
  <c r="AY129" i="12"/>
  <c r="AY164" i="12"/>
  <c r="AY163" i="12" s="1"/>
  <c r="AE47" i="1"/>
  <c r="AE48" i="1" s="1"/>
  <c r="AE35" i="1" s="1"/>
  <c r="AZ200" i="13"/>
  <c r="AW132" i="13"/>
  <c r="BG198" i="20"/>
  <c r="BG243" i="20" s="1"/>
  <c r="AU122" i="12"/>
  <c r="AW138" i="12"/>
  <c r="AW140" i="12" s="1"/>
  <c r="AW141" i="12" s="1"/>
  <c r="AX121" i="12"/>
  <c r="N25" i="42"/>
  <c r="AQ559" i="7"/>
  <c r="AQ594" i="7" s="1"/>
  <c r="AW11" i="13"/>
  <c r="Q22" i="18"/>
  <c r="BF199" i="20"/>
  <c r="BE244" i="20"/>
  <c r="BE201" i="20"/>
  <c r="BF201" i="20" s="1"/>
  <c r="AX14" i="44"/>
  <c r="BH202" i="14"/>
  <c r="BH208" i="14" s="1"/>
  <c r="AY16" i="43"/>
  <c r="AY341" i="11" s="1"/>
  <c r="AY37" i="43"/>
  <c r="AY41" i="43" s="1"/>
  <c r="AY42" i="43" s="1"/>
  <c r="X14" i="48"/>
  <c r="Z43" i="18"/>
  <c r="BK195" i="20"/>
  <c r="BJ240" i="20"/>
  <c r="AU5" i="12"/>
  <c r="BJ226" i="20" s="1"/>
  <c r="AV152" i="12"/>
  <c r="AV154" i="12" s="1"/>
  <c r="AV5" i="12"/>
  <c r="BK226" i="20" s="1"/>
  <c r="V76" i="7"/>
  <c r="V139" i="7" s="1"/>
  <c r="W139" i="7" s="1"/>
  <c r="V137" i="7"/>
  <c r="W137" i="7" s="1"/>
  <c r="S561" i="7"/>
  <c r="S470" i="7"/>
  <c r="S497" i="7"/>
  <c r="T463" i="7"/>
  <c r="S405" i="7"/>
  <c r="S403" i="7"/>
  <c r="Q76" i="7"/>
  <c r="Q139" i="7" s="1"/>
  <c r="R139" i="7" s="1"/>
  <c r="Q137" i="7"/>
  <c r="R137" i="7" s="1"/>
  <c r="M29" i="15"/>
  <c r="AW123" i="12"/>
  <c r="BA308" i="11"/>
  <c r="AZ311" i="11"/>
  <c r="AZ312" i="11" s="1"/>
  <c r="AH9" i="15"/>
  <c r="AH11" i="15" s="1"/>
  <c r="AY166" i="44"/>
  <c r="AY167" i="44"/>
  <c r="AZ167" i="44"/>
  <c r="AZ33" i="44" s="1"/>
  <c r="AZ79" i="44" s="1"/>
  <c r="K27" i="47" s="1"/>
  <c r="AZ166" i="44"/>
  <c r="AX167" i="44"/>
  <c r="AX33" i="44" s="1"/>
  <c r="AX166" i="44"/>
  <c r="R110" i="15"/>
  <c r="W114" i="15"/>
  <c r="AW43" i="35"/>
  <c r="R124" i="15"/>
  <c r="AB562" i="7"/>
  <c r="AB566" i="7" s="1"/>
  <c r="R105" i="15"/>
  <c r="BP39" i="20"/>
  <c r="BQ39" i="20" s="1"/>
  <c r="BR39" i="20" s="1"/>
  <c r="BS39" i="20" s="1"/>
  <c r="BT39" i="20" s="1"/>
  <c r="BU39" i="20" s="1"/>
  <c r="I24" i="39"/>
  <c r="AW152" i="12"/>
  <c r="AV4" i="12"/>
  <c r="AX809" i="7"/>
  <c r="AX811" i="7"/>
  <c r="AT6" i="12"/>
  <c r="BI227" i="20" s="1"/>
  <c r="BI226" i="20"/>
  <c r="BP291" i="20"/>
  <c r="BO310" i="20"/>
  <c r="BN221" i="20"/>
  <c r="C7" i="47"/>
  <c r="AY157" i="44"/>
  <c r="AZ155" i="44"/>
  <c r="AY156" i="44"/>
  <c r="AY163" i="44"/>
  <c r="AZ162" i="44"/>
  <c r="AW83" i="14"/>
  <c r="AW86" i="14" s="1"/>
  <c r="AL204" i="14"/>
  <c r="AL216" i="14" s="1"/>
  <c r="AL218" i="14" s="1"/>
  <c r="AK63" i="14"/>
  <c r="AL63" i="14" s="1"/>
  <c r="AK216" i="14"/>
  <c r="AK218" i="14" s="1"/>
  <c r="AC96" i="15"/>
  <c r="AC98" i="15" s="1"/>
  <c r="AH24" i="1" s="1"/>
  <c r="AL192" i="14"/>
  <c r="AM191" i="14"/>
  <c r="AK99" i="14"/>
  <c r="AL96" i="14"/>
  <c r="AK134" i="14"/>
  <c r="AK133" i="14"/>
  <c r="AK144" i="14"/>
  <c r="AA151" i="14"/>
  <c r="AB151" i="14" s="1"/>
  <c r="AB149" i="14"/>
  <c r="BA78" i="14"/>
  <c r="AZ80" i="14"/>
  <c r="AB100" i="14"/>
  <c r="AB104" i="14"/>
  <c r="AJ104" i="14"/>
  <c r="AJ100" i="14"/>
  <c r="BD71" i="14"/>
  <c r="BC72" i="14"/>
  <c r="AC95" i="14"/>
  <c r="AB132" i="14"/>
  <c r="AP98" i="14"/>
  <c r="AQ98" i="14" s="1"/>
  <c r="AR98" i="14" s="1"/>
  <c r="AO175" i="14"/>
  <c r="AO176" i="14" s="1"/>
  <c r="AE94" i="14"/>
  <c r="AD131" i="14"/>
  <c r="AD142" i="14"/>
  <c r="AD95" i="14"/>
  <c r="AJ62" i="14"/>
  <c r="AJ149" i="14"/>
  <c r="AJ151" i="14" s="1"/>
  <c r="AZ131" i="14"/>
  <c r="BD181" i="14"/>
  <c r="AG9" i="15"/>
  <c r="AG15" i="15" s="1"/>
  <c r="BK57" i="14"/>
  <c r="Z85" i="15"/>
  <c r="Z87" i="15" s="1"/>
  <c r="AZ305" i="14"/>
  <c r="BA305" i="14" s="1"/>
  <c r="R562" i="7"/>
  <c r="R620" i="7"/>
  <c r="S618" i="7"/>
  <c r="AU4" i="12"/>
  <c r="BJ225" i="20" s="1"/>
  <c r="AU18" i="12"/>
  <c r="AU154" i="12"/>
  <c r="AU155" i="12"/>
  <c r="AF58" i="15"/>
  <c r="AK18" i="1" s="1"/>
  <c r="AZ28" i="35"/>
  <c r="AZ29" i="35" s="1"/>
  <c r="BK20" i="20"/>
  <c r="W105" i="15"/>
  <c r="W106" i="15" s="1"/>
  <c r="W650" i="7"/>
  <c r="W658" i="7"/>
  <c r="W657" i="7"/>
  <c r="Y652" i="7"/>
  <c r="X649" i="7"/>
  <c r="X654" i="7"/>
  <c r="J498" i="7"/>
  <c r="J500" i="7"/>
  <c r="P529" i="7"/>
  <c r="O532" i="7"/>
  <c r="AH933" i="7"/>
  <c r="J406" i="7"/>
  <c r="J420" i="7"/>
  <c r="J414" i="7"/>
  <c r="J421" i="7"/>
  <c r="J764" i="7"/>
  <c r="J601" i="7"/>
  <c r="J766" i="7"/>
  <c r="J767" i="7" s="1"/>
  <c r="J768" i="7" s="1"/>
  <c r="J771" i="7" s="1"/>
  <c r="R161" i="7"/>
  <c r="K162" i="7"/>
  <c r="K166" i="7" s="1"/>
  <c r="K168" i="7" s="1"/>
  <c r="K172" i="7" s="1"/>
  <c r="X405" i="7"/>
  <c r="Y393" i="7" s="1"/>
  <c r="X403" i="7"/>
  <c r="V537" i="7"/>
  <c r="V538" i="7" s="1"/>
  <c r="W538" i="7" s="1"/>
  <c r="V617" i="7"/>
  <c r="W617" i="7" s="1"/>
  <c r="AJ245" i="7"/>
  <c r="AJ282" i="7"/>
  <c r="Q200" i="7"/>
  <c r="AL277" i="7"/>
  <c r="AK285" i="7"/>
  <c r="AK286" i="7"/>
  <c r="AK278" i="7"/>
  <c r="M530" i="7"/>
  <c r="L533" i="7"/>
  <c r="J505" i="7"/>
  <c r="Z466" i="7"/>
  <c r="AA391" i="7"/>
  <c r="Z392" i="7"/>
  <c r="Z467" i="7" s="1"/>
  <c r="N749" i="7"/>
  <c r="N156" i="7" s="1"/>
  <c r="O745" i="7"/>
  <c r="E94" i="16" s="1"/>
  <c r="C8" i="17"/>
  <c r="N746" i="7"/>
  <c r="AI283" i="7"/>
  <c r="AI251" i="7"/>
  <c r="AI253" i="7" s="1"/>
  <c r="W655" i="7"/>
  <c r="F22" i="17"/>
  <c r="AE919" i="7"/>
  <c r="AE916" i="7"/>
  <c r="AF915" i="7"/>
  <c r="H52" i="16" s="1"/>
  <c r="W559" i="7"/>
  <c r="W560" i="7" s="1"/>
  <c r="X503" i="7"/>
  <c r="X507" i="7"/>
  <c r="V527" i="7"/>
  <c r="AI247" i="7"/>
  <c r="AI933" i="7" s="1"/>
  <c r="V663" i="7"/>
  <c r="V661" i="7"/>
  <c r="V660" i="7"/>
  <c r="Y463" i="7"/>
  <c r="Y468" i="7" s="1"/>
  <c r="X561" i="7"/>
  <c r="X497" i="7"/>
  <c r="AT727" i="7"/>
  <c r="K391" i="7"/>
  <c r="K452" i="7"/>
  <c r="M452" i="7" s="1"/>
  <c r="M377" i="7"/>
  <c r="K378" i="7"/>
  <c r="AZ789" i="7"/>
  <c r="AY806" i="7"/>
  <c r="AY807" i="7" s="1"/>
  <c r="AY809" i="7" s="1"/>
  <c r="X470" i="7"/>
  <c r="K512" i="7"/>
  <c r="L511" i="7"/>
  <c r="K375" i="7"/>
  <c r="K449" i="7"/>
  <c r="V119" i="15"/>
  <c r="V106" i="15"/>
  <c r="M179" i="7"/>
  <c r="M181" i="7" s="1"/>
  <c r="L176" i="7"/>
  <c r="AX797" i="7"/>
  <c r="AX796" i="7"/>
  <c r="AX799" i="7"/>
  <c r="AY798" i="7"/>
  <c r="AX800" i="7"/>
  <c r="AX810" i="7"/>
  <c r="L162" i="7"/>
  <c r="L166" i="7" s="1"/>
  <c r="L168" i="7" s="1"/>
  <c r="L172" i="7" s="1"/>
  <c r="AY1054" i="7"/>
  <c r="AX1074" i="7"/>
  <c r="W526" i="7"/>
  <c r="W527" i="7" s="1"/>
  <c r="Y412" i="7"/>
  <c r="Y507" i="7" s="1"/>
  <c r="AD910" i="7"/>
  <c r="AE909" i="7"/>
  <c r="AD913" i="7"/>
  <c r="AQ100" i="7"/>
  <c r="M201" i="7"/>
  <c r="L202" i="7"/>
  <c r="J162" i="7"/>
  <c r="L477" i="7"/>
  <c r="M476" i="7"/>
  <c r="BD356" i="7"/>
  <c r="BD334" i="7" s="1"/>
  <c r="BE992" i="7"/>
  <c r="BA804" i="7"/>
  <c r="BB805" i="7"/>
  <c r="BC788" i="7"/>
  <c r="BB790" i="7"/>
  <c r="AB58" i="15"/>
  <c r="AB66" i="15" s="1"/>
  <c r="AT264" i="7"/>
  <c r="AT266" i="7" s="1"/>
  <c r="AT244" i="7" s="1"/>
  <c r="AT680" i="7"/>
  <c r="AT192" i="7"/>
  <c r="AT193" i="7" s="1"/>
  <c r="AT567" i="7"/>
  <c r="AS858" i="7"/>
  <c r="AS852" i="7"/>
  <c r="AS854" i="7" s="1"/>
  <c r="AS843" i="7"/>
  <c r="AS492" i="7"/>
  <c r="BL17" i="13"/>
  <c r="BL986" i="7" s="1"/>
  <c r="BK15" i="12"/>
  <c r="AT842" i="7"/>
  <c r="AT189" i="7"/>
  <c r="AT190" i="7" s="1"/>
  <c r="AT195" i="7" s="1"/>
  <c r="BZ17" i="13"/>
  <c r="BZ986" i="7" s="1"/>
  <c r="BY986" i="7"/>
  <c r="BC646" i="7"/>
  <c r="AZ647" i="7"/>
  <c r="AZ653" i="7"/>
  <c r="BA645" i="7"/>
  <c r="AE70" i="15"/>
  <c r="AY36" i="35"/>
  <c r="AY29" i="35"/>
  <c r="BA50" i="35"/>
  <c r="BA52" i="35"/>
  <c r="BC326" i="7"/>
  <c r="BD9" i="9"/>
  <c r="BD244" i="14"/>
  <c r="BD22" i="14" s="1"/>
  <c r="AJ55" i="15" s="1"/>
  <c r="AJ63" i="15" s="1"/>
  <c r="BE5" i="9"/>
  <c r="BE114" i="44" s="1"/>
  <c r="AJ89" i="15"/>
  <c r="AJ90" i="15" s="1"/>
  <c r="BD102" i="7"/>
  <c r="BD54" i="35"/>
  <c r="BD10" i="9"/>
  <c r="BD845" i="7"/>
  <c r="BC24" i="7"/>
  <c r="AI56" i="15" s="1"/>
  <c r="AI64" i="15" s="1"/>
  <c r="AI8" i="1"/>
  <c r="BC24" i="35"/>
  <c r="BC23" i="35"/>
  <c r="BC34" i="35"/>
  <c r="AI78" i="15" s="1"/>
  <c r="BC32" i="35"/>
  <c r="BC6" i="35"/>
  <c r="BC10" i="35" s="1"/>
  <c r="BC51" i="35"/>
  <c r="BC39" i="35"/>
  <c r="AI118" i="15" s="1"/>
  <c r="BC25" i="35"/>
  <c r="BC19" i="35"/>
  <c r="BC33" i="35"/>
  <c r="BB50" i="35"/>
  <c r="BB52" i="35"/>
  <c r="AF37" i="15"/>
  <c r="BC1035" i="7"/>
  <c r="BC1043" i="7" s="1"/>
  <c r="BC819" i="7"/>
  <c r="AE47" i="15"/>
  <c r="AE48" i="15"/>
  <c r="AE46" i="15"/>
  <c r="AE43" i="15"/>
  <c r="AE49" i="15"/>
  <c r="AE30" i="15"/>
  <c r="AJ7" i="1" s="1"/>
  <c r="AJ8" i="1" s="1"/>
  <c r="AJ9" i="1" s="1"/>
  <c r="BA28" i="35"/>
  <c r="AG35" i="15"/>
  <c r="BA18" i="35"/>
  <c r="BA20" i="35"/>
  <c r="AI47" i="1"/>
  <c r="AI48" i="1" s="1"/>
  <c r="AI35" i="1" s="1"/>
  <c r="AX43" i="35"/>
  <c r="AH35" i="15"/>
  <c r="BB20" i="35"/>
  <c r="BB18" i="35"/>
  <c r="AD114" i="15"/>
  <c r="AD110" i="15"/>
  <c r="AD124" i="15"/>
  <c r="BB26" i="35"/>
  <c r="AF28" i="15"/>
  <c r="BH284" i="20"/>
  <c r="BH303" i="20" s="1"/>
  <c r="BF275" i="20"/>
  <c r="Z66" i="15"/>
  <c r="AE18" i="1"/>
  <c r="AA606" i="7"/>
  <c r="AA672" i="7" s="1"/>
  <c r="AA675" i="7" s="1"/>
  <c r="AA676" i="7" s="1"/>
  <c r="AA609" i="7"/>
  <c r="AA670" i="7"/>
  <c r="BO48" i="14"/>
  <c r="BT56" i="14"/>
  <c r="AC18" i="1"/>
  <c r="AC19" i="1" s="1"/>
  <c r="X66" i="15"/>
  <c r="AH57" i="15"/>
  <c r="AG57" i="15"/>
  <c r="AG65" i="15" s="1"/>
  <c r="BI92" i="7"/>
  <c r="BI105" i="7"/>
  <c r="AF18" i="1"/>
  <c r="AA66" i="15"/>
  <c r="BH105" i="7"/>
  <c r="BH92" i="7"/>
  <c r="BF92" i="7"/>
  <c r="BB24" i="7"/>
  <c r="AH56" i="15" s="1"/>
  <c r="Q606" i="7"/>
  <c r="Q672" i="7" s="1"/>
  <c r="Q671" i="7"/>
  <c r="Q670" i="7"/>
  <c r="BG105" i="7"/>
  <c r="BG92" i="7"/>
  <c r="BN56" i="14"/>
  <c r="BP56" i="14" s="1"/>
  <c r="BP57" i="14" s="1"/>
  <c r="BI48" i="14"/>
  <c r="BK48" i="14" s="1"/>
  <c r="BR56" i="14"/>
  <c r="BM48" i="14"/>
  <c r="AD945" i="7"/>
  <c r="I58" i="16" s="1"/>
  <c r="G20" i="17"/>
  <c r="BO104" i="7"/>
  <c r="BN104" i="7"/>
  <c r="BM104" i="7"/>
  <c r="BL104" i="7"/>
  <c r="BU105" i="7"/>
  <c r="AK605" i="7"/>
  <c r="AK271" i="7"/>
  <c r="AM616" i="7"/>
  <c r="AQ616" i="7"/>
  <c r="AK620" i="7"/>
  <c r="AK562" i="7"/>
  <c r="AA9" i="1"/>
  <c r="AA10" i="1"/>
  <c r="AA19" i="1"/>
  <c r="AF10" i="1"/>
  <c r="AC616" i="7"/>
  <c r="AG616" i="7"/>
  <c r="W66" i="15"/>
  <c r="AB18" i="1"/>
  <c r="BQ6" i="1"/>
  <c r="AB8" i="1"/>
  <c r="AB611" i="7"/>
  <c r="AC56" i="15"/>
  <c r="AC64" i="15" s="1"/>
  <c r="BA24" i="7"/>
  <c r="AG56" i="15" s="1"/>
  <c r="AG64" i="15" s="1"/>
  <c r="AL566" i="7"/>
  <c r="AD64" i="15"/>
  <c r="AD58" i="15"/>
  <c r="BJ105" i="7"/>
  <c r="BJ92" i="7"/>
  <c r="AU81" i="15"/>
  <c r="AQ81" i="15"/>
  <c r="Y66" i="15"/>
  <c r="AD18" i="1"/>
  <c r="V606" i="7"/>
  <c r="V672" i="7" s="1"/>
  <c r="V670" i="7"/>
  <c r="V671" i="7"/>
  <c r="AC10" i="1"/>
  <c r="AC9" i="1"/>
  <c r="AC63" i="15"/>
  <c r="BK10" i="20"/>
  <c r="AG63" i="15"/>
  <c r="AF24" i="1"/>
  <c r="AB98" i="15"/>
  <c r="AH63" i="15"/>
  <c r="BQ56" i="14"/>
  <c r="BL48" i="14"/>
  <c r="AY82" i="14"/>
  <c r="AD96" i="15"/>
  <c r="AD98" i="15" s="1"/>
  <c r="AI24" i="1" s="1"/>
  <c r="AX83" i="14"/>
  <c r="AX86" i="14" s="1"/>
  <c r="BJ239" i="20"/>
  <c r="BK194" i="20"/>
  <c r="AC30" i="1"/>
  <c r="X126" i="15"/>
  <c r="BB140" i="14"/>
  <c r="AF20" i="15"/>
  <c r="AK6" i="1"/>
  <c r="AF22" i="15"/>
  <c r="AF17" i="15"/>
  <c r="AF23" i="15"/>
  <c r="AT79" i="44"/>
  <c r="AV33" i="44"/>
  <c r="AZ1036" i="7"/>
  <c r="BA237" i="7"/>
  <c r="AZ238" i="7"/>
  <c r="AB23" i="15"/>
  <c r="AB22" i="15"/>
  <c r="AB17" i="15"/>
  <c r="BM11" i="15"/>
  <c r="AB20" i="15"/>
  <c r="AG6" i="1"/>
  <c r="AE8" i="1"/>
  <c r="AZ255" i="14"/>
  <c r="BA255" i="14" s="1"/>
  <c r="AB43" i="15"/>
  <c r="AX274" i="14"/>
  <c r="AB30" i="15"/>
  <c r="AG7" i="1" s="1"/>
  <c r="BR7" i="1" s="1"/>
  <c r="AV302" i="14"/>
  <c r="AV303" i="14" s="1"/>
  <c r="AU303" i="14"/>
  <c r="AU306" i="14" s="1"/>
  <c r="AB110" i="15"/>
  <c r="AB114" i="15"/>
  <c r="AB124" i="15"/>
  <c r="AG92" i="15"/>
  <c r="AF93" i="15"/>
  <c r="AG47" i="1"/>
  <c r="AG48" i="1" s="1"/>
  <c r="AV43" i="35"/>
  <c r="AH10" i="1"/>
  <c r="AH9" i="1"/>
  <c r="AZ246" i="14"/>
  <c r="BA245" i="14"/>
  <c r="BA315" i="14" s="1"/>
  <c r="BA318" i="14" s="1"/>
  <c r="BB846" i="7"/>
  <c r="BB55" i="35"/>
  <c r="BB237" i="7"/>
  <c r="BC6" i="9"/>
  <c r="AH92" i="15"/>
  <c r="BB245" i="14"/>
  <c r="BB315" i="14" s="1"/>
  <c r="AY1041" i="7"/>
  <c r="AY1049" i="7" s="1"/>
  <c r="AY1050" i="7" s="1"/>
  <c r="AF21" i="15"/>
  <c r="BA200" i="14"/>
  <c r="BB201" i="14"/>
  <c r="BC201" i="14" s="1"/>
  <c r="AZ194" i="14"/>
  <c r="AX335" i="11" l="1"/>
  <c r="BM161" i="20"/>
  <c r="V602" i="42" s="1"/>
  <c r="V605" i="42" s="1"/>
  <c r="BM204" i="20"/>
  <c r="BM249" i="20" s="1"/>
  <c r="BM168" i="20"/>
  <c r="V604" i="42"/>
  <c r="BJ249" i="20"/>
  <c r="BK249" i="20" s="1"/>
  <c r="BE16" i="43"/>
  <c r="BB151" i="13"/>
  <c r="BB154" i="13" s="1"/>
  <c r="BB341" i="11"/>
  <c r="BQ18" i="20"/>
  <c r="BQ19" i="20"/>
  <c r="BQ20" i="20"/>
  <c r="BD132" i="44"/>
  <c r="BD16" i="44" s="1"/>
  <c r="BD137" i="44"/>
  <c r="BB318" i="14"/>
  <c r="BQ97" i="20"/>
  <c r="BB14" i="44"/>
  <c r="BC42" i="44"/>
  <c r="BC43" i="44" s="1"/>
  <c r="BC44" i="44" s="1"/>
  <c r="BR79" i="20"/>
  <c r="BR150" i="20" s="1"/>
  <c r="BN150" i="20"/>
  <c r="BN169" i="20" s="1"/>
  <c r="AX343" i="11"/>
  <c r="AX342" i="11"/>
  <c r="BM342" i="20"/>
  <c r="BM346" i="20" s="1"/>
  <c r="AX357" i="11"/>
  <c r="AX353" i="11" s="1"/>
  <c r="AY345" i="11"/>
  <c r="AY1062" i="7"/>
  <c r="AY1063" i="7" s="1"/>
  <c r="AY1059" i="7"/>
  <c r="E43" i="52"/>
  <c r="F43" i="52" s="1"/>
  <c r="BE153" i="13"/>
  <c r="AW4" i="13"/>
  <c r="AW5" i="13" s="1"/>
  <c r="AW144" i="13"/>
  <c r="BD202" i="13"/>
  <c r="BC197" i="13"/>
  <c r="BC43" i="13" s="1"/>
  <c r="AX133" i="12"/>
  <c r="AX138" i="12" s="1"/>
  <c r="AX140" i="12" s="1"/>
  <c r="AX141" i="12" s="1"/>
  <c r="BA311" i="11"/>
  <c r="BA312" i="11" s="1"/>
  <c r="BB308" i="11"/>
  <c r="BE296" i="11"/>
  <c r="BE294" i="11" s="1"/>
  <c r="BE288" i="11" s="1"/>
  <c r="BD294" i="11"/>
  <c r="BD288" i="11" s="1"/>
  <c r="BE314" i="11"/>
  <c r="BB74" i="44"/>
  <c r="M22" i="47" s="1"/>
  <c r="BD121" i="44"/>
  <c r="BD122" i="44" s="1"/>
  <c r="BD124" i="44" s="1"/>
  <c r="BD126" i="44" s="1"/>
  <c r="BD25" i="44" s="1"/>
  <c r="BD74" i="44" s="1"/>
  <c r="O22" i="47" s="1"/>
  <c r="BD153" i="44"/>
  <c r="BE153" i="44" s="1"/>
  <c r="BD112" i="43"/>
  <c r="BC110" i="43"/>
  <c r="M42" i="15"/>
  <c r="F55" i="63"/>
  <c r="I32" i="63"/>
  <c r="H32" i="63"/>
  <c r="G32" i="63"/>
  <c r="E32" i="63"/>
  <c r="J32" i="63"/>
  <c r="F32" i="63"/>
  <c r="K32" i="63"/>
  <c r="L32" i="63"/>
  <c r="BA154" i="13"/>
  <c r="BJ52" i="12"/>
  <c r="BK52" i="12" s="1"/>
  <c r="AY133" i="12"/>
  <c r="AY138" i="12" s="1"/>
  <c r="AZ163" i="12"/>
  <c r="BA164" i="12"/>
  <c r="BA163" i="12" s="1"/>
  <c r="E9" i="56"/>
  <c r="E9" i="46"/>
  <c r="G6" i="52"/>
  <c r="H6" i="52" s="1"/>
  <c r="BP44" i="20"/>
  <c r="BQ44" i="20" s="1"/>
  <c r="BR44" i="20" s="1"/>
  <c r="BS44" i="20" s="1"/>
  <c r="BT44" i="20" s="1"/>
  <c r="BU44" i="20" s="1"/>
  <c r="AQ593" i="7"/>
  <c r="AQ611" i="7" s="1"/>
  <c r="BO97" i="20"/>
  <c r="BO169" i="20" s="1"/>
  <c r="AZ318" i="14"/>
  <c r="AB943" i="7"/>
  <c r="AQ560" i="7"/>
  <c r="AQ562" i="7" s="1"/>
  <c r="AI934" i="7"/>
  <c r="AI935" i="7" s="1"/>
  <c r="AI938" i="7" s="1"/>
  <c r="BY832" i="7"/>
  <c r="BZ832" i="7" s="1"/>
  <c r="BU832" i="7"/>
  <c r="AY33" i="44"/>
  <c r="AY79" i="44" s="1"/>
  <c r="J27" i="47" s="1"/>
  <c r="AW20" i="13"/>
  <c r="BG199" i="20"/>
  <c r="BG244" i="20" s="1"/>
  <c r="F35" i="53"/>
  <c r="G35" i="53" s="1"/>
  <c r="G32" i="53"/>
  <c r="V13" i="18"/>
  <c r="W13" i="18" s="1"/>
  <c r="BM292" i="20"/>
  <c r="BM311" i="20" s="1"/>
  <c r="BE246" i="20"/>
  <c r="BF246" i="20" s="1"/>
  <c r="BE276" i="20"/>
  <c r="BE278" i="20" s="1"/>
  <c r="BF244" i="20"/>
  <c r="BF276" i="20" s="1"/>
  <c r="BF278" i="20" s="1"/>
  <c r="BJ217" i="20"/>
  <c r="BI217" i="20"/>
  <c r="BJ216" i="20"/>
  <c r="BI216" i="20"/>
  <c r="BI202" i="14"/>
  <c r="BI208" i="14" s="1"/>
  <c r="BN106" i="20"/>
  <c r="AY14" i="44"/>
  <c r="AY56" i="44" s="1"/>
  <c r="J8" i="47" s="1"/>
  <c r="AX56" i="44"/>
  <c r="AZ37" i="43"/>
  <c r="AZ41" i="43" s="1"/>
  <c r="AH15" i="15"/>
  <c r="X13" i="48"/>
  <c r="Z40" i="18"/>
  <c r="BJ274" i="20"/>
  <c r="BK240" i="20"/>
  <c r="BK274" i="20" s="1"/>
  <c r="AW154" i="12"/>
  <c r="T392" i="7"/>
  <c r="T390" i="7"/>
  <c r="T393" i="7"/>
  <c r="S500" i="7"/>
  <c r="S498" i="7"/>
  <c r="S766" i="7"/>
  <c r="S767" i="7" s="1"/>
  <c r="S768" i="7" s="1"/>
  <c r="S771" i="7" s="1"/>
  <c r="S601" i="7"/>
  <c r="S764" i="7"/>
  <c r="S421" i="7"/>
  <c r="S406" i="7"/>
  <c r="S414" i="7"/>
  <c r="S420" i="7"/>
  <c r="AH41" i="15"/>
  <c r="AG11" i="15"/>
  <c r="AG17" i="15" s="1"/>
  <c r="BN9" i="15"/>
  <c r="AV6" i="12"/>
  <c r="BK227" i="20" s="1"/>
  <c r="BK225" i="20"/>
  <c r="AX79" i="44"/>
  <c r="AB607" i="7"/>
  <c r="AB671" i="7" s="1"/>
  <c r="AW155" i="12"/>
  <c r="AW4" i="12"/>
  <c r="BL225" i="20" s="1"/>
  <c r="AW10" i="12"/>
  <c r="AW5" i="12"/>
  <c r="BL226" i="20" s="1"/>
  <c r="AY811" i="7"/>
  <c r="AY812" i="7"/>
  <c r="AT765" i="7"/>
  <c r="BA6" i="43"/>
  <c r="BO221" i="20"/>
  <c r="BN223" i="20"/>
  <c r="BL273" i="20"/>
  <c r="BP150" i="20"/>
  <c r="E7" i="39" s="1"/>
  <c r="BO195" i="20"/>
  <c r="BP310" i="20"/>
  <c r="AZ163" i="44"/>
  <c r="BA162" i="44"/>
  <c r="BA163" i="44" s="1"/>
  <c r="AZ157" i="44"/>
  <c r="BA155" i="44"/>
  <c r="AZ156" i="44"/>
  <c r="AN191" i="14"/>
  <c r="AM192" i="14"/>
  <c r="AM204" i="14"/>
  <c r="BE71" i="14"/>
  <c r="BD72" i="14"/>
  <c r="AF94" i="14"/>
  <c r="AE131" i="14"/>
  <c r="AE142" i="14"/>
  <c r="AL144" i="14"/>
  <c r="AK62" i="14"/>
  <c r="AL62" i="14" s="1"/>
  <c r="AK149" i="14"/>
  <c r="BB142" i="14"/>
  <c r="BA131" i="14"/>
  <c r="AL134" i="14"/>
  <c r="AL133" i="14"/>
  <c r="AM96" i="14"/>
  <c r="AL99" i="14"/>
  <c r="AC132" i="14"/>
  <c r="AC143" i="14"/>
  <c r="AK100" i="14"/>
  <c r="AK104" i="14"/>
  <c r="BA142" i="14"/>
  <c r="BB78" i="14"/>
  <c r="BA80" i="14"/>
  <c r="AD132" i="14"/>
  <c r="AE95" i="14"/>
  <c r="AD143" i="14"/>
  <c r="BE181" i="14"/>
  <c r="BF181" i="14" s="1"/>
  <c r="AF66" i="15"/>
  <c r="AZ36" i="35"/>
  <c r="AZ40" i="35" s="1"/>
  <c r="W616" i="7"/>
  <c r="S616" i="7"/>
  <c r="R566" i="7"/>
  <c r="R607" i="7"/>
  <c r="V675" i="7"/>
  <c r="V676" i="7" s="1"/>
  <c r="AF70" i="15"/>
  <c r="AG18" i="1"/>
  <c r="AU6" i="12"/>
  <c r="BJ227" i="20" s="1"/>
  <c r="X524" i="7"/>
  <c r="AB524" i="7"/>
  <c r="AY810" i="7"/>
  <c r="M477" i="7"/>
  <c r="V25" i="17"/>
  <c r="AI939" i="7"/>
  <c r="Z412" i="7"/>
  <c r="N201" i="7"/>
  <c r="M202" i="7"/>
  <c r="AZ806" i="7"/>
  <c r="AZ807" i="7" s="1"/>
  <c r="AZ809" i="7" s="1"/>
  <c r="BA789" i="7"/>
  <c r="J509" i="7"/>
  <c r="J596" i="7"/>
  <c r="J564" i="7" s="1"/>
  <c r="J605" i="7" s="1"/>
  <c r="J501" i="7"/>
  <c r="J597" i="7"/>
  <c r="J565" i="7" s="1"/>
  <c r="M378" i="7"/>
  <c r="K411" i="7"/>
  <c r="K453" i="7"/>
  <c r="W562" i="7"/>
  <c r="W620" i="7"/>
  <c r="K466" i="7"/>
  <c r="M391" i="7"/>
  <c r="K394" i="7"/>
  <c r="AK245" i="7"/>
  <c r="AK282" i="7"/>
  <c r="X650" i="7"/>
  <c r="X526" i="7" s="1"/>
  <c r="X657" i="7"/>
  <c r="X658" i="7"/>
  <c r="AE913" i="7"/>
  <c r="AF909" i="7"/>
  <c r="AE910" i="7"/>
  <c r="L179" i="7"/>
  <c r="L181" i="7" s="1"/>
  <c r="K176" i="7"/>
  <c r="X498" i="7"/>
  <c r="X500" i="7"/>
  <c r="W663" i="7"/>
  <c r="W661" i="7"/>
  <c r="W660" i="7"/>
  <c r="AM277" i="7"/>
  <c r="AM289" i="7" s="1"/>
  <c r="AL278" i="7"/>
  <c r="Z652" i="7"/>
  <c r="Y649" i="7"/>
  <c r="Y654" i="7"/>
  <c r="W537" i="7"/>
  <c r="J154" i="7"/>
  <c r="J155" i="7" s="1"/>
  <c r="J772" i="7"/>
  <c r="J773" i="7" s="1"/>
  <c r="J775" i="7" s="1"/>
  <c r="F106" i="16" s="1"/>
  <c r="X655" i="7"/>
  <c r="X662" i="7" s="1"/>
  <c r="R200" i="7"/>
  <c r="Q529" i="7"/>
  <c r="P532" i="7"/>
  <c r="J413" i="7"/>
  <c r="K408" i="7"/>
  <c r="J166" i="7"/>
  <c r="J168" i="7" s="1"/>
  <c r="J172" i="7" s="1"/>
  <c r="M162" i="7"/>
  <c r="M166" i="7" s="1"/>
  <c r="M168" i="7" s="1"/>
  <c r="M172" i="7" s="1"/>
  <c r="X618" i="7"/>
  <c r="AZ1054" i="7"/>
  <c r="AZ1060" i="7" s="1"/>
  <c r="AZ1047" i="7" s="1"/>
  <c r="K410" i="7"/>
  <c r="K450" i="7"/>
  <c r="AJ251" i="7"/>
  <c r="AJ253" i="7" s="1"/>
  <c r="AJ283" i="7"/>
  <c r="X414" i="7"/>
  <c r="X421" i="7"/>
  <c r="X406" i="7"/>
  <c r="X420" i="7"/>
  <c r="AF919" i="7"/>
  <c r="AF916" i="7"/>
  <c r="AG915" i="7"/>
  <c r="F23" i="17"/>
  <c r="O746" i="7"/>
  <c r="P745" i="7"/>
  <c r="E91" i="16" s="1"/>
  <c r="C9" i="17"/>
  <c r="O749" i="7"/>
  <c r="O156" i="7" s="1"/>
  <c r="AJ247" i="7"/>
  <c r="AJ933" i="7" s="1"/>
  <c r="W662" i="7"/>
  <c r="N530" i="7"/>
  <c r="M533" i="7"/>
  <c r="V120" i="15"/>
  <c r="AA30" i="1" s="1"/>
  <c r="AB30" i="1" s="1"/>
  <c r="W119" i="15"/>
  <c r="L512" i="7"/>
  <c r="M511" i="7"/>
  <c r="Y394" i="7"/>
  <c r="V24" i="17"/>
  <c r="AH939" i="7"/>
  <c r="AH940" i="7" s="1"/>
  <c r="AA466" i="7"/>
  <c r="AB466" i="7" s="1"/>
  <c r="AC391" i="7"/>
  <c r="AA392" i="7"/>
  <c r="AA467" i="7" s="1"/>
  <c r="AB467" i="7" s="1"/>
  <c r="X764" i="7"/>
  <c r="X766" i="7"/>
  <c r="X767" i="7" s="1"/>
  <c r="X768" i="7" s="1"/>
  <c r="X771" i="7" s="1"/>
  <c r="X601" i="7"/>
  <c r="AY797" i="7"/>
  <c r="AY796" i="7"/>
  <c r="AY800" i="7"/>
  <c r="AZ791" i="7"/>
  <c r="AZ798" i="7" s="1"/>
  <c r="AY799" i="7"/>
  <c r="AB391" i="7"/>
  <c r="BE356" i="7"/>
  <c r="BF992" i="7"/>
  <c r="BG992" i="7" s="1"/>
  <c r="BD788" i="7"/>
  <c r="BC805" i="7"/>
  <c r="BC790" i="7"/>
  <c r="BB804" i="7"/>
  <c r="AG58" i="15"/>
  <c r="AL18" i="1" s="1"/>
  <c r="AT149" i="7"/>
  <c r="AT167" i="7" s="1"/>
  <c r="AT843" i="7"/>
  <c r="AT852" i="7"/>
  <c r="AT854" i="7" s="1"/>
  <c r="AT858" i="7"/>
  <c r="BK17" i="13"/>
  <c r="BK986" i="7" s="1"/>
  <c r="BJ15" i="12"/>
  <c r="BD646" i="7"/>
  <c r="BB645" i="7"/>
  <c r="BA653" i="7"/>
  <c r="BA647" i="7"/>
  <c r="BA666" i="7" s="1"/>
  <c r="AZ666" i="7"/>
  <c r="AZ665" i="7"/>
  <c r="BC52" i="35"/>
  <c r="BC50" i="35"/>
  <c r="AG41" i="15"/>
  <c r="AG37" i="15"/>
  <c r="AG28" i="15"/>
  <c r="AI9" i="15"/>
  <c r="BC11" i="35"/>
  <c r="AH54" i="15"/>
  <c r="AH62" i="15" s="1"/>
  <c r="BB28" i="35"/>
  <c r="AI10" i="1"/>
  <c r="AI9" i="1"/>
  <c r="AG70" i="15"/>
  <c r="BN70" i="15" s="1"/>
  <c r="BA29" i="35"/>
  <c r="BA36" i="35"/>
  <c r="BD1035" i="7"/>
  <c r="BD1043" i="7" s="1"/>
  <c r="BD819" i="7"/>
  <c r="BC26" i="35"/>
  <c r="AF46" i="15"/>
  <c r="AF43" i="15"/>
  <c r="AF48" i="15"/>
  <c r="AF49" i="15"/>
  <c r="AF30" i="15"/>
  <c r="AK7" i="1" s="1"/>
  <c r="AK8" i="1" s="1"/>
  <c r="AH37" i="15"/>
  <c r="AH43" i="15" s="1"/>
  <c r="AH28" i="15"/>
  <c r="AF47" i="15"/>
  <c r="BD23" i="35"/>
  <c r="BD33" i="35"/>
  <c r="BD24" i="35"/>
  <c r="BD39" i="35"/>
  <c r="AJ118" i="15" s="1"/>
  <c r="BD51" i="35"/>
  <c r="BD25" i="35"/>
  <c r="BD19" i="35"/>
  <c r="BD6" i="35"/>
  <c r="BD10" i="35" s="1"/>
  <c r="BD11" i="35" s="1"/>
  <c r="BD32" i="35"/>
  <c r="BD34" i="35"/>
  <c r="AJ78" i="15" s="1"/>
  <c r="BD326" i="7"/>
  <c r="BD24" i="7"/>
  <c r="AJ56" i="15" s="1"/>
  <c r="BE244" i="14"/>
  <c r="BE22" i="14" s="1"/>
  <c r="BE10" i="9"/>
  <c r="BE9" i="9"/>
  <c r="BE845" i="7"/>
  <c r="BE54" i="35"/>
  <c r="BG5" i="9"/>
  <c r="BE102" i="7"/>
  <c r="AK89" i="15"/>
  <c r="AK90" i="15" s="1"/>
  <c r="AY42" i="35"/>
  <c r="AY37" i="35"/>
  <c r="AE102" i="15"/>
  <c r="AY40" i="35"/>
  <c r="BC18" i="35"/>
  <c r="AI35" i="15"/>
  <c r="BC20" i="35"/>
  <c r="BB305" i="14"/>
  <c r="AH21" i="15"/>
  <c r="BM105" i="7"/>
  <c r="BR104" i="7"/>
  <c r="BM92" i="7"/>
  <c r="Q675" i="7"/>
  <c r="Q676" i="7" s="1"/>
  <c r="AM57" i="15"/>
  <c r="AL57" i="15"/>
  <c r="AL65" i="15" s="1"/>
  <c r="BN92" i="7"/>
  <c r="BN105" i="7"/>
  <c r="BS56" i="14"/>
  <c r="BU56" i="14" s="1"/>
  <c r="BU57" i="14" s="1"/>
  <c r="BN48" i="14"/>
  <c r="BP48" i="14" s="1"/>
  <c r="AB10" i="1"/>
  <c r="AB9" i="1"/>
  <c r="BQ8" i="1"/>
  <c r="AB19" i="1"/>
  <c r="BO105" i="7"/>
  <c r="BO92" i="7"/>
  <c r="BT48" i="14"/>
  <c r="BY56" i="14"/>
  <c r="BY48" i="14" s="1"/>
  <c r="AD66" i="15"/>
  <c r="AI18" i="1"/>
  <c r="AC943" i="7"/>
  <c r="AD942" i="7"/>
  <c r="G21" i="17"/>
  <c r="AD946" i="7"/>
  <c r="AE945" i="7"/>
  <c r="I55" i="16" s="1"/>
  <c r="AA673" i="7"/>
  <c r="AZ81" i="15"/>
  <c r="AV81" i="15"/>
  <c r="AK566" i="7"/>
  <c r="AC58" i="15"/>
  <c r="AH18" i="1" s="1"/>
  <c r="BR48" i="14"/>
  <c r="BW56" i="14"/>
  <c r="BW48" i="14" s="1"/>
  <c r="BK92" i="7"/>
  <c r="AK611" i="7"/>
  <c r="AA27" i="1"/>
  <c r="V74" i="15"/>
  <c r="V73" i="15" s="1"/>
  <c r="V673" i="7"/>
  <c r="AH64" i="15"/>
  <c r="AQ597" i="7"/>
  <c r="BL105" i="7"/>
  <c r="BL92" i="7"/>
  <c r="BQ104" i="7"/>
  <c r="Q673" i="7"/>
  <c r="BQ48" i="14"/>
  <c r="BV56" i="14"/>
  <c r="AY83" i="14"/>
  <c r="AY86" i="14" s="1"/>
  <c r="AZ82" i="14"/>
  <c r="AE96" i="15"/>
  <c r="AE98" i="15" s="1"/>
  <c r="BJ273" i="20"/>
  <c r="BK239" i="20"/>
  <c r="AB97" i="15"/>
  <c r="AG24" i="1"/>
  <c r="AC27" i="1"/>
  <c r="AC31" i="1" s="1"/>
  <c r="AC36" i="1" s="1"/>
  <c r="AC34" i="1" s="1"/>
  <c r="AC39" i="1" s="1"/>
  <c r="AC40" i="1" s="1"/>
  <c r="X74" i="15"/>
  <c r="X73" i="15" s="1"/>
  <c r="BC140" i="14"/>
  <c r="BB168" i="14"/>
  <c r="BB167" i="14" s="1"/>
  <c r="BD6" i="9"/>
  <c r="AI92" i="15"/>
  <c r="AI93" i="15" s="1"/>
  <c r="BC237" i="7"/>
  <c r="BC846" i="7"/>
  <c r="BC55" i="35"/>
  <c r="BC245" i="14"/>
  <c r="BC315" i="14" s="1"/>
  <c r="E27" i="47"/>
  <c r="G27" i="47" s="1"/>
  <c r="AV79" i="44"/>
  <c r="BB1036" i="7"/>
  <c r="AE22" i="1"/>
  <c r="AE9" i="1"/>
  <c r="AE10" i="1"/>
  <c r="AJ10" i="1"/>
  <c r="AZ1041" i="7"/>
  <c r="AY1046" i="7"/>
  <c r="AG8" i="1"/>
  <c r="BR6" i="1"/>
  <c r="AL6" i="1"/>
  <c r="AV306" i="14"/>
  <c r="AW309" i="14" s="1"/>
  <c r="BB238" i="7"/>
  <c r="BB255" i="14"/>
  <c r="AH17" i="15"/>
  <c r="AH22" i="15"/>
  <c r="AH23" i="15"/>
  <c r="AM6" i="1"/>
  <c r="AH20" i="15"/>
  <c r="BB246" i="14"/>
  <c r="BA1036" i="7"/>
  <c r="AH93" i="15"/>
  <c r="AY274" i="14"/>
  <c r="BB200" i="14"/>
  <c r="BB195" i="14"/>
  <c r="BA194" i="14"/>
  <c r="G66" i="63" l="1"/>
  <c r="G68" i="63"/>
  <c r="E66" i="63"/>
  <c r="E68" i="63"/>
  <c r="I66" i="63"/>
  <c r="I68" i="63"/>
  <c r="H66" i="63"/>
  <c r="H68" i="63"/>
  <c r="F66" i="63"/>
  <c r="F68" i="63"/>
  <c r="K66" i="63"/>
  <c r="K68" i="63"/>
  <c r="L66" i="63"/>
  <c r="L68" i="63"/>
  <c r="J66" i="63"/>
  <c r="J68" i="63"/>
  <c r="BC151" i="13"/>
  <c r="BC154" i="13" s="1"/>
  <c r="BC341" i="11"/>
  <c r="Q22" i="47"/>
  <c r="BD42" i="44"/>
  <c r="BD43" i="44" s="1"/>
  <c r="BD44" i="44" s="1"/>
  <c r="BS79" i="20"/>
  <c r="BS150" i="20" s="1"/>
  <c r="BR19" i="20"/>
  <c r="BR18" i="20"/>
  <c r="BR20" i="20"/>
  <c r="BB349" i="11"/>
  <c r="BQ108" i="20"/>
  <c r="BD65" i="44"/>
  <c r="BF65" i="44" s="1"/>
  <c r="BF16" i="44"/>
  <c r="BQ169" i="20"/>
  <c r="BB336" i="11"/>
  <c r="BQ55" i="20"/>
  <c r="BB56" i="44"/>
  <c r="BC318" i="14"/>
  <c r="BR97" i="20"/>
  <c r="BC14" i="44"/>
  <c r="BC56" i="44" s="1"/>
  <c r="N8" i="47" s="1"/>
  <c r="BC50" i="44"/>
  <c r="BC49" i="44"/>
  <c r="BC48" i="44"/>
  <c r="BN249" i="20"/>
  <c r="BN159" i="20"/>
  <c r="BP97" i="20"/>
  <c r="D7" i="39" s="1"/>
  <c r="BO55" i="20"/>
  <c r="BP55" i="20" s="1"/>
  <c r="AX352" i="11"/>
  <c r="AX355" i="11"/>
  <c r="AY336" i="11"/>
  <c r="AY344" i="11" s="1"/>
  <c r="BN195" i="20"/>
  <c r="BN240" i="20" s="1"/>
  <c r="BN274" i="20" s="1"/>
  <c r="AY349" i="11"/>
  <c r="BF74" i="44"/>
  <c r="BF153" i="13"/>
  <c r="BE202" i="13"/>
  <c r="BE197" i="13" s="1"/>
  <c r="BD197" i="13"/>
  <c r="BD43" i="13" s="1"/>
  <c r="BB311" i="11"/>
  <c r="BB312" i="11" s="1"/>
  <c r="BC308" i="11"/>
  <c r="BB306" i="11"/>
  <c r="BF25" i="44"/>
  <c r="BE112" i="43"/>
  <c r="BE110" i="43" s="1"/>
  <c r="BD110" i="43"/>
  <c r="F36" i="63"/>
  <c r="F33" i="63"/>
  <c r="J36" i="63"/>
  <c r="J33" i="63"/>
  <c r="E33" i="63"/>
  <c r="E36" i="63"/>
  <c r="L36" i="63"/>
  <c r="L33" i="63"/>
  <c r="G36" i="63"/>
  <c r="G33" i="63"/>
  <c r="K33" i="63"/>
  <c r="K36" i="63"/>
  <c r="H36" i="63"/>
  <c r="H33" i="63"/>
  <c r="I36" i="63"/>
  <c r="I33" i="63"/>
  <c r="D9" i="56"/>
  <c r="D9" i="46"/>
  <c r="G9" i="46"/>
  <c r="C9" i="56"/>
  <c r="G9" i="56" s="1"/>
  <c r="AZ133" i="12"/>
  <c r="BJ60" i="12"/>
  <c r="BK60" i="12" s="1"/>
  <c r="AQ596" i="7"/>
  <c r="AQ577" i="7" s="1"/>
  <c r="AQ620" i="7"/>
  <c r="AV616" i="7" s="1"/>
  <c r="AI940" i="7"/>
  <c r="BG201" i="20"/>
  <c r="BL216" i="20"/>
  <c r="BL217" i="20"/>
  <c r="BA33" i="44"/>
  <c r="AY140" i="12"/>
  <c r="AY141" i="12" s="1"/>
  <c r="AX152" i="12"/>
  <c r="AY155" i="12" s="1"/>
  <c r="I27" i="53"/>
  <c r="F31" i="53"/>
  <c r="G31" i="53" s="1"/>
  <c r="G46" i="52"/>
  <c r="G45" i="52"/>
  <c r="G47" i="52"/>
  <c r="G44" i="52"/>
  <c r="G49" i="52"/>
  <c r="G39" i="52"/>
  <c r="G50" i="52"/>
  <c r="G32" i="52"/>
  <c r="G33" i="52"/>
  <c r="G34" i="52"/>
  <c r="F38" i="52"/>
  <c r="G24" i="52"/>
  <c r="BG276" i="20"/>
  <c r="BG278" i="20" s="1"/>
  <c r="BG246" i="20"/>
  <c r="G37" i="52"/>
  <c r="G43" i="52"/>
  <c r="G48" i="52"/>
  <c r="G40" i="52"/>
  <c r="G41" i="52"/>
  <c r="G51" i="52"/>
  <c r="G31" i="52"/>
  <c r="BK216" i="20"/>
  <c r="E18" i="46"/>
  <c r="BK217" i="20"/>
  <c r="I8" i="47"/>
  <c r="BN292" i="20"/>
  <c r="BN311" i="20" s="1"/>
  <c r="BO106" i="20"/>
  <c r="AZ14" i="44"/>
  <c r="BJ202" i="14"/>
  <c r="BJ208" i="14" s="1"/>
  <c r="BA16" i="43"/>
  <c r="BA37" i="43"/>
  <c r="BA41" i="43" s="1"/>
  <c r="AW727" i="7"/>
  <c r="AZ810" i="7"/>
  <c r="AB609" i="7"/>
  <c r="AB670" i="7"/>
  <c r="S413" i="7"/>
  <c r="T408" i="7"/>
  <c r="AB606" i="7"/>
  <c r="AB672" i="7" s="1"/>
  <c r="AB675" i="7" s="1"/>
  <c r="AB676" i="7" s="1"/>
  <c r="S154" i="7"/>
  <c r="S155" i="7" s="1"/>
  <c r="S772" i="7"/>
  <c r="S773" i="7" s="1"/>
  <c r="S597" i="7"/>
  <c r="S565" i="7" s="1"/>
  <c r="S509" i="7"/>
  <c r="S501" i="7"/>
  <c r="S596" i="7"/>
  <c r="S564" i="7" s="1"/>
  <c r="S605" i="7" s="1"/>
  <c r="AT198" i="7"/>
  <c r="AV167" i="7"/>
  <c r="T465" i="7"/>
  <c r="T409" i="7"/>
  <c r="T504" i="7" s="1"/>
  <c r="T394" i="7"/>
  <c r="AA412" i="7"/>
  <c r="AA507" i="7" s="1"/>
  <c r="AB392" i="7"/>
  <c r="T467" i="7"/>
  <c r="T412" i="7"/>
  <c r="T507" i="7" s="1"/>
  <c r="AF102" i="15"/>
  <c r="AF114" i="15" s="1"/>
  <c r="AZ42" i="35"/>
  <c r="AK47" i="1" s="1"/>
  <c r="AK48" i="1" s="1"/>
  <c r="AK35" i="1" s="1"/>
  <c r="AG20" i="15"/>
  <c r="BN11" i="15"/>
  <c r="AG23" i="15"/>
  <c r="AG21" i="15"/>
  <c r="AZ37" i="35"/>
  <c r="AG30" i="15"/>
  <c r="AL7" i="1" s="1"/>
  <c r="BS7" i="1" s="1"/>
  <c r="AG22" i="15"/>
  <c r="I27" i="47"/>
  <c r="BA79" i="44"/>
  <c r="AZ323" i="11"/>
  <c r="AW6" i="12"/>
  <c r="BL227" i="20" s="1"/>
  <c r="BA665" i="7"/>
  <c r="BP195" i="20"/>
  <c r="H7" i="39" s="1"/>
  <c r="H41" i="39" s="1"/>
  <c r="BO240" i="20"/>
  <c r="BM273" i="20"/>
  <c r="BP221" i="20"/>
  <c r="BO223" i="20"/>
  <c r="BP223" i="20" s="1"/>
  <c r="BA157" i="44"/>
  <c r="BA156" i="44"/>
  <c r="AM216" i="14"/>
  <c r="AM218" i="14" s="1"/>
  <c r="AM63" i="14"/>
  <c r="AN192" i="14"/>
  <c r="AN204" i="14"/>
  <c r="AO191" i="14"/>
  <c r="BC142" i="14"/>
  <c r="BB131" i="14"/>
  <c r="AF95" i="14"/>
  <c r="AE132" i="14"/>
  <c r="AE143" i="14"/>
  <c r="AK151" i="14"/>
  <c r="AL151" i="14" s="1"/>
  <c r="AL149" i="14"/>
  <c r="AL104" i="14"/>
  <c r="AL100" i="14"/>
  <c r="BC78" i="14"/>
  <c r="BB80" i="14"/>
  <c r="AF131" i="14"/>
  <c r="AG94" i="14"/>
  <c r="AF142" i="14"/>
  <c r="AG142" i="14" s="1"/>
  <c r="AM99" i="14"/>
  <c r="AN96" i="14"/>
  <c r="AM134" i="14"/>
  <c r="AM133" i="14"/>
  <c r="AM144" i="14"/>
  <c r="AM149" i="14" s="1"/>
  <c r="AM151" i="14" s="1"/>
  <c r="BE72" i="14"/>
  <c r="BF71" i="14"/>
  <c r="BG181" i="14"/>
  <c r="AH30" i="15"/>
  <c r="AM7" i="1" s="1"/>
  <c r="AM8" i="1" s="1"/>
  <c r="AH58" i="15"/>
  <c r="AH66" i="15" s="1"/>
  <c r="R606" i="7"/>
  <c r="R672" i="7" s="1"/>
  <c r="R670" i="7"/>
  <c r="R671" i="7"/>
  <c r="AJ934" i="7"/>
  <c r="AJ935" i="7" s="1"/>
  <c r="AJ938" i="7" s="1"/>
  <c r="AG66" i="15"/>
  <c r="BD26" i="35"/>
  <c r="AJ54" i="15" s="1"/>
  <c r="AJ62" i="15" s="1"/>
  <c r="AJ9" i="15"/>
  <c r="AJ15" i="15" s="1"/>
  <c r="BC255" i="14"/>
  <c r="M512" i="7"/>
  <c r="X413" i="7"/>
  <c r="Y408" i="7"/>
  <c r="S200" i="7"/>
  <c r="J176" i="7"/>
  <c r="K179" i="7"/>
  <c r="K181" i="7" s="1"/>
  <c r="Z507" i="7"/>
  <c r="X537" i="7"/>
  <c r="X617" i="7"/>
  <c r="AK251" i="7"/>
  <c r="AK253" i="7" s="1"/>
  <c r="AK283" i="7"/>
  <c r="Q532" i="7"/>
  <c r="R529" i="7"/>
  <c r="D5" i="17"/>
  <c r="AA31" i="1"/>
  <c r="AA36" i="1" s="1"/>
  <c r="AA34" i="1" s="1"/>
  <c r="AB34" i="1" s="1"/>
  <c r="AF913" i="7"/>
  <c r="AF910" i="7"/>
  <c r="AG909" i="7"/>
  <c r="K402" i="7"/>
  <c r="L388" i="7"/>
  <c r="L389" i="7"/>
  <c r="K471" i="7"/>
  <c r="X602" i="7"/>
  <c r="Y602" i="7" s="1"/>
  <c r="Z602" i="7" s="1"/>
  <c r="V26" i="17"/>
  <c r="AJ939" i="7"/>
  <c r="X616" i="7"/>
  <c r="AB616" i="7"/>
  <c r="K505" i="7"/>
  <c r="Y650" i="7"/>
  <c r="Y526" i="7" s="1"/>
  <c r="Y657" i="7"/>
  <c r="Y658" i="7"/>
  <c r="W607" i="7"/>
  <c r="W566" i="7"/>
  <c r="M466" i="7"/>
  <c r="K482" i="7"/>
  <c r="K468" i="7"/>
  <c r="X663" i="7"/>
  <c r="X661" i="7"/>
  <c r="X660" i="7"/>
  <c r="X154" i="7"/>
  <c r="X155" i="7" s="1"/>
  <c r="X772" i="7"/>
  <c r="X773" i="7" s="1"/>
  <c r="AB468" i="7"/>
  <c r="N533" i="7"/>
  <c r="O530" i="7"/>
  <c r="AZ1074" i="7"/>
  <c r="BA1060" i="7"/>
  <c r="K503" i="7"/>
  <c r="J508" i="7"/>
  <c r="J559" i="7"/>
  <c r="J560" i="7" s="1"/>
  <c r="K618" i="7" s="1"/>
  <c r="AK247" i="7"/>
  <c r="AK934" i="7" s="1"/>
  <c r="AK935" i="7" s="1"/>
  <c r="AK938" i="7" s="1"/>
  <c r="BB789" i="7"/>
  <c r="BA806" i="7"/>
  <c r="BA807" i="7" s="1"/>
  <c r="BA812" i="7" s="1"/>
  <c r="AZ811" i="7"/>
  <c r="Q745" i="7"/>
  <c r="E88" i="16" s="1"/>
  <c r="C10" i="17"/>
  <c r="P749" i="7"/>
  <c r="P156" i="7" s="1"/>
  <c r="P746" i="7"/>
  <c r="Y655" i="7"/>
  <c r="Y662" i="7" s="1"/>
  <c r="Y471" i="7"/>
  <c r="Z388" i="7"/>
  <c r="Y402" i="7"/>
  <c r="X509" i="7"/>
  <c r="X501" i="7"/>
  <c r="X596" i="7"/>
  <c r="X564" i="7" s="1"/>
  <c r="X605" i="7" s="1"/>
  <c r="X597" i="7"/>
  <c r="X565" i="7" s="1"/>
  <c r="W125" i="15"/>
  <c r="W120" i="15"/>
  <c r="W126" i="15" s="1"/>
  <c r="AZ812" i="7"/>
  <c r="AD391" i="7"/>
  <c r="AC412" i="7"/>
  <c r="AC466" i="7"/>
  <c r="AC394" i="7"/>
  <c r="Z654" i="7"/>
  <c r="Z655" i="7" s="1"/>
  <c r="AA652" i="7"/>
  <c r="Z649" i="7"/>
  <c r="V126" i="15"/>
  <c r="N158" i="7"/>
  <c r="O201" i="7"/>
  <c r="N202" i="7"/>
  <c r="AL245" i="7"/>
  <c r="AL282" i="7"/>
  <c r="M453" i="7"/>
  <c r="AZ797" i="7"/>
  <c r="AZ796" i="7"/>
  <c r="AZ799" i="7"/>
  <c r="AZ800" i="7"/>
  <c r="BA791" i="7"/>
  <c r="BA798" i="7" s="1"/>
  <c r="AH915" i="7"/>
  <c r="H49" i="16" s="1"/>
  <c r="AG919" i="7"/>
  <c r="AG916" i="7"/>
  <c r="AN277" i="7"/>
  <c r="AN289" i="7" s="1"/>
  <c r="AM285" i="7"/>
  <c r="AM286" i="7"/>
  <c r="AM278" i="7"/>
  <c r="M411" i="7"/>
  <c r="K506" i="7"/>
  <c r="X527" i="7"/>
  <c r="Y524" i="7" s="1"/>
  <c r="BG356" i="7"/>
  <c r="BH992" i="7"/>
  <c r="BE334" i="7"/>
  <c r="BF334" i="7" s="1"/>
  <c r="BF356" i="7"/>
  <c r="BD790" i="7"/>
  <c r="BE788" i="7"/>
  <c r="BD805" i="7"/>
  <c r="BC804" i="7"/>
  <c r="AS857" i="7"/>
  <c r="AS859" i="7" s="1"/>
  <c r="AS862" i="7" s="1"/>
  <c r="BI15" i="12"/>
  <c r="BJ17" i="13"/>
  <c r="BJ986" i="7" s="1"/>
  <c r="BE646" i="7"/>
  <c r="BB647" i="7"/>
  <c r="BB666" i="7" s="1"/>
  <c r="BB653" i="7"/>
  <c r="BC645" i="7"/>
  <c r="AK55" i="15"/>
  <c r="AK63" i="15" s="1"/>
  <c r="BF22" i="14"/>
  <c r="AL55" i="15" s="1"/>
  <c r="AL63" i="15" s="1"/>
  <c r="AI28" i="15"/>
  <c r="AI41" i="15"/>
  <c r="AI37" i="15"/>
  <c r="AE110" i="15"/>
  <c r="AE114" i="15"/>
  <c r="AE124" i="15"/>
  <c r="AI54" i="15"/>
  <c r="BC28" i="35"/>
  <c r="AY43" i="35"/>
  <c r="AJ47" i="1"/>
  <c r="AJ48" i="1" s="1"/>
  <c r="AJ35" i="1" s="1"/>
  <c r="AI11" i="15"/>
  <c r="AI15" i="15"/>
  <c r="AH70" i="15"/>
  <c r="BB36" i="35"/>
  <c r="BB29" i="35"/>
  <c r="BD50" i="35"/>
  <c r="BD52" i="35"/>
  <c r="AC66" i="15"/>
  <c r="BE24" i="7"/>
  <c r="AK56" i="15" s="1"/>
  <c r="AK64" i="15" s="1"/>
  <c r="BE326" i="7"/>
  <c r="BF102" i="7"/>
  <c r="BA37" i="35"/>
  <c r="AG102" i="15"/>
  <c r="BA42" i="35"/>
  <c r="BA40" i="35"/>
  <c r="AG47" i="15"/>
  <c r="AG49" i="15"/>
  <c r="AG43" i="15"/>
  <c r="AG48" i="15"/>
  <c r="AG46" i="15"/>
  <c r="BH5" i="9"/>
  <c r="BG102" i="7"/>
  <c r="AM89" i="15"/>
  <c r="AM90" i="15" s="1"/>
  <c r="BG9" i="9"/>
  <c r="BG244" i="14"/>
  <c r="BG22" i="14" s="1"/>
  <c r="AM55" i="15" s="1"/>
  <c r="AM63" i="15" s="1"/>
  <c r="BG845" i="7"/>
  <c r="BG10" i="9"/>
  <c r="BG54" i="35"/>
  <c r="BE32" i="35"/>
  <c r="BF32" i="35" s="1"/>
  <c r="BE24" i="35"/>
  <c r="BF24" i="35" s="1"/>
  <c r="BE19" i="35"/>
  <c r="BE34" i="35"/>
  <c r="BE51" i="35"/>
  <c r="BE25" i="35"/>
  <c r="BF25" i="35" s="1"/>
  <c r="BE39" i="35"/>
  <c r="AK118" i="15" s="1"/>
  <c r="BE6" i="35"/>
  <c r="BE33" i="35"/>
  <c r="BF33" i="35" s="1"/>
  <c r="BE23" i="35"/>
  <c r="BF23" i="35" s="1"/>
  <c r="BD20" i="35"/>
  <c r="BD18" i="35"/>
  <c r="AJ35" i="15"/>
  <c r="AH49" i="15"/>
  <c r="AH46" i="15"/>
  <c r="AH47" i="15"/>
  <c r="AH48" i="15"/>
  <c r="BE819" i="7"/>
  <c r="BF819" i="7" s="1"/>
  <c r="BE1035" i="7"/>
  <c r="BE1043" i="7" s="1"/>
  <c r="BF1043" i="7" s="1"/>
  <c r="AD943" i="7"/>
  <c r="AE942" i="7"/>
  <c r="AR57" i="15"/>
  <c r="AQ57" i="15"/>
  <c r="AQ65" i="15" s="1"/>
  <c r="AQ607" i="7"/>
  <c r="AQ566" i="7"/>
  <c r="BE81" i="15"/>
  <c r="BF81" i="15" s="1"/>
  <c r="BA81" i="15"/>
  <c r="BS48" i="14"/>
  <c r="BU48" i="14" s="1"/>
  <c r="BX56" i="14"/>
  <c r="BX48" i="14" s="1"/>
  <c r="BQ19" i="1"/>
  <c r="W74" i="15"/>
  <c r="AB27" i="1"/>
  <c r="AB31" i="1" s="1"/>
  <c r="AB36" i="1" s="1"/>
  <c r="BT104" i="7"/>
  <c r="BS104" i="7"/>
  <c r="BQ105" i="7"/>
  <c r="BV105" i="7"/>
  <c r="BQ92" i="7"/>
  <c r="BP92" i="7"/>
  <c r="BR92" i="7"/>
  <c r="BW105" i="7"/>
  <c r="BR105" i="7"/>
  <c r="AF945" i="7"/>
  <c r="I52" i="16" s="1"/>
  <c r="AE946" i="7"/>
  <c r="G22" i="17"/>
  <c r="AZ83" i="14"/>
  <c r="AZ86" i="14" s="1"/>
  <c r="BA82" i="14"/>
  <c r="AZ52" i="14"/>
  <c r="AZ26" i="14" s="1"/>
  <c r="AF96" i="15" s="1"/>
  <c r="AF98" i="15" s="1"/>
  <c r="AK24" i="1" s="1"/>
  <c r="BK273" i="20"/>
  <c r="AJ24" i="1"/>
  <c r="BV48" i="14"/>
  <c r="BD140" i="14"/>
  <c r="BC168" i="14"/>
  <c r="BC167" i="14" s="1"/>
  <c r="AZ274" i="14"/>
  <c r="BC1036" i="7"/>
  <c r="BC238" i="7"/>
  <c r="AG9" i="1"/>
  <c r="BR8" i="1"/>
  <c r="AG10" i="1"/>
  <c r="AJ92" i="15"/>
  <c r="AJ93" i="15" s="1"/>
  <c r="BD245" i="14"/>
  <c r="BD315" i="14" s="1"/>
  <c r="BE6" i="9"/>
  <c r="BD846" i="7"/>
  <c r="BD55" i="35"/>
  <c r="BD237" i="7"/>
  <c r="BC246" i="14"/>
  <c r="BS6" i="1"/>
  <c r="AZ1046" i="7"/>
  <c r="BA1047" i="7"/>
  <c r="AK9" i="1"/>
  <c r="AK10" i="1"/>
  <c r="BC305" i="14"/>
  <c r="AA85" i="15"/>
  <c r="BB194" i="14"/>
  <c r="BD201" i="14"/>
  <c r="BC200" i="14"/>
  <c r="BC195" i="14"/>
  <c r="F69" i="63" l="1"/>
  <c r="F79" i="63" s="1"/>
  <c r="F73" i="63"/>
  <c r="H69" i="63"/>
  <c r="H73" i="63"/>
  <c r="I69" i="63"/>
  <c r="I73" i="63"/>
  <c r="L69" i="63"/>
  <c r="L73" i="63"/>
  <c r="K69" i="63"/>
  <c r="K73" i="63"/>
  <c r="G69" i="63"/>
  <c r="G73" i="63"/>
  <c r="J69" i="63"/>
  <c r="J73" i="63"/>
  <c r="E69" i="63"/>
  <c r="E73" i="63"/>
  <c r="F71" i="63"/>
  <c r="H71" i="63"/>
  <c r="J71" i="63"/>
  <c r="AY335" i="11"/>
  <c r="W600" i="42"/>
  <c r="AX356" i="11"/>
  <c r="V653" i="42" s="1"/>
  <c r="V652" i="42"/>
  <c r="BD151" i="13"/>
  <c r="BD154" i="13" s="1"/>
  <c r="BD341" i="11"/>
  <c r="BC349" i="11"/>
  <c r="BR108" i="20"/>
  <c r="M8" i="47"/>
  <c r="BR169" i="20"/>
  <c r="BC336" i="11"/>
  <c r="BR55" i="20"/>
  <c r="BE42" i="44"/>
  <c r="BE43" i="44" s="1"/>
  <c r="BE44" i="44" s="1"/>
  <c r="BT79" i="20"/>
  <c r="BT150" i="20" s="1"/>
  <c r="BS19" i="20"/>
  <c r="BS18" i="20"/>
  <c r="BS20" i="20"/>
  <c r="BB344" i="11"/>
  <c r="BD318" i="14"/>
  <c r="BS97" i="20"/>
  <c r="BD14" i="44"/>
  <c r="BD49" i="44"/>
  <c r="BD48" i="44"/>
  <c r="BD50" i="44"/>
  <c r="BQ74" i="20"/>
  <c r="BQ11" i="20"/>
  <c r="BQ34" i="20" s="1"/>
  <c r="BC34" i="44"/>
  <c r="L27" i="47"/>
  <c r="BP106" i="20"/>
  <c r="D16" i="39" s="1"/>
  <c r="BO168" i="20"/>
  <c r="BN168" i="20"/>
  <c r="AZ349" i="11"/>
  <c r="AY343" i="11"/>
  <c r="AY342" i="11"/>
  <c r="AY355" i="11" s="1"/>
  <c r="W652" i="42" s="1"/>
  <c r="AQ39" i="12"/>
  <c r="AQ38" i="12" s="1"/>
  <c r="AR616" i="7"/>
  <c r="BF197" i="13"/>
  <c r="BE43" i="13"/>
  <c r="AZ326" i="11"/>
  <c r="AZ86" i="44"/>
  <c r="BC311" i="11"/>
  <c r="BC312" i="11" s="1"/>
  <c r="BD308" i="11"/>
  <c r="BC306" i="11"/>
  <c r="B9" i="56"/>
  <c r="F9" i="56" s="1"/>
  <c r="I9" i="56" s="1"/>
  <c r="F9" i="46"/>
  <c r="BO11" i="20"/>
  <c r="BP11" i="20" s="1"/>
  <c r="AZ138" i="12"/>
  <c r="BA133" i="12"/>
  <c r="AZ134" i="12"/>
  <c r="AB673" i="7"/>
  <c r="Y527" i="7"/>
  <c r="Z524" i="7" s="1"/>
  <c r="AB412" i="7"/>
  <c r="AB413" i="7" s="1"/>
  <c r="BL196" i="20"/>
  <c r="BL241" i="20" s="1"/>
  <c r="D18" i="46"/>
  <c r="E18" i="56"/>
  <c r="C18" i="56"/>
  <c r="G18" i="46"/>
  <c r="V10" i="18"/>
  <c r="W10" i="18" s="1"/>
  <c r="AX154" i="12"/>
  <c r="AX155" i="12"/>
  <c r="J31" i="53"/>
  <c r="L31" i="53" s="1"/>
  <c r="F36" i="53"/>
  <c r="F36" i="52"/>
  <c r="G36" i="52" s="1"/>
  <c r="E38" i="52"/>
  <c r="E66" i="52" s="1"/>
  <c r="F42" i="52"/>
  <c r="G38" i="52"/>
  <c r="H24" i="52"/>
  <c r="H27" i="52" s="1"/>
  <c r="G27" i="52"/>
  <c r="C7" i="39"/>
  <c r="E41" i="39" s="1"/>
  <c r="BO292" i="20"/>
  <c r="BO311" i="20" s="1"/>
  <c r="BO249" i="20"/>
  <c r="BP249" i="20" s="1"/>
  <c r="I16" i="39" s="1"/>
  <c r="BO64" i="20"/>
  <c r="BK202" i="14"/>
  <c r="BL202" i="14" s="1"/>
  <c r="BL208" i="14" s="1"/>
  <c r="AZ56" i="44"/>
  <c r="BA14" i="44"/>
  <c r="AF124" i="15"/>
  <c r="AF110" i="15"/>
  <c r="AZ43" i="35"/>
  <c r="X12" i="48"/>
  <c r="Z37" i="18"/>
  <c r="T468" i="7"/>
  <c r="T471" i="7"/>
  <c r="T402" i="7"/>
  <c r="U388" i="7"/>
  <c r="S559" i="7"/>
  <c r="S560" i="7" s="1"/>
  <c r="S508" i="7"/>
  <c r="T503" i="7"/>
  <c r="AL8" i="1"/>
  <c r="AL10" i="1" s="1"/>
  <c r="AK933" i="7"/>
  <c r="V27" i="17" s="1"/>
  <c r="AZ300" i="14"/>
  <c r="BA300" i="14" s="1"/>
  <c r="BD28" i="35"/>
  <c r="BD36" i="35" s="1"/>
  <c r="AM18" i="1"/>
  <c r="BO149" i="20"/>
  <c r="BN194" i="20"/>
  <c r="BN239" i="20" s="1"/>
  <c r="BN273" i="20" s="1"/>
  <c r="E8" i="46"/>
  <c r="BP240" i="20"/>
  <c r="BO274" i="20"/>
  <c r="AO192" i="14"/>
  <c r="BD135" i="20" s="1"/>
  <c r="BD140" i="20" s="1"/>
  <c r="AP191" i="14"/>
  <c r="AO204" i="14"/>
  <c r="AN63" i="14"/>
  <c r="AN216" i="14"/>
  <c r="AN218" i="14" s="1"/>
  <c r="AM62" i="14"/>
  <c r="AM64" i="14" s="1"/>
  <c r="BG71" i="14"/>
  <c r="AH94" i="14"/>
  <c r="AG131" i="14"/>
  <c r="BD78" i="14"/>
  <c r="BC80" i="14"/>
  <c r="AO96" i="14"/>
  <c r="AN134" i="14"/>
  <c r="AN133" i="14"/>
  <c r="AN99" i="14"/>
  <c r="AN144" i="14"/>
  <c r="AM100" i="14"/>
  <c r="AM104" i="14"/>
  <c r="AG95" i="14"/>
  <c r="AG132" i="14" s="1"/>
  <c r="AF132" i="14"/>
  <c r="AF143" i="14"/>
  <c r="AG143" i="14" s="1"/>
  <c r="BC131" i="14"/>
  <c r="BD142" i="14"/>
  <c r="BH181" i="14"/>
  <c r="AJ11" i="15"/>
  <c r="AJ21" i="15" s="1"/>
  <c r="R673" i="7"/>
  <c r="AA39" i="1"/>
  <c r="AA40" i="1" s="1"/>
  <c r="AJ58" i="15"/>
  <c r="R675" i="7"/>
  <c r="R676" i="7" s="1"/>
  <c r="AJ940" i="7"/>
  <c r="BZ48" i="14"/>
  <c r="BZ56" i="14"/>
  <c r="BZ57" i="14" s="1"/>
  <c r="K470" i="7"/>
  <c r="BD255" i="14"/>
  <c r="BF39" i="35"/>
  <c r="AL118" i="15" s="1"/>
  <c r="Z663" i="7"/>
  <c r="Z661" i="7"/>
  <c r="Z660" i="7"/>
  <c r="R745" i="7"/>
  <c r="C11" i="17"/>
  <c r="Q749" i="7"/>
  <c r="Q156" i="7" s="1"/>
  <c r="Q157" i="7" s="1"/>
  <c r="Q746" i="7"/>
  <c r="AC468" i="7"/>
  <c r="BA809" i="7"/>
  <c r="AL247" i="7"/>
  <c r="AL933" i="7" s="1"/>
  <c r="X611" i="7"/>
  <c r="J620" i="7"/>
  <c r="J562" i="7"/>
  <c r="J554" i="7"/>
  <c r="J552" i="7"/>
  <c r="K540" i="7" s="1"/>
  <c r="AB507" i="7"/>
  <c r="AB508" i="7" s="1"/>
  <c r="BC789" i="7"/>
  <c r="BB806" i="7"/>
  <c r="BB807" i="7" s="1"/>
  <c r="BB809" i="7" s="1"/>
  <c r="M506" i="7"/>
  <c r="W606" i="7"/>
  <c r="W672" i="7" s="1"/>
  <c r="W671" i="7"/>
  <c r="W670" i="7"/>
  <c r="K561" i="7"/>
  <c r="L463" i="7"/>
  <c r="K497" i="7"/>
  <c r="X508" i="7"/>
  <c r="Y503" i="7"/>
  <c r="X559" i="7"/>
  <c r="X560" i="7" s="1"/>
  <c r="L374" i="7"/>
  <c r="L464" i="7"/>
  <c r="M464" i="7" s="1"/>
  <c r="M389" i="7"/>
  <c r="K405" i="7"/>
  <c r="L392" i="7" s="1"/>
  <c r="L394" i="7" s="1"/>
  <c r="K403" i="7"/>
  <c r="J179" i="7"/>
  <c r="J181" i="7" s="1"/>
  <c r="I176" i="7"/>
  <c r="I179" i="7" s="1"/>
  <c r="I181" i="7" s="1"/>
  <c r="AC507" i="7"/>
  <c r="AG910" i="7"/>
  <c r="AG913" i="7"/>
  <c r="AH909" i="7"/>
  <c r="T200" i="7"/>
  <c r="BA1059" i="7"/>
  <c r="BA1074" i="7"/>
  <c r="BF1054" i="7"/>
  <c r="BB1054" i="7"/>
  <c r="BB1060" i="7" s="1"/>
  <c r="P201" i="7"/>
  <c r="O158" i="7"/>
  <c r="O202" i="7"/>
  <c r="AB39" i="1"/>
  <c r="AB40" i="1" s="1"/>
  <c r="BA811" i="7"/>
  <c r="AI915" i="7"/>
  <c r="H46" i="16" s="1"/>
  <c r="AH919" i="7"/>
  <c r="AH916" i="7"/>
  <c r="F24" i="17"/>
  <c r="Y661" i="7"/>
  <c r="Y663" i="7"/>
  <c r="Y660" i="7"/>
  <c r="X538" i="7"/>
  <c r="L482" i="7"/>
  <c r="K483" i="7"/>
  <c r="AM245" i="7"/>
  <c r="AM282" i="7"/>
  <c r="BA810" i="7"/>
  <c r="BA797" i="7"/>
  <c r="BA799" i="7"/>
  <c r="BA796" i="7"/>
  <c r="BA800" i="7"/>
  <c r="BB798" i="7"/>
  <c r="O533" i="7"/>
  <c r="P530" i="7"/>
  <c r="R532" i="7"/>
  <c r="S529" i="7"/>
  <c r="BF24" i="7"/>
  <c r="AL56" i="15" s="1"/>
  <c r="AL64" i="15" s="1"/>
  <c r="AD412" i="7"/>
  <c r="AD507" i="7" s="1"/>
  <c r="AD466" i="7"/>
  <c r="AE391" i="7"/>
  <c r="AL251" i="7"/>
  <c r="AL253" i="7" s="1"/>
  <c r="AL283" i="7"/>
  <c r="Y405" i="7"/>
  <c r="Z393" i="7" s="1"/>
  <c r="Z394" i="7" s="1"/>
  <c r="Y403" i="7"/>
  <c r="AN285" i="7"/>
  <c r="AN286" i="7"/>
  <c r="AN278" i="7"/>
  <c r="AO285" i="7"/>
  <c r="AA649" i="7"/>
  <c r="AB652" i="7"/>
  <c r="AA654" i="7"/>
  <c r="AA655" i="7" s="1"/>
  <c r="Y537" i="7"/>
  <c r="Y538" i="7" s="1"/>
  <c r="Y617" i="7"/>
  <c r="AC471" i="7"/>
  <c r="AC402" i="7"/>
  <c r="AD388" i="7"/>
  <c r="Y561" i="7"/>
  <c r="Z463" i="7"/>
  <c r="Z468" i="7" s="1"/>
  <c r="Y497" i="7"/>
  <c r="Y470" i="7"/>
  <c r="Z662" i="7"/>
  <c r="Z657" i="7"/>
  <c r="Z658" i="7"/>
  <c r="Z650" i="7"/>
  <c r="Z526" i="7" s="1"/>
  <c r="BH356" i="7"/>
  <c r="BH334" i="7" s="1"/>
  <c r="BI992" i="7"/>
  <c r="BG334" i="7"/>
  <c r="BE787" i="7"/>
  <c r="BE791" i="7" s="1"/>
  <c r="BD804" i="7"/>
  <c r="BE805" i="7"/>
  <c r="BF788" i="7"/>
  <c r="BE790" i="7"/>
  <c r="BH116" i="20"/>
  <c r="BH118" i="20" s="1"/>
  <c r="BI17" i="13"/>
  <c r="BI986" i="7" s="1"/>
  <c r="BH15" i="12"/>
  <c r="BF646" i="7"/>
  <c r="BC653" i="7"/>
  <c r="BD645" i="7"/>
  <c r="BC647" i="7"/>
  <c r="BC666" i="7" s="1"/>
  <c r="BB665" i="7"/>
  <c r="BE52" i="35"/>
  <c r="BE50" i="35"/>
  <c r="BE18" i="35"/>
  <c r="AK35" i="15"/>
  <c r="BE20" i="35"/>
  <c r="AI30" i="15"/>
  <c r="AN7" i="1" s="1"/>
  <c r="AI46" i="15"/>
  <c r="AI43" i="15"/>
  <c r="AI49" i="15"/>
  <c r="AI48" i="15"/>
  <c r="AG110" i="15"/>
  <c r="AG124" i="15"/>
  <c r="AG114" i="15"/>
  <c r="AI47" i="15"/>
  <c r="BG1035" i="7"/>
  <c r="BG1043" i="7" s="1"/>
  <c r="BG819" i="7"/>
  <c r="BG24" i="35"/>
  <c r="BG19" i="35"/>
  <c r="BG51" i="35"/>
  <c r="BG33" i="35"/>
  <c r="BG6" i="35"/>
  <c r="BG10" i="35" s="1"/>
  <c r="BG11" i="35" s="1"/>
  <c r="BG32" i="35"/>
  <c r="BG23" i="35"/>
  <c r="BG34" i="35"/>
  <c r="AM78" i="15" s="1"/>
  <c r="BG25" i="35"/>
  <c r="BG39" i="35"/>
  <c r="AM118" i="15" s="1"/>
  <c r="AI21" i="15"/>
  <c r="AI20" i="15"/>
  <c r="AN6" i="1"/>
  <c r="AI22" i="15"/>
  <c r="AI23" i="15"/>
  <c r="AI17" i="15"/>
  <c r="BG24" i="7"/>
  <c r="AM56" i="15" s="1"/>
  <c r="AM64" i="15" s="1"/>
  <c r="BG326" i="7"/>
  <c r="BF34" i="35"/>
  <c r="AL78" i="15" s="1"/>
  <c r="AK78" i="15"/>
  <c r="AJ37" i="15"/>
  <c r="AJ41" i="15"/>
  <c r="BH102" i="7"/>
  <c r="BI5" i="9"/>
  <c r="BH54" i="35"/>
  <c r="AN89" i="15"/>
  <c r="AN90" i="15" s="1"/>
  <c r="BH244" i="14"/>
  <c r="BH22" i="14" s="1"/>
  <c r="AN55" i="15" s="1"/>
  <c r="AN63" i="15" s="1"/>
  <c r="BH845" i="7"/>
  <c r="BH10" i="9"/>
  <c r="BH9" i="9"/>
  <c r="BB40" i="35"/>
  <c r="AH102" i="15"/>
  <c r="BB37" i="35"/>
  <c r="BB42" i="35"/>
  <c r="BF19" i="35"/>
  <c r="AJ28" i="15"/>
  <c r="BF26" i="35"/>
  <c r="AL54" i="15" s="1"/>
  <c r="BA43" i="35"/>
  <c r="AL47" i="1"/>
  <c r="AL48" i="1" s="1"/>
  <c r="BE26" i="35"/>
  <c r="AI70" i="15"/>
  <c r="BC36" i="35"/>
  <c r="BC29" i="35"/>
  <c r="AI62" i="15"/>
  <c r="AI58" i="15"/>
  <c r="BE10" i="35"/>
  <c r="BF6" i="35"/>
  <c r="BF51" i="35"/>
  <c r="AW57" i="15"/>
  <c r="AV57" i="15"/>
  <c r="AV65" i="15" s="1"/>
  <c r="BA26" i="14"/>
  <c r="AG96" i="15" s="1"/>
  <c r="G23" i="17"/>
  <c r="AF946" i="7"/>
  <c r="AG945" i="7"/>
  <c r="BA52" i="14"/>
  <c r="BS92" i="7"/>
  <c r="BS105" i="7"/>
  <c r="BX105" i="7"/>
  <c r="BY105" i="7"/>
  <c r="BT105" i="7"/>
  <c r="BT92" i="7"/>
  <c r="AB35" i="1"/>
  <c r="AE943" i="7"/>
  <c r="AF942" i="7"/>
  <c r="AQ606" i="7"/>
  <c r="AQ672" i="7" s="1"/>
  <c r="AQ609" i="7"/>
  <c r="AQ670" i="7"/>
  <c r="AQ671" i="7"/>
  <c r="BD305" i="14"/>
  <c r="BL74" i="15"/>
  <c r="W73" i="15"/>
  <c r="BL73" i="15" s="1"/>
  <c r="AG98" i="15"/>
  <c r="BB82" i="14"/>
  <c r="BA83" i="14"/>
  <c r="BA86" i="14" s="1"/>
  <c r="BE140" i="14"/>
  <c r="BD168" i="14"/>
  <c r="BD167" i="14" s="1"/>
  <c r="BD246" i="14"/>
  <c r="AK92" i="15"/>
  <c r="BE237" i="7"/>
  <c r="BE846" i="7"/>
  <c r="BE245" i="14"/>
  <c r="BE315" i="14" s="1"/>
  <c r="BE55" i="35"/>
  <c r="BG6" i="9"/>
  <c r="BA274" i="14"/>
  <c r="BD1036" i="7"/>
  <c r="AA87" i="15"/>
  <c r="AB85" i="15"/>
  <c r="AM10" i="1"/>
  <c r="AM9" i="1"/>
  <c r="AC85" i="15"/>
  <c r="BD238" i="7"/>
  <c r="BA1046" i="7"/>
  <c r="BF1041" i="7"/>
  <c r="BB1041" i="7"/>
  <c r="AD85" i="15"/>
  <c r="AD87" i="15" s="1"/>
  <c r="AI22" i="1" s="1"/>
  <c r="BD195" i="14"/>
  <c r="BD200" i="14"/>
  <c r="BE201" i="14"/>
  <c r="BC194" i="14"/>
  <c r="BB231" i="14"/>
  <c r="J74" i="63" l="1"/>
  <c r="J75" i="63"/>
  <c r="F74" i="63"/>
  <c r="F75" i="63"/>
  <c r="F76" i="63" s="1"/>
  <c r="F77" i="63" s="1"/>
  <c r="H74" i="63"/>
  <c r="H75" i="63" s="1"/>
  <c r="L71" i="63"/>
  <c r="J76" i="63"/>
  <c r="J77" i="63" s="1"/>
  <c r="G71" i="63"/>
  <c r="K71" i="63"/>
  <c r="I71" i="63"/>
  <c r="J79" i="63"/>
  <c r="F80" i="63"/>
  <c r="F81" i="63"/>
  <c r="E71" i="63"/>
  <c r="E79" i="63"/>
  <c r="E80" i="63" s="1"/>
  <c r="BD34" i="44"/>
  <c r="BF43" i="13"/>
  <c r="BE151" i="13"/>
  <c r="BE341" i="11"/>
  <c r="BD349" i="11"/>
  <c r="BS108" i="20"/>
  <c r="BR11" i="20"/>
  <c r="BR34" i="20" s="1"/>
  <c r="BR74" i="20"/>
  <c r="BC344" i="11"/>
  <c r="BT18" i="20"/>
  <c r="BU18" i="20" s="1"/>
  <c r="BT19" i="20"/>
  <c r="BU19" i="20" s="1"/>
  <c r="BT20" i="20"/>
  <c r="BU20" i="20" s="1"/>
  <c r="BE49" i="44"/>
  <c r="BE50" i="44"/>
  <c r="BE48" i="44"/>
  <c r="BE318" i="14"/>
  <c r="BT97" i="20"/>
  <c r="BE14" i="44"/>
  <c r="BE56" i="44" s="1"/>
  <c r="P8" i="47" s="1"/>
  <c r="BD56" i="44"/>
  <c r="BS169" i="20"/>
  <c r="BS55" i="20"/>
  <c r="BD336" i="11"/>
  <c r="BP292" i="20"/>
  <c r="BP311" i="20" s="1"/>
  <c r="Z527" i="7"/>
  <c r="AA524" i="7" s="1"/>
  <c r="BD311" i="11"/>
  <c r="BD312" i="11" s="1"/>
  <c r="BE308" i="11"/>
  <c r="BD306" i="11"/>
  <c r="BO20" i="20"/>
  <c r="AZ152" i="12"/>
  <c r="AZ9" i="12"/>
  <c r="AZ726" i="7" s="1"/>
  <c r="BA134" i="12"/>
  <c r="BA152" i="12" s="1"/>
  <c r="BA154" i="12" s="1"/>
  <c r="AZ140" i="12"/>
  <c r="AZ141" i="12" s="1"/>
  <c r="BA138" i="12"/>
  <c r="BP20" i="20"/>
  <c r="V4" i="18"/>
  <c r="W4" i="18" s="1"/>
  <c r="G36" i="53"/>
  <c r="E36" i="53"/>
  <c r="I36" i="53" s="1"/>
  <c r="J36" i="53" s="1"/>
  <c r="L36" i="53" s="1"/>
  <c r="AK939" i="7"/>
  <c r="AK940" i="7" s="1"/>
  <c r="E8" i="56"/>
  <c r="C8" i="56"/>
  <c r="G8" i="46"/>
  <c r="G18" i="56"/>
  <c r="V7" i="18"/>
  <c r="W7" i="18" s="1"/>
  <c r="D18" i="56"/>
  <c r="B18" i="56"/>
  <c r="F18" i="46"/>
  <c r="F66" i="52"/>
  <c r="F70" i="52" s="1"/>
  <c r="BP64" i="20"/>
  <c r="K8" i="47"/>
  <c r="BA56" i="44"/>
  <c r="BM202" i="14"/>
  <c r="BM208" i="14" s="1"/>
  <c r="X11" i="48"/>
  <c r="Z34" i="18"/>
  <c r="AJ30" i="15"/>
  <c r="AO7" i="1" s="1"/>
  <c r="AJ22" i="15"/>
  <c r="AJ17" i="15"/>
  <c r="K539" i="7"/>
  <c r="K541" i="7" s="1"/>
  <c r="K544" i="7" s="1"/>
  <c r="L535" i="7" s="1"/>
  <c r="S620" i="7"/>
  <c r="S562" i="7"/>
  <c r="T618" i="7"/>
  <c r="T405" i="7"/>
  <c r="T403" i="7"/>
  <c r="U463" i="7"/>
  <c r="T561" i="7"/>
  <c r="T470" i="7"/>
  <c r="T497" i="7"/>
  <c r="BS8" i="1"/>
  <c r="AL9" i="1"/>
  <c r="AE85" i="15"/>
  <c r="AE87" i="15" s="1"/>
  <c r="AJ22" i="1" s="1"/>
  <c r="AO18" i="1"/>
  <c r="AJ70" i="15"/>
  <c r="BD29" i="35"/>
  <c r="BP274" i="20"/>
  <c r="I7" i="39"/>
  <c r="BP149" i="20"/>
  <c r="BQ149" i="20" s="1"/>
  <c r="BO194" i="20"/>
  <c r="BO54" i="20"/>
  <c r="AO216" i="14"/>
  <c r="AO218" i="14" s="1"/>
  <c r="AO63" i="14"/>
  <c r="AQ191" i="14"/>
  <c r="AP204" i="14"/>
  <c r="AP209" i="14" s="1"/>
  <c r="AQ209" i="14" s="1"/>
  <c r="AP192" i="14"/>
  <c r="BG120" i="20"/>
  <c r="BE120" i="20"/>
  <c r="BF120" i="20"/>
  <c r="BD120" i="20"/>
  <c r="BI120" i="20"/>
  <c r="BH120" i="20"/>
  <c r="BJ120" i="20"/>
  <c r="BK120" i="20"/>
  <c r="AN149" i="14"/>
  <c r="AN151" i="14" s="1"/>
  <c r="AN62" i="14"/>
  <c r="AP96" i="14"/>
  <c r="AO133" i="14"/>
  <c r="AO99" i="14"/>
  <c r="AO184" i="14"/>
  <c r="AO134" i="14"/>
  <c r="AO144" i="14"/>
  <c r="BE78" i="14"/>
  <c r="BD80" i="14"/>
  <c r="BD131" i="14"/>
  <c r="AH131" i="14"/>
  <c r="AI94" i="14"/>
  <c r="AH142" i="14"/>
  <c r="AH95" i="14"/>
  <c r="AN100" i="14"/>
  <c r="AN104" i="14"/>
  <c r="BH71" i="14"/>
  <c r="BG72" i="14"/>
  <c r="BI181" i="14"/>
  <c r="AJ23" i="15"/>
  <c r="AJ20" i="15"/>
  <c r="AO6" i="1"/>
  <c r="W675" i="7"/>
  <c r="W676" i="7" s="1"/>
  <c r="BU92" i="7"/>
  <c r="W673" i="7"/>
  <c r="AQ675" i="7"/>
  <c r="AQ676" i="7" s="1"/>
  <c r="AM9" i="15"/>
  <c r="AM15" i="15" s="1"/>
  <c r="AA388" i="7"/>
  <c r="Z471" i="7"/>
  <c r="Z470" i="7" s="1"/>
  <c r="Z402" i="7"/>
  <c r="AP277" i="7"/>
  <c r="AP289" i="7" s="1"/>
  <c r="AC618" i="7"/>
  <c r="K500" i="7"/>
  <c r="K498" i="7"/>
  <c r="L467" i="7"/>
  <c r="M392" i="7"/>
  <c r="M394" i="7" s="1"/>
  <c r="L412" i="7"/>
  <c r="K764" i="7"/>
  <c r="K601" i="7"/>
  <c r="K766" i="7"/>
  <c r="K767" i="7" s="1"/>
  <c r="K768" i="7" s="1"/>
  <c r="K771" i="7" s="1"/>
  <c r="AL934" i="7"/>
  <c r="AL935" i="7" s="1"/>
  <c r="J622" i="7"/>
  <c r="J624" i="7" s="1"/>
  <c r="J619" i="7"/>
  <c r="K616" i="7"/>
  <c r="L471" i="7"/>
  <c r="L402" i="7"/>
  <c r="AQ673" i="7"/>
  <c r="AN245" i="7"/>
  <c r="AN282" i="7"/>
  <c r="Y500" i="7"/>
  <c r="Y498" i="7"/>
  <c r="BB1074" i="7"/>
  <c r="BC1054" i="7"/>
  <c r="BC1060" i="7" s="1"/>
  <c r="BB1047" i="7"/>
  <c r="BC1041" i="7" s="1"/>
  <c r="BC665" i="7"/>
  <c r="AE466" i="7"/>
  <c r="AF391" i="7"/>
  <c r="AG391" i="7" s="1"/>
  <c r="AE412" i="7"/>
  <c r="Y766" i="7"/>
  <c r="Y767" i="7" s="1"/>
  <c r="Y768" i="7" s="1"/>
  <c r="Y771" i="7" s="1"/>
  <c r="Y601" i="7"/>
  <c r="Y764" i="7"/>
  <c r="P158" i="7"/>
  <c r="Q201" i="7"/>
  <c r="P202" i="7"/>
  <c r="AC403" i="7"/>
  <c r="AC405" i="7"/>
  <c r="AD393" i="7" s="1"/>
  <c r="AD394" i="7" s="1"/>
  <c r="AM247" i="7"/>
  <c r="AM933" i="7" s="1"/>
  <c r="AM251" i="7"/>
  <c r="AM253" i="7" s="1"/>
  <c r="AM283" i="7"/>
  <c r="X620" i="7"/>
  <c r="X562" i="7"/>
  <c r="Y618" i="7"/>
  <c r="AA661" i="7"/>
  <c r="AA663" i="7"/>
  <c r="AI909" i="7"/>
  <c r="AH910" i="7"/>
  <c r="AH913" i="7"/>
  <c r="BD789" i="7"/>
  <c r="BC806" i="7"/>
  <c r="BC807" i="7" s="1"/>
  <c r="BC809" i="7" s="1"/>
  <c r="S745" i="7"/>
  <c r="E85" i="16" s="1"/>
  <c r="R749" i="7"/>
  <c r="R156" i="7" s="1"/>
  <c r="R746" i="7"/>
  <c r="K414" i="7"/>
  <c r="K421" i="7"/>
  <c r="K406" i="7"/>
  <c r="K420" i="7"/>
  <c r="AA660" i="7"/>
  <c r="P533" i="7"/>
  <c r="Q530" i="7"/>
  <c r="Y406" i="7"/>
  <c r="Y414" i="7"/>
  <c r="M482" i="7"/>
  <c r="L483" i="7"/>
  <c r="BB810" i="7"/>
  <c r="Z537" i="7"/>
  <c r="Z538" i="7" s="1"/>
  <c r="Z617" i="7"/>
  <c r="AA662" i="7"/>
  <c r="AA658" i="7"/>
  <c r="AA650" i="7"/>
  <c r="AA526" i="7" s="1"/>
  <c r="AA657" i="7"/>
  <c r="J566" i="7"/>
  <c r="J607" i="7"/>
  <c r="AC470" i="7"/>
  <c r="AD463" i="7"/>
  <c r="AD468" i="7" s="1"/>
  <c r="AC497" i="7"/>
  <c r="AC561" i="7"/>
  <c r="S532" i="7"/>
  <c r="T529" i="7"/>
  <c r="BB811" i="7"/>
  <c r="AC652" i="7"/>
  <c r="AB654" i="7"/>
  <c r="AB649" i="7"/>
  <c r="BB800" i="7"/>
  <c r="BC798" i="7"/>
  <c r="BB797" i="7"/>
  <c r="BB799" i="7"/>
  <c r="BB796" i="7"/>
  <c r="AJ915" i="7"/>
  <c r="H43" i="16" s="1"/>
  <c r="F25" i="17"/>
  <c r="AI919" i="7"/>
  <c r="AI916" i="7"/>
  <c r="L449" i="7"/>
  <c r="M449" i="7" s="1"/>
  <c r="L375" i="7"/>
  <c r="M374" i="7"/>
  <c r="U200" i="7"/>
  <c r="BB812" i="7"/>
  <c r="BI356" i="7"/>
  <c r="BJ992" i="7"/>
  <c r="BG788" i="7"/>
  <c r="BF805" i="7"/>
  <c r="BF790" i="7"/>
  <c r="BF787" i="7"/>
  <c r="BE804" i="7"/>
  <c r="AS179" i="7"/>
  <c r="AS181" i="7" s="1"/>
  <c r="AS168" i="7" s="1"/>
  <c r="BH17" i="13"/>
  <c r="BH986" i="7" s="1"/>
  <c r="BG15" i="12"/>
  <c r="BG646" i="7"/>
  <c r="BD653" i="7"/>
  <c r="BD647" i="7"/>
  <c r="BD666" i="7" s="1"/>
  <c r="BE645" i="7"/>
  <c r="BJ5" i="9"/>
  <c r="AO89" i="15"/>
  <c r="AO90" i="15" s="1"/>
  <c r="BI9" i="9"/>
  <c r="BI244" i="14"/>
  <c r="BI22" i="14" s="1"/>
  <c r="AO55" i="15" s="1"/>
  <c r="AO63" i="15" s="1"/>
  <c r="BI54" i="35"/>
  <c r="BI845" i="7"/>
  <c r="BI102" i="7"/>
  <c r="BI10" i="9"/>
  <c r="AN8" i="1"/>
  <c r="AL62" i="15"/>
  <c r="AL58" i="15"/>
  <c r="BH326" i="7"/>
  <c r="BH24" i="7"/>
  <c r="AN56" i="15" s="1"/>
  <c r="AN64" i="15" s="1"/>
  <c r="AL35" i="15"/>
  <c r="BF18" i="35"/>
  <c r="BF28" i="35"/>
  <c r="AJ47" i="15"/>
  <c r="AJ49" i="15"/>
  <c r="AJ48" i="15"/>
  <c r="AJ46" i="15"/>
  <c r="BB43" i="35"/>
  <c r="AM47" i="1"/>
  <c r="AM48" i="1" s="1"/>
  <c r="AM35" i="1" s="1"/>
  <c r="BC37" i="35"/>
  <c r="BC40" i="35"/>
  <c r="BC42" i="35"/>
  <c r="AI102" i="15"/>
  <c r="BF52" i="35"/>
  <c r="BF50" i="35"/>
  <c r="AH124" i="15"/>
  <c r="AH110" i="15"/>
  <c r="AH114" i="15"/>
  <c r="BG26" i="35"/>
  <c r="BH1035" i="7"/>
  <c r="BH1043" i="7" s="1"/>
  <c r="BH819" i="7"/>
  <c r="BF20" i="35"/>
  <c r="AK37" i="15"/>
  <c r="AK54" i="15"/>
  <c r="BE28" i="35"/>
  <c r="BF10" i="35"/>
  <c r="AK9" i="15"/>
  <c r="BE11" i="35"/>
  <c r="AJ102" i="15"/>
  <c r="BD37" i="35"/>
  <c r="BD42" i="35"/>
  <c r="BD40" i="35"/>
  <c r="AJ43" i="15"/>
  <c r="AN18" i="1"/>
  <c r="AI66" i="15"/>
  <c r="BG50" i="35"/>
  <c r="BG52" i="35"/>
  <c r="BH19" i="35"/>
  <c r="BH39" i="35"/>
  <c r="AN118" i="15" s="1"/>
  <c r="BH23" i="35"/>
  <c r="BH6" i="35"/>
  <c r="BH10" i="35" s="1"/>
  <c r="BH25" i="35"/>
  <c r="BH32" i="35"/>
  <c r="BH51" i="35"/>
  <c r="BH33" i="35"/>
  <c r="BH34" i="35"/>
  <c r="AN78" i="15" s="1"/>
  <c r="BH24" i="35"/>
  <c r="BG20" i="35"/>
  <c r="AM35" i="15"/>
  <c r="BG18" i="35"/>
  <c r="BB57" i="15"/>
  <c r="BF57" i="15" s="1"/>
  <c r="BA57" i="15"/>
  <c r="BA65" i="15" s="1"/>
  <c r="AH945" i="7"/>
  <c r="I49" i="16" s="1"/>
  <c r="AG946" i="7"/>
  <c r="AG942" i="7"/>
  <c r="AF943" i="7"/>
  <c r="AG97" i="15"/>
  <c r="AL24" i="1"/>
  <c r="BB52" i="14"/>
  <c r="BB83" i="14"/>
  <c r="BB86" i="14" s="1"/>
  <c r="BC82" i="14"/>
  <c r="BF140" i="14"/>
  <c r="BE168" i="14"/>
  <c r="BE167" i="14" s="1"/>
  <c r="AF22" i="1"/>
  <c r="AB87" i="15"/>
  <c r="AC87" i="15"/>
  <c r="AZ302" i="14"/>
  <c r="BB274" i="14"/>
  <c r="BB300" i="14" s="1"/>
  <c r="BG55" i="35"/>
  <c r="BG237" i="7"/>
  <c r="BG245" i="14"/>
  <c r="BG315" i="14" s="1"/>
  <c r="BG318" i="14" s="1"/>
  <c r="AM92" i="15"/>
  <c r="BG846" i="7"/>
  <c r="BH6" i="9"/>
  <c r="BE246" i="14"/>
  <c r="BF245" i="14"/>
  <c r="BF315" i="14" s="1"/>
  <c r="BF318" i="14" s="1"/>
  <c r="BE1036" i="7"/>
  <c r="BF237" i="7"/>
  <c r="BE238" i="7"/>
  <c r="AK93" i="15"/>
  <c r="AL92" i="15"/>
  <c r="BE255" i="14"/>
  <c r="BF255" i="14" s="1"/>
  <c r="BE305" i="14"/>
  <c r="BF305" i="14" s="1"/>
  <c r="BD194" i="14"/>
  <c r="BE195" i="14"/>
  <c r="BF201" i="14"/>
  <c r="BE200" i="14"/>
  <c r="K74" i="63" l="1"/>
  <c r="K75" i="63"/>
  <c r="G74" i="63"/>
  <c r="G75" i="63"/>
  <c r="L74" i="63"/>
  <c r="L75" i="63"/>
  <c r="H78" i="63"/>
  <c r="I74" i="63"/>
  <c r="I75" i="63"/>
  <c r="F78" i="63"/>
  <c r="H79" i="63"/>
  <c r="J80" i="63"/>
  <c r="J81" i="63"/>
  <c r="H76" i="63"/>
  <c r="H77" i="63" s="1"/>
  <c r="J78" i="63"/>
  <c r="E75" i="63"/>
  <c r="E74" i="63"/>
  <c r="E76" i="63" s="1"/>
  <c r="E77" i="63" s="1"/>
  <c r="BF151" i="13"/>
  <c r="BE154" i="13"/>
  <c r="BF154" i="13" s="1"/>
  <c r="BF14" i="44"/>
  <c r="O8" i="47"/>
  <c r="Q8" i="47" s="1"/>
  <c r="BF56" i="44"/>
  <c r="BE34" i="44"/>
  <c r="L8" i="47"/>
  <c r="BU97" i="20"/>
  <c r="BU108" i="20" s="1"/>
  <c r="BE349" i="11"/>
  <c r="BT108" i="20"/>
  <c r="BT169" i="20"/>
  <c r="BE336" i="11"/>
  <c r="BT55" i="20"/>
  <c r="BU150" i="20"/>
  <c r="BD344" i="11"/>
  <c r="BS11" i="20"/>
  <c r="BS34" i="20" s="1"/>
  <c r="BS74" i="20"/>
  <c r="BQ54" i="20"/>
  <c r="BQ10" i="20" s="1"/>
  <c r="BR149" i="20"/>
  <c r="BE311" i="11"/>
  <c r="BE312" i="11" s="1"/>
  <c r="BE306" i="11"/>
  <c r="E6" i="39"/>
  <c r="C16" i="39"/>
  <c r="E48" i="39" s="1"/>
  <c r="D8" i="56"/>
  <c r="D8" i="46"/>
  <c r="AZ18" i="12"/>
  <c r="AZ16" i="12" s="1"/>
  <c r="AZ4" i="12"/>
  <c r="AZ10" i="12"/>
  <c r="AZ155" i="12"/>
  <c r="AZ154" i="12"/>
  <c r="AZ5" i="12"/>
  <c r="G8" i="56"/>
  <c r="F18" i="56"/>
  <c r="I18" i="56" s="1"/>
  <c r="AO8" i="1"/>
  <c r="AO10" i="1" s="1"/>
  <c r="BN202" i="14"/>
  <c r="BN208" i="14" s="1"/>
  <c r="X10" i="48"/>
  <c r="Z31" i="18"/>
  <c r="BC810" i="7"/>
  <c r="T498" i="7"/>
  <c r="T500" i="7"/>
  <c r="T766" i="7"/>
  <c r="T767" i="7" s="1"/>
  <c r="T768" i="7" s="1"/>
  <c r="T771" i="7" s="1"/>
  <c r="T601" i="7"/>
  <c r="T764" i="7"/>
  <c r="U392" i="7"/>
  <c r="U393" i="7"/>
  <c r="U390" i="7"/>
  <c r="S607" i="7"/>
  <c r="S566" i="7"/>
  <c r="T406" i="7"/>
  <c r="T414" i="7"/>
  <c r="T421" i="7"/>
  <c r="T420" i="7"/>
  <c r="S622" i="7"/>
  <c r="S619" i="7"/>
  <c r="T616" i="7"/>
  <c r="BB302" i="14"/>
  <c r="BB303" i="14" s="1"/>
  <c r="BB306" i="14" s="1"/>
  <c r="AM11" i="15"/>
  <c r="AM21" i="15" s="1"/>
  <c r="AM41" i="15"/>
  <c r="BC811" i="7"/>
  <c r="BC812" i="7"/>
  <c r="AM934" i="7"/>
  <c r="AM935" i="7" s="1"/>
  <c r="AM938" i="7" s="1"/>
  <c r="BP194" i="20"/>
  <c r="H6" i="39" s="1"/>
  <c r="BO239" i="20"/>
  <c r="BO10" i="20"/>
  <c r="BP10" i="20" s="1"/>
  <c r="BP54" i="20"/>
  <c r="C6" i="39" s="1"/>
  <c r="E40" i="39" s="1"/>
  <c r="AP63" i="14"/>
  <c r="AQ63" i="14" s="1"/>
  <c r="AP216" i="14"/>
  <c r="AP218" i="14" s="1"/>
  <c r="AQ204" i="14"/>
  <c r="AR191" i="14"/>
  <c r="AS191" i="14" s="1"/>
  <c r="AQ192" i="14"/>
  <c r="BF78" i="14"/>
  <c r="BE80" i="14"/>
  <c r="BE131" i="14"/>
  <c r="AO149" i="14"/>
  <c r="AO151" i="14" s="1"/>
  <c r="AO62" i="14"/>
  <c r="AO64" i="14" s="1"/>
  <c r="AO185" i="14"/>
  <c r="AO104" i="14"/>
  <c r="AO100" i="14"/>
  <c r="BD134" i="20" s="1"/>
  <c r="BD139" i="20" s="1"/>
  <c r="AI95" i="14"/>
  <c r="AH132" i="14"/>
  <c r="AH143" i="14"/>
  <c r="BE142" i="14"/>
  <c r="AP133" i="14"/>
  <c r="AQ96" i="14"/>
  <c r="AP134" i="14"/>
  <c r="AP184" i="14"/>
  <c r="AP185" i="14" s="1"/>
  <c r="AP99" i="14"/>
  <c r="AP144" i="14"/>
  <c r="AJ94" i="14"/>
  <c r="AI131" i="14"/>
  <c r="AI142" i="14"/>
  <c r="AN64" i="14"/>
  <c r="BI71" i="14"/>
  <c r="BH72" i="14"/>
  <c r="BJ181" i="14"/>
  <c r="BK181" i="14" s="1"/>
  <c r="BC302" i="14"/>
  <c r="BB1046" i="7"/>
  <c r="M402" i="7"/>
  <c r="R388" i="7"/>
  <c r="N388" i="7"/>
  <c r="M471" i="7"/>
  <c r="V28" i="17"/>
  <c r="AM939" i="7"/>
  <c r="Y413" i="7"/>
  <c r="Z408" i="7"/>
  <c r="L536" i="7"/>
  <c r="M536" i="7" s="1"/>
  <c r="K154" i="7"/>
  <c r="K155" i="7" s="1"/>
  <c r="K772" i="7"/>
  <c r="K773" i="7" s="1"/>
  <c r="K775" i="7" s="1"/>
  <c r="F103" i="16" s="1"/>
  <c r="J627" i="7"/>
  <c r="BD1054" i="7"/>
  <c r="BD1060" i="7" s="1"/>
  <c r="BC1074" i="7"/>
  <c r="BC1047" i="7"/>
  <c r="AC764" i="7"/>
  <c r="AC601" i="7"/>
  <c r="AC766" i="7"/>
  <c r="AC767" i="7" s="1"/>
  <c r="AC768" i="7" s="1"/>
  <c r="AC771" i="7" s="1"/>
  <c r="M412" i="7"/>
  <c r="L507" i="7"/>
  <c r="M467" i="7"/>
  <c r="M468" i="7" s="1"/>
  <c r="L487" i="7"/>
  <c r="J606" i="7"/>
  <c r="J672" i="7" s="1"/>
  <c r="J670" i="7"/>
  <c r="J671" i="7"/>
  <c r="AI910" i="7"/>
  <c r="AJ909" i="7"/>
  <c r="AI913" i="7"/>
  <c r="Q158" i="7"/>
  <c r="R201" i="7"/>
  <c r="Q202" i="7"/>
  <c r="AN283" i="7"/>
  <c r="AN251" i="7"/>
  <c r="AN253" i="7" s="1"/>
  <c r="R530" i="7"/>
  <c r="Q533" i="7"/>
  <c r="F26" i="17"/>
  <c r="AJ919" i="7"/>
  <c r="AK915" i="7"/>
  <c r="H40" i="16" s="1"/>
  <c r="AJ916" i="7"/>
  <c r="Y154" i="7"/>
  <c r="Y155" i="7" s="1"/>
  <c r="Y772" i="7"/>
  <c r="Y773" i="7" s="1"/>
  <c r="AN247" i="7"/>
  <c r="AN934" i="7" s="1"/>
  <c r="AN935" i="7" s="1"/>
  <c r="AN938" i="7" s="1"/>
  <c r="Y603" i="7"/>
  <c r="AP286" i="7"/>
  <c r="AP278" i="7"/>
  <c r="AQ277" i="7"/>
  <c r="V200" i="7"/>
  <c r="M483" i="7"/>
  <c r="N482" i="7"/>
  <c r="T532" i="7"/>
  <c r="U529" i="7"/>
  <c r="L450" i="7"/>
  <c r="M450" i="7" s="1"/>
  <c r="L410" i="7"/>
  <c r="M375" i="7"/>
  <c r="BD806" i="7"/>
  <c r="BD807" i="7" s="1"/>
  <c r="BD810" i="7" s="1"/>
  <c r="BE789" i="7"/>
  <c r="AC406" i="7"/>
  <c r="AC414" i="7"/>
  <c r="Y597" i="7"/>
  <c r="Y565" i="7" s="1"/>
  <c r="Y501" i="7"/>
  <c r="Y509" i="7"/>
  <c r="Y596" i="7"/>
  <c r="Y564" i="7" s="1"/>
  <c r="AS185" i="7"/>
  <c r="X566" i="7"/>
  <c r="X607" i="7"/>
  <c r="L468" i="7"/>
  <c r="L470" i="7" s="1"/>
  <c r="AB658" i="7"/>
  <c r="AB650" i="7"/>
  <c r="AB657" i="7"/>
  <c r="K501" i="7"/>
  <c r="K597" i="7"/>
  <c r="K565" i="7" s="1"/>
  <c r="K509" i="7"/>
  <c r="K596" i="7"/>
  <c r="K564" i="7" s="1"/>
  <c r="K605" i="7" s="1"/>
  <c r="AA537" i="7"/>
  <c r="AA617" i="7"/>
  <c r="AB617" i="7" s="1"/>
  <c r="BC797" i="7"/>
  <c r="BC799" i="7"/>
  <c r="BC796" i="7"/>
  <c r="BD798" i="7"/>
  <c r="BC800" i="7"/>
  <c r="AB526" i="7"/>
  <c r="AB527" i="7" s="1"/>
  <c r="Y616" i="7"/>
  <c r="X622" i="7"/>
  <c r="X619" i="7"/>
  <c r="Z405" i="7"/>
  <c r="AA393" i="7" s="1"/>
  <c r="AB393" i="7" s="1"/>
  <c r="AB394" i="7" s="1"/>
  <c r="Z403" i="7"/>
  <c r="AD652" i="7"/>
  <c r="AC654" i="7"/>
  <c r="AC655" i="7" s="1"/>
  <c r="AC660" i="7" s="1"/>
  <c r="AC649" i="7"/>
  <c r="C12" i="17"/>
  <c r="T745" i="7"/>
  <c r="E82" i="16" s="1"/>
  <c r="S746" i="7"/>
  <c r="S749" i="7"/>
  <c r="S156" i="7" s="1"/>
  <c r="S157" i="7" s="1"/>
  <c r="K413" i="7"/>
  <c r="L408" i="7"/>
  <c r="AE507" i="7"/>
  <c r="L405" i="7"/>
  <c r="L403" i="7"/>
  <c r="AA463" i="7"/>
  <c r="AA468" i="7" s="1"/>
  <c r="AA470" i="7" s="1"/>
  <c r="Z561" i="7"/>
  <c r="Z497" i="7"/>
  <c r="AD402" i="7"/>
  <c r="AE388" i="7"/>
  <c r="AD471" i="7"/>
  <c r="AC500" i="7"/>
  <c r="AC498" i="7"/>
  <c r="AB655" i="7"/>
  <c r="AB662" i="7" s="1"/>
  <c r="AA527" i="7"/>
  <c r="AF466" i="7"/>
  <c r="AG466" i="7" s="1"/>
  <c r="AG468" i="7" s="1"/>
  <c r="AH391" i="7"/>
  <c r="AF412" i="7"/>
  <c r="AF507" i="7" s="1"/>
  <c r="L497" i="7"/>
  <c r="L561" i="7"/>
  <c r="BJ356" i="7"/>
  <c r="BJ334" i="7" s="1"/>
  <c r="BK992" i="7"/>
  <c r="BL992" i="7" s="1"/>
  <c r="BI334" i="7"/>
  <c r="BK356" i="7"/>
  <c r="BF804" i="7"/>
  <c r="BG787" i="7"/>
  <c r="BG790" i="7"/>
  <c r="BH788" i="7"/>
  <c r="BG805" i="7"/>
  <c r="BF15" i="12"/>
  <c r="BG17" i="13"/>
  <c r="BG986" i="7" s="1"/>
  <c r="BH646" i="7"/>
  <c r="BD665" i="7"/>
  <c r="BE653" i="7"/>
  <c r="BE647" i="7"/>
  <c r="BF645" i="7"/>
  <c r="AM37" i="15"/>
  <c r="AM47" i="15" s="1"/>
  <c r="AK15" i="15"/>
  <c r="AK11" i="15"/>
  <c r="AK21" i="15" s="1"/>
  <c r="AL66" i="15"/>
  <c r="AQ18" i="1"/>
  <c r="AN47" i="1"/>
  <c r="AN48" i="1" s="1"/>
  <c r="AN35" i="1" s="1"/>
  <c r="BC43" i="35"/>
  <c r="AL9" i="15"/>
  <c r="AL41" i="15" s="1"/>
  <c r="BF11" i="35"/>
  <c r="BH11" i="35"/>
  <c r="AN9" i="15"/>
  <c r="BE29" i="35"/>
  <c r="BE36" i="35"/>
  <c r="AK70" i="15"/>
  <c r="AN10" i="1"/>
  <c r="AN9" i="1"/>
  <c r="AI110" i="15"/>
  <c r="AI124" i="15"/>
  <c r="AI114" i="15"/>
  <c r="BH52" i="35"/>
  <c r="BH50" i="35"/>
  <c r="BH26" i="35"/>
  <c r="AN54" i="15" s="1"/>
  <c r="AK58" i="15"/>
  <c r="AK62" i="15"/>
  <c r="AK41" i="15"/>
  <c r="BI24" i="7"/>
  <c r="AO56" i="15" s="1"/>
  <c r="AO64" i="15" s="1"/>
  <c r="BI326" i="7"/>
  <c r="AN35" i="15"/>
  <c r="BH18" i="35"/>
  <c r="BH20" i="35"/>
  <c r="AK28" i="15"/>
  <c r="BI1035" i="7"/>
  <c r="BI1043" i="7" s="1"/>
  <c r="BI819" i="7"/>
  <c r="AK47" i="15"/>
  <c r="AK48" i="15"/>
  <c r="AK46" i="15"/>
  <c r="AK49" i="15"/>
  <c r="BI33" i="35"/>
  <c r="BI25" i="35"/>
  <c r="BI51" i="35"/>
  <c r="BI32" i="35"/>
  <c r="BI39" i="35"/>
  <c r="AO118" i="15" s="1"/>
  <c r="BI6" i="35"/>
  <c r="BI10" i="35" s="1"/>
  <c r="BI34" i="35"/>
  <c r="AO78" i="15" s="1"/>
  <c r="BI24" i="35"/>
  <c r="BI23" i="35"/>
  <c r="BI19" i="35"/>
  <c r="AJ110" i="15"/>
  <c r="AJ114" i="15"/>
  <c r="AJ124" i="15"/>
  <c r="BF29" i="35"/>
  <c r="AL70" i="15"/>
  <c r="BO70" i="15" s="1"/>
  <c r="BF36" i="35"/>
  <c r="AO47" i="1"/>
  <c r="AO48" i="1" s="1"/>
  <c r="AO35" i="1" s="1"/>
  <c r="BD43" i="35"/>
  <c r="AM28" i="15"/>
  <c r="AL37" i="15"/>
  <c r="AL47" i="15" s="1"/>
  <c r="BJ102" i="7"/>
  <c r="BJ10" i="9"/>
  <c r="BJ244" i="14"/>
  <c r="BJ22" i="14" s="1"/>
  <c r="AP89" i="15"/>
  <c r="AP90" i="15" s="1"/>
  <c r="BJ845" i="7"/>
  <c r="BJ54" i="35"/>
  <c r="BJ9" i="9"/>
  <c r="BL5" i="9"/>
  <c r="AM54" i="15"/>
  <c r="BG28" i="35"/>
  <c r="AG943" i="7"/>
  <c r="AH942" i="7"/>
  <c r="G24" i="17"/>
  <c r="AH946" i="7"/>
  <c r="AI945" i="7"/>
  <c r="I46" i="16" s="1"/>
  <c r="BF65" i="15"/>
  <c r="BG305" i="14"/>
  <c r="BB26" i="14"/>
  <c r="AH96" i="15" s="1"/>
  <c r="AH98" i="15" s="1"/>
  <c r="AM24" i="1" s="1"/>
  <c r="BD82" i="14"/>
  <c r="BC83" i="14"/>
  <c r="BC86" i="14" s="1"/>
  <c r="BC52" i="14"/>
  <c r="BC26" i="14" s="1"/>
  <c r="AI96" i="15" s="1"/>
  <c r="AI98" i="15" s="1"/>
  <c r="AN24" i="1" s="1"/>
  <c r="BG140" i="14"/>
  <c r="BH245" i="14"/>
  <c r="BH315" i="14" s="1"/>
  <c r="BH318" i="14" s="1"/>
  <c r="BH55" i="35"/>
  <c r="BH237" i="7"/>
  <c r="BI6" i="9"/>
  <c r="AN92" i="15"/>
  <c r="AN93" i="15" s="1"/>
  <c r="BH846" i="7"/>
  <c r="BG1036" i="7"/>
  <c r="BC274" i="14"/>
  <c r="BC300" i="14" s="1"/>
  <c r="AM93" i="15"/>
  <c r="BG246" i="14"/>
  <c r="BG255" i="14"/>
  <c r="BG238" i="7"/>
  <c r="AB86" i="15"/>
  <c r="AG22" i="1"/>
  <c r="AH22" i="1"/>
  <c r="BF1036" i="7"/>
  <c r="BA302" i="14"/>
  <c r="BA303" i="14" s="1"/>
  <c r="AZ303" i="14"/>
  <c r="AZ306" i="14" s="1"/>
  <c r="BE194" i="14"/>
  <c r="BG201" i="14"/>
  <c r="BF200" i="14"/>
  <c r="AO9" i="1" l="1"/>
  <c r="I78" i="63"/>
  <c r="I76" i="63"/>
  <c r="I77" i="63" s="1"/>
  <c r="I79" i="63"/>
  <c r="L78" i="63"/>
  <c r="L76" i="63"/>
  <c r="L77" i="63" s="1"/>
  <c r="L79" i="63"/>
  <c r="H80" i="63"/>
  <c r="H81" i="63"/>
  <c r="G78" i="63"/>
  <c r="G76" i="63"/>
  <c r="G77" i="63" s="1"/>
  <c r="G79" i="63"/>
  <c r="K78" i="63"/>
  <c r="K79" i="63"/>
  <c r="K76" i="63"/>
  <c r="K77" i="63" s="1"/>
  <c r="BT11" i="20"/>
  <c r="BU55" i="20"/>
  <c r="BU74" i="20" s="1"/>
  <c r="BT74" i="20"/>
  <c r="BE344" i="11"/>
  <c r="H40" i="39"/>
  <c r="BS149" i="20"/>
  <c r="BR54" i="20"/>
  <c r="BR10" i="20" s="1"/>
  <c r="AM940" i="7"/>
  <c r="F8" i="46"/>
  <c r="B8" i="56"/>
  <c r="F8" i="56" s="1"/>
  <c r="I8" i="56" s="1"/>
  <c r="AZ6" i="12"/>
  <c r="BO202" i="14"/>
  <c r="BO208" i="14" s="1"/>
  <c r="AQ216" i="14"/>
  <c r="AQ218" i="14" s="1"/>
  <c r="X9" i="48"/>
  <c r="Z28" i="18"/>
  <c r="AS192" i="14"/>
  <c r="AT191" i="14"/>
  <c r="AS204" i="14"/>
  <c r="BK334" i="7"/>
  <c r="BD812" i="7"/>
  <c r="AA394" i="7"/>
  <c r="AA396" i="7" s="1"/>
  <c r="U467" i="7"/>
  <c r="U412" i="7"/>
  <c r="U507" i="7" s="1"/>
  <c r="T413" i="7"/>
  <c r="U408" i="7"/>
  <c r="T772" i="7"/>
  <c r="T773" i="7" s="1"/>
  <c r="T154" i="7"/>
  <c r="T155" i="7" s="1"/>
  <c r="S606" i="7"/>
  <c r="S672" i="7" s="1"/>
  <c r="S670" i="7"/>
  <c r="S671" i="7"/>
  <c r="U409" i="7"/>
  <c r="U504" i="7" s="1"/>
  <c r="U465" i="7"/>
  <c r="U394" i="7"/>
  <c r="T597" i="7"/>
  <c r="T565" i="7" s="1"/>
  <c r="T509" i="7"/>
  <c r="T596" i="7"/>
  <c r="T564" i="7" s="1"/>
  <c r="T605" i="7" s="1"/>
  <c r="T501" i="7"/>
  <c r="AM17" i="15"/>
  <c r="AM23" i="15"/>
  <c r="AM22" i="15"/>
  <c r="AR6" i="1"/>
  <c r="AM20" i="15"/>
  <c r="AL28" i="15"/>
  <c r="BP239" i="20"/>
  <c r="BO273" i="20"/>
  <c r="AR235" i="14"/>
  <c r="AR204" i="14"/>
  <c r="AR192" i="14"/>
  <c r="AQ184" i="14"/>
  <c r="AQ185" i="14" s="1"/>
  <c r="AJ95" i="14"/>
  <c r="AI132" i="14"/>
  <c r="AI143" i="14"/>
  <c r="BI72" i="14"/>
  <c r="BJ71" i="14"/>
  <c r="BF131" i="14"/>
  <c r="BG142" i="14"/>
  <c r="BK119" i="20"/>
  <c r="BI119" i="20"/>
  <c r="BG119" i="20"/>
  <c r="BG123" i="20" s="1"/>
  <c r="BJ119" i="20"/>
  <c r="BD119" i="20"/>
  <c r="BD123" i="20" s="1"/>
  <c r="BF119" i="20"/>
  <c r="BF123" i="20" s="1"/>
  <c r="BE119" i="20"/>
  <c r="BE123" i="20" s="1"/>
  <c r="BH119" i="20"/>
  <c r="BH123" i="20" s="1"/>
  <c r="AK94" i="14"/>
  <c r="AJ131" i="14"/>
  <c r="AJ142" i="14"/>
  <c r="AP149" i="14"/>
  <c r="AP62" i="14"/>
  <c r="AP64" i="14" s="1"/>
  <c r="AQ64" i="14" s="1"/>
  <c r="BG78" i="14"/>
  <c r="BF80" i="14"/>
  <c r="AP100" i="14"/>
  <c r="AP104" i="14"/>
  <c r="AR95" i="14"/>
  <c r="AQ99" i="14"/>
  <c r="AQ133" i="14"/>
  <c r="AQ134" i="14"/>
  <c r="AQ144" i="14"/>
  <c r="BF142" i="14"/>
  <c r="BL181" i="14"/>
  <c r="J675" i="7"/>
  <c r="J676" i="7" s="1"/>
  <c r="AG412" i="7"/>
  <c r="BH28" i="35"/>
  <c r="AN70" i="15" s="1"/>
  <c r="AK43" i="15"/>
  <c r="AK30" i="15"/>
  <c r="AP7" i="1" s="1"/>
  <c r="D6" i="17"/>
  <c r="Z503" i="7"/>
  <c r="Y559" i="7"/>
  <c r="Y560" i="7" s="1"/>
  <c r="Y508" i="7"/>
  <c r="S201" i="7"/>
  <c r="R202" i="7"/>
  <c r="AD405" i="7"/>
  <c r="AE393" i="7" s="1"/>
  <c r="AE394" i="7" s="1"/>
  <c r="AD403" i="7"/>
  <c r="Z764" i="7"/>
  <c r="Z601" i="7"/>
  <c r="Z766" i="7"/>
  <c r="Z767" i="7" s="1"/>
  <c r="Z768" i="7" s="1"/>
  <c r="Z771" i="7" s="1"/>
  <c r="Z406" i="7"/>
  <c r="Z414" i="7"/>
  <c r="AN933" i="7"/>
  <c r="L488" i="7"/>
  <c r="M487" i="7"/>
  <c r="J673" i="7"/>
  <c r="L406" i="7"/>
  <c r="L421" i="7"/>
  <c r="L414" i="7"/>
  <c r="L413" i="7" s="1"/>
  <c r="L420" i="7"/>
  <c r="AB471" i="7"/>
  <c r="AB396" i="7"/>
  <c r="L505" i="7"/>
  <c r="M505" i="7" s="1"/>
  <c r="M410" i="7"/>
  <c r="AC650" i="7"/>
  <c r="AC526" i="7" s="1"/>
  <c r="AC657" i="7"/>
  <c r="AC662" i="7"/>
  <c r="AC658" i="7"/>
  <c r="M507" i="7"/>
  <c r="AA538" i="7"/>
  <c r="AB538" i="7" s="1"/>
  <c r="AB537" i="7"/>
  <c r="AC663" i="7"/>
  <c r="AC661" i="7"/>
  <c r="V529" i="7"/>
  <c r="U532" i="7"/>
  <c r="AG507" i="7"/>
  <c r="F27" i="17"/>
  <c r="AK919" i="7"/>
  <c r="AL915" i="7"/>
  <c r="AK916" i="7"/>
  <c r="AD470" i="7"/>
  <c r="AE463" i="7"/>
  <c r="AE468" i="7" s="1"/>
  <c r="AD497" i="7"/>
  <c r="AD561" i="7"/>
  <c r="AE652" i="7"/>
  <c r="AD649" i="7"/>
  <c r="AD654" i="7"/>
  <c r="L766" i="7"/>
  <c r="L767" i="7" s="1"/>
  <c r="L768" i="7" s="1"/>
  <c r="L771" i="7" s="1"/>
  <c r="L764" i="7"/>
  <c r="L601" i="7"/>
  <c r="AG524" i="7"/>
  <c r="AC524" i="7"/>
  <c r="AC602" i="7"/>
  <c r="AC597" i="7"/>
  <c r="AC565" i="7" s="1"/>
  <c r="AC501" i="7"/>
  <c r="AC509" i="7"/>
  <c r="AC596" i="7"/>
  <c r="AC564" i="7" s="1"/>
  <c r="BD809" i="7"/>
  <c r="BD1041" i="7"/>
  <c r="BC1046" i="7"/>
  <c r="U745" i="7"/>
  <c r="E79" i="16" s="1"/>
  <c r="C13" i="17"/>
  <c r="T746" i="7"/>
  <c r="T749" i="7"/>
  <c r="T156" i="7" s="1"/>
  <c r="AK909" i="7"/>
  <c r="AJ913" i="7"/>
  <c r="AJ910" i="7"/>
  <c r="Z500" i="7"/>
  <c r="Z498" i="7"/>
  <c r="O482" i="7"/>
  <c r="N483" i="7"/>
  <c r="AH466" i="7"/>
  <c r="AI391" i="7"/>
  <c r="AH412" i="7"/>
  <c r="R533" i="7"/>
  <c r="S530" i="7"/>
  <c r="N463" i="7"/>
  <c r="M497" i="7"/>
  <c r="M470" i="7"/>
  <c r="R463" i="7"/>
  <c r="M561" i="7"/>
  <c r="L503" i="7"/>
  <c r="K559" i="7"/>
  <c r="K560" i="7" s="1"/>
  <c r="L618" i="7" s="1"/>
  <c r="M618" i="7" s="1"/>
  <c r="K508" i="7"/>
  <c r="L500" i="7"/>
  <c r="L498" i="7"/>
  <c r="AC772" i="7"/>
  <c r="AC773" i="7" s="1"/>
  <c r="AC154" i="7"/>
  <c r="AC155" i="7" s="1"/>
  <c r="W200" i="7"/>
  <c r="BD1074" i="7"/>
  <c r="BE1054" i="7"/>
  <c r="BE1060" i="7" s="1"/>
  <c r="BD1047" i="7"/>
  <c r="AD408" i="7"/>
  <c r="AC413" i="7"/>
  <c r="BE806" i="7"/>
  <c r="BE807" i="7" s="1"/>
  <c r="BE809" i="7" s="1"/>
  <c r="BF789" i="7"/>
  <c r="BD799" i="7"/>
  <c r="BD797" i="7"/>
  <c r="BD796" i="7"/>
  <c r="BD800" i="7"/>
  <c r="BD811" i="7"/>
  <c r="AR277" i="7"/>
  <c r="AR289" i="7" s="1"/>
  <c r="AQ278" i="7"/>
  <c r="X609" i="7"/>
  <c r="X606" i="7"/>
  <c r="X672" i="7" s="1"/>
  <c r="X670" i="7"/>
  <c r="X671" i="7"/>
  <c r="AB663" i="7"/>
  <c r="AB661" i="7"/>
  <c r="AB660" i="7"/>
  <c r="Y271" i="7"/>
  <c r="Y605" i="7"/>
  <c r="AP282" i="7"/>
  <c r="AP245" i="7"/>
  <c r="M405" i="7"/>
  <c r="M403" i="7"/>
  <c r="BL356" i="7"/>
  <c r="BM992" i="7"/>
  <c r="BG804" i="7"/>
  <c r="BH787" i="7"/>
  <c r="BI788" i="7"/>
  <c r="BH805" i="7"/>
  <c r="BH790" i="7"/>
  <c r="BF17" i="13"/>
  <c r="BF986" i="7" s="1"/>
  <c r="BE15" i="12"/>
  <c r="BI646" i="7"/>
  <c r="BF647" i="7"/>
  <c r="BF666" i="7" s="1"/>
  <c r="BE666" i="7"/>
  <c r="BE665" i="7"/>
  <c r="BF653" i="7"/>
  <c r="BG645" i="7"/>
  <c r="BJ24" i="7"/>
  <c r="AP56" i="15" s="1"/>
  <c r="AP64" i="15" s="1"/>
  <c r="BK102" i="7"/>
  <c r="BJ326" i="7"/>
  <c r="BI20" i="35"/>
  <c r="AO35" i="15"/>
  <c r="BI18" i="35"/>
  <c r="AL48" i="15"/>
  <c r="AL49" i="15"/>
  <c r="AL46" i="15"/>
  <c r="AL11" i="15"/>
  <c r="AL21" i="15" s="1"/>
  <c r="BO9" i="15"/>
  <c r="AL15" i="15"/>
  <c r="BI11" i="35"/>
  <c r="AO9" i="15"/>
  <c r="BG36" i="35"/>
  <c r="AM70" i="15"/>
  <c r="BG29" i="35"/>
  <c r="AN41" i="15"/>
  <c r="AN37" i="15"/>
  <c r="AN47" i="15" s="1"/>
  <c r="AN28" i="15"/>
  <c r="AN15" i="15"/>
  <c r="AN11" i="15"/>
  <c r="AN21" i="15" s="1"/>
  <c r="AR89" i="15"/>
  <c r="AR90" i="15" s="1"/>
  <c r="BL54" i="35"/>
  <c r="BL102" i="7"/>
  <c r="BL244" i="14"/>
  <c r="BL22" i="14" s="1"/>
  <c r="AR55" i="15" s="1"/>
  <c r="AR63" i="15" s="1"/>
  <c r="BM5" i="9"/>
  <c r="BL845" i="7"/>
  <c r="BL9" i="9"/>
  <c r="BL10" i="9"/>
  <c r="BI26" i="35"/>
  <c r="AO54" i="15" s="1"/>
  <c r="BF40" i="35"/>
  <c r="AL102" i="15"/>
  <c r="BF42" i="35"/>
  <c r="BF37" i="35"/>
  <c r="AP18" i="1"/>
  <c r="AK66" i="15"/>
  <c r="AM62" i="15"/>
  <c r="AM58" i="15"/>
  <c r="BJ23" i="35"/>
  <c r="BK23" i="35" s="1"/>
  <c r="BJ32" i="35"/>
  <c r="BK32" i="35" s="1"/>
  <c r="BJ51" i="35"/>
  <c r="BJ25" i="35"/>
  <c r="BK25" i="35" s="1"/>
  <c r="BJ33" i="35"/>
  <c r="BK33" i="35" s="1"/>
  <c r="BJ34" i="35"/>
  <c r="AP78" i="15" s="1"/>
  <c r="BJ6" i="35"/>
  <c r="BJ39" i="35"/>
  <c r="BJ19" i="35"/>
  <c r="BJ24" i="35"/>
  <c r="BK24" i="35" s="1"/>
  <c r="AN62" i="15"/>
  <c r="AN58" i="15"/>
  <c r="AP6" i="1"/>
  <c r="AK20" i="15"/>
  <c r="AK22" i="15"/>
  <c r="AK23" i="15"/>
  <c r="AK17" i="15"/>
  <c r="BJ1035" i="7"/>
  <c r="BJ1043" i="7" s="1"/>
  <c r="BK1043" i="7" s="1"/>
  <c r="BJ819" i="7"/>
  <c r="BK819" i="7" s="1"/>
  <c r="BI50" i="35"/>
  <c r="BI52" i="35"/>
  <c r="BH305" i="14"/>
  <c r="BE37" i="35"/>
  <c r="AK102" i="15"/>
  <c r="BE42" i="35"/>
  <c r="BE40" i="35"/>
  <c r="AP55" i="15"/>
  <c r="AP63" i="15" s="1"/>
  <c r="BK22" i="14"/>
  <c r="AQ55" i="15" s="1"/>
  <c r="AQ63" i="15" s="1"/>
  <c r="AM49" i="15"/>
  <c r="AM46" i="15"/>
  <c r="AM48" i="15"/>
  <c r="AM30" i="15"/>
  <c r="AR7" i="1" s="1"/>
  <c r="AM43" i="15"/>
  <c r="G25" i="17"/>
  <c r="AI946" i="7"/>
  <c r="AJ945" i="7"/>
  <c r="I43" i="16" s="1"/>
  <c r="AH943" i="7"/>
  <c r="AI942" i="7"/>
  <c r="BE82" i="14"/>
  <c r="BD83" i="14"/>
  <c r="BD86" i="14" s="1"/>
  <c r="BD52" i="14"/>
  <c r="BH140" i="14"/>
  <c r="BG168" i="14"/>
  <c r="BG167" i="14" s="1"/>
  <c r="BC303" i="14"/>
  <c r="BC306" i="14" s="1"/>
  <c r="BC24" i="14" s="1"/>
  <c r="BH1036" i="7"/>
  <c r="BI846" i="7"/>
  <c r="BI55" i="35"/>
  <c r="BI237" i="7"/>
  <c r="BJ6" i="9"/>
  <c r="BI245" i="14"/>
  <c r="BI315" i="14" s="1"/>
  <c r="BI318" i="14" s="1"/>
  <c r="AO92" i="15"/>
  <c r="AO93" i="15" s="1"/>
  <c r="BH255" i="14"/>
  <c r="BH238" i="7"/>
  <c r="BH246" i="14"/>
  <c r="BA306" i="14"/>
  <c r="AZ24" i="14"/>
  <c r="BD302" i="14"/>
  <c r="BD274" i="14"/>
  <c r="BD300" i="14" s="1"/>
  <c r="BG200" i="14"/>
  <c r="BG195" i="14"/>
  <c r="BH201" i="14"/>
  <c r="BF194" i="14"/>
  <c r="K80" i="63" l="1"/>
  <c r="K81" i="63"/>
  <c r="L80" i="63"/>
  <c r="L81" i="63"/>
  <c r="G80" i="63"/>
  <c r="G81" i="63"/>
  <c r="I81" i="63"/>
  <c r="I80" i="63"/>
  <c r="BU11" i="20"/>
  <c r="BU34" i="20" s="1"/>
  <c r="BT34" i="20"/>
  <c r="BT149" i="20"/>
  <c r="BS54" i="20"/>
  <c r="BS10" i="20" s="1"/>
  <c r="AR155" i="13"/>
  <c r="AR156" i="13" s="1"/>
  <c r="AR209" i="14"/>
  <c r="AR210" i="14" s="1"/>
  <c r="AR213" i="14" s="1"/>
  <c r="AR63" i="14"/>
  <c r="AS209" i="14"/>
  <c r="AS63" i="14"/>
  <c r="S673" i="7"/>
  <c r="U468" i="7"/>
  <c r="T157" i="7"/>
  <c r="BP202" i="14"/>
  <c r="BQ202" i="14" s="1"/>
  <c r="BQ208" i="14" s="1"/>
  <c r="AR205" i="14"/>
  <c r="AS216" i="14"/>
  <c r="AS218" i="14" s="1"/>
  <c r="AS205" i="14"/>
  <c r="AQ62" i="14"/>
  <c r="AQ65" i="14" s="1"/>
  <c r="AT204" i="14"/>
  <c r="AT192" i="14"/>
  <c r="BF665" i="7"/>
  <c r="S675" i="7"/>
  <c r="S676" i="7" s="1"/>
  <c r="U503" i="7"/>
  <c r="T508" i="7"/>
  <c r="T559" i="7"/>
  <c r="T560" i="7" s="1"/>
  <c r="U471" i="7"/>
  <c r="U402" i="7"/>
  <c r="V388" i="7"/>
  <c r="AC527" i="7"/>
  <c r="AD524" i="7" s="1"/>
  <c r="BH29" i="35"/>
  <c r="BH36" i="35"/>
  <c r="BH40" i="35" s="1"/>
  <c r="AR8" i="1"/>
  <c r="AR10" i="1" s="1"/>
  <c r="BP273" i="20"/>
  <c r="I6" i="39"/>
  <c r="BE811" i="7"/>
  <c r="BE810" i="7"/>
  <c r="BE812" i="7"/>
  <c r="AR216" i="14"/>
  <c r="AR218" i="14" s="1"/>
  <c r="AR236" i="14"/>
  <c r="AR144" i="44"/>
  <c r="AR18" i="44" s="1"/>
  <c r="AR67" i="44" s="1"/>
  <c r="AR96" i="14"/>
  <c r="AR132" i="14"/>
  <c r="AR143" i="14"/>
  <c r="BG131" i="14"/>
  <c r="BK71" i="14"/>
  <c r="BJ72" i="14"/>
  <c r="AQ100" i="14"/>
  <c r="AQ104" i="14"/>
  <c r="AQ149" i="14"/>
  <c r="AP151" i="14"/>
  <c r="AQ151" i="14" s="1"/>
  <c r="AL94" i="14"/>
  <c r="AK131" i="14"/>
  <c r="AK142" i="14"/>
  <c r="AL142" i="14" s="1"/>
  <c r="AK95" i="14"/>
  <c r="AJ132" i="14"/>
  <c r="AJ143" i="14"/>
  <c r="BH78" i="14"/>
  <c r="BG80" i="14"/>
  <c r="BM181" i="14"/>
  <c r="BI305" i="14"/>
  <c r="BI28" i="35"/>
  <c r="BI36" i="35" s="1"/>
  <c r="BI37" i="35" s="1"/>
  <c r="BK26" i="35"/>
  <c r="AQ54" i="15" s="1"/>
  <c r="AQ62" i="15" s="1"/>
  <c r="BK34" i="35"/>
  <c r="AQ78" i="15" s="1"/>
  <c r="R503" i="7"/>
  <c r="V745" i="7"/>
  <c r="E76" i="16" s="1"/>
  <c r="U746" i="7"/>
  <c r="U749" i="7"/>
  <c r="U156" i="7" s="1"/>
  <c r="C14" i="17"/>
  <c r="AD658" i="7"/>
  <c r="AD650" i="7"/>
  <c r="AD526" i="7" s="1"/>
  <c r="AD527" i="7" s="1"/>
  <c r="AE524" i="7" s="1"/>
  <c r="AD657" i="7"/>
  <c r="Z413" i="7"/>
  <c r="AA408" i="7"/>
  <c r="AA413" i="7" s="1"/>
  <c r="Z154" i="7"/>
  <c r="Z155" i="7" s="1"/>
  <c r="Z772" i="7"/>
  <c r="Z773" i="7" s="1"/>
  <c r="AQ245" i="7"/>
  <c r="AQ247" i="7" s="1"/>
  <c r="AQ282" i="7"/>
  <c r="X200" i="7"/>
  <c r="AC537" i="7"/>
  <c r="AC617" i="7"/>
  <c r="T530" i="7"/>
  <c r="S533" i="7"/>
  <c r="AD503" i="7"/>
  <c r="AC508" i="7"/>
  <c r="AC559" i="7"/>
  <c r="AC560" i="7" s="1"/>
  <c r="M421" i="7"/>
  <c r="M406" i="7"/>
  <c r="M414" i="7"/>
  <c r="M420" i="7"/>
  <c r="AL919" i="7"/>
  <c r="AL916" i="7"/>
  <c r="AM915" i="7"/>
  <c r="H37" i="16" s="1"/>
  <c r="AF388" i="7"/>
  <c r="AE471" i="7"/>
  <c r="AE402" i="7"/>
  <c r="AD406" i="7"/>
  <c r="AD414" i="7"/>
  <c r="AJ391" i="7"/>
  <c r="AI466" i="7"/>
  <c r="AI412" i="7"/>
  <c r="AI507" i="7" s="1"/>
  <c r="AS277" i="7"/>
  <c r="AS289" i="7" s="1"/>
  <c r="AR278" i="7"/>
  <c r="AR286" i="7"/>
  <c r="N390" i="7"/>
  <c r="N393" i="7"/>
  <c r="N392" i="7"/>
  <c r="AH507" i="7"/>
  <c r="AP247" i="7"/>
  <c r="P482" i="7"/>
  <c r="O483" i="7"/>
  <c r="M500" i="7"/>
  <c r="M498" i="7"/>
  <c r="AC605" i="7"/>
  <c r="AC271" i="7"/>
  <c r="AP283" i="7"/>
  <c r="AP251" i="7"/>
  <c r="AP253" i="7" s="1"/>
  <c r="Z509" i="7"/>
  <c r="Z508" i="7" s="1"/>
  <c r="Z501" i="7"/>
  <c r="Z597" i="7"/>
  <c r="Z565" i="7" s="1"/>
  <c r="Z596" i="7"/>
  <c r="Z564" i="7" s="1"/>
  <c r="Z603" i="7"/>
  <c r="AB473" i="7"/>
  <c r="AB470" i="7"/>
  <c r="T201" i="7"/>
  <c r="S158" i="7"/>
  <c r="S202" i="7"/>
  <c r="AE649" i="7"/>
  <c r="AE654" i="7"/>
  <c r="AE655" i="7" s="1"/>
  <c r="AE660" i="7" s="1"/>
  <c r="AF652" i="7"/>
  <c r="BE1074" i="7"/>
  <c r="BF1060" i="7"/>
  <c r="BE1047" i="7"/>
  <c r="Y611" i="7"/>
  <c r="BG789" i="7"/>
  <c r="BF806" i="7"/>
  <c r="BF807" i="7" s="1"/>
  <c r="BF809" i="7" s="1"/>
  <c r="K620" i="7"/>
  <c r="K562" i="7"/>
  <c r="K554" i="7"/>
  <c r="K552" i="7"/>
  <c r="AL909" i="7"/>
  <c r="AK910" i="7"/>
  <c r="AK913" i="7"/>
  <c r="L772" i="7"/>
  <c r="L773" i="7" s="1"/>
  <c r="L775" i="7" s="1"/>
  <c r="F100" i="16" s="1"/>
  <c r="L154" i="7"/>
  <c r="L155" i="7" s="1"/>
  <c r="W529" i="7"/>
  <c r="V532" i="7"/>
  <c r="Y620" i="7"/>
  <c r="Y562" i="7"/>
  <c r="Z618" i="7"/>
  <c r="AD766" i="7"/>
  <c r="AD767" i="7" s="1"/>
  <c r="AD768" i="7" s="1"/>
  <c r="AD771" i="7" s="1"/>
  <c r="AD601" i="7"/>
  <c r="AD764" i="7"/>
  <c r="AD500" i="7"/>
  <c r="AD498" i="7"/>
  <c r="BE1041" i="7"/>
  <c r="BD1046" i="7"/>
  <c r="BK24" i="7"/>
  <c r="AQ56" i="15" s="1"/>
  <c r="AQ64" i="15" s="1"/>
  <c r="BE797" i="7"/>
  <c r="BE799" i="7"/>
  <c r="BE796" i="7"/>
  <c r="BE800" i="7"/>
  <c r="BF791" i="7"/>
  <c r="AN939" i="7"/>
  <c r="AN940" i="7" s="1"/>
  <c r="V29" i="17"/>
  <c r="L501" i="7"/>
  <c r="L509" i="7"/>
  <c r="L597" i="7"/>
  <c r="L565" i="7" s="1"/>
  <c r="L596" i="7"/>
  <c r="L564" i="7" s="1"/>
  <c r="L605" i="7" s="1"/>
  <c r="X675" i="7"/>
  <c r="X676" i="7" s="1"/>
  <c r="BE798" i="7"/>
  <c r="AD655" i="7"/>
  <c r="AD662" i="7" s="1"/>
  <c r="X673" i="7"/>
  <c r="M764" i="7"/>
  <c r="M154" i="7" s="1"/>
  <c r="M155" i="7" s="1"/>
  <c r="M601" i="7"/>
  <c r="M766" i="7"/>
  <c r="M767" i="7" s="1"/>
  <c r="M768" i="7" s="1"/>
  <c r="M488" i="7"/>
  <c r="BM356" i="7"/>
  <c r="BM334" i="7" s="1"/>
  <c r="BN992" i="7"/>
  <c r="BL334" i="7"/>
  <c r="BH804" i="7"/>
  <c r="BI787" i="7"/>
  <c r="BI805" i="7"/>
  <c r="BJ788" i="7"/>
  <c r="BI790" i="7"/>
  <c r="BD15" i="12"/>
  <c r="BE17" i="13"/>
  <c r="BE986" i="7" s="1"/>
  <c r="BJ646" i="7"/>
  <c r="BG653" i="7"/>
  <c r="BH645" i="7"/>
  <c r="BG647" i="7"/>
  <c r="BG666" i="7" s="1"/>
  <c r="BF43" i="35"/>
  <c r="AQ47" i="1"/>
  <c r="AQ48" i="1" s="1"/>
  <c r="AP47" i="1"/>
  <c r="AP48" i="1" s="1"/>
  <c r="AP35" i="1" s="1"/>
  <c r="BE43" i="35"/>
  <c r="AO58" i="15"/>
  <c r="AO62" i="15"/>
  <c r="AK114" i="15"/>
  <c r="AK110" i="15"/>
  <c r="AK124" i="15"/>
  <c r="BK39" i="35"/>
  <c r="AQ118" i="15" s="1"/>
  <c r="AP118" i="15"/>
  <c r="AO11" i="15"/>
  <c r="AO15" i="15"/>
  <c r="BJ18" i="35"/>
  <c r="AP35" i="15"/>
  <c r="AP37" i="15" s="1"/>
  <c r="AP49" i="15" s="1"/>
  <c r="BJ20" i="35"/>
  <c r="BK19" i="35"/>
  <c r="BK6" i="35"/>
  <c r="BJ10" i="35"/>
  <c r="BL819" i="7"/>
  <c r="BL1035" i="7"/>
  <c r="BL1043" i="7" s="1"/>
  <c r="AN49" i="15"/>
  <c r="AN43" i="15"/>
  <c r="AN46" i="15"/>
  <c r="AN48" i="15"/>
  <c r="AN30" i="15"/>
  <c r="AS7" i="1" s="1"/>
  <c r="BN5" i="9"/>
  <c r="BM244" i="14"/>
  <c r="BM22" i="14" s="1"/>
  <c r="AS55" i="15" s="1"/>
  <c r="AS63" i="15" s="1"/>
  <c r="BM54" i="35"/>
  <c r="BM845" i="7"/>
  <c r="BM102" i="7"/>
  <c r="AS89" i="15"/>
  <c r="AS90" i="15" s="1"/>
  <c r="BM9" i="9"/>
  <c r="BM10" i="9"/>
  <c r="BL24" i="7"/>
  <c r="AR56" i="15" s="1"/>
  <c r="AR64" i="15" s="1"/>
  <c r="BL326" i="7"/>
  <c r="BJ50" i="35"/>
  <c r="BJ52" i="35"/>
  <c r="BL6" i="35"/>
  <c r="BL10" i="35" s="1"/>
  <c r="BL11" i="35" s="1"/>
  <c r="BL33" i="35"/>
  <c r="BL51" i="35"/>
  <c r="BL32" i="35"/>
  <c r="BL24" i="35"/>
  <c r="BL23" i="35"/>
  <c r="BL25" i="35"/>
  <c r="BL19" i="35"/>
  <c r="BL39" i="35"/>
  <c r="AR118" i="15" s="1"/>
  <c r="BL34" i="35"/>
  <c r="AR78" i="15" s="1"/>
  <c r="AP8" i="1"/>
  <c r="AQ6" i="1"/>
  <c r="AS18" i="1"/>
  <c r="AN66" i="15"/>
  <c r="BJ26" i="35"/>
  <c r="AP54" i="15" s="1"/>
  <c r="AR18" i="1"/>
  <c r="AM66" i="15"/>
  <c r="AN23" i="15"/>
  <c r="AN20" i="15"/>
  <c r="AN22" i="15"/>
  <c r="AS6" i="1"/>
  <c r="AN17" i="15"/>
  <c r="AL20" i="15"/>
  <c r="BO11" i="15"/>
  <c r="AL22" i="15"/>
  <c r="AL17" i="15"/>
  <c r="AL23" i="15"/>
  <c r="AL114" i="15"/>
  <c r="AL110" i="15"/>
  <c r="AL124" i="15"/>
  <c r="AO37" i="15"/>
  <c r="AO28" i="15"/>
  <c r="AO41" i="15"/>
  <c r="AL43" i="15"/>
  <c r="BG42" i="35"/>
  <c r="AM102" i="15"/>
  <c r="BG37" i="35"/>
  <c r="BG40" i="35"/>
  <c r="AL30" i="15"/>
  <c r="AQ7" i="1" s="1"/>
  <c r="BT7" i="1" s="1"/>
  <c r="BK51" i="35"/>
  <c r="AJ942" i="7"/>
  <c r="AI943" i="7"/>
  <c r="G26" i="17"/>
  <c r="AK945" i="7"/>
  <c r="I40" i="16" s="1"/>
  <c r="AJ946" i="7"/>
  <c r="BE83" i="14"/>
  <c r="BE86" i="14" s="1"/>
  <c r="BF82" i="14"/>
  <c r="BE52" i="14"/>
  <c r="BE26" i="14" s="1"/>
  <c r="AK96" i="15" s="1"/>
  <c r="AK98" i="15" s="1"/>
  <c r="AP24" i="1" s="1"/>
  <c r="BD26" i="14"/>
  <c r="BI140" i="14"/>
  <c r="BH168" i="14"/>
  <c r="BH167" i="14" s="1"/>
  <c r="BD303" i="14"/>
  <c r="BD306" i="14" s="1"/>
  <c r="BD24" i="14" s="1"/>
  <c r="BI1036" i="7"/>
  <c r="AI85" i="15"/>
  <c r="AI87" i="15" s="1"/>
  <c r="AN22" i="1" s="1"/>
  <c r="BC50" i="14"/>
  <c r="BI255" i="14"/>
  <c r="BE274" i="14"/>
  <c r="BE300" i="14" s="1"/>
  <c r="AF85" i="15"/>
  <c r="AZ50" i="14"/>
  <c r="BA24" i="14"/>
  <c r="BB24" i="14"/>
  <c r="BB308" i="14"/>
  <c r="BI246" i="14"/>
  <c r="BL6" i="9"/>
  <c r="AP92" i="15"/>
  <c r="BJ846" i="7"/>
  <c r="BJ245" i="14"/>
  <c r="BJ315" i="14" s="1"/>
  <c r="BJ318" i="14" s="1"/>
  <c r="BJ55" i="35"/>
  <c r="BJ237" i="7"/>
  <c r="BI238" i="7"/>
  <c r="BH200" i="14"/>
  <c r="BH195" i="14"/>
  <c r="BI201" i="14"/>
  <c r="BG194" i="14"/>
  <c r="BT54" i="20" l="1"/>
  <c r="BU149" i="20"/>
  <c r="AS155" i="13"/>
  <c r="AS156" i="13" s="1"/>
  <c r="AS278" i="7"/>
  <c r="AS245" i="7" s="1"/>
  <c r="AT209" i="14"/>
  <c r="AT210" i="14" s="1"/>
  <c r="AT213" i="14" s="1"/>
  <c r="AT63" i="14"/>
  <c r="X8" i="48"/>
  <c r="AS210" i="14"/>
  <c r="AS213" i="14" s="1"/>
  <c r="BR202" i="14"/>
  <c r="BR208" i="14" s="1"/>
  <c r="BF52" i="14"/>
  <c r="AT216" i="14"/>
  <c r="AT218" i="14" s="1"/>
  <c r="AT205" i="14"/>
  <c r="BH37" i="35"/>
  <c r="U497" i="7"/>
  <c r="V463" i="7"/>
  <c r="U561" i="7"/>
  <c r="U470" i="7"/>
  <c r="T620" i="7"/>
  <c r="T562" i="7"/>
  <c r="U618" i="7"/>
  <c r="U405" i="7"/>
  <c r="U403" i="7"/>
  <c r="BH42" i="35"/>
  <c r="AN102" i="15"/>
  <c r="AR9" i="1"/>
  <c r="BJ305" i="14"/>
  <c r="BK305" i="14" s="1"/>
  <c r="AO102" i="15"/>
  <c r="AO110" i="15" s="1"/>
  <c r="BI29" i="35"/>
  <c r="BF812" i="7"/>
  <c r="BF810" i="7"/>
  <c r="BF811" i="7"/>
  <c r="AR142" i="44"/>
  <c r="BL71" i="14"/>
  <c r="BH131" i="14"/>
  <c r="BI142" i="14"/>
  <c r="AL95" i="14"/>
  <c r="AK132" i="14"/>
  <c r="AK143" i="14"/>
  <c r="AL143" i="14" s="1"/>
  <c r="BI78" i="14"/>
  <c r="BH80" i="14"/>
  <c r="AL131" i="14"/>
  <c r="AM94" i="14"/>
  <c r="AR184" i="14"/>
  <c r="AR134" i="14"/>
  <c r="AR133" i="14"/>
  <c r="AR99" i="14"/>
  <c r="AR144" i="14"/>
  <c r="AR62" i="14" s="1"/>
  <c r="AR64" i="14" s="1"/>
  <c r="BH142" i="14"/>
  <c r="AS132" i="14"/>
  <c r="AS96" i="14"/>
  <c r="AS144" i="14" s="1"/>
  <c r="AS62" i="14" s="1"/>
  <c r="AS64" i="14" s="1"/>
  <c r="AS143" i="14"/>
  <c r="BN181" i="14"/>
  <c r="AO70" i="15"/>
  <c r="BI42" i="35"/>
  <c r="BI43" i="35" s="1"/>
  <c r="AP934" i="7"/>
  <c r="AP935" i="7" s="1"/>
  <c r="AP938" i="7" s="1"/>
  <c r="BI40" i="35"/>
  <c r="AQ58" i="15"/>
  <c r="AV18" i="1" s="1"/>
  <c r="AR9" i="15"/>
  <c r="AR15" i="15" s="1"/>
  <c r="AP48" i="15"/>
  <c r="BJ28" i="35"/>
  <c r="AP70" i="15" s="1"/>
  <c r="AS8" i="1"/>
  <c r="AS9" i="1" s="1"/>
  <c r="BH789" i="7"/>
  <c r="BG806" i="7"/>
  <c r="BG807" i="7" s="1"/>
  <c r="BG809" i="7" s="1"/>
  <c r="F28" i="17"/>
  <c r="F105" i="17" s="1"/>
  <c r="AM919" i="7"/>
  <c r="AN915" i="7"/>
  <c r="H34" i="16" s="1"/>
  <c r="AM916" i="7"/>
  <c r="BF1047" i="7"/>
  <c r="BE1046" i="7"/>
  <c r="N467" i="7"/>
  <c r="N412" i="7"/>
  <c r="Y622" i="7"/>
  <c r="Z616" i="7"/>
  <c r="Y619" i="7"/>
  <c r="AF654" i="7"/>
  <c r="AF655" i="7" s="1"/>
  <c r="AF649" i="7"/>
  <c r="AG652" i="7"/>
  <c r="AR282" i="7"/>
  <c r="AR245" i="7"/>
  <c r="Y200" i="7"/>
  <c r="M775" i="7"/>
  <c r="D7" i="17"/>
  <c r="AE650" i="7"/>
  <c r="AE526" i="7" s="1"/>
  <c r="AE662" i="7"/>
  <c r="AE657" i="7"/>
  <c r="AE658" i="7"/>
  <c r="AT277" i="7"/>
  <c r="AT289" i="7" s="1"/>
  <c r="AS286" i="7"/>
  <c r="AD537" i="7"/>
  <c r="AD538" i="7" s="1"/>
  <c r="AD617" i="7"/>
  <c r="AC611" i="7"/>
  <c r="AC562" i="7"/>
  <c r="AC620" i="7"/>
  <c r="AD618" i="7"/>
  <c r="M597" i="7"/>
  <c r="M565" i="7" s="1"/>
  <c r="M509" i="7"/>
  <c r="M501" i="7"/>
  <c r="M596" i="7"/>
  <c r="M564" i="7" s="1"/>
  <c r="M605" i="7" s="1"/>
  <c r="Z271" i="7"/>
  <c r="Z605" i="7"/>
  <c r="W532" i="7"/>
  <c r="X529" i="7"/>
  <c r="BG1054" i="7"/>
  <c r="BG1060" i="7" s="1"/>
  <c r="BF1059" i="7"/>
  <c r="BF1074" i="7"/>
  <c r="BK1054" i="7"/>
  <c r="P483" i="7"/>
  <c r="Q482" i="7"/>
  <c r="AD413" i="7"/>
  <c r="AE408" i="7"/>
  <c r="U530" i="7"/>
  <c r="T533" i="7"/>
  <c r="Y607" i="7"/>
  <c r="Y566" i="7"/>
  <c r="Z559" i="7"/>
  <c r="Z560" i="7" s="1"/>
  <c r="AA503" i="7"/>
  <c r="AA508" i="7" s="1"/>
  <c r="AE661" i="7"/>
  <c r="AE663" i="7"/>
  <c r="AL913" i="7"/>
  <c r="AM909" i="7"/>
  <c r="AL910" i="7"/>
  <c r="L539" i="7"/>
  <c r="L540" i="7"/>
  <c r="M540" i="7" s="1"/>
  <c r="AD509" i="7"/>
  <c r="AD597" i="7"/>
  <c r="AD501" i="7"/>
  <c r="AD596" i="7"/>
  <c r="AD564" i="7" s="1"/>
  <c r="K607" i="7"/>
  <c r="K566" i="7"/>
  <c r="C15" i="17"/>
  <c r="W745" i="7"/>
  <c r="V749" i="7"/>
  <c r="V156" i="7" s="1"/>
  <c r="V157" i="7" s="1"/>
  <c r="V746" i="7"/>
  <c r="AQ283" i="7"/>
  <c r="AQ251" i="7"/>
  <c r="AQ253" i="7" s="1"/>
  <c r="N465" i="7"/>
  <c r="N409" i="7"/>
  <c r="N394" i="7"/>
  <c r="BF797" i="7"/>
  <c r="BF799" i="7"/>
  <c r="BG791" i="7"/>
  <c r="BF800" i="7"/>
  <c r="BF796" i="7"/>
  <c r="M413" i="7"/>
  <c r="N408" i="7"/>
  <c r="R408" i="7"/>
  <c r="L616" i="7"/>
  <c r="K622" i="7"/>
  <c r="K624" i="7" s="1"/>
  <c r="K619" i="7"/>
  <c r="U201" i="7"/>
  <c r="T158" i="7"/>
  <c r="T202" i="7"/>
  <c r="AE405" i="7"/>
  <c r="AF393" i="7" s="1"/>
  <c r="AG393" i="7" s="1"/>
  <c r="AG394" i="7" s="1"/>
  <c r="AG471" i="7" s="1"/>
  <c r="AG470" i="7" s="1"/>
  <c r="AE403" i="7"/>
  <c r="AK391" i="7"/>
  <c r="AL391" i="7" s="1"/>
  <c r="AJ466" i="7"/>
  <c r="AJ412" i="7"/>
  <c r="AD663" i="7"/>
  <c r="AD661" i="7"/>
  <c r="AD660" i="7"/>
  <c r="AD772" i="7"/>
  <c r="AD773" i="7" s="1"/>
  <c r="AD154" i="7"/>
  <c r="AD155" i="7" s="1"/>
  <c r="BF798" i="7"/>
  <c r="AE497" i="7"/>
  <c r="AF463" i="7"/>
  <c r="AF468" i="7" s="1"/>
  <c r="AE561" i="7"/>
  <c r="AE470" i="7"/>
  <c r="AC538" i="7"/>
  <c r="L559" i="7"/>
  <c r="L560" i="7" s="1"/>
  <c r="L508" i="7"/>
  <c r="AD602" i="7"/>
  <c r="AE602" i="7" s="1"/>
  <c r="AP933" i="7"/>
  <c r="BN356" i="7"/>
  <c r="BO992" i="7"/>
  <c r="BJ790" i="7"/>
  <c r="BJ787" i="7"/>
  <c r="BI804" i="7"/>
  <c r="BJ805" i="7"/>
  <c r="BK788" i="7"/>
  <c r="BC15" i="12"/>
  <c r="BD17" i="13"/>
  <c r="BD986" i="7" s="1"/>
  <c r="BK646" i="7"/>
  <c r="BH653" i="7"/>
  <c r="BI645" i="7"/>
  <c r="BH647" i="7"/>
  <c r="BH666" i="7" s="1"/>
  <c r="BG665" i="7"/>
  <c r="BG43" i="35"/>
  <c r="AR47" i="1"/>
  <c r="AR48" i="1" s="1"/>
  <c r="AR35" i="1" s="1"/>
  <c r="BM19" i="35"/>
  <c r="BM23" i="35"/>
  <c r="BM39" i="35"/>
  <c r="AS118" i="15" s="1"/>
  <c r="BM6" i="35"/>
  <c r="BM10" i="35" s="1"/>
  <c r="BM34" i="35"/>
  <c r="AS78" i="15" s="1"/>
  <c r="BM33" i="35"/>
  <c r="BM32" i="35"/>
  <c r="BM24" i="35"/>
  <c r="BM51" i="35"/>
  <c r="BM25" i="35"/>
  <c r="AO21" i="15"/>
  <c r="AO23" i="15"/>
  <c r="AO17" i="15"/>
  <c r="AO20" i="15"/>
  <c r="AO22" i="15"/>
  <c r="AT6" i="1"/>
  <c r="AP62" i="15"/>
  <c r="AP58" i="15"/>
  <c r="BN54" i="35"/>
  <c r="BO5" i="9"/>
  <c r="BN9" i="9"/>
  <c r="BN244" i="14"/>
  <c r="BN22" i="14" s="1"/>
  <c r="AT55" i="15" s="1"/>
  <c r="AT63" i="15" s="1"/>
  <c r="BN10" i="9"/>
  <c r="AT89" i="15"/>
  <c r="AT90" i="15" s="1"/>
  <c r="BN102" i="7"/>
  <c r="BN845" i="7"/>
  <c r="BT6" i="1"/>
  <c r="AQ8" i="1"/>
  <c r="BL52" i="35"/>
  <c r="BL50" i="35"/>
  <c r="AP10" i="1"/>
  <c r="AP9" i="1"/>
  <c r="BM326" i="7"/>
  <c r="BM24" i="7"/>
  <c r="AS56" i="15" s="1"/>
  <c r="AS64" i="15" s="1"/>
  <c r="BM819" i="7"/>
  <c r="BM1035" i="7"/>
  <c r="BM1043" i="7" s="1"/>
  <c r="BK52" i="35"/>
  <c r="BK50" i="35"/>
  <c r="AT18" i="1"/>
  <c r="AO66" i="15"/>
  <c r="AP46" i="15"/>
  <c r="AR35" i="15"/>
  <c r="AR37" i="15" s="1"/>
  <c r="AR47" i="15" s="1"/>
  <c r="BL20" i="35"/>
  <c r="BL18" i="35"/>
  <c r="BJ11" i="35"/>
  <c r="BK10" i="35"/>
  <c r="AP9" i="15"/>
  <c r="AP28" i="15" s="1"/>
  <c r="AP47" i="15"/>
  <c r="AO47" i="15"/>
  <c r="AO30" i="15"/>
  <c r="AT7" i="1" s="1"/>
  <c r="AO43" i="15"/>
  <c r="AO46" i="15"/>
  <c r="AO49" i="15"/>
  <c r="AO48" i="15"/>
  <c r="AM110" i="15"/>
  <c r="AM114" i="15"/>
  <c r="AM124" i="15"/>
  <c r="BL26" i="35"/>
  <c r="AQ35" i="15"/>
  <c r="AQ37" i="15" s="1"/>
  <c r="AQ47" i="15" s="1"/>
  <c r="BK20" i="35"/>
  <c r="BK18" i="35"/>
  <c r="BK28" i="35"/>
  <c r="G27" i="17"/>
  <c r="AL945" i="7"/>
  <c r="AK946" i="7"/>
  <c r="AJ943" i="7"/>
  <c r="AK942" i="7"/>
  <c r="AJ96" i="15"/>
  <c r="AJ98" i="15" s="1"/>
  <c r="BF26" i="14"/>
  <c r="AL96" i="15" s="1"/>
  <c r="BF83" i="14"/>
  <c r="BF86" i="14" s="1"/>
  <c r="BG82" i="14"/>
  <c r="BJ140" i="14"/>
  <c r="BI168" i="14"/>
  <c r="BI167" i="14" s="1"/>
  <c r="BE302" i="14"/>
  <c r="BF302" i="14" s="1"/>
  <c r="BB23" i="14"/>
  <c r="AH85" i="15"/>
  <c r="BB50" i="14"/>
  <c r="BG302" i="14"/>
  <c r="BF300" i="14"/>
  <c r="BK237" i="7"/>
  <c r="BJ238" i="7"/>
  <c r="BD50" i="14"/>
  <c r="AJ85" i="15"/>
  <c r="AJ87" i="15" s="1"/>
  <c r="AO22" i="1" s="1"/>
  <c r="BA50" i="14"/>
  <c r="BJ1036" i="7"/>
  <c r="AQ92" i="15"/>
  <c r="AP93" i="15"/>
  <c r="BF274" i="14"/>
  <c r="BL846" i="7"/>
  <c r="BL237" i="7"/>
  <c r="AR92" i="15"/>
  <c r="BL245" i="14"/>
  <c r="BL315" i="14" s="1"/>
  <c r="BL318" i="14" s="1"/>
  <c r="BM6" i="9"/>
  <c r="BL55" i="35"/>
  <c r="BJ255" i="14"/>
  <c r="BK255" i="14" s="1"/>
  <c r="BJ246" i="14"/>
  <c r="BK245" i="14"/>
  <c r="BK315" i="14" s="1"/>
  <c r="BK318" i="14" s="1"/>
  <c r="AF87" i="15"/>
  <c r="AG85" i="15"/>
  <c r="BI195" i="14"/>
  <c r="BI200" i="14"/>
  <c r="BJ201" i="14"/>
  <c r="BG231" i="14"/>
  <c r="BH194" i="14"/>
  <c r="BT10" i="20" l="1"/>
  <c r="BU10" i="20" s="1"/>
  <c r="BU54" i="20"/>
  <c r="AT155" i="13"/>
  <c r="AT156" i="13" s="1"/>
  <c r="AU277" i="7"/>
  <c r="AU289" i="7" s="1"/>
  <c r="AU155" i="13" s="1"/>
  <c r="X7" i="48"/>
  <c r="BS202" i="14"/>
  <c r="BS208" i="14" s="1"/>
  <c r="V390" i="7"/>
  <c r="V392" i="7"/>
  <c r="V393" i="7"/>
  <c r="W393" i="7" s="1"/>
  <c r="U766" i="7"/>
  <c r="U767" i="7" s="1"/>
  <c r="U768" i="7" s="1"/>
  <c r="U771" i="7" s="1"/>
  <c r="U601" i="7"/>
  <c r="U764" i="7"/>
  <c r="U406" i="7"/>
  <c r="U420" i="7"/>
  <c r="U414" i="7"/>
  <c r="U421" i="7"/>
  <c r="T622" i="7"/>
  <c r="U616" i="7"/>
  <c r="T619" i="7"/>
  <c r="T607" i="7"/>
  <c r="T566" i="7"/>
  <c r="U498" i="7"/>
  <c r="U500" i="7"/>
  <c r="AN124" i="15"/>
  <c r="AN114" i="15"/>
  <c r="AN110" i="15"/>
  <c r="AS47" i="1"/>
  <c r="AS48" i="1" s="1"/>
  <c r="AS35" i="1" s="1"/>
  <c r="BH43" i="35"/>
  <c r="AO124" i="15"/>
  <c r="AO114" i="15"/>
  <c r="AT47" i="1"/>
  <c r="AT48" i="1" s="1"/>
  <c r="AT35" i="1" s="1"/>
  <c r="AR41" i="15"/>
  <c r="AQ46" i="15"/>
  <c r="AR28" i="15"/>
  <c r="BG811" i="7"/>
  <c r="BG810" i="7"/>
  <c r="BG812" i="7"/>
  <c r="X6" i="48"/>
  <c r="AV191" i="14"/>
  <c r="AU192" i="14"/>
  <c r="AU204" i="14"/>
  <c r="AV67" i="44"/>
  <c r="AV18" i="44"/>
  <c r="BJ78" i="14"/>
  <c r="BI80" i="14"/>
  <c r="AT143" i="14"/>
  <c r="AT132" i="14"/>
  <c r="AT96" i="14"/>
  <c r="AR100" i="14"/>
  <c r="AR104" i="14"/>
  <c r="AM95" i="14"/>
  <c r="AL132" i="14"/>
  <c r="AM131" i="14"/>
  <c r="AN94" i="14"/>
  <c r="AM142" i="14"/>
  <c r="BI131" i="14"/>
  <c r="BJ142" i="14"/>
  <c r="AS133" i="14"/>
  <c r="AS99" i="14"/>
  <c r="AS134" i="14"/>
  <c r="AS184" i="14"/>
  <c r="AR185" i="14"/>
  <c r="AR138" i="44"/>
  <c r="BM71" i="14"/>
  <c r="BL72" i="14"/>
  <c r="AR149" i="14"/>
  <c r="BO181" i="14"/>
  <c r="AQ66" i="15"/>
  <c r="AR11" i="15"/>
  <c r="AR21" i="15" s="1"/>
  <c r="AF394" i="7"/>
  <c r="AF397" i="7" s="1"/>
  <c r="AQ49" i="15"/>
  <c r="AS10" i="1"/>
  <c r="BJ29" i="35"/>
  <c r="BJ36" i="35"/>
  <c r="AP102" i="15" s="1"/>
  <c r="AQ48" i="15"/>
  <c r="Z562" i="7"/>
  <c r="Z620" i="7"/>
  <c r="Z619" i="7" s="1"/>
  <c r="AA618" i="7"/>
  <c r="AB618" i="7" s="1"/>
  <c r="X532" i="7"/>
  <c r="Y529" i="7"/>
  <c r="AT286" i="7"/>
  <c r="AT278" i="7"/>
  <c r="AT245" i="7" s="1"/>
  <c r="BG797" i="7"/>
  <c r="BG799" i="7"/>
  <c r="BG800" i="7"/>
  <c r="BH791" i="7"/>
  <c r="BH798" i="7" s="1"/>
  <c r="BG796" i="7"/>
  <c r="Y606" i="7"/>
  <c r="Y672" i="7" s="1"/>
  <c r="Y670" i="7"/>
  <c r="Y671" i="7"/>
  <c r="AE617" i="7"/>
  <c r="AE537" i="7"/>
  <c r="N503" i="7"/>
  <c r="M559" i="7"/>
  <c r="M560" i="7" s="1"/>
  <c r="M508" i="7"/>
  <c r="Z200" i="7"/>
  <c r="AD565" i="7"/>
  <c r="AE519" i="7"/>
  <c r="AD508" i="7"/>
  <c r="AD559" i="7"/>
  <c r="AD560" i="7" s="1"/>
  <c r="AE503" i="7"/>
  <c r="N402" i="7"/>
  <c r="O388" i="7"/>
  <c r="N471" i="7"/>
  <c r="M170" i="42"/>
  <c r="K627" i="7"/>
  <c r="AM391" i="7"/>
  <c r="AK466" i="7"/>
  <c r="AL466" i="7" s="1"/>
  <c r="AK412" i="7"/>
  <c r="AK507" i="7" s="1"/>
  <c r="N504" i="7"/>
  <c r="N511" i="7" s="1"/>
  <c r="AR283" i="7"/>
  <c r="AR251" i="7"/>
  <c r="BK1041" i="7"/>
  <c r="BG1041" i="7"/>
  <c r="BF1046" i="7"/>
  <c r="M539" i="7"/>
  <c r="M541" i="7" s="1"/>
  <c r="M544" i="7" s="1"/>
  <c r="L541" i="7"/>
  <c r="L544" i="7" s="1"/>
  <c r="L552" i="7" s="1"/>
  <c r="AC622" i="7"/>
  <c r="AD616" i="7"/>
  <c r="AC619" i="7"/>
  <c r="AE498" i="7"/>
  <c r="AE500" i="7"/>
  <c r="N487" i="7"/>
  <c r="AE414" i="7"/>
  <c r="AE406" i="7"/>
  <c r="N476" i="7"/>
  <c r="N468" i="7"/>
  <c r="N470" i="7" s="1"/>
  <c r="AC566" i="7"/>
  <c r="AC607" i="7"/>
  <c r="AF663" i="7"/>
  <c r="AF661" i="7"/>
  <c r="F29" i="17"/>
  <c r="F106" i="17" s="1"/>
  <c r="AO915" i="7"/>
  <c r="H31" i="16" s="1"/>
  <c r="AN916" i="7"/>
  <c r="AN919" i="7"/>
  <c r="AM910" i="7"/>
  <c r="AM913" i="7"/>
  <c r="AN909" i="7"/>
  <c r="AH652" i="7"/>
  <c r="AG649" i="7"/>
  <c r="AG654" i="7"/>
  <c r="AG655" i="7" s="1"/>
  <c r="AJ507" i="7"/>
  <c r="H105" i="17"/>
  <c r="K606" i="7"/>
  <c r="K672" i="7" s="1"/>
  <c r="K670" i="7"/>
  <c r="K671" i="7"/>
  <c r="AF660" i="7"/>
  <c r="AE601" i="7"/>
  <c r="AE764" i="7"/>
  <c r="AE766" i="7"/>
  <c r="AE767" i="7" s="1"/>
  <c r="AE768" i="7" s="1"/>
  <c r="AE771" i="7" s="1"/>
  <c r="AD271" i="7"/>
  <c r="AD605" i="7"/>
  <c r="N507" i="7"/>
  <c r="R482" i="7"/>
  <c r="Q483" i="7"/>
  <c r="L562" i="7"/>
  <c r="L620" i="7"/>
  <c r="BG1074" i="7"/>
  <c r="BH1054" i="7"/>
  <c r="BH1060" i="7" s="1"/>
  <c r="BG1047" i="7"/>
  <c r="BH1041" i="7" s="1"/>
  <c r="AF657" i="7"/>
  <c r="AF650" i="7"/>
  <c r="AF526" i="7" s="1"/>
  <c r="AF662" i="7"/>
  <c r="AF658" i="7"/>
  <c r="BH806" i="7"/>
  <c r="BH807" i="7" s="1"/>
  <c r="BH809" i="7" s="1"/>
  <c r="BI789" i="7"/>
  <c r="Z611" i="7"/>
  <c r="AP939" i="7"/>
  <c r="AP940" i="7" s="1"/>
  <c r="AQ933" i="7"/>
  <c r="V31" i="17"/>
  <c r="AE527" i="7"/>
  <c r="AF524" i="7" s="1"/>
  <c r="U158" i="7"/>
  <c r="U159" i="7"/>
  <c r="V201" i="7"/>
  <c r="U202" i="7"/>
  <c r="BG798" i="7"/>
  <c r="U533" i="7"/>
  <c r="V530" i="7"/>
  <c r="W749" i="7"/>
  <c r="W156" i="7" s="1"/>
  <c r="W746" i="7"/>
  <c r="X745" i="7"/>
  <c r="E73" i="16" s="1"/>
  <c r="AS282" i="7"/>
  <c r="BP992" i="7"/>
  <c r="BQ992" i="7" s="1"/>
  <c r="BO356" i="7"/>
  <c r="BO334" i="7" s="1"/>
  <c r="BN334" i="7"/>
  <c r="BL788" i="7"/>
  <c r="BK805" i="7"/>
  <c r="BJ804" i="7"/>
  <c r="BK787" i="7"/>
  <c r="BK790" i="7"/>
  <c r="BC17" i="13"/>
  <c r="BC986" i="7" s="1"/>
  <c r="BB15" i="12"/>
  <c r="BL646" i="7"/>
  <c r="BI653" i="7"/>
  <c r="BI647" i="7"/>
  <c r="BI666" i="7" s="1"/>
  <c r="BJ645" i="7"/>
  <c r="BH665" i="7"/>
  <c r="AT8" i="1"/>
  <c r="AR49" i="15"/>
  <c r="BM52" i="35"/>
  <c r="BM50" i="35"/>
  <c r="AR48" i="15"/>
  <c r="BN1035" i="7"/>
  <c r="BN1043" i="7" s="1"/>
  <c r="BN819" i="7"/>
  <c r="BN326" i="7"/>
  <c r="BN24" i="7"/>
  <c r="AT56" i="15" s="1"/>
  <c r="AT64" i="15" s="1"/>
  <c r="BT8" i="1"/>
  <c r="AQ10" i="1"/>
  <c r="AQ9" i="1"/>
  <c r="BK36" i="35"/>
  <c r="AQ70" i="15"/>
  <c r="BP70" i="15" s="1"/>
  <c r="BK29" i="35"/>
  <c r="BM11" i="35"/>
  <c r="AS9" i="15"/>
  <c r="AU89" i="15"/>
  <c r="AU90" i="15" s="1"/>
  <c r="BQ5" i="9"/>
  <c r="BO54" i="35"/>
  <c r="BO102" i="7"/>
  <c r="BO244" i="14"/>
  <c r="BO22" i="14" s="1"/>
  <c r="AU55" i="15" s="1"/>
  <c r="AU63" i="15" s="1"/>
  <c r="BO845" i="7"/>
  <c r="BO10" i="9"/>
  <c r="BO9" i="9"/>
  <c r="BM26" i="35"/>
  <c r="AP15" i="15"/>
  <c r="AP11" i="15"/>
  <c r="BN51" i="35"/>
  <c r="BN23" i="35"/>
  <c r="BN25" i="35"/>
  <c r="BN6" i="35"/>
  <c r="BN10" i="35" s="1"/>
  <c r="AT9" i="15" s="1"/>
  <c r="BN39" i="35"/>
  <c r="BN33" i="35"/>
  <c r="BN32" i="35"/>
  <c r="BN19" i="35"/>
  <c r="BN34" i="35"/>
  <c r="AT78" i="15" s="1"/>
  <c r="BN24" i="35"/>
  <c r="BM18" i="35"/>
  <c r="AS35" i="15"/>
  <c r="BM20" i="35"/>
  <c r="AR46" i="15"/>
  <c r="AR54" i="15"/>
  <c r="BL28" i="35"/>
  <c r="AQ9" i="15"/>
  <c r="BK11" i="35"/>
  <c r="AP66" i="15"/>
  <c r="AU18" i="1"/>
  <c r="AP41" i="15"/>
  <c r="BL305" i="14"/>
  <c r="AL946" i="7"/>
  <c r="AM945" i="7"/>
  <c r="I37" i="16" s="1"/>
  <c r="BL255" i="14"/>
  <c r="AL942" i="7"/>
  <c r="AK943" i="7"/>
  <c r="BG83" i="14"/>
  <c r="BG86" i="14" s="1"/>
  <c r="BH82" i="14"/>
  <c r="BG52" i="14"/>
  <c r="AO24" i="1"/>
  <c r="AL98" i="15"/>
  <c r="BK140" i="14"/>
  <c r="BJ168" i="14"/>
  <c r="BJ167" i="14" s="1"/>
  <c r="BF303" i="14"/>
  <c r="AR93" i="15"/>
  <c r="BK1036" i="7"/>
  <c r="BM245" i="14"/>
  <c r="BM315" i="14" s="1"/>
  <c r="BM318" i="14" s="1"/>
  <c r="BM846" i="7"/>
  <c r="AS92" i="15"/>
  <c r="AS93" i="15" s="1"/>
  <c r="BN6" i="9"/>
  <c r="BM55" i="35"/>
  <c r="BM237" i="7"/>
  <c r="BL238" i="7"/>
  <c r="BL1036" i="7"/>
  <c r="AK22" i="1"/>
  <c r="AG87" i="15"/>
  <c r="BG274" i="14"/>
  <c r="BG300" i="14" s="1"/>
  <c r="BH302" i="14"/>
  <c r="AH87" i="15"/>
  <c r="BL246" i="14"/>
  <c r="BB49" i="14"/>
  <c r="AH79" i="15"/>
  <c r="BE303" i="14"/>
  <c r="BE306" i="14" s="1"/>
  <c r="BK201" i="14"/>
  <c r="BJ195" i="14"/>
  <c r="BJ200" i="14"/>
  <c r="BI194" i="14"/>
  <c r="BP356" i="7" l="1"/>
  <c r="AV155" i="13"/>
  <c r="AU156" i="13"/>
  <c r="AV156" i="13" s="1"/>
  <c r="X25" i="18"/>
  <c r="W8" i="48" s="1"/>
  <c r="AR151" i="14"/>
  <c r="AU278" i="7"/>
  <c r="AV277" i="7"/>
  <c r="AV278" i="7" s="1"/>
  <c r="AW277" i="7"/>
  <c r="K675" i="7"/>
  <c r="K676" i="7" s="1"/>
  <c r="AU209" i="14"/>
  <c r="AU63" i="14"/>
  <c r="AV63" i="14" s="1"/>
  <c r="AF471" i="7"/>
  <c r="AF561" i="7" s="1"/>
  <c r="L554" i="7"/>
  <c r="AR22" i="15"/>
  <c r="AR20" i="15"/>
  <c r="BT202" i="14"/>
  <c r="BT208" i="14" s="1"/>
  <c r="AV209" i="14"/>
  <c r="AU210" i="14"/>
  <c r="AU205" i="14"/>
  <c r="AV205" i="14" s="1"/>
  <c r="AU216" i="14"/>
  <c r="AU218" i="14" s="1"/>
  <c r="U501" i="7"/>
  <c r="U509" i="7"/>
  <c r="U597" i="7"/>
  <c r="U565" i="7" s="1"/>
  <c r="U596" i="7"/>
  <c r="U564" i="7" s="1"/>
  <c r="U605" i="7" s="1"/>
  <c r="T606" i="7"/>
  <c r="T672" i="7" s="1"/>
  <c r="T670" i="7"/>
  <c r="T671" i="7"/>
  <c r="U413" i="7"/>
  <c r="V408" i="7"/>
  <c r="AF527" i="7"/>
  <c r="U772" i="7"/>
  <c r="U773" i="7" s="1"/>
  <c r="U154" i="7"/>
  <c r="U155" i="7" s="1"/>
  <c r="U157" i="7" s="1"/>
  <c r="V467" i="7"/>
  <c r="W467" i="7" s="1"/>
  <c r="V412" i="7"/>
  <c r="W392" i="7"/>
  <c r="V465" i="7"/>
  <c r="W390" i="7"/>
  <c r="V394" i="7"/>
  <c r="V396" i="7" s="1"/>
  <c r="V409" i="7"/>
  <c r="AW6" i="1"/>
  <c r="AR23" i="15"/>
  <c r="AR17" i="15"/>
  <c r="AR43" i="15"/>
  <c r="AR30" i="15"/>
  <c r="AW7" i="1" s="1"/>
  <c r="BH811" i="7"/>
  <c r="BH810" i="7"/>
  <c r="BH812" i="7"/>
  <c r="BI665" i="7"/>
  <c r="AV192" i="14"/>
  <c r="AV204" i="14"/>
  <c r="AV216" i="14" s="1"/>
  <c r="AV218" i="14" s="1"/>
  <c r="BM72" i="14"/>
  <c r="BN71" i="14"/>
  <c r="AN95" i="14"/>
  <c r="AM132" i="14"/>
  <c r="AM143" i="14"/>
  <c r="AN131" i="14"/>
  <c r="AO94" i="14"/>
  <c r="AN142" i="14"/>
  <c r="AT184" i="14"/>
  <c r="AT134" i="14"/>
  <c r="AT133" i="14"/>
  <c r="AT99" i="14"/>
  <c r="AT144" i="14"/>
  <c r="AT62" i="14" s="1"/>
  <c r="AT64" i="14" s="1"/>
  <c r="AR17" i="44"/>
  <c r="AR136" i="44"/>
  <c r="AV95" i="14"/>
  <c r="AU132" i="14"/>
  <c r="AU143" i="14"/>
  <c r="AU96" i="14"/>
  <c r="BK78" i="14"/>
  <c r="BJ80" i="14"/>
  <c r="AS149" i="14"/>
  <c r="AS185" i="14"/>
  <c r="AS138" i="44"/>
  <c r="AS100" i="14"/>
  <c r="AS104" i="14"/>
  <c r="BJ131" i="14"/>
  <c r="BQ181" i="14"/>
  <c r="BP181" i="14"/>
  <c r="BJ40" i="35"/>
  <c r="BJ42" i="35"/>
  <c r="BJ43" i="35" s="1"/>
  <c r="BJ37" i="35"/>
  <c r="AL507" i="7"/>
  <c r="Y673" i="7"/>
  <c r="AL412" i="7"/>
  <c r="BN26" i="35"/>
  <c r="AT54" i="15" s="1"/>
  <c r="AT62" i="15" s="1"/>
  <c r="BM255" i="14"/>
  <c r="AG663" i="7"/>
  <c r="AG661" i="7"/>
  <c r="AF408" i="7"/>
  <c r="AE413" i="7"/>
  <c r="AN391" i="7"/>
  <c r="AM466" i="7"/>
  <c r="AM468" i="7" s="1"/>
  <c r="AM412" i="7"/>
  <c r="AM394" i="7"/>
  <c r="AQ859" i="7"/>
  <c r="AQ862" i="7" s="1"/>
  <c r="AQ864" i="7" s="1"/>
  <c r="AQ934" i="7"/>
  <c r="AQ935" i="7" s="1"/>
  <c r="AQ962" i="7"/>
  <c r="AQ963" i="7" s="1"/>
  <c r="AQ965" i="7" s="1"/>
  <c r="AR931" i="7"/>
  <c r="S482" i="7"/>
  <c r="R483" i="7"/>
  <c r="AG658" i="7"/>
  <c r="AG650" i="7"/>
  <c r="AG662" i="7"/>
  <c r="AG657" i="7"/>
  <c r="N488" i="7"/>
  <c r="AE492" i="7"/>
  <c r="AE520" i="7"/>
  <c r="AE608" i="7" s="1"/>
  <c r="AF492" i="7"/>
  <c r="BH797" i="7"/>
  <c r="BH796" i="7"/>
  <c r="BH799" i="7"/>
  <c r="BH800" i="7"/>
  <c r="BI791" i="7"/>
  <c r="BI798" i="7" s="1"/>
  <c r="H106" i="17"/>
  <c r="L566" i="7"/>
  <c r="L607" i="7"/>
  <c r="AG660" i="7"/>
  <c r="AD611" i="7"/>
  <c r="AI652" i="7"/>
  <c r="AH654" i="7"/>
  <c r="AH655" i="7" s="1"/>
  <c r="AH660" i="7" s="1"/>
  <c r="AH649" i="7"/>
  <c r="AE501" i="7"/>
  <c r="AE597" i="7"/>
  <c r="AE565" i="7" s="1"/>
  <c r="AE509" i="7"/>
  <c r="AE596" i="7"/>
  <c r="AE564" i="7" s="1"/>
  <c r="AG397" i="7"/>
  <c r="AF402" i="7"/>
  <c r="N405" i="7"/>
  <c r="N403" i="7"/>
  <c r="N512" i="7"/>
  <c r="C16" i="17"/>
  <c r="X746" i="7"/>
  <c r="Y745" i="7"/>
  <c r="E70" i="16" s="1"/>
  <c r="X749" i="7"/>
  <c r="X156" i="7" s="1"/>
  <c r="X157" i="7" s="1"/>
  <c r="AN913" i="7"/>
  <c r="AN910" i="7"/>
  <c r="AO909" i="7"/>
  <c r="AA200" i="7"/>
  <c r="AT282" i="7"/>
  <c r="AT251" i="7" s="1"/>
  <c r="AD620" i="7"/>
  <c r="AD562" i="7"/>
  <c r="AE618" i="7"/>
  <c r="AU286" i="7"/>
  <c r="V158" i="7"/>
  <c r="W201" i="7"/>
  <c r="V159" i="7"/>
  <c r="V202" i="7"/>
  <c r="L619" i="7"/>
  <c r="M619" i="7" s="1"/>
  <c r="L622" i="7"/>
  <c r="L624" i="7" s="1"/>
  <c r="AE603" i="7"/>
  <c r="M620" i="7"/>
  <c r="M562" i="7"/>
  <c r="M554" i="7"/>
  <c r="N535" i="7"/>
  <c r="N536" i="7" s="1"/>
  <c r="M552" i="7"/>
  <c r="N539" i="7" s="1"/>
  <c r="R535" i="7"/>
  <c r="Z529" i="7"/>
  <c r="Y532" i="7"/>
  <c r="AF617" i="7"/>
  <c r="AG617" i="7" s="1"/>
  <c r="AF537" i="7"/>
  <c r="AF538" i="7" s="1"/>
  <c r="AG526" i="7"/>
  <c r="AG527" i="7" s="1"/>
  <c r="AE538" i="7"/>
  <c r="AC609" i="7"/>
  <c r="AC606" i="7"/>
  <c r="AC672" i="7" s="1"/>
  <c r="AC670" i="7"/>
  <c r="AC671" i="7"/>
  <c r="N477" i="7"/>
  <c r="BI806" i="7"/>
  <c r="BI807" i="7" s="1"/>
  <c r="BI809" i="7" s="1"/>
  <c r="BJ789" i="7"/>
  <c r="M171" i="42"/>
  <c r="W530" i="7"/>
  <c r="V533" i="7"/>
  <c r="BG1046" i="7"/>
  <c r="O463" i="7"/>
  <c r="N561" i="7"/>
  <c r="N497" i="7"/>
  <c r="Z622" i="7"/>
  <c r="AA616" i="7"/>
  <c r="AA619" i="7" s="1"/>
  <c r="AB619" i="7" s="1"/>
  <c r="AA622" i="7"/>
  <c r="AS251" i="7"/>
  <c r="AS283" i="7"/>
  <c r="N618" i="7"/>
  <c r="AE154" i="7"/>
  <c r="AE155" i="7" s="1"/>
  <c r="AE772" i="7"/>
  <c r="AE773" i="7" s="1"/>
  <c r="F30" i="17"/>
  <c r="F107" i="17" s="1"/>
  <c r="AP915" i="7"/>
  <c r="H28" i="16" s="1"/>
  <c r="AO919" i="7"/>
  <c r="AO916" i="7"/>
  <c r="K673" i="7"/>
  <c r="BI1054" i="7"/>
  <c r="BI1060" i="7" s="1"/>
  <c r="BH1074" i="7"/>
  <c r="BH1047" i="7"/>
  <c r="Y675" i="7"/>
  <c r="Y676" i="7" s="1"/>
  <c r="Z566" i="7"/>
  <c r="Z607" i="7"/>
  <c r="BP334" i="7"/>
  <c r="BR992" i="7"/>
  <c r="BQ356" i="7"/>
  <c r="BL790" i="7"/>
  <c r="BL787" i="7"/>
  <c r="BK804" i="7"/>
  <c r="BM788" i="7"/>
  <c r="BL805" i="7"/>
  <c r="BA15" i="12"/>
  <c r="BB17" i="13"/>
  <c r="BB986" i="7" s="1"/>
  <c r="BM646" i="7"/>
  <c r="BJ653" i="7"/>
  <c r="BJ647" i="7"/>
  <c r="BK645" i="7"/>
  <c r="BO819" i="7"/>
  <c r="BP819" i="7" s="1"/>
  <c r="BO1035" i="7"/>
  <c r="BO1043" i="7" s="1"/>
  <c r="BP1043" i="7" s="1"/>
  <c r="AP110" i="15"/>
  <c r="AP124" i="15"/>
  <c r="AP114" i="15"/>
  <c r="AT118" i="15"/>
  <c r="AQ11" i="15"/>
  <c r="AQ28" i="15"/>
  <c r="AQ41" i="15"/>
  <c r="BP9" i="15"/>
  <c r="AQ15" i="15"/>
  <c r="BK42" i="35"/>
  <c r="BK37" i="35"/>
  <c r="AQ102" i="15"/>
  <c r="BK40" i="35"/>
  <c r="AS37" i="15"/>
  <c r="AS28" i="15"/>
  <c r="AS41" i="15"/>
  <c r="BP22" i="14"/>
  <c r="AV55" i="15" s="1"/>
  <c r="AV63" i="15" s="1"/>
  <c r="AR58" i="15"/>
  <c r="AR62" i="15"/>
  <c r="BN50" i="35"/>
  <c r="BN52" i="35"/>
  <c r="BM305" i="14"/>
  <c r="BN11" i="35"/>
  <c r="AP30" i="15"/>
  <c r="AU7" i="1" s="1"/>
  <c r="AP21" i="15"/>
  <c r="AU6" i="1"/>
  <c r="AP17" i="15"/>
  <c r="AP43" i="15"/>
  <c r="AP22" i="15"/>
  <c r="AP20" i="15"/>
  <c r="AP23" i="15"/>
  <c r="BO32" i="35"/>
  <c r="BP32" i="35" s="1"/>
  <c r="BO23" i="35"/>
  <c r="BO6" i="35"/>
  <c r="BO10" i="35" s="1"/>
  <c r="BO34" i="35"/>
  <c r="AU78" i="15" s="1"/>
  <c r="BO33" i="35"/>
  <c r="BP33" i="35" s="1"/>
  <c r="BO51" i="35"/>
  <c r="BO25" i="35"/>
  <c r="BP25" i="35" s="1"/>
  <c r="BO39" i="35"/>
  <c r="AU118" i="15" s="1"/>
  <c r="BO24" i="35"/>
  <c r="BP24" i="35" s="1"/>
  <c r="BO19" i="35"/>
  <c r="AS11" i="15"/>
  <c r="AS15" i="15"/>
  <c r="BO326" i="7"/>
  <c r="BO24" i="7"/>
  <c r="AU56" i="15" s="1"/>
  <c r="AU64" i="15" s="1"/>
  <c r="BP102" i="7"/>
  <c r="AS54" i="15"/>
  <c r="BM28" i="35"/>
  <c r="BN20" i="35"/>
  <c r="BN18" i="35"/>
  <c r="AT35" i="15"/>
  <c r="AT37" i="15" s="1"/>
  <c r="AT47" i="15" s="1"/>
  <c r="BQ845" i="7"/>
  <c r="BQ9" i="9"/>
  <c r="BQ102" i="7"/>
  <c r="BQ10" i="9"/>
  <c r="BQ54" i="35"/>
  <c r="AW89" i="15"/>
  <c r="AW90" i="15" s="1"/>
  <c r="BR5" i="9"/>
  <c r="BQ244" i="14"/>
  <c r="BQ22" i="14" s="1"/>
  <c r="AW55" i="15" s="1"/>
  <c r="AW63" i="15" s="1"/>
  <c r="BL29" i="35"/>
  <c r="BL36" i="35"/>
  <c r="AR70" i="15"/>
  <c r="AT10" i="1"/>
  <c r="AT9" i="1"/>
  <c r="G28" i="17"/>
  <c r="G105" i="17" s="1"/>
  <c r="AM946" i="7"/>
  <c r="AN945" i="7"/>
  <c r="I34" i="16" s="1"/>
  <c r="AL943" i="7"/>
  <c r="AM942" i="7"/>
  <c r="BH52" i="14"/>
  <c r="BH26" i="14" s="1"/>
  <c r="AN96" i="15" s="1"/>
  <c r="AN98" i="15" s="1"/>
  <c r="AS24" i="1" s="1"/>
  <c r="BH83" i="14"/>
  <c r="BH86" i="14" s="1"/>
  <c r="BI82" i="14"/>
  <c r="AQ24" i="1"/>
  <c r="AL97" i="15"/>
  <c r="BI302" i="14"/>
  <c r="BG26" i="14"/>
  <c r="BK142" i="14"/>
  <c r="BL140" i="14"/>
  <c r="BG303" i="14"/>
  <c r="BG306" i="14" s="1"/>
  <c r="BH274" i="14"/>
  <c r="BH300" i="14" s="1"/>
  <c r="AL22" i="1"/>
  <c r="AG86" i="15"/>
  <c r="AT15" i="15"/>
  <c r="AT11" i="15"/>
  <c r="BF306" i="14"/>
  <c r="BE24" i="14"/>
  <c r="BM238" i="7"/>
  <c r="AM22" i="1"/>
  <c r="BB54" i="14"/>
  <c r="BM1036" i="7"/>
  <c r="BN846" i="7"/>
  <c r="BN237" i="7"/>
  <c r="BN55" i="35"/>
  <c r="AT92" i="15"/>
  <c r="AT93" i="15" s="1"/>
  <c r="BN245" i="14"/>
  <c r="BN315" i="14" s="1"/>
  <c r="BN318" i="14" s="1"/>
  <c r="BO6" i="9"/>
  <c r="BM246" i="14"/>
  <c r="BJ194" i="14"/>
  <c r="BL201" i="14"/>
  <c r="BK200" i="14"/>
  <c r="AF470" i="7" l="1"/>
  <c r="AF474" i="7"/>
  <c r="AG474" i="7" s="1"/>
  <c r="AF497" i="7"/>
  <c r="AW289" i="7"/>
  <c r="AX277" i="7"/>
  <c r="AX289" i="7" s="1"/>
  <c r="AX155" i="13" s="1"/>
  <c r="Z25" i="18"/>
  <c r="X22" i="18"/>
  <c r="Z22" i="18" s="1"/>
  <c r="AS151" i="14"/>
  <c r="AC675" i="7"/>
  <c r="AC676" i="7" s="1"/>
  <c r="T675" i="7"/>
  <c r="T676" i="7" s="1"/>
  <c r="AG537" i="7"/>
  <c r="AG538" i="7"/>
  <c r="BU202" i="14"/>
  <c r="BV202" i="14" s="1"/>
  <c r="BV208" i="14" s="1"/>
  <c r="AV210" i="14"/>
  <c r="AV213" i="14" s="1"/>
  <c r="AU213" i="14"/>
  <c r="AU47" i="1"/>
  <c r="AU48" i="1" s="1"/>
  <c r="AU35" i="1" s="1"/>
  <c r="AW8" i="1"/>
  <c r="AW9" i="1" s="1"/>
  <c r="T673" i="7"/>
  <c r="V504" i="7"/>
  <c r="W504" i="7" s="1"/>
  <c r="W409" i="7"/>
  <c r="W394" i="7"/>
  <c r="V468" i="7"/>
  <c r="V470" i="7" s="1"/>
  <c r="W465" i="7"/>
  <c r="W468" i="7" s="1"/>
  <c r="V507" i="7"/>
  <c r="W507" i="7" s="1"/>
  <c r="W412" i="7"/>
  <c r="V413" i="7"/>
  <c r="V503" i="7"/>
  <c r="U508" i="7"/>
  <c r="U559" i="7"/>
  <c r="U560" i="7" s="1"/>
  <c r="BN28" i="35"/>
  <c r="AT70" i="15" s="1"/>
  <c r="BI248" i="20"/>
  <c r="BI280" i="20" s="1"/>
  <c r="AW235" i="14"/>
  <c r="AW204" i="14"/>
  <c r="BJ203" i="20"/>
  <c r="AS17" i="44"/>
  <c r="AS136" i="44"/>
  <c r="AT149" i="14"/>
  <c r="AT100" i="14"/>
  <c r="AT104" i="14"/>
  <c r="BL78" i="14"/>
  <c r="BK80" i="14"/>
  <c r="AT138" i="44"/>
  <c r="AT185" i="14"/>
  <c r="AO131" i="14"/>
  <c r="AP94" i="14"/>
  <c r="AO142" i="14"/>
  <c r="AU184" i="14"/>
  <c r="AV184" i="14" s="1"/>
  <c r="AV185" i="14" s="1"/>
  <c r="AV96" i="14"/>
  <c r="AU99" i="14"/>
  <c r="AU134" i="14"/>
  <c r="AU133" i="14"/>
  <c r="AU144" i="14"/>
  <c r="AU62" i="14" s="1"/>
  <c r="AU64" i="14" s="1"/>
  <c r="AV64" i="14" s="1"/>
  <c r="AN132" i="14"/>
  <c r="AO95" i="14"/>
  <c r="AN143" i="14"/>
  <c r="AV132" i="14"/>
  <c r="AV143" i="14"/>
  <c r="BN72" i="14"/>
  <c r="BO71" i="14"/>
  <c r="AR66" i="44"/>
  <c r="AR68" i="44" s="1"/>
  <c r="AR19" i="44"/>
  <c r="BK131" i="14"/>
  <c r="BR181" i="14"/>
  <c r="BN255" i="14"/>
  <c r="AT58" i="15"/>
  <c r="AT66" i="15" s="1"/>
  <c r="AT28" i="15"/>
  <c r="BP34" i="35"/>
  <c r="AV78" i="15" s="1"/>
  <c r="AT46" i="15"/>
  <c r="AT41" i="15"/>
  <c r="AT48" i="15"/>
  <c r="AT49" i="15"/>
  <c r="H107" i="17"/>
  <c r="AW286" i="7"/>
  <c r="AD607" i="7"/>
  <c r="AD566" i="7"/>
  <c r="N414" i="7"/>
  <c r="N406" i="7"/>
  <c r="N421" i="7"/>
  <c r="N420" i="7"/>
  <c r="O390" i="7"/>
  <c r="O392" i="7"/>
  <c r="O393" i="7"/>
  <c r="X201" i="7"/>
  <c r="W202" i="7"/>
  <c r="AA529" i="7"/>
  <c r="Z532" i="7"/>
  <c r="BK789" i="7"/>
  <c r="BJ806" i="7"/>
  <c r="BJ807" i="7" s="1"/>
  <c r="BJ812" i="7" s="1"/>
  <c r="AT283" i="7"/>
  <c r="BI797" i="7"/>
  <c r="BI799" i="7"/>
  <c r="BJ791" i="7"/>
  <c r="BJ798" i="7" s="1"/>
  <c r="BI800" i="7"/>
  <c r="BI796" i="7"/>
  <c r="AM471" i="7"/>
  <c r="AM470" i="7" s="1"/>
  <c r="AN388" i="7"/>
  <c r="AM402" i="7"/>
  <c r="AB200" i="7"/>
  <c r="AF405" i="7"/>
  <c r="AF403" i="7"/>
  <c r="AM507" i="7"/>
  <c r="AC673" i="7"/>
  <c r="R616" i="7"/>
  <c r="N616" i="7"/>
  <c r="AG402" i="7"/>
  <c r="AH388" i="7"/>
  <c r="AL388" i="7"/>
  <c r="AI654" i="7"/>
  <c r="AI649" i="7"/>
  <c r="AI655" i="7"/>
  <c r="AI660" i="7" s="1"/>
  <c r="AJ652" i="7"/>
  <c r="AF500" i="7"/>
  <c r="AF498" i="7"/>
  <c r="F31" i="17"/>
  <c r="F108" i="17" s="1"/>
  <c r="AP919" i="7"/>
  <c r="AQ915" i="7"/>
  <c r="AP916" i="7"/>
  <c r="T482" i="7"/>
  <c r="S483" i="7"/>
  <c r="N540" i="7"/>
  <c r="N541" i="7" s="1"/>
  <c r="N544" i="7" s="1"/>
  <c r="BI810" i="7"/>
  <c r="Z606" i="7"/>
  <c r="Z672" i="7" s="1"/>
  <c r="Z670" i="7"/>
  <c r="Z671" i="7"/>
  <c r="AF503" i="7"/>
  <c r="AE559" i="7"/>
  <c r="AE560" i="7" s="1"/>
  <c r="AE508" i="7"/>
  <c r="AN466" i="7"/>
  <c r="AN412" i="7"/>
  <c r="AN507" i="7" s="1"/>
  <c r="AO391" i="7"/>
  <c r="BI1074" i="7"/>
  <c r="BJ1054" i="7"/>
  <c r="BJ1060" i="7" s="1"/>
  <c r="BI1047" i="7"/>
  <c r="AH661" i="7"/>
  <c r="AH663" i="7"/>
  <c r="AF601" i="7"/>
  <c r="AF764" i="7"/>
  <c r="AF766" i="7"/>
  <c r="AF767" i="7" s="1"/>
  <c r="AF768" i="7" s="1"/>
  <c r="AF771" i="7" s="1"/>
  <c r="L606" i="7"/>
  <c r="L672" i="7" s="1"/>
  <c r="L670" i="7"/>
  <c r="L671" i="7"/>
  <c r="BI812" i="7"/>
  <c r="W533" i="7"/>
  <c r="X530" i="7"/>
  <c r="M566" i="7"/>
  <c r="M607" i="7"/>
  <c r="AE271" i="7"/>
  <c r="AE605" i="7"/>
  <c r="AG497" i="7"/>
  <c r="AH463" i="7"/>
  <c r="AH468" i="7" s="1"/>
  <c r="AL463" i="7"/>
  <c r="AG561" i="7"/>
  <c r="N500" i="7"/>
  <c r="N498" i="7"/>
  <c r="AL524" i="7"/>
  <c r="AH524" i="7"/>
  <c r="L627" i="7"/>
  <c r="M624" i="7"/>
  <c r="Z745" i="7"/>
  <c r="E67" i="16" s="1"/>
  <c r="C17" i="17"/>
  <c r="Y746" i="7"/>
  <c r="Y749" i="7"/>
  <c r="Y156" i="7" s="1"/>
  <c r="Y157" i="7" s="1"/>
  <c r="AD619" i="7"/>
  <c r="AD622" i="7"/>
  <c r="AE616" i="7"/>
  <c r="BI811" i="7"/>
  <c r="AP909" i="7"/>
  <c r="AO913" i="7"/>
  <c r="AO910" i="7"/>
  <c r="BH1046" i="7"/>
  <c r="BI1041" i="7"/>
  <c r="N601" i="7"/>
  <c r="N764" i="7"/>
  <c r="N766" i="7"/>
  <c r="N767" i="7" s="1"/>
  <c r="N768" i="7" s="1"/>
  <c r="N771" i="7" s="1"/>
  <c r="AH658" i="7"/>
  <c r="AH657" i="7"/>
  <c r="AH650" i="7"/>
  <c r="AH526" i="7" s="1"/>
  <c r="AH662" i="7"/>
  <c r="BQ334" i="7"/>
  <c r="BS992" i="7"/>
  <c r="BR356" i="7"/>
  <c r="BR334" i="7" s="1"/>
  <c r="BN788" i="7"/>
  <c r="BM805" i="7"/>
  <c r="BM790" i="7"/>
  <c r="BM787" i="7"/>
  <c r="BL804" i="7"/>
  <c r="AZ15" i="12"/>
  <c r="BA17" i="13"/>
  <c r="BA986" i="7" s="1"/>
  <c r="BN646" i="7"/>
  <c r="BK647" i="7"/>
  <c r="BK666" i="7" s="1"/>
  <c r="BJ666" i="7"/>
  <c r="BJ665" i="7"/>
  <c r="BL645" i="7"/>
  <c r="BK653" i="7"/>
  <c r="AS62" i="15"/>
  <c r="AS58" i="15"/>
  <c r="AU9" i="15"/>
  <c r="BO11" i="35"/>
  <c r="BM36" i="35"/>
  <c r="AS70" i="15"/>
  <c r="BM29" i="35"/>
  <c r="BO18" i="35"/>
  <c r="BO20" i="35"/>
  <c r="AU35" i="15"/>
  <c r="BP19" i="35"/>
  <c r="BQ25" i="35"/>
  <c r="BQ6" i="35"/>
  <c r="BQ10" i="35" s="1"/>
  <c r="BQ11" i="35" s="1"/>
  <c r="BQ34" i="35"/>
  <c r="AW78" i="15" s="1"/>
  <c r="BB78" i="15" s="1"/>
  <c r="BQ33" i="35"/>
  <c r="BQ23" i="35"/>
  <c r="BQ39" i="35"/>
  <c r="AW118" i="15" s="1"/>
  <c r="BQ24" i="35"/>
  <c r="BQ32" i="35"/>
  <c r="BQ51" i="35"/>
  <c r="BQ19" i="35"/>
  <c r="BO26" i="35"/>
  <c r="BP39" i="35"/>
  <c r="AV118" i="15" s="1"/>
  <c r="BQ326" i="7"/>
  <c r="BQ24" i="7"/>
  <c r="AW56" i="15" s="1"/>
  <c r="AW64" i="15" s="1"/>
  <c r="AW18" i="1"/>
  <c r="AR66" i="15"/>
  <c r="BP24" i="7"/>
  <c r="AV56" i="15" s="1"/>
  <c r="AV64" i="15" s="1"/>
  <c r="BQ1035" i="7"/>
  <c r="BQ1043" i="7" s="1"/>
  <c r="BQ819" i="7"/>
  <c r="BP51" i="35"/>
  <c r="BO50" i="35"/>
  <c r="BO52" i="35"/>
  <c r="BL42" i="35"/>
  <c r="BL37" i="35"/>
  <c r="BL40" i="35"/>
  <c r="AR102" i="15"/>
  <c r="BP6" i="35"/>
  <c r="AV6" i="1"/>
  <c r="AU8" i="1"/>
  <c r="AS47" i="15"/>
  <c r="AS43" i="15"/>
  <c r="AS48" i="15"/>
  <c r="AS30" i="15"/>
  <c r="AX7" i="1" s="1"/>
  <c r="AS49" i="15"/>
  <c r="AS46" i="15"/>
  <c r="BP23" i="35"/>
  <c r="BP26" i="35" s="1"/>
  <c r="AV54" i="15" s="1"/>
  <c r="AQ110" i="15"/>
  <c r="AQ114" i="15"/>
  <c r="AQ124" i="15"/>
  <c r="AQ30" i="15"/>
  <c r="AV7" i="1" s="1"/>
  <c r="BU7" i="1" s="1"/>
  <c r="AQ21" i="15"/>
  <c r="AQ23" i="15"/>
  <c r="BP11" i="15"/>
  <c r="AQ22" i="15"/>
  <c r="AQ43" i="15"/>
  <c r="AQ17" i="15"/>
  <c r="AQ20" i="15"/>
  <c r="BS5" i="9"/>
  <c r="BR10" i="9"/>
  <c r="BR244" i="14"/>
  <c r="BR22" i="14" s="1"/>
  <c r="AX55" i="15" s="1"/>
  <c r="AX63" i="15" s="1"/>
  <c r="BR102" i="7"/>
  <c r="AX89" i="15"/>
  <c r="AX90" i="15" s="1"/>
  <c r="BR845" i="7"/>
  <c r="BR9" i="9"/>
  <c r="BR54" i="35"/>
  <c r="AS21" i="15"/>
  <c r="AS17" i="15"/>
  <c r="AS20" i="15"/>
  <c r="AS23" i="15"/>
  <c r="AX6" i="1"/>
  <c r="AS22" i="15"/>
  <c r="AV47" i="1"/>
  <c r="AV48" i="1" s="1"/>
  <c r="BK43" i="35"/>
  <c r="BP10" i="35"/>
  <c r="G29" i="17"/>
  <c r="G106" i="17" s="1"/>
  <c r="AO945" i="7"/>
  <c r="I31" i="16" s="1"/>
  <c r="AN946" i="7"/>
  <c r="AM943" i="7"/>
  <c r="AN942" i="7"/>
  <c r="AM96" i="15"/>
  <c r="AM98" i="15" s="1"/>
  <c r="BJ82" i="14"/>
  <c r="BI83" i="14"/>
  <c r="BI86" i="14" s="1"/>
  <c r="BI52" i="14"/>
  <c r="BM140" i="14"/>
  <c r="BL168" i="14"/>
  <c r="BL167" i="14" s="1"/>
  <c r="BH303" i="14"/>
  <c r="BH306" i="14" s="1"/>
  <c r="BH24" i="14" s="1"/>
  <c r="BN1036" i="7"/>
  <c r="AT20" i="15"/>
  <c r="AT23" i="15"/>
  <c r="AT22" i="15"/>
  <c r="AT17" i="15"/>
  <c r="AY6" i="1"/>
  <c r="AT43" i="15"/>
  <c r="AT30" i="15"/>
  <c r="AY7" i="1" s="1"/>
  <c r="BI274" i="14"/>
  <c r="BI300" i="14" s="1"/>
  <c r="BO237" i="7"/>
  <c r="AU92" i="15"/>
  <c r="BO245" i="14"/>
  <c r="BO315" i="14" s="1"/>
  <c r="BO318" i="14" s="1"/>
  <c r="BO55" i="35"/>
  <c r="BO846" i="7"/>
  <c r="BQ6" i="9"/>
  <c r="BN305" i="14"/>
  <c r="AK85" i="15"/>
  <c r="BE50" i="14"/>
  <c r="BF24" i="14"/>
  <c r="BG24" i="14"/>
  <c r="BG308" i="14"/>
  <c r="BN246" i="14"/>
  <c r="BN238" i="7"/>
  <c r="AT21" i="15"/>
  <c r="BM201" i="14"/>
  <c r="BL200" i="14"/>
  <c r="BL195" i="14"/>
  <c r="BK194" i="14"/>
  <c r="AW155" i="13" l="1"/>
  <c r="AW156" i="13" s="1"/>
  <c r="W7" i="48"/>
  <c r="AY289" i="7"/>
  <c r="AY155" i="13" s="1"/>
  <c r="W508" i="7"/>
  <c r="X19" i="18"/>
  <c r="W6" i="48" s="1"/>
  <c r="AT151" i="14"/>
  <c r="AW63" i="14"/>
  <c r="AX205" i="14"/>
  <c r="AX63" i="14"/>
  <c r="Z675" i="7"/>
  <c r="Z676" i="7" s="1"/>
  <c r="AW209" i="14"/>
  <c r="AW206" i="14"/>
  <c r="AW10" i="1"/>
  <c r="BW202" i="14"/>
  <c r="BW208" i="14" s="1"/>
  <c r="BL280" i="20"/>
  <c r="AW205" i="14"/>
  <c r="U562" i="7"/>
  <c r="V618" i="7"/>
  <c r="W618" i="7" s="1"/>
  <c r="U620" i="7"/>
  <c r="V508" i="7"/>
  <c r="W471" i="7"/>
  <c r="W396" i="7"/>
  <c r="W413" i="7"/>
  <c r="BN36" i="35"/>
  <c r="BN37" i="35" s="1"/>
  <c r="BN29" i="35"/>
  <c r="L675" i="7"/>
  <c r="L676" i="7" s="1"/>
  <c r="BJ809" i="7"/>
  <c r="BJ811" i="7"/>
  <c r="BJ810" i="7"/>
  <c r="AW236" i="14"/>
  <c r="AW144" i="44"/>
  <c r="BK19" i="20"/>
  <c r="BJ248" i="20"/>
  <c r="BK203" i="20"/>
  <c r="AX192" i="14"/>
  <c r="AX237" i="14" s="1"/>
  <c r="AX238" i="14" s="1"/>
  <c r="AX239" i="14" s="1"/>
  <c r="AX240" i="14" s="1"/>
  <c r="AT17" i="44"/>
  <c r="AT136" i="44"/>
  <c r="BM78" i="14"/>
  <c r="BL80" i="14"/>
  <c r="AP95" i="14"/>
  <c r="AO132" i="14"/>
  <c r="AO143" i="14"/>
  <c r="AU149" i="14"/>
  <c r="AS18" i="14"/>
  <c r="BI202" i="20"/>
  <c r="AU138" i="44"/>
  <c r="AU185" i="14"/>
  <c r="AT18" i="14"/>
  <c r="AW132" i="14"/>
  <c r="AW143" i="14"/>
  <c r="AW96" i="14"/>
  <c r="C17" i="47"/>
  <c r="BM142" i="14"/>
  <c r="BL131" i="14"/>
  <c r="AV99" i="14"/>
  <c r="AV134" i="14"/>
  <c r="AV133" i="14"/>
  <c r="AV144" i="14"/>
  <c r="AV149" i="14" s="1"/>
  <c r="AY18" i="1"/>
  <c r="AP131" i="14"/>
  <c r="AQ94" i="14"/>
  <c r="AP142" i="14"/>
  <c r="AU104" i="14"/>
  <c r="AU100" i="14"/>
  <c r="BL142" i="14"/>
  <c r="BO72" i="14"/>
  <c r="BP71" i="14"/>
  <c r="AS66" i="44"/>
  <c r="AS19" i="44"/>
  <c r="BS181" i="14"/>
  <c r="AW9" i="15"/>
  <c r="BB9" i="15" s="1"/>
  <c r="AX8" i="1"/>
  <c r="AX10" i="1" s="1"/>
  <c r="H108" i="17"/>
  <c r="AE611" i="7"/>
  <c r="AK652" i="7"/>
  <c r="AJ649" i="7"/>
  <c r="AJ654" i="7"/>
  <c r="AJ655" i="7"/>
  <c r="AJ660" i="7" s="1"/>
  <c r="AM561" i="7"/>
  <c r="AM497" i="7"/>
  <c r="AN463" i="7"/>
  <c r="AN468" i="7" s="1"/>
  <c r="O467" i="7"/>
  <c r="O412" i="7"/>
  <c r="AA532" i="7"/>
  <c r="AB529" i="7"/>
  <c r="O465" i="7"/>
  <c r="O409" i="7"/>
  <c r="O394" i="7"/>
  <c r="AM405" i="7"/>
  <c r="AN393" i="7" s="1"/>
  <c r="AN394" i="7" s="1"/>
  <c r="AM403" i="7"/>
  <c r="M627" i="7"/>
  <c r="AI662" i="7"/>
  <c r="AI650" i="7"/>
  <c r="AI526" i="7" s="1"/>
  <c r="AI658" i="7"/>
  <c r="AI657" i="7"/>
  <c r="X158" i="7"/>
  <c r="Y201" i="7"/>
  <c r="Y159" i="7" s="1"/>
  <c r="X159" i="7"/>
  <c r="X202" i="7"/>
  <c r="BJ797" i="7"/>
  <c r="BK791" i="7"/>
  <c r="BJ800" i="7"/>
  <c r="BJ796" i="7"/>
  <c r="BJ799" i="7"/>
  <c r="O408" i="7"/>
  <c r="N413" i="7"/>
  <c r="AF602" i="7"/>
  <c r="AH527" i="7"/>
  <c r="AI524" i="7" s="1"/>
  <c r="AF406" i="7"/>
  <c r="AF414" i="7"/>
  <c r="AF413" i="7" s="1"/>
  <c r="M606" i="7"/>
  <c r="M672" i="7" s="1"/>
  <c r="M670" i="7"/>
  <c r="M671" i="7"/>
  <c r="BI1046" i="7"/>
  <c r="BJ1041" i="7"/>
  <c r="AD609" i="7"/>
  <c r="AD606" i="7"/>
  <c r="AD672" i="7" s="1"/>
  <c r="AD670" i="7"/>
  <c r="AD671" i="7"/>
  <c r="AQ909" i="7"/>
  <c r="AP910" i="7"/>
  <c r="AP913" i="7"/>
  <c r="N596" i="7"/>
  <c r="N564" i="7" s="1"/>
  <c r="N605" i="7" s="1"/>
  <c r="N597" i="7"/>
  <c r="N565" i="7" s="1"/>
  <c r="N509" i="7"/>
  <c r="N501" i="7"/>
  <c r="AG403" i="7"/>
  <c r="AG405" i="7"/>
  <c r="AH393" i="7" s="1"/>
  <c r="AH394" i="7" s="1"/>
  <c r="O535" i="7"/>
  <c r="AF154" i="7"/>
  <c r="AF155" i="7" s="1"/>
  <c r="AF772" i="7"/>
  <c r="AF773" i="7" s="1"/>
  <c r="AR915" i="7"/>
  <c r="H25" i="16" s="1"/>
  <c r="AQ919" i="7"/>
  <c r="AQ916" i="7"/>
  <c r="AO466" i="7"/>
  <c r="AP391" i="7"/>
  <c r="AR391" i="7" s="1"/>
  <c r="AO412" i="7"/>
  <c r="AO507" i="7" s="1"/>
  <c r="AQ391" i="7"/>
  <c r="N772" i="7"/>
  <c r="N773" i="7" s="1"/>
  <c r="N775" i="7" s="1"/>
  <c r="F97" i="16" s="1"/>
  <c r="N154" i="7"/>
  <c r="N155" i="7" s="1"/>
  <c r="N157" i="7" s="1"/>
  <c r="AX286" i="7"/>
  <c r="AC200" i="7"/>
  <c r="X533" i="7"/>
  <c r="Y530" i="7"/>
  <c r="AI663" i="7"/>
  <c r="AI661" i="7"/>
  <c r="AG601" i="7"/>
  <c r="AG764" i="7"/>
  <c r="AG154" i="7" s="1"/>
  <c r="AG155" i="7" s="1"/>
  <c r="AG766" i="7"/>
  <c r="AG767" i="7" s="1"/>
  <c r="AG768" i="7" s="1"/>
  <c r="Z746" i="7"/>
  <c r="C18" i="17"/>
  <c r="Z749" i="7"/>
  <c r="Z156" i="7" s="1"/>
  <c r="Z157" i="7" s="1"/>
  <c r="AA745" i="7"/>
  <c r="E64" i="16" s="1"/>
  <c r="AE562" i="7"/>
  <c r="AF618" i="7"/>
  <c r="AG618" i="7" s="1"/>
  <c r="AE620" i="7"/>
  <c r="AL468" i="7"/>
  <c r="AL503" i="7"/>
  <c r="AL508" i="7" s="1"/>
  <c r="L673" i="7"/>
  <c r="BJ1074" i="7"/>
  <c r="BK1060" i="7"/>
  <c r="BJ1047" i="7"/>
  <c r="AH537" i="7"/>
  <c r="AH617" i="7"/>
  <c r="AF509" i="7"/>
  <c r="AF596" i="7"/>
  <c r="AF564" i="7" s="1"/>
  <c r="AF501" i="7"/>
  <c r="AF597" i="7"/>
  <c r="AF565" i="7" s="1"/>
  <c r="Z673" i="7"/>
  <c r="AG500" i="7"/>
  <c r="AG498" i="7"/>
  <c r="T483" i="7"/>
  <c r="U482" i="7"/>
  <c r="AM618" i="7"/>
  <c r="BK806" i="7"/>
  <c r="BK807" i="7" s="1"/>
  <c r="BK812" i="7" s="1"/>
  <c r="BL789" i="7"/>
  <c r="BT992" i="7"/>
  <c r="BS356" i="7"/>
  <c r="BS334" i="7" s="1"/>
  <c r="BN787" i="7"/>
  <c r="BM804" i="7"/>
  <c r="BN790" i="7"/>
  <c r="BN805" i="7"/>
  <c r="BO788" i="7"/>
  <c r="AZ17" i="13"/>
  <c r="AZ986" i="7" s="1"/>
  <c r="AY15" i="12"/>
  <c r="BK665" i="7"/>
  <c r="BO646" i="7"/>
  <c r="BL647" i="7"/>
  <c r="BL666" i="7" s="1"/>
  <c r="BL653" i="7"/>
  <c r="BM645" i="7"/>
  <c r="AW47" i="1"/>
  <c r="AW48" i="1" s="1"/>
  <c r="AW35" i="1" s="1"/>
  <c r="BL43" i="35"/>
  <c r="AR110" i="15"/>
  <c r="AR114" i="15"/>
  <c r="AR124" i="15"/>
  <c r="BR819" i="7"/>
  <c r="BR1035" i="7"/>
  <c r="BR1043" i="7" s="1"/>
  <c r="AU37" i="15"/>
  <c r="AU41" i="15"/>
  <c r="AU28" i="15"/>
  <c r="BU6" i="1"/>
  <c r="AV8" i="1"/>
  <c r="BP20" i="35"/>
  <c r="BP18" i="35"/>
  <c r="BP28" i="35"/>
  <c r="AV35" i="15"/>
  <c r="BR25" i="35"/>
  <c r="BR6" i="35"/>
  <c r="BR10" i="35" s="1"/>
  <c r="BR39" i="35"/>
  <c r="AX118" i="15" s="1"/>
  <c r="BR24" i="35"/>
  <c r="BR51" i="35"/>
  <c r="BR33" i="35"/>
  <c r="BR34" i="35"/>
  <c r="AX78" i="15" s="1"/>
  <c r="BC78" i="15" s="1"/>
  <c r="BR19" i="35"/>
  <c r="BR23" i="35"/>
  <c r="BR32" i="35"/>
  <c r="AU9" i="1"/>
  <c r="AU10" i="1"/>
  <c r="BT5" i="9"/>
  <c r="BS9" i="9"/>
  <c r="BS10" i="9"/>
  <c r="BS244" i="14"/>
  <c r="BS22" i="14" s="1"/>
  <c r="AY55" i="15" s="1"/>
  <c r="AY63" i="15" s="1"/>
  <c r="BS54" i="35"/>
  <c r="AY89" i="15"/>
  <c r="AY90" i="15" s="1"/>
  <c r="BS845" i="7"/>
  <c r="BS102" i="7"/>
  <c r="BP52" i="35"/>
  <c r="BP50" i="35"/>
  <c r="BP11" i="35"/>
  <c r="AV9" i="15"/>
  <c r="BM40" i="35"/>
  <c r="BM37" i="35"/>
  <c r="AS102" i="15"/>
  <c r="BM42" i="35"/>
  <c r="AV58" i="15"/>
  <c r="AV62" i="15"/>
  <c r="AU54" i="15"/>
  <c r="BO28" i="35"/>
  <c r="BQ18" i="35"/>
  <c r="BQ20" i="35"/>
  <c r="AW35" i="15"/>
  <c r="AW37" i="15" s="1"/>
  <c r="AW47" i="15" s="1"/>
  <c r="AU15" i="15"/>
  <c r="AU11" i="15"/>
  <c r="BR24" i="7"/>
  <c r="AX56" i="15" s="1"/>
  <c r="AX64" i="15" s="1"/>
  <c r="BR326" i="7"/>
  <c r="BQ50" i="35"/>
  <c r="BQ52" i="35"/>
  <c r="AS66" i="15"/>
  <c r="AX18" i="1"/>
  <c r="BQ26" i="35"/>
  <c r="AW54" i="15" s="1"/>
  <c r="G30" i="17"/>
  <c r="G107" i="17" s="1"/>
  <c r="AP945" i="7"/>
  <c r="I28" i="16" s="1"/>
  <c r="AO946" i="7"/>
  <c r="AO942" i="7"/>
  <c r="AN943" i="7"/>
  <c r="BI26" i="14"/>
  <c r="BJ83" i="14"/>
  <c r="BJ86" i="14" s="1"/>
  <c r="BK82" i="14"/>
  <c r="BJ52" i="14"/>
  <c r="BJ26" i="14" s="1"/>
  <c r="AP96" i="15" s="1"/>
  <c r="AP98" i="15" s="1"/>
  <c r="AU24" i="1" s="1"/>
  <c r="AR24" i="1"/>
  <c r="BL302" i="14"/>
  <c r="BM168" i="14"/>
  <c r="BM167" i="14" s="1"/>
  <c r="BN140" i="14"/>
  <c r="BI303" i="14"/>
  <c r="BI306" i="14" s="1"/>
  <c r="BI24" i="14" s="1"/>
  <c r="BP245" i="14"/>
  <c r="BP315" i="14" s="1"/>
  <c r="BP318" i="14" s="1"/>
  <c r="BO246" i="14"/>
  <c r="BO1036" i="7"/>
  <c r="BJ302" i="14"/>
  <c r="BK302" i="14" s="1"/>
  <c r="BP237" i="7"/>
  <c r="BO238" i="7"/>
  <c r="AU93" i="15"/>
  <c r="AV92" i="15"/>
  <c r="AN85" i="15"/>
  <c r="AN87" i="15" s="1"/>
  <c r="AS22" i="1" s="1"/>
  <c r="BH50" i="14"/>
  <c r="AK87" i="15"/>
  <c r="AL85" i="15"/>
  <c r="BJ274" i="14"/>
  <c r="BJ300" i="14" s="1"/>
  <c r="AY8" i="1"/>
  <c r="BQ245" i="14"/>
  <c r="BQ315" i="14" s="1"/>
  <c r="BQ318" i="14" s="1"/>
  <c r="BQ55" i="35"/>
  <c r="BQ237" i="7"/>
  <c r="BQ846" i="7"/>
  <c r="BR6" i="9"/>
  <c r="AW92" i="15"/>
  <c r="BF50" i="14"/>
  <c r="BG23" i="14"/>
  <c r="BO305" i="14"/>
  <c r="BP305" i="14" s="1"/>
  <c r="BG50" i="14"/>
  <c r="AM85" i="15"/>
  <c r="BO255" i="14"/>
  <c r="BP255" i="14" s="1"/>
  <c r="BL194" i="14"/>
  <c r="BM200" i="14"/>
  <c r="BM195" i="14"/>
  <c r="BN201" i="14"/>
  <c r="AY277" i="7" l="1"/>
  <c r="Z19" i="18"/>
  <c r="X16" i="18"/>
  <c r="AU151" i="14"/>
  <c r="AV151" i="14" s="1"/>
  <c r="AW210" i="14"/>
  <c r="AW213" i="14" s="1"/>
  <c r="AX210" i="14"/>
  <c r="AX213" i="14" s="1"/>
  <c r="BX202" i="14"/>
  <c r="BX208" i="14" s="1"/>
  <c r="AS20" i="14"/>
  <c r="AT20" i="14"/>
  <c r="V616" i="7"/>
  <c r="V619" i="7" s="1"/>
  <c r="U622" i="7"/>
  <c r="U619" i="7"/>
  <c r="V622" i="7"/>
  <c r="AS391" i="7"/>
  <c r="AT391" i="7" s="1"/>
  <c r="AU391" i="7" s="1"/>
  <c r="W473" i="7"/>
  <c r="W470" i="7"/>
  <c r="BL665" i="7"/>
  <c r="U607" i="7"/>
  <c r="U566" i="7"/>
  <c r="AT102" i="15"/>
  <c r="AT110" i="15" s="1"/>
  <c r="BN40" i="35"/>
  <c r="BN42" i="35"/>
  <c r="BN43" i="35" s="1"/>
  <c r="AW28" i="15"/>
  <c r="AD675" i="7"/>
  <c r="AD676" i="7" s="1"/>
  <c r="AW15" i="15"/>
  <c r="AW11" i="15"/>
  <c r="AW23" i="15" s="1"/>
  <c r="BR26" i="35"/>
  <c r="AX54" i="15" s="1"/>
  <c r="BC54" i="15" s="1"/>
  <c r="AW41" i="15"/>
  <c r="BB41" i="15" s="1"/>
  <c r="BB35" i="15" s="1"/>
  <c r="W5" i="48"/>
  <c r="BK811" i="7"/>
  <c r="BK809" i="7"/>
  <c r="AW18" i="44"/>
  <c r="AW142" i="44"/>
  <c r="BI247" i="20"/>
  <c r="BI279" i="20" s="1"/>
  <c r="AY204" i="14"/>
  <c r="AZ191" i="14"/>
  <c r="AY238" i="14"/>
  <c r="AY239" i="14" s="1"/>
  <c r="AY240" i="14" s="1"/>
  <c r="AY192" i="14"/>
  <c r="BK248" i="20"/>
  <c r="BJ280" i="20"/>
  <c r="AU17" i="44"/>
  <c r="AV17" i="44" s="1"/>
  <c r="AU136" i="44"/>
  <c r="Y71" i="15"/>
  <c r="AD13" i="1"/>
  <c r="AD19" i="1" s="1"/>
  <c r="Y74" i="15" s="1"/>
  <c r="AV62" i="14"/>
  <c r="AV65" i="14" s="1"/>
  <c r="BJ202" i="20"/>
  <c r="BN142" i="14"/>
  <c r="BM131" i="14"/>
  <c r="AQ131" i="14"/>
  <c r="AQ142" i="14"/>
  <c r="AV100" i="14"/>
  <c r="AV104" i="14"/>
  <c r="AP132" i="14"/>
  <c r="AQ95" i="14"/>
  <c r="AP143" i="14"/>
  <c r="AE13" i="1"/>
  <c r="Z71" i="15"/>
  <c r="BQ71" i="14"/>
  <c r="AW99" i="14"/>
  <c r="AW133" i="14"/>
  <c r="AW134" i="14"/>
  <c r="AW184" i="14"/>
  <c r="AW138" i="44" s="1"/>
  <c r="AW17" i="44" s="1"/>
  <c r="AW144" i="14"/>
  <c r="AW62" i="14" s="1"/>
  <c r="AW64" i="14" s="1"/>
  <c r="BN78" i="14"/>
  <c r="BM80" i="14"/>
  <c r="AS68" i="44"/>
  <c r="AX132" i="14"/>
  <c r="AX143" i="14"/>
  <c r="AX96" i="14"/>
  <c r="AT66" i="44"/>
  <c r="AT68" i="44" s="1"/>
  <c r="E17" i="47" s="1"/>
  <c r="AT19" i="44"/>
  <c r="BT181" i="14"/>
  <c r="BU181" i="14" s="1"/>
  <c r="AW48" i="15"/>
  <c r="AW49" i="15"/>
  <c r="AW46" i="15"/>
  <c r="AX9" i="1"/>
  <c r="BQ28" i="35"/>
  <c r="AW70" i="15" s="1"/>
  <c r="BK52" i="14"/>
  <c r="D8" i="17"/>
  <c r="N776" i="7"/>
  <c r="O476" i="7"/>
  <c r="O468" i="7"/>
  <c r="O507" i="7"/>
  <c r="BK1059" i="7"/>
  <c r="BP1054" i="7"/>
  <c r="BK1074" i="7"/>
  <c r="BL1054" i="7"/>
  <c r="BL1060" i="7" s="1"/>
  <c r="AI388" i="7"/>
  <c r="AH402" i="7"/>
  <c r="AH471" i="7"/>
  <c r="Z201" i="7"/>
  <c r="Y158" i="7"/>
  <c r="Y202" i="7"/>
  <c r="AM500" i="7"/>
  <c r="AM498" i="7"/>
  <c r="AH538" i="7"/>
  <c r="AM764" i="7"/>
  <c r="AM766" i="7"/>
  <c r="AM767" i="7" s="1"/>
  <c r="AM768" i="7" s="1"/>
  <c r="AM771" i="7" s="1"/>
  <c r="AM601" i="7"/>
  <c r="BK810" i="7"/>
  <c r="F32" i="17"/>
  <c r="F109" i="17" s="1"/>
  <c r="H109" i="17" s="1"/>
  <c r="AR919" i="7"/>
  <c r="AR916" i="7"/>
  <c r="AS915" i="7"/>
  <c r="AC529" i="7"/>
  <c r="AB532" i="7"/>
  <c r="AJ663" i="7"/>
  <c r="AJ661" i="7"/>
  <c r="AG602" i="7"/>
  <c r="AH602" i="7" s="1"/>
  <c r="AI602" i="7" s="1"/>
  <c r="V482" i="7"/>
  <c r="U483" i="7"/>
  <c r="M673" i="7"/>
  <c r="AI617" i="7"/>
  <c r="AI537" i="7"/>
  <c r="AI538" i="7" s="1"/>
  <c r="AJ650" i="7"/>
  <c r="AJ526" i="7" s="1"/>
  <c r="AJ658" i="7"/>
  <c r="AJ657" i="7"/>
  <c r="AJ662" i="7"/>
  <c r="BM789" i="7"/>
  <c r="BL806" i="7"/>
  <c r="BL807" i="7" s="1"/>
  <c r="BL809" i="7" s="1"/>
  <c r="O536" i="7"/>
  <c r="AK649" i="7"/>
  <c r="AL652" i="7"/>
  <c r="AK654" i="7"/>
  <c r="AK655" i="7" s="1"/>
  <c r="AK660" i="7" s="1"/>
  <c r="O487" i="7"/>
  <c r="AF508" i="7"/>
  <c r="AF559" i="7"/>
  <c r="AF560" i="7" s="1"/>
  <c r="AR909" i="7"/>
  <c r="AQ913" i="7"/>
  <c r="AQ910" i="7"/>
  <c r="AD673" i="7"/>
  <c r="AE619" i="7"/>
  <c r="AE622" i="7"/>
  <c r="AF616" i="7"/>
  <c r="AB745" i="7"/>
  <c r="AA749" i="7"/>
  <c r="AA156" i="7" s="1"/>
  <c r="AA157" i="7" s="1"/>
  <c r="C19" i="17"/>
  <c r="AA746" i="7"/>
  <c r="AG414" i="7"/>
  <c r="AG406" i="7"/>
  <c r="AI527" i="7"/>
  <c r="AJ524" i="7" s="1"/>
  <c r="AM414" i="7"/>
  <c r="AM406" i="7"/>
  <c r="AN402" i="7"/>
  <c r="AN471" i="7"/>
  <c r="AO388" i="7"/>
  <c r="BK1047" i="7"/>
  <c r="BJ1046" i="7"/>
  <c r="Y533" i="7"/>
  <c r="Z530" i="7"/>
  <c r="AG509" i="7"/>
  <c r="AG597" i="7"/>
  <c r="AG501" i="7"/>
  <c r="AG596" i="7"/>
  <c r="AG564" i="7" s="1"/>
  <c r="BK797" i="7"/>
  <c r="BK796" i="7"/>
  <c r="BK799" i="7"/>
  <c r="BL791" i="7"/>
  <c r="BK800" i="7"/>
  <c r="BK798" i="7"/>
  <c r="AE566" i="7"/>
  <c r="AE607" i="7"/>
  <c r="AY286" i="7"/>
  <c r="N559" i="7"/>
  <c r="N560" i="7" s="1"/>
  <c r="O503" i="7"/>
  <c r="N508" i="7"/>
  <c r="O402" i="7"/>
  <c r="P388" i="7"/>
  <c r="O471" i="7"/>
  <c r="AP466" i="7"/>
  <c r="AQ466" i="7" s="1"/>
  <c r="AQ468" i="7" s="1"/>
  <c r="AP412" i="7"/>
  <c r="M675" i="7"/>
  <c r="M676" i="7" s="1"/>
  <c r="AD200" i="7"/>
  <c r="AF271" i="7"/>
  <c r="AF605" i="7"/>
  <c r="O504" i="7"/>
  <c r="BU992" i="7"/>
  <c r="BV992" i="7" s="1"/>
  <c r="BT356" i="7"/>
  <c r="BO790" i="7"/>
  <c r="BO787" i="7"/>
  <c r="BN804" i="7"/>
  <c r="BP788" i="7"/>
  <c r="BO805" i="7"/>
  <c r="AY17" i="13"/>
  <c r="AY986" i="7" s="1"/>
  <c r="AX15" i="12"/>
  <c r="BP646" i="7"/>
  <c r="BN645" i="7"/>
  <c r="BM653" i="7"/>
  <c r="BM647" i="7"/>
  <c r="BM666" i="7" s="1"/>
  <c r="BM43" i="35"/>
  <c r="AX47" i="1"/>
  <c r="AX48" i="1" s="1"/>
  <c r="AX35" i="1" s="1"/>
  <c r="BU8" i="1"/>
  <c r="AV10" i="1"/>
  <c r="AV9" i="1"/>
  <c r="AU21" i="15"/>
  <c r="AU17" i="15"/>
  <c r="AU23" i="15"/>
  <c r="AZ6" i="1"/>
  <c r="AU22" i="15"/>
  <c r="AU20" i="15"/>
  <c r="BR20" i="35"/>
  <c r="BR18" i="35"/>
  <c r="AX35" i="15"/>
  <c r="BS24" i="7"/>
  <c r="AY56" i="15" s="1"/>
  <c r="AY64" i="15" s="1"/>
  <c r="BS326" i="7"/>
  <c r="BR50" i="35"/>
  <c r="BR52" i="35"/>
  <c r="AU43" i="15"/>
  <c r="AU49" i="15"/>
  <c r="AU30" i="15"/>
  <c r="AZ7" i="1" s="1"/>
  <c r="AU48" i="15"/>
  <c r="AU46" i="15"/>
  <c r="AU47" i="15"/>
  <c r="AV15" i="15"/>
  <c r="BQ9" i="15"/>
  <c r="AV11" i="15"/>
  <c r="BS1035" i="7"/>
  <c r="BS1043" i="7" s="1"/>
  <c r="BS819" i="7"/>
  <c r="AV70" i="15"/>
  <c r="BQ70" i="15" s="1"/>
  <c r="BP36" i="35"/>
  <c r="BP29" i="35"/>
  <c r="AW62" i="15"/>
  <c r="BB54" i="15"/>
  <c r="AW58" i="15"/>
  <c r="BO29" i="35"/>
  <c r="AU70" i="15"/>
  <c r="BO36" i="35"/>
  <c r="BS51" i="35"/>
  <c r="BS34" i="35"/>
  <c r="AY78" i="15" s="1"/>
  <c r="BD78" i="15" s="1"/>
  <c r="BS32" i="35"/>
  <c r="BS23" i="35"/>
  <c r="BS24" i="35"/>
  <c r="BS39" i="35"/>
  <c r="BS25" i="35"/>
  <c r="BS6" i="35"/>
  <c r="BS10" i="35" s="1"/>
  <c r="BS11" i="35" s="1"/>
  <c r="BS19" i="35"/>
  <c r="BS33" i="35"/>
  <c r="BR11" i="35"/>
  <c r="AX9" i="15"/>
  <c r="AV28" i="15"/>
  <c r="AV41" i="15"/>
  <c r="AV37" i="15"/>
  <c r="AU58" i="15"/>
  <c r="AU62" i="15"/>
  <c r="AS124" i="15"/>
  <c r="AS110" i="15"/>
  <c r="AS114" i="15"/>
  <c r="BA18" i="1"/>
  <c r="AV66" i="15"/>
  <c r="BT102" i="7"/>
  <c r="BU102" i="7" s="1"/>
  <c r="BT9" i="9"/>
  <c r="BT10" i="9"/>
  <c r="AZ89" i="15"/>
  <c r="AZ90" i="15" s="1"/>
  <c r="BT244" i="14"/>
  <c r="BT22" i="14" s="1"/>
  <c r="BT54" i="35"/>
  <c r="BT845" i="7"/>
  <c r="BV5" i="9"/>
  <c r="G31" i="17"/>
  <c r="G108" i="17" s="1"/>
  <c r="AP946" i="7"/>
  <c r="AQ945" i="7"/>
  <c r="BQ305" i="14"/>
  <c r="AO943" i="7"/>
  <c r="AP942" i="7"/>
  <c r="BM302" i="14"/>
  <c r="AO96" i="15"/>
  <c r="AO98" i="15" s="1"/>
  <c r="BK26" i="14"/>
  <c r="AQ96" i="15" s="1"/>
  <c r="BL82" i="14"/>
  <c r="BK83" i="14"/>
  <c r="BK86" i="14" s="1"/>
  <c r="BO140" i="14"/>
  <c r="BN168" i="14"/>
  <c r="BN167" i="14" s="1"/>
  <c r="BK300" i="14"/>
  <c r="BJ303" i="14"/>
  <c r="BJ306" i="14" s="1"/>
  <c r="BK306" i="14" s="1"/>
  <c r="AM87" i="15"/>
  <c r="BQ255" i="14"/>
  <c r="BQ238" i="7"/>
  <c r="AW93" i="15"/>
  <c r="BQ246" i="14"/>
  <c r="BP1036" i="7"/>
  <c r="BK274" i="14"/>
  <c r="BS6" i="9"/>
  <c r="BR245" i="14"/>
  <c r="BR315" i="14" s="1"/>
  <c r="BR318" i="14" s="1"/>
  <c r="BR846" i="7"/>
  <c r="BR237" i="7"/>
  <c r="AX92" i="15"/>
  <c r="AX93" i="15" s="1"/>
  <c r="BR55" i="35"/>
  <c r="AY10" i="1"/>
  <c r="AY9" i="1"/>
  <c r="BQ1036" i="7"/>
  <c r="AP22" i="1"/>
  <c r="AL87" i="15"/>
  <c r="BG49" i="14"/>
  <c r="AM79" i="15"/>
  <c r="AO85" i="15"/>
  <c r="AO87" i="15" s="1"/>
  <c r="AT22" i="1" s="1"/>
  <c r="BI50" i="14"/>
  <c r="BB11" i="15"/>
  <c r="BB21" i="15" s="1"/>
  <c r="BN200" i="14"/>
  <c r="BN195" i="14"/>
  <c r="BO201" i="14"/>
  <c r="BM194" i="14"/>
  <c r="BL231" i="14"/>
  <c r="AV391" i="7" l="1"/>
  <c r="AU466" i="7"/>
  <c r="AW391" i="7"/>
  <c r="AY216" i="14"/>
  <c r="AY219" i="14" s="1"/>
  <c r="AY209" i="14"/>
  <c r="BY202" i="14"/>
  <c r="BY208" i="14" s="1"/>
  <c r="AT124" i="15"/>
  <c r="AT114" i="15"/>
  <c r="AW30" i="15"/>
  <c r="BB7" i="1" s="1"/>
  <c r="AW21" i="15"/>
  <c r="AY47" i="1"/>
  <c r="AY48" i="1" s="1"/>
  <c r="AY35" i="1" s="1"/>
  <c r="U671" i="7"/>
  <c r="U670" i="7"/>
  <c r="U606" i="7"/>
  <c r="U672" i="7" s="1"/>
  <c r="AJ527" i="7"/>
  <c r="AK524" i="7" s="1"/>
  <c r="W619" i="7"/>
  <c r="H22" i="16"/>
  <c r="F33" i="17" s="1"/>
  <c r="F110" i="17" s="1"/>
  <c r="H110" i="17" s="1"/>
  <c r="AT915" i="7"/>
  <c r="AW19" i="44"/>
  <c r="AW136" i="44"/>
  <c r="AX58" i="15"/>
  <c r="AX66" i="15" s="1"/>
  <c r="AX62" i="15"/>
  <c r="AW20" i="15"/>
  <c r="AW17" i="15"/>
  <c r="AW22" i="15"/>
  <c r="AW43" i="15"/>
  <c r="BB6" i="1"/>
  <c r="BR28" i="35"/>
  <c r="AX70" i="15" s="1"/>
  <c r="BL811" i="7"/>
  <c r="BL810" i="7"/>
  <c r="BL812" i="7"/>
  <c r="BL279" i="20"/>
  <c r="AW67" i="44"/>
  <c r="BA18" i="44"/>
  <c r="Y73" i="15"/>
  <c r="BK280" i="20"/>
  <c r="AZ192" i="14"/>
  <c r="AZ238" i="14"/>
  <c r="AZ239" i="14" s="1"/>
  <c r="AZ240" i="14" s="1"/>
  <c r="BA191" i="14"/>
  <c r="BB191" i="14" s="1"/>
  <c r="BC191" i="14" s="1"/>
  <c r="BD191" i="14" s="1"/>
  <c r="BE191" i="14" s="1"/>
  <c r="AZ204" i="14"/>
  <c r="AW185" i="14"/>
  <c r="AX133" i="14"/>
  <c r="AX99" i="14"/>
  <c r="AX134" i="14"/>
  <c r="AX184" i="14"/>
  <c r="AX144" i="14"/>
  <c r="AX62" i="14" s="1"/>
  <c r="AX64" i="14" s="1"/>
  <c r="AW104" i="14"/>
  <c r="AW100" i="14"/>
  <c r="BN131" i="14"/>
  <c r="BK202" i="20"/>
  <c r="BJ247" i="20"/>
  <c r="AY132" i="14"/>
  <c r="AY143" i="14"/>
  <c r="AY96" i="14"/>
  <c r="BR71" i="14"/>
  <c r="BQ72" i="14"/>
  <c r="D17" i="47"/>
  <c r="AQ132" i="14"/>
  <c r="AQ143" i="14"/>
  <c r="BO78" i="14"/>
  <c r="BN80" i="14"/>
  <c r="AU66" i="44"/>
  <c r="AU68" i="44" s="1"/>
  <c r="F17" i="47" s="1"/>
  <c r="AU19" i="44"/>
  <c r="AV19" i="44" s="1"/>
  <c r="AW149" i="14"/>
  <c r="AW151" i="14" s="1"/>
  <c r="BV181" i="14"/>
  <c r="BQ29" i="35"/>
  <c r="BQ36" i="35"/>
  <c r="BQ37" i="35" s="1"/>
  <c r="BR305" i="14"/>
  <c r="AN561" i="7"/>
  <c r="AO463" i="7"/>
  <c r="AO468" i="7" s="1"/>
  <c r="AN470" i="7"/>
  <c r="AN497" i="7"/>
  <c r="O488" i="7"/>
  <c r="V483" i="7"/>
  <c r="W482" i="7"/>
  <c r="AA201" i="7"/>
  <c r="Z159" i="7"/>
  <c r="Z158" i="7"/>
  <c r="Z202" i="7"/>
  <c r="AH497" i="7"/>
  <c r="AH470" i="7"/>
  <c r="AH561" i="7"/>
  <c r="AI463" i="7"/>
  <c r="AI468" i="7" s="1"/>
  <c r="AH408" i="7"/>
  <c r="AG413" i="7"/>
  <c r="AL408" i="7"/>
  <c r="AL413" i="7" s="1"/>
  <c r="AH405" i="7"/>
  <c r="AI393" i="7" s="1"/>
  <c r="AI394" i="7" s="1"/>
  <c r="AH403" i="7"/>
  <c r="BL797" i="7"/>
  <c r="BL800" i="7"/>
  <c r="BL799" i="7"/>
  <c r="BM791" i="7"/>
  <c r="BM798" i="7" s="1"/>
  <c r="BL796" i="7"/>
  <c r="BL798" i="7"/>
  <c r="AP507" i="7"/>
  <c r="AQ412" i="7"/>
  <c r="AQ413" i="7" s="1"/>
  <c r="O497" i="7"/>
  <c r="P463" i="7"/>
  <c r="O561" i="7"/>
  <c r="AC745" i="7"/>
  <c r="E61" i="16" s="1"/>
  <c r="AB746" i="7"/>
  <c r="AB749" i="7"/>
  <c r="AB156" i="7" s="1"/>
  <c r="AM652" i="7"/>
  <c r="AL654" i="7"/>
  <c r="AL649" i="7"/>
  <c r="AM413" i="7"/>
  <c r="AN408" i="7"/>
  <c r="O618" i="7"/>
  <c r="O470" i="7"/>
  <c r="AS919" i="7"/>
  <c r="AS916" i="7"/>
  <c r="BN789" i="7"/>
  <c r="BM806" i="7"/>
  <c r="BM807" i="7" s="1"/>
  <c r="BM809" i="7" s="1"/>
  <c r="O405" i="7"/>
  <c r="O403" i="7"/>
  <c r="N620" i="7"/>
  <c r="N562" i="7"/>
  <c r="N554" i="7"/>
  <c r="N552" i="7"/>
  <c r="O539" i="7" s="1"/>
  <c r="AJ617" i="7"/>
  <c r="AJ537" i="7"/>
  <c r="AJ538" i="7" s="1"/>
  <c r="AM154" i="7"/>
  <c r="AM155" i="7" s="1"/>
  <c r="AM772" i="7"/>
  <c r="AM773" i="7" s="1"/>
  <c r="O477" i="7"/>
  <c r="AT466" i="7"/>
  <c r="AR466" i="7"/>
  <c r="AR394" i="7"/>
  <c r="AR412" i="7"/>
  <c r="BP1041" i="7"/>
  <c r="BL1041" i="7"/>
  <c r="BK1046" i="7"/>
  <c r="AN403" i="7"/>
  <c r="AN405" i="7"/>
  <c r="AO393" i="7" s="1"/>
  <c r="AO394" i="7" s="1"/>
  <c r="AK663" i="7"/>
  <c r="AK661" i="7"/>
  <c r="AE200" i="7"/>
  <c r="BL1074" i="7"/>
  <c r="BM1054" i="7"/>
  <c r="BM1060" i="7" s="1"/>
  <c r="BL1047" i="7"/>
  <c r="BM1041" i="7" s="1"/>
  <c r="AG565" i="7"/>
  <c r="AH519" i="7"/>
  <c r="AG559" i="7"/>
  <c r="AG560" i="7" s="1"/>
  <c r="AG508" i="7"/>
  <c r="AH503" i="7"/>
  <c r="AR910" i="7"/>
  <c r="AR913" i="7"/>
  <c r="AS909" i="7"/>
  <c r="AT909" i="7" s="1"/>
  <c r="AF611" i="7"/>
  <c r="AK657" i="7"/>
  <c r="AK650" i="7"/>
  <c r="AK526" i="7" s="1"/>
  <c r="AK662" i="7"/>
  <c r="AK658" i="7"/>
  <c r="AC532" i="7"/>
  <c r="AD529" i="7"/>
  <c r="AG605" i="7"/>
  <c r="AG271" i="7"/>
  <c r="O511" i="7"/>
  <c r="BA277" i="7"/>
  <c r="BB277" i="7" s="1"/>
  <c r="AZ139" i="7"/>
  <c r="AZ76" i="7" s="1"/>
  <c r="AZ286" i="7"/>
  <c r="AF562" i="7"/>
  <c r="AF620" i="7"/>
  <c r="Z533" i="7"/>
  <c r="AA530" i="7"/>
  <c r="AE606" i="7"/>
  <c r="AE672" i="7" s="1"/>
  <c r="AE609" i="7"/>
  <c r="AE670" i="7"/>
  <c r="AE671" i="7"/>
  <c r="AM509" i="7"/>
  <c r="AM501" i="7"/>
  <c r="AM596" i="7"/>
  <c r="AM564" i="7" s="1"/>
  <c r="AM597" i="7"/>
  <c r="AM565" i="7" s="1"/>
  <c r="BT334" i="7"/>
  <c r="BU334" i="7" s="1"/>
  <c r="BU356" i="7"/>
  <c r="BV356" i="7"/>
  <c r="BW992" i="7"/>
  <c r="BP805" i="7"/>
  <c r="BQ788" i="7"/>
  <c r="BP790" i="7"/>
  <c r="BO804" i="7"/>
  <c r="BP787" i="7"/>
  <c r="AX17" i="13"/>
  <c r="AX986" i="7" s="1"/>
  <c r="AW15" i="12"/>
  <c r="BQ646" i="7"/>
  <c r="BN647" i="7"/>
  <c r="BN666" i="7" s="1"/>
  <c r="BN653" i="7"/>
  <c r="BO645" i="7"/>
  <c r="BM665" i="7"/>
  <c r="BB18" i="1"/>
  <c r="AW66" i="15"/>
  <c r="BT326" i="7"/>
  <c r="BT409" i="7"/>
  <c r="BT372" i="7" s="1"/>
  <c r="BT410" i="7"/>
  <c r="BT412" i="7"/>
  <c r="BT379" i="7" s="1"/>
  <c r="BT313" i="7" s="1"/>
  <c r="BT24" i="7"/>
  <c r="AY118" i="15"/>
  <c r="AZ8" i="1"/>
  <c r="BA6" i="1"/>
  <c r="BS26" i="35"/>
  <c r="AY54" i="15" s="1"/>
  <c r="BV244" i="14"/>
  <c r="BV22" i="14" s="1"/>
  <c r="BB55" i="15" s="1"/>
  <c r="BB63" i="15" s="1"/>
  <c r="BV845" i="7"/>
  <c r="BV10" i="9"/>
  <c r="BW5" i="9"/>
  <c r="BV102" i="7"/>
  <c r="BB89" i="15"/>
  <c r="BB90" i="15" s="1"/>
  <c r="BV9" i="9"/>
  <c r="BT33" i="35"/>
  <c r="BU33" i="35" s="1"/>
  <c r="BT24" i="35"/>
  <c r="BU24" i="35" s="1"/>
  <c r="BT34" i="35"/>
  <c r="BT51" i="35"/>
  <c r="BT39" i="35"/>
  <c r="AZ118" i="15" s="1"/>
  <c r="BT19" i="35"/>
  <c r="BT25" i="35"/>
  <c r="BU25" i="35" s="1"/>
  <c r="BT6" i="35"/>
  <c r="BT10" i="35" s="1"/>
  <c r="BU10" i="35" s="1"/>
  <c r="BT23" i="35"/>
  <c r="BT32" i="35"/>
  <c r="BU32" i="35" s="1"/>
  <c r="AV20" i="15"/>
  <c r="AV17" i="15"/>
  <c r="BQ11" i="15"/>
  <c r="AV22" i="15"/>
  <c r="AV23" i="15"/>
  <c r="BS20" i="35"/>
  <c r="BS18" i="35"/>
  <c r="AY35" i="15"/>
  <c r="AY9" i="15"/>
  <c r="AY15" i="15" s="1"/>
  <c r="AU102" i="15"/>
  <c r="BO42" i="35"/>
  <c r="BO40" i="35"/>
  <c r="BO37" i="35"/>
  <c r="AZ55" i="15"/>
  <c r="AZ63" i="15" s="1"/>
  <c r="BU22" i="14"/>
  <c r="BA55" i="15" s="1"/>
  <c r="BA63" i="15" s="1"/>
  <c r="AU66" i="15"/>
  <c r="AZ18" i="1"/>
  <c r="AV46" i="15"/>
  <c r="AV30" i="15"/>
  <c r="BA7" i="1" s="1"/>
  <c r="BV7" i="1" s="1"/>
  <c r="AV43" i="15"/>
  <c r="AV49" i="15"/>
  <c r="AV48" i="15"/>
  <c r="BS52" i="35"/>
  <c r="BS50" i="35"/>
  <c r="BT1035" i="7"/>
  <c r="BT1043" i="7" s="1"/>
  <c r="BU1043" i="7" s="1"/>
  <c r="BT819" i="7"/>
  <c r="BU819" i="7" s="1"/>
  <c r="BC9" i="15"/>
  <c r="BC11" i="15" s="1"/>
  <c r="BC21" i="15" s="1"/>
  <c r="AX15" i="15"/>
  <c r="AX11" i="15"/>
  <c r="AX28" i="15"/>
  <c r="AX41" i="15"/>
  <c r="BC41" i="15" s="1"/>
  <c r="AX37" i="15"/>
  <c r="BP40" i="35"/>
  <c r="BP42" i="35"/>
  <c r="AV102" i="15"/>
  <c r="BP37" i="35"/>
  <c r="AV47" i="15"/>
  <c r="AV21" i="15"/>
  <c r="AQ942" i="7"/>
  <c r="AP943" i="7"/>
  <c r="AQ946" i="7"/>
  <c r="BL83" i="14"/>
  <c r="BL86" i="14" s="1"/>
  <c r="BM82" i="14"/>
  <c r="BL52" i="14"/>
  <c r="BJ24" i="14"/>
  <c r="AP85" i="15" s="1"/>
  <c r="AP87" i="15" s="1"/>
  <c r="AU22" i="1" s="1"/>
  <c r="AT24" i="1"/>
  <c r="AQ98" i="15"/>
  <c r="BO168" i="14"/>
  <c r="BO167" i="14" s="1"/>
  <c r="BP140" i="14"/>
  <c r="BR1036" i="7"/>
  <c r="BR246" i="14"/>
  <c r="BT6" i="9"/>
  <c r="AY92" i="15"/>
  <c r="AY93" i="15" s="1"/>
  <c r="BS245" i="14"/>
  <c r="BS315" i="14" s="1"/>
  <c r="BS318" i="14" s="1"/>
  <c r="BS55" i="35"/>
  <c r="BS237" i="7"/>
  <c r="BS846" i="7"/>
  <c r="BG54" i="14"/>
  <c r="BL274" i="14"/>
  <c r="BL300" i="14" s="1"/>
  <c r="AQ22" i="1"/>
  <c r="AL86" i="15"/>
  <c r="AR22" i="1"/>
  <c r="BL308" i="14"/>
  <c r="BR238" i="7"/>
  <c r="BR255" i="14"/>
  <c r="BK303" i="14"/>
  <c r="BB23" i="15"/>
  <c r="BB20" i="15"/>
  <c r="BG6" i="1"/>
  <c r="BB22" i="15"/>
  <c r="BB17" i="15"/>
  <c r="BB28" i="15"/>
  <c r="BB37" i="15"/>
  <c r="BB47" i="15" s="1"/>
  <c r="BB70" i="15"/>
  <c r="BN302" i="14"/>
  <c r="BN194" i="14"/>
  <c r="BO195" i="14"/>
  <c r="BP201" i="14"/>
  <c r="BO200" i="14"/>
  <c r="AK527" i="7" l="1"/>
  <c r="AW466" i="7"/>
  <c r="AX391" i="7"/>
  <c r="AZ216" i="14"/>
  <c r="AZ219" i="14" s="1"/>
  <c r="AZ209" i="14"/>
  <c r="Y7" i="18"/>
  <c r="AR507" i="7"/>
  <c r="AR618" i="7" s="1"/>
  <c r="AR468" i="7"/>
  <c r="BZ202" i="14"/>
  <c r="BB8" i="1"/>
  <c r="BB9" i="1" s="1"/>
  <c r="BA240" i="14"/>
  <c r="BN665" i="7"/>
  <c r="BC18" i="1"/>
  <c r="H19" i="16"/>
  <c r="F34" i="17" s="1"/>
  <c r="F111" i="17" s="1"/>
  <c r="AT919" i="7"/>
  <c r="AT916" i="7"/>
  <c r="U673" i="7"/>
  <c r="AT913" i="7"/>
  <c r="AT910" i="7"/>
  <c r="U675" i="7"/>
  <c r="U676" i="7" s="1"/>
  <c r="AX185" i="14"/>
  <c r="AX138" i="44"/>
  <c r="AW66" i="44"/>
  <c r="AW68" i="44" s="1"/>
  <c r="BR36" i="35"/>
  <c r="BR29" i="35"/>
  <c r="BQ42" i="35"/>
  <c r="BQ43" i="35" s="1"/>
  <c r="AW102" i="15"/>
  <c r="AW114" i="15" s="1"/>
  <c r="BQ40" i="35"/>
  <c r="X13" i="18"/>
  <c r="W4" i="48" s="1"/>
  <c r="BA67" i="44"/>
  <c r="BM279" i="20"/>
  <c r="BA204" i="14"/>
  <c r="BA238" i="14"/>
  <c r="BA192" i="14"/>
  <c r="BA239" i="14"/>
  <c r="AV68" i="44"/>
  <c r="G17" i="47"/>
  <c r="BS71" i="14"/>
  <c r="BR72" i="14"/>
  <c r="BO131" i="14"/>
  <c r="AU18" i="14"/>
  <c r="AU28" i="14" s="1"/>
  <c r="AV18" i="14"/>
  <c r="AY134" i="14"/>
  <c r="AY184" i="14"/>
  <c r="AY133" i="14"/>
  <c r="AY99" i="14"/>
  <c r="AY144" i="14"/>
  <c r="BA95" i="14"/>
  <c r="AZ132" i="14"/>
  <c r="AZ143" i="14"/>
  <c r="AZ96" i="14"/>
  <c r="AX149" i="14"/>
  <c r="BK247" i="20"/>
  <c r="BJ279" i="20"/>
  <c r="AX100" i="14"/>
  <c r="AX104" i="14"/>
  <c r="AV66" i="44"/>
  <c r="BK18" i="20"/>
  <c r="BK34" i="20" s="1"/>
  <c r="J16" i="18"/>
  <c r="BP78" i="14"/>
  <c r="BO80" i="14"/>
  <c r="BO142" i="14"/>
  <c r="BW181" i="14"/>
  <c r="AE675" i="7"/>
  <c r="AE676" i="7" s="1"/>
  <c r="BC22" i="15"/>
  <c r="BC23" i="15"/>
  <c r="BC20" i="15"/>
  <c r="BC17" i="15"/>
  <c r="BH6" i="1"/>
  <c r="O540" i="7"/>
  <c r="O541" i="7" s="1"/>
  <c r="O544" i="7" s="1"/>
  <c r="BD9" i="15"/>
  <c r="BD11" i="15" s="1"/>
  <c r="BD21" i="15" s="1"/>
  <c r="BU39" i="35"/>
  <c r="BA118" i="15" s="1"/>
  <c r="BL1046" i="7"/>
  <c r="AY28" i="15"/>
  <c r="N607" i="7"/>
  <c r="N566" i="7"/>
  <c r="O616" i="7"/>
  <c r="N622" i="7"/>
  <c r="N624" i="7" s="1"/>
  <c r="N619" i="7"/>
  <c r="AH766" i="7"/>
  <c r="AH767" i="7" s="1"/>
  <c r="AH768" i="7" s="1"/>
  <c r="AH771" i="7" s="1"/>
  <c r="AH601" i="7"/>
  <c r="AH603" i="7" s="1"/>
  <c r="AH764" i="7"/>
  <c r="BM810" i="7"/>
  <c r="BC277" i="7"/>
  <c r="BB286" i="7"/>
  <c r="BB139" i="7"/>
  <c r="C20" i="17"/>
  <c r="AC749" i="7"/>
  <c r="AC156" i="7" s="1"/>
  <c r="AC157" i="7" s="1"/>
  <c r="AD745" i="7"/>
  <c r="E58" i="16" s="1"/>
  <c r="AC746" i="7"/>
  <c r="BM811" i="7"/>
  <c r="BO789" i="7"/>
  <c r="BN806" i="7"/>
  <c r="BN807" i="7" s="1"/>
  <c r="BN809" i="7" s="1"/>
  <c r="O601" i="7"/>
  <c r="O764" i="7"/>
  <c r="O766" i="7"/>
  <c r="O767" i="7" s="1"/>
  <c r="O768" i="7" s="1"/>
  <c r="O771" i="7" s="1"/>
  <c r="AH500" i="7"/>
  <c r="AH498" i="7"/>
  <c r="AM605" i="7"/>
  <c r="AM611" i="7" s="1"/>
  <c r="AM271" i="7"/>
  <c r="AG611" i="7"/>
  <c r="AS466" i="7"/>
  <c r="AV466" i="7" s="1"/>
  <c r="AS412" i="7"/>
  <c r="AS507" i="7" s="1"/>
  <c r="AQ507" i="7"/>
  <c r="AQ508" i="7" s="1"/>
  <c r="AA158" i="7"/>
  <c r="AB201" i="7"/>
  <c r="AA159" i="7"/>
  <c r="AA202" i="7"/>
  <c r="AA204" i="7" s="1"/>
  <c r="P393" i="7"/>
  <c r="P392" i="7"/>
  <c r="P390" i="7"/>
  <c r="AS913" i="7"/>
  <c r="AS910" i="7"/>
  <c r="AH492" i="7"/>
  <c r="AH520" i="7"/>
  <c r="AH608" i="7" s="1"/>
  <c r="BM797" i="7"/>
  <c r="BM799" i="7"/>
  <c r="BM796" i="7"/>
  <c r="BN791" i="7"/>
  <c r="BM800" i="7"/>
  <c r="AF607" i="7"/>
  <c r="AF566" i="7"/>
  <c r="AE529" i="7"/>
  <c r="AD532" i="7"/>
  <c r="AM649" i="7"/>
  <c r="AN652" i="7"/>
  <c r="AM654" i="7"/>
  <c r="AN500" i="7"/>
  <c r="AN498" i="7"/>
  <c r="BM812" i="7"/>
  <c r="AN503" i="7"/>
  <c r="AM559" i="7"/>
  <c r="AM560" i="7" s="1"/>
  <c r="AM620" i="7" s="1"/>
  <c r="AM508" i="7"/>
  <c r="AE673" i="7"/>
  <c r="AL657" i="7"/>
  <c r="AL650" i="7"/>
  <c r="AL658" i="7"/>
  <c r="O512" i="7"/>
  <c r="AF200" i="7"/>
  <c r="AK537" i="7"/>
  <c r="AK538" i="7" s="1"/>
  <c r="AL538" i="7" s="1"/>
  <c r="AK617" i="7"/>
  <c r="AL617" i="7" s="1"/>
  <c r="AB530" i="7"/>
  <c r="AA533" i="7"/>
  <c r="AI471" i="7"/>
  <c r="AI402" i="7"/>
  <c r="AJ388" i="7"/>
  <c r="O421" i="7"/>
  <c r="O406" i="7"/>
  <c r="O414" i="7"/>
  <c r="O420" i="7"/>
  <c r="AG562" i="7"/>
  <c r="AH618" i="7"/>
  <c r="AG620" i="7"/>
  <c r="AS388" i="7"/>
  <c r="AR471" i="7"/>
  <c r="AR402" i="7"/>
  <c r="X482" i="7"/>
  <c r="W483" i="7"/>
  <c r="AL526" i="7"/>
  <c r="AL527" i="7" s="1"/>
  <c r="AN414" i="7"/>
  <c r="AN406" i="7"/>
  <c r="AH414" i="7"/>
  <c r="AH406" i="7"/>
  <c r="AN601" i="7"/>
  <c r="AN766" i="7"/>
  <c r="AN767" i="7" s="1"/>
  <c r="AN768" i="7" s="1"/>
  <c r="AN771" i="7" s="1"/>
  <c r="AN764" i="7"/>
  <c r="O500" i="7"/>
  <c r="O498" i="7"/>
  <c r="BN1054" i="7"/>
  <c r="BN1060" i="7" s="1"/>
  <c r="BM1074" i="7"/>
  <c r="BM1047" i="7"/>
  <c r="AO402" i="7"/>
  <c r="AP388" i="7"/>
  <c r="AO471" i="7"/>
  <c r="AF619" i="7"/>
  <c r="AG619" i="7" s="1"/>
  <c r="AF622" i="7"/>
  <c r="AL655" i="7"/>
  <c r="AL662" i="7" s="1"/>
  <c r="BX992" i="7"/>
  <c r="BW356" i="7"/>
  <c r="BW334" i="7" s="1"/>
  <c r="BV334" i="7"/>
  <c r="BQ787" i="7"/>
  <c r="BP804" i="7"/>
  <c r="BQ790" i="7"/>
  <c r="BR788" i="7"/>
  <c r="BQ805" i="7"/>
  <c r="AW17" i="13"/>
  <c r="AW986" i="7" s="1"/>
  <c r="AV15" i="12"/>
  <c r="BR646" i="7"/>
  <c r="BP645" i="7"/>
  <c r="BO653" i="7"/>
  <c r="BO647" i="7"/>
  <c r="BO665" i="7" s="1"/>
  <c r="BU11" i="35"/>
  <c r="BA9" i="15"/>
  <c r="BA11" i="15" s="1"/>
  <c r="BA21" i="15" s="1"/>
  <c r="AZ47" i="1"/>
  <c r="AZ48" i="1" s="1"/>
  <c r="AZ35" i="1" s="1"/>
  <c r="BO43" i="35"/>
  <c r="BT26" i="35"/>
  <c r="AZ54" i="15" s="1"/>
  <c r="BU23" i="35"/>
  <c r="BU26" i="35" s="1"/>
  <c r="BA54" i="15" s="1"/>
  <c r="BV6" i="1"/>
  <c r="BA8" i="1"/>
  <c r="AZ35" i="15"/>
  <c r="BT20" i="35"/>
  <c r="BT18" i="35"/>
  <c r="AY11" i="15"/>
  <c r="AY17" i="15" s="1"/>
  <c r="AV110" i="15"/>
  <c r="AV114" i="15"/>
  <c r="AV124" i="15"/>
  <c r="BU51" i="35"/>
  <c r="BT50" i="35"/>
  <c r="BT52" i="35"/>
  <c r="AX47" i="15"/>
  <c r="AX43" i="15"/>
  <c r="AX48" i="15"/>
  <c r="AX46" i="15"/>
  <c r="AX30" i="15"/>
  <c r="BC7" i="1" s="1"/>
  <c r="AX49" i="15"/>
  <c r="BC35" i="15"/>
  <c r="BV24" i="7"/>
  <c r="BB56" i="15" s="1"/>
  <c r="BB64" i="15" s="1"/>
  <c r="BV326" i="7"/>
  <c r="BT375" i="7"/>
  <c r="AZ56" i="15"/>
  <c r="AZ64" i="15" s="1"/>
  <c r="BU24" i="7"/>
  <c r="BA56" i="15" s="1"/>
  <c r="BA64" i="15" s="1"/>
  <c r="BW10" i="9"/>
  <c r="BX5" i="9"/>
  <c r="BW9" i="9"/>
  <c r="BW845" i="7"/>
  <c r="BC89" i="15"/>
  <c r="BC90" i="15" s="1"/>
  <c r="BW102" i="7"/>
  <c r="BW244" i="14"/>
  <c r="BW22" i="14" s="1"/>
  <c r="BC55" i="15" s="1"/>
  <c r="AZ9" i="1"/>
  <c r="AZ10" i="1"/>
  <c r="BP43" i="35"/>
  <c r="BA47" i="1"/>
  <c r="BA48" i="1" s="1"/>
  <c r="AX21" i="15"/>
  <c r="BC6" i="1"/>
  <c r="AX22" i="15"/>
  <c r="AX17" i="15"/>
  <c r="AX23" i="15"/>
  <c r="AX20" i="15"/>
  <c r="BV1035" i="7"/>
  <c r="BV1043" i="7" s="1"/>
  <c r="BV819" i="7"/>
  <c r="AU114" i="15"/>
  <c r="AU124" i="15"/>
  <c r="AU110" i="15"/>
  <c r="AY41" i="15"/>
  <c r="BD41" i="15" s="1"/>
  <c r="AY37" i="15"/>
  <c r="AY58" i="15"/>
  <c r="BD54" i="15"/>
  <c r="AY62" i="15"/>
  <c r="BU6" i="35"/>
  <c r="AZ9" i="15"/>
  <c r="BT11" i="35"/>
  <c r="AZ78" i="15"/>
  <c r="BE78" i="15" s="1"/>
  <c r="BF78" i="15" s="1"/>
  <c r="BU34" i="35"/>
  <c r="BA78" i="15" s="1"/>
  <c r="BS28" i="35"/>
  <c r="BU19" i="35"/>
  <c r="AQ943" i="7"/>
  <c r="BK24" i="14"/>
  <c r="BJ50" i="14"/>
  <c r="BK50" i="14" s="1"/>
  <c r="BL26" i="14"/>
  <c r="AV24" i="1"/>
  <c r="AQ97" i="15"/>
  <c r="BN82" i="14"/>
  <c r="BM52" i="14"/>
  <c r="BM26" i="14" s="1"/>
  <c r="AS96" i="15" s="1"/>
  <c r="AS98" i="15" s="1"/>
  <c r="AX24" i="1" s="1"/>
  <c r="BM83" i="14"/>
  <c r="BM86" i="14" s="1"/>
  <c r="AQ87" i="15"/>
  <c r="BQ140" i="14"/>
  <c r="BL303" i="14"/>
  <c r="BL306" i="14" s="1"/>
  <c r="AQ85" i="15"/>
  <c r="BS246" i="14"/>
  <c r="BL23" i="14"/>
  <c r="BS305" i="14"/>
  <c r="BB48" i="15"/>
  <c r="BB49" i="15"/>
  <c r="BB30" i="15"/>
  <c r="BG7" i="1" s="1"/>
  <c r="BG8" i="1" s="1"/>
  <c r="BB43" i="15"/>
  <c r="BB46" i="15"/>
  <c r="BT55" i="35"/>
  <c r="BT846" i="7"/>
  <c r="BT237" i="7"/>
  <c r="BV6" i="9"/>
  <c r="BT245" i="14"/>
  <c r="BT315" i="14" s="1"/>
  <c r="BT318" i="14" s="1"/>
  <c r="AZ92" i="15"/>
  <c r="BS255" i="14"/>
  <c r="BM274" i="14"/>
  <c r="BM300" i="14" s="1"/>
  <c r="BS1036" i="7"/>
  <c r="BS211" i="7"/>
  <c r="BS238" i="7"/>
  <c r="BS212" i="7"/>
  <c r="BO194" i="14"/>
  <c r="BQ201" i="14"/>
  <c r="BP200" i="14"/>
  <c r="AX466" i="7" l="1"/>
  <c r="AY391" i="7"/>
  <c r="AY466" i="7" s="1"/>
  <c r="E17" i="56"/>
  <c r="E17" i="46"/>
  <c r="BO63" i="20"/>
  <c r="Y4" i="18"/>
  <c r="X10" i="18"/>
  <c r="AX151" i="14"/>
  <c r="BB10" i="1"/>
  <c r="BL34" i="20"/>
  <c r="AV28" i="14"/>
  <c r="AV30" i="14" s="1"/>
  <c r="AV20" i="14"/>
  <c r="BN812" i="7"/>
  <c r="AL537" i="7"/>
  <c r="AW110" i="15"/>
  <c r="AW124" i="15"/>
  <c r="AX17" i="44"/>
  <c r="AX136" i="44"/>
  <c r="AY185" i="14"/>
  <c r="AY138" i="44"/>
  <c r="AY17" i="44" s="1"/>
  <c r="AY66" i="44" s="1"/>
  <c r="BB102" i="15"/>
  <c r="BB118" i="15" s="1"/>
  <c r="AX102" i="15"/>
  <c r="BR37" i="35"/>
  <c r="BR42" i="35"/>
  <c r="BR43" i="35" s="1"/>
  <c r="BR40" i="35"/>
  <c r="BN810" i="7"/>
  <c r="BN811" i="7"/>
  <c r="N16" i="18"/>
  <c r="P16" i="18" s="1"/>
  <c r="K16" i="18"/>
  <c r="L16" i="18"/>
  <c r="H17" i="47"/>
  <c r="BN202" i="20"/>
  <c r="BN247" i="20" s="1"/>
  <c r="BN279" i="20" s="1"/>
  <c r="BB235" i="14"/>
  <c r="BB236" i="14" s="1"/>
  <c r="BB204" i="14"/>
  <c r="BB192" i="14"/>
  <c r="BB238" i="14"/>
  <c r="BB239" i="14" s="1"/>
  <c r="BB240" i="14" s="1"/>
  <c r="AY104" i="14"/>
  <c r="AY100" i="14"/>
  <c r="AG13" i="1"/>
  <c r="AB71" i="15"/>
  <c r="BM71" i="15" s="1"/>
  <c r="AA71" i="15"/>
  <c r="AF13" i="1"/>
  <c r="AY149" i="14"/>
  <c r="AY152" i="14" s="1"/>
  <c r="X7" i="18" s="1"/>
  <c r="Z7" i="18" s="1"/>
  <c r="BK279" i="20"/>
  <c r="BQ142" i="14"/>
  <c r="BP131" i="14"/>
  <c r="AX18" i="14"/>
  <c r="BS72" i="14"/>
  <c r="BT71" i="14"/>
  <c r="BP142" i="14"/>
  <c r="BA96" i="14"/>
  <c r="AZ99" i="14"/>
  <c r="AZ133" i="14"/>
  <c r="AZ134" i="14"/>
  <c r="AZ184" i="14"/>
  <c r="AZ138" i="44" s="1"/>
  <c r="AZ144" i="14"/>
  <c r="BO157" i="20" s="1"/>
  <c r="AZ337" i="11" s="1"/>
  <c r="BQ78" i="14"/>
  <c r="BP80" i="14"/>
  <c r="BA132" i="14"/>
  <c r="BA143" i="14"/>
  <c r="AW18" i="14"/>
  <c r="BX181" i="14"/>
  <c r="BA15" i="15"/>
  <c r="AY23" i="15"/>
  <c r="BD6" i="1"/>
  <c r="BT28" i="35"/>
  <c r="AZ70" i="15" s="1"/>
  <c r="BR9" i="15"/>
  <c r="AY43" i="15"/>
  <c r="BD35" i="15"/>
  <c r="H111" i="17"/>
  <c r="BU52" i="35"/>
  <c r="AF529" i="7"/>
  <c r="AE532" i="7"/>
  <c r="BO806" i="7"/>
  <c r="BO807" i="7" s="1"/>
  <c r="BO809" i="7" s="1"/>
  <c r="BP789" i="7"/>
  <c r="BO798" i="7"/>
  <c r="BN1074" i="7"/>
  <c r="BO1054" i="7"/>
  <c r="BO1060" i="7" s="1"/>
  <c r="BN1047" i="7"/>
  <c r="BB76" i="7"/>
  <c r="AG607" i="7"/>
  <c r="AG566" i="7"/>
  <c r="AN509" i="7"/>
  <c r="AN501" i="7"/>
  <c r="AH154" i="7"/>
  <c r="AH155" i="7" s="1"/>
  <c r="AH772" i="7"/>
  <c r="AH773" i="7" s="1"/>
  <c r="AO470" i="7"/>
  <c r="AO497" i="7"/>
  <c r="AO561" i="7"/>
  <c r="AP463" i="7"/>
  <c r="AP468" i="7" s="1"/>
  <c r="AL616" i="7"/>
  <c r="AH616" i="7"/>
  <c r="O413" i="7"/>
  <c r="P408" i="7"/>
  <c r="AO652" i="7"/>
  <c r="AN649" i="7"/>
  <c r="AN654" i="7"/>
  <c r="N627" i="7"/>
  <c r="C21" i="17"/>
  <c r="AD749" i="7"/>
  <c r="AD156" i="7" s="1"/>
  <c r="AD157" i="7" s="1"/>
  <c r="AD746" i="7"/>
  <c r="AE745" i="7"/>
  <c r="E55" i="16" s="1"/>
  <c r="BN797" i="7"/>
  <c r="BO791" i="7"/>
  <c r="BN800" i="7"/>
  <c r="BN796" i="7"/>
  <c r="BN799" i="7"/>
  <c r="O596" i="7"/>
  <c r="O564" i="7" s="1"/>
  <c r="O605" i="7" s="1"/>
  <c r="O509" i="7"/>
  <c r="O597" i="7"/>
  <c r="O565" i="7" s="1"/>
  <c r="O501" i="7"/>
  <c r="AN602" i="7"/>
  <c r="AH597" i="7"/>
  <c r="AH509" i="7"/>
  <c r="AH501" i="7"/>
  <c r="AH596" i="7"/>
  <c r="AH564" i="7" s="1"/>
  <c r="P467" i="7"/>
  <c r="P412" i="7"/>
  <c r="AR403" i="7"/>
  <c r="AR405" i="7"/>
  <c r="AS393" i="7" s="1"/>
  <c r="AM562" i="7"/>
  <c r="AM566" i="7" s="1"/>
  <c r="AN618" i="7"/>
  <c r="AM650" i="7"/>
  <c r="AM526" i="7" s="1"/>
  <c r="AM657" i="7"/>
  <c r="AM658" i="7"/>
  <c r="AO408" i="7"/>
  <c r="AN413" i="7"/>
  <c r="AM655" i="7"/>
  <c r="O772" i="7"/>
  <c r="O773" i="7" s="1"/>
  <c r="O775" i="7" s="1"/>
  <c r="F94" i="16" s="1"/>
  <c r="O154" i="7"/>
  <c r="O155" i="7" s="1"/>
  <c r="O157" i="7" s="1"/>
  <c r="AS463" i="7"/>
  <c r="AR497" i="7"/>
  <c r="AR561" i="7"/>
  <c r="AR470" i="7"/>
  <c r="BC286" i="7"/>
  <c r="BD277" i="7"/>
  <c r="BC139" i="7"/>
  <c r="BC76" i="7" s="1"/>
  <c r="AN772" i="7"/>
  <c r="AN773" i="7" s="1"/>
  <c r="AN154" i="7"/>
  <c r="AN155" i="7" s="1"/>
  <c r="AI405" i="7"/>
  <c r="AJ393" i="7" s="1"/>
  <c r="AJ394" i="7" s="1"/>
  <c r="AI403" i="7"/>
  <c r="AI408" i="7"/>
  <c r="AH413" i="7"/>
  <c r="P465" i="7"/>
  <c r="P409" i="7"/>
  <c r="P394" i="7"/>
  <c r="AL661" i="7"/>
  <c r="AL663" i="7"/>
  <c r="AL660" i="7"/>
  <c r="AQ524" i="7"/>
  <c r="AM524" i="7"/>
  <c r="N606" i="7"/>
  <c r="N672" i="7" s="1"/>
  <c r="N670" i="7"/>
  <c r="N671" i="7"/>
  <c r="AO403" i="7"/>
  <c r="AO405" i="7"/>
  <c r="AP393" i="7" s="1"/>
  <c r="AQ393" i="7" s="1"/>
  <c r="AQ394" i="7" s="1"/>
  <c r="BN1041" i="7"/>
  <c r="BM1046" i="7"/>
  <c r="AC530" i="7"/>
  <c r="AB533" i="7"/>
  <c r="AG200" i="7"/>
  <c r="BN798" i="7"/>
  <c r="AF606" i="7"/>
  <c r="AF672" i="7" s="1"/>
  <c r="AF609" i="7"/>
  <c r="AF670" i="7"/>
  <c r="AF671" i="7"/>
  <c r="AI470" i="7"/>
  <c r="AI497" i="7"/>
  <c r="AJ463" i="7"/>
  <c r="AJ468" i="7" s="1"/>
  <c r="AI561" i="7"/>
  <c r="P535" i="7"/>
  <c r="X483" i="7"/>
  <c r="X484" i="7" s="1"/>
  <c r="Y484" i="7" s="1"/>
  <c r="Z484" i="7" s="1"/>
  <c r="Y482" i="7"/>
  <c r="AC201" i="7"/>
  <c r="AC159" i="7" s="1"/>
  <c r="AB202" i="7"/>
  <c r="AB204" i="7" s="1"/>
  <c r="BX356" i="7"/>
  <c r="BY992" i="7"/>
  <c r="BS788" i="7"/>
  <c r="BR805" i="7"/>
  <c r="BQ804" i="7"/>
  <c r="BR787" i="7"/>
  <c r="BR790" i="7"/>
  <c r="AU15" i="12"/>
  <c r="AV17" i="13"/>
  <c r="AV986" i="7" s="1"/>
  <c r="BS646" i="7"/>
  <c r="BP647" i="7"/>
  <c r="BP666" i="7" s="1"/>
  <c r="BO666" i="7"/>
  <c r="BP653" i="7"/>
  <c r="BQ645" i="7"/>
  <c r="BB58" i="15"/>
  <c r="AY47" i="15"/>
  <c r="BC37" i="15"/>
  <c r="BC47" i="15" s="1"/>
  <c r="BC28" i="15"/>
  <c r="BC70" i="15"/>
  <c r="BW326" i="7"/>
  <c r="BW24" i="7"/>
  <c r="BC56" i="15" s="1"/>
  <c r="BC64" i="15" s="1"/>
  <c r="AY20" i="15"/>
  <c r="BW1035" i="7"/>
  <c r="BW1043" i="7" s="1"/>
  <c r="BW819" i="7"/>
  <c r="BV8" i="1"/>
  <c r="BA10" i="1"/>
  <c r="BA9" i="1"/>
  <c r="AY48" i="15"/>
  <c r="AY46" i="15"/>
  <c r="AY49" i="15"/>
  <c r="BU20" i="35"/>
  <c r="BU28" i="35"/>
  <c r="BA35" i="15"/>
  <c r="BU18" i="35"/>
  <c r="BA62" i="15"/>
  <c r="BA58" i="15"/>
  <c r="AZ58" i="15"/>
  <c r="BE54" i="15"/>
  <c r="BF54" i="15" s="1"/>
  <c r="BF62" i="15" s="1"/>
  <c r="AZ62" i="15"/>
  <c r="BS29" i="35"/>
  <c r="AY70" i="15"/>
  <c r="BS36" i="35"/>
  <c r="AZ41" i="15"/>
  <c r="BE41" i="15" s="1"/>
  <c r="AZ28" i="15"/>
  <c r="AZ37" i="15"/>
  <c r="AZ15" i="15"/>
  <c r="AZ11" i="15"/>
  <c r="AZ21" i="15" s="1"/>
  <c r="BE9" i="15"/>
  <c r="BT305" i="14"/>
  <c r="BU305" i="14" s="1"/>
  <c r="AY21" i="15"/>
  <c r="BX845" i="7"/>
  <c r="BX9" i="9"/>
  <c r="BY5" i="9"/>
  <c r="BX244" i="14"/>
  <c r="BX22" i="14" s="1"/>
  <c r="BD89" i="15"/>
  <c r="BD90" i="15" s="1"/>
  <c r="BX102" i="7"/>
  <c r="BX10" i="9"/>
  <c r="BU50" i="35"/>
  <c r="BT373" i="7"/>
  <c r="AY30" i="15"/>
  <c r="BD7" i="1" s="1"/>
  <c r="AY22" i="15"/>
  <c r="BC63" i="15"/>
  <c r="AY66" i="15"/>
  <c r="BD18" i="1"/>
  <c r="BC8" i="1"/>
  <c r="BT255" i="14"/>
  <c r="BU255" i="14" s="1"/>
  <c r="AQ86" i="15"/>
  <c r="BO82" i="14"/>
  <c r="BN52" i="14"/>
  <c r="BN26" i="14" s="1"/>
  <c r="AT96" i="15" s="1"/>
  <c r="AT98" i="15" s="1"/>
  <c r="AY24" i="1" s="1"/>
  <c r="BN83" i="14"/>
  <c r="BN86" i="14" s="1"/>
  <c r="AV22" i="1"/>
  <c r="AR96" i="15"/>
  <c r="AR98" i="15" s="1"/>
  <c r="BQ168" i="14"/>
  <c r="BQ167" i="14" s="1"/>
  <c r="BR140" i="14"/>
  <c r="BG9" i="1"/>
  <c r="BG10" i="1"/>
  <c r="BM303" i="14"/>
  <c r="BM306" i="14" s="1"/>
  <c r="BM24" i="14" s="1"/>
  <c r="BT1036" i="7"/>
  <c r="BD22" i="15"/>
  <c r="BD23" i="15"/>
  <c r="BD20" i="15"/>
  <c r="BI6" i="1"/>
  <c r="BD17" i="15"/>
  <c r="BO302" i="14"/>
  <c r="BP302" i="14" s="1"/>
  <c r="BA23" i="15"/>
  <c r="BA17" i="15"/>
  <c r="BA22" i="15"/>
  <c r="BR11" i="15"/>
  <c r="BA20" i="15"/>
  <c r="BL49" i="14"/>
  <c r="AR79" i="15"/>
  <c r="BQ302" i="14"/>
  <c r="BA92" i="15"/>
  <c r="AZ93" i="15"/>
  <c r="BN274" i="14"/>
  <c r="BN300" i="14" s="1"/>
  <c r="BU245" i="14"/>
  <c r="BU315" i="14" s="1"/>
  <c r="BU318" i="14" s="1"/>
  <c r="BT246" i="14"/>
  <c r="BW6" i="9"/>
  <c r="BB92" i="15"/>
  <c r="BV245" i="14"/>
  <c r="BV315" i="14" s="1"/>
  <c r="BV318" i="14" s="1"/>
  <c r="BV846" i="7"/>
  <c r="BV237" i="7"/>
  <c r="BT238" i="7"/>
  <c r="BT414" i="7"/>
  <c r="BU237" i="7"/>
  <c r="BU414" i="7" s="1"/>
  <c r="BT212" i="7"/>
  <c r="BU212" i="7" s="1"/>
  <c r="BT211" i="7"/>
  <c r="BL24" i="14"/>
  <c r="BQ200" i="14"/>
  <c r="BR201" i="14"/>
  <c r="BQ195" i="14"/>
  <c r="BP194" i="14"/>
  <c r="AZ344" i="11" l="1"/>
  <c r="AW20" i="14"/>
  <c r="AX20" i="14"/>
  <c r="E16" i="56"/>
  <c r="E16" i="46"/>
  <c r="C17" i="56"/>
  <c r="G17" i="56" s="1"/>
  <c r="G17" i="46"/>
  <c r="J13" i="18"/>
  <c r="K13" i="18" s="1"/>
  <c r="BB216" i="14"/>
  <c r="BB219" i="14" s="1"/>
  <c r="BB209" i="14"/>
  <c r="BB110" i="15"/>
  <c r="BP665" i="7"/>
  <c r="AY136" i="44"/>
  <c r="AZ17" i="44"/>
  <c r="AZ136" i="44"/>
  <c r="AX66" i="44"/>
  <c r="AX19" i="44"/>
  <c r="AX114" i="15"/>
  <c r="BC102" i="15"/>
  <c r="AX110" i="15"/>
  <c r="AX124" i="15"/>
  <c r="BD8" i="1"/>
  <c r="BD9" i="1" s="1"/>
  <c r="BT36" i="35"/>
  <c r="BT37" i="35" s="1"/>
  <c r="BT29" i="35"/>
  <c r="BO812" i="7"/>
  <c r="BO811" i="7"/>
  <c r="BO810" i="7"/>
  <c r="O16" i="18"/>
  <c r="M16" i="18"/>
  <c r="BP157" i="20"/>
  <c r="E14" i="39" s="1"/>
  <c r="BO62" i="20"/>
  <c r="BO202" i="20"/>
  <c r="BC192" i="14"/>
  <c r="BC238" i="14"/>
  <c r="BC239" i="14" s="1"/>
  <c r="BC240" i="14" s="1"/>
  <c r="BC204" i="14"/>
  <c r="BR142" i="14"/>
  <c r="BQ131" i="14"/>
  <c r="BC95" i="14"/>
  <c r="BB132" i="14"/>
  <c r="BB143" i="14"/>
  <c r="BB96" i="14"/>
  <c r="AZ149" i="14"/>
  <c r="AZ152" i="14" s="1"/>
  <c r="X4" i="18" s="1"/>
  <c r="Z4" i="18" s="1"/>
  <c r="AZ185" i="14"/>
  <c r="BA184" i="14"/>
  <c r="BA185" i="14" s="1"/>
  <c r="AC71" i="15"/>
  <c r="AH13" i="1"/>
  <c r="AZ104" i="14"/>
  <c r="AZ100" i="14"/>
  <c r="AZ105" i="14" s="1"/>
  <c r="BA99" i="14"/>
  <c r="BA134" i="14"/>
  <c r="BA133" i="14"/>
  <c r="BA144" i="14"/>
  <c r="BA149" i="14" s="1"/>
  <c r="BA152" i="14" s="1"/>
  <c r="AD71" i="15"/>
  <c r="AI13" i="1"/>
  <c r="BR78" i="14"/>
  <c r="BQ80" i="14"/>
  <c r="BT72" i="14"/>
  <c r="BU71" i="14"/>
  <c r="BY181" i="14"/>
  <c r="BZ181" i="14" s="1"/>
  <c r="N675" i="7"/>
  <c r="N676" i="7" s="1"/>
  <c r="BD28" i="15"/>
  <c r="BD37" i="15"/>
  <c r="BD48" i="15" s="1"/>
  <c r="BD70" i="15"/>
  <c r="BE35" i="15"/>
  <c r="BF35" i="15" s="1"/>
  <c r="BF70" i="15" s="1"/>
  <c r="BS70" i="15" s="1"/>
  <c r="AF675" i="7"/>
  <c r="AF676" i="7" s="1"/>
  <c r="O776" i="7"/>
  <c r="D9" i="17"/>
  <c r="AR601" i="7"/>
  <c r="AR766" i="7"/>
  <c r="AR767" i="7" s="1"/>
  <c r="AR768" i="7" s="1"/>
  <c r="AR771" i="7" s="1"/>
  <c r="AR764" i="7"/>
  <c r="AR500" i="7"/>
  <c r="AR498" i="7"/>
  <c r="AR509" i="7" s="1"/>
  <c r="P476" i="7"/>
  <c r="P468" i="7"/>
  <c r="AD530" i="7"/>
  <c r="AC533" i="7"/>
  <c r="AO649" i="7"/>
  <c r="AO654" i="7"/>
  <c r="AO655" i="7" s="1"/>
  <c r="AO660" i="7" s="1"/>
  <c r="AP652" i="7"/>
  <c r="P487" i="7"/>
  <c r="AH271" i="7"/>
  <c r="AH605" i="7"/>
  <c r="AH200" i="7"/>
  <c r="BO1041" i="7"/>
  <c r="BN1046" i="7"/>
  <c r="P471" i="7"/>
  <c r="P402" i="7"/>
  <c r="Q388" i="7"/>
  <c r="AM663" i="7"/>
  <c r="AM661" i="7"/>
  <c r="AM660" i="7"/>
  <c r="AC158" i="7"/>
  <c r="AD201" i="7"/>
  <c r="AC202" i="7"/>
  <c r="AC204" i="7" s="1"/>
  <c r="AQ471" i="7"/>
  <c r="AQ396" i="7"/>
  <c r="AI414" i="7"/>
  <c r="AI406" i="7"/>
  <c r="AM617" i="7"/>
  <c r="AM619" i="7" s="1"/>
  <c r="AM537" i="7"/>
  <c r="P503" i="7"/>
  <c r="O559" i="7"/>
  <c r="O560" i="7" s="1"/>
  <c r="O508" i="7"/>
  <c r="BP1060" i="7"/>
  <c r="BO1074" i="7"/>
  <c r="BO1047" i="7"/>
  <c r="AJ471" i="7"/>
  <c r="AK388" i="7"/>
  <c r="AJ402" i="7"/>
  <c r="Y483" i="7"/>
  <c r="Y485" i="7" s="1"/>
  <c r="Z482" i="7"/>
  <c r="AN616" i="7"/>
  <c r="P507" i="7"/>
  <c r="AF673" i="7"/>
  <c r="AN657" i="7"/>
  <c r="AN658" i="7"/>
  <c r="AN650" i="7"/>
  <c r="AN526" i="7" s="1"/>
  <c r="AO414" i="7"/>
  <c r="AO406" i="7"/>
  <c r="N673" i="7"/>
  <c r="AN559" i="7"/>
  <c r="AN508" i="7"/>
  <c r="AO503" i="7"/>
  <c r="AH565" i="7"/>
  <c r="AI519" i="7"/>
  <c r="P536" i="7"/>
  <c r="AO766" i="7"/>
  <c r="AO767" i="7" s="1"/>
  <c r="AO768" i="7" s="1"/>
  <c r="AO771" i="7" s="1"/>
  <c r="AO601" i="7"/>
  <c r="AO764" i="7"/>
  <c r="BQ789" i="7"/>
  <c r="BP806" i="7"/>
  <c r="BP807" i="7" s="1"/>
  <c r="BP809" i="7" s="1"/>
  <c r="P504" i="7"/>
  <c r="AN655" i="7"/>
  <c r="AI766" i="7"/>
  <c r="AI767" i="7" s="1"/>
  <c r="AI768" i="7" s="1"/>
  <c r="AI771" i="7" s="1"/>
  <c r="AI764" i="7"/>
  <c r="AI601" i="7"/>
  <c r="AI603" i="7" s="1"/>
  <c r="BD286" i="7"/>
  <c r="BD139" i="7"/>
  <c r="BE277" i="7"/>
  <c r="AR406" i="7"/>
  <c r="AR414" i="7"/>
  <c r="BO800" i="7"/>
  <c r="BP791" i="7"/>
  <c r="BO797" i="7"/>
  <c r="BO799" i="7"/>
  <c r="BO796" i="7"/>
  <c r="AO498" i="7"/>
  <c r="AO500" i="7"/>
  <c r="AG606" i="7"/>
  <c r="AG672" i="7" s="1"/>
  <c r="AG609" i="7"/>
  <c r="AG670" i="7"/>
  <c r="AG671" i="7"/>
  <c r="AP394" i="7"/>
  <c r="AM527" i="7"/>
  <c r="AN524" i="7" s="1"/>
  <c r="AH508" i="7"/>
  <c r="AH559" i="7"/>
  <c r="AH560" i="7" s="1"/>
  <c r="AI503" i="7"/>
  <c r="AM662" i="7"/>
  <c r="BC58" i="15"/>
  <c r="BC66" i="15" s="1"/>
  <c r="AI500" i="7"/>
  <c r="AI498" i="7"/>
  <c r="AF745" i="7"/>
  <c r="E52" i="16" s="1"/>
  <c r="C22" i="17"/>
  <c r="AE749" i="7"/>
  <c r="AE156" i="7" s="1"/>
  <c r="AE157" i="7" s="1"/>
  <c r="AE746" i="7"/>
  <c r="AG529" i="7"/>
  <c r="AF532" i="7"/>
  <c r="BY356" i="7"/>
  <c r="BY334" i="7" s="1"/>
  <c r="BZ992" i="7"/>
  <c r="BX334" i="7"/>
  <c r="BT788" i="7"/>
  <c r="BS805" i="7"/>
  <c r="BS790" i="7"/>
  <c r="BS787" i="7"/>
  <c r="BR804" i="7"/>
  <c r="AT15" i="12"/>
  <c r="AU17" i="13"/>
  <c r="AU986" i="7" s="1"/>
  <c r="AT986" i="7" s="1"/>
  <c r="AS986" i="7" s="1"/>
  <c r="BQ647" i="7"/>
  <c r="BQ666" i="7" s="1"/>
  <c r="BQ653" i="7"/>
  <c r="BR645" i="7"/>
  <c r="BC10" i="1"/>
  <c r="BC9" i="1"/>
  <c r="AZ66" i="15"/>
  <c r="BE18" i="1"/>
  <c r="BD55" i="15"/>
  <c r="BF18" i="1"/>
  <c r="BA66" i="15"/>
  <c r="BY10" i="9"/>
  <c r="BY9" i="9"/>
  <c r="BY845" i="7"/>
  <c r="BY102" i="7"/>
  <c r="BZ102" i="7" s="1"/>
  <c r="BE89" i="15"/>
  <c r="BE90" i="15" s="1"/>
  <c r="BY244" i="14"/>
  <c r="BY22" i="14" s="1"/>
  <c r="BE55" i="15" s="1"/>
  <c r="BE63" i="15" s="1"/>
  <c r="BX819" i="7"/>
  <c r="BX1035" i="7"/>
  <c r="BX1043" i="7" s="1"/>
  <c r="BA28" i="15"/>
  <c r="BA41" i="15"/>
  <c r="BA37" i="15"/>
  <c r="BU29" i="35"/>
  <c r="BU36" i="35"/>
  <c r="BA70" i="15"/>
  <c r="BR70" i="15" s="1"/>
  <c r="BC46" i="15"/>
  <c r="BC30" i="15"/>
  <c r="BH7" i="1" s="1"/>
  <c r="BH8" i="1" s="1"/>
  <c r="BC48" i="15"/>
  <c r="BC49" i="15"/>
  <c r="BC43" i="15"/>
  <c r="BE11" i="15"/>
  <c r="BF9" i="15"/>
  <c r="AZ23" i="15"/>
  <c r="AZ17" i="15"/>
  <c r="BE6" i="1"/>
  <c r="AZ22" i="15"/>
  <c r="AZ20" i="15"/>
  <c r="BG18" i="1"/>
  <c r="BB66" i="15"/>
  <c r="BS42" i="35"/>
  <c r="BS43" i="35" s="1"/>
  <c r="AY102" i="15"/>
  <c r="BS40" i="35"/>
  <c r="BS37" i="35"/>
  <c r="BX24" i="7"/>
  <c r="BD56" i="15" s="1"/>
  <c r="BD64" i="15" s="1"/>
  <c r="BX326" i="7"/>
  <c r="AZ47" i="15"/>
  <c r="AZ30" i="15"/>
  <c r="BE7" i="1" s="1"/>
  <c r="AZ49" i="15"/>
  <c r="AZ43" i="15"/>
  <c r="AZ46" i="15"/>
  <c r="AZ48" i="15"/>
  <c r="BV255" i="14"/>
  <c r="BV305" i="14"/>
  <c r="BR302" i="14"/>
  <c r="AW24" i="1"/>
  <c r="BP82" i="14"/>
  <c r="BO83" i="14"/>
  <c r="BO86" i="14" s="1"/>
  <c r="BO52" i="14"/>
  <c r="BR168" i="14"/>
  <c r="BR167" i="14" s="1"/>
  <c r="BS140" i="14"/>
  <c r="BM50" i="14"/>
  <c r="AS85" i="15"/>
  <c r="AS87" i="15" s="1"/>
  <c r="AX22" i="1" s="1"/>
  <c r="BO274" i="14"/>
  <c r="BO300" i="14" s="1"/>
  <c r="BU1036" i="7"/>
  <c r="BV211" i="7"/>
  <c r="BV212" i="7"/>
  <c r="BV238" i="7"/>
  <c r="BW846" i="7"/>
  <c r="BW237" i="7"/>
  <c r="BX6" i="9"/>
  <c r="BC92" i="15"/>
  <c r="BC93" i="15" s="1"/>
  <c r="BW245" i="14"/>
  <c r="BW315" i="14" s="1"/>
  <c r="BW318" i="14" s="1"/>
  <c r="BU211" i="7"/>
  <c r="BT381" i="7"/>
  <c r="BN303" i="14"/>
  <c r="BN306" i="14" s="1"/>
  <c r="BN24" i="14" s="1"/>
  <c r="BB93" i="15"/>
  <c r="BV1036" i="7"/>
  <c r="BV246" i="14"/>
  <c r="AR85" i="15"/>
  <c r="BL50" i="14"/>
  <c r="BQ194" i="14"/>
  <c r="BR195" i="14"/>
  <c r="BR200" i="14"/>
  <c r="BS201" i="14"/>
  <c r="BA106" i="14" l="1"/>
  <c r="AZ106" i="14"/>
  <c r="AZ107" i="14" s="1"/>
  <c r="AZ108" i="14" s="1"/>
  <c r="F39" i="53"/>
  <c r="L578" i="42"/>
  <c r="C16" i="56"/>
  <c r="G16" i="56" s="1"/>
  <c r="G16" i="46"/>
  <c r="D16" i="56"/>
  <c r="D16" i="46"/>
  <c r="N13" i="18"/>
  <c r="P13" i="18" s="1"/>
  <c r="L13" i="18"/>
  <c r="O13" i="18"/>
  <c r="Q13" i="18" s="1"/>
  <c r="M13" i="18"/>
  <c r="BC209" i="14"/>
  <c r="BC216" i="14"/>
  <c r="BC219" i="14" s="1"/>
  <c r="AS503" i="7"/>
  <c r="AR508" i="7"/>
  <c r="Q16" i="18"/>
  <c r="BA17" i="44"/>
  <c r="BA107" i="14"/>
  <c r="BP812" i="7"/>
  <c r="BP811" i="7"/>
  <c r="BP810" i="7"/>
  <c r="AN527" i="7"/>
  <c r="AO524" i="7" s="1"/>
  <c r="AM622" i="7"/>
  <c r="BQ665" i="7"/>
  <c r="BZ356" i="7"/>
  <c r="BZ334" i="7"/>
  <c r="BD49" i="15"/>
  <c r="AX68" i="44"/>
  <c r="AZ66" i="44"/>
  <c r="AZ68" i="44" s="1"/>
  <c r="K17" i="47" s="1"/>
  <c r="AZ19" i="44"/>
  <c r="AY68" i="44"/>
  <c r="J17" i="47" s="1"/>
  <c r="AY19" i="44"/>
  <c r="BT42" i="35"/>
  <c r="BT43" i="35" s="1"/>
  <c r="BT40" i="35"/>
  <c r="BC118" i="15"/>
  <c r="BC110" i="15"/>
  <c r="AZ102" i="15"/>
  <c r="BE102" i="15" s="1"/>
  <c r="BE110" i="15" s="1"/>
  <c r="BD10" i="1"/>
  <c r="BD30" i="15"/>
  <c r="BI7" i="1" s="1"/>
  <c r="BI8" i="1" s="1"/>
  <c r="BI10" i="1" s="1"/>
  <c r="AG675" i="7"/>
  <c r="AG676" i="7" s="1"/>
  <c r="BA108" i="14"/>
  <c r="BP202" i="20"/>
  <c r="H14" i="39" s="1"/>
  <c r="BO247" i="20"/>
  <c r="BP62" i="20"/>
  <c r="BO18" i="20"/>
  <c r="BD192" i="14"/>
  <c r="BD204" i="14"/>
  <c r="BD238" i="14"/>
  <c r="BD239" i="14" s="1"/>
  <c r="BD240" i="14" s="1"/>
  <c r="BS78" i="14"/>
  <c r="BR80" i="14"/>
  <c r="AZ40" i="14"/>
  <c r="AE71" i="15"/>
  <c r="AJ13" i="1"/>
  <c r="BB134" i="14"/>
  <c r="BB99" i="14"/>
  <c r="BB106" i="14" s="1"/>
  <c r="BB133" i="14"/>
  <c r="BB184" i="14"/>
  <c r="BB138" i="44" s="1"/>
  <c r="BB144" i="14"/>
  <c r="BQ157" i="20" s="1"/>
  <c r="BC132" i="14"/>
  <c r="BD95" i="14"/>
  <c r="BC143" i="14"/>
  <c r="BC96" i="14"/>
  <c r="BA100" i="14"/>
  <c r="BA104" i="14"/>
  <c r="BV71" i="14"/>
  <c r="BS142" i="14"/>
  <c r="BR131" i="14"/>
  <c r="BD46" i="15"/>
  <c r="BD43" i="15"/>
  <c r="BE28" i="15"/>
  <c r="BE37" i="15"/>
  <c r="BE47" i="15" s="1"/>
  <c r="BE70" i="15"/>
  <c r="BF37" i="15"/>
  <c r="BF49" i="15" s="1"/>
  <c r="BD47" i="15"/>
  <c r="BZ22" i="14"/>
  <c r="BF55" i="15" s="1"/>
  <c r="BF63" i="15" s="1"/>
  <c r="BH18" i="1"/>
  <c r="AG532" i="7"/>
  <c r="AH529" i="7"/>
  <c r="AO509" i="7"/>
  <c r="AO501" i="7"/>
  <c r="BR789" i="7"/>
  <c r="BQ806" i="7"/>
  <c r="BQ807" i="7" s="1"/>
  <c r="BQ809" i="7" s="1"/>
  <c r="AI413" i="7"/>
  <c r="AJ408" i="7"/>
  <c r="AO602" i="7"/>
  <c r="BP797" i="7"/>
  <c r="BP796" i="7"/>
  <c r="BP799" i="7"/>
  <c r="BQ791" i="7"/>
  <c r="BP800" i="7"/>
  <c r="AJ403" i="7"/>
  <c r="AJ405" i="7"/>
  <c r="AK393" i="7" s="1"/>
  <c r="AL393" i="7" s="1"/>
  <c r="AL394" i="7" s="1"/>
  <c r="AD533" i="7"/>
  <c r="AE530" i="7"/>
  <c r="AO154" i="7"/>
  <c r="AO155" i="7" s="1"/>
  <c r="AO772" i="7"/>
  <c r="AO773" i="7" s="1"/>
  <c r="AO661" i="7"/>
  <c r="AO663" i="7"/>
  <c r="BE139" i="7"/>
  <c r="BE76" i="7" s="1"/>
  <c r="BE286" i="7"/>
  <c r="BF277" i="7"/>
  <c r="BG277" i="7" s="1"/>
  <c r="P618" i="7"/>
  <c r="BD76" i="7"/>
  <c r="AJ561" i="7"/>
  <c r="AJ470" i="7"/>
  <c r="AJ497" i="7"/>
  <c r="AK463" i="7"/>
  <c r="AK468" i="7" s="1"/>
  <c r="AK470" i="7" s="1"/>
  <c r="P477" i="7"/>
  <c r="P403" i="7"/>
  <c r="P405" i="7"/>
  <c r="AR501" i="7"/>
  <c r="Q463" i="7"/>
  <c r="P470" i="7"/>
  <c r="P497" i="7"/>
  <c r="P561" i="7"/>
  <c r="AQ470" i="7"/>
  <c r="AQ473" i="7"/>
  <c r="AS408" i="7"/>
  <c r="AR413" i="7"/>
  <c r="O620" i="7"/>
  <c r="O562" i="7"/>
  <c r="O554" i="7"/>
  <c r="O552" i="7"/>
  <c r="P539" i="7" s="1"/>
  <c r="AP654" i="7"/>
  <c r="AP655" i="7" s="1"/>
  <c r="AQ652" i="7"/>
  <c r="AP649" i="7"/>
  <c r="AD158" i="7"/>
  <c r="AE201" i="7"/>
  <c r="AD202" i="7"/>
  <c r="AD204" i="7" s="1"/>
  <c r="AJ492" i="7"/>
  <c r="AI492" i="7"/>
  <c r="AI520" i="7"/>
  <c r="AI608" i="7" s="1"/>
  <c r="AN594" i="7"/>
  <c r="AN560" i="7"/>
  <c r="AN661" i="7"/>
  <c r="AN663" i="7"/>
  <c r="AN660" i="7"/>
  <c r="AN662" i="7"/>
  <c r="AI200" i="7"/>
  <c r="AO657" i="7"/>
  <c r="AO650" i="7"/>
  <c r="AO526" i="7" s="1"/>
  <c r="AO662" i="7"/>
  <c r="AO658" i="7"/>
  <c r="AI772" i="7"/>
  <c r="AI773" i="7" s="1"/>
  <c r="AI154" i="7"/>
  <c r="AI155" i="7" s="1"/>
  <c r="AR154" i="7"/>
  <c r="AR155" i="7" s="1"/>
  <c r="AR772" i="7"/>
  <c r="AR773" i="7" s="1"/>
  <c r="AG673" i="7"/>
  <c r="AN617" i="7"/>
  <c r="AN537" i="7"/>
  <c r="AN538" i="7" s="1"/>
  <c r="AM538" i="7"/>
  <c r="AR602" i="7"/>
  <c r="BO1046" i="7"/>
  <c r="BP1047" i="7"/>
  <c r="AH620" i="7"/>
  <c r="AI618" i="7"/>
  <c r="AH562" i="7"/>
  <c r="AH611" i="7"/>
  <c r="AF749" i="7"/>
  <c r="AF156" i="7" s="1"/>
  <c r="AF157" i="7" s="1"/>
  <c r="AG745" i="7"/>
  <c r="AF746" i="7"/>
  <c r="C23" i="17"/>
  <c r="AA482" i="7"/>
  <c r="Z483" i="7"/>
  <c r="Z485" i="7" s="1"/>
  <c r="BQ1054" i="7"/>
  <c r="BQ1060" i="7" s="1"/>
  <c r="BP1059" i="7"/>
  <c r="BU1054" i="7"/>
  <c r="BP1074" i="7"/>
  <c r="AP396" i="7"/>
  <c r="AP471" i="7"/>
  <c r="AP408" i="7"/>
  <c r="AP413" i="7" s="1"/>
  <c r="AO413" i="7"/>
  <c r="BP798" i="7"/>
  <c r="AI501" i="7"/>
  <c r="AI597" i="7"/>
  <c r="AI565" i="7" s="1"/>
  <c r="AI509" i="7"/>
  <c r="AI596" i="7"/>
  <c r="AI564" i="7" s="1"/>
  <c r="P511" i="7"/>
  <c r="P488" i="7"/>
  <c r="BT790" i="7"/>
  <c r="BT787" i="7"/>
  <c r="BS804" i="7"/>
  <c r="BT805" i="7"/>
  <c r="BU788" i="7"/>
  <c r="AS15" i="12"/>
  <c r="AS17" i="13" s="1"/>
  <c r="AT17" i="13"/>
  <c r="BR647" i="7"/>
  <c r="BR666" i="7" s="1"/>
  <c r="BS645" i="7"/>
  <c r="BR653" i="7"/>
  <c r="BR665" i="7"/>
  <c r="BD63" i="15"/>
  <c r="BD58" i="15"/>
  <c r="BA102" i="15"/>
  <c r="BU40" i="35"/>
  <c r="BU42" i="35"/>
  <c r="BU43" i="35" s="1"/>
  <c r="BU37" i="35"/>
  <c r="BY24" i="7"/>
  <c r="BE56" i="15" s="1"/>
  <c r="BY326" i="7"/>
  <c r="BE8" i="1"/>
  <c r="BF6" i="1"/>
  <c r="BA47" i="15"/>
  <c r="BA49" i="15"/>
  <c r="BA30" i="15"/>
  <c r="BF7" i="1" s="1"/>
  <c r="BW7" i="1" s="1"/>
  <c r="BA46" i="15"/>
  <c r="BA48" i="15"/>
  <c r="BA43" i="15"/>
  <c r="BY1035" i="7"/>
  <c r="BY1043" i="7" s="1"/>
  <c r="BZ1043" i="7" s="1"/>
  <c r="BY819" i="7"/>
  <c r="BZ819" i="7" s="1"/>
  <c r="BS9" i="15"/>
  <c r="BF11" i="15"/>
  <c r="BF28" i="15"/>
  <c r="BF15" i="15"/>
  <c r="BF41" i="15"/>
  <c r="BH10" i="1"/>
  <c r="BH9" i="1"/>
  <c r="AY110" i="15"/>
  <c r="AY114" i="15"/>
  <c r="BD102" i="15"/>
  <c r="AY124" i="15"/>
  <c r="BE21" i="15"/>
  <c r="BJ6" i="1"/>
  <c r="BE17" i="15"/>
  <c r="BE20" i="15"/>
  <c r="BE23" i="15"/>
  <c r="BE22" i="15"/>
  <c r="BS302" i="14"/>
  <c r="BO26" i="14"/>
  <c r="BP52" i="14"/>
  <c r="BP83" i="14"/>
  <c r="BP86" i="14" s="1"/>
  <c r="BQ82" i="14"/>
  <c r="BS168" i="14"/>
  <c r="BS167" i="14" s="1"/>
  <c r="BT140" i="14"/>
  <c r="BO303" i="14"/>
  <c r="BO306" i="14" s="1"/>
  <c r="BP306" i="14" s="1"/>
  <c r="BP300" i="14"/>
  <c r="BN50" i="14"/>
  <c r="AT85" i="15"/>
  <c r="AT87" i="15" s="1"/>
  <c r="AY22" i="1" s="1"/>
  <c r="BW238" i="7"/>
  <c r="BW211" i="7"/>
  <c r="BW212" i="7"/>
  <c r="BW1036" i="7"/>
  <c r="BW246" i="14"/>
  <c r="BW305" i="14"/>
  <c r="BX245" i="14"/>
  <c r="BX315" i="14" s="1"/>
  <c r="BX318" i="14" s="1"/>
  <c r="BX846" i="7"/>
  <c r="BX237" i="7"/>
  <c r="BY6" i="9"/>
  <c r="BD92" i="15"/>
  <c r="BD93" i="15" s="1"/>
  <c r="BP274" i="14"/>
  <c r="BW255" i="14"/>
  <c r="AR87" i="15"/>
  <c r="BT384" i="7"/>
  <c r="BL54" i="14"/>
  <c r="BT201" i="14"/>
  <c r="BS200" i="14"/>
  <c r="BS195" i="14"/>
  <c r="BR194" i="14"/>
  <c r="BQ231" i="14"/>
  <c r="BB136" i="44" l="1"/>
  <c r="B16" i="56"/>
  <c r="F16" i="56" s="1"/>
  <c r="I16" i="56" s="1"/>
  <c r="F16" i="46"/>
  <c r="BF139" i="7"/>
  <c r="BD209" i="14"/>
  <c r="BD216" i="14"/>
  <c r="BD219" i="14" s="1"/>
  <c r="BA19" i="44"/>
  <c r="BN203" i="20"/>
  <c r="BN248" i="20" s="1"/>
  <c r="BN280" i="20" s="1"/>
  <c r="D17" i="46"/>
  <c r="AZ114" i="15"/>
  <c r="BE118" i="15"/>
  <c r="BA66" i="44"/>
  <c r="I17" i="47"/>
  <c r="BA68" i="44"/>
  <c r="AZ124" i="15"/>
  <c r="BI9" i="1"/>
  <c r="AZ110" i="15"/>
  <c r="BE43" i="15"/>
  <c r="BE30" i="15"/>
  <c r="BJ7" i="1" s="1"/>
  <c r="BJ8" i="1" s="1"/>
  <c r="BE49" i="15"/>
  <c r="BF46" i="15"/>
  <c r="BE46" i="15"/>
  <c r="BE48" i="15"/>
  <c r="BQ812" i="7"/>
  <c r="C14" i="39"/>
  <c r="E46" i="39" s="1"/>
  <c r="BP247" i="20"/>
  <c r="BO279" i="20"/>
  <c r="BP18" i="20"/>
  <c r="BF191" i="14"/>
  <c r="BG191" i="14" s="1"/>
  <c r="BH191" i="14" s="1"/>
  <c r="BI191" i="14" s="1"/>
  <c r="BJ191" i="14" s="1"/>
  <c r="BE204" i="14"/>
  <c r="BE192" i="14"/>
  <c r="BE238" i="14"/>
  <c r="BE239" i="14" s="1"/>
  <c r="BE240" i="14" s="1"/>
  <c r="BB104" i="14"/>
  <c r="BB100" i="14"/>
  <c r="BB107" i="14"/>
  <c r="BB108" i="14" s="1"/>
  <c r="AZ12" i="14"/>
  <c r="AZ46" i="14"/>
  <c r="BB185" i="14"/>
  <c r="BT78" i="14"/>
  <c r="BS80" i="14"/>
  <c r="BC184" i="14"/>
  <c r="BC99" i="14"/>
  <c r="BC106" i="14" s="1"/>
  <c r="BC134" i="14"/>
  <c r="BC133" i="14"/>
  <c r="BC144" i="14"/>
  <c r="BR157" i="20" s="1"/>
  <c r="BS131" i="14"/>
  <c r="BW71" i="14"/>
  <c r="BV72" i="14"/>
  <c r="BE95" i="14"/>
  <c r="BD132" i="14"/>
  <c r="BD143" i="14"/>
  <c r="BD96" i="14"/>
  <c r="BB40" i="14"/>
  <c r="BB149" i="14"/>
  <c r="BB152" i="14" s="1"/>
  <c r="BF47" i="15"/>
  <c r="BF48" i="15"/>
  <c r="BZ24" i="7"/>
  <c r="BF56" i="15" s="1"/>
  <c r="BF58" i="15" s="1"/>
  <c r="BF66" i="15" s="1"/>
  <c r="BX255" i="14"/>
  <c r="AP663" i="7"/>
  <c r="AP661" i="7"/>
  <c r="AP660" i="7"/>
  <c r="AO617" i="7"/>
  <c r="AO537" i="7"/>
  <c r="AL396" i="7"/>
  <c r="AL471" i="7"/>
  <c r="AN562" i="7"/>
  <c r="AN620" i="7"/>
  <c r="AO618" i="7"/>
  <c r="BQ1041" i="7"/>
  <c r="BU1041" i="7"/>
  <c r="BP1046" i="7"/>
  <c r="P500" i="7"/>
  <c r="P498" i="7"/>
  <c r="BH277" i="7"/>
  <c r="BG286" i="7"/>
  <c r="BG139" i="7"/>
  <c r="AJ406" i="7"/>
  <c r="AJ414" i="7"/>
  <c r="BQ797" i="7"/>
  <c r="BQ799" i="7"/>
  <c r="BQ796" i="7"/>
  <c r="BR791" i="7"/>
  <c r="BR798" i="7" s="1"/>
  <c r="BQ800" i="7"/>
  <c r="BF76" i="7"/>
  <c r="AH607" i="7"/>
  <c r="AH566" i="7"/>
  <c r="BS789" i="7"/>
  <c r="BR806" i="7"/>
  <c r="BR807" i="7" s="1"/>
  <c r="BR809" i="7" s="1"/>
  <c r="P616" i="7"/>
  <c r="O622" i="7"/>
  <c r="O624" i="7" s="1"/>
  <c r="O619" i="7"/>
  <c r="P540" i="7"/>
  <c r="P541" i="7" s="1"/>
  <c r="P544" i="7" s="1"/>
  <c r="AN596" i="7"/>
  <c r="AN577" i="7" s="1"/>
  <c r="AN597" i="7"/>
  <c r="AH745" i="7"/>
  <c r="E49" i="16" s="1"/>
  <c r="AG746" i="7"/>
  <c r="AG749" i="7"/>
  <c r="AG156" i="7" s="1"/>
  <c r="AO527" i="7"/>
  <c r="AP524" i="7" s="1"/>
  <c r="AP527" i="7" s="1"/>
  <c r="AE158" i="7"/>
  <c r="AF201" i="7"/>
  <c r="AE202" i="7"/>
  <c r="AE204" i="7" s="1"/>
  <c r="AJ500" i="7"/>
  <c r="AJ498" i="7"/>
  <c r="AJ764" i="7"/>
  <c r="AJ766" i="7"/>
  <c r="AJ767" i="7" s="1"/>
  <c r="AJ768" i="7" s="1"/>
  <c r="AJ771" i="7" s="1"/>
  <c r="AJ601" i="7"/>
  <c r="AJ602" i="7" s="1"/>
  <c r="AK602" i="7" s="1"/>
  <c r="AK603" i="7" s="1"/>
  <c r="BR1054" i="7"/>
  <c r="BR1060" i="7" s="1"/>
  <c r="BQ1074" i="7"/>
  <c r="BQ1047" i="7"/>
  <c r="BR1041" i="7" s="1"/>
  <c r="P764" i="7"/>
  <c r="P601" i="7"/>
  <c r="P766" i="7"/>
  <c r="P767" i="7" s="1"/>
  <c r="P768" i="7" s="1"/>
  <c r="P771" i="7" s="1"/>
  <c r="AB482" i="7"/>
  <c r="AA483" i="7"/>
  <c r="AA484" i="7" s="1"/>
  <c r="Q390" i="7"/>
  <c r="Q393" i="7"/>
  <c r="R393" i="7" s="1"/>
  <c r="Q392" i="7"/>
  <c r="AO559" i="7"/>
  <c r="AP503" i="7"/>
  <c r="AO508" i="7"/>
  <c r="O607" i="7"/>
  <c r="O566" i="7"/>
  <c r="AK394" i="7"/>
  <c r="AK396" i="7" s="1"/>
  <c r="BQ798" i="7"/>
  <c r="AJ503" i="7"/>
  <c r="AI508" i="7"/>
  <c r="AI559" i="7"/>
  <c r="AI560" i="7" s="1"/>
  <c r="P406" i="7"/>
  <c r="P414" i="7"/>
  <c r="P421" i="7"/>
  <c r="P420" i="7"/>
  <c r="AI529" i="7"/>
  <c r="AH532" i="7"/>
  <c r="AP650" i="7"/>
  <c r="AP526" i="7" s="1"/>
  <c r="AQ526" i="7" s="1"/>
  <c r="AQ527" i="7" s="1"/>
  <c r="AV524" i="7" s="1"/>
  <c r="AP662" i="7"/>
  <c r="AP658" i="7"/>
  <c r="AP657" i="7"/>
  <c r="AH619" i="7"/>
  <c r="AH622" i="7"/>
  <c r="AI616" i="7"/>
  <c r="AP561" i="7"/>
  <c r="AP473" i="7"/>
  <c r="AP470" i="7"/>
  <c r="AP497" i="7"/>
  <c r="AR559" i="7"/>
  <c r="BQ810" i="7"/>
  <c r="AE533" i="7"/>
  <c r="AF530" i="7"/>
  <c r="AJ200" i="7"/>
  <c r="P512" i="7"/>
  <c r="AI605" i="7"/>
  <c r="AI271" i="7"/>
  <c r="BQ811" i="7"/>
  <c r="AR652" i="7"/>
  <c r="AQ649" i="7"/>
  <c r="AQ654" i="7"/>
  <c r="AQ655" i="7" s="1"/>
  <c r="BV788" i="7"/>
  <c r="BU805" i="7"/>
  <c r="BT804" i="7"/>
  <c r="BU787" i="7"/>
  <c r="BU790" i="7"/>
  <c r="AR986" i="7"/>
  <c r="AU338" i="7"/>
  <c r="AV347" i="7"/>
  <c r="AV18" i="12"/>
  <c r="BS653" i="7"/>
  <c r="BS647" i="7"/>
  <c r="BS666" i="7" s="1"/>
  <c r="BI18" i="1"/>
  <c r="BD66" i="15"/>
  <c r="BF8" i="1"/>
  <c r="BW6" i="1"/>
  <c r="BE9" i="1"/>
  <c r="BE10" i="1"/>
  <c r="BA114" i="15"/>
  <c r="BA110" i="15"/>
  <c r="BA124" i="15"/>
  <c r="BF21" i="15"/>
  <c r="BF43" i="15"/>
  <c r="BS11" i="15"/>
  <c r="BF23" i="15"/>
  <c r="BF30" i="15"/>
  <c r="BK7" i="1" s="1"/>
  <c r="BX7" i="1" s="1"/>
  <c r="BF22" i="15"/>
  <c r="BF20" i="15"/>
  <c r="BF17" i="15"/>
  <c r="BD110" i="15"/>
  <c r="BD118" i="15"/>
  <c r="BE64" i="15"/>
  <c r="BE58" i="15"/>
  <c r="BK6" i="1"/>
  <c r="BF102" i="15"/>
  <c r="BF114" i="15" s="1"/>
  <c r="AU96" i="15"/>
  <c r="AU98" i="15" s="1"/>
  <c r="BP26" i="14"/>
  <c r="AV96" i="15" s="1"/>
  <c r="BQ83" i="14"/>
  <c r="BQ86" i="14" s="1"/>
  <c r="BR82" i="14"/>
  <c r="BQ52" i="14"/>
  <c r="BO24" i="14"/>
  <c r="BO50" i="14" s="1"/>
  <c r="BP50" i="14" s="1"/>
  <c r="BT168" i="14"/>
  <c r="BT167" i="14" s="1"/>
  <c r="BU140" i="14"/>
  <c r="BQ274" i="14"/>
  <c r="BQ300" i="14" s="1"/>
  <c r="BX246" i="14"/>
  <c r="AW22" i="1"/>
  <c r="BX1036" i="7"/>
  <c r="BX212" i="7"/>
  <c r="BX238" i="7"/>
  <c r="BX211" i="7"/>
  <c r="BY245" i="14"/>
  <c r="BY315" i="14" s="1"/>
  <c r="BY318" i="14" s="1"/>
  <c r="BY846" i="7"/>
  <c r="BY237" i="7"/>
  <c r="BE92" i="15"/>
  <c r="BX305" i="14"/>
  <c r="BP303" i="14"/>
  <c r="BQ308" i="14"/>
  <c r="BT195" i="14"/>
  <c r="BU201" i="14"/>
  <c r="BT200" i="14"/>
  <c r="BS194" i="14"/>
  <c r="L17" i="47" l="1"/>
  <c r="BC185" i="14"/>
  <c r="BC138" i="44"/>
  <c r="BB19" i="44"/>
  <c r="B17" i="56"/>
  <c r="F17" i="46"/>
  <c r="BN34" i="20"/>
  <c r="J7" i="18" s="1"/>
  <c r="K7" i="18" s="1"/>
  <c r="D17" i="56"/>
  <c r="F17" i="56" s="1"/>
  <c r="I17" i="56" s="1"/>
  <c r="BE216" i="14"/>
  <c r="BE219" i="14" s="1"/>
  <c r="BF219" i="14" s="1"/>
  <c r="BE209" i="14"/>
  <c r="BF118" i="15"/>
  <c r="BF124" i="15" s="1"/>
  <c r="BP105" i="20"/>
  <c r="D15" i="39" s="1"/>
  <c r="BA219" i="14"/>
  <c r="BF64" i="15"/>
  <c r="BP279" i="20"/>
  <c r="I14" i="39"/>
  <c r="BF204" i="14"/>
  <c r="BF192" i="14"/>
  <c r="BF238" i="14"/>
  <c r="BF239" i="14"/>
  <c r="BF240" i="14"/>
  <c r="BC107" i="14"/>
  <c r="BC108" i="14" s="1"/>
  <c r="BC100" i="14"/>
  <c r="BC104" i="14"/>
  <c r="BU78" i="14"/>
  <c r="BT80" i="14"/>
  <c r="BT131" i="14"/>
  <c r="BB12" i="14"/>
  <c r="BB46" i="14"/>
  <c r="AZ18" i="14"/>
  <c r="BA12" i="14"/>
  <c r="BA18" i="14" s="1"/>
  <c r="BC40" i="14"/>
  <c r="BC149" i="14"/>
  <c r="BC152" i="14" s="1"/>
  <c r="BK18" i="1"/>
  <c r="BD134" i="14"/>
  <c r="BD133" i="14"/>
  <c r="BD99" i="14"/>
  <c r="BD106" i="14" s="1"/>
  <c r="BD184" i="14"/>
  <c r="BD144" i="14"/>
  <c r="BS157" i="20" s="1"/>
  <c r="BT142" i="14"/>
  <c r="BF95" i="14"/>
  <c r="BE132" i="14"/>
  <c r="BE143" i="14"/>
  <c r="BE96" i="14"/>
  <c r="BW72" i="14"/>
  <c r="BX71" i="14"/>
  <c r="Q535" i="7"/>
  <c r="BH286" i="7"/>
  <c r="BI277" i="7"/>
  <c r="BH139" i="7"/>
  <c r="BH76" i="7" s="1"/>
  <c r="P154" i="7"/>
  <c r="P155" i="7" s="1"/>
  <c r="P157" i="7" s="1"/>
  <c r="P772" i="7"/>
  <c r="P773" i="7" s="1"/>
  <c r="P775" i="7" s="1"/>
  <c r="F91" i="16" s="1"/>
  <c r="BQ1046" i="7"/>
  <c r="AP601" i="7"/>
  <c r="AP766" i="7"/>
  <c r="AP767" i="7" s="1"/>
  <c r="AP768" i="7" s="1"/>
  <c r="AP771" i="7" s="1"/>
  <c r="AP764" i="7"/>
  <c r="AH609" i="7"/>
  <c r="AH606" i="7"/>
  <c r="AH672" i="7" s="1"/>
  <c r="AH670" i="7"/>
  <c r="AH671" i="7"/>
  <c r="AN607" i="7"/>
  <c r="AN566" i="7"/>
  <c r="AL603" i="7"/>
  <c r="AK607" i="7"/>
  <c r="AN619" i="7"/>
  <c r="AN622" i="7"/>
  <c r="AO616" i="7"/>
  <c r="AL470" i="7"/>
  <c r="AL473" i="7"/>
  <c r="BS1054" i="7"/>
  <c r="BS1060" i="7" s="1"/>
  <c r="BR1074" i="7"/>
  <c r="BR1047" i="7"/>
  <c r="Q408" i="7"/>
  <c r="P413" i="7"/>
  <c r="AI562" i="7"/>
  <c r="AI620" i="7"/>
  <c r="AJ618" i="7"/>
  <c r="AQ650" i="7"/>
  <c r="AQ658" i="7"/>
  <c r="AQ657" i="7"/>
  <c r="AQ662" i="7"/>
  <c r="AO538" i="7"/>
  <c r="BR811" i="7"/>
  <c r="AQ663" i="7"/>
  <c r="AQ661" i="7"/>
  <c r="O606" i="7"/>
  <c r="O672" i="7" s="1"/>
  <c r="O670" i="7"/>
  <c r="O671" i="7"/>
  <c r="AO560" i="7"/>
  <c r="AO594" i="7"/>
  <c r="BR810" i="7"/>
  <c r="O627" i="7"/>
  <c r="AP500" i="7"/>
  <c r="AP498" i="7"/>
  <c r="AQ660" i="7"/>
  <c r="AJ509" i="7"/>
  <c r="AJ597" i="7"/>
  <c r="AJ596" i="7"/>
  <c r="AJ564" i="7" s="1"/>
  <c r="AJ501" i="7"/>
  <c r="AR649" i="7"/>
  <c r="AR654" i="7"/>
  <c r="AS652" i="7"/>
  <c r="AR524" i="7"/>
  <c r="AG201" i="7"/>
  <c r="AH201" i="7" s="1"/>
  <c r="AF158" i="7"/>
  <c r="AF202" i="7"/>
  <c r="AF204" i="7" s="1"/>
  <c r="Q467" i="7"/>
  <c r="Q412" i="7"/>
  <c r="R392" i="7"/>
  <c r="BR812" i="7"/>
  <c r="AP617" i="7"/>
  <c r="AQ617" i="7" s="1"/>
  <c r="AP537" i="7"/>
  <c r="AP538" i="7" s="1"/>
  <c r="Q465" i="7"/>
  <c r="Q409" i="7"/>
  <c r="R390" i="7"/>
  <c r="R394" i="7" s="1"/>
  <c r="Q394" i="7"/>
  <c r="Q396" i="7" s="1"/>
  <c r="AJ413" i="7"/>
  <c r="AK408" i="7"/>
  <c r="AK413" i="7" s="1"/>
  <c r="P596" i="7"/>
  <c r="P564" i="7" s="1"/>
  <c r="P605" i="7" s="1"/>
  <c r="P597" i="7"/>
  <c r="P565" i="7" s="1"/>
  <c r="P501" i="7"/>
  <c r="P509" i="7"/>
  <c r="AI611" i="7"/>
  <c r="AK200" i="7"/>
  <c r="C24" i="17"/>
  <c r="AH749" i="7"/>
  <c r="AH156" i="7" s="1"/>
  <c r="AH157" i="7" s="1"/>
  <c r="AH746" i="7"/>
  <c r="AI745" i="7"/>
  <c r="E46" i="16" s="1"/>
  <c r="AR594" i="7"/>
  <c r="AR560" i="7"/>
  <c r="AJ772" i="7"/>
  <c r="AJ773" i="7" s="1"/>
  <c r="AJ154" i="7"/>
  <c r="AJ155" i="7" s="1"/>
  <c r="AI532" i="7"/>
  <c r="AJ529" i="7"/>
  <c r="BG76" i="7"/>
  <c r="BS806" i="7"/>
  <c r="BS807" i="7" s="1"/>
  <c r="BS809" i="7" s="1"/>
  <c r="BT789" i="7"/>
  <c r="BR799" i="7"/>
  <c r="BR797" i="7"/>
  <c r="BR796" i="7"/>
  <c r="BR800" i="7"/>
  <c r="BS791" i="7"/>
  <c r="AG530" i="7"/>
  <c r="AF533" i="7"/>
  <c r="AB483" i="7"/>
  <c r="AB484" i="7" s="1"/>
  <c r="AC482" i="7"/>
  <c r="BW788" i="7"/>
  <c r="BV805" i="7"/>
  <c r="BV790" i="7"/>
  <c r="BV787" i="7"/>
  <c r="BU804" i="7"/>
  <c r="AV338" i="7"/>
  <c r="AQ986" i="7"/>
  <c r="AP986" i="7" s="1"/>
  <c r="AT22" i="44"/>
  <c r="BS665" i="7"/>
  <c r="BE66" i="15"/>
  <c r="BJ18" i="1"/>
  <c r="BK8" i="1"/>
  <c r="BX6" i="1"/>
  <c r="BW8" i="1"/>
  <c r="BF9" i="1"/>
  <c r="BF10" i="1"/>
  <c r="BJ9" i="1"/>
  <c r="BJ10" i="1"/>
  <c r="BF110" i="15"/>
  <c r="BP24" i="14"/>
  <c r="AU85" i="15"/>
  <c r="AV85" i="15" s="1"/>
  <c r="BV302" i="14"/>
  <c r="AZ24" i="1"/>
  <c r="AV98" i="15"/>
  <c r="BQ26" i="14"/>
  <c r="BR83" i="14"/>
  <c r="BR86" i="14" s="1"/>
  <c r="BR52" i="14"/>
  <c r="BR26" i="14" s="1"/>
  <c r="AX96" i="15" s="1"/>
  <c r="AX98" i="15" s="1"/>
  <c r="BC24" i="1" s="1"/>
  <c r="BS82" i="14"/>
  <c r="BV140" i="14"/>
  <c r="BQ303" i="14"/>
  <c r="BQ306" i="14" s="1"/>
  <c r="BZ245" i="14"/>
  <c r="BZ315" i="14" s="1"/>
  <c r="BZ318" i="14" s="1"/>
  <c r="BY246" i="14"/>
  <c r="BY1036" i="7"/>
  <c r="BR274" i="14"/>
  <c r="BR300" i="14" s="1"/>
  <c r="BY305" i="14"/>
  <c r="BZ305" i="14" s="1"/>
  <c r="BY255" i="14"/>
  <c r="BZ255" i="14" s="1"/>
  <c r="BT302" i="14"/>
  <c r="BU302" i="14" s="1"/>
  <c r="BE93" i="15"/>
  <c r="BF92" i="15"/>
  <c r="BQ23" i="14"/>
  <c r="BZ237" i="7"/>
  <c r="BY211" i="7"/>
  <c r="BY212" i="7"/>
  <c r="BZ212" i="7" s="1"/>
  <c r="BY238" i="7"/>
  <c r="BV201" i="14"/>
  <c r="BU200" i="14"/>
  <c r="BT194" i="14"/>
  <c r="AQ538" i="7" l="1"/>
  <c r="BB68" i="44"/>
  <c r="M17" i="47" s="1"/>
  <c r="BC136" i="44"/>
  <c r="BD185" i="14"/>
  <c r="BD138" i="44"/>
  <c r="AH675" i="7"/>
  <c r="AH676" i="7" s="1"/>
  <c r="N7" i="18"/>
  <c r="P7" i="18" s="1"/>
  <c r="L7" i="18"/>
  <c r="O7" i="18"/>
  <c r="Q7" i="18" s="1"/>
  <c r="M7" i="18"/>
  <c r="BO19" i="20"/>
  <c r="BP63" i="20"/>
  <c r="BO74" i="20"/>
  <c r="O675" i="7"/>
  <c r="O676" i="7" s="1"/>
  <c r="BS810" i="7"/>
  <c r="BS811" i="7"/>
  <c r="BS812" i="7"/>
  <c r="BG192" i="14"/>
  <c r="BG204" i="14"/>
  <c r="BG238" i="14"/>
  <c r="BG239" i="14" s="1"/>
  <c r="BG240" i="14" s="1"/>
  <c r="BG235" i="14"/>
  <c r="BG236" i="14" s="1"/>
  <c r="AL13" i="1"/>
  <c r="AG71" i="15"/>
  <c r="BN71" i="15" s="1"/>
  <c r="BC12" i="14"/>
  <c r="BC18" i="14" s="1"/>
  <c r="BC46" i="14"/>
  <c r="BG95" i="14"/>
  <c r="BF132" i="14"/>
  <c r="BF143" i="14"/>
  <c r="AK13" i="1"/>
  <c r="AF71" i="15"/>
  <c r="BB18" i="14"/>
  <c r="BY71" i="14"/>
  <c r="BX72" i="14"/>
  <c r="BE184" i="14"/>
  <c r="BE134" i="14"/>
  <c r="BE133" i="14"/>
  <c r="BF96" i="14"/>
  <c r="BE99" i="14"/>
  <c r="BE106" i="14" s="1"/>
  <c r="BE144" i="14"/>
  <c r="BT157" i="20" s="1"/>
  <c r="BV142" i="14"/>
  <c r="BU131" i="14"/>
  <c r="BD40" i="14"/>
  <c r="BD149" i="14"/>
  <c r="BD152" i="14" s="1"/>
  <c r="BV78" i="14"/>
  <c r="BU80" i="14"/>
  <c r="BD100" i="14"/>
  <c r="BD107" i="14"/>
  <c r="BD108" i="14" s="1"/>
  <c r="BD104" i="14"/>
  <c r="BU142" i="14"/>
  <c r="AJ271" i="7"/>
  <c r="AJ605" i="7"/>
  <c r="AK503" i="7"/>
  <c r="AK508" i="7" s="1"/>
  <c r="AJ559" i="7"/>
  <c r="AJ560" i="7" s="1"/>
  <c r="AJ508" i="7"/>
  <c r="AR597" i="7"/>
  <c r="AR596" i="7"/>
  <c r="AG533" i="7"/>
  <c r="AH530" i="7"/>
  <c r="Q507" i="7"/>
  <c r="R412" i="7"/>
  <c r="Q413" i="7"/>
  <c r="AP602" i="7"/>
  <c r="AP509" i="7"/>
  <c r="AP501" i="7"/>
  <c r="P776" i="7"/>
  <c r="D10" i="17"/>
  <c r="Q775" i="7"/>
  <c r="F88" i="16" s="1"/>
  <c r="Q504" i="7"/>
  <c r="R409" i="7"/>
  <c r="AH673" i="7"/>
  <c r="AJ565" i="7"/>
  <c r="AK519" i="7"/>
  <c r="AD482" i="7"/>
  <c r="AC483" i="7"/>
  <c r="AC484" i="7" s="1"/>
  <c r="R467" i="7"/>
  <c r="Q487" i="7"/>
  <c r="BU789" i="7"/>
  <c r="BT806" i="7"/>
  <c r="BT807" i="7" s="1"/>
  <c r="BT809" i="7" s="1"/>
  <c r="P508" i="7"/>
  <c r="P559" i="7"/>
  <c r="P560" i="7" s="1"/>
  <c r="Q503" i="7"/>
  <c r="BI286" i="7"/>
  <c r="BI139" i="7"/>
  <c r="BJ277" i="7"/>
  <c r="R396" i="7"/>
  <c r="R471" i="7"/>
  <c r="R473" i="7" s="1"/>
  <c r="R465" i="7"/>
  <c r="Q476" i="7"/>
  <c r="Q468" i="7"/>
  <c r="Q470" i="7" s="1"/>
  <c r="AR562" i="7"/>
  <c r="AR620" i="7"/>
  <c r="AS618" i="7"/>
  <c r="AP772" i="7"/>
  <c r="AP773" i="7" s="1"/>
  <c r="AP154" i="7"/>
  <c r="AP155" i="7" s="1"/>
  <c r="BS797" i="7"/>
  <c r="BS800" i="7"/>
  <c r="BT791" i="7"/>
  <c r="BS799" i="7"/>
  <c r="BS796" i="7"/>
  <c r="AO562" i="7"/>
  <c r="AO620" i="7"/>
  <c r="AP618" i="7"/>
  <c r="AQ618" i="7" s="1"/>
  <c r="AS654" i="7"/>
  <c r="AT652" i="7"/>
  <c r="AS649" i="7"/>
  <c r="AK529" i="7"/>
  <c r="AJ532" i="7"/>
  <c r="BT1054" i="7"/>
  <c r="BT1060" i="7" s="1"/>
  <c r="BS1074" i="7"/>
  <c r="BS1047" i="7"/>
  <c r="BS798" i="7"/>
  <c r="AR658" i="7"/>
  <c r="AR650" i="7"/>
  <c r="AR526" i="7" s="1"/>
  <c r="AR527" i="7" s="1"/>
  <c r="AS524" i="7" s="1"/>
  <c r="AR657" i="7"/>
  <c r="AN606" i="7"/>
  <c r="AN672" i="7" s="1"/>
  <c r="AN609" i="7"/>
  <c r="AN671" i="7"/>
  <c r="AN670" i="7"/>
  <c r="AJ745" i="7"/>
  <c r="E43" i="16" s="1"/>
  <c r="C25" i="17"/>
  <c r="AI749" i="7"/>
  <c r="AI156" i="7" s="1"/>
  <c r="AI157" i="7" s="1"/>
  <c r="AI746" i="7"/>
  <c r="AI607" i="7"/>
  <c r="AI566" i="7"/>
  <c r="O673" i="7"/>
  <c r="AR655" i="7"/>
  <c r="AR662" i="7" s="1"/>
  <c r="AK606" i="7"/>
  <c r="AK672" i="7" s="1"/>
  <c r="AK670" i="7"/>
  <c r="AK671" i="7"/>
  <c r="Q536" i="7"/>
  <c r="R536" i="7" s="1"/>
  <c r="AI619" i="7"/>
  <c r="AI622" i="7"/>
  <c r="AJ616" i="7"/>
  <c r="BR1046" i="7"/>
  <c r="BS1041" i="7"/>
  <c r="AO597" i="7"/>
  <c r="AO596" i="7"/>
  <c r="AL200" i="7"/>
  <c r="AG202" i="7"/>
  <c r="AG204" i="7" s="1"/>
  <c r="AQ537" i="7"/>
  <c r="AL607" i="7"/>
  <c r="AL602" i="7"/>
  <c r="AM602" i="7" s="1"/>
  <c r="AM603" i="7" s="1"/>
  <c r="AM607" i="7" s="1"/>
  <c r="BX788" i="7"/>
  <c r="BW805" i="7"/>
  <c r="BV804" i="7"/>
  <c r="BW787" i="7"/>
  <c r="BW790" i="7"/>
  <c r="AR357" i="7"/>
  <c r="AR23" i="44"/>
  <c r="AT339" i="7"/>
  <c r="AU189" i="7"/>
  <c r="AU190" i="7" s="1"/>
  <c r="AU195" i="7" s="1"/>
  <c r="AV691" i="7"/>
  <c r="AW697" i="7" s="1"/>
  <c r="AT71" i="44"/>
  <c r="E20" i="47" s="1"/>
  <c r="AU192" i="7"/>
  <c r="AU193" i="7" s="1"/>
  <c r="AU680" i="7"/>
  <c r="AU264" i="7"/>
  <c r="AU266" i="7" s="1"/>
  <c r="AU244" i="7" s="1"/>
  <c r="AU567" i="7"/>
  <c r="AU765" i="7" s="1"/>
  <c r="AU727" i="7"/>
  <c r="BK10" i="1"/>
  <c r="BK9" i="1"/>
  <c r="BX8" i="1"/>
  <c r="AU87" i="15"/>
  <c r="AZ22" i="1" s="1"/>
  <c r="AW96" i="15"/>
  <c r="AW98" i="15" s="1"/>
  <c r="BT82" i="14"/>
  <c r="BS83" i="14"/>
  <c r="BS86" i="14" s="1"/>
  <c r="BS52" i="14"/>
  <c r="BS26" i="14" s="1"/>
  <c r="AY96" i="15" s="1"/>
  <c r="AY98" i="15" s="1"/>
  <c r="BD24" i="1" s="1"/>
  <c r="AV97" i="15"/>
  <c r="BA24" i="1"/>
  <c r="BV168" i="14"/>
  <c r="BV167" i="14" s="1"/>
  <c r="BW140" i="14"/>
  <c r="BR303" i="14"/>
  <c r="BR306" i="14" s="1"/>
  <c r="BR24" i="14" s="1"/>
  <c r="BZ211" i="7"/>
  <c r="BQ49" i="14"/>
  <c r="AW79" i="15"/>
  <c r="BW302" i="14"/>
  <c r="BS274" i="14"/>
  <c r="BS300" i="14" s="1"/>
  <c r="BZ1036" i="7"/>
  <c r="BQ24" i="14"/>
  <c r="BU194" i="14"/>
  <c r="BV195" i="14"/>
  <c r="BW201" i="14"/>
  <c r="BV200" i="14"/>
  <c r="BE185" i="14" l="1"/>
  <c r="BE138" i="44"/>
  <c r="BC19" i="44"/>
  <c r="BD136" i="44"/>
  <c r="BU157" i="20"/>
  <c r="AN675" i="7"/>
  <c r="AN676" i="7" s="1"/>
  <c r="AV697" i="7"/>
  <c r="BG216" i="14"/>
  <c r="BG219" i="14" s="1"/>
  <c r="BG209" i="14"/>
  <c r="AN673" i="7"/>
  <c r="G39" i="53"/>
  <c r="G7" i="52"/>
  <c r="C15" i="39"/>
  <c r="BP74" i="20"/>
  <c r="BP19" i="20"/>
  <c r="BO34" i="20"/>
  <c r="J4" i="18" s="1"/>
  <c r="E15" i="39"/>
  <c r="BO203" i="20"/>
  <c r="AU149" i="7"/>
  <c r="AU198" i="7"/>
  <c r="AV198" i="7" s="1"/>
  <c r="BH238" i="14"/>
  <c r="BH239" i="14" s="1"/>
  <c r="BH240" i="14" s="1"/>
  <c r="BH192" i="14"/>
  <c r="BH204" i="14"/>
  <c r="BZ71" i="14"/>
  <c r="BY72" i="14"/>
  <c r="BF134" i="14"/>
  <c r="BF133" i="14"/>
  <c r="BF99" i="14"/>
  <c r="BF106" i="14" s="1"/>
  <c r="BF144" i="14"/>
  <c r="BF149" i="14" s="1"/>
  <c r="BF152" i="14" s="1"/>
  <c r="BG132" i="14"/>
  <c r="BH95" i="14"/>
  <c r="BG143" i="14"/>
  <c r="BG96" i="14"/>
  <c r="BW78" i="14"/>
  <c r="BV80" i="14"/>
  <c r="AI71" i="15"/>
  <c r="AN13" i="1"/>
  <c r="BF184" i="14"/>
  <c r="BF185" i="14" s="1"/>
  <c r="BW142" i="14"/>
  <c r="BV131" i="14"/>
  <c r="AM13" i="1"/>
  <c r="AH71" i="15"/>
  <c r="BB28" i="14"/>
  <c r="AH103" i="15" s="1"/>
  <c r="BE149" i="14"/>
  <c r="BE152" i="14" s="1"/>
  <c r="BD46" i="14"/>
  <c r="BD12" i="14"/>
  <c r="BE100" i="14"/>
  <c r="BE104" i="14"/>
  <c r="BE107" i="14"/>
  <c r="BE108" i="14" s="1"/>
  <c r="Q508" i="7"/>
  <c r="AK675" i="7"/>
  <c r="AK676" i="7" s="1"/>
  <c r="AV87" i="15"/>
  <c r="BA22" i="1" s="1"/>
  <c r="AP559" i="7"/>
  <c r="AP508" i="7"/>
  <c r="BT796" i="7"/>
  <c r="BU791" i="7"/>
  <c r="BU798" i="7" s="1"/>
  <c r="BT800" i="7"/>
  <c r="BT797" i="7"/>
  <c r="BT799" i="7"/>
  <c r="BV789" i="7"/>
  <c r="BU806" i="7"/>
  <c r="BU807" i="7" s="1"/>
  <c r="BU809" i="7" s="1"/>
  <c r="Q618" i="7"/>
  <c r="R618" i="7" s="1"/>
  <c r="R507" i="7"/>
  <c r="AP616" i="7"/>
  <c r="AO619" i="7"/>
  <c r="AO622" i="7"/>
  <c r="P562" i="7"/>
  <c r="P620" i="7"/>
  <c r="P554" i="7"/>
  <c r="P552" i="7"/>
  <c r="Q539" i="7" s="1"/>
  <c r="AH533" i="7"/>
  <c r="AI530" i="7"/>
  <c r="AM200" i="7"/>
  <c r="C26" i="17"/>
  <c r="AJ746" i="7"/>
  <c r="AK745" i="7"/>
  <c r="E40" i="16" s="1"/>
  <c r="AJ749" i="7"/>
  <c r="AJ156" i="7" s="1"/>
  <c r="AJ157" i="7" s="1"/>
  <c r="BT798" i="7"/>
  <c r="AK673" i="7"/>
  <c r="BT1041" i="7"/>
  <c r="BS1046" i="7"/>
  <c r="BJ286" i="7"/>
  <c r="BK277" i="7"/>
  <c r="BL277" i="7" s="1"/>
  <c r="BJ139" i="7"/>
  <c r="BJ76" i="7" s="1"/>
  <c r="AR577" i="7"/>
  <c r="AR39" i="12"/>
  <c r="AR38" i="12" s="1"/>
  <c r="AR617" i="7"/>
  <c r="AR619" i="7" s="1"/>
  <c r="AR537" i="7"/>
  <c r="AR538" i="7" s="1"/>
  <c r="BT810" i="7"/>
  <c r="BI76" i="7"/>
  <c r="AM606" i="7"/>
  <c r="AM672" i="7" s="1"/>
  <c r="AM671" i="7"/>
  <c r="AM670" i="7"/>
  <c r="AK532" i="7"/>
  <c r="AL529" i="7"/>
  <c r="BT812" i="7"/>
  <c r="R468" i="7"/>
  <c r="R470" i="7" s="1"/>
  <c r="AJ620" i="7"/>
  <c r="AK618" i="7"/>
  <c r="AL618" i="7" s="1"/>
  <c r="AJ562" i="7"/>
  <c r="AD483" i="7"/>
  <c r="AD484" i="7" s="1"/>
  <c r="AE484" i="7" s="1"/>
  <c r="AE482" i="7"/>
  <c r="AL670" i="7"/>
  <c r="AL606" i="7"/>
  <c r="AL672" i="7" s="1"/>
  <c r="AL671" i="7"/>
  <c r="R476" i="7"/>
  <c r="Q477" i="7"/>
  <c r="AI606" i="7"/>
  <c r="AI672" i="7" s="1"/>
  <c r="AI609" i="7"/>
  <c r="AI670" i="7"/>
  <c r="AI671" i="7"/>
  <c r="R413" i="7"/>
  <c r="AO566" i="7"/>
  <c r="AO607" i="7"/>
  <c r="Q488" i="7"/>
  <c r="R487" i="7"/>
  <c r="AS616" i="7"/>
  <c r="BU1060" i="7"/>
  <c r="BT1074" i="7"/>
  <c r="BT1047" i="7"/>
  <c r="AK520" i="7"/>
  <c r="AK608" i="7" s="1"/>
  <c r="AK609" i="7" s="1"/>
  <c r="AL519" i="7"/>
  <c r="AK492" i="7"/>
  <c r="AI201" i="7"/>
  <c r="AH158" i="7"/>
  <c r="AH159" i="7"/>
  <c r="AH202" i="7"/>
  <c r="AH204" i="7" s="1"/>
  <c r="AU652" i="7"/>
  <c r="AT649" i="7"/>
  <c r="AT654" i="7"/>
  <c r="R504" i="7"/>
  <c r="Q511" i="7"/>
  <c r="AJ611" i="7"/>
  <c r="AS650" i="7"/>
  <c r="AS526" i="7" s="1"/>
  <c r="AS658" i="7"/>
  <c r="AS657" i="7"/>
  <c r="AO39" i="12"/>
  <c r="AO577" i="7"/>
  <c r="AR663" i="7"/>
  <c r="AR661" i="7"/>
  <c r="AR660" i="7"/>
  <c r="AR607" i="7"/>
  <c r="AR566" i="7"/>
  <c r="BT811" i="7"/>
  <c r="AS655" i="7"/>
  <c r="AS662" i="7" s="1"/>
  <c r="R775" i="7"/>
  <c r="Q776" i="7"/>
  <c r="D11" i="17"/>
  <c r="BX805" i="7"/>
  <c r="BY788" i="7"/>
  <c r="BX790" i="7"/>
  <c r="BX787" i="7"/>
  <c r="BW804" i="7"/>
  <c r="AU22" i="44"/>
  <c r="AR72" i="44"/>
  <c r="AR24" i="44"/>
  <c r="AR35" i="44" s="1"/>
  <c r="AV195" i="7"/>
  <c r="AV189" i="7"/>
  <c r="AS10" i="45"/>
  <c r="AV680" i="7"/>
  <c r="AV192" i="7"/>
  <c r="AV264" i="7"/>
  <c r="AV266" i="7" s="1"/>
  <c r="AV244" i="7" s="1"/>
  <c r="AV567" i="7"/>
  <c r="AV765" i="7" s="1"/>
  <c r="BT83" i="14"/>
  <c r="BT86" i="14" s="1"/>
  <c r="BU82" i="14"/>
  <c r="BT52" i="14"/>
  <c r="BB24" i="1"/>
  <c r="BX140" i="14"/>
  <c r="BW168" i="14"/>
  <c r="BW167" i="14" s="1"/>
  <c r="BQ50" i="14"/>
  <c r="AW85" i="15"/>
  <c r="AX85" i="15"/>
  <c r="AX87" i="15" s="1"/>
  <c r="BC22" i="1" s="1"/>
  <c r="BR50" i="14"/>
  <c r="BX302" i="14"/>
  <c r="BS303" i="14"/>
  <c r="BS306" i="14" s="1"/>
  <c r="BS24" i="14" s="1"/>
  <c r="BT274" i="14"/>
  <c r="BT300" i="14" s="1"/>
  <c r="BV194" i="14"/>
  <c r="BW200" i="14"/>
  <c r="BW195" i="14"/>
  <c r="BX201" i="14"/>
  <c r="BD68" i="44" l="1"/>
  <c r="O17" i="47" s="1"/>
  <c r="BD19" i="44"/>
  <c r="BC68" i="44"/>
  <c r="N17" i="47" s="1"/>
  <c r="BE136" i="44"/>
  <c r="BP34" i="20"/>
  <c r="K4" i="18"/>
  <c r="L4" i="18"/>
  <c r="N4" i="18"/>
  <c r="P4" i="18" s="1"/>
  <c r="BH216" i="14"/>
  <c r="BH219" i="14" s="1"/>
  <c r="BH209" i="14"/>
  <c r="BP203" i="20"/>
  <c r="H15" i="39" s="1"/>
  <c r="H47" i="39" s="1"/>
  <c r="BO248" i="20"/>
  <c r="E47" i="39"/>
  <c r="AR622" i="7"/>
  <c r="AI675" i="7"/>
  <c r="AI676" i="7" s="1"/>
  <c r="Q540" i="7"/>
  <c r="R540" i="7" s="1"/>
  <c r="AM673" i="7"/>
  <c r="BU811" i="7"/>
  <c r="BK76" i="7"/>
  <c r="BI204" i="14"/>
  <c r="BI238" i="14"/>
  <c r="BI239" i="14" s="1"/>
  <c r="BI240" i="14" s="1"/>
  <c r="BJ204" i="14"/>
  <c r="BI192" i="14"/>
  <c r="AV86" i="15"/>
  <c r="BG184" i="14"/>
  <c r="BG133" i="14"/>
  <c r="BG99" i="14"/>
  <c r="BG106" i="14" s="1"/>
  <c r="BG134" i="14"/>
  <c r="BG144" i="14"/>
  <c r="BI95" i="14"/>
  <c r="BH132" i="14"/>
  <c r="BH143" i="14"/>
  <c r="BH96" i="14"/>
  <c r="BX78" i="14"/>
  <c r="BW80" i="14"/>
  <c r="BF100" i="14"/>
  <c r="BF104" i="14"/>
  <c r="BE40" i="14"/>
  <c r="BF107" i="14"/>
  <c r="BD18" i="14"/>
  <c r="BF108" i="14"/>
  <c r="BW131" i="14"/>
  <c r="BX142" i="14"/>
  <c r="AL675" i="7"/>
  <c r="AL676" i="7" s="1"/>
  <c r="P566" i="7"/>
  <c r="P607" i="7"/>
  <c r="BL139" i="7"/>
  <c r="BM277" i="7"/>
  <c r="BL286" i="7"/>
  <c r="R511" i="7"/>
  <c r="Q512" i="7"/>
  <c r="BW789" i="7"/>
  <c r="BV806" i="7"/>
  <c r="BV807" i="7" s="1"/>
  <c r="BV812" i="7" s="1"/>
  <c r="AS617" i="7"/>
  <c r="AS537" i="7"/>
  <c r="AS538" i="7" s="1"/>
  <c r="C27" i="17"/>
  <c r="AK746" i="7"/>
  <c r="AK749" i="7"/>
  <c r="AK156" i="7" s="1"/>
  <c r="AK157" i="7" s="1"/>
  <c r="AL745" i="7"/>
  <c r="AL520" i="7"/>
  <c r="AL608" i="7" s="1"/>
  <c r="AL609" i="7" s="1"/>
  <c r="AQ492" i="7"/>
  <c r="AL492" i="7"/>
  <c r="AM519" i="7"/>
  <c r="BT1046" i="7"/>
  <c r="BU1047" i="7"/>
  <c r="BU1059" i="7"/>
  <c r="BU1074" i="7"/>
  <c r="BZ1054" i="7"/>
  <c r="BV1054" i="7"/>
  <c r="BV1060" i="7" s="1"/>
  <c r="AO609" i="7"/>
  <c r="AO606" i="7"/>
  <c r="AO672" i="7" s="1"/>
  <c r="AO670" i="7"/>
  <c r="AO671" i="7"/>
  <c r="AT650" i="7"/>
  <c r="AT657" i="7"/>
  <c r="AT658" i="7"/>
  <c r="AT655" i="7"/>
  <c r="AS663" i="7"/>
  <c r="AS661" i="7"/>
  <c r="AS660" i="7"/>
  <c r="AV652" i="7"/>
  <c r="AU649" i="7"/>
  <c r="AU654" i="7"/>
  <c r="AU655" i="7" s="1"/>
  <c r="AU660" i="7" s="1"/>
  <c r="AI673" i="7"/>
  <c r="BK139" i="7"/>
  <c r="AJ530" i="7"/>
  <c r="AI533" i="7"/>
  <c r="BU800" i="7"/>
  <c r="BU797" i="7"/>
  <c r="BU799" i="7"/>
  <c r="BV791" i="7"/>
  <c r="BU796" i="7"/>
  <c r="AL673" i="7"/>
  <c r="AO38" i="12"/>
  <c r="AP30" i="12" s="1"/>
  <c r="AP31" i="12"/>
  <c r="AE483" i="7"/>
  <c r="AE485" i="7" s="1"/>
  <c r="AF482" i="7"/>
  <c r="AK622" i="7"/>
  <c r="AK616" i="7"/>
  <c r="AK619" i="7" s="1"/>
  <c r="AJ619" i="7"/>
  <c r="AJ622" i="7"/>
  <c r="BU812" i="7"/>
  <c r="AM675" i="7"/>
  <c r="AM676" i="7" s="1"/>
  <c r="AR606" i="7"/>
  <c r="AR672" i="7" s="1"/>
  <c r="AR609" i="7"/>
  <c r="AR670" i="7"/>
  <c r="AR671" i="7"/>
  <c r="R539" i="7"/>
  <c r="AJ607" i="7"/>
  <c r="AJ566" i="7"/>
  <c r="BU810" i="7"/>
  <c r="R508" i="7"/>
  <c r="R776" i="7"/>
  <c r="S775" i="7"/>
  <c r="F85" i="16" s="1"/>
  <c r="AP560" i="7"/>
  <c r="AP594" i="7"/>
  <c r="S487" i="7"/>
  <c r="R488" i="7"/>
  <c r="AM529" i="7"/>
  <c r="AL532" i="7"/>
  <c r="AN200" i="7"/>
  <c r="AI159" i="7"/>
  <c r="AJ201" i="7"/>
  <c r="AI158" i="7"/>
  <c r="AI202" i="7"/>
  <c r="AI204" i="7" s="1"/>
  <c r="R477" i="7"/>
  <c r="S476" i="7"/>
  <c r="P619" i="7"/>
  <c r="P622" i="7"/>
  <c r="P624" i="7" s="1"/>
  <c r="Q622" i="7"/>
  <c r="Q616" i="7"/>
  <c r="Q619" i="7" s="1"/>
  <c r="AS527" i="7"/>
  <c r="AT524" i="7" s="1"/>
  <c r="BZ788" i="7"/>
  <c r="BY805" i="7"/>
  <c r="BX804" i="7"/>
  <c r="BY787" i="7"/>
  <c r="BY790" i="7"/>
  <c r="AR73" i="44"/>
  <c r="AR82" i="44" s="1"/>
  <c r="AV149" i="7"/>
  <c r="AU339" i="7"/>
  <c r="AV352" i="7"/>
  <c r="AU71" i="44"/>
  <c r="F20" i="47" s="1"/>
  <c r="G20" i="47" s="1"/>
  <c r="AV22" i="44"/>
  <c r="AV11" i="13"/>
  <c r="AV144" i="13" s="1"/>
  <c r="AS1071" i="7"/>
  <c r="AS302" i="7" s="1"/>
  <c r="AS994" i="7"/>
  <c r="AS995" i="7"/>
  <c r="BT26" i="14"/>
  <c r="BU52" i="14"/>
  <c r="BU83" i="14"/>
  <c r="BU86" i="14" s="1"/>
  <c r="BV82" i="14"/>
  <c r="BX168" i="14"/>
  <c r="BX167" i="14" s="1"/>
  <c r="BY140" i="14"/>
  <c r="BT303" i="14"/>
  <c r="BT306" i="14" s="1"/>
  <c r="BU306" i="14" s="1"/>
  <c r="BU300" i="14"/>
  <c r="BS50" i="14"/>
  <c r="AY85" i="15"/>
  <c r="AY87" i="15" s="1"/>
  <c r="BD22" i="1" s="1"/>
  <c r="BU274" i="14"/>
  <c r="BQ54" i="14"/>
  <c r="AW87" i="15"/>
  <c r="BW194" i="14"/>
  <c r="BX195" i="14"/>
  <c r="BX200" i="14"/>
  <c r="BY201" i="14"/>
  <c r="BE19" i="44" l="1"/>
  <c r="BF19" i="44" s="1"/>
  <c r="M4" i="18"/>
  <c r="O4" i="18"/>
  <c r="Q4" i="18" s="1"/>
  <c r="AR675" i="7"/>
  <c r="AR676" i="7" s="1"/>
  <c r="BJ216" i="14"/>
  <c r="BJ219" i="14" s="1"/>
  <c r="BK219" i="14" s="1"/>
  <c r="BJ209" i="14"/>
  <c r="BI216" i="14"/>
  <c r="BI219" i="14" s="1"/>
  <c r="BI209" i="14"/>
  <c r="AV8" i="13"/>
  <c r="BK234" i="20" s="1"/>
  <c r="AV7" i="13"/>
  <c r="BK233" i="20" s="1"/>
  <c r="Q541" i="7"/>
  <c r="Q544" i="7" s="1"/>
  <c r="Q552" i="7" s="1"/>
  <c r="R541" i="7"/>
  <c r="R544" i="7" s="1"/>
  <c r="R552" i="7" s="1"/>
  <c r="BP248" i="20"/>
  <c r="BO280" i="20"/>
  <c r="AO675" i="7"/>
  <c r="AO676" i="7" s="1"/>
  <c r="AV5" i="13"/>
  <c r="AV4" i="13"/>
  <c r="BV809" i="7"/>
  <c r="AW22" i="44"/>
  <c r="BJ192" i="14"/>
  <c r="BK191" i="14"/>
  <c r="BL191" i="14" s="1"/>
  <c r="BM191" i="14" s="1"/>
  <c r="BN191" i="14" s="1"/>
  <c r="BO191" i="14" s="1"/>
  <c r="BJ238" i="14"/>
  <c r="BJ239" i="14" s="1"/>
  <c r="BJ240" i="14" s="1"/>
  <c r="BK240" i="14" s="1"/>
  <c r="BY78" i="14"/>
  <c r="BX80" i="14"/>
  <c r="BY142" i="14"/>
  <c r="BX131" i="14"/>
  <c r="BG40" i="14"/>
  <c r="BG149" i="14"/>
  <c r="BG152" i="14" s="1"/>
  <c r="BJ95" i="14"/>
  <c r="BI132" i="14"/>
  <c r="BI143" i="14"/>
  <c r="BI96" i="14"/>
  <c r="AO13" i="1"/>
  <c r="AJ71" i="15"/>
  <c r="BG185" i="14"/>
  <c r="BG104" i="14"/>
  <c r="BG100" i="14"/>
  <c r="BG107" i="14"/>
  <c r="BG108" i="14" s="1"/>
  <c r="BH99" i="14"/>
  <c r="BH106" i="14" s="1"/>
  <c r="BH184" i="14"/>
  <c r="BH185" i="14" s="1"/>
  <c r="BH134" i="14"/>
  <c r="BH133" i="14"/>
  <c r="BH144" i="14"/>
  <c r="BF40" i="14"/>
  <c r="BF46" i="14" s="1"/>
  <c r="BE12" i="14"/>
  <c r="BE46" i="14"/>
  <c r="AO673" i="7"/>
  <c r="S488" i="7"/>
  <c r="T487" i="7"/>
  <c r="D12" i="17"/>
  <c r="T775" i="7"/>
  <c r="F82" i="16" s="1"/>
  <c r="S776" i="7"/>
  <c r="AJ609" i="7"/>
  <c r="AJ606" i="7"/>
  <c r="AJ672" i="7" s="1"/>
  <c r="AJ670" i="7"/>
  <c r="AJ671" i="7"/>
  <c r="AW652" i="7"/>
  <c r="AV654" i="7"/>
  <c r="AV655" i="7" s="1"/>
  <c r="AV660" i="7" s="1"/>
  <c r="AV649" i="7"/>
  <c r="AT661" i="7"/>
  <c r="AT663" i="7"/>
  <c r="AT660" i="7"/>
  <c r="P627" i="7"/>
  <c r="Q624" i="7"/>
  <c r="BV1074" i="7"/>
  <c r="BW1054" i="7"/>
  <c r="BW1060" i="7" s="1"/>
  <c r="BV1047" i="7"/>
  <c r="BW1041" i="7" s="1"/>
  <c r="BV810" i="7"/>
  <c r="BX789" i="7"/>
  <c r="BW806" i="7"/>
  <c r="BW807" i="7" s="1"/>
  <c r="BW809" i="7" s="1"/>
  <c r="AO200" i="7"/>
  <c r="BM286" i="7"/>
  <c r="BN277" i="7"/>
  <c r="BM139" i="7"/>
  <c r="BM76" i="7" s="1"/>
  <c r="AP596" i="7"/>
  <c r="AP597" i="7"/>
  <c r="AL749" i="7"/>
  <c r="AL156" i="7" s="1"/>
  <c r="AL746" i="7"/>
  <c r="AM745" i="7"/>
  <c r="E37" i="16" s="1"/>
  <c r="AJ158" i="7"/>
  <c r="AK201" i="7"/>
  <c r="AJ159" i="7"/>
  <c r="AJ202" i="7"/>
  <c r="AJ204" i="7" s="1"/>
  <c r="S511" i="7"/>
  <c r="R512" i="7"/>
  <c r="AU661" i="7"/>
  <c r="AU663" i="7"/>
  <c r="BU1046" i="7"/>
  <c r="BV1041" i="7"/>
  <c r="BZ1041" i="7"/>
  <c r="BL76" i="7"/>
  <c r="AF483" i="7"/>
  <c r="AF484" i="7" s="1"/>
  <c r="AG482" i="7"/>
  <c r="AP562" i="7"/>
  <c r="AP620" i="7"/>
  <c r="AT662" i="7"/>
  <c r="BV797" i="7"/>
  <c r="BV799" i="7"/>
  <c r="BW791" i="7"/>
  <c r="BW798" i="7" s="1"/>
  <c r="BV796" i="7"/>
  <c r="BV800" i="7"/>
  <c r="T476" i="7"/>
  <c r="S477" i="7"/>
  <c r="AR673" i="7"/>
  <c r="AU650" i="7"/>
  <c r="AU658" i="7"/>
  <c r="AU657" i="7"/>
  <c r="AU662" i="7"/>
  <c r="P606" i="7"/>
  <c r="P672" i="7" s="1"/>
  <c r="P670" i="7"/>
  <c r="P671" i="7"/>
  <c r="R619" i="7"/>
  <c r="BV798" i="7"/>
  <c r="AK530" i="7"/>
  <c r="AJ533" i="7"/>
  <c r="BV811" i="7"/>
  <c r="AM532" i="7"/>
  <c r="AN529" i="7"/>
  <c r="AL619" i="7"/>
  <c r="AM492" i="7"/>
  <c r="AM520" i="7"/>
  <c r="AM608" i="7" s="1"/>
  <c r="AM609" i="7" s="1"/>
  <c r="AN492" i="7"/>
  <c r="BY804" i="7"/>
  <c r="BZ787" i="7"/>
  <c r="BZ805" i="7"/>
  <c r="BZ790" i="7"/>
  <c r="AV339" i="7"/>
  <c r="AW765" i="7"/>
  <c r="AW192" i="7"/>
  <c r="AW680" i="7"/>
  <c r="AV71" i="44"/>
  <c r="AU245" i="7"/>
  <c r="AZ96" i="15"/>
  <c r="AZ98" i="15" s="1"/>
  <c r="BU26" i="14"/>
  <c r="BA96" i="15" s="1"/>
  <c r="BT24" i="14"/>
  <c r="BT50" i="14" s="1"/>
  <c r="BU50" i="14" s="1"/>
  <c r="BV83" i="14"/>
  <c r="BV86" i="14" s="1"/>
  <c r="BV52" i="14"/>
  <c r="BW82" i="14"/>
  <c r="BY168" i="14"/>
  <c r="BY167" i="14" s="1"/>
  <c r="BZ140" i="14"/>
  <c r="BV274" i="14"/>
  <c r="BV300" i="14" s="1"/>
  <c r="BB22" i="1"/>
  <c r="BY302" i="14"/>
  <c r="BZ302" i="14" s="1"/>
  <c r="BU303" i="14"/>
  <c r="BV308" i="14"/>
  <c r="BX194" i="14"/>
  <c r="BZ201" i="14"/>
  <c r="BZ200" i="14" s="1"/>
  <c r="BY195" i="14"/>
  <c r="BY200" i="14"/>
  <c r="BE68" i="44" l="1"/>
  <c r="R554" i="7"/>
  <c r="S535" i="7"/>
  <c r="W535" i="7"/>
  <c r="Q554" i="7"/>
  <c r="P675" i="7"/>
  <c r="P676" i="7" s="1"/>
  <c r="BP280" i="20"/>
  <c r="I15" i="39"/>
  <c r="BW811" i="7"/>
  <c r="BW812" i="7"/>
  <c r="BV1046" i="7"/>
  <c r="BW810" i="7"/>
  <c r="AW71" i="44"/>
  <c r="H20" i="47" s="1"/>
  <c r="BK239" i="14"/>
  <c r="BK204" i="14"/>
  <c r="BK216" i="14" s="1"/>
  <c r="BK192" i="14"/>
  <c r="BK238" i="14"/>
  <c r="BH40" i="14"/>
  <c r="BH149" i="14"/>
  <c r="BH152" i="14" s="1"/>
  <c r="BI134" i="14"/>
  <c r="BI133" i="14"/>
  <c r="BI99" i="14"/>
  <c r="BI106" i="14" s="1"/>
  <c r="BI184" i="14"/>
  <c r="BI144" i="14"/>
  <c r="BE18" i="14"/>
  <c r="BF12" i="14"/>
  <c r="BF18" i="14" s="1"/>
  <c r="BZ78" i="14"/>
  <c r="BZ80" i="14" s="1"/>
  <c r="BY80" i="14"/>
  <c r="BK95" i="14"/>
  <c r="BJ132" i="14"/>
  <c r="BJ143" i="14"/>
  <c r="BJ96" i="14"/>
  <c r="BG46" i="14"/>
  <c r="BG12" i="14"/>
  <c r="BH100" i="14"/>
  <c r="BH107" i="14"/>
  <c r="BH108" i="14" s="1"/>
  <c r="BH104" i="14"/>
  <c r="BY131" i="14"/>
  <c r="BZ131" i="14"/>
  <c r="AJ673" i="7"/>
  <c r="BU24" i="14"/>
  <c r="AZ85" i="15"/>
  <c r="AZ87" i="15" s="1"/>
  <c r="BE22" i="1" s="1"/>
  <c r="Q627" i="7"/>
  <c r="R624" i="7"/>
  <c r="BY789" i="7"/>
  <c r="BX806" i="7"/>
  <c r="BX807" i="7" s="1"/>
  <c r="BX809" i="7" s="1"/>
  <c r="AX652" i="7"/>
  <c r="AW649" i="7"/>
  <c r="AW654" i="7"/>
  <c r="AW655" i="7" s="1"/>
  <c r="AP200" i="7"/>
  <c r="AJ675" i="7"/>
  <c r="AJ676" i="7" s="1"/>
  <c r="AP577" i="7"/>
  <c r="AP39" i="12"/>
  <c r="AP38" i="12" s="1"/>
  <c r="BW1074" i="7"/>
  <c r="BX1054" i="7"/>
  <c r="BX1060" i="7" s="1"/>
  <c r="BW1047" i="7"/>
  <c r="AK158" i="7"/>
  <c r="AK159" i="7"/>
  <c r="AL201" i="7"/>
  <c r="AK202" i="7"/>
  <c r="AK204" i="7" s="1"/>
  <c r="U775" i="7"/>
  <c r="F79" i="16" s="1"/>
  <c r="T776" i="7"/>
  <c r="D13" i="17"/>
  <c r="AP622" i="7"/>
  <c r="AP619" i="7"/>
  <c r="AQ619" i="7" s="1"/>
  <c r="AK533" i="7"/>
  <c r="AL530" i="7"/>
  <c r="S512" i="7"/>
  <c r="T511" i="7"/>
  <c r="BW796" i="7"/>
  <c r="BW797" i="7"/>
  <c r="BW800" i="7"/>
  <c r="BX791" i="7"/>
  <c r="BW799" i="7"/>
  <c r="S536" i="7"/>
  <c r="AG483" i="7"/>
  <c r="AG484" i="7" s="1"/>
  <c r="AH484" i="7" s="1"/>
  <c r="AI484" i="7" s="1"/>
  <c r="AH482" i="7"/>
  <c r="U476" i="7"/>
  <c r="T477" i="7"/>
  <c r="AN532" i="7"/>
  <c r="AO529" i="7"/>
  <c r="C28" i="17"/>
  <c r="C105" i="17" s="1"/>
  <c r="AM749" i="7"/>
  <c r="AM156" i="7" s="1"/>
  <c r="AM157" i="7" s="1"/>
  <c r="AN745" i="7"/>
  <c r="E34" i="16" s="1"/>
  <c r="AM746" i="7"/>
  <c r="S540" i="7"/>
  <c r="S539" i="7"/>
  <c r="T488" i="7"/>
  <c r="U487" i="7"/>
  <c r="AP607" i="7"/>
  <c r="AP566" i="7"/>
  <c r="BN286" i="7"/>
  <c r="BO277" i="7"/>
  <c r="BN139" i="7"/>
  <c r="BN76" i="7" s="1"/>
  <c r="P673" i="7"/>
  <c r="AV661" i="7"/>
  <c r="AV663" i="7"/>
  <c r="AV650" i="7"/>
  <c r="AV658" i="7"/>
  <c r="AV657" i="7"/>
  <c r="AV662" i="7"/>
  <c r="BZ804" i="7"/>
  <c r="AW193" i="7"/>
  <c r="AW770" i="7"/>
  <c r="AV245" i="7"/>
  <c r="BW52" i="14"/>
  <c r="BW26" i="14" s="1"/>
  <c r="BC96" i="15" s="1"/>
  <c r="BC98" i="15" s="1"/>
  <c r="BH24" i="1" s="1"/>
  <c r="BW83" i="14"/>
  <c r="BW86" i="14" s="1"/>
  <c r="BX82" i="14"/>
  <c r="BE24" i="1"/>
  <c r="BA98" i="15"/>
  <c r="BV26" i="14"/>
  <c r="BV303" i="14"/>
  <c r="BV306" i="14" s="1"/>
  <c r="BW274" i="14"/>
  <c r="BW300" i="14" s="1"/>
  <c r="BV23" i="14"/>
  <c r="BY194" i="14"/>
  <c r="BF68" i="44" l="1"/>
  <c r="P17" i="47"/>
  <c r="Q17" i="47" s="1"/>
  <c r="S541" i="7"/>
  <c r="S544" i="7" s="1"/>
  <c r="BX812" i="7"/>
  <c r="BX810" i="7"/>
  <c r="BX811" i="7"/>
  <c r="AX22" i="44"/>
  <c r="BL235" i="14"/>
  <c r="BL236" i="14" s="1"/>
  <c r="BL204" i="14"/>
  <c r="BL238" i="14"/>
  <c r="BL239" i="14" s="1"/>
  <c r="BL240" i="14" s="1"/>
  <c r="BL192" i="14"/>
  <c r="BJ184" i="14"/>
  <c r="BJ185" i="14" s="1"/>
  <c r="BJ134" i="14"/>
  <c r="BJ99" i="14"/>
  <c r="BJ106" i="14" s="1"/>
  <c r="BK96" i="14"/>
  <c r="BJ133" i="14"/>
  <c r="BJ144" i="14"/>
  <c r="BA85" i="15"/>
  <c r="BL95" i="14"/>
  <c r="BK132" i="14"/>
  <c r="BK143" i="14"/>
  <c r="BI104" i="14"/>
  <c r="BI107" i="14"/>
  <c r="BI108" i="14" s="1"/>
  <c r="BI100" i="14"/>
  <c r="AL71" i="15"/>
  <c r="BO71" i="15" s="1"/>
  <c r="AQ13" i="1"/>
  <c r="BI185" i="14"/>
  <c r="BI40" i="14"/>
  <c r="BI149" i="14"/>
  <c r="BI152" i="14" s="1"/>
  <c r="BG18" i="14"/>
  <c r="BH12" i="14"/>
  <c r="BH18" i="14" s="1"/>
  <c r="BH46" i="14"/>
  <c r="AP13" i="1"/>
  <c r="AK71" i="15"/>
  <c r="BZ142" i="14"/>
  <c r="BA87" i="15"/>
  <c r="BF22" i="1" s="1"/>
  <c r="T535" i="7"/>
  <c r="S554" i="7"/>
  <c r="S552" i="7"/>
  <c r="AW661" i="7"/>
  <c r="AW663" i="7"/>
  <c r="AW660" i="7"/>
  <c r="BX1074" i="7"/>
  <c r="BY1054" i="7"/>
  <c r="BY1060" i="7" s="1"/>
  <c r="BX1047" i="7"/>
  <c r="C29" i="17"/>
  <c r="C106" i="17" s="1"/>
  <c r="AN746" i="7"/>
  <c r="AO745" i="7"/>
  <c r="E31" i="16" s="1"/>
  <c r="AN749" i="7"/>
  <c r="AN156" i="7" s="1"/>
  <c r="AN157" i="7" s="1"/>
  <c r="AY652" i="7"/>
  <c r="AX654" i="7"/>
  <c r="AX655" i="7" s="1"/>
  <c r="AX660" i="7" s="1"/>
  <c r="AX649" i="7"/>
  <c r="BX797" i="7"/>
  <c r="BX800" i="7"/>
  <c r="BX796" i="7"/>
  <c r="BY791" i="7"/>
  <c r="BY798" i="7" s="1"/>
  <c r="BX799" i="7"/>
  <c r="AQ200" i="7"/>
  <c r="AW650" i="7"/>
  <c r="AW657" i="7"/>
  <c r="AW658" i="7"/>
  <c r="AW662" i="7"/>
  <c r="AP529" i="7"/>
  <c r="AO532" i="7"/>
  <c r="D14" i="17"/>
  <c r="V775" i="7"/>
  <c r="F76" i="16" s="1"/>
  <c r="U776" i="7"/>
  <c r="BY806" i="7"/>
  <c r="BY807" i="7" s="1"/>
  <c r="BY809" i="7" s="1"/>
  <c r="BZ789" i="7"/>
  <c r="BW1046" i="7"/>
  <c r="BX1041" i="7"/>
  <c r="V487" i="7"/>
  <c r="U488" i="7"/>
  <c r="T512" i="7"/>
  <c r="U511" i="7"/>
  <c r="U477" i="7"/>
  <c r="V476" i="7"/>
  <c r="BX798" i="7"/>
  <c r="BP277" i="7"/>
  <c r="BQ277" i="7" s="1"/>
  <c r="BO286" i="7"/>
  <c r="BO139" i="7"/>
  <c r="BO76" i="7" s="1"/>
  <c r="BP76" i="7" s="1"/>
  <c r="AP609" i="7"/>
  <c r="AP606" i="7"/>
  <c r="AP672" i="7" s="1"/>
  <c r="AP670" i="7"/>
  <c r="AP671" i="7"/>
  <c r="AP675" i="7" s="1"/>
  <c r="AP676" i="7" s="1"/>
  <c r="AL533" i="7"/>
  <c r="AM530" i="7"/>
  <c r="AH483" i="7"/>
  <c r="AH485" i="7" s="1"/>
  <c r="AI482" i="7"/>
  <c r="AM201" i="7"/>
  <c r="AL202" i="7"/>
  <c r="AL204" i="7" s="1"/>
  <c r="R627" i="7"/>
  <c r="S624" i="7"/>
  <c r="E105" i="17"/>
  <c r="AW275" i="7"/>
  <c r="BF24" i="1"/>
  <c r="BA97" i="15"/>
  <c r="BX83" i="14"/>
  <c r="BX86" i="14" s="1"/>
  <c r="BX52" i="14"/>
  <c r="BX26" i="14" s="1"/>
  <c r="BD96" i="15" s="1"/>
  <c r="BD98" i="15" s="1"/>
  <c r="BI24" i="1" s="1"/>
  <c r="BY82" i="14"/>
  <c r="BB96" i="15"/>
  <c r="BB98" i="15" s="1"/>
  <c r="BW303" i="14"/>
  <c r="BW306" i="14" s="1"/>
  <c r="BW24" i="14" s="1"/>
  <c r="BV49" i="14"/>
  <c r="BB79" i="15"/>
  <c r="BX274" i="14"/>
  <c r="BX300" i="14" s="1"/>
  <c r="BV24" i="14"/>
  <c r="BZ194" i="14"/>
  <c r="AW278" i="7" l="1"/>
  <c r="AW245" i="7" s="1"/>
  <c r="BP139" i="7"/>
  <c r="BL216" i="14"/>
  <c r="BL219" i="14" s="1"/>
  <c r="BL209" i="14"/>
  <c r="AX71" i="44"/>
  <c r="I20" i="47" s="1"/>
  <c r="BK184" i="14"/>
  <c r="BK185" i="14" s="1"/>
  <c r="BM204" i="14"/>
  <c r="BM192" i="14"/>
  <c r="BM238" i="14"/>
  <c r="BM239" i="14" s="1"/>
  <c r="BM240" i="14" s="1"/>
  <c r="BA86" i="15"/>
  <c r="BK99" i="14"/>
  <c r="BK106" i="14" s="1"/>
  <c r="BK133" i="14"/>
  <c r="BK134" i="14"/>
  <c r="BK144" i="14"/>
  <c r="BK149" i="14" s="1"/>
  <c r="BK152" i="14" s="1"/>
  <c r="AN71" i="15"/>
  <c r="AS13" i="1"/>
  <c r="BL132" i="14"/>
  <c r="BM95" i="14"/>
  <c r="BL143" i="14"/>
  <c r="BL96" i="14"/>
  <c r="BI12" i="14"/>
  <c r="BI18" i="14" s="1"/>
  <c r="BI46" i="14"/>
  <c r="BJ149" i="14"/>
  <c r="BJ152" i="14" s="1"/>
  <c r="BJ100" i="14"/>
  <c r="BJ107" i="14"/>
  <c r="BJ108" i="14" s="1"/>
  <c r="BK108" i="14" s="1"/>
  <c r="BJ104" i="14"/>
  <c r="AM71" i="15"/>
  <c r="AR13" i="1"/>
  <c r="BG28" i="14"/>
  <c r="AM103" i="15" s="1"/>
  <c r="E106" i="17"/>
  <c r="W487" i="7"/>
  <c r="V488" i="7"/>
  <c r="BY810" i="7"/>
  <c r="AN201" i="7"/>
  <c r="AM158" i="7"/>
  <c r="AM159" i="7"/>
  <c r="AM202" i="7"/>
  <c r="AM204" i="7" s="1"/>
  <c r="AI483" i="7"/>
  <c r="AI485" i="7" s="1"/>
  <c r="AJ482" i="7"/>
  <c r="AN530" i="7"/>
  <c r="AM533" i="7"/>
  <c r="BZ806" i="7"/>
  <c r="BZ807" i="7" s="1"/>
  <c r="BZ810" i="7" s="1"/>
  <c r="C30" i="17"/>
  <c r="C107" i="17" s="1"/>
  <c r="AO749" i="7"/>
  <c r="AO156" i="7" s="1"/>
  <c r="AO157" i="7" s="1"/>
  <c r="AP745" i="7"/>
  <c r="E28" i="16" s="1"/>
  <c r="AO746" i="7"/>
  <c r="AP673" i="7"/>
  <c r="BY812" i="7"/>
  <c r="W476" i="7"/>
  <c r="V477" i="7"/>
  <c r="BX1046" i="7"/>
  <c r="BY1041" i="7"/>
  <c r="AR200" i="7"/>
  <c r="AZ652" i="7"/>
  <c r="AY649" i="7"/>
  <c r="AY654" i="7"/>
  <c r="BY811" i="7"/>
  <c r="AP532" i="7"/>
  <c r="AQ529" i="7"/>
  <c r="BR277" i="7"/>
  <c r="BQ286" i="7"/>
  <c r="BQ139" i="7"/>
  <c r="V511" i="7"/>
  <c r="U512" i="7"/>
  <c r="T539" i="7"/>
  <c r="T540" i="7"/>
  <c r="BZ1060" i="7"/>
  <c r="BY1074" i="7"/>
  <c r="BY1047" i="7"/>
  <c r="S627" i="7"/>
  <c r="T624" i="7"/>
  <c r="BY797" i="7"/>
  <c r="BY799" i="7"/>
  <c r="BY796" i="7"/>
  <c r="BZ791" i="7"/>
  <c r="BZ798" i="7" s="1"/>
  <c r="BY800" i="7"/>
  <c r="AX661" i="7"/>
  <c r="AX663" i="7"/>
  <c r="AX650" i="7"/>
  <c r="AX526" i="7" s="1"/>
  <c r="AX657" i="7"/>
  <c r="AX658" i="7"/>
  <c r="AX662" i="7"/>
  <c r="V776" i="7"/>
  <c r="W775" i="7"/>
  <c r="D15" i="17"/>
  <c r="T536" i="7"/>
  <c r="AS217" i="7"/>
  <c r="AS218" i="7" s="1"/>
  <c r="BY52" i="14"/>
  <c r="BY26" i="14" s="1"/>
  <c r="BE96" i="15" s="1"/>
  <c r="BE98" i="15" s="1"/>
  <c r="BJ24" i="1" s="1"/>
  <c r="BY83" i="14"/>
  <c r="BY86" i="14" s="1"/>
  <c r="BZ82" i="14"/>
  <c r="BZ83" i="14" s="1"/>
  <c r="BZ86" i="14" s="1"/>
  <c r="BG24" i="1"/>
  <c r="BX303" i="14"/>
  <c r="BX306" i="14" s="1"/>
  <c r="BX24" i="14" s="1"/>
  <c r="BW50" i="14"/>
  <c r="BC85" i="15"/>
  <c r="BC87" i="15" s="1"/>
  <c r="BH22" i="1" s="1"/>
  <c r="BB85" i="15"/>
  <c r="BV50" i="14"/>
  <c r="BV54" i="14" s="1"/>
  <c r="BZ274" i="14"/>
  <c r="BY274" i="14"/>
  <c r="BY300" i="14" s="1"/>
  <c r="AY655" i="7" l="1"/>
  <c r="AY658" i="7"/>
  <c r="AY662" i="7"/>
  <c r="AY657" i="7"/>
  <c r="AX537" i="7"/>
  <c r="AX538" i="7" s="1"/>
  <c r="AX617" i="7"/>
  <c r="BM209" i="14"/>
  <c r="BM216" i="14"/>
  <c r="BM219" i="14" s="1"/>
  <c r="T541" i="7"/>
  <c r="T544" i="7" s="1"/>
  <c r="T554" i="7" s="1"/>
  <c r="AY22" i="44"/>
  <c r="BN192" i="14"/>
  <c r="BN238" i="14"/>
  <c r="BN239" i="14" s="1"/>
  <c r="BN240" i="14" s="1"/>
  <c r="BN204" i="14"/>
  <c r="BN95" i="14"/>
  <c r="BM132" i="14"/>
  <c r="BM143" i="14"/>
  <c r="BM96" i="14"/>
  <c r="BK104" i="14"/>
  <c r="BK100" i="14"/>
  <c r="BJ40" i="14"/>
  <c r="BK107" i="14"/>
  <c r="AO71" i="15"/>
  <c r="AT13" i="1"/>
  <c r="BL99" i="14"/>
  <c r="BL106" i="14" s="1"/>
  <c r="BL134" i="14"/>
  <c r="BL133" i="14"/>
  <c r="BL184" i="14"/>
  <c r="BL144" i="14"/>
  <c r="E107" i="17"/>
  <c r="AY650" i="7"/>
  <c r="AY526" i="7" s="1"/>
  <c r="AN533" i="7"/>
  <c r="AO530" i="7"/>
  <c r="AR529" i="7"/>
  <c r="AQ532" i="7"/>
  <c r="C31" i="17"/>
  <c r="C108" i="17" s="1"/>
  <c r="AQ745" i="7"/>
  <c r="AR745" i="7" s="1"/>
  <c r="AP746" i="7"/>
  <c r="AP749" i="7"/>
  <c r="AP156" i="7" s="1"/>
  <c r="AP157" i="7" s="1"/>
  <c r="BZ800" i="7"/>
  <c r="BZ797" i="7"/>
  <c r="BZ799" i="7"/>
  <c r="BZ796" i="7"/>
  <c r="AJ483" i="7"/>
  <c r="AJ484" i="7" s="1"/>
  <c r="AK484" i="7" s="1"/>
  <c r="AK482" i="7"/>
  <c r="AN158" i="7"/>
  <c r="AO201" i="7"/>
  <c r="AN159" i="7"/>
  <c r="AN202" i="7"/>
  <c r="AN204" i="7" s="1"/>
  <c r="BZ809" i="7"/>
  <c r="BR286" i="7"/>
  <c r="BR139" i="7"/>
  <c r="BR76" i="7" s="1"/>
  <c r="BS277" i="7"/>
  <c r="BA652" i="7"/>
  <c r="AZ649" i="7"/>
  <c r="AZ654" i="7"/>
  <c r="AZ655" i="7" s="1"/>
  <c r="AZ660" i="7" s="1"/>
  <c r="BZ811" i="7"/>
  <c r="X775" i="7"/>
  <c r="F73" i="16" s="1"/>
  <c r="W776" i="7"/>
  <c r="X476" i="7"/>
  <c r="W477" i="7"/>
  <c r="X487" i="7"/>
  <c r="W488" i="7"/>
  <c r="AS200" i="7"/>
  <c r="BY1046" i="7"/>
  <c r="BZ1047" i="7"/>
  <c r="BZ1046" i="7" s="1"/>
  <c r="BZ812" i="7"/>
  <c r="BZ1074" i="7"/>
  <c r="BZ1059" i="7"/>
  <c r="V512" i="7"/>
  <c r="W511" i="7"/>
  <c r="U624" i="7"/>
  <c r="T627" i="7"/>
  <c r="BQ76" i="7"/>
  <c r="AY352" i="7"/>
  <c r="BZ52" i="14"/>
  <c r="BZ26" i="14"/>
  <c r="BF96" i="15" s="1"/>
  <c r="BF98" i="15"/>
  <c r="BZ300" i="14"/>
  <c r="BZ303" i="14" s="1"/>
  <c r="BY303" i="14"/>
  <c r="BY306" i="14" s="1"/>
  <c r="BZ306" i="14" s="1"/>
  <c r="BD85" i="15"/>
  <c r="BD87" i="15" s="1"/>
  <c r="BI22" i="1" s="1"/>
  <c r="BX50" i="14"/>
  <c r="BB87" i="15"/>
  <c r="AY339" i="7" l="1"/>
  <c r="W676" i="42"/>
  <c r="U535" i="7"/>
  <c r="AY537" i="7"/>
  <c r="AY538" i="7" s="1"/>
  <c r="AY617" i="7"/>
  <c r="T552" i="7"/>
  <c r="U539" i="7" s="1"/>
  <c r="AY663" i="7"/>
  <c r="AY661" i="7"/>
  <c r="AY660" i="7"/>
  <c r="AS745" i="7"/>
  <c r="AR746" i="7"/>
  <c r="AR749" i="7"/>
  <c r="BN216" i="14"/>
  <c r="BN219" i="14" s="1"/>
  <c r="BN209" i="14"/>
  <c r="AY71" i="44"/>
  <c r="J20" i="47" s="1"/>
  <c r="BO204" i="14"/>
  <c r="BO238" i="14"/>
  <c r="BO239" i="14" s="1"/>
  <c r="BO240" i="14" s="1"/>
  <c r="BP240" i="14" s="1"/>
  <c r="BP191" i="14"/>
  <c r="BQ191" i="14" s="1"/>
  <c r="BR191" i="14" s="1"/>
  <c r="BS191" i="14" s="1"/>
  <c r="BT191" i="14" s="1"/>
  <c r="BO192" i="14"/>
  <c r="BJ46" i="14"/>
  <c r="BJ12" i="14"/>
  <c r="BK40" i="14"/>
  <c r="BK46" i="14" s="1"/>
  <c r="BL149" i="14"/>
  <c r="BL152" i="14" s="1"/>
  <c r="BL40" i="14"/>
  <c r="BL100" i="14"/>
  <c r="BL104" i="14"/>
  <c r="BL107" i="14"/>
  <c r="BL108" i="14" s="1"/>
  <c r="BM99" i="14"/>
  <c r="BM106" i="14" s="1"/>
  <c r="BM134" i="14"/>
  <c r="BM133" i="14"/>
  <c r="BM184" i="14"/>
  <c r="BM185" i="14" s="1"/>
  <c r="BM144" i="14"/>
  <c r="BL185" i="14"/>
  <c r="BO95" i="14"/>
  <c r="BN132" i="14"/>
  <c r="BN143" i="14"/>
  <c r="BN96" i="14"/>
  <c r="E108" i="17"/>
  <c r="AZ663" i="7"/>
  <c r="AZ661" i="7"/>
  <c r="BS139" i="7"/>
  <c r="BS286" i="7"/>
  <c r="BT277" i="7"/>
  <c r="Y775" i="7"/>
  <c r="F70" i="16" s="1"/>
  <c r="X776" i="7"/>
  <c r="D16" i="17"/>
  <c r="X511" i="7"/>
  <c r="W512" i="7"/>
  <c r="AZ650" i="7"/>
  <c r="AZ657" i="7"/>
  <c r="AZ658" i="7"/>
  <c r="AZ662" i="7"/>
  <c r="AQ749" i="7"/>
  <c r="AQ156" i="7" s="1"/>
  <c r="AQ746" i="7"/>
  <c r="E25" i="16"/>
  <c r="AS529" i="7"/>
  <c r="AS532" i="7" s="1"/>
  <c r="AR532" i="7"/>
  <c r="AT200" i="7"/>
  <c r="AU200" i="7" s="1"/>
  <c r="BB652" i="7"/>
  <c r="BA654" i="7"/>
  <c r="BA655" i="7" s="1"/>
  <c r="BA660" i="7" s="1"/>
  <c r="BA649" i="7"/>
  <c r="U540" i="7"/>
  <c r="AO158" i="7"/>
  <c r="AP201" i="7"/>
  <c r="AO159" i="7"/>
  <c r="AO202" i="7"/>
  <c r="AO204" i="7" s="1"/>
  <c r="X477" i="7"/>
  <c r="X478" i="7" s="1"/>
  <c r="Y478" i="7" s="1"/>
  <c r="Z478" i="7" s="1"/>
  <c r="Y476" i="7"/>
  <c r="U536" i="7"/>
  <c r="U627" i="7"/>
  <c r="V624" i="7"/>
  <c r="Y487" i="7"/>
  <c r="X488" i="7"/>
  <c r="X489" i="7" s="1"/>
  <c r="Y489" i="7" s="1"/>
  <c r="Z489" i="7" s="1"/>
  <c r="AK483" i="7"/>
  <c r="AK485" i="7" s="1"/>
  <c r="AL485" i="7" s="1"/>
  <c r="AL482" i="7"/>
  <c r="AP530" i="7"/>
  <c r="AO533" i="7"/>
  <c r="BK24" i="1"/>
  <c r="BF97" i="15"/>
  <c r="BG22" i="1"/>
  <c r="BY24" i="14"/>
  <c r="AS746" i="7" l="1"/>
  <c r="AT745" i="7"/>
  <c r="AS749" i="7"/>
  <c r="BO216" i="14"/>
  <c r="BO219" i="14" s="1"/>
  <c r="BP219" i="14" s="1"/>
  <c r="BO209" i="14"/>
  <c r="AV200" i="7"/>
  <c r="U541" i="7"/>
  <c r="U544" i="7" s="1"/>
  <c r="U554" i="7" s="1"/>
  <c r="BP239" i="14"/>
  <c r="BP238" i="14"/>
  <c r="BP192" i="14"/>
  <c r="BP204" i="14"/>
  <c r="BP216" i="14" s="1"/>
  <c r="BM107" i="14"/>
  <c r="BM108" i="14" s="1"/>
  <c r="BM100" i="14"/>
  <c r="BM104" i="14"/>
  <c r="BL12" i="14"/>
  <c r="BL46" i="14"/>
  <c r="BJ18" i="14"/>
  <c r="BK12" i="14"/>
  <c r="BK18" i="14" s="1"/>
  <c r="BM40" i="14"/>
  <c r="BM149" i="14"/>
  <c r="BM152" i="14" s="1"/>
  <c r="BN134" i="14"/>
  <c r="BN99" i="14"/>
  <c r="BN106" i="14" s="1"/>
  <c r="BN184" i="14"/>
  <c r="BN133" i="14"/>
  <c r="BN144" i="14"/>
  <c r="BO132" i="14"/>
  <c r="BP95" i="14"/>
  <c r="BO143" i="14"/>
  <c r="BO96" i="14"/>
  <c r="V627" i="7"/>
  <c r="W624" i="7"/>
  <c r="C32" i="17"/>
  <c r="C109" i="17" s="1"/>
  <c r="E109" i="17" s="1"/>
  <c r="AR156" i="7"/>
  <c r="AR157" i="7" s="1"/>
  <c r="E22" i="16"/>
  <c r="Z775" i="7"/>
  <c r="F67" i="16" s="1"/>
  <c r="D17" i="17"/>
  <c r="Y776" i="7"/>
  <c r="AL483" i="7"/>
  <c r="AL484" i="7" s="1"/>
  <c r="AM484" i="7" s="1"/>
  <c r="AM482" i="7"/>
  <c r="BC652" i="7"/>
  <c r="BB654" i="7"/>
  <c r="BB649" i="7"/>
  <c r="BB655" i="7"/>
  <c r="BB660" i="7" s="1"/>
  <c r="Y477" i="7"/>
  <c r="Y479" i="7" s="1"/>
  <c r="Z476" i="7"/>
  <c r="Y511" i="7"/>
  <c r="X512" i="7"/>
  <c r="BT139" i="7"/>
  <c r="BT76" i="7" s="1"/>
  <c r="BU277" i="7"/>
  <c r="BV277" i="7" s="1"/>
  <c r="BT286" i="7"/>
  <c r="BS76" i="7"/>
  <c r="AP533" i="7"/>
  <c r="AQ530" i="7"/>
  <c r="AP159" i="7"/>
  <c r="AP158" i="7"/>
  <c r="AQ201" i="7"/>
  <c r="AP202" i="7"/>
  <c r="AP204" i="7" s="1"/>
  <c r="BA661" i="7"/>
  <c r="BA663" i="7"/>
  <c r="BA650" i="7"/>
  <c r="BA658" i="7"/>
  <c r="BA657" i="7"/>
  <c r="BA662" i="7"/>
  <c r="Y488" i="7"/>
  <c r="Y490" i="7" s="1"/>
  <c r="Z487" i="7"/>
  <c r="BE85" i="15"/>
  <c r="BY50" i="14"/>
  <c r="BZ50" i="14" s="1"/>
  <c r="BZ24" i="14"/>
  <c r="AU745" i="7" l="1"/>
  <c r="AT746" i="7"/>
  <c r="AT749" i="7"/>
  <c r="BU139" i="7"/>
  <c r="V535" i="7"/>
  <c r="U552" i="7"/>
  <c r="BQ235" i="14"/>
  <c r="BQ236" i="14" s="1"/>
  <c r="BQ192" i="14"/>
  <c r="BQ204" i="14"/>
  <c r="BQ238" i="14"/>
  <c r="BQ239" i="14" s="1"/>
  <c r="BQ240" i="14" s="1"/>
  <c r="BM46" i="14"/>
  <c r="BM12" i="14"/>
  <c r="BM18" i="14" s="1"/>
  <c r="AP71" i="15"/>
  <c r="AU13" i="1"/>
  <c r="BN185" i="14"/>
  <c r="BL18" i="14"/>
  <c r="BP132" i="14"/>
  <c r="BQ95" i="14"/>
  <c r="BP143" i="14"/>
  <c r="BN149" i="14"/>
  <c r="BN152" i="14" s="1"/>
  <c r="BN40" i="14"/>
  <c r="BN107" i="14"/>
  <c r="BN108" i="14" s="1"/>
  <c r="BN104" i="14"/>
  <c r="BN100" i="14"/>
  <c r="AV13" i="1"/>
  <c r="AQ71" i="15"/>
  <c r="BP71" i="15" s="1"/>
  <c r="BP96" i="14"/>
  <c r="BO99" i="14"/>
  <c r="BO106" i="14" s="1"/>
  <c r="BO134" i="14"/>
  <c r="BO184" i="14"/>
  <c r="BO185" i="14" s="1"/>
  <c r="BO133" i="14"/>
  <c r="BO144" i="14"/>
  <c r="AR201" i="7"/>
  <c r="AR158" i="7" s="1"/>
  <c r="AQ202" i="7"/>
  <c r="AQ204" i="7" s="1"/>
  <c r="AA775" i="7"/>
  <c r="F64" i="16" s="1"/>
  <c r="Z776" i="7"/>
  <c r="D18" i="17"/>
  <c r="BB661" i="7"/>
  <c r="BB663" i="7"/>
  <c r="BD652" i="7"/>
  <c r="BC649" i="7"/>
  <c r="BC654" i="7"/>
  <c r="BC655" i="7" s="1"/>
  <c r="BC660" i="7" s="1"/>
  <c r="AN482" i="7"/>
  <c r="AM483" i="7"/>
  <c r="AM485" i="7" s="1"/>
  <c r="BB650" i="7"/>
  <c r="BB658" i="7"/>
  <c r="BB657" i="7"/>
  <c r="BB662" i="7"/>
  <c r="AR530" i="7"/>
  <c r="AQ533" i="7"/>
  <c r="AS156" i="7"/>
  <c r="C33" i="17"/>
  <c r="C110" i="17" s="1"/>
  <c r="E110" i="17" s="1"/>
  <c r="BU76" i="7"/>
  <c r="V539" i="7"/>
  <c r="W539" i="7" s="1"/>
  <c r="V540" i="7"/>
  <c r="W540" i="7" s="1"/>
  <c r="AA487" i="7"/>
  <c r="Z488" i="7"/>
  <c r="Z490" i="7" s="1"/>
  <c r="V536" i="7"/>
  <c r="W536" i="7" s="1"/>
  <c r="Y512" i="7"/>
  <c r="Z511" i="7"/>
  <c r="X624" i="7"/>
  <c r="W627" i="7"/>
  <c r="BW277" i="7"/>
  <c r="BV139" i="7"/>
  <c r="BV286" i="7"/>
  <c r="AA476" i="7"/>
  <c r="Z477" i="7"/>
  <c r="Z479" i="7" s="1"/>
  <c r="BE87" i="15"/>
  <c r="BF85" i="15"/>
  <c r="AV745" i="7" l="1"/>
  <c r="AU746" i="7"/>
  <c r="AU749" i="7"/>
  <c r="BQ216" i="14"/>
  <c r="BQ219" i="14" s="1"/>
  <c r="BQ209" i="14"/>
  <c r="W541" i="7"/>
  <c r="W544" i="7" s="1"/>
  <c r="X535" i="7" s="1"/>
  <c r="V541" i="7"/>
  <c r="V544" i="7" s="1"/>
  <c r="V552" i="7" s="1"/>
  <c r="BR204" i="14"/>
  <c r="BR238" i="14"/>
  <c r="BR239" i="14" s="1"/>
  <c r="BR240" i="14" s="1"/>
  <c r="BR192" i="14"/>
  <c r="BR95" i="14"/>
  <c r="BQ132" i="14"/>
  <c r="BQ143" i="14"/>
  <c r="BQ96" i="14"/>
  <c r="BO149" i="14"/>
  <c r="BO152" i="14" s="1"/>
  <c r="BP184" i="14"/>
  <c r="BP185" i="14" s="1"/>
  <c r="BP99" i="14"/>
  <c r="BP106" i="14" s="1"/>
  <c r="BP134" i="14"/>
  <c r="BP133" i="14"/>
  <c r="BP144" i="14"/>
  <c r="BP149" i="14" s="1"/>
  <c r="BP152" i="14" s="1"/>
  <c r="AW13" i="1"/>
  <c r="AR71" i="15"/>
  <c r="BL28" i="14"/>
  <c r="AR103" i="15" s="1"/>
  <c r="BN46" i="14"/>
  <c r="BN12" i="14"/>
  <c r="AX13" i="1"/>
  <c r="AS71" i="15"/>
  <c r="BO107" i="14"/>
  <c r="BO108" i="14" s="1"/>
  <c r="BP108" i="14" s="1"/>
  <c r="BO100" i="14"/>
  <c r="BO104" i="14"/>
  <c r="BX277" i="7"/>
  <c r="BW139" i="7"/>
  <c r="BW76" i="7" s="1"/>
  <c r="BW286" i="7"/>
  <c r="AR533" i="7"/>
  <c r="AS530" i="7"/>
  <c r="AS533" i="7" s="1"/>
  <c r="Z512" i="7"/>
  <c r="AA511" i="7"/>
  <c r="AN483" i="7"/>
  <c r="AN484" i="7" s="1"/>
  <c r="AO482" i="7"/>
  <c r="BC650" i="7"/>
  <c r="BC658" i="7"/>
  <c r="BC657" i="7"/>
  <c r="BC662" i="7"/>
  <c r="BE652" i="7"/>
  <c r="BD649" i="7"/>
  <c r="BD654" i="7"/>
  <c r="BD655" i="7" s="1"/>
  <c r="BD660" i="7" s="1"/>
  <c r="AA477" i="7"/>
  <c r="AA478" i="7" s="1"/>
  <c r="AB476" i="7"/>
  <c r="AB775" i="7"/>
  <c r="D19" i="17"/>
  <c r="AA776" i="7"/>
  <c r="BV76" i="7"/>
  <c r="X627" i="7"/>
  <c r="Y624" i="7"/>
  <c r="BC661" i="7"/>
  <c r="BC663" i="7"/>
  <c r="AB487" i="7"/>
  <c r="AA488" i="7"/>
  <c r="AA489" i="7" s="1"/>
  <c r="AR159" i="7"/>
  <c r="AS201" i="7"/>
  <c r="AR202" i="7"/>
  <c r="AR204" i="7" s="1"/>
  <c r="BJ22" i="1"/>
  <c r="BF87" i="15"/>
  <c r="AV746" i="7" l="1"/>
  <c r="AV749" i="7"/>
  <c r="BR216" i="14"/>
  <c r="BR219" i="14" s="1"/>
  <c r="BR209" i="14"/>
  <c r="AB535" i="7"/>
  <c r="W554" i="7"/>
  <c r="V554" i="7"/>
  <c r="W552" i="7"/>
  <c r="X540" i="7" s="1"/>
  <c r="BP107" i="14"/>
  <c r="BS238" i="14"/>
  <c r="BS239" i="14" s="1"/>
  <c r="BS240" i="14" s="1"/>
  <c r="BS204" i="14"/>
  <c r="BS192" i="14"/>
  <c r="BO40" i="14"/>
  <c r="BN18" i="14"/>
  <c r="BP104" i="14"/>
  <c r="BP100" i="14"/>
  <c r="BS95" i="14"/>
  <c r="BR132" i="14"/>
  <c r="BR143" i="14"/>
  <c r="BR96" i="14"/>
  <c r="BQ184" i="14"/>
  <c r="BQ133" i="14"/>
  <c r="BQ99" i="14"/>
  <c r="BQ106" i="14" s="1"/>
  <c r="BQ134" i="14"/>
  <c r="BQ144" i="14"/>
  <c r="X536" i="7"/>
  <c r="AS159" i="7"/>
  <c r="AS158" i="7"/>
  <c r="AT201" i="7"/>
  <c r="AU201" i="7" s="1"/>
  <c r="AS202" i="7"/>
  <c r="AS204" i="7" s="1"/>
  <c r="BD663" i="7"/>
  <c r="BD661" i="7"/>
  <c r="Z624" i="7"/>
  <c r="Y627" i="7"/>
  <c r="AC775" i="7"/>
  <c r="F61" i="16" s="1"/>
  <c r="AB776" i="7"/>
  <c r="BF652" i="7"/>
  <c r="BE649" i="7"/>
  <c r="BE654" i="7"/>
  <c r="BE655" i="7" s="1"/>
  <c r="BE660" i="7" s="1"/>
  <c r="AO483" i="7"/>
  <c r="AO484" i="7" s="1"/>
  <c r="AP482" i="7"/>
  <c r="AB477" i="7"/>
  <c r="AB478" i="7" s="1"/>
  <c r="AC476" i="7"/>
  <c r="BD650" i="7"/>
  <c r="BD657" i="7"/>
  <c r="BD658" i="7"/>
  <c r="BD662" i="7"/>
  <c r="AB488" i="7"/>
  <c r="AB489" i="7" s="1"/>
  <c r="AC487" i="7"/>
  <c r="AA512" i="7"/>
  <c r="AB511" i="7"/>
  <c r="BX139" i="7"/>
  <c r="BX286" i="7"/>
  <c r="BY277" i="7"/>
  <c r="BF86" i="15"/>
  <c r="BK22" i="1"/>
  <c r="X541" i="7" l="1"/>
  <c r="X544" i="7" s="1"/>
  <c r="BS216" i="14"/>
  <c r="BS219" i="14" s="1"/>
  <c r="BS209" i="14"/>
  <c r="AV201" i="7"/>
  <c r="AV202" i="7" s="1"/>
  <c r="AV204" i="7" s="1"/>
  <c r="AU202" i="7"/>
  <c r="AU204" i="7" s="1"/>
  <c r="BT192" i="14"/>
  <c r="BU191" i="14"/>
  <c r="BV191" i="14" s="1"/>
  <c r="BW191" i="14" s="1"/>
  <c r="BX191" i="14" s="1"/>
  <c r="BY191" i="14" s="1"/>
  <c r="BT238" i="14"/>
  <c r="BT239" i="14" s="1"/>
  <c r="BT240" i="14" s="1"/>
  <c r="BU240" i="14" s="1"/>
  <c r="BT204" i="14"/>
  <c r="BQ185" i="14"/>
  <c r="BQ104" i="14"/>
  <c r="BQ100" i="14"/>
  <c r="BQ107" i="14"/>
  <c r="BQ108" i="14" s="1"/>
  <c r="BT95" i="14"/>
  <c r="BS132" i="14"/>
  <c r="BS143" i="14"/>
  <c r="BS96" i="14"/>
  <c r="BR133" i="14"/>
  <c r="BR99" i="14"/>
  <c r="BR106" i="14" s="1"/>
  <c r="BR184" i="14"/>
  <c r="BR185" i="14" s="1"/>
  <c r="BR134" i="14"/>
  <c r="BR144" i="14"/>
  <c r="BO12" i="14"/>
  <c r="BO46" i="14"/>
  <c r="BP40" i="14"/>
  <c r="BP46" i="14" s="1"/>
  <c r="AT71" i="15"/>
  <c r="AY13" i="1"/>
  <c r="BQ40" i="14"/>
  <c r="BQ149" i="14"/>
  <c r="BQ152" i="14" s="1"/>
  <c r="BY139" i="7"/>
  <c r="BY76" i="7" s="1"/>
  <c r="BY286" i="7"/>
  <c r="BZ277" i="7"/>
  <c r="BX76" i="7"/>
  <c r="BZ139" i="7"/>
  <c r="AB512" i="7"/>
  <c r="AC511" i="7"/>
  <c r="AC488" i="7"/>
  <c r="AC489" i="7" s="1"/>
  <c r="AD487" i="7"/>
  <c r="AT158" i="7"/>
  <c r="AT159" i="7"/>
  <c r="AT202" i="7"/>
  <c r="AT204" i="7" s="1"/>
  <c r="AQ482" i="7"/>
  <c r="AP483" i="7"/>
  <c r="AP484" i="7" s="1"/>
  <c r="D20" i="17"/>
  <c r="AD775" i="7"/>
  <c r="F58" i="16" s="1"/>
  <c r="AC776" i="7"/>
  <c r="AA624" i="7"/>
  <c r="Z627" i="7"/>
  <c r="BE650" i="7"/>
  <c r="BE657" i="7"/>
  <c r="BE658" i="7"/>
  <c r="BE662" i="7"/>
  <c r="BE661" i="7"/>
  <c r="BE663" i="7"/>
  <c r="X552" i="7"/>
  <c r="Y540" i="7" s="1"/>
  <c r="Y535" i="7"/>
  <c r="X554" i="7"/>
  <c r="BG652" i="7"/>
  <c r="BF654" i="7"/>
  <c r="BF655" i="7" s="1"/>
  <c r="BF660" i="7" s="1"/>
  <c r="BF649" i="7"/>
  <c r="AD476" i="7"/>
  <c r="AC477" i="7"/>
  <c r="AC478" i="7" s="1"/>
  <c r="BT216" i="14" l="1"/>
  <c r="BT219" i="14" s="1"/>
  <c r="BU219" i="14" s="1"/>
  <c r="BT209" i="14"/>
  <c r="BU239" i="14"/>
  <c r="BU204" i="14"/>
  <c r="BU216" i="14" s="1"/>
  <c r="BU238" i="14"/>
  <c r="BU192" i="14"/>
  <c r="BR149" i="14"/>
  <c r="BR152" i="14" s="1"/>
  <c r="BR40" i="14"/>
  <c r="BT132" i="14"/>
  <c r="BU95" i="14"/>
  <c r="BT143" i="14"/>
  <c r="BT96" i="14"/>
  <c r="BQ46" i="14"/>
  <c r="BQ12" i="14"/>
  <c r="BO18" i="14"/>
  <c r="BP12" i="14"/>
  <c r="BP18" i="14" s="1"/>
  <c r="BR107" i="14"/>
  <c r="BR108" i="14" s="1"/>
  <c r="BR104" i="14"/>
  <c r="BR100" i="14"/>
  <c r="BS99" i="14"/>
  <c r="BS106" i="14" s="1"/>
  <c r="BS134" i="14"/>
  <c r="BS133" i="14"/>
  <c r="BS184" i="14"/>
  <c r="BS185" i="14" s="1"/>
  <c r="BS144" i="14"/>
  <c r="AD477" i="7"/>
  <c r="AD478" i="7" s="1"/>
  <c r="AE476" i="7"/>
  <c r="AD776" i="7"/>
  <c r="D21" i="17"/>
  <c r="AE775" i="7"/>
  <c r="F55" i="16" s="1"/>
  <c r="AR482" i="7"/>
  <c r="AQ483" i="7"/>
  <c r="AQ484" i="7" s="1"/>
  <c r="BF650" i="7"/>
  <c r="BF658" i="7"/>
  <c r="BF657" i="7"/>
  <c r="BF662" i="7"/>
  <c r="BH652" i="7"/>
  <c r="BG654" i="7"/>
  <c r="BG655" i="7" s="1"/>
  <c r="BG660" i="7" s="1"/>
  <c r="BG649" i="7"/>
  <c r="AE487" i="7"/>
  <c r="AD488" i="7"/>
  <c r="AD489" i="7" s="1"/>
  <c r="Y536" i="7"/>
  <c r="Y541" i="7" s="1"/>
  <c r="Y544" i="7" s="1"/>
  <c r="AB624" i="7"/>
  <c r="AA627" i="7"/>
  <c r="BF661" i="7"/>
  <c r="BF663" i="7"/>
  <c r="AU158" i="7"/>
  <c r="AU159" i="7"/>
  <c r="AC512" i="7"/>
  <c r="AD511" i="7"/>
  <c r="BZ76" i="7"/>
  <c r="BV204" i="14" l="1"/>
  <c r="BV192" i="14"/>
  <c r="BV238" i="14"/>
  <c r="BV239" i="14" s="1"/>
  <c r="BV240" i="14" s="1"/>
  <c r="BQ18" i="14"/>
  <c r="BS107" i="14"/>
  <c r="BS108" i="14" s="1"/>
  <c r="BS104" i="14"/>
  <c r="BS100" i="14"/>
  <c r="AV71" i="15"/>
  <c r="BQ71" i="15" s="1"/>
  <c r="BA13" i="1"/>
  <c r="BU132" i="14"/>
  <c r="BV95" i="14"/>
  <c r="BU143" i="14"/>
  <c r="AU71" i="15"/>
  <c r="AZ13" i="1"/>
  <c r="BT99" i="14"/>
  <c r="BT106" i="14" s="1"/>
  <c r="BT184" i="14"/>
  <c r="BU96" i="14"/>
  <c r="BT133" i="14"/>
  <c r="BT134" i="14"/>
  <c r="BT144" i="14"/>
  <c r="BS149" i="14"/>
  <c r="BS152" i="14" s="1"/>
  <c r="BS40" i="14"/>
  <c r="BR12" i="14"/>
  <c r="BR18" i="14" s="1"/>
  <c r="BR46" i="14"/>
  <c r="BI652" i="7"/>
  <c r="BH654" i="7"/>
  <c r="BH655" i="7" s="1"/>
  <c r="BH660" i="7" s="1"/>
  <c r="BH649" i="7"/>
  <c r="AF487" i="7"/>
  <c r="AE488" i="7"/>
  <c r="AE489" i="7" s="1"/>
  <c r="BG663" i="7"/>
  <c r="BG661" i="7"/>
  <c r="AD512" i="7"/>
  <c r="AE511" i="7"/>
  <c r="AS482" i="7"/>
  <c r="AR483" i="7"/>
  <c r="AR484" i="7" s="1"/>
  <c r="AF775" i="7"/>
  <c r="F52" i="16" s="1"/>
  <c r="D22" i="17"/>
  <c r="AE776" i="7"/>
  <c r="AE477" i="7"/>
  <c r="AE478" i="7" s="1"/>
  <c r="AF476" i="7"/>
  <c r="Y552" i="7"/>
  <c r="Z540" i="7" s="1"/>
  <c r="Z535" i="7"/>
  <c r="Y554" i="7"/>
  <c r="BG650" i="7"/>
  <c r="BG658" i="7"/>
  <c r="BG657" i="7"/>
  <c r="BG662" i="7"/>
  <c r="AC624" i="7"/>
  <c r="AB627" i="7"/>
  <c r="BV216" i="14" l="1"/>
  <c r="BV219" i="14" s="1"/>
  <c r="BV209" i="14"/>
  <c r="AS483" i="7"/>
  <c r="AS484" i="7" s="1"/>
  <c r="AT482" i="7"/>
  <c r="BW238" i="14"/>
  <c r="BW239" i="14" s="1"/>
  <c r="BW240" i="14" s="1"/>
  <c r="BW204" i="14"/>
  <c r="BW192" i="14"/>
  <c r="BW95" i="14"/>
  <c r="BV132" i="14"/>
  <c r="BV143" i="14"/>
  <c r="BV96" i="14"/>
  <c r="BS46" i="14"/>
  <c r="BS12" i="14"/>
  <c r="BS18" i="14" s="1"/>
  <c r="BT149" i="14"/>
  <c r="BT152" i="14" s="1"/>
  <c r="BT100" i="14"/>
  <c r="BT104" i="14"/>
  <c r="BT107" i="14"/>
  <c r="BT108" i="14" s="1"/>
  <c r="BU108" i="14" s="1"/>
  <c r="BU133" i="14"/>
  <c r="BU134" i="14"/>
  <c r="BU99" i="14"/>
  <c r="BU106" i="14" s="1"/>
  <c r="BU144" i="14"/>
  <c r="BU149" i="14" s="1"/>
  <c r="BU152" i="14" s="1"/>
  <c r="BB13" i="1"/>
  <c r="AW71" i="15"/>
  <c r="BQ28" i="14"/>
  <c r="AW103" i="15" s="1"/>
  <c r="BC13" i="1"/>
  <c r="AX71" i="15"/>
  <c r="BT185" i="14"/>
  <c r="BU184" i="14"/>
  <c r="BU185" i="14" s="1"/>
  <c r="AF776" i="7"/>
  <c r="D23" i="17"/>
  <c r="AG775" i="7"/>
  <c r="Z536" i="7"/>
  <c r="Z541" i="7" s="1"/>
  <c r="Z544" i="7" s="1"/>
  <c r="BH663" i="7"/>
  <c r="BH661" i="7"/>
  <c r="AE512" i="7"/>
  <c r="AF511" i="7"/>
  <c r="AG476" i="7"/>
  <c r="AF477" i="7"/>
  <c r="AF478" i="7" s="1"/>
  <c r="BH650" i="7"/>
  <c r="BH658" i="7"/>
  <c r="BH657" i="7"/>
  <c r="BH662" i="7"/>
  <c r="AC627" i="7"/>
  <c r="AD624" i="7"/>
  <c r="AG487" i="7"/>
  <c r="AF488" i="7"/>
  <c r="AF489" i="7" s="1"/>
  <c r="BJ652" i="7"/>
  <c r="BI649" i="7"/>
  <c r="BI654" i="7"/>
  <c r="BI655" i="7" s="1"/>
  <c r="BI660" i="7" s="1"/>
  <c r="BW216" i="14" l="1"/>
  <c r="BW219" i="14" s="1"/>
  <c r="BW209" i="14"/>
  <c r="AT483" i="7"/>
  <c r="AT484" i="7" s="1"/>
  <c r="AU482" i="7"/>
  <c r="BX238" i="14"/>
  <c r="BX239" i="14" s="1"/>
  <c r="BX240" i="14" s="1"/>
  <c r="BX192" i="14"/>
  <c r="BX204" i="14"/>
  <c r="AY71" i="15"/>
  <c r="BD13" i="1"/>
  <c r="BV133" i="14"/>
  <c r="BV99" i="14"/>
  <c r="BV106" i="14" s="1"/>
  <c r="BV184" i="14"/>
  <c r="BV134" i="14"/>
  <c r="BV144" i="14"/>
  <c r="BU104" i="14"/>
  <c r="BU100" i="14"/>
  <c r="BU107" i="14"/>
  <c r="BT40" i="14"/>
  <c r="BX95" i="14"/>
  <c r="BW132" i="14"/>
  <c r="BW143" i="14"/>
  <c r="BW96" i="14"/>
  <c r="AG511" i="7"/>
  <c r="AF512" i="7"/>
  <c r="Z554" i="7"/>
  <c r="Z552" i="7"/>
  <c r="AA540" i="7" s="1"/>
  <c r="AB540" i="7" s="1"/>
  <c r="AA535" i="7"/>
  <c r="BK652" i="7"/>
  <c r="BJ649" i="7"/>
  <c r="BJ654" i="7"/>
  <c r="BJ655" i="7" s="1"/>
  <c r="BJ660" i="7" s="1"/>
  <c r="AG488" i="7"/>
  <c r="AG489" i="7" s="1"/>
  <c r="AH487" i="7"/>
  <c r="AH775" i="7"/>
  <c r="F49" i="16" s="1"/>
  <c r="AG776" i="7"/>
  <c r="AH476" i="7"/>
  <c r="AG477" i="7"/>
  <c r="AG478" i="7" s="1"/>
  <c r="BI661" i="7"/>
  <c r="BI663" i="7"/>
  <c r="AE624" i="7"/>
  <c r="AD627" i="7"/>
  <c r="BI650" i="7"/>
  <c r="BI658" i="7"/>
  <c r="BI657" i="7"/>
  <c r="BI662" i="7"/>
  <c r="BX216" i="14" l="1"/>
  <c r="BX219" i="14" s="1"/>
  <c r="BX209" i="14"/>
  <c r="AU483" i="7"/>
  <c r="AU484" i="7" s="1"/>
  <c r="AV482" i="7"/>
  <c r="BZ191" i="14"/>
  <c r="BY204" i="14"/>
  <c r="BY192" i="14"/>
  <c r="BY238" i="14"/>
  <c r="BY239" i="14" s="1"/>
  <c r="BY240" i="14" s="1"/>
  <c r="BZ240" i="14" s="1"/>
  <c r="BU40" i="14"/>
  <c r="BU46" i="14" s="1"/>
  <c r="BT12" i="14"/>
  <c r="BT46" i="14"/>
  <c r="BV40" i="14"/>
  <c r="BV149" i="14"/>
  <c r="BV152" i="14" s="1"/>
  <c r="BW134" i="14"/>
  <c r="BW99" i="14"/>
  <c r="BW106" i="14" s="1"/>
  <c r="BW133" i="14"/>
  <c r="BW184" i="14"/>
  <c r="BW185" i="14" s="1"/>
  <c r="BW144" i="14"/>
  <c r="BX132" i="14"/>
  <c r="BY95" i="14"/>
  <c r="BX143" i="14"/>
  <c r="BX96" i="14"/>
  <c r="BV185" i="14"/>
  <c r="BV107" i="14"/>
  <c r="BV108" i="14" s="1"/>
  <c r="BV100" i="14"/>
  <c r="BV104" i="14"/>
  <c r="AI487" i="7"/>
  <c r="AH488" i="7"/>
  <c r="AH489" i="7" s="1"/>
  <c r="AA536" i="7"/>
  <c r="AB536" i="7" s="1"/>
  <c r="AB541" i="7" s="1"/>
  <c r="AB544" i="7" s="1"/>
  <c r="D24" i="17"/>
  <c r="AI775" i="7"/>
  <c r="F46" i="16" s="1"/>
  <c r="AH776" i="7"/>
  <c r="AE627" i="7"/>
  <c r="AF624" i="7"/>
  <c r="AH477" i="7"/>
  <c r="AH478" i="7" s="1"/>
  <c r="AI476" i="7"/>
  <c r="BJ650" i="7"/>
  <c r="BJ657" i="7"/>
  <c r="BJ658" i="7"/>
  <c r="BJ662" i="7"/>
  <c r="BL652" i="7"/>
  <c r="BK649" i="7"/>
  <c r="BK654" i="7"/>
  <c r="BK655" i="7" s="1"/>
  <c r="BK660" i="7" s="1"/>
  <c r="BJ661" i="7"/>
  <c r="BJ663" i="7"/>
  <c r="AG512" i="7"/>
  <c r="AH511" i="7"/>
  <c r="AA541" i="7" l="1"/>
  <c r="AA544" i="7" s="1"/>
  <c r="AV483" i="7"/>
  <c r="AV484" i="7" s="1"/>
  <c r="AW482" i="7"/>
  <c r="BY209" i="14"/>
  <c r="BY216" i="14"/>
  <c r="BY219" i="14" s="1"/>
  <c r="BZ219" i="14" s="1"/>
  <c r="BZ239" i="14"/>
  <c r="BZ238" i="14"/>
  <c r="BZ204" i="14"/>
  <c r="BZ216" i="14" s="1"/>
  <c r="BZ192" i="14"/>
  <c r="BX184" i="14"/>
  <c r="BX99" i="14"/>
  <c r="BX106" i="14" s="1"/>
  <c r="BX134" i="14"/>
  <c r="BX133" i="14"/>
  <c r="BX144" i="14"/>
  <c r="BY132" i="14"/>
  <c r="BZ95" i="14"/>
  <c r="BY143" i="14"/>
  <c r="BY96" i="14"/>
  <c r="BW40" i="14"/>
  <c r="BW149" i="14"/>
  <c r="BW152" i="14" s="1"/>
  <c r="BW100" i="14"/>
  <c r="BW104" i="14"/>
  <c r="BW107" i="14"/>
  <c r="BW108" i="14" s="1"/>
  <c r="BT18" i="14"/>
  <c r="BU12" i="14"/>
  <c r="BU18" i="14" s="1"/>
  <c r="BV46" i="14"/>
  <c r="BV12" i="14"/>
  <c r="BK650" i="7"/>
  <c r="BK658" i="7"/>
  <c r="BK657" i="7"/>
  <c r="BK662" i="7"/>
  <c r="BM652" i="7"/>
  <c r="BL649" i="7"/>
  <c r="BL654" i="7"/>
  <c r="BL655" i="7" s="1"/>
  <c r="BL660" i="7" s="1"/>
  <c r="AJ476" i="7"/>
  <c r="AI477" i="7"/>
  <c r="AI478" i="7" s="1"/>
  <c r="AB552" i="7"/>
  <c r="AC540" i="7" s="1"/>
  <c r="AB554" i="7"/>
  <c r="AG535" i="7"/>
  <c r="AC535" i="7"/>
  <c r="AG624" i="7"/>
  <c r="AF627" i="7"/>
  <c r="AH512" i="7"/>
  <c r="AI511" i="7"/>
  <c r="BK661" i="7"/>
  <c r="BK663" i="7"/>
  <c r="D25" i="17"/>
  <c r="AJ775" i="7"/>
  <c r="F43" i="16" s="1"/>
  <c r="AI776" i="7"/>
  <c r="AA552" i="7"/>
  <c r="AA554" i="7"/>
  <c r="AI488" i="7"/>
  <c r="AI489" i="7" s="1"/>
  <c r="AJ487" i="7"/>
  <c r="AW483" i="7" l="1"/>
  <c r="AW484" i="7" s="1"/>
  <c r="AX482" i="7"/>
  <c r="BV18" i="14"/>
  <c r="BF13" i="1"/>
  <c r="BA71" i="15"/>
  <c r="BR71" i="15" s="1"/>
  <c r="BY99" i="14"/>
  <c r="BY106" i="14" s="1"/>
  <c r="BZ96" i="14"/>
  <c r="BY134" i="14"/>
  <c r="BY133" i="14"/>
  <c r="BY184" i="14"/>
  <c r="BY185" i="14" s="1"/>
  <c r="BY144" i="14"/>
  <c r="BE13" i="1"/>
  <c r="AZ71" i="15"/>
  <c r="BW12" i="14"/>
  <c r="BW18" i="14" s="1"/>
  <c r="BW46" i="14"/>
  <c r="BX40" i="14"/>
  <c r="BX149" i="14"/>
  <c r="BX152" i="14" s="1"/>
  <c r="BX185" i="14"/>
  <c r="BZ132" i="14"/>
  <c r="BZ143" i="14"/>
  <c r="BX107" i="14"/>
  <c r="BX108" i="14" s="1"/>
  <c r="BX100" i="14"/>
  <c r="BX104" i="14"/>
  <c r="BL661" i="7"/>
  <c r="BL663" i="7"/>
  <c r="BN652" i="7"/>
  <c r="BM649" i="7"/>
  <c r="BM654" i="7"/>
  <c r="BM655" i="7" s="1"/>
  <c r="BM660" i="7" s="1"/>
  <c r="AG627" i="7"/>
  <c r="AH624" i="7"/>
  <c r="AJ488" i="7"/>
  <c r="AJ489" i="7" s="1"/>
  <c r="AK487" i="7"/>
  <c r="BL650" i="7"/>
  <c r="BL658" i="7"/>
  <c r="BL657" i="7"/>
  <c r="BL662" i="7"/>
  <c r="AJ511" i="7"/>
  <c r="AI512" i="7"/>
  <c r="AC536" i="7"/>
  <c r="AC541" i="7" s="1"/>
  <c r="AC544" i="7" s="1"/>
  <c r="AJ477" i="7"/>
  <c r="AJ478" i="7" s="1"/>
  <c r="AK476" i="7"/>
  <c r="AK775" i="7"/>
  <c r="F40" i="16" s="1"/>
  <c r="AJ776" i="7"/>
  <c r="D26" i="17"/>
  <c r="AX483" i="7" l="1"/>
  <c r="AX484" i="7" s="1"/>
  <c r="AY482" i="7"/>
  <c r="AY483" i="7" s="1"/>
  <c r="AY484" i="7" s="1"/>
  <c r="BZ184" i="14"/>
  <c r="BZ185" i="14" s="1"/>
  <c r="BC71" i="15"/>
  <c r="BH13" i="1"/>
  <c r="BY149" i="14"/>
  <c r="BY152" i="14" s="1"/>
  <c r="BX12" i="14"/>
  <c r="BX18" i="14" s="1"/>
  <c r="BX46" i="14"/>
  <c r="BZ99" i="14"/>
  <c r="BZ106" i="14" s="1"/>
  <c r="BZ133" i="14"/>
  <c r="BZ134" i="14"/>
  <c r="BZ144" i="14"/>
  <c r="BZ149" i="14" s="1"/>
  <c r="BZ152" i="14" s="1"/>
  <c r="BY107" i="14"/>
  <c r="BY108" i="14" s="1"/>
  <c r="BZ108" i="14" s="1"/>
  <c r="BY104" i="14"/>
  <c r="BY100" i="14"/>
  <c r="BB71" i="15"/>
  <c r="BG13" i="1"/>
  <c r="BV28" i="14"/>
  <c r="BB103" i="15" s="1"/>
  <c r="AC552" i="7"/>
  <c r="AD540" i="7" s="1"/>
  <c r="AC554" i="7"/>
  <c r="AD535" i="7"/>
  <c r="AJ512" i="7"/>
  <c r="AK511" i="7"/>
  <c r="BM650" i="7"/>
  <c r="BM657" i="7"/>
  <c r="BM658" i="7"/>
  <c r="BM662" i="7"/>
  <c r="BM661" i="7"/>
  <c r="BM663" i="7"/>
  <c r="AK776" i="7"/>
  <c r="D27" i="17"/>
  <c r="AL775" i="7"/>
  <c r="AK488" i="7"/>
  <c r="AK489" i="7" s="1"/>
  <c r="AL487" i="7"/>
  <c r="AI624" i="7"/>
  <c r="AH627" i="7"/>
  <c r="BO652" i="7"/>
  <c r="BN654" i="7"/>
  <c r="BN649" i="7"/>
  <c r="AK477" i="7"/>
  <c r="AK478" i="7" s="1"/>
  <c r="AL476" i="7"/>
  <c r="BZ107" i="14" l="1"/>
  <c r="BZ104" i="14"/>
  <c r="BZ100" i="14"/>
  <c r="BI13" i="1"/>
  <c r="BD71" i="15"/>
  <c r="BY40" i="14"/>
  <c r="BP652" i="7"/>
  <c r="BO649" i="7"/>
  <c r="BO654" i="7"/>
  <c r="BO655" i="7" s="1"/>
  <c r="BO660" i="7" s="1"/>
  <c r="AJ624" i="7"/>
  <c r="AI627" i="7"/>
  <c r="AL776" i="7"/>
  <c r="AM775" i="7"/>
  <c r="F37" i="16" s="1"/>
  <c r="BN650" i="7"/>
  <c r="BN657" i="7"/>
  <c r="BN658" i="7"/>
  <c r="AM476" i="7"/>
  <c r="AL477" i="7"/>
  <c r="AL478" i="7" s="1"/>
  <c r="AD536" i="7"/>
  <c r="AD541" i="7" s="1"/>
  <c r="AD544" i="7" s="1"/>
  <c r="BN655" i="7"/>
  <c r="AM487" i="7"/>
  <c r="AL488" i="7"/>
  <c r="AL489" i="7" s="1"/>
  <c r="AL511" i="7"/>
  <c r="AK512" i="7"/>
  <c r="BY12" i="14" l="1"/>
  <c r="BY46" i="14"/>
  <c r="BZ40" i="14"/>
  <c r="BZ46" i="14" s="1"/>
  <c r="AD554" i="7"/>
  <c r="AE535" i="7"/>
  <c r="AE536" i="7" s="1"/>
  <c r="AD552" i="7"/>
  <c r="AE540" i="7" s="1"/>
  <c r="AM477" i="7"/>
  <c r="AM478" i="7" s="1"/>
  <c r="AN476" i="7"/>
  <c r="AN487" i="7"/>
  <c r="AM488" i="7"/>
  <c r="AM489" i="7" s="1"/>
  <c r="BN661" i="7"/>
  <c r="BN663" i="7"/>
  <c r="BN660" i="7"/>
  <c r="AK624" i="7"/>
  <c r="AJ627" i="7"/>
  <c r="BO661" i="7"/>
  <c r="BO663" i="7"/>
  <c r="BN662" i="7"/>
  <c r="AM776" i="7"/>
  <c r="AN775" i="7"/>
  <c r="F34" i="16" s="1"/>
  <c r="D28" i="17"/>
  <c r="D105" i="17" s="1"/>
  <c r="BO650" i="7"/>
  <c r="BO657" i="7"/>
  <c r="BO658" i="7"/>
  <c r="BO662" i="7"/>
  <c r="AL512" i="7"/>
  <c r="AM511" i="7"/>
  <c r="BQ652" i="7"/>
  <c r="BP649" i="7"/>
  <c r="BP654" i="7"/>
  <c r="BP655" i="7" s="1"/>
  <c r="BP660" i="7" s="1"/>
  <c r="BY18" i="14" l="1"/>
  <c r="BZ12" i="14"/>
  <c r="BZ18" i="14" s="1"/>
  <c r="BP663" i="7"/>
  <c r="BP661" i="7"/>
  <c r="AN477" i="7"/>
  <c r="AN478" i="7" s="1"/>
  <c r="AO476" i="7"/>
  <c r="BP650" i="7"/>
  <c r="BP658" i="7"/>
  <c r="BP657" i="7"/>
  <c r="BP662" i="7"/>
  <c r="AN488" i="7"/>
  <c r="AN489" i="7" s="1"/>
  <c r="AO487" i="7"/>
  <c r="AN511" i="7"/>
  <c r="AM512" i="7"/>
  <c r="AE541" i="7"/>
  <c r="AE544" i="7" s="1"/>
  <c r="AO775" i="7"/>
  <c r="F31" i="16" s="1"/>
  <c r="AN776" i="7"/>
  <c r="D29" i="17"/>
  <c r="D106" i="17" s="1"/>
  <c r="AK627" i="7"/>
  <c r="AL624" i="7"/>
  <c r="BR652" i="7"/>
  <c r="BQ654" i="7"/>
  <c r="BQ649" i="7"/>
  <c r="BK13" i="1" l="1"/>
  <c r="BF71" i="15"/>
  <c r="BS71" i="15" s="1"/>
  <c r="BJ13" i="1"/>
  <c r="BE71" i="15"/>
  <c r="AO488" i="7"/>
  <c r="AO489" i="7" s="1"/>
  <c r="AP487" i="7"/>
  <c r="BQ650" i="7"/>
  <c r="BQ657" i="7"/>
  <c r="BQ658" i="7"/>
  <c r="AE552" i="7"/>
  <c r="AF540" i="7" s="1"/>
  <c r="AG540" i="7" s="1"/>
  <c r="AE554" i="7"/>
  <c r="AF535" i="7"/>
  <c r="AO511" i="7"/>
  <c r="AN512" i="7"/>
  <c r="AO477" i="7"/>
  <c r="AO478" i="7" s="1"/>
  <c r="AP476" i="7"/>
  <c r="BS652" i="7"/>
  <c r="BR649" i="7"/>
  <c r="BR654" i="7"/>
  <c r="BR655" i="7" s="1"/>
  <c r="BR660" i="7" s="1"/>
  <c r="AM624" i="7"/>
  <c r="AL627" i="7"/>
  <c r="D30" i="17"/>
  <c r="D107" i="17" s="1"/>
  <c r="AO776" i="7"/>
  <c r="AP775" i="7"/>
  <c r="F28" i="16" s="1"/>
  <c r="BQ655" i="7"/>
  <c r="BQ662" i="7" s="1"/>
  <c r="AM627" i="7" l="1"/>
  <c r="AN624" i="7"/>
  <c r="AQ476" i="7"/>
  <c r="AP477" i="7"/>
  <c r="AP478" i="7" s="1"/>
  <c r="BR663" i="7"/>
  <c r="BR661" i="7"/>
  <c r="BQ661" i="7"/>
  <c r="BQ663" i="7"/>
  <c r="BQ660" i="7"/>
  <c r="BS649" i="7"/>
  <c r="BS654" i="7"/>
  <c r="BS655" i="7" s="1"/>
  <c r="BS660" i="7" s="1"/>
  <c r="AO512" i="7"/>
  <c r="AP511" i="7"/>
  <c r="AQ775" i="7"/>
  <c r="AP776" i="7"/>
  <c r="D31" i="17"/>
  <c r="D108" i="17" s="1"/>
  <c r="BR650" i="7"/>
  <c r="BR658" i="7"/>
  <c r="BR657" i="7"/>
  <c r="BR662" i="7"/>
  <c r="AF536" i="7"/>
  <c r="AG536" i="7" s="1"/>
  <c r="AG541" i="7" s="1"/>
  <c r="AG544" i="7" s="1"/>
  <c r="AQ487" i="7"/>
  <c r="AP488" i="7"/>
  <c r="AP489" i="7" s="1"/>
  <c r="BS650" i="7" l="1"/>
  <c r="BS658" i="7"/>
  <c r="BS657" i="7"/>
  <c r="BS662" i="7"/>
  <c r="AQ488" i="7"/>
  <c r="AQ489" i="7" s="1"/>
  <c r="AR487" i="7"/>
  <c r="AP512" i="7"/>
  <c r="AQ511" i="7"/>
  <c r="BS661" i="7"/>
  <c r="BS663" i="7"/>
  <c r="AF541" i="7"/>
  <c r="AF544" i="7" s="1"/>
  <c r="AR476" i="7"/>
  <c r="AR477" i="7" s="1"/>
  <c r="AR478" i="7" s="1"/>
  <c r="AQ477" i="7"/>
  <c r="AQ478" i="7" s="1"/>
  <c r="AO624" i="7"/>
  <c r="AN627" i="7"/>
  <c r="AQ776" i="7"/>
  <c r="AR775" i="7"/>
  <c r="F25" i="16" s="1"/>
  <c r="AH535" i="7"/>
  <c r="AL535" i="7"/>
  <c r="AG554" i="7"/>
  <c r="AG552" i="7"/>
  <c r="AH540" i="7" s="1"/>
  <c r="AO627" i="7" l="1"/>
  <c r="AP624" i="7"/>
  <c r="AF552" i="7"/>
  <c r="AF554" i="7"/>
  <c r="AH536" i="7"/>
  <c r="AH541" i="7" s="1"/>
  <c r="AH544" i="7" s="1"/>
  <c r="D32" i="17"/>
  <c r="D109" i="17" s="1"/>
  <c r="AR776" i="7"/>
  <c r="AR511" i="7"/>
  <c r="AR512" i="7" s="1"/>
  <c r="AQ512" i="7"/>
  <c r="AS487" i="7"/>
  <c r="AS488" i="7" s="1"/>
  <c r="AS489" i="7" s="1"/>
  <c r="AR488" i="7"/>
  <c r="AR489" i="7" s="1"/>
  <c r="AH552" i="7" l="1"/>
  <c r="AI540" i="7" s="1"/>
  <c r="AH554" i="7"/>
  <c r="AI535" i="7"/>
  <c r="AP627" i="7"/>
  <c r="AQ624" i="7"/>
  <c r="AR624" i="7" l="1"/>
  <c r="AR627" i="7" s="1"/>
  <c r="AQ627" i="7"/>
  <c r="AI536" i="7"/>
  <c r="AI541" i="7" s="1"/>
  <c r="AI544" i="7" s="1"/>
  <c r="AJ535" i="7" l="1"/>
  <c r="AI552" i="7"/>
  <c r="AJ540" i="7" s="1"/>
  <c r="AI554" i="7"/>
  <c r="AJ536" i="7" l="1"/>
  <c r="AJ541" i="7" s="1"/>
  <c r="AJ544" i="7" s="1"/>
  <c r="AJ552" i="7" l="1"/>
  <c r="AK540" i="7" s="1"/>
  <c r="AL540" i="7" s="1"/>
  <c r="AK535" i="7"/>
  <c r="AJ554" i="7"/>
  <c r="AK536" i="7" l="1"/>
  <c r="AL536" i="7" s="1"/>
  <c r="AL541" i="7" s="1"/>
  <c r="AL544" i="7" s="1"/>
  <c r="AK541" i="7" l="1"/>
  <c r="AK544" i="7" s="1"/>
  <c r="AK552" i="7" s="1"/>
  <c r="AM535" i="7"/>
  <c r="AL552" i="7"/>
  <c r="AM540" i="7" s="1"/>
  <c r="AL554" i="7"/>
  <c r="AQ535" i="7"/>
  <c r="AK554" i="7" l="1"/>
  <c r="AM536" i="7"/>
  <c r="AM541" i="7" s="1"/>
  <c r="AM544" i="7" s="1"/>
  <c r="AN535" i="7" l="1"/>
  <c r="AM552" i="7"/>
  <c r="AN540" i="7" s="1"/>
  <c r="AM554" i="7"/>
  <c r="AN536" i="7" l="1"/>
  <c r="AN541" i="7" s="1"/>
  <c r="AN544" i="7" s="1"/>
  <c r="AN554" i="7" l="1"/>
  <c r="AN552" i="7"/>
  <c r="AO540" i="7" s="1"/>
  <c r="AO535" i="7"/>
  <c r="AO536" i="7" l="1"/>
  <c r="AO541" i="7" s="1"/>
  <c r="AO544" i="7" s="1"/>
  <c r="AP535" i="7" l="1"/>
  <c r="AP536" i="7" s="1"/>
  <c r="AQ536" i="7" s="1"/>
  <c r="AO554" i="7"/>
  <c r="AO552" i="7"/>
  <c r="AP540" i="7" s="1"/>
  <c r="AQ540" i="7" s="1"/>
  <c r="AP541" i="7" l="1"/>
  <c r="AP544" i="7" s="1"/>
  <c r="AQ541" i="7"/>
  <c r="AQ544" i="7" s="1"/>
  <c r="AP552" i="7"/>
  <c r="AP554" i="7"/>
  <c r="AR535" i="7" l="1"/>
  <c r="AQ552" i="7"/>
  <c r="AR540" i="7" s="1"/>
  <c r="AV535" i="7"/>
  <c r="AQ554" i="7"/>
  <c r="AR536" i="7" l="1"/>
  <c r="AR541" i="7"/>
  <c r="AR544" i="7" s="1"/>
  <c r="AS535" i="7" l="1"/>
  <c r="AR554" i="7"/>
  <c r="AR552" i="7"/>
  <c r="AS540" i="7" s="1"/>
  <c r="AS536" i="7" l="1"/>
  <c r="AS541" i="7"/>
  <c r="AS544" i="7" s="1"/>
  <c r="AT535" i="7" s="1"/>
  <c r="AT536" i="7" s="1"/>
  <c r="AS25" i="12" l="1"/>
  <c r="AT332" i="7" l="1"/>
  <c r="AT336" i="7" s="1"/>
  <c r="AT319" i="7" s="1"/>
  <c r="AS332" i="7"/>
  <c r="AS336" i="7" l="1"/>
  <c r="AT525" i="7"/>
  <c r="AT529" i="7" l="1"/>
  <c r="AT694" i="7"/>
  <c r="AT711" i="7"/>
  <c r="AT712" i="7"/>
  <c r="AT721" i="7"/>
  <c r="AT526" i="7"/>
  <c r="AT530" i="7" s="1"/>
  <c r="AS29" i="12"/>
  <c r="AT703" i="7" l="1"/>
  <c r="AT700" i="7"/>
  <c r="AT527" i="7"/>
  <c r="AT537" i="7"/>
  <c r="AT720" i="7"/>
  <c r="AT617" i="7"/>
  <c r="AT702" i="7"/>
  <c r="AT533" i="7" l="1"/>
  <c r="AU524" i="7"/>
  <c r="AT532" i="7"/>
  <c r="AT538" i="7"/>
  <c r="AS148" i="7"/>
  <c r="AS150" i="7" s="1"/>
  <c r="AS162" i="7" s="1"/>
  <c r="AS732" i="7"/>
  <c r="AS738" i="7" s="1"/>
  <c r="AS733" i="7"/>
  <c r="AS26" i="12"/>
  <c r="AS27" i="12" s="1"/>
  <c r="AT26" i="12"/>
  <c r="AS172" i="7" l="1"/>
  <c r="AT33" i="12"/>
  <c r="AT43" i="12"/>
  <c r="AT44" i="12" s="1"/>
  <c r="AT733" i="7"/>
  <c r="AS43" i="12"/>
  <c r="AS44" i="12" s="1"/>
  <c r="AS33" i="12"/>
  <c r="AS32" i="12" s="1"/>
  <c r="AT148" i="7"/>
  <c r="AS31" i="12" l="1"/>
  <c r="AS30" i="12" s="1"/>
  <c r="AT150" i="7"/>
  <c r="AT162" i="7" s="1"/>
  <c r="AV162" i="7" s="1"/>
  <c r="AS163" i="7" l="1"/>
  <c r="AS166" i="7" l="1"/>
  <c r="AS164" i="7" l="1"/>
  <c r="AS448" i="7" l="1"/>
  <c r="AS268" i="7" l="1"/>
  <c r="AS270" i="7" l="1"/>
  <c r="AS256" i="7"/>
  <c r="AS681" i="7"/>
  <c r="AS683" i="7" s="1"/>
  <c r="AS686" i="7" s="1"/>
  <c r="AS250" i="7" l="1"/>
  <c r="AS271" i="7"/>
  <c r="AS558" i="7" l="1"/>
  <c r="AS605" i="7" s="1"/>
  <c r="AS593" i="7"/>
  <c r="AS611" i="7" s="1"/>
  <c r="BH196" i="20" l="1"/>
  <c r="BH241" i="20" l="1"/>
  <c r="BH22" i="20"/>
  <c r="BH334" i="20" s="1"/>
  <c r="BH301" i="20"/>
  <c r="BH304" i="20" s="1"/>
  <c r="BH307" i="20" s="1"/>
  <c r="BH308" i="20" s="1"/>
  <c r="BH312" i="20" s="1"/>
  <c r="BH315" i="20" s="1"/>
  <c r="BH316" i="20" s="1"/>
  <c r="BH324" i="20" l="1"/>
  <c r="BH332" i="20" s="1"/>
  <c r="BH323" i="20"/>
  <c r="BH325" i="20"/>
  <c r="BH333" i="20" s="1"/>
  <c r="BH322" i="20"/>
  <c r="BH327" i="20"/>
  <c r="BH321" i="20"/>
  <c r="BH330" i="20" s="1"/>
  <c r="BH326" i="20"/>
  <c r="BH275" i="20"/>
  <c r="BH331" i="20" l="1"/>
  <c r="BH336" i="20" s="1"/>
  <c r="AS514" i="7" l="1"/>
  <c r="AS516" i="7" s="1"/>
  <c r="AS520" i="7"/>
  <c r="AS608" i="7" s="1"/>
  <c r="BH33" i="20" l="1"/>
  <c r="BH37" i="20"/>
  <c r="E28" i="3" s="1"/>
  <c r="J28" i="3" s="1"/>
  <c r="F22" i="18" l="1"/>
  <c r="G22" i="18" s="1"/>
  <c r="BH46" i="20"/>
  <c r="BH47" i="20" s="1"/>
  <c r="BH41" i="20"/>
  <c r="BH35" i="20"/>
  <c r="R22" i="18" l="1"/>
  <c r="T22" i="18" s="1"/>
  <c r="J33" i="17" s="1"/>
  <c r="H22" i="18"/>
  <c r="I33" i="17" s="1"/>
  <c r="D28" i="3" s="1"/>
  <c r="I28" i="3" s="1"/>
  <c r="AS169" i="44"/>
  <c r="C28" i="3"/>
  <c r="H28" i="3" s="1"/>
  <c r="S22" i="18"/>
  <c r="U22" i="18" s="1"/>
  <c r="I22" i="18"/>
  <c r="BH42" i="20"/>
  <c r="AT12" i="44"/>
  <c r="AS37" i="44"/>
  <c r="AS39" i="44"/>
  <c r="AS40" i="44" s="1"/>
  <c r="AT54" i="44"/>
  <c r="AS84" i="44"/>
  <c r="E6" i="47" l="1"/>
  <c r="AT49" i="44"/>
  <c r="AR97" i="44" l="1"/>
  <c r="AR105" i="44"/>
  <c r="AR63" i="44" l="1"/>
  <c r="AR106" i="44"/>
  <c r="AR6" i="44" s="1"/>
  <c r="AV105" i="44"/>
  <c r="C15" i="47"/>
  <c r="AV63" i="44"/>
  <c r="AR7" i="44" l="1"/>
  <c r="C30" i="47"/>
  <c r="C31" i="47" s="1"/>
  <c r="G15" i="47"/>
  <c r="AT103" i="44"/>
  <c r="AT58" i="44" s="1"/>
  <c r="C34" i="47" l="1"/>
  <c r="AT106" i="44"/>
  <c r="AT6" i="44" s="1"/>
  <c r="AV103" i="44"/>
  <c r="AV106" i="44" s="1"/>
  <c r="AV58" i="44"/>
  <c r="E10" i="47"/>
  <c r="C32" i="47" l="1"/>
  <c r="AU330" i="11"/>
  <c r="AT7" i="44"/>
  <c r="G10" i="47"/>
  <c r="AR864" i="7" l="1"/>
  <c r="AS864" i="7"/>
  <c r="BH230" i="20" l="1"/>
  <c r="BH229" i="20"/>
  <c r="BH198" i="20" l="1"/>
  <c r="BH243" i="20" s="1"/>
  <c r="BH199" i="20" l="1"/>
  <c r="BH244" i="20" s="1"/>
  <c r="BH200" i="20"/>
  <c r="BH245" i="20" s="1"/>
  <c r="BH276" i="20" l="1"/>
  <c r="BH246" i="20"/>
  <c r="BH201" i="20"/>
  <c r="BH277" i="20"/>
  <c r="BH278" i="20" l="1"/>
  <c r="BI22" i="20"/>
  <c r="BI334" i="20" l="1"/>
  <c r="BI327" i="20"/>
  <c r="BI326" i="20"/>
  <c r="BI322" i="20"/>
  <c r="BI323" i="20"/>
  <c r="BI324" i="20"/>
  <c r="BI332" i="20" s="1"/>
  <c r="BI325" i="20"/>
  <c r="BI333" i="20" s="1"/>
  <c r="BI33" i="20"/>
  <c r="BI46" i="20" s="1"/>
  <c r="BI47" i="20" s="1"/>
  <c r="BI321" i="20"/>
  <c r="BI330" i="20" s="1"/>
  <c r="BI37" i="20"/>
  <c r="E29" i="3" s="1"/>
  <c r="J29" i="3" s="1"/>
  <c r="BI331" i="20" l="1"/>
  <c r="BI336" i="20" s="1"/>
  <c r="BI35" i="20"/>
  <c r="F19" i="18"/>
  <c r="BI41" i="20"/>
  <c r="C29" i="3" s="1"/>
  <c r="H29" i="3" s="1"/>
  <c r="G19" i="18" l="1"/>
  <c r="H19" i="18"/>
  <c r="I34" i="17" s="1"/>
  <c r="D29" i="3" s="1"/>
  <c r="I29" i="3" s="1"/>
  <c r="R19" i="18"/>
  <c r="T19" i="18" s="1"/>
  <c r="J34" i="17" s="1"/>
  <c r="BI42" i="20"/>
  <c r="AT169" i="44"/>
  <c r="S19" i="18" l="1"/>
  <c r="U19" i="18" s="1"/>
  <c r="I19" i="18"/>
  <c r="BI284" i="20"/>
  <c r="BI303" i="20" s="1"/>
  <c r="BI301" i="20"/>
  <c r="BI304" i="20" l="1"/>
  <c r="BI307" i="20" s="1"/>
  <c r="BI308" i="20" s="1"/>
  <c r="BI312" i="20" s="1"/>
  <c r="BI315" i="20" s="1"/>
  <c r="BI316" i="20" s="1"/>
  <c r="BI196" i="20" l="1"/>
  <c r="BI241" i="20" l="1"/>
  <c r="BI275" i="20" s="1"/>
  <c r="BI200" i="20"/>
  <c r="AT80" i="44"/>
  <c r="AT304" i="11"/>
  <c r="AT317" i="11" s="1"/>
  <c r="AT50" i="44"/>
  <c r="AT34" i="44" s="1"/>
  <c r="AV34" i="44" s="1"/>
  <c r="E28" i="47" l="1"/>
  <c r="BI245" i="20"/>
  <c r="BI277" i="20" s="1"/>
  <c r="AT13" i="44" l="1"/>
  <c r="AT55" i="44"/>
  <c r="E7" i="47" l="1"/>
  <c r="AU317" i="11"/>
  <c r="AV317" i="11" s="1"/>
  <c r="AU55" i="44"/>
  <c r="F7" i="47" s="1"/>
  <c r="G7" i="47" s="1"/>
  <c r="AV328" i="11" l="1"/>
  <c r="AV330" i="11"/>
  <c r="AV55" i="44"/>
  <c r="AU13" i="44"/>
  <c r="AV13" i="44" s="1"/>
  <c r="AU8" i="44"/>
  <c r="AV6" i="44"/>
  <c r="AU12" i="44"/>
  <c r="AT37" i="44"/>
  <c r="AT39" i="44"/>
  <c r="AT40" i="44" s="1"/>
  <c r="L298" i="42"/>
  <c r="L302" i="42" s="1"/>
  <c r="L308" i="42" s="1"/>
  <c r="AU54" i="44"/>
  <c r="AT84" i="44"/>
  <c r="AU10" i="44" l="1"/>
  <c r="AU7" i="44"/>
  <c r="AV287" i="11"/>
  <c r="F6" i="47"/>
  <c r="AU80" i="44"/>
  <c r="AV8" i="44" l="1"/>
  <c r="AW6" i="44" s="1"/>
  <c r="AW288" i="11"/>
  <c r="AW330" i="11" s="1"/>
  <c r="AW13" i="44" s="1"/>
  <c r="F28" i="47"/>
  <c r="G28" i="47" s="1"/>
  <c r="AV80" i="44"/>
  <c r="AS23" i="43"/>
  <c r="AS22" i="43" s="1"/>
  <c r="AT23" i="43"/>
  <c r="AT22" i="43" s="1"/>
  <c r="AV10" i="44" l="1"/>
  <c r="AW7" i="44"/>
  <c r="BK21" i="20"/>
  <c r="BP218" i="20" l="1"/>
  <c r="H46" i="39"/>
  <c r="AT15" i="7" l="1"/>
  <c r="AT21" i="7" s="1"/>
  <c r="AT25" i="7" l="1"/>
  <c r="AT90" i="7"/>
  <c r="Z72" i="15"/>
  <c r="Z80" i="15"/>
  <c r="AE25" i="1"/>
  <c r="AT34" i="7"/>
  <c r="Z104" i="15" l="1"/>
  <c r="AT100" i="7"/>
  <c r="AV100" i="7" s="1"/>
  <c r="AT36" i="7"/>
  <c r="AU36" i="7"/>
  <c r="AT93" i="7"/>
  <c r="AV90" i="7"/>
  <c r="AV93" i="7" s="1"/>
  <c r="AT74" i="7"/>
  <c r="AE14" i="1"/>
  <c r="AE19" i="1" s="1"/>
  <c r="Z74" i="15" s="1"/>
  <c r="Z73" i="15" s="1"/>
  <c r="AT181" i="7"/>
  <c r="AT185" i="7" l="1"/>
  <c r="AU168" i="7"/>
  <c r="AT137" i="7"/>
  <c r="AT76" i="7"/>
  <c r="AT139" i="7" s="1"/>
  <c r="AT168" i="7"/>
  <c r="AV168" i="7" l="1"/>
  <c r="AT172" i="7"/>
  <c r="AT313" i="7"/>
  <c r="AT314" i="7" s="1"/>
  <c r="AS381" i="7"/>
  <c r="AS383" i="7" s="1"/>
  <c r="AS465" i="7"/>
  <c r="AS394" i="7"/>
  <c r="AS471" i="7" s="1"/>
  <c r="AS409" i="7"/>
  <c r="AS447" i="7"/>
  <c r="AS456" i="7" s="1"/>
  <c r="AS458" i="7" s="1"/>
  <c r="AV458" i="7" s="1"/>
  <c r="AS504" i="7" l="1"/>
  <c r="AV409" i="7"/>
  <c r="AS468" i="7"/>
  <c r="AV465" i="7"/>
  <c r="AV468" i="7" s="1"/>
  <c r="AS476" i="7"/>
  <c r="AS402" i="7"/>
  <c r="AS405" i="7" s="1"/>
  <c r="AT393" i="7" s="1"/>
  <c r="AT388" i="7"/>
  <c r="AS477" i="7"/>
  <c r="AS478" i="7" s="1"/>
  <c r="AT476" i="7"/>
  <c r="AT477" i="7" s="1"/>
  <c r="AT478" i="7" s="1"/>
  <c r="AS497" i="7"/>
  <c r="AS500" i="7" s="1"/>
  <c r="AT463" i="7"/>
  <c r="AT468" i="7" s="1"/>
  <c r="AT514" i="7"/>
  <c r="AT516" i="7" s="1"/>
  <c r="AS470" i="7"/>
  <c r="AS561" i="7"/>
  <c r="AS511" i="7"/>
  <c r="AS498" i="7" l="1"/>
  <c r="AS509" i="7" s="1"/>
  <c r="AS403" i="7"/>
  <c r="AS414" i="7" s="1"/>
  <c r="AT408" i="7" s="1"/>
  <c r="AS512" i="7"/>
  <c r="AS601" i="7"/>
  <c r="AS764" i="7"/>
  <c r="AS766" i="7"/>
  <c r="AS767" i="7" s="1"/>
  <c r="AS768" i="7" s="1"/>
  <c r="AS771" i="7" s="1"/>
  <c r="AT29" i="12"/>
  <c r="AS501" i="7"/>
  <c r="AS406" i="7" l="1"/>
  <c r="AT503" i="7"/>
  <c r="AS508" i="7"/>
  <c r="AT32" i="12"/>
  <c r="AS602" i="7"/>
  <c r="AS413" i="7"/>
  <c r="AS559" i="7"/>
  <c r="AS154" i="7"/>
  <c r="AS155" i="7" s="1"/>
  <c r="AS157" i="7" s="1"/>
  <c r="AS772" i="7"/>
  <c r="AS773" i="7" s="1"/>
  <c r="AS775" i="7" s="1"/>
  <c r="F22" i="16" s="1"/>
  <c r="D33" i="17" l="1"/>
  <c r="D110" i="17" s="1"/>
  <c r="AS776" i="7"/>
  <c r="AT492" i="7"/>
  <c r="AT412" i="7"/>
  <c r="AT507" i="7" s="1"/>
  <c r="AS594" i="7"/>
  <c r="AS560" i="7"/>
  <c r="AU392" i="7" l="1"/>
  <c r="AU412" i="7" s="1"/>
  <c r="AT394" i="7"/>
  <c r="AT487" i="7"/>
  <c r="AU487" i="7" s="1"/>
  <c r="AT520" i="7"/>
  <c r="AT608" i="7" s="1"/>
  <c r="AS552" i="7"/>
  <c r="AT540" i="7" s="1"/>
  <c r="AT541" i="7" s="1"/>
  <c r="AT544" i="7" s="1"/>
  <c r="AU535" i="7" s="1"/>
  <c r="AU536" i="7" s="1"/>
  <c r="AV536" i="7" s="1"/>
  <c r="AS620" i="7"/>
  <c r="AS554" i="7"/>
  <c r="AS562" i="7"/>
  <c r="AS596" i="7"/>
  <c r="AS597" i="7"/>
  <c r="AS15" i="44" s="1"/>
  <c r="AV392" i="7" l="1"/>
  <c r="AU488" i="7"/>
  <c r="AU489" i="7" s="1"/>
  <c r="AV487" i="7"/>
  <c r="AV488" i="7" s="1"/>
  <c r="AV489" i="7" s="1"/>
  <c r="AV412" i="7"/>
  <c r="AU507" i="7"/>
  <c r="AT402" i="7"/>
  <c r="AT403" i="7" s="1"/>
  <c r="AT414" i="7" s="1"/>
  <c r="AT471" i="7"/>
  <c r="AS622" i="7"/>
  <c r="AS624" i="7" s="1"/>
  <c r="AS619" i="7"/>
  <c r="AT616" i="7"/>
  <c r="AZ484" i="7"/>
  <c r="AT618" i="7"/>
  <c r="AT488" i="7"/>
  <c r="AT489" i="7" s="1"/>
  <c r="AS57" i="44"/>
  <c r="AS39" i="12"/>
  <c r="AS577" i="7"/>
  <c r="AS566" i="7"/>
  <c r="AS607" i="7"/>
  <c r="AU463" i="7" l="1"/>
  <c r="AU468" i="7" s="1"/>
  <c r="AT497" i="7"/>
  <c r="AT498" i="7" s="1"/>
  <c r="AT509" i="7" s="1"/>
  <c r="AT413" i="7"/>
  <c r="AU408" i="7"/>
  <c r="AT561" i="7"/>
  <c r="AT764" i="7" s="1"/>
  <c r="AT470" i="7"/>
  <c r="AT766" i="7"/>
  <c r="AT767" i="7" s="1"/>
  <c r="AT768" i="7" s="1"/>
  <c r="AT601" i="7"/>
  <c r="AT602" i="7" s="1"/>
  <c r="AS606" i="7"/>
  <c r="AS672" i="7" s="1"/>
  <c r="AS609" i="7"/>
  <c r="AS670" i="7"/>
  <c r="AS671" i="7"/>
  <c r="AT31" i="12"/>
  <c r="AS38" i="12"/>
  <c r="AT30" i="12" s="1"/>
  <c r="D9" i="47"/>
  <c r="AS627" i="7"/>
  <c r="AU388" i="7"/>
  <c r="AU503" i="7" l="1"/>
  <c r="AT508" i="7"/>
  <c r="AS673" i="7"/>
  <c r="AT154" i="7"/>
  <c r="AT155" i="7" s="1"/>
  <c r="AT772" i="7"/>
  <c r="AT163" i="7"/>
  <c r="AV163" i="7" s="1"/>
  <c r="AS675" i="7"/>
  <c r="AS676" i="7" s="1"/>
  <c r="AT166" i="7" l="1"/>
  <c r="AV166" i="7" s="1"/>
  <c r="AV164" i="7" s="1"/>
  <c r="AT164" i="7" l="1"/>
  <c r="AT559" i="7"/>
  <c r="AT594" i="7" s="1"/>
  <c r="AT500" i="7" l="1"/>
  <c r="AT501" i="7" l="1"/>
  <c r="AT268" i="7"/>
  <c r="AT270" i="7" l="1"/>
  <c r="AT681" i="7"/>
  <c r="AT683" i="7" s="1"/>
  <c r="AT686" i="7" s="1"/>
  <c r="AT256" i="7"/>
  <c r="AT271" i="7" l="1"/>
  <c r="AT250" i="7"/>
  <c r="AT558" i="7"/>
  <c r="AT605" i="7" s="1"/>
  <c r="AT593" i="7" l="1"/>
  <c r="AT611" i="7" s="1"/>
  <c r="AT560" i="7"/>
  <c r="AU618" i="7" s="1"/>
  <c r="AV618" i="7" s="1"/>
  <c r="AT596" i="7" l="1"/>
  <c r="AT597" i="7"/>
  <c r="AT552" i="7"/>
  <c r="AT620" i="7"/>
  <c r="AU616" i="7" s="1"/>
  <c r="AT554" i="7"/>
  <c r="AT562" i="7"/>
  <c r="AT607" i="7" l="1"/>
  <c r="AT670" i="7" s="1"/>
  <c r="AT566" i="7"/>
  <c r="AT622" i="7"/>
  <c r="AT624" i="7" s="1"/>
  <c r="AT619" i="7"/>
  <c r="AU540" i="7"/>
  <c r="AV507" i="7"/>
  <c r="AT577" i="7"/>
  <c r="AT39" i="12"/>
  <c r="AT38" i="12" s="1"/>
  <c r="AT671" i="7" l="1"/>
  <c r="AT609" i="7"/>
  <c r="AT606" i="7"/>
  <c r="AT672" i="7" s="1"/>
  <c r="AV540" i="7"/>
  <c r="AU313" i="7"/>
  <c r="AU314" i="7" s="1"/>
  <c r="AT627" i="7"/>
  <c r="AV454" i="7"/>
  <c r="AT673" i="7" l="1"/>
  <c r="AT675" i="7"/>
  <c r="AT676" i="7" s="1"/>
  <c r="AV313" i="7"/>
  <c r="AV314" i="7" s="1"/>
  <c r="AU371" i="7" l="1"/>
  <c r="AU381" i="7" s="1"/>
  <c r="AU383" i="7" s="1"/>
  <c r="AT405" i="7"/>
  <c r="AU393" i="7" s="1"/>
  <c r="AU394" i="7" s="1"/>
  <c r="AT406" i="7"/>
  <c r="AT25" i="12"/>
  <c r="AT27" i="12" s="1"/>
  <c r="AT732" i="7"/>
  <c r="AT738" i="7" s="1"/>
  <c r="AT857" i="7"/>
  <c r="AT859" i="7" s="1"/>
  <c r="AT862" i="7" s="1"/>
  <c r="AT864" i="7" s="1"/>
  <c r="BI101" i="20"/>
  <c r="BI100" i="20" l="1"/>
  <c r="AT350" i="11"/>
  <c r="AT351" i="11" s="1"/>
  <c r="AU471" i="7"/>
  <c r="BI103" i="20"/>
  <c r="BI108" i="20" s="1"/>
  <c r="BI154" i="20"/>
  <c r="BI116" i="20"/>
  <c r="BI118" i="20" s="1"/>
  <c r="BI123" i="20" s="1"/>
  <c r="AT352" i="11" l="1"/>
  <c r="AU561" i="7"/>
  <c r="AU497" i="7"/>
  <c r="AU498" i="7" s="1"/>
  <c r="AU509" i="7" s="1"/>
  <c r="AU470" i="7"/>
  <c r="BI153" i="20"/>
  <c r="BI156" i="20"/>
  <c r="BI161" i="20" s="1"/>
  <c r="AT357" i="11" l="1"/>
  <c r="R602" i="42"/>
  <c r="AT32" i="43"/>
  <c r="BI342" i="20"/>
  <c r="BI346" i="20" s="1"/>
  <c r="AU559" i="7"/>
  <c r="AU508" i="7"/>
  <c r="BI231" i="20"/>
  <c r="BI58" i="20"/>
  <c r="BI14" i="20" s="1"/>
  <c r="R605" i="42" l="1"/>
  <c r="R604" i="42"/>
  <c r="AT356" i="11"/>
  <c r="R653" i="42" s="1"/>
  <c r="AT353" i="11"/>
  <c r="BI230" i="20"/>
  <c r="BI229" i="20"/>
  <c r="BI198" i="20" l="1"/>
  <c r="BI243" i="20" s="1"/>
  <c r="AT302" i="7"/>
  <c r="AT1018" i="7"/>
  <c r="AT1023" i="7" s="1"/>
  <c r="BI199" i="20" l="1"/>
  <c r="AT1033" i="7"/>
  <c r="AU1018" i="7"/>
  <c r="AU1023" i="7" s="1"/>
  <c r="AT1025" i="7"/>
  <c r="BI244" i="20"/>
  <c r="BI201" i="20"/>
  <c r="AT1032" i="7" l="1"/>
  <c r="AU1028" i="7"/>
  <c r="BI276" i="20"/>
  <c r="BI278" i="20" s="1"/>
  <c r="BI246" i="20"/>
  <c r="AW189" i="7"/>
  <c r="AW190" i="7" l="1"/>
  <c r="AW195" i="7" s="1"/>
  <c r="AW149" i="7" s="1"/>
  <c r="AW200" i="7" l="1"/>
  <c r="AW198" i="7" l="1"/>
  <c r="AW201" i="7" l="1"/>
  <c r="AW158" i="7" l="1"/>
  <c r="AW159" i="7"/>
  <c r="AW202" i="7"/>
  <c r="AW204" i="7" s="1"/>
  <c r="AT21" i="12"/>
  <c r="AU332" i="7" l="1"/>
  <c r="AV346" i="7"/>
  <c r="AU476" i="7"/>
  <c r="AU477" i="7" l="1"/>
  <c r="AU478" i="7" s="1"/>
  <c r="AV476" i="7"/>
  <c r="AV477" i="7" s="1"/>
  <c r="AV478" i="7" s="1"/>
  <c r="AU525" i="7"/>
  <c r="AU717" i="7"/>
  <c r="AV332" i="7"/>
  <c r="AV525" i="7" l="1"/>
  <c r="AV692" i="7"/>
  <c r="AW698" i="7" s="1"/>
  <c r="AV447" i="7"/>
  <c r="AU526" i="7"/>
  <c r="AV526" i="7" s="1"/>
  <c r="AV717" i="7"/>
  <c r="AU721" i="7"/>
  <c r="AU712" i="7"/>
  <c r="AV698" i="7" l="1"/>
  <c r="AU617" i="7"/>
  <c r="AV617" i="7" s="1"/>
  <c r="AU527" i="7"/>
  <c r="AV527" i="7"/>
  <c r="AW524" i="7" s="1"/>
  <c r="AU529" i="7"/>
  <c r="AU711" i="7"/>
  <c r="AV711" i="7"/>
  <c r="AV712" i="7"/>
  <c r="AV716" i="7"/>
  <c r="AU720" i="7"/>
  <c r="AV449" i="7"/>
  <c r="AV721" i="7"/>
  <c r="AU474" i="7"/>
  <c r="AV474" i="7" s="1"/>
  <c r="AW463" i="7" s="1"/>
  <c r="AU601" i="7"/>
  <c r="AU602" i="7" s="1"/>
  <c r="AV720" i="7" l="1"/>
  <c r="AW526" i="7"/>
  <c r="AW617" i="7" s="1"/>
  <c r="AU537" i="7"/>
  <c r="AU538" i="7" s="1"/>
  <c r="AV538" i="7" s="1"/>
  <c r="AU402" i="7"/>
  <c r="AV393" i="7"/>
  <c r="AV394" i="7" s="1"/>
  <c r="AV471" i="7" s="1"/>
  <c r="AU397" i="7"/>
  <c r="AV397" i="7" s="1"/>
  <c r="BA463" i="7"/>
  <c r="AV537" i="7"/>
  <c r="AV402" i="7"/>
  <c r="AU764" i="7"/>
  <c r="AU766" i="7"/>
  <c r="AU767" i="7" s="1"/>
  <c r="AU768" i="7" s="1"/>
  <c r="AU532" i="7"/>
  <c r="AV529" i="7"/>
  <c r="AW529" i="7" s="1"/>
  <c r="AX529" i="7" s="1"/>
  <c r="AY529" i="7" s="1"/>
  <c r="AU530" i="7"/>
  <c r="AV497" i="7"/>
  <c r="BA388" i="7" l="1"/>
  <c r="AW388" i="7"/>
  <c r="AW537" i="7"/>
  <c r="AW538" i="7" s="1"/>
  <c r="AW527" i="7"/>
  <c r="AV470" i="7"/>
  <c r="AV561" i="7"/>
  <c r="AU541" i="7"/>
  <c r="AU544" i="7" s="1"/>
  <c r="AV541" i="7"/>
  <c r="AV544" i="7" s="1"/>
  <c r="AV532" i="7"/>
  <c r="BA524" i="7"/>
  <c r="AU154" i="7"/>
  <c r="AU155" i="7" s="1"/>
  <c r="AU772" i="7"/>
  <c r="AU533" i="7"/>
  <c r="AV530" i="7"/>
  <c r="AW530" i="7" s="1"/>
  <c r="AX530" i="7" s="1"/>
  <c r="AY530" i="7" s="1"/>
  <c r="AW532" i="7" l="1"/>
  <c r="AX524" i="7"/>
  <c r="AX527" i="7" s="1"/>
  <c r="AW533" i="7"/>
  <c r="BA535" i="7"/>
  <c r="AW535" i="7"/>
  <c r="AW536" i="7" s="1"/>
  <c r="AV601" i="7"/>
  <c r="AV602" i="7" s="1"/>
  <c r="AV764" i="7"/>
  <c r="AV154" i="7" s="1"/>
  <c r="AV155" i="7" s="1"/>
  <c r="AV766" i="7"/>
  <c r="AV767" i="7" s="1"/>
  <c r="AV768" i="7" s="1"/>
  <c r="AV533" i="7"/>
  <c r="AX532" i="7" l="1"/>
  <c r="AY524" i="7"/>
  <c r="AY527" i="7" s="1"/>
  <c r="AX533" i="7"/>
  <c r="AT22" i="12"/>
  <c r="AT17" i="12" s="1"/>
  <c r="AY532" i="7" l="1"/>
  <c r="AY533" i="7"/>
  <c r="AT770" i="7"/>
  <c r="AT771" i="7" s="1"/>
  <c r="AT773" i="7" s="1"/>
  <c r="AT775" i="7" s="1"/>
  <c r="F19" i="16" s="1"/>
  <c r="D34" i="17" s="1"/>
  <c r="D111" i="17" s="1"/>
  <c r="AT23" i="12"/>
  <c r="AU70" i="44"/>
  <c r="AT21" i="44"/>
  <c r="AT70" i="44" s="1"/>
  <c r="AW70" i="44"/>
  <c r="AT156" i="7"/>
  <c r="AT157" i="7" s="1"/>
  <c r="AT776" i="7" l="1"/>
  <c r="AV21" i="44"/>
  <c r="E19" i="16"/>
  <c r="C34" i="17" s="1"/>
  <c r="C111" i="17" s="1"/>
  <c r="E111" i="17" s="1"/>
  <c r="AV70" i="44"/>
  <c r="AV70" i="7" l="1"/>
  <c r="AV51" i="7" s="1"/>
  <c r="AV185" i="7" l="1"/>
  <c r="AU185" i="7"/>
  <c r="AU401" i="7"/>
  <c r="AV381" i="7"/>
  <c r="AV383" i="7" s="1"/>
  <c r="BA371" i="7" l="1"/>
  <c r="AV401" i="7"/>
  <c r="AU403" i="7"/>
  <c r="AU405" i="7"/>
  <c r="AU172" i="7"/>
  <c r="AV172" i="7"/>
  <c r="AU406" i="7" l="1"/>
  <c r="AU414" i="7"/>
  <c r="AU413" i="7" s="1"/>
  <c r="AV403" i="7"/>
  <c r="AV405" i="7"/>
  <c r="AW393" i="7" s="1"/>
  <c r="AV406" i="7" l="1"/>
  <c r="AV414" i="7"/>
  <c r="AV413" i="7" l="1"/>
  <c r="AW408" i="7"/>
  <c r="E31" i="39"/>
  <c r="E30" i="39" l="1"/>
  <c r="BJ196" i="20"/>
  <c r="C31" i="39"/>
  <c r="H31" i="39"/>
  <c r="BK12" i="20"/>
  <c r="H30" i="39" l="1"/>
  <c r="C30" i="39"/>
  <c r="BJ241" i="20"/>
  <c r="BK196" i="20"/>
  <c r="BK241" i="20" l="1"/>
  <c r="BK275" i="20" s="1"/>
  <c r="BJ275" i="20"/>
  <c r="AU225" i="7" l="1"/>
  <c r="AU226" i="7" s="1"/>
  <c r="AV225" i="7" l="1"/>
  <c r="AV226" i="7" s="1"/>
  <c r="AU28" i="13" l="1"/>
  <c r="AV28" i="13"/>
  <c r="AW28" i="13"/>
  <c r="AV71" i="7" l="1"/>
  <c r="AV58" i="7" s="1"/>
  <c r="AV173" i="13" l="1"/>
  <c r="AU179" i="13" l="1"/>
  <c r="AV177" i="13"/>
  <c r="AU10" i="13"/>
  <c r="AU178" i="13"/>
  <c r="AV178" i="13" l="1"/>
  <c r="AU887" i="7"/>
  <c r="AU12" i="13"/>
  <c r="AV10" i="13"/>
  <c r="AV12" i="13" s="1"/>
  <c r="AW10" i="13" l="1"/>
  <c r="AW12" i="13" s="1"/>
  <c r="AW178" i="13"/>
  <c r="AU888" i="7"/>
  <c r="AU937" i="7" l="1"/>
  <c r="AV888" i="7"/>
  <c r="AU915" i="7"/>
  <c r="H16" i="16" s="1"/>
  <c r="AU909" i="7"/>
  <c r="AU850" i="7"/>
  <c r="AU27" i="13"/>
  <c r="AU36" i="13" s="1"/>
  <c r="AU37" i="13" l="1"/>
  <c r="AV37" i="13" s="1"/>
  <c r="AV36" i="13"/>
  <c r="AV909" i="7"/>
  <c r="AW909" i="7" s="1"/>
  <c r="AU913" i="7"/>
  <c r="AU910" i="7"/>
  <c r="F35" i="17"/>
  <c r="F112" i="17" s="1"/>
  <c r="AU916" i="7"/>
  <c r="AU919" i="7"/>
  <c r="AV915" i="7"/>
  <c r="AU31" i="13"/>
  <c r="AU29" i="13"/>
  <c r="AV351" i="7"/>
  <c r="AU333" i="7"/>
  <c r="AV850" i="7"/>
  <c r="AV121" i="7" s="1"/>
  <c r="AV27" i="13"/>
  <c r="AU280" i="7"/>
  <c r="AU257" i="7" s="1"/>
  <c r="AU121" i="7"/>
  <c r="AW850" i="7"/>
  <c r="AW893" i="7"/>
  <c r="AW27" i="13"/>
  <c r="AW892" i="7"/>
  <c r="AW915" i="7" l="1"/>
  <c r="AW913" i="7"/>
  <c r="AW910" i="7"/>
  <c r="AW36" i="13"/>
  <c r="AW37" i="13" s="1"/>
  <c r="H112" i="17"/>
  <c r="AV919" i="7"/>
  <c r="AV916" i="7"/>
  <c r="AV913" i="7"/>
  <c r="AV910" i="7"/>
  <c r="AU336" i="7"/>
  <c r="AU319" i="7" s="1"/>
  <c r="AV333" i="7"/>
  <c r="AV336" i="7" s="1"/>
  <c r="AW280" i="7"/>
  <c r="AW257" i="7" s="1"/>
  <c r="AW121" i="7"/>
  <c r="AU282" i="7"/>
  <c r="AV280" i="7"/>
  <c r="AV257" i="7" s="1"/>
  <c r="AU842" i="7"/>
  <c r="AV29" i="13"/>
  <c r="AV31" i="13"/>
  <c r="AW29" i="13"/>
  <c r="AW31" i="13"/>
  <c r="AW916" i="7" l="1"/>
  <c r="AW919" i="7"/>
  <c r="H13" i="16"/>
  <c r="F36" i="17" s="1"/>
  <c r="F113" i="17" s="1"/>
  <c r="H113" i="17" s="1"/>
  <c r="AW842" i="7"/>
  <c r="AU858" i="7"/>
  <c r="AU859" i="7" s="1"/>
  <c r="AU862" i="7" s="1"/>
  <c r="AU864" i="7" s="1"/>
  <c r="AU852" i="7"/>
  <c r="AU854" i="7" s="1"/>
  <c r="AV282" i="7"/>
  <c r="AV842" i="7"/>
  <c r="AW282" i="7"/>
  <c r="AW251" i="7" s="1"/>
  <c r="AV319" i="7"/>
  <c r="AU283" i="7"/>
  <c r="AU251" i="7"/>
  <c r="AW843" i="7" l="1"/>
  <c r="AW852" i="7"/>
  <c r="AW854" i="7" s="1"/>
  <c r="AW858" i="7"/>
  <c r="AV858" i="7"/>
  <c r="AV859" i="7" s="1"/>
  <c r="AV862" i="7" s="1"/>
  <c r="AV864" i="7" s="1"/>
  <c r="AV852" i="7"/>
  <c r="AV854" i="7" s="1"/>
  <c r="AW283" i="7"/>
  <c r="AV283" i="7"/>
  <c r="AV251" i="7"/>
  <c r="AR293" i="7" l="1"/>
  <c r="AR295" i="7" s="1"/>
  <c r="AS989" i="7"/>
  <c r="AS293" i="7"/>
  <c r="AS295" i="7" s="1"/>
  <c r="AS246" i="7" s="1"/>
  <c r="AT989" i="7"/>
  <c r="AR989" i="7"/>
  <c r="AT293" i="7"/>
  <c r="AT295" i="7" s="1"/>
  <c r="AT246" i="7" s="1"/>
  <c r="AS9" i="45"/>
  <c r="AS4" i="45" s="1"/>
  <c r="AS5" i="45" s="1"/>
  <c r="AR9" i="45"/>
  <c r="AR11" i="45" s="1"/>
  <c r="AR12" i="45" s="1"/>
  <c r="AS357" i="7" l="1"/>
  <c r="AS340" i="7" s="1"/>
  <c r="AS342" i="7" s="1"/>
  <c r="AS23" i="44"/>
  <c r="AS72" i="44" s="1"/>
  <c r="AT23" i="44"/>
  <c r="AT72" i="44" s="1"/>
  <c r="AT73" i="44" s="1"/>
  <c r="AT82" i="44" s="1"/>
  <c r="AT357" i="7"/>
  <c r="AT340" i="7" s="1"/>
  <c r="AT342" i="7" s="1"/>
  <c r="AT320" i="7" s="1"/>
  <c r="AR246" i="7"/>
  <c r="M172" i="42" s="1"/>
  <c r="AR299" i="7"/>
  <c r="AR252" i="7" s="1"/>
  <c r="AR4" i="45"/>
  <c r="AR5" i="45" s="1"/>
  <c r="AR8" i="45"/>
  <c r="AR19" i="45" s="1"/>
  <c r="AS20" i="45"/>
  <c r="AS8" i="45"/>
  <c r="AT24" i="44"/>
  <c r="AT35" i="44" s="1"/>
  <c r="AR300" i="7"/>
  <c r="AT20" i="45"/>
  <c r="AR247" i="7"/>
  <c r="AS11" i="45"/>
  <c r="AS12" i="45" s="1"/>
  <c r="AR20" i="45"/>
  <c r="M173" i="42" l="1"/>
  <c r="AR253" i="7"/>
  <c r="E30" i="47"/>
  <c r="E31" i="47" s="1"/>
  <c r="AS24" i="44"/>
  <c r="AS35" i="44" s="1"/>
  <c r="AR933" i="7"/>
  <c r="AR939" i="7" s="1"/>
  <c r="AR934" i="7"/>
  <c r="AR935" i="7" s="1"/>
  <c r="AR938" i="7" s="1"/>
  <c r="AS19" i="45"/>
  <c r="AT12" i="45"/>
  <c r="AS73" i="44"/>
  <c r="AS82" i="44" s="1"/>
  <c r="AT19" i="45"/>
  <c r="AU23" i="44"/>
  <c r="AU357" i="7"/>
  <c r="AU995" i="7"/>
  <c r="AU1071" i="7"/>
  <c r="AU302" i="7" s="1"/>
  <c r="AU994" i="7"/>
  <c r="E34" i="47" l="1"/>
  <c r="AR940" i="7"/>
  <c r="AU24" i="44"/>
  <c r="AU72" i="44"/>
  <c r="AV23" i="44"/>
  <c r="AV1071" i="7"/>
  <c r="AV302" i="7" s="1"/>
  <c r="V32" i="17"/>
  <c r="AU340" i="7"/>
  <c r="AV357" i="7"/>
  <c r="AR945" i="7" l="1"/>
  <c r="AR946" i="7" s="1"/>
  <c r="AR942" i="7"/>
  <c r="AR943" i="7" s="1"/>
  <c r="D30" i="47"/>
  <c r="D31" i="47" s="1"/>
  <c r="AU73" i="44"/>
  <c r="AV72" i="44"/>
  <c r="AV24" i="44"/>
  <c r="AV999" i="7"/>
  <c r="AU342" i="7"/>
  <c r="AU320" i="7" s="1"/>
  <c r="AV340" i="7"/>
  <c r="AV342" i="7" s="1"/>
  <c r="D34" i="47" l="1"/>
  <c r="AV10" i="45"/>
  <c r="AV980" i="7"/>
  <c r="AU39" i="44"/>
  <c r="AU40" i="44" s="1"/>
  <c r="AV40" i="44" s="1"/>
  <c r="AU37" i="44"/>
  <c r="AV72" i="7"/>
  <c r="AU74" i="7"/>
  <c r="AV73" i="44"/>
  <c r="I25" i="16"/>
  <c r="G32" i="17" s="1"/>
  <c r="G109" i="17" s="1"/>
  <c r="AV320" i="7"/>
  <c r="E32" i="47" l="1"/>
  <c r="AW981" i="7"/>
  <c r="AV293" i="7"/>
  <c r="AV295" i="7" s="1"/>
  <c r="AV9" i="45"/>
  <c r="D32" i="47"/>
  <c r="AF14" i="1"/>
  <c r="AF19" i="1" s="1"/>
  <c r="AA74" i="15" s="1"/>
  <c r="AU137" i="7"/>
  <c r="AV137" i="7" s="1"/>
  <c r="AU76" i="7"/>
  <c r="AV74" i="7"/>
  <c r="AV65" i="7"/>
  <c r="AV44" i="7" s="1"/>
  <c r="AU84" i="44"/>
  <c r="AV84" i="44" s="1"/>
  <c r="BJ200" i="20"/>
  <c r="AV37" i="44"/>
  <c r="AV299" i="7" l="1"/>
  <c r="AV297" i="7" s="1"/>
  <c r="AV258" i="7" s="1"/>
  <c r="AV246" i="7"/>
  <c r="AV247" i="7" s="1"/>
  <c r="AU139" i="7"/>
  <c r="AV139" i="7" s="1"/>
  <c r="AV11" i="45"/>
  <c r="AW12" i="45" s="1"/>
  <c r="AV8" i="45"/>
  <c r="AW19" i="45" s="1"/>
  <c r="AV4" i="45"/>
  <c r="AV5" i="45" s="1"/>
  <c r="AV934" i="7"/>
  <c r="AV935" i="7" s="1"/>
  <c r="AV962" i="7"/>
  <c r="AV963" i="7" s="1"/>
  <c r="AV965" i="7" s="1"/>
  <c r="AG14" i="1"/>
  <c r="AG19" i="1" s="1"/>
  <c r="AV76" i="7"/>
  <c r="BK200" i="20"/>
  <c r="BJ245" i="20"/>
  <c r="AV25" i="7"/>
  <c r="AV34" i="7" s="1"/>
  <c r="AB74" i="15" l="1"/>
  <c r="BM74" i="15" s="1"/>
  <c r="BR19" i="1"/>
  <c r="AA72" i="15"/>
  <c r="AA73" i="15" s="1"/>
  <c r="BK284" i="20"/>
  <c r="BK303" i="20" s="1"/>
  <c r="BJ284" i="20"/>
  <c r="BJ303" i="20" s="1"/>
  <c r="BK245" i="20"/>
  <c r="BK277" i="20" s="1"/>
  <c r="BJ277" i="20"/>
  <c r="AV321" i="11"/>
  <c r="AV323" i="11" s="1"/>
  <c r="AV324" i="11" s="1"/>
  <c r="AX246" i="7"/>
  <c r="AB72" i="15"/>
  <c r="BK16" i="20"/>
  <c r="BM72" i="15" l="1"/>
  <c r="AB73" i="15"/>
  <c r="BM73" i="15" s="1"/>
  <c r="BM277" i="20"/>
  <c r="AW317" i="11" l="1"/>
  <c r="AW55" i="44" l="1"/>
  <c r="H7" i="47" l="1"/>
  <c r="AS248" i="7" l="1"/>
  <c r="AS247" i="7" s="1"/>
  <c r="AT248" i="7"/>
  <c r="AT247" i="7" s="1"/>
  <c r="AS934" i="7" l="1"/>
  <c r="AS935" i="7" s="1"/>
  <c r="AS938" i="7" s="1"/>
  <c r="AS933" i="7"/>
  <c r="AS939" i="7" s="1"/>
  <c r="AT933" i="7"/>
  <c r="AT939" i="7" s="1"/>
  <c r="AT934" i="7"/>
  <c r="AT935" i="7" s="1"/>
  <c r="AT938" i="7" s="1"/>
  <c r="AT940" i="7" l="1"/>
  <c r="AS940" i="7"/>
  <c r="AS945" i="7" l="1"/>
  <c r="AS942" i="7"/>
  <c r="I22" i="16"/>
  <c r="G33" i="17" s="1"/>
  <c r="G110" i="17" s="1"/>
  <c r="AS943" i="7" l="1"/>
  <c r="AT942" i="7"/>
  <c r="AS946" i="7"/>
  <c r="AT945" i="7"/>
  <c r="I19" i="16" s="1"/>
  <c r="G34" i="17" s="1"/>
  <c r="G111" i="17" s="1"/>
  <c r="BJ101" i="20"/>
  <c r="BJ100" i="20" l="1"/>
  <c r="BK100" i="20" s="1"/>
  <c r="AU350" i="11"/>
  <c r="AU351" i="11" s="1"/>
  <c r="BJ154" i="20"/>
  <c r="BK154" i="20" s="1"/>
  <c r="BJ103" i="20"/>
  <c r="AT943" i="7"/>
  <c r="AT946" i="7"/>
  <c r="BJ116" i="20"/>
  <c r="BJ118" i="20" s="1"/>
  <c r="BJ123" i="20" s="1"/>
  <c r="BK101" i="20"/>
  <c r="BK116" i="20" s="1"/>
  <c r="BK118" i="20" s="1"/>
  <c r="BK123" i="20" s="1"/>
  <c r="AU352" i="11" l="1"/>
  <c r="BJ153" i="20"/>
  <c r="BJ156" i="20"/>
  <c r="BJ108" i="20"/>
  <c r="BK103" i="20"/>
  <c r="BK108" i="20" s="1"/>
  <c r="BK153" i="20" l="1"/>
  <c r="BK231" i="20" s="1"/>
  <c r="BJ231" i="20"/>
  <c r="BJ58" i="20"/>
  <c r="BK156" i="20"/>
  <c r="BK161" i="20" s="1"/>
  <c r="AV32" i="43" s="1"/>
  <c r="BJ161" i="20"/>
  <c r="BK229" i="20"/>
  <c r="E34" i="39" s="1"/>
  <c r="H34" i="39" s="1"/>
  <c r="BK230" i="20"/>
  <c r="E35" i="39" s="1"/>
  <c r="H35" i="39" s="1"/>
  <c r="BK15" i="20"/>
  <c r="AA80" i="15"/>
  <c r="AU357" i="11" l="1"/>
  <c r="S602" i="42"/>
  <c r="AU32" i="43"/>
  <c r="BJ342" i="20"/>
  <c r="BJ346" i="20" s="1"/>
  <c r="BK58" i="20"/>
  <c r="BJ14" i="20"/>
  <c r="BJ229" i="20"/>
  <c r="BJ230" i="20"/>
  <c r="BK17" i="20"/>
  <c r="BK22" i="20" s="1"/>
  <c r="AB80" i="15"/>
  <c r="BK301" i="20"/>
  <c r="BK304" i="20" s="1"/>
  <c r="BK307" i="20" s="1"/>
  <c r="BK308" i="20" s="1"/>
  <c r="BK312" i="20" s="1"/>
  <c r="BK315" i="20" s="1"/>
  <c r="BK316" i="20" s="1"/>
  <c r="BJ301" i="20"/>
  <c r="BJ304" i="20" s="1"/>
  <c r="BJ307" i="20" s="1"/>
  <c r="BJ308" i="20" s="1"/>
  <c r="BJ312" i="20" s="1"/>
  <c r="BJ315" i="20" s="1"/>
  <c r="BJ316" i="20" s="1"/>
  <c r="BJ335" i="20"/>
  <c r="BJ22" i="20"/>
  <c r="S605" i="42" l="1"/>
  <c r="S604" i="42"/>
  <c r="AU356" i="11"/>
  <c r="S653" i="42" s="1"/>
  <c r="AU353" i="11"/>
  <c r="BJ33" i="20"/>
  <c r="BJ334" i="20"/>
  <c r="BK14" i="20"/>
  <c r="BJ198" i="20"/>
  <c r="BK198" i="20" s="1"/>
  <c r="BK33" i="20"/>
  <c r="BK37" i="20"/>
  <c r="CD37" i="20" s="1"/>
  <c r="BK41" i="20"/>
  <c r="BK42" i="20" s="1"/>
  <c r="AV33" i="43"/>
  <c r="AU33" i="43"/>
  <c r="BJ326" i="20"/>
  <c r="BJ325" i="20"/>
  <c r="BJ333" i="20" s="1"/>
  <c r="BJ321" i="20"/>
  <c r="BJ330" i="20" s="1"/>
  <c r="BJ323" i="20"/>
  <c r="BJ37" i="20"/>
  <c r="E30" i="3" s="1"/>
  <c r="J30" i="3" s="1"/>
  <c r="BJ322" i="20"/>
  <c r="BJ327" i="20"/>
  <c r="BJ324" i="20"/>
  <c r="BJ332" i="20" s="1"/>
  <c r="BK35" i="20" l="1"/>
  <c r="BK46" i="20"/>
  <c r="BK47" i="20" s="1"/>
  <c r="BJ35" i="20"/>
  <c r="BJ46" i="20"/>
  <c r="BJ47" i="20" s="1"/>
  <c r="BJ199" i="20"/>
  <c r="BJ244" i="20" s="1"/>
  <c r="BJ246" i="20" s="1"/>
  <c r="BJ243" i="20"/>
  <c r="BK243" i="20" s="1"/>
  <c r="BJ331" i="20"/>
  <c r="BJ336" i="20" s="1"/>
  <c r="BJ41" i="20"/>
  <c r="F16" i="18"/>
  <c r="BJ201" i="20" l="1"/>
  <c r="BK201" i="20" s="1"/>
  <c r="BK199" i="20"/>
  <c r="BJ276" i="20"/>
  <c r="BJ278" i="20" s="1"/>
  <c r="BK244" i="20"/>
  <c r="BK276" i="20" s="1"/>
  <c r="BK278" i="20" s="1"/>
  <c r="BK246" i="20"/>
  <c r="H16" i="18"/>
  <c r="I35" i="17" s="1"/>
  <c r="D30" i="3" s="1"/>
  <c r="I30" i="3" s="1"/>
  <c r="R16" i="18"/>
  <c r="T16" i="18" s="1"/>
  <c r="J35" i="17" s="1"/>
  <c r="G16" i="18"/>
  <c r="BJ42" i="20"/>
  <c r="AU169" i="44"/>
  <c r="C30" i="3"/>
  <c r="H30" i="3" s="1"/>
  <c r="I16" i="18" l="1"/>
  <c r="S16" i="18"/>
  <c r="U16" i="18" s="1"/>
  <c r="AS297" i="7" l="1"/>
  <c r="AS1066" i="7" s="1"/>
  <c r="AS1073" i="7" s="1"/>
  <c r="AS1075" i="7" s="1"/>
  <c r="AT260" i="7"/>
  <c r="AT297" i="7"/>
  <c r="AT258" i="7" s="1"/>
  <c r="AT259" i="7" l="1"/>
  <c r="AS299" i="7"/>
  <c r="AT299" i="7"/>
  <c r="AT252" i="7" s="1"/>
  <c r="AT253" i="7" s="1"/>
  <c r="AS258" i="7"/>
  <c r="AS259" i="7" s="1"/>
  <c r="AT1066" i="7"/>
  <c r="AT1067" i="7" s="1"/>
  <c r="AS1067" i="7"/>
  <c r="AT300" i="7"/>
  <c r="AT1073" i="7" l="1"/>
  <c r="AT1075" i="7" s="1"/>
  <c r="AS300" i="7"/>
  <c r="AS252" i="7"/>
  <c r="AS253" i="7" s="1"/>
  <c r="AV252" i="7" l="1"/>
  <c r="AV1066" i="7" l="1"/>
  <c r="AV1073" i="7" l="1"/>
  <c r="AV1075" i="7" s="1"/>
  <c r="AV1067" i="7"/>
  <c r="BA1018" i="7" l="1"/>
  <c r="AW1018" i="7"/>
  <c r="AW1023" i="7" s="1"/>
  <c r="AW1033" i="7" s="1"/>
  <c r="AX1028" i="7" l="1"/>
  <c r="AU217" i="7"/>
  <c r="AU218" i="7" s="1"/>
  <c r="AF25" i="1" l="1"/>
  <c r="AA104" i="15" l="1"/>
  <c r="AB104" i="15"/>
  <c r="AG25" i="1"/>
  <c r="AV504" i="7" l="1"/>
  <c r="AV508" i="7" l="1"/>
  <c r="AT511" i="7"/>
  <c r="AT512" i="7" l="1"/>
  <c r="AU511" i="7"/>
  <c r="BA408" i="7" l="1"/>
  <c r="AU512" i="7"/>
  <c r="AV511" i="7"/>
  <c r="AV512" i="7" l="1"/>
  <c r="BC308" i="14" l="1"/>
  <c r="BC23" i="14" l="1"/>
  <c r="BH308" i="14"/>
  <c r="AI79" i="15" l="1"/>
  <c r="BC28" i="14"/>
  <c r="AI103" i="15" s="1"/>
  <c r="BC49" i="14"/>
  <c r="BH23" i="14"/>
  <c r="BM308" i="14"/>
  <c r="BC54" i="14" l="1"/>
  <c r="BR308" i="14"/>
  <c r="BW308" i="14"/>
  <c r="BM23" i="14"/>
  <c r="BH49" i="14"/>
  <c r="BH28" i="14"/>
  <c r="AN103" i="15" s="1"/>
  <c r="AN79" i="15"/>
  <c r="BM49" i="14" l="1"/>
  <c r="AS79" i="15"/>
  <c r="BM28" i="14"/>
  <c r="AS103" i="15" s="1"/>
  <c r="BR23" i="14"/>
  <c r="BW23" i="14"/>
  <c r="BH54" i="14"/>
  <c r="BW49" i="14" l="1"/>
  <c r="BW28" i="14"/>
  <c r="BC103" i="15" s="1"/>
  <c r="BC79" i="15"/>
  <c r="BR28" i="14"/>
  <c r="AX103" i="15" s="1"/>
  <c r="AX79" i="15"/>
  <c r="BR49" i="14"/>
  <c r="BM54" i="14"/>
  <c r="BR54" i="14" l="1"/>
  <c r="BW54" i="14"/>
  <c r="BD308" i="14" l="1"/>
  <c r="BD23" i="14" s="1"/>
  <c r="AE79" i="15" l="1"/>
  <c r="AY28" i="14"/>
  <c r="AE103" i="15" s="1"/>
  <c r="BD49" i="14"/>
  <c r="AJ79" i="15"/>
  <c r="BD28" i="14"/>
  <c r="AJ103" i="15" s="1"/>
  <c r="BI308" i="14" l="1"/>
  <c r="BD54" i="14"/>
  <c r="BI23" i="14" l="1"/>
  <c r="BN308" i="14"/>
  <c r="BS308" i="14" l="1"/>
  <c r="BX308" i="14"/>
  <c r="BN23" i="14"/>
  <c r="BI28" i="14"/>
  <c r="AO103" i="15" s="1"/>
  <c r="BI49" i="14"/>
  <c r="AO79" i="15"/>
  <c r="BN28" i="14" l="1"/>
  <c r="AT103" i="15" s="1"/>
  <c r="BN49" i="14"/>
  <c r="AT79" i="15"/>
  <c r="BI54" i="14"/>
  <c r="BX23" i="14"/>
  <c r="BS23" i="14"/>
  <c r="BS49" i="14" l="1"/>
  <c r="BS28" i="14"/>
  <c r="AY103" i="15" s="1"/>
  <c r="AY79" i="15"/>
  <c r="BD79" i="15"/>
  <c r="BX28" i="14"/>
  <c r="BD103" i="15" s="1"/>
  <c r="BX49" i="14"/>
  <c r="BN54" i="14"/>
  <c r="BX54" i="14" l="1"/>
  <c r="BS54" i="14"/>
  <c r="AZ308" i="14" l="1"/>
  <c r="AZ23" i="14" s="1"/>
  <c r="BE308" i="14" l="1"/>
  <c r="BE23" i="14" s="1"/>
  <c r="BE28" i="14" s="1"/>
  <c r="AK103" i="15" s="1"/>
  <c r="BJ308" i="14"/>
  <c r="AZ49" i="14"/>
  <c r="AF79" i="15"/>
  <c r="AZ28" i="14"/>
  <c r="AF103" i="15" s="1"/>
  <c r="BF308" i="14"/>
  <c r="AK79" i="15" l="1"/>
  <c r="BF23" i="14"/>
  <c r="BF28" i="14" s="1"/>
  <c r="AL103" i="15" s="1"/>
  <c r="BE49" i="14"/>
  <c r="BF49" i="14" s="1"/>
  <c r="BF54" i="14" s="1"/>
  <c r="AZ54" i="14"/>
  <c r="BO308" i="14"/>
  <c r="BJ23" i="14"/>
  <c r="BK308" i="14"/>
  <c r="AL79" i="15" l="1"/>
  <c r="BE54" i="14"/>
  <c r="BJ28" i="14"/>
  <c r="AP103" i="15" s="1"/>
  <c r="BJ49" i="14"/>
  <c r="AP79" i="15"/>
  <c r="BK23" i="14"/>
  <c r="BP308" i="14"/>
  <c r="BO23" i="14"/>
  <c r="BY308" i="14"/>
  <c r="BT308" i="14"/>
  <c r="BU308" i="14" l="1"/>
  <c r="BT23" i="14"/>
  <c r="BY23" i="14"/>
  <c r="BZ308" i="14"/>
  <c r="AQ79" i="15"/>
  <c r="BK28" i="14"/>
  <c r="AQ103" i="15" s="1"/>
  <c r="BO49" i="14"/>
  <c r="AU79" i="15"/>
  <c r="BO28" i="14"/>
  <c r="AU103" i="15" s="1"/>
  <c r="BP23" i="14"/>
  <c r="BK49" i="14"/>
  <c r="BK54" i="14" s="1"/>
  <c r="BJ54" i="14"/>
  <c r="BE79" i="15" l="1"/>
  <c r="BY28" i="14"/>
  <c r="BE103" i="15" s="1"/>
  <c r="BZ23" i="14"/>
  <c r="BY49" i="14"/>
  <c r="AV79" i="15"/>
  <c r="BP28" i="14"/>
  <c r="AV103" i="15" s="1"/>
  <c r="BP49" i="14"/>
  <c r="BP54" i="14" s="1"/>
  <c r="BO54" i="14"/>
  <c r="BU23" i="14"/>
  <c r="BT49" i="14"/>
  <c r="AZ79" i="15"/>
  <c r="BT28" i="14"/>
  <c r="AZ103" i="15" s="1"/>
  <c r="BT54" i="14" l="1"/>
  <c r="BU49" i="14"/>
  <c r="BU54" i="14" s="1"/>
  <c r="BU28" i="14"/>
  <c r="BA103" i="15" s="1"/>
  <c r="BA79" i="15"/>
  <c r="BY54" i="14"/>
  <c r="BZ49" i="14"/>
  <c r="BZ54" i="14" s="1"/>
  <c r="BF79" i="15"/>
  <c r="BZ28" i="14"/>
  <c r="BF103" i="15" s="1"/>
  <c r="AU694" i="7" l="1"/>
  <c r="AU700" i="7" s="1"/>
  <c r="AV693" i="7"/>
  <c r="AW699" i="7" s="1"/>
  <c r="AU514" i="7"/>
  <c r="AU516" i="7" s="1"/>
  <c r="AV519" i="7"/>
  <c r="AW492" i="7" s="1"/>
  <c r="AV728" i="7"/>
  <c r="AV699" i="7" l="1"/>
  <c r="AV492" i="7"/>
  <c r="AV514" i="7"/>
  <c r="AU732" i="7"/>
  <c r="AU26" i="12"/>
  <c r="AU148" i="7"/>
  <c r="AU733" i="7"/>
  <c r="AU770" i="7"/>
  <c r="AU771" i="7" s="1"/>
  <c r="AU773" i="7" s="1"/>
  <c r="AU775" i="7" s="1"/>
  <c r="AU520" i="7"/>
  <c r="AU608" i="7" s="1"/>
  <c r="AV517" i="7"/>
  <c r="AV694" i="7"/>
  <c r="AW700" i="7" s="1"/>
  <c r="AU703" i="7"/>
  <c r="AV25" i="12"/>
  <c r="AU25" i="12"/>
  <c r="AU702" i="7"/>
  <c r="AV702" i="7" l="1"/>
  <c r="AV700" i="7"/>
  <c r="AU738" i="7"/>
  <c r="AV732" i="7"/>
  <c r="AV738" i="7" s="1"/>
  <c r="AU43" i="12"/>
  <c r="AU44" i="12" s="1"/>
  <c r="AU33" i="12"/>
  <c r="AU32" i="12" s="1"/>
  <c r="AU31" i="12" s="1"/>
  <c r="AU30" i="12" s="1"/>
  <c r="AV516" i="7"/>
  <c r="AZ516" i="7" s="1"/>
  <c r="AV520" i="7"/>
  <c r="AV608" i="7" s="1"/>
  <c r="AV148" i="7"/>
  <c r="AV150" i="7" s="1"/>
  <c r="AU150" i="7"/>
  <c r="AU156" i="7"/>
  <c r="AU157" i="7" s="1"/>
  <c r="E16" i="16"/>
  <c r="C35" i="17" s="1"/>
  <c r="C112" i="17" s="1"/>
  <c r="AV26" i="12"/>
  <c r="AV27" i="12" s="1"/>
  <c r="AV775" i="7"/>
  <c r="AU776" i="7"/>
  <c r="F16" i="16"/>
  <c r="D35" i="17" s="1"/>
  <c r="D112" i="17" s="1"/>
  <c r="AU27" i="12"/>
  <c r="AW25" i="12"/>
  <c r="AW733" i="7"/>
  <c r="AW732" i="7"/>
  <c r="AW738" i="7" s="1"/>
  <c r="AW26" i="12"/>
  <c r="AV703" i="7"/>
  <c r="AV43" i="12" l="1"/>
  <c r="AV44" i="12"/>
  <c r="AW27" i="12"/>
  <c r="AW33" i="12"/>
  <c r="AW43" i="12"/>
  <c r="AW44" i="12" s="1"/>
  <c r="E112" i="17"/>
  <c r="AV156" i="7"/>
  <c r="AW745" i="7"/>
  <c r="AW150" i="7"/>
  <c r="AV776" i="7"/>
  <c r="AW749" i="7" l="1"/>
  <c r="AW156" i="7" s="1"/>
  <c r="AW746" i="7"/>
  <c r="E13" i="16"/>
  <c r="C36" i="17" s="1"/>
  <c r="C113" i="17" s="1"/>
  <c r="AV505" i="7"/>
  <c r="AV509" i="7" s="1"/>
  <c r="AV559" i="7" l="1"/>
  <c r="AW503" i="7"/>
  <c r="E113" i="17"/>
  <c r="AW721" i="7"/>
  <c r="AW29" i="12"/>
  <c r="AU594" i="7"/>
  <c r="AX225" i="7"/>
  <c r="AX226" i="7" s="1"/>
  <c r="AV450" i="7"/>
  <c r="AW711" i="7"/>
  <c r="AW712" i="7"/>
  <c r="AV594" i="7"/>
  <c r="BA503" i="7"/>
  <c r="AW702" i="7" l="1"/>
  <c r="AW32" i="12"/>
  <c r="AW720" i="7"/>
  <c r="AX189" i="7"/>
  <c r="AY190" i="7" s="1"/>
  <c r="AY195" i="7" s="1"/>
  <c r="AU501" i="7"/>
  <c r="AV498" i="7"/>
  <c r="AW467" i="7"/>
  <c r="AW392" i="7" s="1"/>
  <c r="AU268" i="7"/>
  <c r="AU256" i="7" s="1"/>
  <c r="AU259" i="7" s="1"/>
  <c r="AV448" i="7"/>
  <c r="AV456" i="7" s="1"/>
  <c r="AV459" i="7" s="1"/>
  <c r="AW446" i="7" s="1"/>
  <c r="AW703" i="7"/>
  <c r="AY198" i="7" l="1"/>
  <c r="AY149" i="7"/>
  <c r="AY150" i="7" s="1"/>
  <c r="AY162" i="7" s="1"/>
  <c r="AX728" i="7"/>
  <c r="AX745" i="7" s="1"/>
  <c r="AX25" i="12"/>
  <c r="AV496" i="7"/>
  <c r="AV500" i="7" s="1"/>
  <c r="AU500" i="7"/>
  <c r="BA446" i="7"/>
  <c r="AV268" i="7"/>
  <c r="AV256" i="7" s="1"/>
  <c r="AV259" i="7" s="1"/>
  <c r="AW31" i="12"/>
  <c r="AW30" i="12" s="1"/>
  <c r="AU270" i="7"/>
  <c r="AU681" i="7"/>
  <c r="AU683" i="7" s="1"/>
  <c r="AU686" i="7" s="1"/>
  <c r="AW412" i="7"/>
  <c r="AW507" i="7" s="1"/>
  <c r="AX190" i="7"/>
  <c r="AX195" i="7" s="1"/>
  <c r="AX749" i="7" l="1"/>
  <c r="AX746" i="7"/>
  <c r="AX467" i="7"/>
  <c r="AV501" i="7"/>
  <c r="AX200" i="7"/>
  <c r="AY200" i="7" s="1"/>
  <c r="AX149" i="7"/>
  <c r="AV681" i="7"/>
  <c r="AV683" i="7" s="1"/>
  <c r="AV686" i="7" s="1"/>
  <c r="AV270" i="7"/>
  <c r="AW487" i="7"/>
  <c r="AX487" i="7" s="1"/>
  <c r="AX488" i="7" s="1"/>
  <c r="AX489" i="7" s="1"/>
  <c r="AU250" i="7"/>
  <c r="AU271" i="7"/>
  <c r="AU558" i="7" l="1"/>
  <c r="AU560" i="7" s="1"/>
  <c r="AU620" i="7" s="1"/>
  <c r="AX392" i="7"/>
  <c r="AX492" i="7"/>
  <c r="AU622" i="7"/>
  <c r="AU624" i="7" s="1"/>
  <c r="AU619" i="7"/>
  <c r="AV619" i="7" s="1"/>
  <c r="AW488" i="7"/>
  <c r="AW489" i="7" s="1"/>
  <c r="AV250" i="7"/>
  <c r="AV253" i="7" s="1"/>
  <c r="AV271" i="7"/>
  <c r="AU605" i="7"/>
  <c r="AU593" i="7"/>
  <c r="AU611" i="7" s="1"/>
  <c r="AX412" i="7" l="1"/>
  <c r="AX507" i="7" s="1"/>
  <c r="AV558" i="7"/>
  <c r="AV560" i="7" s="1"/>
  <c r="AU627" i="7"/>
  <c r="AV624" i="7"/>
  <c r="AV627" i="7" s="1"/>
  <c r="AU562" i="7"/>
  <c r="AU552" i="7"/>
  <c r="AU554" i="7"/>
  <c r="AU596" i="7"/>
  <c r="AU597" i="7"/>
  <c r="AU15" i="44" s="1"/>
  <c r="AU35" i="44" s="1"/>
  <c r="AV605" i="7"/>
  <c r="AV593" i="7"/>
  <c r="AV611" i="7" s="1"/>
  <c r="AX167" i="7"/>
  <c r="AV620" i="7" l="1"/>
  <c r="AW616" i="7" s="1"/>
  <c r="AW618" i="7"/>
  <c r="AU607" i="7"/>
  <c r="AU606" i="7" s="1"/>
  <c r="AU672" i="7" s="1"/>
  <c r="AU566" i="7"/>
  <c r="AV15" i="44"/>
  <c r="AV35" i="44"/>
  <c r="AU57" i="44"/>
  <c r="AU82" i="44" s="1"/>
  <c r="AX198" i="7"/>
  <c r="AV554" i="7"/>
  <c r="AV562" i="7"/>
  <c r="AV552" i="7"/>
  <c r="AW540" i="7" s="1"/>
  <c r="AW541" i="7" s="1"/>
  <c r="AW544" i="7" s="1"/>
  <c r="AX535" i="7" s="1"/>
  <c r="AX536" i="7" s="1"/>
  <c r="AV596" i="7"/>
  <c r="AV39" i="12" s="1"/>
  <c r="AV38" i="12" s="1"/>
  <c r="AV597" i="7"/>
  <c r="AU39" i="12"/>
  <c r="AU38" i="12" s="1"/>
  <c r="AU577" i="7"/>
  <c r="AU609" i="7"/>
  <c r="AU670" i="7" l="1"/>
  <c r="AU671" i="7"/>
  <c r="AV607" i="7"/>
  <c r="AV671" i="7" s="1"/>
  <c r="AV566" i="7"/>
  <c r="AV36" i="44"/>
  <c r="AU673" i="7"/>
  <c r="AU675" i="7"/>
  <c r="AU676" i="7" s="1"/>
  <c r="AV606" i="7"/>
  <c r="AV672" i="7" s="1"/>
  <c r="AV675" i="7" s="1"/>
  <c r="AV676" i="7" s="1"/>
  <c r="AV670" i="7"/>
  <c r="AV609" i="7"/>
  <c r="AX201" i="7"/>
  <c r="AY201" i="7" s="1"/>
  <c r="AY202" i="7" s="1"/>
  <c r="AY204" i="7" s="1"/>
  <c r="AV57" i="44"/>
  <c r="F9" i="47"/>
  <c r="BA616" i="7"/>
  <c r="BA12" i="44" l="1"/>
  <c r="AV39" i="44"/>
  <c r="AW40" i="44" s="1"/>
  <c r="AV673" i="7"/>
  <c r="AW12" i="44"/>
  <c r="AW268" i="7"/>
  <c r="AW256" i="7" s="1"/>
  <c r="AX159" i="7"/>
  <c r="AX158" i="7"/>
  <c r="AX202" i="7"/>
  <c r="AX204" i="7" s="1"/>
  <c r="G9" i="47"/>
  <c r="AV82" i="44"/>
  <c r="AV83" i="44" s="1"/>
  <c r="F30" i="47"/>
  <c r="F31" i="47" s="1"/>
  <c r="G30" i="47" l="1"/>
  <c r="G31" i="47" s="1"/>
  <c r="F34" i="47"/>
  <c r="AW270" i="7"/>
  <c r="BA54" i="44"/>
  <c r="AW54" i="44"/>
  <c r="L6" i="47" l="1"/>
  <c r="F32" i="47"/>
  <c r="G32" i="47" s="1"/>
  <c r="AW271" i="7"/>
  <c r="AW250" i="7"/>
  <c r="AW80" i="44"/>
  <c r="H6" i="47"/>
  <c r="AW50" i="44"/>
  <c r="AW681" i="7"/>
  <c r="AW683" i="7" s="1"/>
  <c r="AW686" i="7" s="1"/>
  <c r="G34" i="47" l="1"/>
  <c r="AW558" i="7"/>
  <c r="AW605" i="7" s="1"/>
  <c r="H28" i="47"/>
  <c r="AW49" i="44"/>
  <c r="AW34" i="44" s="1"/>
  <c r="AX330" i="11"/>
  <c r="AV7" i="44"/>
  <c r="AW593" i="7" l="1"/>
  <c r="AW611" i="7" s="1"/>
  <c r="BA34" i="44"/>
  <c r="BL275" i="20" l="1"/>
  <c r="AV877" i="7" l="1"/>
  <c r="AU877" i="7"/>
  <c r="AU872" i="7"/>
  <c r="AU878" i="7" l="1"/>
  <c r="AV872" i="7"/>
  <c r="AV878" i="7" s="1"/>
  <c r="AW872" i="7"/>
  <c r="AU880" i="7"/>
  <c r="AU881" i="7" s="1"/>
  <c r="AV880" i="7"/>
  <c r="AV881" i="7" s="1"/>
  <c r="AW878" i="7" l="1"/>
  <c r="AW880" i="7"/>
  <c r="AW881" i="7" s="1"/>
  <c r="AX720" i="7"/>
  <c r="AX703" i="7"/>
  <c r="AX712" i="7"/>
  <c r="AX721" i="7"/>
  <c r="AX711" i="7" l="1"/>
  <c r="AX702" i="7"/>
  <c r="BL390" i="7" l="1"/>
  <c r="BM390" i="7"/>
  <c r="BN390" i="7" l="1"/>
  <c r="BO390" i="7" l="1"/>
  <c r="BP390" i="7" l="1"/>
  <c r="BL389" i="7" l="1"/>
  <c r="BL29" i="12"/>
  <c r="BL449" i="7"/>
  <c r="BL374" i="7" l="1"/>
  <c r="BL391" i="7"/>
  <c r="BM391" i="7" l="1"/>
  <c r="BL392" i="7" l="1"/>
  <c r="BM29" i="12" l="1"/>
  <c r="BM389" i="7"/>
  <c r="BM449" i="7"/>
  <c r="BM374" i="7" l="1"/>
  <c r="BN449" i="7" l="1"/>
  <c r="BN29" i="12"/>
  <c r="BN389" i="7"/>
  <c r="BN374" i="7" l="1"/>
  <c r="BN391" i="7"/>
  <c r="BO391" i="7" l="1"/>
  <c r="BP391" i="7" s="1"/>
  <c r="BN392" i="7" l="1"/>
  <c r="BO29" i="12" l="1"/>
  <c r="BO389" i="7"/>
  <c r="BO449" i="7"/>
  <c r="BO491" i="7" l="1"/>
  <c r="BO392" i="7"/>
  <c r="BO374" i="7"/>
  <c r="BP389" i="7"/>
  <c r="BP449" i="7"/>
  <c r="BP374" i="7" l="1"/>
  <c r="BA830" i="7" l="1"/>
  <c r="AU843" i="7"/>
  <c r="AW830" i="7" l="1"/>
  <c r="AV843" i="7"/>
  <c r="AW835" i="7" l="1"/>
  <c r="AW838" i="7"/>
  <c r="AW839" i="7" s="1"/>
  <c r="AX830" i="7"/>
  <c r="AX838" i="7" l="1"/>
  <c r="AX839" i="7" s="1"/>
  <c r="AX835" i="7"/>
  <c r="AX817" i="7"/>
  <c r="AY830" i="7"/>
  <c r="AY835" i="7" l="1"/>
  <c r="AY838" i="7"/>
  <c r="AY839" i="7" s="1"/>
  <c r="AX825" i="7"/>
  <c r="AX826" i="7" s="1"/>
  <c r="AX822" i="7"/>
  <c r="AY853" i="7"/>
  <c r="AZ830" i="7"/>
  <c r="AZ836" i="7" s="1"/>
  <c r="AY817" i="7"/>
  <c r="AY825" i="7" l="1"/>
  <c r="AY826" i="7" s="1"/>
  <c r="AY822" i="7"/>
  <c r="AY861" i="7"/>
  <c r="AZ817" i="7"/>
  <c r="AZ853" i="7"/>
  <c r="AZ823" i="7"/>
  <c r="BA836" i="7"/>
  <c r="BA823" i="7" l="1"/>
  <c r="AZ822" i="7"/>
  <c r="BF830" i="7"/>
  <c r="BB830" i="7"/>
  <c r="BB836" i="7" s="1"/>
  <c r="BA835" i="7"/>
  <c r="BA853" i="7"/>
  <c r="AZ861" i="7"/>
  <c r="BA861" i="7" l="1"/>
  <c r="BB823" i="7"/>
  <c r="BB853" i="7"/>
  <c r="BC830" i="7"/>
  <c r="BC836" i="7" s="1"/>
  <c r="BB817" i="7"/>
  <c r="BF817" i="7"/>
  <c r="BA822" i="7"/>
  <c r="BD830" i="7" l="1"/>
  <c r="BD836" i="7" s="1"/>
  <c r="BC853" i="7"/>
  <c r="BC823" i="7"/>
  <c r="BC817" i="7"/>
  <c r="BB822" i="7"/>
  <c r="BB861" i="7"/>
  <c r="BC861" i="7" l="1"/>
  <c r="BC822" i="7"/>
  <c r="BD817" i="7"/>
  <c r="BD823" i="7"/>
  <c r="BD853" i="7"/>
  <c r="BE830" i="7"/>
  <c r="BE836" i="7" s="1"/>
  <c r="BE823" i="7" l="1"/>
  <c r="BE853" i="7"/>
  <c r="BF836" i="7"/>
  <c r="BE817" i="7"/>
  <c r="BD822" i="7"/>
  <c r="BD861" i="7"/>
  <c r="BE861" i="7" l="1"/>
  <c r="BF823" i="7"/>
  <c r="BE822" i="7"/>
  <c r="BG830" i="7"/>
  <c r="BG836" i="7" s="1"/>
  <c r="BF853" i="7"/>
  <c r="BF835" i="7"/>
  <c r="BK830" i="7"/>
  <c r="BK817" i="7" l="1"/>
  <c r="BG817" i="7"/>
  <c r="BF822" i="7"/>
  <c r="BG823" i="7"/>
  <c r="BG853" i="7"/>
  <c r="BH830" i="7"/>
  <c r="BH836" i="7" s="1"/>
  <c r="BF861" i="7"/>
  <c r="BH853" i="7" l="1"/>
  <c r="BH823" i="7"/>
  <c r="BI830" i="7"/>
  <c r="BI836" i="7" s="1"/>
  <c r="BG861" i="7"/>
  <c r="BG822" i="7"/>
  <c r="BH817" i="7"/>
  <c r="BI853" i="7" l="1"/>
  <c r="BI823" i="7"/>
  <c r="BJ830" i="7"/>
  <c r="BJ836" i="7" s="1"/>
  <c r="BI817" i="7"/>
  <c r="BH822" i="7"/>
  <c r="BH861" i="7"/>
  <c r="BJ853" i="7" l="1"/>
  <c r="BJ823" i="7"/>
  <c r="BK836" i="7"/>
  <c r="BJ817" i="7"/>
  <c r="BI822" i="7"/>
  <c r="BI861" i="7"/>
  <c r="BL830" i="7" l="1"/>
  <c r="BL836" i="7" s="1"/>
  <c r="BK835" i="7"/>
  <c r="BK853" i="7"/>
  <c r="BP830" i="7"/>
  <c r="BK823" i="7"/>
  <c r="BJ822" i="7"/>
  <c r="BJ861" i="7"/>
  <c r="BL817" i="7" l="1"/>
  <c r="BK822" i="7"/>
  <c r="BP817" i="7"/>
  <c r="BK861" i="7"/>
  <c r="BL853" i="7"/>
  <c r="BL823" i="7"/>
  <c r="BM830" i="7"/>
  <c r="BM836" i="7" s="1"/>
  <c r="BN830" i="7" l="1"/>
  <c r="BN836" i="7" s="1"/>
  <c r="BM823" i="7"/>
  <c r="BM853" i="7"/>
  <c r="BL861" i="7"/>
  <c r="BL822" i="7"/>
  <c r="BM817" i="7"/>
  <c r="BM861" i="7" l="1"/>
  <c r="BN817" i="7"/>
  <c r="BM822" i="7"/>
  <c r="BN853" i="7"/>
  <c r="BN823" i="7"/>
  <c r="BO830" i="7"/>
  <c r="BO836" i="7" s="1"/>
  <c r="BO823" i="7" l="1"/>
  <c r="BO853" i="7"/>
  <c r="BP836" i="7"/>
  <c r="BO817" i="7"/>
  <c r="BN822" i="7"/>
  <c r="BN861" i="7"/>
  <c r="BP853" i="7" l="1"/>
  <c r="BQ830" i="7"/>
  <c r="BQ836" i="7" s="1"/>
  <c r="BU830" i="7"/>
  <c r="BP835" i="7"/>
  <c r="BO861" i="7"/>
  <c r="BO822" i="7"/>
  <c r="BP823" i="7"/>
  <c r="BQ817" i="7" l="1"/>
  <c r="BP822" i="7"/>
  <c r="BU817" i="7"/>
  <c r="BR830" i="7"/>
  <c r="BR836" i="7" s="1"/>
  <c r="BQ823" i="7"/>
  <c r="BQ853" i="7"/>
  <c r="BP861" i="7"/>
  <c r="BQ861" i="7" l="1"/>
  <c r="BR817" i="7"/>
  <c r="BQ822" i="7"/>
  <c r="BS830" i="7"/>
  <c r="BS836" i="7" s="1"/>
  <c r="BR853" i="7"/>
  <c r="BR823" i="7"/>
  <c r="BS817" i="7" l="1"/>
  <c r="BR822" i="7"/>
  <c r="BR861" i="7"/>
  <c r="BS853" i="7"/>
  <c r="BT830" i="7"/>
  <c r="BT836" i="7" s="1"/>
  <c r="BS823" i="7"/>
  <c r="BT853" i="7" l="1"/>
  <c r="BT823" i="7"/>
  <c r="BU836" i="7"/>
  <c r="BS822" i="7"/>
  <c r="BT817" i="7"/>
  <c r="BS861" i="7"/>
  <c r="BU835" i="7" l="1"/>
  <c r="BZ830" i="7"/>
  <c r="BU853" i="7"/>
  <c r="BV830" i="7"/>
  <c r="BV836" i="7" s="1"/>
  <c r="BU823" i="7"/>
  <c r="BT822" i="7"/>
  <c r="BT861" i="7"/>
  <c r="BZ817" i="7" l="1"/>
  <c r="BU822" i="7"/>
  <c r="BV817" i="7"/>
  <c r="BV853" i="7"/>
  <c r="BW830" i="7"/>
  <c r="BW836" i="7" s="1"/>
  <c r="BV823" i="7"/>
  <c r="BU861" i="7"/>
  <c r="BW817" i="7" l="1"/>
  <c r="BV822" i="7"/>
  <c r="BW853" i="7"/>
  <c r="BW823" i="7"/>
  <c r="BX830" i="7"/>
  <c r="BX836" i="7" s="1"/>
  <c r="BV861" i="7"/>
  <c r="BY830" i="7" l="1"/>
  <c r="BY836" i="7" s="1"/>
  <c r="BX853" i="7"/>
  <c r="BX823" i="7"/>
  <c r="BW822" i="7"/>
  <c r="BX817" i="7"/>
  <c r="BW861" i="7"/>
  <c r="BX822" i="7" l="1"/>
  <c r="BY817" i="7"/>
  <c r="BX861" i="7"/>
  <c r="BY823" i="7"/>
  <c r="BZ836" i="7"/>
  <c r="BY853" i="7"/>
  <c r="BZ853" i="7" l="1"/>
  <c r="BZ835" i="7"/>
  <c r="BY861" i="7"/>
  <c r="BZ823" i="7"/>
  <c r="BZ822" i="7" s="1"/>
  <c r="BY822" i="7"/>
  <c r="BZ861" i="7" l="1"/>
  <c r="AU1025" i="7" l="1"/>
  <c r="AU989" i="7"/>
  <c r="AV989" i="7" s="1"/>
  <c r="AU246" i="7"/>
  <c r="AU247" i="7" s="1"/>
  <c r="AU9" i="45"/>
  <c r="AU934" i="7" l="1"/>
  <c r="AU935" i="7" s="1"/>
  <c r="AU938" i="7" s="1"/>
  <c r="AU11" i="45"/>
  <c r="AU12" i="45" s="1"/>
  <c r="AU8" i="45"/>
  <c r="AU19" i="45" s="1"/>
  <c r="AU4" i="45"/>
  <c r="AU5" i="45" s="1"/>
  <c r="AU20" i="45"/>
  <c r="AU933" i="7" l="1"/>
  <c r="AH699" i="42" s="1"/>
  <c r="AU252" i="7"/>
  <c r="AU253" i="7" s="1"/>
  <c r="AU1066" i="7" l="1"/>
  <c r="AU1033" i="7"/>
  <c r="AU939" i="7"/>
  <c r="AU940" i="7" s="1"/>
  <c r="AV933" i="7"/>
  <c r="AX23" i="44"/>
  <c r="AX357" i="7"/>
  <c r="AX340" i="7" s="1"/>
  <c r="AX342" i="7" s="1"/>
  <c r="AU1030" i="7" l="1"/>
  <c r="AV1030" i="7" s="1"/>
  <c r="AV1033" i="7"/>
  <c r="AW1028" i="7" s="1"/>
  <c r="AW1032" i="7" s="1"/>
  <c r="AU1073" i="7"/>
  <c r="AU1075" i="7" s="1"/>
  <c r="AU1067" i="7"/>
  <c r="AU942" i="7"/>
  <c r="AU945" i="7"/>
  <c r="AX72" i="44"/>
  <c r="AX73" i="44" s="1"/>
  <c r="AX24" i="44"/>
  <c r="AU1032" i="7" l="1"/>
  <c r="BL101" i="20"/>
  <c r="AW857" i="7"/>
  <c r="AW859" i="7" s="1"/>
  <c r="AW862" i="7" s="1"/>
  <c r="AW864" i="7" s="1"/>
  <c r="AV945" i="7"/>
  <c r="I16" i="16"/>
  <c r="G35" i="17" s="1"/>
  <c r="G112" i="17" s="1"/>
  <c r="AU946" i="7"/>
  <c r="AU943" i="7"/>
  <c r="AV942" i="7"/>
  <c r="BA1028" i="7"/>
  <c r="AV1032" i="7"/>
  <c r="BL103" i="20" l="1"/>
  <c r="BL108" i="20" s="1"/>
  <c r="AW350" i="11"/>
  <c r="AW351" i="11" s="1"/>
  <c r="BL100" i="20"/>
  <c r="BL154" i="20"/>
  <c r="BL156" i="20" s="1"/>
  <c r="BL161" i="20" s="1"/>
  <c r="U602" i="42" s="1"/>
  <c r="U604" i="42" s="1"/>
  <c r="AV943" i="7"/>
  <c r="AV946" i="7"/>
  <c r="AW352" i="11" l="1"/>
  <c r="BL342" i="20"/>
  <c r="AW357" i="11"/>
  <c r="AW356" i="11" s="1"/>
  <c r="U653" i="42" s="1"/>
  <c r="AC80" i="15"/>
  <c r="AW353" i="11" l="1"/>
  <c r="AW4" i="45"/>
  <c r="AW5" i="45" s="1"/>
  <c r="AW246" i="7" l="1"/>
  <c r="AW247" i="7" s="1"/>
  <c r="AW934" i="7" l="1"/>
  <c r="AW935" i="7" s="1"/>
  <c r="AW938" i="7" s="1"/>
  <c r="AW933" i="7"/>
  <c r="AJ699" i="42" s="1"/>
  <c r="AW939" i="7" l="1"/>
  <c r="AW940" i="7" s="1"/>
  <c r="BL335" i="20"/>
  <c r="BL17" i="20"/>
  <c r="AW994" i="7"/>
  <c r="AW1071" i="7"/>
  <c r="AW995" i="7"/>
  <c r="AW357" i="7"/>
  <c r="AW340" i="7" s="1"/>
  <c r="AW342" i="7" s="1"/>
  <c r="AW23" i="44"/>
  <c r="AW252" i="7" l="1"/>
  <c r="AW253" i="7" s="1"/>
  <c r="AW302" i="7"/>
  <c r="AW945" i="7"/>
  <c r="AW942" i="7"/>
  <c r="AW943" i="7" s="1"/>
  <c r="BL301" i="20"/>
  <c r="BL277" i="20"/>
  <c r="BL22" i="20"/>
  <c r="AX1071" i="7"/>
  <c r="AX302" i="7" s="1"/>
  <c r="AW72" i="44"/>
  <c r="AW24" i="44"/>
  <c r="AW35" i="44" s="1"/>
  <c r="AW1066" i="7" l="1"/>
  <c r="AW258" i="7"/>
  <c r="AW259" i="7" s="1"/>
  <c r="BL37" i="20"/>
  <c r="AW946" i="7"/>
  <c r="I13" i="16"/>
  <c r="G36" i="17" s="1"/>
  <c r="G113" i="17" s="1"/>
  <c r="BL327" i="20"/>
  <c r="BL322" i="20"/>
  <c r="BL323" i="20"/>
  <c r="BL324" i="20"/>
  <c r="BL326" i="20"/>
  <c r="BL321" i="20"/>
  <c r="BL330" i="20" s="1"/>
  <c r="BL325" i="20"/>
  <c r="BL333" i="20" s="1"/>
  <c r="AW73" i="44"/>
  <c r="AW82" i="44" s="1"/>
  <c r="AY995" i="7"/>
  <c r="AY994" i="7"/>
  <c r="AX258" i="7"/>
  <c r="AX252" i="7"/>
  <c r="H30" i="47" l="1"/>
  <c r="H31" i="47" s="1"/>
  <c r="BL331" i="20"/>
  <c r="AW1073" i="7"/>
  <c r="AW1075" i="7" s="1"/>
  <c r="AW1067" i="7"/>
  <c r="AW74" i="7"/>
  <c r="AX1018" i="7"/>
  <c r="AX1023" i="7" s="1"/>
  <c r="AW20" i="45"/>
  <c r="AX10" i="45"/>
  <c r="AX1066" i="7"/>
  <c r="AX12" i="44"/>
  <c r="AW37" i="44"/>
  <c r="H32" i="47" l="1"/>
  <c r="AX1033" i="7"/>
  <c r="AX1025" i="7"/>
  <c r="AW137" i="7"/>
  <c r="AW76" i="7"/>
  <c r="AW139" i="7" s="1"/>
  <c r="AH14" i="1"/>
  <c r="AH19" i="1" s="1"/>
  <c r="AC74" i="15" s="1"/>
  <c r="AX20" i="45"/>
  <c r="AX11" i="45"/>
  <c r="AX12" i="45" s="1"/>
  <c r="AX1067" i="7"/>
  <c r="AX1073" i="7"/>
  <c r="AX1075" i="7" s="1"/>
  <c r="AX54" i="44"/>
  <c r="AW84" i="44"/>
  <c r="AW15" i="7"/>
  <c r="H34" i="47" l="1"/>
  <c r="AW90" i="7"/>
  <c r="AW93" i="7" s="1"/>
  <c r="AW21" i="7"/>
  <c r="AX1032" i="7"/>
  <c r="AY1028" i="7"/>
  <c r="I6" i="47"/>
  <c r="AX80" i="44"/>
  <c r="AW25" i="7"/>
  <c r="AC72" i="15" s="1"/>
  <c r="AC73" i="15" s="1"/>
  <c r="AY1018" i="7"/>
  <c r="AY1023" i="7" s="1"/>
  <c r="AY1025" i="7" l="1"/>
  <c r="AY1033" i="7"/>
  <c r="AW22" i="7"/>
  <c r="AY1032" i="7"/>
  <c r="I28" i="47"/>
  <c r="E14" i="46"/>
  <c r="AW34" i="7"/>
  <c r="BL284" i="20"/>
  <c r="E31" i="3"/>
  <c r="J31" i="3" s="1"/>
  <c r="BL33" i="20"/>
  <c r="C14" i="56" l="1"/>
  <c r="G14" i="46"/>
  <c r="BL41" i="20"/>
  <c r="BL42" i="20" s="1"/>
  <c r="BL46" i="20"/>
  <c r="BL47" i="20" s="1"/>
  <c r="AY288" i="11"/>
  <c r="AY330" i="11" s="1"/>
  <c r="AW100" i="7"/>
  <c r="E14" i="56"/>
  <c r="G14" i="56" s="1"/>
  <c r="AC104" i="15"/>
  <c r="BL35" i="20"/>
  <c r="F13" i="18"/>
  <c r="AH25" i="1"/>
  <c r="BL303" i="20"/>
  <c r="BL304" i="20" s="1"/>
  <c r="BL307" i="20" s="1"/>
  <c r="BL308" i="20" s="1"/>
  <c r="BL312" i="20" s="1"/>
  <c r="BL315" i="20" s="1"/>
  <c r="BL316" i="20" s="1"/>
  <c r="AX317" i="11"/>
  <c r="D14" i="56" l="1"/>
  <c r="D14" i="46"/>
  <c r="AX55" i="44"/>
  <c r="AX13" i="44"/>
  <c r="R13" i="18"/>
  <c r="T13" i="18" s="1"/>
  <c r="J36" i="17" s="1"/>
  <c r="G13" i="18"/>
  <c r="H13" i="18"/>
  <c r="I36" i="17" s="1"/>
  <c r="C31" i="3"/>
  <c r="H31" i="3" s="1"/>
  <c r="AW169" i="44"/>
  <c r="B14" i="56" l="1"/>
  <c r="F14" i="56" s="1"/>
  <c r="I14" i="56" s="1"/>
  <c r="F14" i="46"/>
  <c r="S13" i="18"/>
  <c r="U13" i="18" s="1"/>
  <c r="I13" i="18"/>
  <c r="AZ1028" i="7"/>
  <c r="I7" i="47"/>
  <c r="AZ1018" i="7" l="1"/>
  <c r="Y79" i="15" l="1"/>
  <c r="Y82" i="15" s="1"/>
  <c r="AD21" i="1" s="1"/>
  <c r="AD27" i="1" s="1"/>
  <c r="AS28" i="14"/>
  <c r="AS308" i="14"/>
  <c r="AS309" i="14" s="1"/>
  <c r="Y103" i="15" l="1"/>
  <c r="Y119" i="15" s="1"/>
  <c r="AS30" i="14"/>
  <c r="Y106" i="15" l="1"/>
  <c r="Y120" i="15"/>
  <c r="AD30" i="1" l="1"/>
  <c r="Y126" i="15"/>
  <c r="AD31" i="1" l="1"/>
  <c r="AD36" i="1" s="1"/>
  <c r="AD34" i="1" s="1"/>
  <c r="AD39" i="1" l="1"/>
  <c r="AD40" i="1" s="1"/>
  <c r="Z79" i="15"/>
  <c r="Z82" i="15" s="1"/>
  <c r="AE21" i="1" s="1"/>
  <c r="AE27" i="1" s="1"/>
  <c r="AT308" i="14"/>
  <c r="AT309" i="14" s="1"/>
  <c r="AT28" i="14"/>
  <c r="Z103" i="15" l="1"/>
  <c r="Z119" i="15" s="1"/>
  <c r="Z120" i="15" s="1"/>
  <c r="AT30" i="14"/>
  <c r="Z106" i="15" l="1"/>
  <c r="Z126" i="15" s="1"/>
  <c r="AE30" i="1"/>
  <c r="AE31" i="1" l="1"/>
  <c r="AE36" i="1" s="1"/>
  <c r="AE34" i="1" s="1"/>
  <c r="AE39" i="1" l="1"/>
  <c r="AE40" i="1" s="1"/>
  <c r="AB79" i="15"/>
  <c r="AB82" i="15" s="1"/>
  <c r="AG21" i="1" s="1"/>
  <c r="AG27" i="1" s="1"/>
  <c r="AB103" i="15"/>
  <c r="AB106" i="15" s="1"/>
  <c r="AA79" i="15"/>
  <c r="AA82" i="15" s="1"/>
  <c r="AF21" i="1" s="1"/>
  <c r="AF27" i="1" s="1"/>
  <c r="AU308" i="14"/>
  <c r="AU309" i="14" s="1"/>
  <c r="AA103" i="15"/>
  <c r="AA106" i="15" s="1"/>
  <c r="AA119" i="15" l="1"/>
  <c r="AV308" i="14"/>
  <c r="AV309" i="14" s="1"/>
  <c r="AA120" i="15" l="1"/>
  <c r="AB119" i="15"/>
  <c r="AB120" i="15" l="1"/>
  <c r="AB126" i="15" s="1"/>
  <c r="AB125" i="15"/>
  <c r="AF30" i="1"/>
  <c r="AA126" i="15"/>
  <c r="AG30" i="1" l="1"/>
  <c r="AG31" i="1" s="1"/>
  <c r="AG36" i="1" s="1"/>
  <c r="AF31" i="1"/>
  <c r="AF36" i="1" s="1"/>
  <c r="AF34" i="1" s="1"/>
  <c r="AF39" i="1" l="1"/>
  <c r="AF40" i="1" s="1"/>
  <c r="AG34" i="1"/>
  <c r="AG39" i="1" s="1"/>
  <c r="AG40" i="1" s="1"/>
  <c r="Z13" i="18"/>
  <c r="Z16" i="18"/>
  <c r="AG35" i="1" l="1"/>
  <c r="X5" i="48"/>
  <c r="X4" i="48"/>
  <c r="BE205" i="20" l="1"/>
  <c r="BE206" i="20" s="1"/>
  <c r="BE207" i="20" s="1"/>
  <c r="BI205" i="20"/>
  <c r="BI250" i="20" s="1"/>
  <c r="BD205" i="20"/>
  <c r="BD250" i="20" s="1"/>
  <c r="BJ205" i="20"/>
  <c r="BJ206" i="20" s="1"/>
  <c r="BJ207" i="20" s="1"/>
  <c r="BH205" i="20"/>
  <c r="BH250" i="20" s="1"/>
  <c r="BG205" i="20"/>
  <c r="BG250" i="20" s="1"/>
  <c r="BF205" i="20" l="1"/>
  <c r="BF206" i="20" s="1"/>
  <c r="BF207" i="20" s="1"/>
  <c r="BH206" i="20"/>
  <c r="BH207" i="20" s="1"/>
  <c r="BD206" i="20"/>
  <c r="BD207" i="20" s="1"/>
  <c r="BK205" i="20"/>
  <c r="BK206" i="20" s="1"/>
  <c r="BK207" i="20" s="1"/>
  <c r="BD251" i="20"/>
  <c r="BD281" i="20"/>
  <c r="BD282" i="20" s="1"/>
  <c r="BD285" i="20" s="1"/>
  <c r="BD288" i="20" s="1"/>
  <c r="BD289" i="20" s="1"/>
  <c r="BD293" i="20" s="1"/>
  <c r="BD296" i="20" s="1"/>
  <c r="BD297" i="20" s="1"/>
  <c r="BJ250" i="20"/>
  <c r="BJ251" i="20" s="1"/>
  <c r="BJ252" i="20" s="1"/>
  <c r="BG206" i="20"/>
  <c r="BG207" i="20" s="1"/>
  <c r="BI281" i="20"/>
  <c r="BI282" i="20" s="1"/>
  <c r="BI285" i="20" s="1"/>
  <c r="BI288" i="20" s="1"/>
  <c r="BI289" i="20" s="1"/>
  <c r="BI293" i="20" s="1"/>
  <c r="BI296" i="20" s="1"/>
  <c r="BI251" i="20"/>
  <c r="BL281" i="20"/>
  <c r="BG281" i="20"/>
  <c r="BG282" i="20" s="1"/>
  <c r="BG285" i="20" s="1"/>
  <c r="BG288" i="20" s="1"/>
  <c r="BG289" i="20" s="1"/>
  <c r="BG293" i="20" s="1"/>
  <c r="BG296" i="20" s="1"/>
  <c r="BG251" i="20"/>
  <c r="BH251" i="20"/>
  <c r="BH281" i="20"/>
  <c r="BH282" i="20" s="1"/>
  <c r="BH285" i="20" s="1"/>
  <c r="BH288" i="20" s="1"/>
  <c r="BH289" i="20" s="1"/>
  <c r="BH293" i="20" s="1"/>
  <c r="BH296" i="20" s="1"/>
  <c r="BI206" i="20"/>
  <c r="BI207" i="20" s="1"/>
  <c r="BE250" i="20"/>
  <c r="BJ281" i="20" l="1"/>
  <c r="BJ282" i="20" s="1"/>
  <c r="BJ285" i="20" s="1"/>
  <c r="BJ288" i="20" s="1"/>
  <c r="BJ289" i="20" s="1"/>
  <c r="BJ293" i="20" s="1"/>
  <c r="BJ296" i="20" s="1"/>
  <c r="BK250" i="20"/>
  <c r="BK281" i="20" s="1"/>
  <c r="BK282" i="20" s="1"/>
  <c r="BK285" i="20" s="1"/>
  <c r="BK288" i="20" s="1"/>
  <c r="BK289" i="20" s="1"/>
  <c r="BK293" i="20" s="1"/>
  <c r="BK296" i="20" s="1"/>
  <c r="BK295" i="20" s="1"/>
  <c r="BK251" i="20"/>
  <c r="BK252" i="20" s="1"/>
  <c r="BJ259" i="20"/>
  <c r="BJ265" i="20" s="1"/>
  <c r="BD295" i="20"/>
  <c r="BD259" i="20"/>
  <c r="BD252" i="20"/>
  <c r="BG259" i="20"/>
  <c r="BG252" i="20"/>
  <c r="BI252" i="20"/>
  <c r="BI259" i="20"/>
  <c r="BH295" i="20"/>
  <c r="BH297" i="20"/>
  <c r="BH252" i="20"/>
  <c r="BH259" i="20"/>
  <c r="BJ297" i="20"/>
  <c r="BJ295" i="20"/>
  <c r="BK297" i="20"/>
  <c r="BE251" i="20"/>
  <c r="BF250" i="20"/>
  <c r="BE281" i="20"/>
  <c r="BE282" i="20" s="1"/>
  <c r="BE285" i="20" s="1"/>
  <c r="BE288" i="20" s="1"/>
  <c r="BE289" i="20" s="1"/>
  <c r="BE293" i="20" s="1"/>
  <c r="BE296" i="20" s="1"/>
  <c r="BI295" i="20"/>
  <c r="BI297" i="20"/>
  <c r="BG297" i="20"/>
  <c r="BG295" i="20"/>
  <c r="BJ260" i="20" l="1"/>
  <c r="BJ266" i="20" s="1"/>
  <c r="BK266" i="20" s="1"/>
  <c r="BK259" i="20"/>
  <c r="BK260" i="20" s="1"/>
  <c r="BD265" i="20"/>
  <c r="BD260" i="20"/>
  <c r="BD266" i="20" s="1"/>
  <c r="BK265" i="20"/>
  <c r="BK269" i="20" s="1"/>
  <c r="BJ269" i="20"/>
  <c r="BH260" i="20"/>
  <c r="BH266" i="20" s="1"/>
  <c r="BH265" i="20"/>
  <c r="BH269" i="20" s="1"/>
  <c r="BE295" i="20"/>
  <c r="BE297" i="20"/>
  <c r="BF251" i="20"/>
  <c r="BF281" i="20"/>
  <c r="BF282" i="20" s="1"/>
  <c r="BF285" i="20" s="1"/>
  <c r="BF288" i="20" s="1"/>
  <c r="BF289" i="20" s="1"/>
  <c r="BF293" i="20" s="1"/>
  <c r="BF296" i="20" s="1"/>
  <c r="BI265" i="20"/>
  <c r="BI269" i="20" s="1"/>
  <c r="BI260" i="20"/>
  <c r="BI266" i="20" s="1"/>
  <c r="BE259" i="20"/>
  <c r="BE252" i="20"/>
  <c r="BG260" i="20"/>
  <c r="BG266" i="20" s="1"/>
  <c r="BG265" i="20"/>
  <c r="BG269" i="20" s="1"/>
  <c r="BF252" i="20" l="1"/>
  <c r="BF259" i="20"/>
  <c r="BF260" i="20" s="1"/>
  <c r="BF266" i="20" s="1"/>
  <c r="BE260" i="20"/>
  <c r="BE266" i="20" s="1"/>
  <c r="BE265" i="20"/>
  <c r="BF265" i="20" s="1"/>
  <c r="BF269" i="20" s="1"/>
  <c r="BF297" i="20"/>
  <c r="BF295" i="20"/>
  <c r="AE336" i="20"/>
  <c r="D31" i="3" l="1"/>
  <c r="I31" i="3" s="1"/>
  <c r="BM392" i="7" l="1"/>
  <c r="AX509" i="12"/>
  <c r="AY518" i="12" s="1"/>
  <c r="BP392" i="7" l="1"/>
  <c r="AY509" i="12" l="1"/>
  <c r="AX9" i="12"/>
  <c r="AX120" i="12"/>
  <c r="AX123" i="12" l="1"/>
  <c r="AX122" i="12"/>
  <c r="AX5" i="12"/>
  <c r="BM226" i="20" s="1"/>
  <c r="AX10" i="12"/>
  <c r="AX18" i="12"/>
  <c r="AX4" i="12"/>
  <c r="BM225" i="20" s="1"/>
  <c r="BM217" i="20" l="1"/>
  <c r="BN226" i="20"/>
  <c r="BO226" i="20" s="1"/>
  <c r="BP226" i="20" s="1"/>
  <c r="BM216" i="20"/>
  <c r="BN225" i="20"/>
  <c r="BO225" i="20" s="1"/>
  <c r="BP225" i="20" s="1"/>
  <c r="AX6" i="12"/>
  <c r="BM227" i="20" s="1"/>
  <c r="BN227" i="20" s="1"/>
  <c r="BO227" i="20" s="1"/>
  <c r="BP227" i="20" s="1"/>
  <c r="AX192" i="7"/>
  <c r="AX264" i="7"/>
  <c r="AX266" i="7" s="1"/>
  <c r="AX244" i="7" s="1"/>
  <c r="AX193" i="7" l="1"/>
  <c r="AY193" i="7"/>
  <c r="BM196" i="20"/>
  <c r="BM241" i="20" s="1"/>
  <c r="AX770" i="7"/>
  <c r="AX765" i="7"/>
  <c r="AX148" i="7"/>
  <c r="AX150" i="7" s="1"/>
  <c r="AX162" i="7" s="1"/>
  <c r="AX26" i="12"/>
  <c r="AX156" i="7" l="1"/>
  <c r="E10" i="16"/>
  <c r="C37" i="17" s="1"/>
  <c r="C114" i="17" s="1"/>
  <c r="E114" i="17" s="1"/>
  <c r="AX33" i="12"/>
  <c r="AX43" i="12"/>
  <c r="AX44" i="12" s="1"/>
  <c r="AX27" i="12"/>
  <c r="AY25" i="12" l="1"/>
  <c r="AY728" i="7"/>
  <c r="AY770" i="7" s="1"/>
  <c r="AY158" i="7" l="1"/>
  <c r="AY159" i="7"/>
  <c r="AW162" i="7" l="1"/>
  <c r="AW163" i="7" l="1"/>
  <c r="AW179" i="7"/>
  <c r="AW181" i="7" l="1"/>
  <c r="AW166" i="7"/>
  <c r="AW185" i="7" l="1"/>
  <c r="AW168" i="7"/>
  <c r="AW164" i="7"/>
  <c r="AW172" i="7" l="1"/>
  <c r="AW520" i="7" l="1"/>
  <c r="AW608" i="7" s="1"/>
  <c r="AW179" i="13" l="1"/>
  <c r="AX10" i="13" l="1"/>
  <c r="G55" i="62" l="1"/>
  <c r="G45" i="62"/>
  <c r="H115" i="17" s="1"/>
  <c r="AX27" i="13" l="1"/>
  <c r="AY225" i="7"/>
  <c r="AY226" i="7" s="1"/>
  <c r="AY27" i="13" l="1"/>
  <c r="AZ27" i="13" s="1"/>
  <c r="AY351" i="7"/>
  <c r="AY333" i="7" s="1"/>
  <c r="AY336" i="7" s="1"/>
  <c r="AY319" i="7" s="1"/>
  <c r="AX872" i="7" l="1"/>
  <c r="AZ890" i="7" l="1"/>
  <c r="AX878" i="7"/>
  <c r="AX880" i="7"/>
  <c r="AX881" i="7" s="1"/>
  <c r="BA27" i="13"/>
  <c r="BB27" i="13" s="1"/>
  <c r="BC27" i="13" s="1"/>
  <c r="BD27" i="13" s="1"/>
  <c r="BE27" i="13" s="1"/>
  <c r="AZ351" i="7" l="1"/>
  <c r="BA890" i="7"/>
  <c r="AZ333" i="7" l="1"/>
  <c r="AZ876" i="7"/>
  <c r="AZ870" i="7" s="1"/>
  <c r="BB890" i="7"/>
  <c r="BA351" i="7"/>
  <c r="AY872" i="7"/>
  <c r="AY878" i="7" s="1"/>
  <c r="BA333" i="7" l="1"/>
  <c r="BA870" i="7"/>
  <c r="BB351" i="7"/>
  <c r="BC890" i="7"/>
  <c r="AY880" i="7"/>
  <c r="AY881" i="7" s="1"/>
  <c r="BC351" i="7" l="1"/>
  <c r="BD890" i="7"/>
  <c r="BB876" i="7"/>
  <c r="BB870" i="7" s="1"/>
  <c r="BB333" i="7"/>
  <c r="BA876" i="7"/>
  <c r="BC876" i="7" l="1"/>
  <c r="BC870" i="7" s="1"/>
  <c r="BC333" i="7"/>
  <c r="BE890" i="7"/>
  <c r="BF27" i="13"/>
  <c r="BD351" i="7"/>
  <c r="BG27" i="13" l="1"/>
  <c r="BD876" i="7"/>
  <c r="BD870" i="7" s="1"/>
  <c r="BD333" i="7"/>
  <c r="BE351" i="7"/>
  <c r="BF351" i="7" s="1"/>
  <c r="BF890" i="7"/>
  <c r="BH27" i="13" l="1"/>
  <c r="BG890" i="7"/>
  <c r="BE333" i="7"/>
  <c r="BE876" i="7"/>
  <c r="BE870" i="7" s="1"/>
  <c r="BF870" i="7" s="1"/>
  <c r="BF333" i="7" l="1"/>
  <c r="BI27" i="13"/>
  <c r="BH890" i="7"/>
  <c r="BG351" i="7"/>
  <c r="BF876" i="7"/>
  <c r="BG333" i="7" l="1"/>
  <c r="BG876" i="7"/>
  <c r="BG870" i="7" s="1"/>
  <c r="BH351" i="7"/>
  <c r="BJ27" i="13"/>
  <c r="BI890" i="7"/>
  <c r="BI351" i="7" l="1"/>
  <c r="BH333" i="7"/>
  <c r="BH876" i="7"/>
  <c r="BH870" i="7" s="1"/>
  <c r="BJ890" i="7"/>
  <c r="BK27" i="13"/>
  <c r="BJ351" i="7" l="1"/>
  <c r="BK890" i="7"/>
  <c r="BL27" i="13"/>
  <c r="BI333" i="7"/>
  <c r="BI876" i="7"/>
  <c r="BI870" i="7" s="1"/>
  <c r="BJ333" i="7" l="1"/>
  <c r="BJ876" i="7"/>
  <c r="BJ870" i="7" s="1"/>
  <c r="BK870" i="7" s="1"/>
  <c r="BK351" i="7"/>
  <c r="BM27" i="13"/>
  <c r="BL890" i="7"/>
  <c r="BK876" i="7" l="1"/>
  <c r="BL351" i="7"/>
  <c r="BK333" i="7"/>
  <c r="BN27" i="13"/>
  <c r="BM890" i="7"/>
  <c r="BL876" i="7" l="1"/>
  <c r="BL870" i="7" s="1"/>
  <c r="BL333" i="7"/>
  <c r="BM351" i="7"/>
  <c r="BO27" i="13"/>
  <c r="BN890" i="7"/>
  <c r="BN351" i="7" l="1"/>
  <c r="BP27" i="13"/>
  <c r="BO890" i="7"/>
  <c r="BM876" i="7"/>
  <c r="BM870" i="7" s="1"/>
  <c r="BM333" i="7"/>
  <c r="BO351" i="7" l="1"/>
  <c r="BP351" i="7" s="1"/>
  <c r="BP890" i="7"/>
  <c r="BQ27" i="13"/>
  <c r="BN876" i="7"/>
  <c r="BN870" i="7" s="1"/>
  <c r="BN333" i="7"/>
  <c r="BR27" i="13" l="1"/>
  <c r="BQ890" i="7"/>
  <c r="BO333" i="7"/>
  <c r="BP333" i="7" s="1"/>
  <c r="BO876" i="7"/>
  <c r="BO870" i="7" s="1"/>
  <c r="BP870" i="7" s="1"/>
  <c r="BP876" i="7" l="1"/>
  <c r="BQ351" i="7"/>
  <c r="BR890" i="7"/>
  <c r="BS27" i="13"/>
  <c r="BS890" i="7" l="1"/>
  <c r="BT27" i="13"/>
  <c r="BQ333" i="7"/>
  <c r="BQ876" i="7"/>
  <c r="BQ870" i="7" s="1"/>
  <c r="BR351" i="7"/>
  <c r="BS351" i="7" l="1"/>
  <c r="BR333" i="7"/>
  <c r="BR876" i="7"/>
  <c r="BR870" i="7" s="1"/>
  <c r="BT890" i="7"/>
  <c r="BU27" i="13"/>
  <c r="BV27" i="13" l="1"/>
  <c r="BS333" i="7"/>
  <c r="BS876" i="7"/>
  <c r="BS870" i="7" s="1"/>
  <c r="BT351" i="7"/>
  <c r="BU890" i="7"/>
  <c r="BV890" i="7" l="1"/>
  <c r="BW27" i="13"/>
  <c r="BT333" i="7"/>
  <c r="BT336" i="7" s="1"/>
  <c r="BT319" i="7" s="1"/>
  <c r="BT307" i="7" s="1"/>
  <c r="BT876" i="7"/>
  <c r="BT870" i="7" s="1"/>
  <c r="BU870" i="7" s="1"/>
  <c r="BT323" i="7"/>
  <c r="BT311" i="7" s="1"/>
  <c r="BU351" i="7"/>
  <c r="BU876" i="7" l="1"/>
  <c r="BV351" i="7"/>
  <c r="BW890" i="7"/>
  <c r="BX27" i="13"/>
  <c r="BU333" i="7"/>
  <c r="BV333" i="7" l="1"/>
  <c r="BV876" i="7"/>
  <c r="BV870" i="7" s="1"/>
  <c r="BV323" i="7"/>
  <c r="BX890" i="7"/>
  <c r="BY27" i="13"/>
  <c r="BW351" i="7"/>
  <c r="BW333" i="7" l="1"/>
  <c r="BW336" i="7" s="1"/>
  <c r="BW319" i="7" s="1"/>
  <c r="BW307" i="7" s="1"/>
  <c r="BW323" i="7"/>
  <c r="BW311" i="7" s="1"/>
  <c r="BW876" i="7"/>
  <c r="BW870" i="7" s="1"/>
  <c r="BX351" i="7"/>
  <c r="BV311" i="7"/>
  <c r="BV336" i="7"/>
  <c r="BV319" i="7" s="1"/>
  <c r="BY890" i="7"/>
  <c r="BZ27" i="13"/>
  <c r="BX333" i="7" l="1"/>
  <c r="BX336" i="7" s="1"/>
  <c r="BX319" i="7" s="1"/>
  <c r="BX307" i="7" s="1"/>
  <c r="BX323" i="7"/>
  <c r="BX311" i="7" s="1"/>
  <c r="BX876" i="7"/>
  <c r="BX870" i="7" s="1"/>
  <c r="BY351" i="7"/>
  <c r="BZ351" i="7" s="1"/>
  <c r="BZ890" i="7"/>
  <c r="BV307" i="7"/>
  <c r="BY333" i="7" l="1"/>
  <c r="BY336" i="7" s="1"/>
  <c r="BY319" i="7" s="1"/>
  <c r="BY307" i="7" s="1"/>
  <c r="BZ307" i="7" s="1"/>
  <c r="BY323" i="7"/>
  <c r="BY311" i="7" s="1"/>
  <c r="BZ311" i="7" s="1"/>
  <c r="BY876" i="7"/>
  <c r="BY870" i="7" s="1"/>
  <c r="BZ870" i="7" s="1"/>
  <c r="BZ876" i="7" s="1"/>
  <c r="BZ333" i="7" l="1"/>
  <c r="BZ336" i="7" s="1"/>
  <c r="BZ323" i="7"/>
  <c r="BZ319" i="7"/>
  <c r="AZ25" i="12" l="1"/>
  <c r="AZ730" i="7" s="1"/>
  <c r="BA730" i="7" s="1"/>
  <c r="BA25" i="12" l="1"/>
  <c r="BB25" i="12" s="1"/>
  <c r="BB730" i="7" s="1"/>
  <c r="BB346" i="7" s="1"/>
  <c r="AZ346" i="7"/>
  <c r="BC25" i="12" l="1"/>
  <c r="AZ465" i="7"/>
  <c r="AZ332" i="7"/>
  <c r="AZ336" i="7" s="1"/>
  <c r="AZ319" i="7" s="1"/>
  <c r="AZ307" i="7" s="1"/>
  <c r="AZ504" i="7"/>
  <c r="AZ409" i="7" s="1"/>
  <c r="BA346" i="7"/>
  <c r="AZ698" i="7"/>
  <c r="BC730" i="7"/>
  <c r="BC346" i="7" s="1"/>
  <c r="BD25" i="12"/>
  <c r="BB504" i="7"/>
  <c r="BB465" i="7"/>
  <c r="BB332" i="7"/>
  <c r="BB698" i="7"/>
  <c r="BA332" i="7" l="1"/>
  <c r="BA336" i="7" s="1"/>
  <c r="AY711" i="7"/>
  <c r="AZ708" i="7"/>
  <c r="AY712" i="7"/>
  <c r="BC504" i="7"/>
  <c r="BC409" i="7" s="1"/>
  <c r="BC465" i="7"/>
  <c r="BC698" i="7"/>
  <c r="BC332" i="7"/>
  <c r="BC336" i="7" s="1"/>
  <c r="BC319" i="7" s="1"/>
  <c r="BC307" i="7" s="1"/>
  <c r="BA319" i="7"/>
  <c r="BA307" i="7"/>
  <c r="AZ717" i="7"/>
  <c r="BD730" i="7"/>
  <c r="BD346" i="7" s="1"/>
  <c r="BE25" i="12"/>
  <c r="AZ447" i="7"/>
  <c r="AZ323" i="7" s="1"/>
  <c r="AZ311" i="7" s="1"/>
  <c r="AZ390" i="7"/>
  <c r="AZ372" i="7" s="1"/>
  <c r="BB336" i="7"/>
  <c r="BB319" i="7" s="1"/>
  <c r="AZ692" i="7"/>
  <c r="AY703" i="7"/>
  <c r="BB447" i="7"/>
  <c r="BB390" i="7"/>
  <c r="BB409" i="7"/>
  <c r="BA323" i="7" l="1"/>
  <c r="BB372" i="7"/>
  <c r="BE730" i="7"/>
  <c r="BF25" i="12"/>
  <c r="BG25" i="12" s="1"/>
  <c r="AY702" i="7"/>
  <c r="BA692" i="7"/>
  <c r="AZ707" i="7"/>
  <c r="BA708" i="7"/>
  <c r="AZ712" i="7"/>
  <c r="BB323" i="7"/>
  <c r="BC447" i="7"/>
  <c r="BC323" i="7" s="1"/>
  <c r="BC311" i="7" s="1"/>
  <c r="BC390" i="7"/>
  <c r="BC372" i="7" s="1"/>
  <c r="BD504" i="7"/>
  <c r="BD409" i="7" s="1"/>
  <c r="BD332" i="7"/>
  <c r="BD336" i="7" s="1"/>
  <c r="BD319" i="7" s="1"/>
  <c r="BD307" i="7" s="1"/>
  <c r="BD465" i="7"/>
  <c r="BD698" i="7"/>
  <c r="AZ525" i="7"/>
  <c r="BA525" i="7" s="1"/>
  <c r="BA717" i="7"/>
  <c r="AZ721" i="7"/>
  <c r="AZ716" i="7"/>
  <c r="BB307" i="7"/>
  <c r="BA311" i="7"/>
  <c r="AZ524" i="7" l="1"/>
  <c r="BA698" i="7"/>
  <c r="BB692" i="7"/>
  <c r="BD447" i="7"/>
  <c r="BD323" i="7" s="1"/>
  <c r="BD311" i="7" s="1"/>
  <c r="BD390" i="7"/>
  <c r="BD372" i="7" s="1"/>
  <c r="BB717" i="7"/>
  <c r="BA721" i="7"/>
  <c r="BB311" i="7"/>
  <c r="BB708" i="7"/>
  <c r="BB525" i="7" s="1"/>
  <c r="BA712" i="7"/>
  <c r="AZ711" i="7"/>
  <c r="BA707" i="7"/>
  <c r="BA711" i="7" s="1"/>
  <c r="BG730" i="7"/>
  <c r="BH25" i="12"/>
  <c r="AZ529" i="7"/>
  <c r="BE346" i="7"/>
  <c r="BF730" i="7"/>
  <c r="AZ720" i="7"/>
  <c r="AZ526" i="7"/>
  <c r="BA716" i="7"/>
  <c r="BA720" i="7" s="1"/>
  <c r="AZ530" i="7" l="1"/>
  <c r="AZ617" i="7"/>
  <c r="AZ537" i="7"/>
  <c r="AZ538" i="7" s="1"/>
  <c r="BA538" i="7" s="1"/>
  <c r="BA537" i="7"/>
  <c r="AZ527" i="7"/>
  <c r="AZ532" i="7" s="1"/>
  <c r="BA617" i="7"/>
  <c r="BA526" i="7"/>
  <c r="BA527" i="7" s="1"/>
  <c r="BC692" i="7"/>
  <c r="BE504" i="7"/>
  <c r="BE465" i="7"/>
  <c r="BE332" i="7"/>
  <c r="BE698" i="7"/>
  <c r="BF346" i="7"/>
  <c r="BA529" i="7"/>
  <c r="BG346" i="7"/>
  <c r="BG465" i="7" s="1"/>
  <c r="BB716" i="7"/>
  <c r="BC717" i="7"/>
  <c r="BB721" i="7"/>
  <c r="BB707" i="7"/>
  <c r="BB711" i="7" s="1"/>
  <c r="BC708" i="7"/>
  <c r="BB712" i="7"/>
  <c r="BI25" i="12"/>
  <c r="BH730" i="7"/>
  <c r="BH346" i="7" s="1"/>
  <c r="BH465" i="7" s="1"/>
  <c r="BH390" i="7" s="1"/>
  <c r="BG390" i="7" l="1"/>
  <c r="AZ533" i="7"/>
  <c r="BA530" i="7"/>
  <c r="BF524" i="7"/>
  <c r="BB524" i="7"/>
  <c r="BG504" i="7"/>
  <c r="BG332" i="7"/>
  <c r="BG698" i="7"/>
  <c r="BE336" i="7"/>
  <c r="BE319" i="7" s="1"/>
  <c r="BF332" i="7"/>
  <c r="BF336" i="7" s="1"/>
  <c r="BB529" i="7"/>
  <c r="BA532" i="7"/>
  <c r="BB526" i="7"/>
  <c r="BB530" i="7" s="1"/>
  <c r="BB720" i="7"/>
  <c r="BE409" i="7"/>
  <c r="BF409" i="7" s="1"/>
  <c r="BF504" i="7"/>
  <c r="BD692" i="7"/>
  <c r="BA533" i="7"/>
  <c r="BH504" i="7"/>
  <c r="BH698" i="7"/>
  <c r="BH332" i="7"/>
  <c r="BH336" i="7" s="1"/>
  <c r="BH319" i="7" s="1"/>
  <c r="BH307" i="7" s="1"/>
  <c r="BC716" i="7"/>
  <c r="BD717" i="7"/>
  <c r="BC721" i="7"/>
  <c r="BE390" i="7"/>
  <c r="BE447" i="7"/>
  <c r="BF465" i="7"/>
  <c r="BC712" i="7"/>
  <c r="BC707" i="7"/>
  <c r="BC711" i="7" s="1"/>
  <c r="BD708" i="7"/>
  <c r="BD525" i="7" s="1"/>
  <c r="BI730" i="7"/>
  <c r="BI346" i="7" s="1"/>
  <c r="BI465" i="7" s="1"/>
  <c r="BI390" i="7" s="1"/>
  <c r="BJ25" i="12"/>
  <c r="BC525" i="7"/>
  <c r="BB527" i="7" l="1"/>
  <c r="BC524" i="7" s="1"/>
  <c r="BC526" i="7"/>
  <c r="BC530" i="7" s="1"/>
  <c r="BC720" i="7"/>
  <c r="BD716" i="7"/>
  <c r="BE717" i="7"/>
  <c r="BD721" i="7"/>
  <c r="BE372" i="7"/>
  <c r="BF372" i="7" s="1"/>
  <c r="BF390" i="7"/>
  <c r="BH409" i="7"/>
  <c r="BH372" i="7" s="1"/>
  <c r="BH447" i="7"/>
  <c r="BH323" i="7" s="1"/>
  <c r="BH311" i="7" s="1"/>
  <c r="BE307" i="7"/>
  <c r="BF307" i="7" s="1"/>
  <c r="BF319" i="7"/>
  <c r="BG336" i="7"/>
  <c r="BG319" i="7" s="1"/>
  <c r="BC529" i="7"/>
  <c r="BB532" i="7"/>
  <c r="BE692" i="7"/>
  <c r="BG409" i="7"/>
  <c r="BG447" i="7"/>
  <c r="BE708" i="7"/>
  <c r="BD712" i="7"/>
  <c r="BD707" i="7"/>
  <c r="BD711" i="7" s="1"/>
  <c r="BK25" i="12"/>
  <c r="BL25" i="12" s="1"/>
  <c r="BJ730" i="7"/>
  <c r="BB617" i="7"/>
  <c r="BB537" i="7"/>
  <c r="BI698" i="7"/>
  <c r="BI504" i="7"/>
  <c r="BI332" i="7"/>
  <c r="BI336" i="7" s="1"/>
  <c r="BI319" i="7" s="1"/>
  <c r="BI307" i="7" s="1"/>
  <c r="BE323" i="7"/>
  <c r="BF447" i="7"/>
  <c r="BB533" i="7" l="1"/>
  <c r="BC527" i="7"/>
  <c r="BD524" i="7" s="1"/>
  <c r="BG307" i="7"/>
  <c r="BG372" i="7"/>
  <c r="BD526" i="7"/>
  <c r="BD720" i="7"/>
  <c r="BJ346" i="7"/>
  <c r="BJ465" i="7" s="1"/>
  <c r="BK730" i="7"/>
  <c r="BM25" i="12"/>
  <c r="BL730" i="7"/>
  <c r="BL346" i="7" s="1"/>
  <c r="BI409" i="7"/>
  <c r="BI372" i="7" s="1"/>
  <c r="BI447" i="7"/>
  <c r="BI323" i="7" s="1"/>
  <c r="BI311" i="7" s="1"/>
  <c r="BF708" i="7"/>
  <c r="BE712" i="7"/>
  <c r="BE707" i="7"/>
  <c r="BD529" i="7"/>
  <c r="BC617" i="7"/>
  <c r="BG323" i="7"/>
  <c r="BC537" i="7"/>
  <c r="BC538" i="7" s="1"/>
  <c r="BE716" i="7"/>
  <c r="BF717" i="7"/>
  <c r="BE721" i="7"/>
  <c r="BB538" i="7"/>
  <c r="BF692" i="7"/>
  <c r="BE525" i="7"/>
  <c r="BE311" i="7"/>
  <c r="BF311" i="7" s="1"/>
  <c r="BF323" i="7"/>
  <c r="BJ390" i="7" l="1"/>
  <c r="BK390" i="7" s="1"/>
  <c r="BK465" i="7"/>
  <c r="BC533" i="7"/>
  <c r="BC532" i="7"/>
  <c r="BD527" i="7"/>
  <c r="BE524" i="7" s="1"/>
  <c r="BG708" i="7"/>
  <c r="BG525" i="7" s="1"/>
  <c r="BF712" i="7"/>
  <c r="BE529" i="7"/>
  <c r="BD532" i="7"/>
  <c r="BF525" i="7"/>
  <c r="BG692" i="7"/>
  <c r="BF698" i="7"/>
  <c r="BG311" i="7"/>
  <c r="BL332" i="7"/>
  <c r="BL698" i="7"/>
  <c r="BL504" i="7"/>
  <c r="BJ332" i="7"/>
  <c r="BJ698" i="7"/>
  <c r="BJ504" i="7"/>
  <c r="BK346" i="7"/>
  <c r="BF707" i="7"/>
  <c r="BF711" i="7" s="1"/>
  <c r="BE711" i="7"/>
  <c r="BG717" i="7"/>
  <c r="BF721" i="7"/>
  <c r="BD537" i="7"/>
  <c r="BD538" i="7" s="1"/>
  <c r="BD617" i="7"/>
  <c r="BD530" i="7"/>
  <c r="BM730" i="7"/>
  <c r="BM346" i="7" s="1"/>
  <c r="BN25" i="12"/>
  <c r="BE526" i="7"/>
  <c r="BF526" i="7" s="1"/>
  <c r="BF716" i="7"/>
  <c r="BF720" i="7" s="1"/>
  <c r="BE720" i="7"/>
  <c r="BF527" i="7" l="1"/>
  <c r="BG524" i="7" s="1"/>
  <c r="BE527" i="7"/>
  <c r="BE532" i="7" s="1"/>
  <c r="BE530" i="7"/>
  <c r="BD533" i="7"/>
  <c r="BH692" i="7"/>
  <c r="BE537" i="7"/>
  <c r="BE538" i="7" s="1"/>
  <c r="BF538" i="7" s="1"/>
  <c r="BG716" i="7"/>
  <c r="BG721" i="7"/>
  <c r="BH717" i="7"/>
  <c r="BF529" i="7"/>
  <c r="BM332" i="7"/>
  <c r="BM336" i="7" s="1"/>
  <c r="BM319" i="7" s="1"/>
  <c r="BM307" i="7" s="1"/>
  <c r="BM698" i="7"/>
  <c r="BM504" i="7"/>
  <c r="BL336" i="7"/>
  <c r="BL319" i="7" s="1"/>
  <c r="BJ447" i="7"/>
  <c r="BJ409" i="7"/>
  <c r="BK504" i="7"/>
  <c r="BJ336" i="7"/>
  <c r="BJ319" i="7" s="1"/>
  <c r="BK332" i="7"/>
  <c r="BK336" i="7" s="1"/>
  <c r="BL447" i="7"/>
  <c r="BL409" i="7"/>
  <c r="BN730" i="7"/>
  <c r="BN346" i="7" s="1"/>
  <c r="BO25" i="12"/>
  <c r="BE617" i="7"/>
  <c r="BF617" i="7" s="1"/>
  <c r="BG707" i="7"/>
  <c r="BG711" i="7" s="1"/>
  <c r="BH708" i="7"/>
  <c r="BH525" i="7" s="1"/>
  <c r="BG712" i="7"/>
  <c r="BK524" i="7" l="1"/>
  <c r="BF537" i="7"/>
  <c r="BJ307" i="7"/>
  <c r="BK307" i="7" s="1"/>
  <c r="BK319" i="7"/>
  <c r="BJ372" i="7"/>
  <c r="BK372" i="7" s="1"/>
  <c r="BK409" i="7"/>
  <c r="BN332" i="7"/>
  <c r="BN336" i="7" s="1"/>
  <c r="BN319" i="7" s="1"/>
  <c r="BN307" i="7" s="1"/>
  <c r="BN698" i="7"/>
  <c r="BN504" i="7"/>
  <c r="BG526" i="7"/>
  <c r="BG527" i="7" s="1"/>
  <c r="BH524" i="7" s="1"/>
  <c r="BG720" i="7"/>
  <c r="BJ323" i="7"/>
  <c r="BK447" i="7"/>
  <c r="BF530" i="7"/>
  <c r="BE533" i="7"/>
  <c r="BP25" i="12"/>
  <c r="BQ25" i="12" s="1"/>
  <c r="BO730" i="7"/>
  <c r="BF532" i="7"/>
  <c r="BG529" i="7"/>
  <c r="BI717" i="7"/>
  <c r="BH721" i="7"/>
  <c r="BH716" i="7"/>
  <c r="BL307" i="7"/>
  <c r="BI692" i="7"/>
  <c r="BH707" i="7"/>
  <c r="BH711" i="7" s="1"/>
  <c r="BI708" i="7"/>
  <c r="BI525" i="7" s="1"/>
  <c r="BH712" i="7"/>
  <c r="BL372" i="7"/>
  <c r="BL323" i="7"/>
  <c r="BM447" i="7"/>
  <c r="BM323" i="7" s="1"/>
  <c r="BM311" i="7" s="1"/>
  <c r="BM409" i="7"/>
  <c r="BM372" i="7" s="1"/>
  <c r="BJ311" i="7" l="1"/>
  <c r="BK311" i="7" s="1"/>
  <c r="BK323" i="7"/>
  <c r="BJ692" i="7"/>
  <c r="BG532" i="7"/>
  <c r="BH529" i="7"/>
  <c r="BI707" i="7"/>
  <c r="BI711" i="7" s="1"/>
  <c r="BJ708" i="7"/>
  <c r="BI712" i="7"/>
  <c r="BG530" i="7"/>
  <c r="BF533" i="7"/>
  <c r="BL311" i="7"/>
  <c r="BH526" i="7"/>
  <c r="BH527" i="7" s="1"/>
  <c r="BI524" i="7" s="1"/>
  <c r="BH720" i="7"/>
  <c r="BQ730" i="7"/>
  <c r="BR25" i="12"/>
  <c r="BG617" i="7"/>
  <c r="BG537" i="7"/>
  <c r="BJ717" i="7"/>
  <c r="BI721" i="7"/>
  <c r="BI716" i="7"/>
  <c r="BP730" i="7"/>
  <c r="BO346" i="7"/>
  <c r="BN447" i="7"/>
  <c r="BN323" i="7" s="1"/>
  <c r="BN311" i="7" s="1"/>
  <c r="BN409" i="7"/>
  <c r="BN372" i="7" s="1"/>
  <c r="BQ346" i="7" l="1"/>
  <c r="BQ332" i="7" s="1"/>
  <c r="BJ707" i="7"/>
  <c r="BK708" i="7"/>
  <c r="BJ712" i="7"/>
  <c r="BH532" i="7"/>
  <c r="BI529" i="7"/>
  <c r="BK692" i="7"/>
  <c r="BR730" i="7"/>
  <c r="BR346" i="7" s="1"/>
  <c r="BS25" i="12"/>
  <c r="BS730" i="7" s="1"/>
  <c r="BS346" i="7" s="1"/>
  <c r="BH617" i="7"/>
  <c r="BH537" i="7"/>
  <c r="BH538" i="7" s="1"/>
  <c r="BH530" i="7"/>
  <c r="BG533" i="7"/>
  <c r="BJ716" i="7"/>
  <c r="BK717" i="7"/>
  <c r="BJ721" i="7"/>
  <c r="BG538" i="7"/>
  <c r="BO332" i="7"/>
  <c r="BO504" i="7"/>
  <c r="BO698" i="7"/>
  <c r="BP346" i="7"/>
  <c r="BI526" i="7"/>
  <c r="BI527" i="7" s="1"/>
  <c r="BJ524" i="7" s="1"/>
  <c r="BI720" i="7"/>
  <c r="BJ525" i="7"/>
  <c r="BQ504" i="7" l="1"/>
  <c r="BQ698" i="7"/>
  <c r="BQ336" i="7"/>
  <c r="BQ319" i="7" s="1"/>
  <c r="BI537" i="7"/>
  <c r="BI617" i="7"/>
  <c r="BI532" i="7"/>
  <c r="BJ529" i="7"/>
  <c r="BO336" i="7"/>
  <c r="BO319" i="7" s="1"/>
  <c r="BP332" i="7"/>
  <c r="BP336" i="7" s="1"/>
  <c r="BS332" i="7"/>
  <c r="BS336" i="7" s="1"/>
  <c r="BS319" i="7" s="1"/>
  <c r="BS307" i="7" s="1"/>
  <c r="BS504" i="7"/>
  <c r="BS698" i="7"/>
  <c r="BJ526" i="7"/>
  <c r="BJ527" i="7" s="1"/>
  <c r="BK716" i="7"/>
  <c r="BK720" i="7" s="1"/>
  <c r="BJ720" i="7"/>
  <c r="BK707" i="7"/>
  <c r="BK711" i="7" s="1"/>
  <c r="BJ711" i="7"/>
  <c r="BK525" i="7"/>
  <c r="BL708" i="7"/>
  <c r="BK712" i="7"/>
  <c r="BR332" i="7"/>
  <c r="BR336" i="7" s="1"/>
  <c r="BR319" i="7" s="1"/>
  <c r="BR307" i="7" s="1"/>
  <c r="BR698" i="7"/>
  <c r="BR504" i="7"/>
  <c r="BL717" i="7"/>
  <c r="BK721" i="7"/>
  <c r="BH533" i="7"/>
  <c r="BI530" i="7"/>
  <c r="BQ409" i="7"/>
  <c r="BQ447" i="7"/>
  <c r="BQ323" i="7" s="1"/>
  <c r="BL692" i="7"/>
  <c r="BK698" i="7"/>
  <c r="BO447" i="7"/>
  <c r="BO409" i="7"/>
  <c r="BP504" i="7"/>
  <c r="BK526" i="7" l="1"/>
  <c r="BK527" i="7" s="1"/>
  <c r="BP524" i="7" s="1"/>
  <c r="BJ617" i="7"/>
  <c r="BJ537" i="7"/>
  <c r="BJ538" i="7" s="1"/>
  <c r="BU332" i="7"/>
  <c r="BU336" i="7" s="1"/>
  <c r="BO307" i="7"/>
  <c r="BP307" i="7" s="1"/>
  <c r="BP319" i="7"/>
  <c r="BO323" i="7"/>
  <c r="BP447" i="7"/>
  <c r="BK617" i="7"/>
  <c r="BQ311" i="7"/>
  <c r="BU319" i="7"/>
  <c r="BQ307" i="7"/>
  <c r="BU307" i="7" s="1"/>
  <c r="BR409" i="7"/>
  <c r="BR372" i="7" s="1"/>
  <c r="BR447" i="7"/>
  <c r="BR323" i="7" s="1"/>
  <c r="BR311" i="7" s="1"/>
  <c r="BS447" i="7"/>
  <c r="BS323" i="7" s="1"/>
  <c r="BS311" i="7" s="1"/>
  <c r="BS409" i="7"/>
  <c r="BS372" i="7" s="1"/>
  <c r="BL707" i="7"/>
  <c r="BL711" i="7" s="1"/>
  <c r="BM708" i="7"/>
  <c r="BL712" i="7"/>
  <c r="BI538" i="7"/>
  <c r="BO372" i="7"/>
  <c r="BP372" i="7" s="1"/>
  <c r="BP409" i="7"/>
  <c r="BJ532" i="7"/>
  <c r="BK529" i="7"/>
  <c r="BM692" i="7"/>
  <c r="BQ372" i="7"/>
  <c r="BI533" i="7"/>
  <c r="BJ530" i="7"/>
  <c r="BL721" i="7"/>
  <c r="BM717" i="7"/>
  <c r="BL716" i="7"/>
  <c r="BL525" i="7"/>
  <c r="BL524" i="7" l="1"/>
  <c r="BK537" i="7"/>
  <c r="BK538" i="7"/>
  <c r="BU372" i="7"/>
  <c r="BU409" i="7"/>
  <c r="BM707" i="7"/>
  <c r="BM711" i="7" s="1"/>
  <c r="BN708" i="7"/>
  <c r="BM712" i="7"/>
  <c r="BO311" i="7"/>
  <c r="BP311" i="7" s="1"/>
  <c r="BP323" i="7"/>
  <c r="BM525" i="7"/>
  <c r="BN692" i="7"/>
  <c r="BU323" i="7"/>
  <c r="BL526" i="7"/>
  <c r="BL527" i="7" s="1"/>
  <c r="BM524" i="7" s="1"/>
  <c r="BL720" i="7"/>
  <c r="BJ533" i="7"/>
  <c r="BK530" i="7"/>
  <c r="BN717" i="7"/>
  <c r="BM716" i="7"/>
  <c r="BM721" i="7"/>
  <c r="BU311" i="7"/>
  <c r="BK532" i="7"/>
  <c r="BL529" i="7"/>
  <c r="BL537" i="7" l="1"/>
  <c r="BL538" i="7" s="1"/>
  <c r="BL617" i="7"/>
  <c r="BM720" i="7"/>
  <c r="BM526" i="7"/>
  <c r="BM527" i="7" s="1"/>
  <c r="BN524" i="7" s="1"/>
  <c r="BO692" i="7"/>
  <c r="BN721" i="7"/>
  <c r="BO717" i="7"/>
  <c r="BN716" i="7"/>
  <c r="BN707" i="7"/>
  <c r="BN711" i="7" s="1"/>
  <c r="BN712" i="7"/>
  <c r="BO708" i="7"/>
  <c r="BO525" i="7" s="1"/>
  <c r="BK533" i="7"/>
  <c r="BL530" i="7"/>
  <c r="BN525" i="7"/>
  <c r="BL532" i="7"/>
  <c r="BM529" i="7"/>
  <c r="BP525" i="7" l="1"/>
  <c r="BN720" i="7"/>
  <c r="BN526" i="7"/>
  <c r="BN617" i="7" s="1"/>
  <c r="BO716" i="7"/>
  <c r="BO721" i="7"/>
  <c r="BP717" i="7"/>
  <c r="BM532" i="7"/>
  <c r="BN529" i="7"/>
  <c r="BM617" i="7"/>
  <c r="BL533" i="7"/>
  <c r="BM530" i="7"/>
  <c r="BM537" i="7"/>
  <c r="BO707" i="7"/>
  <c r="BO712" i="7"/>
  <c r="BP708" i="7"/>
  <c r="BP692" i="7"/>
  <c r="BN527" i="7" l="1"/>
  <c r="BO524" i="7" s="1"/>
  <c r="BQ717" i="7"/>
  <c r="BP721" i="7"/>
  <c r="BQ692" i="7"/>
  <c r="BP698" i="7"/>
  <c r="BO526" i="7"/>
  <c r="BP716" i="7"/>
  <c r="BP720" i="7" s="1"/>
  <c r="BO720" i="7"/>
  <c r="BO529" i="7"/>
  <c r="BP712" i="7"/>
  <c r="BQ708" i="7"/>
  <c r="BQ525" i="7" s="1"/>
  <c r="BN537" i="7"/>
  <c r="BN538" i="7" s="1"/>
  <c r="BP707" i="7"/>
  <c r="BP711" i="7" s="1"/>
  <c r="BO711" i="7"/>
  <c r="BN530" i="7"/>
  <c r="BM533" i="7"/>
  <c r="BM538" i="7"/>
  <c r="BO527" i="7" l="1"/>
  <c r="BN532" i="7"/>
  <c r="BR717" i="7"/>
  <c r="BQ721" i="7"/>
  <c r="BQ716" i="7"/>
  <c r="BR708" i="7"/>
  <c r="BQ712" i="7"/>
  <c r="BQ707" i="7"/>
  <c r="BQ711" i="7" s="1"/>
  <c r="BR692" i="7"/>
  <c r="BO617" i="7"/>
  <c r="BP617" i="7" s="1"/>
  <c r="BO537" i="7"/>
  <c r="BP526" i="7"/>
  <c r="BP527" i="7" s="1"/>
  <c r="BQ524" i="7" s="1"/>
  <c r="BP529" i="7"/>
  <c r="BO532" i="7"/>
  <c r="BN533" i="7"/>
  <c r="BO530" i="7"/>
  <c r="BR712" i="7" l="1"/>
  <c r="BR707" i="7"/>
  <c r="BR711" i="7" s="1"/>
  <c r="BS708" i="7"/>
  <c r="BS717" i="7"/>
  <c r="BR721" i="7"/>
  <c r="BR716" i="7"/>
  <c r="BQ720" i="7"/>
  <c r="BQ526" i="7"/>
  <c r="BQ527" i="7" s="1"/>
  <c r="BR524" i="7" s="1"/>
  <c r="BR525" i="7"/>
  <c r="BQ529" i="7"/>
  <c r="BP532" i="7"/>
  <c r="BO538" i="7"/>
  <c r="BP538" i="7" s="1"/>
  <c r="BP537" i="7"/>
  <c r="BS692" i="7"/>
  <c r="BO533" i="7"/>
  <c r="BP530" i="7"/>
  <c r="BQ537" i="7" l="1"/>
  <c r="BQ538" i="7" s="1"/>
  <c r="BQ617" i="7"/>
  <c r="BS721" i="7"/>
  <c r="BS716" i="7"/>
  <c r="BS707" i="7"/>
  <c r="BS711" i="7" s="1"/>
  <c r="BS712" i="7"/>
  <c r="BR529" i="7"/>
  <c r="BQ532" i="7"/>
  <c r="BR526" i="7"/>
  <c r="BR537" i="7" s="1"/>
  <c r="BR538" i="7" s="1"/>
  <c r="BR720" i="7"/>
  <c r="BP533" i="7"/>
  <c r="BQ530" i="7"/>
  <c r="BS525" i="7"/>
  <c r="BR527" i="7" l="1"/>
  <c r="BS524" i="7" s="1"/>
  <c r="BR617" i="7"/>
  <c r="BS526" i="7"/>
  <c r="BS537" i="7" s="1"/>
  <c r="BS538" i="7" s="1"/>
  <c r="BS720" i="7"/>
  <c r="BQ533" i="7"/>
  <c r="BR530" i="7"/>
  <c r="BS529" i="7"/>
  <c r="BR532" i="7"/>
  <c r="BS527" i="7" l="1"/>
  <c r="BS532" i="7" s="1"/>
  <c r="BR533" i="7"/>
  <c r="BS530" i="7"/>
  <c r="BS617" i="7"/>
  <c r="BS533" i="7" l="1"/>
  <c r="BM108" i="20" l="1"/>
  <c r="AD80" i="15"/>
  <c r="AY857" i="7"/>
  <c r="BN101" i="20"/>
  <c r="AY350" i="11" s="1"/>
  <c r="AY351" i="11" s="1"/>
  <c r="AY352" i="11" l="1"/>
  <c r="BN103" i="20"/>
  <c r="BN108" i="20" s="1"/>
  <c r="BN154" i="20"/>
  <c r="BN100" i="20"/>
  <c r="BN153" i="20" l="1"/>
  <c r="BN156" i="20"/>
  <c r="BN161" i="20" s="1"/>
  <c r="AE80" i="15"/>
  <c r="AE82" i="15" s="1"/>
  <c r="AJ21" i="1" s="1"/>
  <c r="AZ857" i="7"/>
  <c r="AZ923" i="7"/>
  <c r="BA923" i="7" s="1"/>
  <c r="AZ929" i="7"/>
  <c r="AZ928" i="7" s="1"/>
  <c r="BO101" i="20"/>
  <c r="AY357" i="11" l="1"/>
  <c r="W602" i="42"/>
  <c r="BO100" i="20"/>
  <c r="BP100" i="20" s="1"/>
  <c r="D10" i="39" s="1"/>
  <c r="AZ350" i="11"/>
  <c r="BO103" i="20"/>
  <c r="BP103" i="20" s="1"/>
  <c r="BP101" i="20"/>
  <c r="D11" i="39" s="1"/>
  <c r="D36" i="39" s="1"/>
  <c r="BA929" i="7"/>
  <c r="AZ29" i="7"/>
  <c r="BA928" i="7"/>
  <c r="W604" i="42" l="1"/>
  <c r="W605" i="42"/>
  <c r="AY356" i="11"/>
  <c r="W653" i="42" s="1"/>
  <c r="AY353" i="11"/>
  <c r="BO108" i="20"/>
  <c r="AZ95" i="7"/>
  <c r="BA95" i="7" s="1"/>
  <c r="BA29" i="7"/>
  <c r="AG80" i="15" s="1"/>
  <c r="AF80" i="15"/>
  <c r="AF82" i="15" s="1"/>
  <c r="AK21" i="1" s="1"/>
  <c r="BP108" i="20"/>
  <c r="D18" i="39" s="1"/>
  <c r="N8" i="39" s="1"/>
  <c r="V9" i="39" s="1"/>
  <c r="D13" i="39"/>
  <c r="BA857" i="7"/>
  <c r="AZ352" i="7" l="1"/>
  <c r="AZ24" i="13"/>
  <c r="AZ906" i="7" s="1"/>
  <c r="AZ22" i="44"/>
  <c r="AZ71" i="44" s="1"/>
  <c r="K20" i="47" s="1"/>
  <c r="X676" i="42" l="1"/>
  <c r="L20" i="47"/>
  <c r="BA22" i="44"/>
  <c r="BA71" i="44"/>
  <c r="BA352" i="7"/>
  <c r="AZ339" i="7"/>
  <c r="BA339" i="7" l="1"/>
  <c r="AZ901" i="7"/>
  <c r="BA901" i="7" l="1"/>
  <c r="AW215" i="14" l="1"/>
  <c r="AW216" i="14" s="1"/>
  <c r="AW218" i="14" s="1"/>
  <c r="Y10" i="18"/>
  <c r="Z10" i="18" s="1"/>
  <c r="AY221" i="14"/>
  <c r="BM280" i="20" l="1"/>
  <c r="BM34" i="20"/>
  <c r="J10" i="18" s="1"/>
  <c r="BA216" i="14"/>
  <c r="AZ221" i="14"/>
  <c r="BA221" i="14" s="1"/>
  <c r="K10" i="18" l="1"/>
  <c r="N10" i="18"/>
  <c r="P10" i="18" s="1"/>
  <c r="L10" i="18"/>
  <c r="BB221" i="14"/>
  <c r="M10" i="18" l="1"/>
  <c r="O10" i="18"/>
  <c r="Q10" i="18" s="1"/>
  <c r="BC221" i="14"/>
  <c r="BD221" i="14" l="1"/>
  <c r="BE221" i="14" l="1"/>
  <c r="BF221" i="14" s="1"/>
  <c r="BF216" i="14" l="1"/>
  <c r="BG221" i="14" l="1"/>
  <c r="BH221" i="14" l="1"/>
  <c r="BI221" i="14" l="1"/>
  <c r="BJ221" i="14" l="1"/>
  <c r="BK221" i="14" s="1"/>
  <c r="BL221" i="14" l="1"/>
  <c r="BM221" i="14" l="1"/>
  <c r="BN221" i="14" l="1"/>
  <c r="BO221" i="14" l="1"/>
  <c r="BP221" i="14" s="1"/>
  <c r="BQ221" i="14" l="1"/>
  <c r="BR221" i="14" l="1"/>
  <c r="BS221" i="14" l="1"/>
  <c r="BT221" i="14" l="1"/>
  <c r="BU221" i="14" s="1"/>
  <c r="BV221" i="14" l="1"/>
  <c r="BW221" i="14" l="1"/>
  <c r="BX221" i="14" l="1"/>
  <c r="BY221" i="14" l="1"/>
  <c r="BZ221" i="14" s="1"/>
  <c r="AC79" i="15"/>
  <c r="AC82" i="15"/>
  <c r="AH21" i="1" s="1"/>
  <c r="AH27" i="1" s="1"/>
  <c r="AW28" i="14"/>
  <c r="AC103" i="15" l="1"/>
  <c r="AC119" i="15" s="1"/>
  <c r="AC120" i="15" s="1"/>
  <c r="AW30" i="14"/>
  <c r="AH30" i="1"/>
  <c r="AH31" i="1" s="1"/>
  <c r="AH36" i="1" s="1"/>
  <c r="AH34" i="1" s="1"/>
  <c r="AC106" i="15"/>
  <c r="AC126" i="15" s="1"/>
  <c r="AH39" i="1" l="1"/>
  <c r="AH40" i="1" s="1"/>
  <c r="BA40" i="14"/>
  <c r="BA46" i="14" s="1"/>
  <c r="AW23" i="43" l="1"/>
  <c r="AW22" i="43" s="1"/>
  <c r="AS533" i="12"/>
  <c r="AR534" i="12"/>
  <c r="R531" i="42" s="1"/>
  <c r="AR542" i="12"/>
  <c r="AR558" i="12"/>
  <c r="AR557" i="12" s="1"/>
  <c r="AR587" i="12" l="1"/>
  <c r="AR586" i="12"/>
  <c r="AR568" i="12"/>
  <c r="AR551" i="12"/>
  <c r="AR543" i="12"/>
  <c r="AS534" i="12"/>
  <c r="AS530" i="12"/>
  <c r="S532" i="42" s="1"/>
  <c r="AS531" i="12"/>
  <c r="S533" i="42" s="1"/>
  <c r="AS532" i="12"/>
  <c r="S534" i="42" s="1"/>
  <c r="AS558" i="12"/>
  <c r="AS568" i="12" s="1"/>
  <c r="AT533" i="12"/>
  <c r="AT534" i="12" s="1"/>
  <c r="AR567" i="12"/>
  <c r="AR550" i="12"/>
  <c r="AT558" i="12" l="1"/>
  <c r="AS557" i="12"/>
  <c r="AS543" i="12"/>
  <c r="S531" i="42"/>
  <c r="T532" i="42" s="1"/>
  <c r="AS551" i="12"/>
  <c r="AT568" i="12"/>
  <c r="AT557" i="12"/>
  <c r="AT567" i="12" s="1"/>
  <c r="AU533" i="12"/>
  <c r="AU534" i="12" s="1"/>
  <c r="AS567" i="12"/>
  <c r="AS550" i="12"/>
  <c r="AT551" i="12"/>
  <c r="AT543" i="12"/>
  <c r="AT550" i="12"/>
  <c r="AU543" i="12" l="1"/>
  <c r="AU558" i="12"/>
  <c r="AU557" i="12" l="1"/>
  <c r="AU568" i="12"/>
  <c r="AT586" i="12"/>
  <c r="AT587" i="12"/>
  <c r="AU551" i="12"/>
  <c r="AU567" i="12" l="1"/>
  <c r="AR585" i="12"/>
  <c r="AS585" i="12" s="1"/>
  <c r="AU550" i="12"/>
  <c r="BK46" i="13"/>
  <c r="BU48" i="13"/>
  <c r="BV48" i="13" s="1"/>
  <c r="AW381" i="7" l="1"/>
  <c r="AW383" i="7" s="1"/>
  <c r="BA372" i="7"/>
  <c r="AW447" i="7"/>
  <c r="AW456" i="7" s="1"/>
  <c r="AW458" i="7" s="1"/>
  <c r="BA458" i="7" s="1"/>
  <c r="AW390" i="7"/>
  <c r="AW465" i="7" s="1"/>
  <c r="AW476" i="7" s="1"/>
  <c r="AX476" i="7" s="1"/>
  <c r="AX477" i="7" l="1"/>
  <c r="AX478" i="7" s="1"/>
  <c r="AY476" i="7"/>
  <c r="AY477" i="7" s="1"/>
  <c r="AY478" i="7" s="1"/>
  <c r="BA447" i="7"/>
  <c r="BA390" i="7"/>
  <c r="AW394" i="7"/>
  <c r="AX388" i="7" s="1"/>
  <c r="AW409" i="7"/>
  <c r="AW477" i="7"/>
  <c r="AW478" i="7" s="1"/>
  <c r="AZ478" i="7" s="1"/>
  <c r="BA465" i="7"/>
  <c r="AW468" i="7"/>
  <c r="AW471" i="7" l="1"/>
  <c r="AX463" i="7" s="1"/>
  <c r="AX468" i="7" s="1"/>
  <c r="AW402" i="7"/>
  <c r="BA409" i="7"/>
  <c r="AW504" i="7"/>
  <c r="AX520" i="7"/>
  <c r="AX608" i="7" s="1"/>
  <c r="AW561" i="7" l="1"/>
  <c r="AW497" i="7"/>
  <c r="AW470" i="7"/>
  <c r="AW403" i="7"/>
  <c r="AW405" i="7"/>
  <c r="AX393" i="7" s="1"/>
  <c r="AX394" i="7" s="1"/>
  <c r="AY388" i="7" s="1"/>
  <c r="BA504" i="7"/>
  <c r="AW511" i="7"/>
  <c r="AX29" i="12"/>
  <c r="AW500" i="7"/>
  <c r="AW498" i="7"/>
  <c r="AW764" i="7"/>
  <c r="AW601" i="7"/>
  <c r="AW766" i="7"/>
  <c r="AW767" i="7" s="1"/>
  <c r="AW768" i="7" s="1"/>
  <c r="AW771" i="7" s="1"/>
  <c r="AZ476" i="7"/>
  <c r="AX471" i="7" l="1"/>
  <c r="AY463" i="7" s="1"/>
  <c r="AX402" i="7"/>
  <c r="AW406" i="7"/>
  <c r="AW414" i="7"/>
  <c r="AW512" i="7"/>
  <c r="AX511" i="7"/>
  <c r="AY511" i="7" s="1"/>
  <c r="AY512" i="7" s="1"/>
  <c r="AW602" i="7"/>
  <c r="BA476" i="7"/>
  <c r="AZ477" i="7"/>
  <c r="AZ479" i="7" s="1"/>
  <c r="AW154" i="7"/>
  <c r="AW155" i="7" s="1"/>
  <c r="AW157" i="7" s="1"/>
  <c r="AW772" i="7"/>
  <c r="AW773" i="7" s="1"/>
  <c r="AW775" i="7" s="1"/>
  <c r="AW501" i="7"/>
  <c r="AW509" i="7"/>
  <c r="AX503" i="7" s="1"/>
  <c r="AX32" i="12"/>
  <c r="AX470" i="7" l="1"/>
  <c r="AX497" i="7"/>
  <c r="AX561" i="7"/>
  <c r="AX601" i="7" s="1"/>
  <c r="AX408" i="7"/>
  <c r="AW413" i="7"/>
  <c r="AX405" i="7"/>
  <c r="AY393" i="7" s="1"/>
  <c r="AX403" i="7"/>
  <c r="AX512" i="7"/>
  <c r="F13" i="16"/>
  <c r="D36" i="17" s="1"/>
  <c r="D113" i="17" s="1"/>
  <c r="AW776" i="7"/>
  <c r="AX764" i="7"/>
  <c r="AX766" i="7"/>
  <c r="AX767" i="7" s="1"/>
  <c r="AX768" i="7" s="1"/>
  <c r="AX771" i="7" s="1"/>
  <c r="BA477" i="7"/>
  <c r="BB476" i="7"/>
  <c r="AW508" i="7"/>
  <c r="AW559" i="7"/>
  <c r="AY29" i="12"/>
  <c r="BA479" i="7"/>
  <c r="AX31" i="12"/>
  <c r="AX30" i="12" s="1"/>
  <c r="AX602" i="7" l="1"/>
  <c r="AX500" i="7"/>
  <c r="AX498" i="7"/>
  <c r="AX406" i="7"/>
  <c r="AX414" i="7"/>
  <c r="AZ511" i="7"/>
  <c r="AX163" i="7"/>
  <c r="BA478" i="7"/>
  <c r="BB478" i="7" s="1"/>
  <c r="BC478" i="7" s="1"/>
  <c r="BD478" i="7" s="1"/>
  <c r="BE478" i="7" s="1"/>
  <c r="AZ466" i="7"/>
  <c r="BA466" i="7" s="1"/>
  <c r="AW594" i="7"/>
  <c r="AW560" i="7"/>
  <c r="BB477" i="7"/>
  <c r="BC476" i="7"/>
  <c r="AX154" i="7"/>
  <c r="AX155" i="7" s="1"/>
  <c r="AX157" i="7" s="1"/>
  <c r="AX772" i="7"/>
  <c r="AX773" i="7" s="1"/>
  <c r="AX775" i="7" s="1"/>
  <c r="AX413" i="7" l="1"/>
  <c r="AY408" i="7"/>
  <c r="AX509" i="7"/>
  <c r="AY503" i="7" s="1"/>
  <c r="AX501" i="7"/>
  <c r="AW620" i="7"/>
  <c r="AX618" i="7"/>
  <c r="AZ512" i="7"/>
  <c r="BA511" i="7"/>
  <c r="AX776" i="7"/>
  <c r="F10" i="16"/>
  <c r="D37" i="17" s="1"/>
  <c r="D114" i="17" s="1"/>
  <c r="AZ391" i="7"/>
  <c r="BA391" i="7" s="1"/>
  <c r="BC477" i="7"/>
  <c r="BC479" i="7" s="1"/>
  <c r="BD476" i="7"/>
  <c r="AZ482" i="7"/>
  <c r="BB479" i="7"/>
  <c r="AW552" i="7"/>
  <c r="AX540" i="7" s="1"/>
  <c r="AX541" i="7" s="1"/>
  <c r="AX544" i="7" s="1"/>
  <c r="AY535" i="7" s="1"/>
  <c r="AW554" i="7"/>
  <c r="AW562" i="7"/>
  <c r="AW596" i="7"/>
  <c r="AW39" i="12" s="1"/>
  <c r="AW38" i="12" s="1"/>
  <c r="AW597" i="7"/>
  <c r="AX166" i="7"/>
  <c r="AY536" i="7" l="1"/>
  <c r="AW622" i="7"/>
  <c r="AW624" i="7" s="1"/>
  <c r="AX616" i="7"/>
  <c r="AW619" i="7"/>
  <c r="AX508" i="7"/>
  <c r="AX559" i="7"/>
  <c r="BB511" i="7"/>
  <c r="BA512" i="7"/>
  <c r="AX164" i="7"/>
  <c r="AW566" i="7"/>
  <c r="AW607" i="7"/>
  <c r="BD477" i="7"/>
  <c r="BD479" i="7" s="1"/>
  <c r="BE476" i="7"/>
  <c r="AX179" i="7"/>
  <c r="AX181" i="7" s="1"/>
  <c r="AZ483" i="7"/>
  <c r="AZ485" i="7" s="1"/>
  <c r="BA485" i="7" s="1"/>
  <c r="BA482" i="7"/>
  <c r="AW627" i="7" l="1"/>
  <c r="BB512" i="7"/>
  <c r="BC511" i="7"/>
  <c r="BF476" i="7"/>
  <c r="BE477" i="7"/>
  <c r="BE479" i="7" s="1"/>
  <c r="BA483" i="7"/>
  <c r="BA484" i="7" s="1"/>
  <c r="BB484" i="7" s="1"/>
  <c r="BC484" i="7" s="1"/>
  <c r="BD484" i="7" s="1"/>
  <c r="BE484" i="7" s="1"/>
  <c r="AX185" i="7"/>
  <c r="AX168" i="7"/>
  <c r="AW606" i="7"/>
  <c r="AW672" i="7" s="1"/>
  <c r="AW609" i="7"/>
  <c r="AW670" i="7"/>
  <c r="AW671" i="7"/>
  <c r="AW675" i="7" s="1"/>
  <c r="AW676" i="7" s="1"/>
  <c r="AX594" i="7"/>
  <c r="AX313" i="7"/>
  <c r="AX314" i="7" s="1"/>
  <c r="AW673" i="7" l="1"/>
  <c r="BC512" i="7"/>
  <c r="BD511" i="7"/>
  <c r="AX172" i="7"/>
  <c r="BF477" i="7"/>
  <c r="BG476" i="7"/>
  <c r="BF479" i="7"/>
  <c r="BE511" i="7" l="1"/>
  <c r="BD512" i="7"/>
  <c r="BG477" i="7"/>
  <c r="BH476" i="7"/>
  <c r="BF478" i="7"/>
  <c r="BG478" i="7" s="1"/>
  <c r="BH478" i="7" s="1"/>
  <c r="BI478" i="7" s="1"/>
  <c r="BJ478" i="7" s="1"/>
  <c r="AX270" i="7"/>
  <c r="AX250" i="7" s="1"/>
  <c r="AX558" i="7" s="1"/>
  <c r="BF511" i="7" l="1"/>
  <c r="BE512" i="7"/>
  <c r="AX271" i="7"/>
  <c r="BH477" i="7"/>
  <c r="BH479" i="7" s="1"/>
  <c r="BI476" i="7"/>
  <c r="BG479" i="7"/>
  <c r="AX560" i="7" l="1"/>
  <c r="AX605" i="7"/>
  <c r="BF512" i="7"/>
  <c r="BG511" i="7"/>
  <c r="AX593" i="7"/>
  <c r="AX611" i="7" s="1"/>
  <c r="BI477" i="7"/>
  <c r="BI479" i="7" s="1"/>
  <c r="BJ476" i="7"/>
  <c r="AX562" i="7" l="1"/>
  <c r="AX620" i="7"/>
  <c r="AY616" i="7" s="1"/>
  <c r="BG512" i="7"/>
  <c r="BH511" i="7"/>
  <c r="AX554" i="7"/>
  <c r="AX552" i="7"/>
  <c r="BJ477" i="7"/>
  <c r="BJ479" i="7" s="1"/>
  <c r="BK476" i="7"/>
  <c r="AX596" i="7"/>
  <c r="AX39" i="12" s="1"/>
  <c r="AX597" i="7"/>
  <c r="AX15" i="44" s="1"/>
  <c r="AX35" i="44" s="1"/>
  <c r="AX38" i="12" l="1"/>
  <c r="AX607" i="7"/>
  <c r="AX566" i="7"/>
  <c r="AX622" i="7"/>
  <c r="AX624" i="7" s="1"/>
  <c r="AX627" i="7" s="1"/>
  <c r="AX619" i="7"/>
  <c r="BH512" i="7"/>
  <c r="BI511" i="7"/>
  <c r="BL476" i="7"/>
  <c r="BK477" i="7"/>
  <c r="BA15" i="44"/>
  <c r="AX57" i="44"/>
  <c r="AX82" i="44" s="1"/>
  <c r="BK479" i="7"/>
  <c r="AX671" i="7" l="1"/>
  <c r="AX670" i="7"/>
  <c r="I30" i="47"/>
  <c r="I31" i="47" s="1"/>
  <c r="AX609" i="7"/>
  <c r="AX606" i="7"/>
  <c r="AX672" i="7" s="1"/>
  <c r="BI512" i="7"/>
  <c r="BJ511" i="7"/>
  <c r="BA57" i="44"/>
  <c r="I9" i="47"/>
  <c r="AX37" i="44"/>
  <c r="AY12" i="44"/>
  <c r="BL477" i="7"/>
  <c r="BM476" i="7"/>
  <c r="BK478" i="7"/>
  <c r="BL478" i="7" s="1"/>
  <c r="BM478" i="7" s="1"/>
  <c r="BN478" i="7" s="1"/>
  <c r="BO478" i="7" s="1"/>
  <c r="I32" i="47" l="1"/>
  <c r="AX673" i="7"/>
  <c r="AX675" i="7"/>
  <c r="AX676" i="7" s="1"/>
  <c r="BK511" i="7"/>
  <c r="BJ512" i="7"/>
  <c r="BL479" i="7"/>
  <c r="AX84" i="44"/>
  <c r="AY54" i="44"/>
  <c r="L9" i="47"/>
  <c r="BM477" i="7"/>
  <c r="BM479" i="7" s="1"/>
  <c r="BN476" i="7"/>
  <c r="I34" i="47" l="1"/>
  <c r="AY80" i="44"/>
  <c r="J28" i="47" s="1"/>
  <c r="BL511" i="7"/>
  <c r="BK512" i="7"/>
  <c r="BN477" i="7"/>
  <c r="BN479" i="7" s="1"/>
  <c r="BO476" i="7"/>
  <c r="BM284" i="20"/>
  <c r="BM303" i="20" s="1"/>
  <c r="BM84" i="20"/>
  <c r="J6" i="47"/>
  <c r="BL512" i="7" l="1"/>
  <c r="BM511" i="7"/>
  <c r="AZ288" i="11"/>
  <c r="BP476" i="7"/>
  <c r="BP477" i="7" s="1"/>
  <c r="BO477" i="7"/>
  <c r="BO479" i="7" s="1"/>
  <c r="BM512" i="7" l="1"/>
  <c r="BN511" i="7"/>
  <c r="AY317" i="11"/>
  <c r="BP479" i="7"/>
  <c r="BN512" i="7" l="1"/>
  <c r="BO511" i="7"/>
  <c r="BP478" i="7"/>
  <c r="AY55" i="44"/>
  <c r="AY13" i="44"/>
  <c r="BO512" i="7" l="1"/>
  <c r="BP511" i="7"/>
  <c r="J7" i="47"/>
  <c r="BP512" i="7" l="1"/>
  <c r="BQ511" i="7"/>
  <c r="BR511" i="7" l="1"/>
  <c r="BQ512" i="7"/>
  <c r="BR512" i="7" l="1"/>
  <c r="BS511" i="7"/>
  <c r="BS512" i="7" s="1"/>
  <c r="AY21" i="44" l="1"/>
  <c r="BA21" i="44" s="1"/>
  <c r="AY347" i="7"/>
  <c r="AY338" i="7" s="1"/>
  <c r="AY492" i="7"/>
  <c r="AY70" i="44" l="1"/>
  <c r="AY467" i="7"/>
  <c r="AY487" i="7" s="1"/>
  <c r="AY488" i="7" s="1"/>
  <c r="AY489" i="7" s="1"/>
  <c r="BA70" i="44"/>
  <c r="AY608" i="7"/>
  <c r="AY392" i="7" l="1"/>
  <c r="AY468" i="7"/>
  <c r="AY313" i="7"/>
  <c r="AY314" i="7" s="1"/>
  <c r="AY412" i="7" l="1"/>
  <c r="AY507" i="7" s="1"/>
  <c r="AY394" i="7"/>
  <c r="AZ388" i="7" s="1"/>
  <c r="AY540" i="7" l="1"/>
  <c r="AY541" i="7" s="1"/>
  <c r="AY544" i="7" s="1"/>
  <c r="AZ535" i="7" s="1"/>
  <c r="AY618" i="7"/>
  <c r="AY471" i="7"/>
  <c r="AY402" i="7"/>
  <c r="BN84" i="20"/>
  <c r="BN88" i="20" s="1"/>
  <c r="E21" i="46"/>
  <c r="E21" i="56"/>
  <c r="BN257" i="20"/>
  <c r="BN284" i="20" s="1"/>
  <c r="BN303" i="20" s="1"/>
  <c r="AZ536" i="7"/>
  <c r="BA536" i="7" s="1"/>
  <c r="AY497" i="7" l="1"/>
  <c r="AY498" i="7" s="1"/>
  <c r="AY509" i="7" s="1"/>
  <c r="AY561" i="7"/>
  <c r="AY601" i="7" s="1"/>
  <c r="AY602" i="7" s="1"/>
  <c r="AZ602" i="7" s="1"/>
  <c r="AY405" i="7"/>
  <c r="AY403" i="7"/>
  <c r="AY470" i="7"/>
  <c r="AZ463" i="7"/>
  <c r="AZ464" i="7"/>
  <c r="D21" i="46"/>
  <c r="D21" i="56"/>
  <c r="G21" i="46"/>
  <c r="C21" i="56"/>
  <c r="G21" i="56" s="1"/>
  <c r="AY559" i="7" l="1"/>
  <c r="AY594" i="7" s="1"/>
  <c r="AY508" i="7"/>
  <c r="BA508" i="7" s="1"/>
  <c r="AY766" i="7"/>
  <c r="AY767" i="7" s="1"/>
  <c r="AY768" i="7" s="1"/>
  <c r="AY771" i="7" s="1"/>
  <c r="AY764" i="7"/>
  <c r="AY772" i="7" s="1"/>
  <c r="BA464" i="7"/>
  <c r="AZ29" i="12"/>
  <c r="AZ389" i="7"/>
  <c r="AZ449" i="7"/>
  <c r="BA449" i="7" s="1"/>
  <c r="AY414" i="7"/>
  <c r="AY413" i="7" s="1"/>
  <c r="AY406" i="7"/>
  <c r="F21" i="46"/>
  <c r="B21" i="56"/>
  <c r="F21" i="56" s="1"/>
  <c r="I21" i="56" s="1"/>
  <c r="BM17" i="20"/>
  <c r="B15" i="46" s="1"/>
  <c r="BA389" i="7" l="1"/>
  <c r="AZ374" i="7"/>
  <c r="BA374" i="7" s="1"/>
  <c r="AY773" i="7"/>
  <c r="AY775" i="7" s="1"/>
  <c r="AY776" i="7" s="1"/>
  <c r="BM22" i="20"/>
  <c r="BM323" i="20" l="1"/>
  <c r="B20" i="46"/>
  <c r="B22" i="46" s="1"/>
  <c r="BM325" i="20"/>
  <c r="BM321" i="20"/>
  <c r="BM330" i="20" s="1"/>
  <c r="BM322" i="20"/>
  <c r="BM331" i="20" s="1"/>
  <c r="BM324" i="20"/>
  <c r="BM326" i="20"/>
  <c r="BM37" i="20"/>
  <c r="E32" i="3" s="1"/>
  <c r="J32" i="3" s="1"/>
  <c r="BM327" i="20"/>
  <c r="BM33" i="20"/>
  <c r="BM46" i="20" s="1"/>
  <c r="BM47" i="20" s="1"/>
  <c r="BM41" i="20" l="1"/>
  <c r="BM35" i="20"/>
  <c r="F10" i="18"/>
  <c r="R10" i="18" l="1"/>
  <c r="T10" i="18" s="1"/>
  <c r="J37" i="17" s="1"/>
  <c r="G10" i="18"/>
  <c r="H10" i="18"/>
  <c r="I37" i="17" s="1"/>
  <c r="D32" i="3" s="1"/>
  <c r="I32" i="3" s="1"/>
  <c r="BM42" i="20"/>
  <c r="AX169" i="44"/>
  <c r="C32" i="3"/>
  <c r="H32" i="3" s="1"/>
  <c r="I10" i="18" l="1"/>
  <c r="S10" i="18"/>
  <c r="U10" i="18" s="1"/>
  <c r="BM301" i="20"/>
  <c r="BM304" i="20" s="1"/>
  <c r="BM307" i="20" s="1"/>
  <c r="BM308" i="20" s="1"/>
  <c r="BM312" i="20" s="1"/>
  <c r="BM315" i="20" s="1"/>
  <c r="BM316" i="20" s="1"/>
  <c r="BM335" i="20"/>
  <c r="BM333" i="20"/>
  <c r="AX15" i="7" l="1"/>
  <c r="AX21" i="7" s="1"/>
  <c r="AY21" i="7" l="1"/>
  <c r="AY15" i="7" s="1"/>
  <c r="AX22" i="7"/>
  <c r="AX25" i="7"/>
  <c r="AD72" i="15" s="1"/>
  <c r="AX90" i="7"/>
  <c r="AX93" i="7" s="1"/>
  <c r="AY90" i="7" l="1"/>
  <c r="AY93" i="7" s="1"/>
  <c r="AY13" i="7"/>
  <c r="AY88" i="7" s="1"/>
  <c r="AI25" i="1"/>
  <c r="AX34" i="7"/>
  <c r="AX100" i="7" l="1"/>
  <c r="AX36" i="7"/>
  <c r="AD104" i="15"/>
  <c r="AX74" i="7" l="1"/>
  <c r="AI14" i="1" l="1"/>
  <c r="AI19" i="1" s="1"/>
  <c r="AD74" i="15" s="1"/>
  <c r="AD73" i="15" s="1"/>
  <c r="AX137" i="7"/>
  <c r="AX76" i="7"/>
  <c r="AX139" i="7" l="1"/>
  <c r="AX11" i="13"/>
  <c r="AX144" i="13" s="1"/>
  <c r="AX156" i="13" s="1"/>
  <c r="AX887" i="7" l="1"/>
  <c r="AX888" i="7"/>
  <c r="AX275" i="7"/>
  <c r="AX278" i="7" s="1"/>
  <c r="AX245" i="7" s="1"/>
  <c r="AX247" i="7" s="1"/>
  <c r="AX4" i="13"/>
  <c r="AX5" i="13" s="1"/>
  <c r="AX20" i="13"/>
  <c r="AX12" i="13"/>
  <c r="AX253" i="7" l="1"/>
  <c r="AX892" i="7"/>
  <c r="AX850" i="7"/>
  <c r="AX28" i="13"/>
  <c r="AX893" i="7"/>
  <c r="AX909" i="7"/>
  <c r="AX937" i="7"/>
  <c r="AX915" i="7"/>
  <c r="AX919" i="7" l="1"/>
  <c r="AX916" i="7"/>
  <c r="H10" i="16"/>
  <c r="F37" i="17" s="1"/>
  <c r="F114" i="17" s="1"/>
  <c r="AX913" i="7"/>
  <c r="AX910" i="7"/>
  <c r="AX934" i="7"/>
  <c r="AX935" i="7" s="1"/>
  <c r="AX938" i="7" s="1"/>
  <c r="AX933" i="7"/>
  <c r="AX29" i="13"/>
  <c r="AX31" i="13"/>
  <c r="AX36" i="13"/>
  <c r="AX37" i="13" s="1"/>
  <c r="AX121" i="7"/>
  <c r="AX280" i="7"/>
  <c r="AX939" i="7" l="1"/>
  <c r="AK699" i="42"/>
  <c r="AX842" i="7"/>
  <c r="AX257" i="7"/>
  <c r="AX259" i="7" s="1"/>
  <c r="AX852" i="7"/>
  <c r="AX854" i="7" s="1"/>
  <c r="AX843" i="7"/>
  <c r="AX858" i="7"/>
  <c r="AX859" i="7" s="1"/>
  <c r="AX862" i="7" s="1"/>
  <c r="AX864" i="7" s="1"/>
  <c r="AZ864" i="7" s="1"/>
  <c r="BA864" i="7" s="1"/>
  <c r="BB864" i="7" s="1"/>
  <c r="BC864" i="7" s="1"/>
  <c r="BD864" i="7" s="1"/>
  <c r="BE864" i="7" s="1"/>
  <c r="BF864" i="7" s="1"/>
  <c r="BG864" i="7" s="1"/>
  <c r="BH864" i="7" s="1"/>
  <c r="BI864" i="7" s="1"/>
  <c r="BJ864" i="7" s="1"/>
  <c r="BK864" i="7" s="1"/>
  <c r="BL864" i="7" s="1"/>
  <c r="BM864" i="7" s="1"/>
  <c r="BN864" i="7" s="1"/>
  <c r="BO864" i="7" s="1"/>
  <c r="BP864" i="7" s="1"/>
  <c r="BQ864" i="7" s="1"/>
  <c r="BR864" i="7" s="1"/>
  <c r="BS864" i="7" s="1"/>
  <c r="BT864" i="7" s="1"/>
  <c r="BU864" i="7" s="1"/>
  <c r="BV864" i="7" s="1"/>
  <c r="BW864" i="7" s="1"/>
  <c r="BX864" i="7" s="1"/>
  <c r="BY864" i="7" s="1"/>
  <c r="BZ864" i="7" s="1"/>
  <c r="AX940" i="7"/>
  <c r="AX945" i="7" s="1"/>
  <c r="AX282" i="7"/>
  <c r="H114" i="17"/>
  <c r="AX942" i="7" l="1"/>
  <c r="AX943" i="7" s="1"/>
  <c r="AX283" i="7"/>
  <c r="AX251" i="7"/>
  <c r="AX254" i="7" s="1"/>
  <c r="I10" i="16"/>
  <c r="G37" i="17" s="1"/>
  <c r="G114" i="17" s="1"/>
  <c r="AX946" i="7"/>
  <c r="AW7" i="13"/>
  <c r="BL233" i="20" s="1"/>
  <c r="AW8" i="13" l="1"/>
  <c r="BL234" i="20" s="1"/>
  <c r="BL152" i="20"/>
  <c r="U601" i="42" s="1"/>
  <c r="U605" i="42" s="1"/>
  <c r="BL57" i="20" l="1"/>
  <c r="BL341" i="20" s="1"/>
  <c r="BL153" i="20"/>
  <c r="BL197" i="20"/>
  <c r="BL347" i="20" l="1"/>
  <c r="BL346" i="20"/>
  <c r="BL231" i="20"/>
  <c r="BL58" i="20"/>
  <c r="BL242" i="20"/>
  <c r="BL13" i="20"/>
  <c r="BL332" i="20" l="1"/>
  <c r="BL334" i="20"/>
  <c r="BL14" i="20"/>
  <c r="BL229" i="20"/>
  <c r="BL230" i="20"/>
  <c r="BL198" i="20" l="1"/>
  <c r="BL243" i="20" s="1"/>
  <c r="BL336" i="20"/>
  <c r="BL199" i="20" l="1"/>
  <c r="BL201" i="20" s="1"/>
  <c r="BL206" i="20" s="1"/>
  <c r="BL207" i="20" s="1"/>
  <c r="BL244" i="20" l="1"/>
  <c r="BL276" i="20" s="1"/>
  <c r="BL278" i="20" s="1"/>
  <c r="BL282" i="20" s="1"/>
  <c r="BL285" i="20" s="1"/>
  <c r="BL288" i="20" s="1"/>
  <c r="BL289" i="20" s="1"/>
  <c r="BL293" i="20" s="1"/>
  <c r="BL296" i="20" s="1"/>
  <c r="BL246" i="20" l="1"/>
  <c r="BL251" i="20" s="1"/>
  <c r="BL252" i="20" s="1"/>
  <c r="BL297" i="20"/>
  <c r="BL295" i="20"/>
  <c r="BL259" i="20" l="1"/>
  <c r="BL265" i="20" s="1"/>
  <c r="BL269" i="20" s="1"/>
  <c r="BL260" i="20"/>
  <c r="BL266" i="20" s="1"/>
  <c r="AX7" i="13"/>
  <c r="BM233" i="20" s="1"/>
  <c r="BM229" i="20" l="1"/>
  <c r="BN233" i="20"/>
  <c r="BO233" i="20" s="1"/>
  <c r="BP233" i="20" s="1"/>
  <c r="AX8" i="13"/>
  <c r="BM234" i="20" s="1"/>
  <c r="BM230" i="20" l="1"/>
  <c r="BM198" i="20" s="1"/>
  <c r="BN234" i="20"/>
  <c r="BO234" i="20" s="1"/>
  <c r="BP234" i="20" s="1"/>
  <c r="BM199" i="20" l="1"/>
  <c r="BM243" i="20"/>
  <c r="BM244" i="20" l="1"/>
  <c r="BM246" i="20" s="1"/>
  <c r="BM251" i="20" s="1"/>
  <c r="BM201" i="20"/>
  <c r="BM206" i="20" s="1"/>
  <c r="BM207" i="20" s="1"/>
  <c r="BM259" i="20" l="1"/>
  <c r="BM260" i="20" s="1"/>
  <c r="BM252" i="20"/>
  <c r="AW33" i="43" l="1"/>
  <c r="AW32" i="43"/>
  <c r="BL85" i="20"/>
  <c r="BM85" i="20"/>
  <c r="BM89" i="20" s="1"/>
  <c r="AX33" i="43" l="1"/>
  <c r="BM281" i="20" l="1"/>
  <c r="BM13" i="20"/>
  <c r="B11" i="46" s="1"/>
  <c r="BM334" i="20" l="1"/>
  <c r="BM332" i="20"/>
  <c r="BM14" i="20"/>
  <c r="B12" i="46" s="1"/>
  <c r="BM336" i="20" l="1"/>
  <c r="BM276" i="20"/>
  <c r="AZ29" i="43"/>
  <c r="AZ31" i="43" s="1"/>
  <c r="AZ143" i="13"/>
  <c r="X627" i="42" s="1"/>
  <c r="X630" i="42" s="1"/>
  <c r="AY29" i="43"/>
  <c r="BA141" i="13"/>
  <c r="BJ43" i="13" l="1"/>
  <c r="G58" i="62"/>
  <c r="E19" i="46"/>
  <c r="AY31" i="43"/>
  <c r="BA143" i="13"/>
  <c r="BA29" i="43"/>
  <c r="BA31" i="43" s="1"/>
  <c r="BO152" i="20"/>
  <c r="X601" i="42" s="1"/>
  <c r="BC145" i="13" l="1"/>
  <c r="BD145" i="13"/>
  <c r="C19" i="56"/>
  <c r="G19" i="46"/>
  <c r="BK43" i="13"/>
  <c r="BQ44" i="13" s="1"/>
  <c r="BU43" i="13"/>
  <c r="BV43" i="13" s="1"/>
  <c r="BJ52" i="13"/>
  <c r="AY144" i="13"/>
  <c r="AY156" i="13" s="1"/>
  <c r="AZ156" i="13" s="1"/>
  <c r="BN57" i="20"/>
  <c r="BN341" i="20" s="1"/>
  <c r="BN205" i="20"/>
  <c r="BN250" i="20" s="1"/>
  <c r="BN281" i="20" s="1"/>
  <c r="BP152" i="20"/>
  <c r="E9" i="39" s="1"/>
  <c r="BO57" i="20"/>
  <c r="BO341" i="20" s="1"/>
  <c r="BP355" i="20" s="1"/>
  <c r="BP356" i="20" s="1"/>
  <c r="BO197" i="20"/>
  <c r="E19" i="56"/>
  <c r="G19" i="56" s="1"/>
  <c r="D19" i="46"/>
  <c r="BE145" i="13" l="1"/>
  <c r="AC627" i="42"/>
  <c r="AC630" i="42" s="1"/>
  <c r="AC631" i="42" s="1"/>
  <c r="BB145" i="13"/>
  <c r="BB31" i="43"/>
  <c r="BQ152" i="20" s="1"/>
  <c r="Z627" i="42"/>
  <c r="Z630" i="42" s="1"/>
  <c r="Z631" i="42" s="1"/>
  <c r="BA156" i="13"/>
  <c r="BB156" i="13" s="1"/>
  <c r="BC156" i="13" s="1"/>
  <c r="BD156" i="13" s="1"/>
  <c r="BE156" i="13" s="1"/>
  <c r="BF156" i="13" s="1"/>
  <c r="AZ157" i="13"/>
  <c r="BO348" i="20"/>
  <c r="B19" i="56"/>
  <c r="F19" i="46"/>
  <c r="BK52" i="13"/>
  <c r="BJ53" i="13"/>
  <c r="BU51" i="13"/>
  <c r="AY20" i="13"/>
  <c r="AY18" i="13" s="1"/>
  <c r="AY4" i="13"/>
  <c r="AY5" i="13" s="1"/>
  <c r="BN197" i="20"/>
  <c r="BN242" i="20" s="1"/>
  <c r="E11" i="46"/>
  <c r="AY888" i="7"/>
  <c r="AY7" i="13"/>
  <c r="AY8" i="13"/>
  <c r="D35" i="52"/>
  <c r="D19" i="56"/>
  <c r="BO242" i="20"/>
  <c r="BP242" i="20" s="1"/>
  <c r="I9" i="39" s="1"/>
  <c r="BP197" i="20"/>
  <c r="H9" i="39" s="1"/>
  <c r="F9" i="39" s="1"/>
  <c r="BO13" i="20"/>
  <c r="BP57" i="20"/>
  <c r="C9" i="39" s="1"/>
  <c r="Z601" i="42" l="1"/>
  <c r="BQ57" i="20"/>
  <c r="BQ13" i="20" s="1"/>
  <c r="BC31" i="43"/>
  <c r="BR152" i="20" s="1"/>
  <c r="BR57" i="20" s="1"/>
  <c r="BR13" i="20" s="1"/>
  <c r="AA627" i="42"/>
  <c r="AA630" i="42" s="1"/>
  <c r="BB157" i="13"/>
  <c r="BB176" i="13" s="1"/>
  <c r="BB18" i="13" s="1"/>
  <c r="BC157" i="13"/>
  <c r="BC176" i="13" s="1"/>
  <c r="BA157" i="13"/>
  <c r="AZ176" i="13"/>
  <c r="AZ11" i="13" s="1"/>
  <c r="BA11" i="13" s="1"/>
  <c r="F19" i="56"/>
  <c r="I19" i="56" s="1"/>
  <c r="C11" i="56"/>
  <c r="G11" i="46"/>
  <c r="BV51" i="13"/>
  <c r="BU52" i="13"/>
  <c r="BV52" i="13" s="1"/>
  <c r="BJ54" i="13"/>
  <c r="BK53" i="13"/>
  <c r="E11" i="56"/>
  <c r="G11" i="56" s="1"/>
  <c r="BN13" i="20"/>
  <c r="D63" i="52"/>
  <c r="F63" i="52" s="1"/>
  <c r="F80" i="52" s="1"/>
  <c r="F35" i="52"/>
  <c r="AY275" i="7"/>
  <c r="AY278" i="7" s="1"/>
  <c r="AY245" i="7" s="1"/>
  <c r="AY856" i="7"/>
  <c r="BP13" i="20"/>
  <c r="AA601" i="42" l="1"/>
  <c r="BD31" i="43"/>
  <c r="BS152" i="20" s="1"/>
  <c r="BS57" i="20" s="1"/>
  <c r="BS13" i="20" s="1"/>
  <c r="AB627" i="42"/>
  <c r="AB630" i="42" s="1"/>
  <c r="AA631" i="42"/>
  <c r="BD157" i="13"/>
  <c r="BD176" i="13" s="1"/>
  <c r="BA176" i="13"/>
  <c r="D11" i="56"/>
  <c r="D11" i="46"/>
  <c r="J14" i="53"/>
  <c r="L42" i="63"/>
  <c r="BL52" i="13"/>
  <c r="BL45" i="13"/>
  <c r="BL44" i="13"/>
  <c r="BL50" i="13"/>
  <c r="BL49" i="13"/>
  <c r="BL51" i="13"/>
  <c r="BL43" i="13"/>
  <c r="BL47" i="13"/>
  <c r="BL48" i="13"/>
  <c r="BL46" i="13"/>
  <c r="AY937" i="7"/>
  <c r="AY909" i="7"/>
  <c r="AY915" i="7"/>
  <c r="F52" i="52"/>
  <c r="G52" i="52" s="1"/>
  <c r="G35" i="52"/>
  <c r="F82" i="52"/>
  <c r="F87" i="52" s="1"/>
  <c r="F85" i="52"/>
  <c r="AY850" i="7"/>
  <c r="AY28" i="13"/>
  <c r="J15" i="53" l="1"/>
  <c r="L15" i="53" s="1"/>
  <c r="L14" i="53"/>
  <c r="AB601" i="42"/>
  <c r="BE31" i="43"/>
  <c r="BT152" i="20" s="1"/>
  <c r="AB631" i="42"/>
  <c r="BF143" i="13"/>
  <c r="BF145" i="13" s="1"/>
  <c r="BE157" i="13"/>
  <c r="BE176" i="13" s="1"/>
  <c r="AZ20" i="13"/>
  <c r="AZ18" i="13" s="1"/>
  <c r="BA18" i="13" s="1"/>
  <c r="AZ144" i="13"/>
  <c r="F11" i="46"/>
  <c r="B11" i="56"/>
  <c r="F11" i="56" s="1"/>
  <c r="I11" i="56" s="1"/>
  <c r="K34" i="63"/>
  <c r="J34" i="63"/>
  <c r="I34" i="63"/>
  <c r="H34" i="63"/>
  <c r="F34" i="63"/>
  <c r="E34" i="63"/>
  <c r="G34" i="63"/>
  <c r="L37" i="63"/>
  <c r="F86" i="52"/>
  <c r="AY916" i="7"/>
  <c r="H7" i="16"/>
  <c r="F40" i="17" s="1"/>
  <c r="F115" i="17" s="1"/>
  <c r="AY919" i="7"/>
  <c r="AY121" i="7"/>
  <c r="AY280" i="7"/>
  <c r="AY910" i="7"/>
  <c r="AY913" i="7"/>
  <c r="AY29" i="13"/>
  <c r="AY36" i="13"/>
  <c r="AY31" i="13"/>
  <c r="BF31" i="43" l="1"/>
  <c r="BU152" i="20"/>
  <c r="BT57" i="20"/>
  <c r="AY257" i="7"/>
  <c r="AY842" i="7"/>
  <c r="AY843" i="7" s="1"/>
  <c r="AZ28" i="13"/>
  <c r="AZ36" i="13" s="1"/>
  <c r="AZ37" i="13" s="1"/>
  <c r="BF176" i="13"/>
  <c r="BF157" i="13"/>
  <c r="L39" i="63"/>
  <c r="L43" i="63" s="1"/>
  <c r="J37" i="63"/>
  <c r="J42" i="63"/>
  <c r="G37" i="63"/>
  <c r="G42" i="63"/>
  <c r="E37" i="63"/>
  <c r="E42" i="63"/>
  <c r="F37" i="63"/>
  <c r="F42" i="63"/>
  <c r="H37" i="63"/>
  <c r="H42" i="63"/>
  <c r="I37" i="63"/>
  <c r="I42" i="63"/>
  <c r="K37" i="63"/>
  <c r="K42" i="63"/>
  <c r="AY37" i="13"/>
  <c r="AY282" i="7"/>
  <c r="AY251" i="7" s="1"/>
  <c r="BA28" i="13" l="1"/>
  <c r="AZ31" i="13"/>
  <c r="AZ891" i="7"/>
  <c r="AZ892" i="7" s="1"/>
  <c r="AZ29" i="13"/>
  <c r="BU57" i="20"/>
  <c r="F11" i="53" s="1"/>
  <c r="BT13" i="20"/>
  <c r="BU13" i="20" s="1"/>
  <c r="BA36" i="13"/>
  <c r="BA37" i="13"/>
  <c r="L44" i="63"/>
  <c r="L47" i="63" s="1"/>
  <c r="K39" i="63"/>
  <c r="K43" i="63" s="1"/>
  <c r="H39" i="63"/>
  <c r="H43" i="63" s="1"/>
  <c r="E39" i="63"/>
  <c r="E48" i="63"/>
  <c r="E49" i="63" s="1"/>
  <c r="F39" i="63"/>
  <c r="L48" i="63"/>
  <c r="I39" i="63"/>
  <c r="I43" i="63" s="1"/>
  <c r="G39" i="63"/>
  <c r="G43" i="63" s="1"/>
  <c r="G44" i="63" s="1"/>
  <c r="J39" i="63"/>
  <c r="J43" i="63" s="1"/>
  <c r="L45" i="63"/>
  <c r="L46" i="63" s="1"/>
  <c r="AY852" i="7"/>
  <c r="AY854" i="7" s="1"/>
  <c r="AY858" i="7"/>
  <c r="AY859" i="7" s="1"/>
  <c r="AY862" i="7" s="1"/>
  <c r="AY865" i="7" s="1"/>
  <c r="E13" i="46" s="1"/>
  <c r="AY283" i="7"/>
  <c r="AZ118" i="7"/>
  <c r="AZ893" i="7"/>
  <c r="BA891" i="7"/>
  <c r="BA31" i="13"/>
  <c r="BA29" i="13"/>
  <c r="AZ850" i="7" l="1"/>
  <c r="F14" i="53"/>
  <c r="G11" i="53"/>
  <c r="H44" i="63"/>
  <c r="H48" i="63" s="1"/>
  <c r="I44" i="63"/>
  <c r="I47" i="63" s="1"/>
  <c r="G47" i="63"/>
  <c r="H47" i="63"/>
  <c r="K44" i="63"/>
  <c r="K45" i="63" s="1"/>
  <c r="K46" i="63" s="1"/>
  <c r="J44" i="63"/>
  <c r="J48" i="63" s="1"/>
  <c r="G13" i="46"/>
  <c r="C13" i="56"/>
  <c r="I45" i="63"/>
  <c r="I46" i="63" s="1"/>
  <c r="H49" i="63"/>
  <c r="H50" i="63"/>
  <c r="K48" i="63"/>
  <c r="G45" i="63"/>
  <c r="G46" i="63" s="1"/>
  <c r="L49" i="63"/>
  <c r="L50" i="63"/>
  <c r="H45" i="63"/>
  <c r="H46" i="63" s="1"/>
  <c r="I48" i="63"/>
  <c r="F43" i="63"/>
  <c r="F44" i="63" s="1"/>
  <c r="G48" i="63"/>
  <c r="E44" i="63"/>
  <c r="E43" i="63"/>
  <c r="BA850" i="7"/>
  <c r="BA121" i="7" s="1"/>
  <c r="BA893" i="7"/>
  <c r="BA892" i="7"/>
  <c r="AZ58" i="7"/>
  <c r="AZ134" i="7"/>
  <c r="BA118" i="7"/>
  <c r="AZ121" i="7"/>
  <c r="AZ119" i="7" s="1"/>
  <c r="AZ280" i="7"/>
  <c r="G14" i="53" l="1"/>
  <c r="F15" i="53"/>
  <c r="G15" i="53" s="1"/>
  <c r="K47" i="63"/>
  <c r="E45" i="63"/>
  <c r="E46" i="63" s="1"/>
  <c r="J47" i="63"/>
  <c r="J45" i="63"/>
  <c r="J46" i="63" s="1"/>
  <c r="F47" i="63"/>
  <c r="J49" i="63"/>
  <c r="J50" i="63"/>
  <c r="I49" i="63"/>
  <c r="I50" i="63"/>
  <c r="K49" i="63"/>
  <c r="K50" i="63"/>
  <c r="G49" i="63"/>
  <c r="G50" i="63"/>
  <c r="F45" i="63"/>
  <c r="F46" i="63" s="1"/>
  <c r="F48" i="63"/>
  <c r="AZ71" i="7"/>
  <c r="BA58" i="7"/>
  <c r="AZ59" i="7"/>
  <c r="BA119" i="7"/>
  <c r="BA134" i="7"/>
  <c r="E13" i="56"/>
  <c r="G13" i="56" s="1"/>
  <c r="AZ842" i="7"/>
  <c r="AZ257" i="7"/>
  <c r="BA280" i="7"/>
  <c r="BN58" i="20"/>
  <c r="E12" i="46" s="1"/>
  <c r="BN231" i="20"/>
  <c r="D13" i="56" l="1"/>
  <c r="D13" i="46"/>
  <c r="C12" i="56"/>
  <c r="G12" i="46"/>
  <c r="F49" i="63"/>
  <c r="F50" i="63"/>
  <c r="AZ229" i="7"/>
  <c r="AZ858" i="7"/>
  <c r="AZ843" i="7"/>
  <c r="AZ852" i="7"/>
  <c r="AZ854" i="7" s="1"/>
  <c r="BA59" i="7"/>
  <c r="BA71" i="7"/>
  <c r="BN229" i="20"/>
  <c r="BN230" i="20"/>
  <c r="E12" i="56"/>
  <c r="G12" i="56" s="1"/>
  <c r="BN14" i="20"/>
  <c r="BA842" i="7"/>
  <c r="BA257" i="7"/>
  <c r="D12" i="56" l="1"/>
  <c r="D12" i="46"/>
  <c r="B13" i="56"/>
  <c r="F13" i="56" s="1"/>
  <c r="I13" i="56" s="1"/>
  <c r="F13" i="46"/>
  <c r="BN198" i="20"/>
  <c r="BN199" i="20" s="1"/>
  <c r="BN244" i="20" s="1"/>
  <c r="BN276" i="20" s="1"/>
  <c r="BA852" i="7"/>
  <c r="BA854" i="7" s="1"/>
  <c r="BA858" i="7"/>
  <c r="BA843" i="7"/>
  <c r="BA229" i="7"/>
  <c r="AZ212" i="7"/>
  <c r="B12" i="56" l="1"/>
  <c r="F12" i="46"/>
  <c r="F12" i="56"/>
  <c r="I12" i="56" s="1"/>
  <c r="BN243" i="20"/>
  <c r="BA212" i="7"/>
  <c r="AX32" i="43" l="1"/>
  <c r="BM275" i="20" l="1"/>
  <c r="BM278" i="20" s="1"/>
  <c r="BM282" i="20" s="1"/>
  <c r="BM285" i="20" s="1"/>
  <c r="BM288" i="20" s="1"/>
  <c r="BM289" i="20" s="1"/>
  <c r="BM293" i="20" s="1"/>
  <c r="BM296" i="20" s="1"/>
  <c r="BM297" i="20" s="1"/>
  <c r="BM295" i="20" l="1"/>
  <c r="BM265" i="20"/>
  <c r="BM269" i="20" s="1"/>
  <c r="BM266" i="20"/>
  <c r="BA20" i="13" l="1"/>
  <c r="BB19" i="13" l="1"/>
  <c r="BB22" i="44" s="1"/>
  <c r="BB28" i="13"/>
  <c r="AZ886" i="7"/>
  <c r="BB71" i="44" l="1"/>
  <c r="M20" i="47" s="1"/>
  <c r="Z676" i="42" s="1"/>
  <c r="BB20" i="13"/>
  <c r="BB11" i="13" s="1"/>
  <c r="BB144" i="13" s="1"/>
  <c r="BB23" i="13"/>
  <c r="BB16" i="13"/>
  <c r="BC18" i="13" s="1"/>
  <c r="BA144" i="13"/>
  <c r="BB29" i="13"/>
  <c r="BB31" i="13"/>
  <c r="BB891" i="7"/>
  <c r="AZ888" i="7"/>
  <c r="AZ856" i="7"/>
  <c r="AZ859" i="7" s="1"/>
  <c r="AZ862" i="7" s="1"/>
  <c r="AZ865" i="7" s="1"/>
  <c r="BO154" i="20" s="1"/>
  <c r="BO59" i="20" s="1"/>
  <c r="BA886" i="7"/>
  <c r="AZ275" i="7"/>
  <c r="AZ278" i="7" s="1"/>
  <c r="BB352" i="7"/>
  <c r="BB24" i="13"/>
  <c r="BC28" i="13" l="1"/>
  <c r="BC29" i="13" s="1"/>
  <c r="AZ282" i="7"/>
  <c r="AZ245" i="7"/>
  <c r="BA856" i="7"/>
  <c r="BA859" i="7" s="1"/>
  <c r="BA862" i="7" s="1"/>
  <c r="BA865" i="7" s="1"/>
  <c r="BA275" i="7"/>
  <c r="BA278" i="7" s="1"/>
  <c r="BA934" i="7"/>
  <c r="BA935" i="7" s="1"/>
  <c r="BB906" i="7"/>
  <c r="BB339" i="7"/>
  <c r="BA888" i="7"/>
  <c r="AZ915" i="7"/>
  <c r="H4" i="16" s="1"/>
  <c r="F41" i="17" s="1"/>
  <c r="F116" i="17" s="1"/>
  <c r="H116" i="17" s="1"/>
  <c r="AZ909" i="7"/>
  <c r="AZ937" i="7"/>
  <c r="BO153" i="20"/>
  <c r="BP154" i="20"/>
  <c r="E11" i="39" s="1"/>
  <c r="BC19" i="13"/>
  <c r="BB886" i="7"/>
  <c r="BB893" i="7"/>
  <c r="BB892" i="7"/>
  <c r="BB118" i="7"/>
  <c r="BB850" i="7"/>
  <c r="BC31" i="13" l="1"/>
  <c r="BC891" i="7"/>
  <c r="BC118" i="7" s="1"/>
  <c r="BC16" i="13"/>
  <c r="BD18" i="13" s="1"/>
  <c r="BC22" i="44"/>
  <c r="BC71" i="44" s="1"/>
  <c r="N20" i="47" s="1"/>
  <c r="AA676" i="42" s="1"/>
  <c r="BC23" i="13"/>
  <c r="BC20" i="13"/>
  <c r="BC11" i="13" s="1"/>
  <c r="BB901" i="7"/>
  <c r="BB134" i="7"/>
  <c r="BB58" i="7"/>
  <c r="BA245" i="7"/>
  <c r="BA282" i="7"/>
  <c r="BB888" i="7"/>
  <c r="BB856" i="7"/>
  <c r="BB275" i="7"/>
  <c r="BB278" i="7" s="1"/>
  <c r="AZ251" i="7"/>
  <c r="AZ283" i="7"/>
  <c r="BC24" i="13"/>
  <c r="BC352" i="7"/>
  <c r="E36" i="39"/>
  <c r="BA909" i="7"/>
  <c r="AZ913" i="7"/>
  <c r="AZ910" i="7"/>
  <c r="BC893" i="7"/>
  <c r="BB121" i="7"/>
  <c r="BB119" i="7" s="1"/>
  <c r="BB280" i="7"/>
  <c r="BO15" i="20"/>
  <c r="BP59" i="20"/>
  <c r="C11" i="39" s="1"/>
  <c r="BO231" i="20"/>
  <c r="BO58" i="20"/>
  <c r="BP153" i="20"/>
  <c r="E10" i="39" s="1"/>
  <c r="AZ916" i="7"/>
  <c r="AZ919" i="7"/>
  <c r="BA915" i="7"/>
  <c r="BC892" i="7" l="1"/>
  <c r="BC850" i="7"/>
  <c r="BD28" i="13"/>
  <c r="BC339" i="7"/>
  <c r="BA910" i="7"/>
  <c r="BA913" i="7"/>
  <c r="BB909" i="7"/>
  <c r="BP231" i="20"/>
  <c r="BO230" i="20"/>
  <c r="BP230" i="20" s="1"/>
  <c r="BO229" i="20"/>
  <c r="BC134" i="7"/>
  <c r="BC58" i="7"/>
  <c r="BC71" i="7" s="1"/>
  <c r="BB282" i="7"/>
  <c r="BB245" i="7"/>
  <c r="BB937" i="7"/>
  <c r="C34" i="39"/>
  <c r="C36" i="39"/>
  <c r="BC906" i="7"/>
  <c r="BC901" i="7" s="1"/>
  <c r="BB923" i="7"/>
  <c r="BB929" i="7"/>
  <c r="BA919" i="7"/>
  <c r="BA916" i="7"/>
  <c r="BB915" i="7"/>
  <c r="BC144" i="13"/>
  <c r="BA283" i="7"/>
  <c r="BA251" i="7"/>
  <c r="BO14" i="20"/>
  <c r="BP14" i="20" s="1"/>
  <c r="BP58" i="20"/>
  <c r="C10" i="39" s="1"/>
  <c r="BB71" i="7"/>
  <c r="BP15" i="20"/>
  <c r="BB59" i="7"/>
  <c r="BC121" i="7"/>
  <c r="BC119" i="7" s="1"/>
  <c r="BC59" i="7" s="1"/>
  <c r="BC280" i="7"/>
  <c r="BB257" i="7"/>
  <c r="BB842" i="7"/>
  <c r="E43" i="39"/>
  <c r="C35" i="39" l="1"/>
  <c r="BB928" i="7"/>
  <c r="BB229" i="7"/>
  <c r="BC886" i="7"/>
  <c r="BC842" i="7"/>
  <c r="BC257" i="7"/>
  <c r="BB251" i="7"/>
  <c r="BB283" i="7"/>
  <c r="BB852" i="7"/>
  <c r="BB854" i="7" s="1"/>
  <c r="BB858" i="7"/>
  <c r="BB859" i="7" s="1"/>
  <c r="BB862" i="7" s="1"/>
  <c r="BB865" i="7" s="1"/>
  <c r="BQ154" i="20" s="1"/>
  <c r="BB843" i="7"/>
  <c r="BB919" i="7"/>
  <c r="BB916" i="7"/>
  <c r="BP229" i="20"/>
  <c r="BO198" i="20"/>
  <c r="BB913" i="7"/>
  <c r="BB910" i="7"/>
  <c r="BD19" i="13"/>
  <c r="BQ153" i="20" l="1"/>
  <c r="BQ58" i="20" s="1"/>
  <c r="BQ14" i="20" s="1"/>
  <c r="BQ59" i="20"/>
  <c r="BQ15" i="20" s="1"/>
  <c r="BD16" i="13"/>
  <c r="BE18" i="13" s="1"/>
  <c r="BD22" i="44"/>
  <c r="BD71" i="44" s="1"/>
  <c r="O20" i="47" s="1"/>
  <c r="AB676" i="42" s="1"/>
  <c r="BD23" i="13"/>
  <c r="BO199" i="20"/>
  <c r="BP198" i="20"/>
  <c r="H10" i="39" s="1"/>
  <c r="F10" i="39" s="1"/>
  <c r="BO243" i="20"/>
  <c r="BP243" i="20" s="1"/>
  <c r="I10" i="39" s="1"/>
  <c r="BC229" i="7"/>
  <c r="BC858" i="7"/>
  <c r="BC852" i="7"/>
  <c r="BC854" i="7" s="1"/>
  <c r="BC843" i="7"/>
  <c r="BC888" i="7"/>
  <c r="BC856" i="7"/>
  <c r="BC275" i="7"/>
  <c r="BC278" i="7" s="1"/>
  <c r="BB212" i="7"/>
  <c r="BD31" i="13"/>
  <c r="BD891" i="7"/>
  <c r="BD29" i="13"/>
  <c r="BB29" i="7"/>
  <c r="BD352" i="7"/>
  <c r="BD24" i="13"/>
  <c r="BD20" i="13"/>
  <c r="BD11" i="13" s="1"/>
  <c r="BD118" i="7" l="1"/>
  <c r="BD892" i="7"/>
  <c r="BD893" i="7"/>
  <c r="BD850" i="7"/>
  <c r="BC282" i="7"/>
  <c r="BC245" i="7"/>
  <c r="BD144" i="13"/>
  <c r="BD906" i="7"/>
  <c r="BC212" i="7"/>
  <c r="BD339" i="7"/>
  <c r="BC857" i="7"/>
  <c r="BC859" i="7" s="1"/>
  <c r="BC862" i="7" s="1"/>
  <c r="BC865" i="7" s="1"/>
  <c r="BR154" i="20" s="1"/>
  <c r="BC923" i="7"/>
  <c r="BC929" i="7"/>
  <c r="AH80" i="15"/>
  <c r="AH82" i="15" s="1"/>
  <c r="AM21" i="1" s="1"/>
  <c r="BB95" i="7"/>
  <c r="BO244" i="20"/>
  <c r="BP199" i="20"/>
  <c r="H11" i="39" s="1"/>
  <c r="BC937" i="7"/>
  <c r="BC909" i="7"/>
  <c r="BC915" i="7"/>
  <c r="BR59" i="20" l="1"/>
  <c r="BR15" i="20" s="1"/>
  <c r="BR153" i="20"/>
  <c r="BR58" i="20" s="1"/>
  <c r="BR14" i="20" s="1"/>
  <c r="BC251" i="7"/>
  <c r="BC283" i="7"/>
  <c r="BP244" i="20"/>
  <c r="BO276" i="20"/>
  <c r="F11" i="39"/>
  <c r="H36" i="39"/>
  <c r="F36" i="39" s="1"/>
  <c r="BC928" i="7"/>
  <c r="BD901" i="7"/>
  <c r="BD134" i="7"/>
  <c r="BD58" i="7"/>
  <c r="BC913" i="7"/>
  <c r="BC910" i="7"/>
  <c r="BD886" i="7"/>
  <c r="BD121" i="7"/>
  <c r="BD119" i="7" s="1"/>
  <c r="BD280" i="7"/>
  <c r="BE19" i="13"/>
  <c r="BE22" i="44" s="1"/>
  <c r="BE71" i="44" s="1"/>
  <c r="BF18" i="13"/>
  <c r="BE28" i="13"/>
  <c r="BC916" i="7"/>
  <c r="BC919" i="7"/>
  <c r="BF71" i="44" l="1"/>
  <c r="P20" i="47"/>
  <c r="BF22" i="44"/>
  <c r="BE23" i="13"/>
  <c r="BE16" i="13"/>
  <c r="BE20" i="13"/>
  <c r="BE11" i="13" s="1"/>
  <c r="BE144" i="13" s="1"/>
  <c r="BD888" i="7"/>
  <c r="BD275" i="7"/>
  <c r="BD278" i="7" s="1"/>
  <c r="BD856" i="7"/>
  <c r="BE31" i="13"/>
  <c r="BE29" i="13"/>
  <c r="BE891" i="7"/>
  <c r="BF28" i="13"/>
  <c r="BE24" i="13"/>
  <c r="BE352" i="7"/>
  <c r="BP276" i="20"/>
  <c r="I11" i="39"/>
  <c r="I36" i="39" s="1"/>
  <c r="BD257" i="7"/>
  <c r="BD842" i="7"/>
  <c r="BC29" i="7"/>
  <c r="BD59" i="7"/>
  <c r="BD71" i="7"/>
  <c r="Q20" i="47" l="1"/>
  <c r="AC676" i="42"/>
  <c r="BF20" i="13"/>
  <c r="BG18" i="13" s="1"/>
  <c r="BG19" i="13" s="1"/>
  <c r="BG20" i="13" s="1"/>
  <c r="BG11" i="13" s="1"/>
  <c r="BF11" i="13"/>
  <c r="BF144" i="13" s="1"/>
  <c r="BE886" i="7"/>
  <c r="BF891" i="7"/>
  <c r="BE850" i="7"/>
  <c r="BE118" i="7"/>
  <c r="BE892" i="7"/>
  <c r="BE893" i="7"/>
  <c r="BD843" i="7"/>
  <c r="BD852" i="7"/>
  <c r="BD854" i="7" s="1"/>
  <c r="BD858" i="7"/>
  <c r="BE339" i="7"/>
  <c r="BF352" i="7"/>
  <c r="AI80" i="15"/>
  <c r="AI82" i="15" s="1"/>
  <c r="AN21" i="1" s="1"/>
  <c r="BC95" i="7"/>
  <c r="BD229" i="7"/>
  <c r="BE906" i="7"/>
  <c r="BD245" i="7"/>
  <c r="BD282" i="7"/>
  <c r="BD923" i="7"/>
  <c r="BD857" i="7"/>
  <c r="BD929" i="7"/>
  <c r="BF31" i="13"/>
  <c r="BF29" i="13"/>
  <c r="BD937" i="7"/>
  <c r="BD909" i="7"/>
  <c r="BD915" i="7"/>
  <c r="BG28" i="13" l="1"/>
  <c r="BD859" i="7"/>
  <c r="BD862" i="7" s="1"/>
  <c r="BD865" i="7" s="1"/>
  <c r="BS154" i="20" s="1"/>
  <c r="BH18" i="13"/>
  <c r="BD283" i="7"/>
  <c r="BD251" i="7"/>
  <c r="BE121" i="7"/>
  <c r="BE119" i="7" s="1"/>
  <c r="BE280" i="7"/>
  <c r="BF893" i="7"/>
  <c r="BF850" i="7"/>
  <c r="BF121" i="7" s="1"/>
  <c r="BF892" i="7"/>
  <c r="BD212" i="7"/>
  <c r="BE134" i="7"/>
  <c r="BE58" i="7"/>
  <c r="BF118" i="7"/>
  <c r="BG29" i="13"/>
  <c r="BG31" i="13"/>
  <c r="BG891" i="7"/>
  <c r="BD928" i="7"/>
  <c r="BF339" i="7"/>
  <c r="BD910" i="7"/>
  <c r="BD913" i="7"/>
  <c r="BE901" i="7"/>
  <c r="BG24" i="13"/>
  <c r="BG352" i="7"/>
  <c r="BE888" i="7"/>
  <c r="BE909" i="7" s="1"/>
  <c r="BF886" i="7"/>
  <c r="BF934" i="7" s="1"/>
  <c r="BF935" i="7" s="1"/>
  <c r="BE856" i="7"/>
  <c r="BE275" i="7"/>
  <c r="BE278" i="7" s="1"/>
  <c r="BD916" i="7"/>
  <c r="BD919" i="7"/>
  <c r="BH28" i="13" l="1"/>
  <c r="BS153" i="20"/>
  <c r="BS58" i="20" s="1"/>
  <c r="BS14" i="20" s="1"/>
  <c r="BS59" i="20"/>
  <c r="BS15" i="20" s="1"/>
  <c r="BE910" i="7"/>
  <c r="BE913" i="7"/>
  <c r="BF909" i="7"/>
  <c r="BE857" i="7"/>
  <c r="BE923" i="7"/>
  <c r="BF923" i="7" s="1"/>
  <c r="BE929" i="7"/>
  <c r="BF275" i="7"/>
  <c r="BF278" i="7" s="1"/>
  <c r="BF856" i="7"/>
  <c r="BE257" i="7"/>
  <c r="BE842" i="7"/>
  <c r="BF280" i="7"/>
  <c r="BD29" i="7"/>
  <c r="BE937" i="7"/>
  <c r="BF888" i="7"/>
  <c r="BG893" i="7"/>
  <c r="BG850" i="7"/>
  <c r="BG118" i="7"/>
  <c r="BG892" i="7"/>
  <c r="BG339" i="7"/>
  <c r="BG906" i="7"/>
  <c r="BE71" i="7"/>
  <c r="BF58" i="7"/>
  <c r="BH891" i="7"/>
  <c r="BH31" i="13"/>
  <c r="BH29" i="13"/>
  <c r="BE59" i="7"/>
  <c r="BF119" i="7"/>
  <c r="BF134" i="7"/>
  <c r="BH19" i="13"/>
  <c r="BF901" i="7"/>
  <c r="BE915" i="7"/>
  <c r="BE282" i="7"/>
  <c r="BE245" i="7"/>
  <c r="BG886" i="7"/>
  <c r="BG134" i="7" l="1"/>
  <c r="BG58" i="7"/>
  <c r="BG888" i="7"/>
  <c r="BG909" i="7" s="1"/>
  <c r="BG856" i="7"/>
  <c r="BG275" i="7"/>
  <c r="BG278" i="7" s="1"/>
  <c r="BE251" i="7"/>
  <c r="BE283" i="7"/>
  <c r="BE916" i="7"/>
  <c r="BE919" i="7"/>
  <c r="BF915" i="7"/>
  <c r="BF857" i="7"/>
  <c r="BH893" i="7"/>
  <c r="BH892" i="7"/>
  <c r="BH118" i="7"/>
  <c r="BH850" i="7"/>
  <c r="BF282" i="7"/>
  <c r="BF245" i="7"/>
  <c r="BE229" i="7"/>
  <c r="BG121" i="7"/>
  <c r="BG119" i="7" s="1"/>
  <c r="BG280" i="7"/>
  <c r="BH24" i="13"/>
  <c r="BH352" i="7"/>
  <c r="BF71" i="7"/>
  <c r="BF913" i="7"/>
  <c r="BF910" i="7"/>
  <c r="BF59" i="7"/>
  <c r="BD95" i="7"/>
  <c r="AJ80" i="15"/>
  <c r="AJ82" i="15" s="1"/>
  <c r="AO21" i="1" s="1"/>
  <c r="BE928" i="7"/>
  <c r="BF929" i="7"/>
  <c r="BF257" i="7"/>
  <c r="BF842" i="7"/>
  <c r="BG901" i="7"/>
  <c r="BH20" i="13"/>
  <c r="BE852" i="7"/>
  <c r="BE854" i="7" s="1"/>
  <c r="BE858" i="7"/>
  <c r="BE859" i="7" s="1"/>
  <c r="BE862" i="7" s="1"/>
  <c r="BE865" i="7" s="1"/>
  <c r="BT154" i="20" s="1"/>
  <c r="BE843" i="7"/>
  <c r="BU154" i="20" l="1"/>
  <c r="BT153" i="20"/>
  <c r="BT59" i="20"/>
  <c r="BG59" i="7"/>
  <c r="BI18" i="13"/>
  <c r="BH11" i="13"/>
  <c r="BG910" i="7"/>
  <c r="BG913" i="7"/>
  <c r="BF251" i="7"/>
  <c r="BF283" i="7"/>
  <c r="BG842" i="7"/>
  <c r="BG257" i="7"/>
  <c r="BG71" i="7"/>
  <c r="BG282" i="7"/>
  <c r="BG245" i="7"/>
  <c r="BG857" i="7"/>
  <c r="BG923" i="7"/>
  <c r="BG937" i="7"/>
  <c r="BH121" i="7"/>
  <c r="BH119" i="7" s="1"/>
  <c r="BH59" i="7" s="1"/>
  <c r="BH280" i="7"/>
  <c r="BH58" i="7"/>
  <c r="BH71" i="7" s="1"/>
  <c r="BH134" i="7"/>
  <c r="BH339" i="7"/>
  <c r="BH906" i="7"/>
  <c r="BE212" i="7"/>
  <c r="BF852" i="7"/>
  <c r="BF854" i="7" s="1"/>
  <c r="BF843" i="7"/>
  <c r="BF858" i="7"/>
  <c r="BF859" i="7" s="1"/>
  <c r="BF862" i="7" s="1"/>
  <c r="BF865" i="7" s="1"/>
  <c r="BF229" i="7"/>
  <c r="BG929" i="7"/>
  <c r="BE29" i="7"/>
  <c r="BF928" i="7"/>
  <c r="BF919" i="7"/>
  <c r="BF916" i="7"/>
  <c r="BG915" i="7"/>
  <c r="BU59" i="20" l="1"/>
  <c r="BT15" i="20"/>
  <c r="BT58" i="20"/>
  <c r="BU153" i="20"/>
  <c r="BH842" i="7"/>
  <c r="BH257" i="7"/>
  <c r="BG251" i="7"/>
  <c r="BG283" i="7"/>
  <c r="BG852" i="7"/>
  <c r="BG854" i="7" s="1"/>
  <c r="BG843" i="7"/>
  <c r="BG858" i="7"/>
  <c r="BG859" i="7" s="1"/>
  <c r="BG862" i="7" s="1"/>
  <c r="BG865" i="7" s="1"/>
  <c r="BG928" i="7"/>
  <c r="BH901" i="7"/>
  <c r="BI19" i="13"/>
  <c r="BI20" i="13" s="1"/>
  <c r="BI28" i="13"/>
  <c r="BF212" i="7"/>
  <c r="BG919" i="7"/>
  <c r="BG916" i="7"/>
  <c r="BH886" i="7"/>
  <c r="AK80" i="15"/>
  <c r="AK82" i="15" s="1"/>
  <c r="AP21" i="1" s="1"/>
  <c r="BE95" i="7"/>
  <c r="BF95" i="7" s="1"/>
  <c r="BF29" i="7"/>
  <c r="AL80" i="15" s="1"/>
  <c r="AL82" i="15" s="1"/>
  <c r="AQ21" i="1" s="1"/>
  <c r="BG229" i="7"/>
  <c r="BU15" i="20" l="1"/>
  <c r="BU58" i="20"/>
  <c r="BT14" i="20"/>
  <c r="BU14" i="20" s="1"/>
  <c r="BI29" i="13"/>
  <c r="BI31" i="13"/>
  <c r="BI891" i="7"/>
  <c r="BI11" i="13"/>
  <c r="BJ18" i="13"/>
  <c r="BH888" i="7"/>
  <c r="BH856" i="7"/>
  <c r="BH275" i="7"/>
  <c r="BH278" i="7" s="1"/>
  <c r="BH229" i="7"/>
  <c r="BG29" i="7"/>
  <c r="BI352" i="7"/>
  <c r="BI24" i="13"/>
  <c r="BH852" i="7"/>
  <c r="BH854" i="7" s="1"/>
  <c r="BH843" i="7"/>
  <c r="BH858" i="7"/>
  <c r="BG212" i="7"/>
  <c r="BJ19" i="13" l="1"/>
  <c r="BJ20" i="13" s="1"/>
  <c r="BK18" i="13"/>
  <c r="BG95" i="7"/>
  <c r="AM80" i="15"/>
  <c r="AM82" i="15" s="1"/>
  <c r="AR21" i="1" s="1"/>
  <c r="BI892" i="7"/>
  <c r="BI850" i="7"/>
  <c r="BI893" i="7"/>
  <c r="BI118" i="7"/>
  <c r="BH937" i="7"/>
  <c r="BH909" i="7"/>
  <c r="BH915" i="7"/>
  <c r="BH923" i="7"/>
  <c r="BH857" i="7"/>
  <c r="BH859" i="7" s="1"/>
  <c r="BH862" i="7" s="1"/>
  <c r="BH865" i="7" s="1"/>
  <c r="BH929" i="7"/>
  <c r="BI906" i="7"/>
  <c r="BH212" i="7"/>
  <c r="BJ28" i="13"/>
  <c r="BI886" i="7"/>
  <c r="BI339" i="7"/>
  <c r="BH245" i="7"/>
  <c r="BH282" i="7"/>
  <c r="BJ29" i="13" l="1"/>
  <c r="BJ31" i="13"/>
  <c r="BK28" i="13"/>
  <c r="BJ891" i="7"/>
  <c r="BI134" i="7"/>
  <c r="BI58" i="7"/>
  <c r="BH910" i="7"/>
  <c r="BH913" i="7"/>
  <c r="BK20" i="13"/>
  <c r="BL18" i="13" s="1"/>
  <c r="BJ11" i="13"/>
  <c r="BH919" i="7"/>
  <c r="BH916" i="7"/>
  <c r="BI901" i="7"/>
  <c r="BH928" i="7"/>
  <c r="BI275" i="7"/>
  <c r="BI278" i="7" s="1"/>
  <c r="BI856" i="7"/>
  <c r="BI888" i="7"/>
  <c r="BI909" i="7" s="1"/>
  <c r="BI121" i="7"/>
  <c r="BI119" i="7" s="1"/>
  <c r="BI280" i="7"/>
  <c r="BH283" i="7"/>
  <c r="BH251" i="7"/>
  <c r="BJ24" i="13"/>
  <c r="BJ352" i="7"/>
  <c r="BI913" i="7" l="1"/>
  <c r="BI910" i="7"/>
  <c r="BJ339" i="7"/>
  <c r="BK352" i="7"/>
  <c r="BJ906" i="7"/>
  <c r="BJ901" i="7" s="1"/>
  <c r="BH29" i="7"/>
  <c r="BK11" i="13"/>
  <c r="BJ886" i="7"/>
  <c r="BI857" i="7"/>
  <c r="BI923" i="7"/>
  <c r="BI929" i="7"/>
  <c r="BI937" i="7"/>
  <c r="BI71" i="7"/>
  <c r="BL19" i="13"/>
  <c r="BL20" i="13" s="1"/>
  <c r="BI282" i="7"/>
  <c r="BI245" i="7"/>
  <c r="BJ892" i="7"/>
  <c r="BJ850" i="7"/>
  <c r="BJ893" i="7"/>
  <c r="BK891" i="7"/>
  <c r="BJ118" i="7"/>
  <c r="BI915" i="7"/>
  <c r="BK31" i="13"/>
  <c r="BK29" i="13"/>
  <c r="BL28" i="13"/>
  <c r="BI842" i="7"/>
  <c r="BI257" i="7"/>
  <c r="BI59" i="7"/>
  <c r="BL31" i="13" l="1"/>
  <c r="BL29" i="13"/>
  <c r="BL891" i="7"/>
  <c r="BI251" i="7"/>
  <c r="BI283" i="7"/>
  <c r="BK339" i="7"/>
  <c r="BJ888" i="7"/>
  <c r="BJ915" i="7" s="1"/>
  <c r="BK886" i="7"/>
  <c r="BK934" i="7" s="1"/>
  <c r="BK935" i="7" s="1"/>
  <c r="BJ856" i="7"/>
  <c r="BJ275" i="7"/>
  <c r="BJ278" i="7" s="1"/>
  <c r="BK893" i="7"/>
  <c r="BK850" i="7"/>
  <c r="BK121" i="7" s="1"/>
  <c r="BK892" i="7"/>
  <c r="BI928" i="7"/>
  <c r="BI919" i="7"/>
  <c r="BI916" i="7"/>
  <c r="BJ134" i="7"/>
  <c r="BJ58" i="7"/>
  <c r="BK118" i="7"/>
  <c r="AN80" i="15"/>
  <c r="AN82" i="15" s="1"/>
  <c r="AS21" i="1" s="1"/>
  <c r="BH95" i="7"/>
  <c r="BJ121" i="7"/>
  <c r="BJ119" i="7" s="1"/>
  <c r="BJ280" i="7"/>
  <c r="BI229" i="7"/>
  <c r="BK901" i="7"/>
  <c r="BM18" i="13"/>
  <c r="BM28" i="13" s="1"/>
  <c r="BL11" i="13"/>
  <c r="BL352" i="7"/>
  <c r="BL24" i="13"/>
  <c r="BI852" i="7"/>
  <c r="BI854" i="7" s="1"/>
  <c r="BI858" i="7"/>
  <c r="BI859" i="7" s="1"/>
  <c r="BI862" i="7" s="1"/>
  <c r="BI865" i="7" s="1"/>
  <c r="BI843" i="7"/>
  <c r="BJ71" i="7" l="1"/>
  <c r="BK58" i="7"/>
  <c r="BK134" i="7"/>
  <c r="BJ919" i="7"/>
  <c r="BJ916" i="7"/>
  <c r="BK915" i="7"/>
  <c r="BJ923" i="7"/>
  <c r="BK923" i="7" s="1"/>
  <c r="BJ857" i="7"/>
  <c r="BJ929" i="7"/>
  <c r="BI212" i="7"/>
  <c r="BL906" i="7"/>
  <c r="BL901" i="7" s="1"/>
  <c r="BJ937" i="7"/>
  <c r="BJ909" i="7"/>
  <c r="BK888" i="7"/>
  <c r="BL339" i="7"/>
  <c r="BM19" i="13"/>
  <c r="BM20" i="13" s="1"/>
  <c r="BI29" i="7"/>
  <c r="BM29" i="13"/>
  <c r="BM891" i="7"/>
  <c r="BM31" i="13"/>
  <c r="BL892" i="7"/>
  <c r="BL850" i="7"/>
  <c r="BL893" i="7"/>
  <c r="BL118" i="7"/>
  <c r="BK280" i="7"/>
  <c r="BJ257" i="7"/>
  <c r="BJ842" i="7"/>
  <c r="BL886" i="7"/>
  <c r="BJ59" i="7"/>
  <c r="BK119" i="7"/>
  <c r="BJ282" i="7"/>
  <c r="BJ245" i="7"/>
  <c r="BK856" i="7"/>
  <c r="BK275" i="7"/>
  <c r="BK278" i="7" s="1"/>
  <c r="BK282" i="7" l="1"/>
  <c r="BK245" i="7"/>
  <c r="BM893" i="7"/>
  <c r="BM118" i="7"/>
  <c r="BM892" i="7"/>
  <c r="BM850" i="7"/>
  <c r="BJ251" i="7"/>
  <c r="BJ283" i="7"/>
  <c r="BM11" i="13"/>
  <c r="BN18" i="13"/>
  <c r="BL134" i="7"/>
  <c r="BL58" i="7"/>
  <c r="BL280" i="7"/>
  <c r="BL121" i="7"/>
  <c r="BL119" i="7" s="1"/>
  <c r="BK857" i="7"/>
  <c r="BI95" i="7"/>
  <c r="AO80" i="15"/>
  <c r="AO82" i="15" s="1"/>
  <c r="AT21" i="1" s="1"/>
  <c r="BJ852" i="7"/>
  <c r="BJ854" i="7" s="1"/>
  <c r="BJ858" i="7"/>
  <c r="BJ859" i="7" s="1"/>
  <c r="BJ862" i="7" s="1"/>
  <c r="BJ865" i="7" s="1"/>
  <c r="BJ843" i="7"/>
  <c r="BK842" i="7"/>
  <c r="BK257" i="7"/>
  <c r="BJ229" i="7"/>
  <c r="BJ913" i="7"/>
  <c r="BJ910" i="7"/>
  <c r="BK909" i="7"/>
  <c r="BK916" i="7"/>
  <c r="BK919" i="7"/>
  <c r="BM24" i="13"/>
  <c r="BM352" i="7"/>
  <c r="BK59" i="7"/>
  <c r="BL856" i="7"/>
  <c r="BL888" i="7"/>
  <c r="BL915" i="7" s="1"/>
  <c r="BL275" i="7"/>
  <c r="BL278" i="7" s="1"/>
  <c r="BJ928" i="7"/>
  <c r="BK929" i="7"/>
  <c r="BK71" i="7"/>
  <c r="BL919" i="7" l="1"/>
  <c r="BL916" i="7"/>
  <c r="BM58" i="7"/>
  <c r="BM71" i="7" s="1"/>
  <c r="BM134" i="7"/>
  <c r="BL923" i="7"/>
  <c r="BL857" i="7"/>
  <c r="BL937" i="7"/>
  <c r="BK283" i="7"/>
  <c r="BK251" i="7"/>
  <c r="BM339" i="7"/>
  <c r="BJ29" i="7"/>
  <c r="BK928" i="7"/>
  <c r="BL245" i="7"/>
  <c r="BL282" i="7"/>
  <c r="BJ212" i="7"/>
  <c r="BM906" i="7"/>
  <c r="BK229" i="7"/>
  <c r="BN19" i="13"/>
  <c r="BN20" i="13" s="1"/>
  <c r="BN28" i="13"/>
  <c r="BM121" i="7"/>
  <c r="BM119" i="7" s="1"/>
  <c r="BM59" i="7" s="1"/>
  <c r="BM280" i="7"/>
  <c r="BK913" i="7"/>
  <c r="BK910" i="7"/>
  <c r="BL909" i="7"/>
  <c r="BL59" i="7"/>
  <c r="BL71" i="7"/>
  <c r="BK843" i="7"/>
  <c r="BK858" i="7"/>
  <c r="BK859" i="7" s="1"/>
  <c r="BK862" i="7" s="1"/>
  <c r="BK865" i="7" s="1"/>
  <c r="BK852" i="7"/>
  <c r="BK854" i="7" s="1"/>
  <c r="BM886" i="7"/>
  <c r="BL929" i="7"/>
  <c r="BL842" i="7"/>
  <c r="BL257" i="7"/>
  <c r="BO18" i="13" l="1"/>
  <c r="BO28" i="13" s="1"/>
  <c r="BN11" i="13"/>
  <c r="BL928" i="7"/>
  <c r="BM842" i="7"/>
  <c r="BM257" i="7"/>
  <c r="BN31" i="13"/>
  <c r="BN29" i="13"/>
  <c r="BN891" i="7"/>
  <c r="AP80" i="15"/>
  <c r="AP82" i="15" s="1"/>
  <c r="AU21" i="1" s="1"/>
  <c r="BJ95" i="7"/>
  <c r="BK95" i="7" s="1"/>
  <c r="BK29" i="7"/>
  <c r="AQ80" i="15" s="1"/>
  <c r="AQ82" i="15" s="1"/>
  <c r="AV21" i="1" s="1"/>
  <c r="BM901" i="7"/>
  <c r="BK212" i="7"/>
  <c r="BL251" i="7"/>
  <c r="BL283" i="7"/>
  <c r="BL910" i="7"/>
  <c r="BL913" i="7"/>
  <c r="BM856" i="7"/>
  <c r="BM275" i="7"/>
  <c r="BM278" i="7" s="1"/>
  <c r="BM888" i="7"/>
  <c r="BM909" i="7" s="1"/>
  <c r="BN352" i="7"/>
  <c r="BN24" i="13"/>
  <c r="BL229" i="7"/>
  <c r="BL858" i="7"/>
  <c r="BL859" i="7" s="1"/>
  <c r="BL862" i="7" s="1"/>
  <c r="BL865" i="7" s="1"/>
  <c r="BL843" i="7"/>
  <c r="BL852" i="7"/>
  <c r="BL854" i="7" s="1"/>
  <c r="BM857" i="7" l="1"/>
  <c r="BM923" i="7"/>
  <c r="BM929" i="7"/>
  <c r="BL29" i="7"/>
  <c r="BL212" i="7"/>
  <c r="BO31" i="13"/>
  <c r="BO29" i="13"/>
  <c r="BO891" i="7"/>
  <c r="BP28" i="13"/>
  <c r="BM843" i="7"/>
  <c r="BM858" i="7"/>
  <c r="BM852" i="7"/>
  <c r="BM854" i="7" s="1"/>
  <c r="BM913" i="7"/>
  <c r="BM910" i="7"/>
  <c r="BN339" i="7"/>
  <c r="BN892" i="7"/>
  <c r="BN850" i="7"/>
  <c r="BN893" i="7"/>
  <c r="BN118" i="7"/>
  <c r="BM937" i="7"/>
  <c r="BM915" i="7"/>
  <c r="BN886" i="7"/>
  <c r="BN906" i="7"/>
  <c r="BM229" i="7"/>
  <c r="BM282" i="7"/>
  <c r="BM245" i="7"/>
  <c r="BP18" i="13"/>
  <c r="BO19" i="13"/>
  <c r="BO20" i="13" s="1"/>
  <c r="BM859" i="7" l="1"/>
  <c r="BM862" i="7" s="1"/>
  <c r="BM865" i="7" s="1"/>
  <c r="BP20" i="13"/>
  <c r="BQ18" i="13" s="1"/>
  <c r="BQ28" i="13" s="1"/>
  <c r="BO11" i="13"/>
  <c r="BN275" i="7"/>
  <c r="BN278" i="7" s="1"/>
  <c r="BN888" i="7"/>
  <c r="BN856" i="7"/>
  <c r="BL95" i="7"/>
  <c r="AR80" i="15"/>
  <c r="AR82" i="15" s="1"/>
  <c r="AW21" i="1" s="1"/>
  <c r="BM916" i="7"/>
  <c r="BM919" i="7"/>
  <c r="BN134" i="7"/>
  <c r="BN58" i="7"/>
  <c r="BM212" i="7"/>
  <c r="BN280" i="7"/>
  <c r="BN121" i="7"/>
  <c r="BN119" i="7" s="1"/>
  <c r="BM928" i="7"/>
  <c r="BO892" i="7"/>
  <c r="BP891" i="7"/>
  <c r="BO893" i="7"/>
  <c r="BO850" i="7"/>
  <c r="BO118" i="7"/>
  <c r="BP118" i="7" s="1"/>
  <c r="BO352" i="7"/>
  <c r="BO24" i="13"/>
  <c r="BM251" i="7"/>
  <c r="BM283" i="7"/>
  <c r="BN901" i="7"/>
  <c r="BP31" i="13"/>
  <c r="BP29" i="13"/>
  <c r="BN923" i="7" l="1"/>
  <c r="BN857" i="7"/>
  <c r="BN929" i="7"/>
  <c r="BN282" i="7"/>
  <c r="BN245" i="7"/>
  <c r="BP893" i="7"/>
  <c r="BP850" i="7"/>
  <c r="BP121" i="7" s="1"/>
  <c r="BP892" i="7"/>
  <c r="BM29" i="7"/>
  <c r="BQ31" i="13"/>
  <c r="BQ29" i="13"/>
  <c r="BQ891" i="7"/>
  <c r="BN71" i="7"/>
  <c r="BP11" i="13"/>
  <c r="BO886" i="7"/>
  <c r="BQ19" i="13"/>
  <c r="BQ20" i="13" s="1"/>
  <c r="BN59" i="7"/>
  <c r="BN842" i="7"/>
  <c r="BN257" i="7"/>
  <c r="BN937" i="7"/>
  <c r="BN909" i="7"/>
  <c r="BO906" i="7"/>
  <c r="BO901" i="7" s="1"/>
  <c r="BO339" i="7"/>
  <c r="BP352" i="7"/>
  <c r="BO134" i="7"/>
  <c r="BO58" i="7"/>
  <c r="BO71" i="7" s="1"/>
  <c r="BO121" i="7"/>
  <c r="BO119" i="7" s="1"/>
  <c r="BO59" i="7" s="1"/>
  <c r="BO280" i="7"/>
  <c r="BN915" i="7"/>
  <c r="BP119" i="7" l="1"/>
  <c r="BP58" i="7"/>
  <c r="BR18" i="13"/>
  <c r="BQ11" i="13"/>
  <c r="BN913" i="7"/>
  <c r="BN910" i="7"/>
  <c r="BN928" i="7"/>
  <c r="BP280" i="7"/>
  <c r="BO257" i="7"/>
  <c r="BO842" i="7"/>
  <c r="BN852" i="7"/>
  <c r="BN854" i="7" s="1"/>
  <c r="BN843" i="7"/>
  <c r="BN858" i="7"/>
  <c r="BN859" i="7" s="1"/>
  <c r="BN862" i="7" s="1"/>
  <c r="BN865" i="7" s="1"/>
  <c r="BP901" i="7"/>
  <c r="BN229" i="7"/>
  <c r="BM95" i="7"/>
  <c r="AS80" i="15"/>
  <c r="AS82" i="15" s="1"/>
  <c r="AX21" i="1" s="1"/>
  <c r="BP339" i="7"/>
  <c r="BN919" i="7"/>
  <c r="BN916" i="7"/>
  <c r="BQ893" i="7"/>
  <c r="BQ892" i="7"/>
  <c r="BQ850" i="7"/>
  <c r="BQ118" i="7"/>
  <c r="BP59" i="7"/>
  <c r="BP71" i="7"/>
  <c r="BQ24" i="13"/>
  <c r="BQ352" i="7"/>
  <c r="BO856" i="7"/>
  <c r="BO888" i="7"/>
  <c r="BO909" i="7" s="1"/>
  <c r="BO275" i="7"/>
  <c r="BO278" i="7" s="1"/>
  <c r="BP886" i="7"/>
  <c r="BP134" i="7"/>
  <c r="BN283" i="7"/>
  <c r="BN251" i="7"/>
  <c r="BP934" i="7" l="1"/>
  <c r="BP935" i="7" s="1"/>
  <c r="BO915" i="7"/>
  <c r="BP915" i="7" s="1"/>
  <c r="BQ134" i="7"/>
  <c r="BQ58" i="7"/>
  <c r="BO852" i="7"/>
  <c r="BO854" i="7" s="1"/>
  <c r="BO843" i="7"/>
  <c r="BO858" i="7"/>
  <c r="BQ339" i="7"/>
  <c r="BQ906" i="7"/>
  <c r="BO229" i="7"/>
  <c r="BO910" i="7"/>
  <c r="BP909" i="7"/>
  <c r="BO913" i="7"/>
  <c r="BQ886" i="7"/>
  <c r="BN29" i="7"/>
  <c r="BP275" i="7"/>
  <c r="BP278" i="7" s="1"/>
  <c r="BP856" i="7"/>
  <c r="BR19" i="13"/>
  <c r="BR28" i="13"/>
  <c r="BO937" i="7"/>
  <c r="BP888" i="7"/>
  <c r="BQ121" i="7"/>
  <c r="BQ119" i="7" s="1"/>
  <c r="BQ280" i="7"/>
  <c r="BP842" i="7"/>
  <c r="BP257" i="7"/>
  <c r="BO245" i="7"/>
  <c r="BO282" i="7"/>
  <c r="BO923" i="7"/>
  <c r="BP923" i="7" s="1"/>
  <c r="BO857" i="7"/>
  <c r="BO929" i="7"/>
  <c r="BN212" i="7"/>
  <c r="BO916" i="7" l="1"/>
  <c r="BO919" i="7"/>
  <c r="BO859" i="7"/>
  <c r="BO862" i="7" s="1"/>
  <c r="BO865" i="7" s="1"/>
  <c r="BR24" i="13"/>
  <c r="BR352" i="7"/>
  <c r="BP857" i="7"/>
  <c r="BN95" i="7"/>
  <c r="AT80" i="15"/>
  <c r="AT82" i="15" s="1"/>
  <c r="AY21" i="1" s="1"/>
  <c r="BQ59" i="7"/>
  <c r="BP916" i="7"/>
  <c r="BP919" i="7"/>
  <c r="BO212" i="7"/>
  <c r="BP229" i="7"/>
  <c r="BP858" i="7"/>
  <c r="BP843" i="7"/>
  <c r="BP852" i="7"/>
  <c r="BP854" i="7" s="1"/>
  <c r="BQ71" i="7"/>
  <c r="BP245" i="7"/>
  <c r="BP282" i="7"/>
  <c r="BO928" i="7"/>
  <c r="BP929" i="7"/>
  <c r="BR31" i="13"/>
  <c r="BR29" i="13"/>
  <c r="BR891" i="7"/>
  <c r="BQ842" i="7"/>
  <c r="BQ257" i="7"/>
  <c r="BQ901" i="7"/>
  <c r="BQ888" i="7"/>
  <c r="BQ915" i="7" s="1"/>
  <c r="BQ275" i="7"/>
  <c r="BQ278" i="7" s="1"/>
  <c r="BQ856" i="7"/>
  <c r="BO283" i="7"/>
  <c r="BO251" i="7"/>
  <c r="BR20" i="13"/>
  <c r="BP910" i="7"/>
  <c r="BP913" i="7"/>
  <c r="BP859" i="7" l="1"/>
  <c r="BP862" i="7" s="1"/>
  <c r="BP865" i="7" s="1"/>
  <c r="BQ929" i="7"/>
  <c r="BQ928" i="7" s="1"/>
  <c r="BQ909" i="7"/>
  <c r="BQ910" i="7" s="1"/>
  <c r="BP283" i="7"/>
  <c r="BP251" i="7"/>
  <c r="BS18" i="13"/>
  <c r="BR11" i="13"/>
  <c r="BQ229" i="7"/>
  <c r="BR906" i="7"/>
  <c r="BP212" i="7"/>
  <c r="BR892" i="7"/>
  <c r="BR118" i="7"/>
  <c r="BR893" i="7"/>
  <c r="BR850" i="7"/>
  <c r="BR339" i="7"/>
  <c r="BQ852" i="7"/>
  <c r="BQ854" i="7" s="1"/>
  <c r="BQ858" i="7"/>
  <c r="BQ843" i="7"/>
  <c r="BQ857" i="7"/>
  <c r="BQ923" i="7"/>
  <c r="BO29" i="7"/>
  <c r="BP928" i="7"/>
  <c r="BQ919" i="7"/>
  <c r="BQ916" i="7"/>
  <c r="BQ282" i="7"/>
  <c r="BQ245" i="7"/>
  <c r="BQ937" i="7"/>
  <c r="BQ913" i="7" l="1"/>
  <c r="BQ859" i="7"/>
  <c r="BQ862" i="7" s="1"/>
  <c r="BQ865" i="7" s="1"/>
  <c r="BR121" i="7"/>
  <c r="BR119" i="7" s="1"/>
  <c r="BR280" i="7"/>
  <c r="BR886" i="7"/>
  <c r="BS19" i="13"/>
  <c r="BS20" i="13" s="1"/>
  <c r="BS28" i="13"/>
  <c r="BQ251" i="7"/>
  <c r="BQ283" i="7"/>
  <c r="BR134" i="7"/>
  <c r="BR58" i="7"/>
  <c r="BO95" i="7"/>
  <c r="BP95" i="7" s="1"/>
  <c r="AU80" i="15"/>
  <c r="AU82" i="15" s="1"/>
  <c r="AZ21" i="1" s="1"/>
  <c r="BP29" i="7"/>
  <c r="BQ29" i="7"/>
  <c r="BQ212" i="7"/>
  <c r="BR901" i="7"/>
  <c r="AV80" i="15" l="1"/>
  <c r="AV82" i="15" s="1"/>
  <c r="BA21" i="1" s="1"/>
  <c r="BR888" i="7"/>
  <c r="BR856" i="7"/>
  <c r="BR275" i="7"/>
  <c r="BR278" i="7" s="1"/>
  <c r="BR71" i="7"/>
  <c r="BS352" i="7"/>
  <c r="BS24" i="13"/>
  <c r="BR59" i="7"/>
  <c r="BS29" i="13"/>
  <c r="BS31" i="13"/>
  <c r="BS891" i="7"/>
  <c r="BS11" i="13"/>
  <c r="BT18" i="13"/>
  <c r="BR257" i="7"/>
  <c r="BR842" i="7"/>
  <c r="BQ95" i="7"/>
  <c r="AW80" i="15"/>
  <c r="AW82" i="15" s="1"/>
  <c r="BB21" i="1" s="1"/>
  <c r="BR245" i="7" l="1"/>
  <c r="BR282" i="7"/>
  <c r="BR923" i="7"/>
  <c r="BR857" i="7"/>
  <c r="BR929" i="7"/>
  <c r="BR229" i="7"/>
  <c r="BR937" i="7"/>
  <c r="BR909" i="7"/>
  <c r="BR915" i="7"/>
  <c r="BR843" i="7"/>
  <c r="BR858" i="7"/>
  <c r="BR852" i="7"/>
  <c r="BR854" i="7" s="1"/>
  <c r="BU18" i="13"/>
  <c r="BT19" i="13"/>
  <c r="BT20" i="13" s="1"/>
  <c r="BS886" i="7"/>
  <c r="BS906" i="7"/>
  <c r="BT28" i="13"/>
  <c r="BS339" i="7"/>
  <c r="BS118" i="7"/>
  <c r="BS893" i="7"/>
  <c r="BS850" i="7"/>
  <c r="BS892" i="7"/>
  <c r="BR859" i="7" l="1"/>
  <c r="BR862" i="7" s="1"/>
  <c r="BR865" i="7" s="1"/>
  <c r="BR928" i="7"/>
  <c r="BS134" i="7"/>
  <c r="BS58" i="7"/>
  <c r="BT891" i="7"/>
  <c r="BT31" i="13"/>
  <c r="BT29" i="13"/>
  <c r="BU28" i="13"/>
  <c r="BS121" i="7"/>
  <c r="BS119" i="7" s="1"/>
  <c r="BS280" i="7"/>
  <c r="BR916" i="7"/>
  <c r="BR919" i="7"/>
  <c r="BS901" i="7"/>
  <c r="BU20" i="13"/>
  <c r="BV18" i="13" s="1"/>
  <c r="BT11" i="13"/>
  <c r="BR212" i="7"/>
  <c r="BR910" i="7"/>
  <c r="BR913" i="7"/>
  <c r="BS856" i="7"/>
  <c r="BS888" i="7"/>
  <c r="BS915" i="7" s="1"/>
  <c r="BS275" i="7"/>
  <c r="BS278" i="7" s="1"/>
  <c r="BR251" i="7"/>
  <c r="BR283" i="7"/>
  <c r="BT24" i="13"/>
  <c r="BT352" i="7"/>
  <c r="BU11" i="13" l="1"/>
  <c r="BT886" i="7"/>
  <c r="BS919" i="7"/>
  <c r="BS916" i="7"/>
  <c r="BS71" i="7"/>
  <c r="BU29" i="13"/>
  <c r="BU31" i="13"/>
  <c r="BV28" i="13"/>
  <c r="BR29" i="7"/>
  <c r="BS59" i="7"/>
  <c r="BS257" i="7"/>
  <c r="BS842" i="7"/>
  <c r="BV19" i="13"/>
  <c r="BV20" i="13" s="1"/>
  <c r="BS282" i="7"/>
  <c r="BS245" i="7"/>
  <c r="BS937" i="7"/>
  <c r="BS857" i="7"/>
  <c r="BS923" i="7"/>
  <c r="BS929" i="7"/>
  <c r="BS909" i="7"/>
  <c r="BT339" i="7"/>
  <c r="BU352" i="7"/>
  <c r="BT906" i="7"/>
  <c r="BT901" i="7" s="1"/>
  <c r="BU891" i="7"/>
  <c r="BT893" i="7"/>
  <c r="BT892" i="7"/>
  <c r="BT118" i="7"/>
  <c r="BT850" i="7"/>
  <c r="BV31" i="13" l="1"/>
  <c r="BV29" i="13"/>
  <c r="BV891" i="7"/>
  <c r="AX80" i="15"/>
  <c r="AX82" i="15" s="1"/>
  <c r="BC21" i="1" s="1"/>
  <c r="BR95" i="7"/>
  <c r="BW18" i="13"/>
  <c r="BV11" i="13"/>
  <c r="BT121" i="7"/>
  <c r="BT119" i="7" s="1"/>
  <c r="BT280" i="7"/>
  <c r="BT134" i="7"/>
  <c r="BT58" i="7"/>
  <c r="BU118" i="7"/>
  <c r="BU901" i="7"/>
  <c r="BV352" i="7"/>
  <c r="BV24" i="13"/>
  <c r="BT888" i="7"/>
  <c r="BT909" i="7" s="1"/>
  <c r="BT856" i="7"/>
  <c r="BT275" i="7"/>
  <c r="BT278" i="7" s="1"/>
  <c r="BU886" i="7"/>
  <c r="BU934" i="7" s="1"/>
  <c r="BU935" i="7" s="1"/>
  <c r="BS283" i="7"/>
  <c r="BS251" i="7"/>
  <c r="BU893" i="7"/>
  <c r="BU892" i="7"/>
  <c r="BU850" i="7"/>
  <c r="BU121" i="7" s="1"/>
  <c r="BU339" i="7"/>
  <c r="BS858" i="7"/>
  <c r="BS859" i="7" s="1"/>
  <c r="BS862" i="7" s="1"/>
  <c r="BS865" i="7" s="1"/>
  <c r="BS843" i="7"/>
  <c r="BS852" i="7"/>
  <c r="BS854" i="7" s="1"/>
  <c r="BS913" i="7"/>
  <c r="BS910" i="7"/>
  <c r="BS928" i="7"/>
  <c r="BV886" i="7" l="1"/>
  <c r="BT59" i="7"/>
  <c r="BU119" i="7"/>
  <c r="BW19" i="13"/>
  <c r="BW20" i="13" s="1"/>
  <c r="BU856" i="7"/>
  <c r="BU275" i="7"/>
  <c r="BU278" i="7" s="1"/>
  <c r="BT857" i="7"/>
  <c r="BT923" i="7"/>
  <c r="BU923" i="7" s="1"/>
  <c r="BT929" i="7"/>
  <c r="BT71" i="7"/>
  <c r="BU58" i="7"/>
  <c r="BT842" i="7"/>
  <c r="BU280" i="7"/>
  <c r="BT257" i="7"/>
  <c r="BV892" i="7"/>
  <c r="BV893" i="7"/>
  <c r="BV118" i="7"/>
  <c r="BV850" i="7"/>
  <c r="BT282" i="7"/>
  <c r="BT245" i="7"/>
  <c r="BT937" i="7"/>
  <c r="BT915" i="7"/>
  <c r="BU888" i="7"/>
  <c r="BV339" i="7"/>
  <c r="BU134" i="7"/>
  <c r="BW28" i="13"/>
  <c r="BS29" i="7"/>
  <c r="BU909" i="7"/>
  <c r="BT913" i="7"/>
  <c r="BT910" i="7"/>
  <c r="BV906" i="7"/>
  <c r="BV901" i="7" s="1"/>
  <c r="BT852" i="7" l="1"/>
  <c r="BT854" i="7" s="1"/>
  <c r="BT843" i="7"/>
  <c r="BT858" i="7"/>
  <c r="BT859" i="7" s="1"/>
  <c r="BT862" i="7" s="1"/>
  <c r="BT865" i="7" s="1"/>
  <c r="BU282" i="7"/>
  <c r="BU245" i="7"/>
  <c r="BT928" i="7"/>
  <c r="BU929" i="7"/>
  <c r="BT916" i="7"/>
  <c r="BU915" i="7"/>
  <c r="BT919" i="7"/>
  <c r="BT251" i="7"/>
  <c r="BT283" i="7"/>
  <c r="BW29" i="13"/>
  <c r="BW31" i="13"/>
  <c r="BW891" i="7"/>
  <c r="BU842" i="7"/>
  <c r="BU257" i="7"/>
  <c r="BU71" i="7"/>
  <c r="BX18" i="13"/>
  <c r="BW11" i="13"/>
  <c r="BV134" i="7"/>
  <c r="BV58" i="7"/>
  <c r="BS95" i="7"/>
  <c r="AY80" i="15"/>
  <c r="AY82" i="15" s="1"/>
  <c r="BD21" i="1" s="1"/>
  <c r="BU857" i="7"/>
  <c r="BW352" i="7"/>
  <c r="BW24" i="13"/>
  <c r="BU59" i="7"/>
  <c r="BV888" i="7"/>
  <c r="BV909" i="7" s="1"/>
  <c r="BV275" i="7"/>
  <c r="BV278" i="7" s="1"/>
  <c r="BV856" i="7"/>
  <c r="BU910" i="7"/>
  <c r="BU913" i="7"/>
  <c r="BV280" i="7"/>
  <c r="BV121" i="7"/>
  <c r="BV119" i="7" s="1"/>
  <c r="BV910" i="7" l="1"/>
  <c r="BV913" i="7"/>
  <c r="BU919" i="7"/>
  <c r="BV915" i="7"/>
  <c r="BU916" i="7"/>
  <c r="BW886" i="7"/>
  <c r="BU251" i="7"/>
  <c r="BU283" i="7"/>
  <c r="BW906" i="7"/>
  <c r="BV59" i="7"/>
  <c r="BX19" i="13"/>
  <c r="BW339" i="7"/>
  <c r="BV923" i="7"/>
  <c r="BV857" i="7"/>
  <c r="BV937" i="7"/>
  <c r="BX28" i="13"/>
  <c r="BV71" i="7"/>
  <c r="BV257" i="7"/>
  <c r="BV842" i="7"/>
  <c r="BT29" i="7"/>
  <c r="BU928" i="7"/>
  <c r="BV282" i="7"/>
  <c r="BV245" i="7"/>
  <c r="BU852" i="7"/>
  <c r="BU854" i="7" s="1"/>
  <c r="BU843" i="7"/>
  <c r="BU858" i="7"/>
  <c r="BU859" i="7" s="1"/>
  <c r="BU862" i="7" s="1"/>
  <c r="BU865" i="7" s="1"/>
  <c r="BV929" i="7"/>
  <c r="BW893" i="7"/>
  <c r="BW118" i="7"/>
  <c r="BW892" i="7"/>
  <c r="BW850" i="7"/>
  <c r="BV843" i="7" l="1"/>
  <c r="BV858" i="7"/>
  <c r="BV859" i="7" s="1"/>
  <c r="BV862" i="7" s="1"/>
  <c r="BV865" i="7" s="1"/>
  <c r="BV852" i="7"/>
  <c r="BV854" i="7" s="1"/>
  <c r="BV928" i="7"/>
  <c r="BX24" i="13"/>
  <c r="BX352" i="7"/>
  <c r="BV919" i="7"/>
  <c r="BV916" i="7"/>
  <c r="BV251" i="7"/>
  <c r="BV283" i="7"/>
  <c r="BW901" i="7"/>
  <c r="BW121" i="7"/>
  <c r="BW119" i="7" s="1"/>
  <c r="BW280" i="7"/>
  <c r="AZ80" i="15"/>
  <c r="AZ82" i="15" s="1"/>
  <c r="BE21" i="1" s="1"/>
  <c r="BT95" i="7"/>
  <c r="BU95" i="7" s="1"/>
  <c r="BU29" i="7"/>
  <c r="BA80" i="15" s="1"/>
  <c r="BA82" i="15" s="1"/>
  <c r="BF21" i="1" s="1"/>
  <c r="BW888" i="7"/>
  <c r="BW275" i="7"/>
  <c r="BW278" i="7" s="1"/>
  <c r="BW856" i="7"/>
  <c r="BX20" i="13"/>
  <c r="BX31" i="13"/>
  <c r="BX29" i="13"/>
  <c r="BX891" i="7"/>
  <c r="BW134" i="7"/>
  <c r="BW58" i="7"/>
  <c r="BW842" i="7" l="1"/>
  <c r="BW257" i="7"/>
  <c r="BX906" i="7"/>
  <c r="BW857" i="7"/>
  <c r="BW923" i="7"/>
  <c r="BW929" i="7"/>
  <c r="BX339" i="7"/>
  <c r="BW59" i="7"/>
  <c r="BW282" i="7"/>
  <c r="BW245" i="7"/>
  <c r="BW937" i="7"/>
  <c r="BW909" i="7"/>
  <c r="BW71" i="7"/>
  <c r="BX850" i="7"/>
  <c r="BX892" i="7"/>
  <c r="BX893" i="7"/>
  <c r="BX118" i="7"/>
  <c r="BY18" i="13"/>
  <c r="BX11" i="13"/>
  <c r="BV29" i="7"/>
  <c r="BW915" i="7"/>
  <c r="BB80" i="15" l="1"/>
  <c r="BB82" i="15" s="1"/>
  <c r="BG21" i="1" s="1"/>
  <c r="BV95" i="7"/>
  <c r="BY19" i="13"/>
  <c r="BZ18" i="13"/>
  <c r="BY28" i="13"/>
  <c r="BW283" i="7"/>
  <c r="BW251" i="7"/>
  <c r="BW913" i="7"/>
  <c r="BW910" i="7"/>
  <c r="BX121" i="7"/>
  <c r="BX119" i="7" s="1"/>
  <c r="BX280" i="7"/>
  <c r="BW843" i="7"/>
  <c r="BW852" i="7"/>
  <c r="BW854" i="7" s="1"/>
  <c r="BW858" i="7"/>
  <c r="BW859" i="7" s="1"/>
  <c r="BW862" i="7" s="1"/>
  <c r="BW865" i="7" s="1"/>
  <c r="W9" i="42"/>
  <c r="BX886" i="7"/>
  <c r="BW916" i="7"/>
  <c r="BW919" i="7"/>
  <c r="BX58" i="7"/>
  <c r="BX134" i="7"/>
  <c r="BX901" i="7"/>
  <c r="BW928" i="7"/>
  <c r="BX59" i="7" l="1"/>
  <c r="BY352" i="7"/>
  <c r="BY24" i="13"/>
  <c r="BX71" i="7"/>
  <c r="BX888" i="7"/>
  <c r="BX856" i="7"/>
  <c r="BX275" i="7"/>
  <c r="BX278" i="7" s="1"/>
  <c r="W10" i="42"/>
  <c r="AR7" i="42" s="1"/>
  <c r="W29" i="42"/>
  <c r="BW29" i="7"/>
  <c r="BX257" i="7"/>
  <c r="BX842" i="7"/>
  <c r="BY31" i="13"/>
  <c r="BY29" i="13"/>
  <c r="BY891" i="7"/>
  <c r="BZ28" i="13"/>
  <c r="BY20" i="13"/>
  <c r="BZ59" i="7" l="1"/>
  <c r="BY339" i="7"/>
  <c r="BZ352" i="7"/>
  <c r="BX937" i="7"/>
  <c r="BX915" i="7"/>
  <c r="BX909" i="7"/>
  <c r="W30" i="42"/>
  <c r="W33" i="42" s="1"/>
  <c r="BZ29" i="13"/>
  <c r="BZ31" i="13"/>
  <c r="BY906" i="7"/>
  <c r="BX245" i="7"/>
  <c r="BX282" i="7"/>
  <c r="BX857" i="7"/>
  <c r="BX923" i="7"/>
  <c r="BX929" i="7"/>
  <c r="BZ20" i="13"/>
  <c r="BY11" i="13"/>
  <c r="BZ891" i="7"/>
  <c r="BY850" i="7"/>
  <c r="BY118" i="7"/>
  <c r="BY893" i="7"/>
  <c r="BY892" i="7"/>
  <c r="BX852" i="7"/>
  <c r="BX854" i="7" s="1"/>
  <c r="BX858" i="7"/>
  <c r="BX843" i="7"/>
  <c r="BC80" i="15"/>
  <c r="BC82" i="15" s="1"/>
  <c r="BH21" i="1" s="1"/>
  <c r="BW95" i="7"/>
  <c r="BX859" i="7" l="1"/>
  <c r="BX862" i="7" s="1"/>
  <c r="BX865" i="7" s="1"/>
  <c r="Z31" i="42"/>
  <c r="Z28" i="42"/>
  <c r="Z32" i="42"/>
  <c r="Z29" i="42"/>
  <c r="BZ339" i="7"/>
  <c r="BX910" i="7"/>
  <c r="BX913" i="7"/>
  <c r="BX283" i="7"/>
  <c r="BX251" i="7"/>
  <c r="BX928" i="7"/>
  <c r="BY901" i="7"/>
  <c r="BZ892" i="7"/>
  <c r="BZ850" i="7"/>
  <c r="BZ121" i="7" s="1"/>
  <c r="BZ893" i="7"/>
  <c r="BX919" i="7"/>
  <c r="BX916" i="7"/>
  <c r="BY134" i="7"/>
  <c r="BY58" i="7"/>
  <c r="BZ118" i="7"/>
  <c r="BY280" i="7"/>
  <c r="BY121" i="7"/>
  <c r="BY119" i="7" s="1"/>
  <c r="BZ11" i="13"/>
  <c r="BY886" i="7"/>
  <c r="Z30" i="42"/>
  <c r="BY888" i="7" l="1"/>
  <c r="BY275" i="7"/>
  <c r="BY278" i="7" s="1"/>
  <c r="BY856" i="7"/>
  <c r="BZ886" i="7"/>
  <c r="BY71" i="7"/>
  <c r="BZ58" i="7"/>
  <c r="BX29" i="7"/>
  <c r="BZ901" i="7"/>
  <c r="BZ134" i="7"/>
  <c r="X33" i="42"/>
  <c r="W35" i="42" s="1"/>
  <c r="BY59" i="7"/>
  <c r="BZ119" i="7"/>
  <c r="BY842" i="7"/>
  <c r="BY257" i="7"/>
  <c r="BZ280" i="7"/>
  <c r="BZ934" i="7" l="1"/>
  <c r="BZ935" i="7" s="1"/>
  <c r="BZ275" i="7"/>
  <c r="BZ278" i="7" s="1"/>
  <c r="BZ857" i="7"/>
  <c r="BZ856" i="7"/>
  <c r="BY245" i="7"/>
  <c r="BY282" i="7"/>
  <c r="BZ257" i="7"/>
  <c r="BZ842" i="7"/>
  <c r="BY923" i="7"/>
  <c r="BZ923" i="7" s="1"/>
  <c r="BY857" i="7"/>
  <c r="BY929" i="7"/>
  <c r="BY937" i="7"/>
  <c r="BZ888" i="7"/>
  <c r="BY915" i="7"/>
  <c r="BY909" i="7"/>
  <c r="W14" i="42"/>
  <c r="W17" i="42"/>
  <c r="BY858" i="7"/>
  <c r="BY852" i="7"/>
  <c r="BY854" i="7" s="1"/>
  <c r="BY843" i="7"/>
  <c r="BZ71" i="7"/>
  <c r="BX95" i="7"/>
  <c r="BD80" i="15"/>
  <c r="BD82" i="15" s="1"/>
  <c r="BI21" i="1" s="1"/>
  <c r="BY859" i="7" l="1"/>
  <c r="BY862" i="7" s="1"/>
  <c r="BY865" i="7" s="1"/>
  <c r="W19" i="42"/>
  <c r="W16" i="42" s="1"/>
  <c r="BZ282" i="7"/>
  <c r="BZ245" i="7"/>
  <c r="BZ843" i="7"/>
  <c r="BZ858" i="7"/>
  <c r="BZ859" i="7" s="1"/>
  <c r="BZ862" i="7" s="1"/>
  <c r="BZ865" i="7" s="1"/>
  <c r="BZ852" i="7"/>
  <c r="BZ854" i="7" s="1"/>
  <c r="BY251" i="7"/>
  <c r="BY283" i="7"/>
  <c r="AR10" i="42"/>
  <c r="BY913" i="7"/>
  <c r="BZ909" i="7"/>
  <c r="BY910" i="7"/>
  <c r="BY928" i="7"/>
  <c r="BZ929" i="7"/>
  <c r="BY919" i="7"/>
  <c r="BY916" i="7"/>
  <c r="BZ915" i="7"/>
  <c r="W20" i="42" l="1"/>
  <c r="X14" i="42" s="1"/>
  <c r="AS10" i="42"/>
  <c r="AS6" i="42"/>
  <c r="AS7" i="42"/>
  <c r="AS9" i="42"/>
  <c r="AS11" i="42"/>
  <c r="AS8" i="42"/>
  <c r="BZ283" i="7"/>
  <c r="BZ251" i="7"/>
  <c r="BZ913" i="7"/>
  <c r="BZ910" i="7"/>
  <c r="BZ916" i="7"/>
  <c r="BZ919" i="7"/>
  <c r="BY29" i="7"/>
  <c r="BZ928" i="7"/>
  <c r="Z16" i="42"/>
  <c r="X10" i="42" l="1"/>
  <c r="X9" i="42"/>
  <c r="X11" i="42"/>
  <c r="W24" i="42"/>
  <c r="Z7" i="42" s="1"/>
  <c r="X13" i="42"/>
  <c r="X15" i="42"/>
  <c r="X7" i="42"/>
  <c r="X8" i="42"/>
  <c r="Y7" i="42"/>
  <c r="X12" i="42"/>
  <c r="X16" i="42"/>
  <c r="BE80" i="15"/>
  <c r="BE82" i="15" s="1"/>
  <c r="BJ21" i="1" s="1"/>
  <c r="BY95" i="7"/>
  <c r="BZ95" i="7" s="1"/>
  <c r="BZ29" i="7"/>
  <c r="BF80" i="15" s="1"/>
  <c r="BF82" i="15" s="1"/>
  <c r="BK21" i="1" s="1"/>
  <c r="BA23" i="14" l="1"/>
  <c r="AG79" i="15" s="1"/>
  <c r="AG82" i="15" s="1"/>
  <c r="AL21" i="1" s="1"/>
  <c r="AX28" i="14"/>
  <c r="BA49" i="14"/>
  <c r="BA54" i="14" s="1"/>
  <c r="BA308" i="14"/>
  <c r="AD79" i="15"/>
  <c r="AD82" i="15" s="1"/>
  <c r="AI21" i="1" s="1"/>
  <c r="AI27" i="1" s="1"/>
  <c r="AD103" i="15" l="1"/>
  <c r="AX30" i="14"/>
  <c r="BA28" i="14"/>
  <c r="AG103" i="15" s="1"/>
  <c r="AD106" i="15"/>
  <c r="AD119" i="15"/>
  <c r="AD120" i="15" l="1"/>
  <c r="AD126" i="15" l="1"/>
  <c r="AI30" i="1"/>
  <c r="AI31" i="1" l="1"/>
  <c r="AI36" i="1" s="1"/>
  <c r="AI34" i="1" s="1"/>
  <c r="AI39" i="1" l="1"/>
  <c r="AI40" i="1" s="1"/>
  <c r="AY74" i="12"/>
  <c r="BJ56" i="12" s="1"/>
  <c r="BK56" i="12" l="1"/>
  <c r="BJ61" i="12"/>
  <c r="BK61" i="12" s="1"/>
  <c r="AY272" i="12"/>
  <c r="AY9" i="12"/>
  <c r="AY120" i="12"/>
  <c r="AZ123" i="12" s="1"/>
  <c r="BJ62" i="12" l="1"/>
  <c r="BL52" i="12"/>
  <c r="BL55" i="12"/>
  <c r="BL57" i="12"/>
  <c r="BL60" i="12"/>
  <c r="BL59" i="12"/>
  <c r="BL58" i="12"/>
  <c r="BL53" i="12"/>
  <c r="BL54" i="12"/>
  <c r="BL56" i="12"/>
  <c r="AY5" i="12"/>
  <c r="AY10" i="12"/>
  <c r="AY18" i="12"/>
  <c r="AY123" i="12"/>
  <c r="AY122" i="12"/>
  <c r="AY4" i="12"/>
  <c r="AY6" i="12" l="1"/>
  <c r="AY264" i="7"/>
  <c r="AY266" i="7" s="1"/>
  <c r="AY244" i="7" s="1"/>
  <c r="AY26" i="12"/>
  <c r="BA16" i="12"/>
  <c r="AY27" i="12" l="1"/>
  <c r="AZ26" i="12"/>
  <c r="AZ43" i="12" s="1"/>
  <c r="AZ44" i="12" s="1"/>
  <c r="AY43" i="12"/>
  <c r="AY44" i="12" s="1"/>
  <c r="AY33" i="12"/>
  <c r="AY32" i="12" s="1"/>
  <c r="AY745" i="7"/>
  <c r="AZ27" i="12" l="1"/>
  <c r="AZ731" i="7"/>
  <c r="BA26" i="12"/>
  <c r="AZ33" i="12"/>
  <c r="AZ32" i="12" s="1"/>
  <c r="BA43" i="12"/>
  <c r="BA44" i="12"/>
  <c r="AY31" i="12"/>
  <c r="AY30" i="12"/>
  <c r="AY163" i="7" s="1"/>
  <c r="AY166" i="7" s="1"/>
  <c r="AY164" i="7" s="1"/>
  <c r="AY154" i="7"/>
  <c r="AY155" i="7" s="1"/>
  <c r="BA27" i="12"/>
  <c r="BA8" i="12"/>
  <c r="AY746" i="7"/>
  <c r="E7" i="16"/>
  <c r="C40" i="17" s="1"/>
  <c r="C115" i="17" s="1"/>
  <c r="AY749" i="7"/>
  <c r="AY156" i="7" s="1"/>
  <c r="AZ111" i="7"/>
  <c r="BA111" i="7" s="1"/>
  <c r="AZ732" i="7"/>
  <c r="AZ733" i="7"/>
  <c r="AZ148" i="7"/>
  <c r="BA731" i="7"/>
  <c r="E115" i="17" l="1"/>
  <c r="AY157" i="7"/>
  <c r="AZ736" i="7"/>
  <c r="BA736" i="7" s="1"/>
  <c r="AZ697" i="7"/>
  <c r="AZ699" i="7" s="1"/>
  <c r="AZ693" i="7" s="1"/>
  <c r="BA693" i="7" s="1"/>
  <c r="AZ51" i="7"/>
  <c r="AZ70" i="7" s="1"/>
  <c r="AZ133" i="7"/>
  <c r="BA148" i="7"/>
  <c r="AZ691" i="7"/>
  <c r="BA725" i="7"/>
  <c r="AZ738" i="7"/>
  <c r="BA9" i="12"/>
  <c r="BA733" i="7"/>
  <c r="BA732" i="7"/>
  <c r="BA10" i="12" l="1"/>
  <c r="BA5" i="12"/>
  <c r="BA4" i="12"/>
  <c r="BA51" i="7"/>
  <c r="BA133" i="7"/>
  <c r="BA699" i="7"/>
  <c r="F7" i="16"/>
  <c r="D40" i="17" s="1"/>
  <c r="D115" i="17" s="1"/>
  <c r="BA70" i="7"/>
  <c r="AY74" i="7"/>
  <c r="AZ514" i="7"/>
  <c r="AZ517" i="7" s="1"/>
  <c r="AZ694" i="7"/>
  <c r="AZ702" i="7" s="1"/>
  <c r="BA691" i="7"/>
  <c r="AZ189" i="7"/>
  <c r="AZ190" i="7" s="1"/>
  <c r="AZ195" i="7" s="1"/>
  <c r="AY179" i="7"/>
  <c r="AY181" i="7" s="1"/>
  <c r="AZ680" i="7"/>
  <c r="AZ727" i="7"/>
  <c r="AZ567" i="7"/>
  <c r="AZ765" i="7" s="1"/>
  <c r="AZ192" i="7"/>
  <c r="AZ193" i="7" s="1"/>
  <c r="AZ264" i="7"/>
  <c r="AZ266" i="7" s="1"/>
  <c r="BA726" i="7"/>
  <c r="BA738" i="7" s="1"/>
  <c r="AY185" i="7" l="1"/>
  <c r="AY168" i="7"/>
  <c r="AY172" i="7" s="1"/>
  <c r="AJ14" i="1"/>
  <c r="AY137" i="7"/>
  <c r="AY76" i="7"/>
  <c r="BA6" i="12"/>
  <c r="AZ503" i="7"/>
  <c r="AJ25" i="1"/>
  <c r="BA514" i="7"/>
  <c r="BA697" i="7"/>
  <c r="BA189" i="7"/>
  <c r="BA680" i="7"/>
  <c r="BA192" i="7"/>
  <c r="BA727" i="7"/>
  <c r="BA264" i="7"/>
  <c r="BA266" i="7" s="1"/>
  <c r="BA567" i="7"/>
  <c r="BA765" i="7" s="1"/>
  <c r="AZ200" i="7"/>
  <c r="AZ149" i="7"/>
  <c r="BA195" i="7"/>
  <c r="BA517" i="7"/>
  <c r="AZ244" i="7"/>
  <c r="AZ700" i="7"/>
  <c r="BA694" i="7"/>
  <c r="BA702" i="7" s="1"/>
  <c r="AZ703" i="7"/>
  <c r="AY139" i="7" l="1"/>
  <c r="BA139" i="7" s="1"/>
  <c r="BA76" i="7"/>
  <c r="AY501" i="7"/>
  <c r="AY500" i="7"/>
  <c r="AY268" i="7"/>
  <c r="AZ446" i="7"/>
  <c r="AZ408" i="7"/>
  <c r="BA244" i="7"/>
  <c r="BA149" i="7"/>
  <c r="BA150" i="7" s="1"/>
  <c r="AZ180" i="7"/>
  <c r="AZ150" i="7"/>
  <c r="AZ162" i="7" s="1"/>
  <c r="BA516" i="7"/>
  <c r="BB516" i="7" s="1"/>
  <c r="BC516" i="7" s="1"/>
  <c r="BD516" i="7" s="1"/>
  <c r="BE516" i="7" s="1"/>
  <c r="BA200" i="7"/>
  <c r="BA703" i="7"/>
  <c r="BA700" i="7"/>
  <c r="AY25" i="7"/>
  <c r="AY34" i="7" s="1"/>
  <c r="AY36" i="7" l="1"/>
  <c r="AY100" i="7"/>
  <c r="AY256" i="7"/>
  <c r="AY681" i="7"/>
  <c r="AY683" i="7" s="1"/>
  <c r="AY686" i="7" s="1"/>
  <c r="AZ686" i="7" s="1"/>
  <c r="BA686" i="7" s="1"/>
  <c r="BB686" i="7" s="1"/>
  <c r="BC686" i="7" s="1"/>
  <c r="BD686" i="7" s="1"/>
  <c r="BE686" i="7" s="1"/>
  <c r="BF686" i="7" s="1"/>
  <c r="BG686" i="7" s="1"/>
  <c r="BH686" i="7" s="1"/>
  <c r="BI686" i="7" s="1"/>
  <c r="BJ686" i="7" s="1"/>
  <c r="BK686" i="7" s="1"/>
  <c r="BL686" i="7" s="1"/>
  <c r="BM686" i="7" s="1"/>
  <c r="BN686" i="7" s="1"/>
  <c r="BO686" i="7" s="1"/>
  <c r="BP686" i="7" s="1"/>
  <c r="BQ686" i="7" s="1"/>
  <c r="BR686" i="7" s="1"/>
  <c r="AY270" i="7"/>
  <c r="AE72" i="15"/>
  <c r="BA180" i="7"/>
  <c r="AZ167" i="7"/>
  <c r="BA162" i="7"/>
  <c r="AZ176" i="7"/>
  <c r="AY250" i="7" l="1"/>
  <c r="AY558" i="7"/>
  <c r="AY271" i="7"/>
  <c r="AZ371" i="7"/>
  <c r="AE104" i="15"/>
  <c r="BA176" i="7"/>
  <c r="AZ198" i="7"/>
  <c r="BA167" i="7"/>
  <c r="AY560" i="7" l="1"/>
  <c r="AY593" i="7"/>
  <c r="AY605" i="7"/>
  <c r="AZ201" i="7"/>
  <c r="BA198" i="7"/>
  <c r="AE119" i="15"/>
  <c r="AE106" i="15"/>
  <c r="AY596" i="7" l="1"/>
  <c r="AY611" i="7"/>
  <c r="AZ611" i="7" s="1"/>
  <c r="AY597" i="7"/>
  <c r="AY562" i="7"/>
  <c r="AY566" i="7" s="1"/>
  <c r="AY620" i="7"/>
  <c r="AY552" i="7"/>
  <c r="AY554" i="7"/>
  <c r="AY607" i="7"/>
  <c r="AY670" i="7" s="1"/>
  <c r="AY39" i="12"/>
  <c r="AZ31" i="12" s="1"/>
  <c r="BA201" i="7"/>
  <c r="AZ159" i="7"/>
  <c r="AZ158" i="7"/>
  <c r="AZ202" i="7"/>
  <c r="AZ204" i="7" s="1"/>
  <c r="AE120" i="15"/>
  <c r="AY622" i="7" l="1"/>
  <c r="AY624" i="7" s="1"/>
  <c r="AY627" i="7" s="1"/>
  <c r="AY619" i="7"/>
  <c r="AY671" i="7"/>
  <c r="AY38" i="12"/>
  <c r="AZ30" i="12" s="1"/>
  <c r="AY609" i="7"/>
  <c r="AY606" i="7"/>
  <c r="AY672" i="7" s="1"/>
  <c r="AY675" i="7" s="1"/>
  <c r="AY676" i="7" s="1"/>
  <c r="AZ616" i="7"/>
  <c r="BA202" i="7"/>
  <c r="BA204" i="7" s="1"/>
  <c r="AE126" i="15"/>
  <c r="AJ30" i="1"/>
  <c r="AY673" i="7" l="1"/>
  <c r="AZ505" i="7"/>
  <c r="AZ163" i="7"/>
  <c r="BA163" i="7" l="1"/>
  <c r="AZ177" i="7"/>
  <c r="AZ166" i="7"/>
  <c r="BA505" i="7"/>
  <c r="AZ450" i="7"/>
  <c r="AZ410" i="7"/>
  <c r="BA410" i="7" l="1"/>
  <c r="AZ375" i="7"/>
  <c r="BA450" i="7"/>
  <c r="AZ448" i="7"/>
  <c r="BA166" i="7"/>
  <c r="BA164" i="7" s="1"/>
  <c r="AZ164" i="7"/>
  <c r="BA177" i="7"/>
  <c r="AZ179" i="7"/>
  <c r="BA179" i="7" l="1"/>
  <c r="AZ181" i="7"/>
  <c r="BA375" i="7"/>
  <c r="AZ373" i="7"/>
  <c r="AZ112" i="7"/>
  <c r="BA112" i="7" s="1"/>
  <c r="BA448" i="7"/>
  <c r="BA181" i="7" l="1"/>
  <c r="BA185" i="7" s="1"/>
  <c r="AZ168" i="7"/>
  <c r="AZ185" i="7"/>
  <c r="BA373" i="7"/>
  <c r="AZ52" i="7"/>
  <c r="BA52" i="7" l="1"/>
  <c r="BA168" i="7"/>
  <c r="BA172" i="7" s="1"/>
  <c r="AZ172" i="7"/>
  <c r="BA18" i="12" l="1"/>
  <c r="BB16" i="12" s="1"/>
  <c r="AZ347" i="7"/>
  <c r="BA347" i="7" l="1"/>
  <c r="AZ338" i="7"/>
  <c r="AZ491" i="7"/>
  <c r="BB26" i="12"/>
  <c r="BB17" i="12"/>
  <c r="BB8" i="12" s="1"/>
  <c r="AZ728" i="7"/>
  <c r="AZ743" i="7"/>
  <c r="AZ737" i="7"/>
  <c r="BA737" i="7" l="1"/>
  <c r="AZ739" i="7"/>
  <c r="BB27" i="12"/>
  <c r="BB33" i="12"/>
  <c r="BB731" i="7"/>
  <c r="BB22" i="12"/>
  <c r="BB347" i="7"/>
  <c r="BA338" i="7"/>
  <c r="BA728" i="7"/>
  <c r="AZ770" i="7"/>
  <c r="AZ745" i="7"/>
  <c r="AZ467" i="7"/>
  <c r="AZ490" i="7"/>
  <c r="BA491" i="7"/>
  <c r="AZ519" i="7"/>
  <c r="BB18" i="12"/>
  <c r="AZ749" i="7" l="1"/>
  <c r="AZ156" i="7" s="1"/>
  <c r="AZ746" i="7"/>
  <c r="BA745" i="7"/>
  <c r="E4" i="16"/>
  <c r="C41" i="17" s="1"/>
  <c r="C116" i="17" s="1"/>
  <c r="E116" i="17" s="1"/>
  <c r="AZ487" i="7"/>
  <c r="BA467" i="7"/>
  <c r="BA468" i="7" s="1"/>
  <c r="BA471" i="7" s="1"/>
  <c r="AZ392" i="7"/>
  <c r="AZ468" i="7"/>
  <c r="AZ471" i="7" s="1"/>
  <c r="AZ507" i="7"/>
  <c r="AZ509" i="7" s="1"/>
  <c r="BB21" i="12"/>
  <c r="BB725" i="7"/>
  <c r="BB691" i="7" s="1"/>
  <c r="BA519" i="7"/>
  <c r="AZ520" i="7"/>
  <c r="AZ608" i="7" s="1"/>
  <c r="BB338" i="7"/>
  <c r="BB742" i="7"/>
  <c r="BB737" i="7" s="1"/>
  <c r="BC16" i="12"/>
  <c r="BB9" i="12"/>
  <c r="BA490" i="7"/>
  <c r="BB733" i="7"/>
  <c r="BB148" i="7"/>
  <c r="BB732" i="7"/>
  <c r="BB111" i="7"/>
  <c r="BA739" i="7"/>
  <c r="AZ498" i="7" l="1"/>
  <c r="BA498" i="7" s="1"/>
  <c r="AZ414" i="7"/>
  <c r="AZ559" i="7"/>
  <c r="AZ594" i="7" s="1"/>
  <c r="BB133" i="7"/>
  <c r="BB51" i="7"/>
  <c r="BB189" i="7"/>
  <c r="BA392" i="7"/>
  <c r="BA520" i="7"/>
  <c r="BA608" i="7" s="1"/>
  <c r="BA507" i="7"/>
  <c r="BA509" i="7" s="1"/>
  <c r="AZ540" i="7"/>
  <c r="AZ412" i="7"/>
  <c r="BA412" i="7" s="1"/>
  <c r="AZ618" i="7"/>
  <c r="BA618" i="7" s="1"/>
  <c r="AZ474" i="7"/>
  <c r="BA474" i="7" s="1"/>
  <c r="AZ394" i="7"/>
  <c r="AZ497" i="7"/>
  <c r="AZ561" i="7"/>
  <c r="AZ601" i="7" s="1"/>
  <c r="BB726" i="7"/>
  <c r="BB10" i="12"/>
  <c r="AZ488" i="7"/>
  <c r="AZ489" i="7" s="1"/>
  <c r="BA487" i="7"/>
  <c r="AZ454" i="7"/>
  <c r="BA749" i="7"/>
  <c r="BA156" i="7" s="1"/>
  <c r="BA746" i="7"/>
  <c r="BB741" i="7"/>
  <c r="BB736" i="7" s="1"/>
  <c r="BB697" i="7"/>
  <c r="BB699" i="7" s="1"/>
  <c r="BB693" i="7" s="1"/>
  <c r="BB514" i="7" s="1"/>
  <c r="BB517" i="7" s="1"/>
  <c r="BA561" i="7"/>
  <c r="BA394" i="7"/>
  <c r="BB464" i="7"/>
  <c r="BC17" i="12"/>
  <c r="BC26" i="12"/>
  <c r="BB23" i="12"/>
  <c r="AZ413" i="7" l="1"/>
  <c r="BF503" i="7"/>
  <c r="BA414" i="7"/>
  <c r="BA559" i="7"/>
  <c r="BA594" i="7" s="1"/>
  <c r="BB503" i="7"/>
  <c r="AZ397" i="7"/>
  <c r="BA397" i="7" s="1"/>
  <c r="BF388" i="7" s="1"/>
  <c r="AZ381" i="7"/>
  <c r="AZ402" i="7"/>
  <c r="AZ393" i="7"/>
  <c r="BA393" i="7" s="1"/>
  <c r="BA488" i="7"/>
  <c r="BA489" i="7" s="1"/>
  <c r="BA764" i="7"/>
  <c r="BA154" i="7" s="1"/>
  <c r="BA155" i="7" s="1"/>
  <c r="BA601" i="7"/>
  <c r="BA766" i="7"/>
  <c r="BA767" i="7" s="1"/>
  <c r="BA768" i="7" s="1"/>
  <c r="BB463" i="7"/>
  <c r="BF463" i="7"/>
  <c r="BB728" i="7"/>
  <c r="BB680" i="7"/>
  <c r="BB192" i="7"/>
  <c r="BB727" i="7"/>
  <c r="BB567" i="7"/>
  <c r="BB765" i="7" s="1"/>
  <c r="BB264" i="7"/>
  <c r="BB266" i="7" s="1"/>
  <c r="BB743" i="7"/>
  <c r="BB738" i="7"/>
  <c r="BA402" i="7"/>
  <c r="BB388" i="7"/>
  <c r="BA540" i="7"/>
  <c r="BA541" i="7" s="1"/>
  <c r="BA544" i="7" s="1"/>
  <c r="AZ541" i="7"/>
  <c r="AZ544" i="7" s="1"/>
  <c r="BB70" i="7"/>
  <c r="AZ379" i="7"/>
  <c r="BB190" i="7"/>
  <c r="BB195" i="7" s="1"/>
  <c r="BC22" i="12"/>
  <c r="BC347" i="7"/>
  <c r="BC8" i="12"/>
  <c r="BB739" i="7"/>
  <c r="AZ496" i="7"/>
  <c r="BA497" i="7"/>
  <c r="BA454" i="7"/>
  <c r="BA456" i="7" s="1"/>
  <c r="BA459" i="7" s="1"/>
  <c r="AZ456" i="7"/>
  <c r="AZ459" i="7" s="1"/>
  <c r="AZ268" i="7" s="1"/>
  <c r="BB694" i="7"/>
  <c r="BB702" i="7" s="1"/>
  <c r="BC731" i="7"/>
  <c r="BC33" i="12"/>
  <c r="BC27" i="12"/>
  <c r="BC18" i="12"/>
  <c r="BB449" i="7"/>
  <c r="BB466" i="7"/>
  <c r="BB491" i="7" s="1"/>
  <c r="BB389" i="7"/>
  <c r="BB29" i="12"/>
  <c r="AZ764" i="7"/>
  <c r="AZ766" i="7"/>
  <c r="AZ767" i="7" s="1"/>
  <c r="AZ768" i="7" s="1"/>
  <c r="AZ771" i="7" s="1"/>
  <c r="BF408" i="7" l="1"/>
  <c r="BB408" i="7"/>
  <c r="BA413" i="7"/>
  <c r="BB535" i="7"/>
  <c r="BF535" i="7"/>
  <c r="AZ603" i="7"/>
  <c r="BA603" i="7" s="1"/>
  <c r="BA602" i="7" s="1"/>
  <c r="BB602" i="7" s="1"/>
  <c r="BC602" i="7" s="1"/>
  <c r="BD602" i="7" s="1"/>
  <c r="BE602" i="7" s="1"/>
  <c r="AZ154" i="7"/>
  <c r="AZ155" i="7" s="1"/>
  <c r="AZ157" i="7" s="1"/>
  <c r="AZ772" i="7"/>
  <c r="AZ773" i="7" s="1"/>
  <c r="AZ775" i="7" s="1"/>
  <c r="BB32" i="12"/>
  <c r="BB193" i="7"/>
  <c r="BB770" i="7"/>
  <c r="BB745" i="7"/>
  <c r="BC466" i="7"/>
  <c r="BB391" i="7"/>
  <c r="BB482" i="7"/>
  <c r="BC338" i="7"/>
  <c r="BB374" i="7"/>
  <c r="AZ380" i="7"/>
  <c r="BA380" i="7" s="1"/>
  <c r="AZ384" i="7"/>
  <c r="AZ401" i="7" s="1"/>
  <c r="AZ403" i="7" s="1"/>
  <c r="AZ406" i="7" s="1"/>
  <c r="BB244" i="7"/>
  <c r="BC725" i="7"/>
  <c r="BC691" i="7" s="1"/>
  <c r="BC21" i="12"/>
  <c r="BC23" i="12" s="1"/>
  <c r="BC742" i="7"/>
  <c r="BB149" i="7"/>
  <c r="BB200" i="7"/>
  <c r="AZ313" i="7"/>
  <c r="BA379" i="7"/>
  <c r="BC148" i="7"/>
  <c r="BC733" i="7"/>
  <c r="BC111" i="7"/>
  <c r="BC732" i="7"/>
  <c r="AZ681" i="7"/>
  <c r="AZ683" i="7" s="1"/>
  <c r="AZ256" i="7"/>
  <c r="AZ270" i="7"/>
  <c r="BA496" i="7"/>
  <c r="BA501" i="7" s="1"/>
  <c r="AZ501" i="7"/>
  <c r="BC9" i="12"/>
  <c r="BD16" i="12"/>
  <c r="BB700" i="7"/>
  <c r="BB703" i="7"/>
  <c r="BA268" i="7"/>
  <c r="BF446" i="7"/>
  <c r="BB446" i="7"/>
  <c r="AZ500" i="7"/>
  <c r="AZ405" i="7" l="1"/>
  <c r="BA256" i="7"/>
  <c r="BA681" i="7"/>
  <c r="BA683" i="7" s="1"/>
  <c r="BA270" i="7"/>
  <c r="BC741" i="7"/>
  <c r="BC736" i="7" s="1"/>
  <c r="BC697" i="7"/>
  <c r="BC699" i="7" s="1"/>
  <c r="BC693" i="7" s="1"/>
  <c r="BC514" i="7" s="1"/>
  <c r="BC517" i="7" s="1"/>
  <c r="BC726" i="7"/>
  <c r="BC738" i="7" s="1"/>
  <c r="BC10" i="12"/>
  <c r="BB749" i="7"/>
  <c r="BB156" i="7" s="1"/>
  <c r="BB746" i="7"/>
  <c r="BB536" i="7"/>
  <c r="BC482" i="7"/>
  <c r="BB483" i="7"/>
  <c r="BB485" i="7" s="1"/>
  <c r="BC391" i="7"/>
  <c r="AZ776" i="7"/>
  <c r="F4" i="16"/>
  <c r="D41" i="17" s="1"/>
  <c r="D116" i="17" s="1"/>
  <c r="BA775" i="7"/>
  <c r="BB180" i="7"/>
  <c r="BB150" i="7"/>
  <c r="BB162" i="7" s="1"/>
  <c r="BB31" i="12"/>
  <c r="BB30" i="12" s="1"/>
  <c r="BC189" i="7"/>
  <c r="BC491" i="7"/>
  <c r="BC467" i="7" s="1"/>
  <c r="BC392" i="7" s="1"/>
  <c r="AZ250" i="7"/>
  <c r="AZ558" i="7"/>
  <c r="AZ271" i="7"/>
  <c r="BB467" i="7"/>
  <c r="BB490" i="7"/>
  <c r="BB519" i="7"/>
  <c r="BC51" i="7"/>
  <c r="BC133" i="7"/>
  <c r="BA313" i="7"/>
  <c r="BA381" i="7"/>
  <c r="BA384" i="7" s="1"/>
  <c r="BC737" i="7"/>
  <c r="BD17" i="12"/>
  <c r="BD26" i="12"/>
  <c r="AZ228" i="7"/>
  <c r="BA500" i="7"/>
  <c r="BC694" i="7" l="1"/>
  <c r="BC702" i="7" s="1"/>
  <c r="BC519" i="7"/>
  <c r="BC520" i="7" s="1"/>
  <c r="BC608" i="7" s="1"/>
  <c r="BB520" i="7"/>
  <c r="BB608" i="7" s="1"/>
  <c r="BC490" i="7"/>
  <c r="BB392" i="7"/>
  <c r="BB487" i="7"/>
  <c r="BB468" i="7"/>
  <c r="BB471" i="7" s="1"/>
  <c r="BC483" i="7"/>
  <c r="BC485" i="7" s="1"/>
  <c r="BC743" i="7"/>
  <c r="BC70" i="7"/>
  <c r="BA271" i="7"/>
  <c r="BA558" i="7"/>
  <c r="BA250" i="7"/>
  <c r="BD731" i="7"/>
  <c r="BD27" i="12"/>
  <c r="BD33" i="12"/>
  <c r="AZ560" i="7"/>
  <c r="AZ605" i="7"/>
  <c r="AZ593" i="7"/>
  <c r="BB505" i="7"/>
  <c r="BB163" i="7"/>
  <c r="BC739" i="7"/>
  <c r="BB176" i="7"/>
  <c r="BA228" i="7"/>
  <c r="BA776" i="7"/>
  <c r="BD347" i="7"/>
  <c r="BD22" i="12"/>
  <c r="BD8" i="12"/>
  <c r="BC703" i="7"/>
  <c r="BC700" i="7"/>
  <c r="BF371" i="7"/>
  <c r="BA401" i="7"/>
  <c r="BB371" i="7"/>
  <c r="BC680" i="7"/>
  <c r="BC727" i="7"/>
  <c r="BC567" i="7"/>
  <c r="BC765" i="7" s="1"/>
  <c r="BC264" i="7"/>
  <c r="BC266" i="7" s="1"/>
  <c r="BC192" i="7"/>
  <c r="BC728" i="7"/>
  <c r="AZ211" i="7"/>
  <c r="BD18" i="12"/>
  <c r="BC190" i="7"/>
  <c r="BC195" i="7" s="1"/>
  <c r="BB167" i="7"/>
  <c r="BB561" i="7" l="1"/>
  <c r="BB601" i="7" s="1"/>
  <c r="BB177" i="7"/>
  <c r="BB179" i="7" s="1"/>
  <c r="BB181" i="7" s="1"/>
  <c r="BB450" i="7"/>
  <c r="BB410" i="7"/>
  <c r="AZ612" i="7"/>
  <c r="BA612" i="7" s="1"/>
  <c r="AZ596" i="7"/>
  <c r="AZ39" i="12" s="1"/>
  <c r="AZ338" i="11" s="1"/>
  <c r="AZ597" i="7"/>
  <c r="AZ562" i="7"/>
  <c r="AZ607" i="7" s="1"/>
  <c r="AZ554" i="7"/>
  <c r="AZ620" i="7"/>
  <c r="AZ552" i="7"/>
  <c r="BB198" i="7"/>
  <c r="BD742" i="7"/>
  <c r="BC193" i="7"/>
  <c r="BB497" i="7"/>
  <c r="BB394" i="7"/>
  <c r="BC463" i="7"/>
  <c r="BC464" i="7"/>
  <c r="BC149" i="7"/>
  <c r="BC200" i="7"/>
  <c r="BD733" i="7"/>
  <c r="BD148" i="7"/>
  <c r="BD111" i="7"/>
  <c r="BD732" i="7"/>
  <c r="BA593" i="7"/>
  <c r="BA560" i="7"/>
  <c r="BA605" i="7"/>
  <c r="BD725" i="7"/>
  <c r="BD691" i="7" s="1"/>
  <c r="BD21" i="12"/>
  <c r="BD23" i="12" s="1"/>
  <c r="BD338" i="7"/>
  <c r="BC487" i="7"/>
  <c r="BB488" i="7"/>
  <c r="BB489" i="7" s="1"/>
  <c r="BB166" i="7"/>
  <c r="BE16" i="12"/>
  <c r="BD9" i="12"/>
  <c r="BA211" i="7"/>
  <c r="BC770" i="7"/>
  <c r="BC745" i="7"/>
  <c r="BC244" i="7"/>
  <c r="BA403" i="7"/>
  <c r="BA406" i="7" s="1"/>
  <c r="BA405" i="7"/>
  <c r="BB338" i="11" l="1"/>
  <c r="AZ345" i="11"/>
  <c r="AZ342" i="11"/>
  <c r="AZ355" i="11" s="1"/>
  <c r="X652" i="42" s="1"/>
  <c r="AZ38" i="12"/>
  <c r="G8" i="52"/>
  <c r="AZ622" i="7"/>
  <c r="AZ624" i="7" s="1"/>
  <c r="AZ619" i="7"/>
  <c r="BA619" i="7" s="1"/>
  <c r="BB393" i="7"/>
  <c r="BC388" i="7"/>
  <c r="BB402" i="7"/>
  <c r="BB168" i="7"/>
  <c r="BB185" i="7"/>
  <c r="BB448" i="7"/>
  <c r="BB201" i="7"/>
  <c r="BC449" i="7"/>
  <c r="BC389" i="7"/>
  <c r="BC29" i="12"/>
  <c r="BB375" i="7"/>
  <c r="BA620" i="7"/>
  <c r="BA562" i="7"/>
  <c r="BA607" i="7" s="1"/>
  <c r="BA671" i="7" s="1"/>
  <c r="BA554" i="7"/>
  <c r="BA552" i="7"/>
  <c r="BA597" i="7"/>
  <c r="BB507" i="7" s="1"/>
  <c r="BB618" i="7" s="1"/>
  <c r="BA596" i="7"/>
  <c r="BA39" i="12" s="1"/>
  <c r="BA38" i="12" s="1"/>
  <c r="BB164" i="7"/>
  <c r="BD133" i="7"/>
  <c r="BD51" i="7"/>
  <c r="BC746" i="7"/>
  <c r="BC749" i="7"/>
  <c r="BC156" i="7" s="1"/>
  <c r="BC150" i="7"/>
  <c r="BC162" i="7" s="1"/>
  <c r="BC180" i="7"/>
  <c r="BD10" i="12"/>
  <c r="BD726" i="7"/>
  <c r="BD738" i="7" s="1"/>
  <c r="BF16" i="12"/>
  <c r="BE17" i="12"/>
  <c r="BE26" i="12"/>
  <c r="BC468" i="7"/>
  <c r="BC471" i="7" s="1"/>
  <c r="BA611" i="7"/>
  <c r="BB611" i="7" s="1"/>
  <c r="BC611" i="7" s="1"/>
  <c r="BD611" i="7" s="1"/>
  <c r="BE611" i="7" s="1"/>
  <c r="BD737" i="7"/>
  <c r="BD697" i="7"/>
  <c r="BD699" i="7" s="1"/>
  <c r="BD693" i="7" s="1"/>
  <c r="BD514" i="7" s="1"/>
  <c r="BD517" i="7" s="1"/>
  <c r="BD741" i="7"/>
  <c r="BD736" i="7" s="1"/>
  <c r="BD189" i="7"/>
  <c r="BB766" i="7"/>
  <c r="BB767" i="7" s="1"/>
  <c r="BB768" i="7" s="1"/>
  <c r="BB771" i="7" s="1"/>
  <c r="BB764" i="7"/>
  <c r="AZ609" i="7"/>
  <c r="AZ606" i="7"/>
  <c r="AZ672" i="7" s="1"/>
  <c r="AZ670" i="7"/>
  <c r="AZ671" i="7"/>
  <c r="BC488" i="7"/>
  <c r="BC489" i="7" s="1"/>
  <c r="BC338" i="11" l="1"/>
  <c r="BB345" i="11"/>
  <c r="BB342" i="11"/>
  <c r="BB355" i="11" s="1"/>
  <c r="Z652" i="42" s="1"/>
  <c r="G11" i="52"/>
  <c r="H8" i="52"/>
  <c r="H11" i="52" s="1"/>
  <c r="BD694" i="7"/>
  <c r="BD702" i="7" s="1"/>
  <c r="BD743" i="7"/>
  <c r="BB454" i="7"/>
  <c r="BB509" i="7"/>
  <c r="BB412" i="7"/>
  <c r="BB379" i="7" s="1"/>
  <c r="BB313" i="7" s="1"/>
  <c r="BB540" i="7"/>
  <c r="BB541" i="7" s="1"/>
  <c r="BB544" i="7" s="1"/>
  <c r="AZ675" i="7"/>
  <c r="AZ676" i="7" s="1"/>
  <c r="AZ673" i="7"/>
  <c r="BD464" i="7"/>
  <c r="BD463" i="7"/>
  <c r="BC497" i="7"/>
  <c r="BC561" i="7"/>
  <c r="BC394" i="7"/>
  <c r="BC32" i="12"/>
  <c r="BD190" i="7"/>
  <c r="BD195" i="7" s="1"/>
  <c r="BC167" i="7"/>
  <c r="BE33" i="12"/>
  <c r="BF26" i="12"/>
  <c r="BE731" i="7"/>
  <c r="BE27" i="12"/>
  <c r="BE347" i="7"/>
  <c r="BE22" i="12"/>
  <c r="BE8" i="12"/>
  <c r="BC374" i="7"/>
  <c r="BA624" i="7"/>
  <c r="AZ627" i="7"/>
  <c r="BB154" i="7"/>
  <c r="BB155" i="7" s="1"/>
  <c r="BB157" i="7" s="1"/>
  <c r="BB772" i="7"/>
  <c r="BB773" i="7" s="1"/>
  <c r="BB775" i="7" s="1"/>
  <c r="BB776" i="7" s="1"/>
  <c r="BD739" i="7"/>
  <c r="BB172" i="7"/>
  <c r="BD70" i="7"/>
  <c r="BB603" i="7"/>
  <c r="BB373" i="7"/>
  <c r="BE18" i="12"/>
  <c r="BD680" i="7"/>
  <c r="BD728" i="7"/>
  <c r="BD264" i="7"/>
  <c r="BD266" i="7" s="1"/>
  <c r="BD567" i="7"/>
  <c r="BD765" i="7" s="1"/>
  <c r="BD727" i="7"/>
  <c r="BD192" i="7"/>
  <c r="BA606" i="7"/>
  <c r="BA672" i="7" s="1"/>
  <c r="BA675" i="7" s="1"/>
  <c r="BA676" i="7" s="1"/>
  <c r="BA609" i="7"/>
  <c r="BA670" i="7"/>
  <c r="BB158" i="7"/>
  <c r="BB159" i="7"/>
  <c r="BB202" i="7"/>
  <c r="BB204" i="7" s="1"/>
  <c r="BC176" i="7"/>
  <c r="BF616" i="7"/>
  <c r="BB616" i="7"/>
  <c r="BB112" i="7"/>
  <c r="BD338" i="11" l="1"/>
  <c r="BC345" i="11"/>
  <c r="BC342" i="11"/>
  <c r="BC355" i="11" s="1"/>
  <c r="AA652" i="42" s="1"/>
  <c r="BD703" i="7"/>
  <c r="BD700" i="7"/>
  <c r="BB456" i="7"/>
  <c r="BB459" i="7" s="1"/>
  <c r="F40" i="53"/>
  <c r="J40" i="53" s="1"/>
  <c r="L40" i="53" s="1"/>
  <c r="BA673" i="7"/>
  <c r="BB414" i="7"/>
  <c r="BB559" i="7"/>
  <c r="BB594" i="7" s="1"/>
  <c r="BC503" i="7"/>
  <c r="BB498" i="7"/>
  <c r="BB496" i="7" s="1"/>
  <c r="BC446" i="7"/>
  <c r="BB268" i="7"/>
  <c r="BE742" i="7"/>
  <c r="BE338" i="7"/>
  <c r="BF347" i="7"/>
  <c r="BC601" i="7"/>
  <c r="BC766" i="7"/>
  <c r="BC767" i="7" s="1"/>
  <c r="BC768" i="7" s="1"/>
  <c r="BC771" i="7" s="1"/>
  <c r="BC764" i="7"/>
  <c r="BC31" i="12"/>
  <c r="BC30" i="12" s="1"/>
  <c r="BA627" i="7"/>
  <c r="BE725" i="7"/>
  <c r="BF8" i="12"/>
  <c r="BE21" i="12"/>
  <c r="BE23" i="12" s="1"/>
  <c r="BD244" i="7"/>
  <c r="BD770" i="7"/>
  <c r="BD745" i="7"/>
  <c r="BE733" i="7"/>
  <c r="BE111" i="7"/>
  <c r="BF731" i="7"/>
  <c r="BE148" i="7"/>
  <c r="BE732" i="7"/>
  <c r="BE9" i="12"/>
  <c r="BF18" i="12"/>
  <c r="BG16" i="12" s="1"/>
  <c r="BG26" i="12" s="1"/>
  <c r="BF27" i="12"/>
  <c r="BB52" i="7"/>
  <c r="BC198" i="7"/>
  <c r="BD193" i="7"/>
  <c r="BC402" i="7"/>
  <c r="BC393" i="7"/>
  <c r="BD388" i="7"/>
  <c r="BC535" i="7"/>
  <c r="BD149" i="7"/>
  <c r="BD200" i="7"/>
  <c r="BD29" i="12"/>
  <c r="BD449" i="7"/>
  <c r="BD389" i="7"/>
  <c r="BD466" i="7"/>
  <c r="BE338" i="11" l="1"/>
  <c r="BD345" i="11"/>
  <c r="BD342" i="11"/>
  <c r="BD355" i="11" s="1"/>
  <c r="AB652" i="42" s="1"/>
  <c r="G40" i="53"/>
  <c r="BB501" i="7"/>
  <c r="BB500" i="7"/>
  <c r="BB413" i="7"/>
  <c r="BC408" i="7"/>
  <c r="BB381" i="7"/>
  <c r="BC505" i="7"/>
  <c r="BC163" i="7"/>
  <c r="BF148" i="7"/>
  <c r="BG33" i="12"/>
  <c r="BG731" i="7"/>
  <c r="BG27" i="12"/>
  <c r="BD32" i="12"/>
  <c r="BC536" i="7"/>
  <c r="BD374" i="7"/>
  <c r="BB256" i="7"/>
  <c r="BB681" i="7"/>
  <c r="BB683" i="7" s="1"/>
  <c r="BB270" i="7"/>
  <c r="BD746" i="7"/>
  <c r="BD749" i="7"/>
  <c r="BD156" i="7" s="1"/>
  <c r="BD150" i="7"/>
  <c r="BD162" i="7" s="1"/>
  <c r="BD180" i="7"/>
  <c r="BC201" i="7"/>
  <c r="BF725" i="7"/>
  <c r="BE691" i="7"/>
  <c r="BC154" i="7"/>
  <c r="BC155" i="7" s="1"/>
  <c r="BC157" i="7" s="1"/>
  <c r="BC772" i="7"/>
  <c r="BC773" i="7" s="1"/>
  <c r="BC775" i="7" s="1"/>
  <c r="BC776" i="7" s="1"/>
  <c r="BE741" i="7"/>
  <c r="BE736" i="7" s="1"/>
  <c r="BF736" i="7" s="1"/>
  <c r="BE697" i="7"/>
  <c r="BE699" i="7" s="1"/>
  <c r="BE693" i="7" s="1"/>
  <c r="BF693" i="7" s="1"/>
  <c r="BE737" i="7"/>
  <c r="BG17" i="12"/>
  <c r="BF732" i="7"/>
  <c r="BF733" i="7"/>
  <c r="BE466" i="7"/>
  <c r="BD391" i="7"/>
  <c r="BD482" i="7"/>
  <c r="BD491" i="7"/>
  <c r="BE51" i="7"/>
  <c r="BE133" i="7"/>
  <c r="BF111" i="7"/>
  <c r="BC603" i="7"/>
  <c r="BF9" i="12"/>
  <c r="BF10" i="12" s="1"/>
  <c r="BE10" i="12"/>
  <c r="BE726" i="7"/>
  <c r="BE738" i="7" s="1"/>
  <c r="BF338" i="7"/>
  <c r="BE345" i="11" l="1"/>
  <c r="BE342" i="11"/>
  <c r="BE355" i="11" s="1"/>
  <c r="BF466" i="7"/>
  <c r="BE491" i="7"/>
  <c r="BG8" i="12"/>
  <c r="BG725" i="7" s="1"/>
  <c r="BB384" i="7"/>
  <c r="BB380" i="7"/>
  <c r="BD31" i="12"/>
  <c r="BD30" i="12" s="1"/>
  <c r="BD467" i="7"/>
  <c r="BD519" i="7"/>
  <c r="BD490" i="7"/>
  <c r="BF133" i="7"/>
  <c r="BE70" i="7"/>
  <c r="BF51" i="7"/>
  <c r="BE482" i="7"/>
  <c r="BD483" i="7"/>
  <c r="BD485" i="7" s="1"/>
  <c r="BE391" i="7"/>
  <c r="BF391" i="7" s="1"/>
  <c r="BG22" i="12"/>
  <c r="BG347" i="7"/>
  <c r="BB228" i="7"/>
  <c r="BF699" i="7"/>
  <c r="BE514" i="7"/>
  <c r="BE517" i="7" s="1"/>
  <c r="BE189" i="7"/>
  <c r="BE190" i="7" s="1"/>
  <c r="BE195" i="7" s="1"/>
  <c r="BF691" i="7"/>
  <c r="BE694" i="7"/>
  <c r="BC177" i="7"/>
  <c r="BC166" i="7"/>
  <c r="BG148" i="7"/>
  <c r="BG111" i="7"/>
  <c r="BG732" i="7"/>
  <c r="BG733" i="7"/>
  <c r="BC410" i="7"/>
  <c r="BC450" i="7"/>
  <c r="BD176" i="7"/>
  <c r="BB271" i="7"/>
  <c r="BB558" i="7"/>
  <c r="BB250" i="7"/>
  <c r="BE680" i="7"/>
  <c r="BE192" i="7"/>
  <c r="BE193" i="7" s="1"/>
  <c r="BE728" i="7"/>
  <c r="BE567" i="7"/>
  <c r="BE727" i="7"/>
  <c r="BE264" i="7"/>
  <c r="BE266" i="7" s="1"/>
  <c r="BF726" i="7"/>
  <c r="BG18" i="12"/>
  <c r="BE739" i="7"/>
  <c r="BF737" i="7"/>
  <c r="BC158" i="7"/>
  <c r="BC159" i="7"/>
  <c r="BC202" i="7"/>
  <c r="BC204" i="7" s="1"/>
  <c r="BE743" i="7"/>
  <c r="BD167" i="7"/>
  <c r="BG21" i="12" l="1"/>
  <c r="BC448" i="7"/>
  <c r="BC112" i="7" s="1"/>
  <c r="BC375" i="7"/>
  <c r="BC164" i="7"/>
  <c r="BC371" i="7"/>
  <c r="BB401" i="7"/>
  <c r="BF70" i="7"/>
  <c r="BE244" i="7"/>
  <c r="BF680" i="7"/>
  <c r="BF192" i="7"/>
  <c r="BF567" i="7"/>
  <c r="BF765" i="7" s="1"/>
  <c r="BF264" i="7"/>
  <c r="BF266" i="7" s="1"/>
  <c r="BF727" i="7"/>
  <c r="BB211" i="7"/>
  <c r="BE700" i="7"/>
  <c r="BE703" i="7"/>
  <c r="BF694" i="7"/>
  <c r="BF702" i="7" s="1"/>
  <c r="BF517" i="7"/>
  <c r="BE765" i="7"/>
  <c r="BF739" i="7"/>
  <c r="BE149" i="7"/>
  <c r="BF195" i="7"/>
  <c r="BE200" i="7"/>
  <c r="BE770" i="7"/>
  <c r="BF728" i="7"/>
  <c r="BE745" i="7"/>
  <c r="BG338" i="7"/>
  <c r="BF189" i="7"/>
  <c r="BF514" i="7"/>
  <c r="BF697" i="7"/>
  <c r="BG691" i="7"/>
  <c r="BD520" i="7"/>
  <c r="BD608" i="7" s="1"/>
  <c r="BD392" i="7"/>
  <c r="BD487" i="7"/>
  <c r="BD468" i="7"/>
  <c r="BD471" i="7" s="1"/>
  <c r="BG23" i="12"/>
  <c r="BG742" i="7"/>
  <c r="BG51" i="7"/>
  <c r="BG133" i="7"/>
  <c r="BB593" i="7"/>
  <c r="BB605" i="7"/>
  <c r="BB560" i="7"/>
  <c r="BE702" i="7"/>
  <c r="BD505" i="7"/>
  <c r="BD163" i="7"/>
  <c r="BD177" i="7" s="1"/>
  <c r="BD179" i="7" s="1"/>
  <c r="BD181" i="7" s="1"/>
  <c r="BD198" i="7"/>
  <c r="BC179" i="7"/>
  <c r="BC181" i="7" s="1"/>
  <c r="BE483" i="7"/>
  <c r="BE485" i="7" s="1"/>
  <c r="BF485" i="7" s="1"/>
  <c r="BF482" i="7"/>
  <c r="BG9" i="12"/>
  <c r="BH16" i="12"/>
  <c r="BF738" i="7"/>
  <c r="BG697" i="7" l="1"/>
  <c r="BG699" i="7" s="1"/>
  <c r="BG693" i="7" s="1"/>
  <c r="BG514" i="7" s="1"/>
  <c r="BG741" i="7"/>
  <c r="BG736" i="7" s="1"/>
  <c r="BG737" i="7"/>
  <c r="BD166" i="7"/>
  <c r="BC373" i="7"/>
  <c r="BB405" i="7"/>
  <c r="BB403" i="7"/>
  <c r="BB406" i="7" s="1"/>
  <c r="BD488" i="7"/>
  <c r="BD489" i="7" s="1"/>
  <c r="BD497" i="7"/>
  <c r="BE464" i="7"/>
  <c r="BE463" i="7"/>
  <c r="BD561" i="7"/>
  <c r="BD394" i="7"/>
  <c r="BF149" i="7"/>
  <c r="BF150" i="7" s="1"/>
  <c r="BE150" i="7"/>
  <c r="BE162" i="7" s="1"/>
  <c r="BE180" i="7"/>
  <c r="BG189" i="7"/>
  <c r="BG190" i="7" s="1"/>
  <c r="BG195" i="7" s="1"/>
  <c r="BB620" i="7"/>
  <c r="BB554" i="7"/>
  <c r="BB562" i="7"/>
  <c r="BB607" i="7" s="1"/>
  <c r="BB671" i="7" s="1"/>
  <c r="BB552" i="7"/>
  <c r="BD185" i="7"/>
  <c r="BD168" i="7"/>
  <c r="BD172" i="7" s="1"/>
  <c r="BF200" i="7"/>
  <c r="BF703" i="7"/>
  <c r="BF700" i="7"/>
  <c r="BH17" i="12"/>
  <c r="BH26" i="12"/>
  <c r="BF244" i="7"/>
  <c r="BG70" i="7"/>
  <c r="BG739" i="7"/>
  <c r="BF483" i="7"/>
  <c r="BF484" i="7" s="1"/>
  <c r="BG484" i="7" s="1"/>
  <c r="BH484" i="7" s="1"/>
  <c r="BI484" i="7" s="1"/>
  <c r="BJ484" i="7" s="1"/>
  <c r="BC168" i="7"/>
  <c r="BC185" i="7"/>
  <c r="BD201" i="7"/>
  <c r="BF516" i="7"/>
  <c r="BG516" i="7" s="1"/>
  <c r="BH516" i="7" s="1"/>
  <c r="BI516" i="7" s="1"/>
  <c r="BJ516" i="7" s="1"/>
  <c r="BF745" i="7"/>
  <c r="BE746" i="7"/>
  <c r="BE749" i="7"/>
  <c r="BE156" i="7" s="1"/>
  <c r="BG10" i="12"/>
  <c r="BG726" i="7"/>
  <c r="BB612" i="7"/>
  <c r="BB597" i="7"/>
  <c r="BC507" i="7" s="1"/>
  <c r="BC618" i="7" s="1"/>
  <c r="BB596" i="7"/>
  <c r="BB39" i="12" s="1"/>
  <c r="BD410" i="7"/>
  <c r="BD450" i="7"/>
  <c r="BG743" i="7" l="1"/>
  <c r="BB38" i="12"/>
  <c r="BB46" i="12"/>
  <c r="BG694" i="7"/>
  <c r="BG700" i="7" s="1"/>
  <c r="BH18" i="12"/>
  <c r="BI16" i="12" s="1"/>
  <c r="BH8" i="12"/>
  <c r="BF491" i="7"/>
  <c r="BC540" i="7"/>
  <c r="BC541" i="7" s="1"/>
  <c r="BC544" i="7" s="1"/>
  <c r="BD535" i="7" s="1"/>
  <c r="BC52" i="7"/>
  <c r="BD164" i="7"/>
  <c r="BD448" i="7"/>
  <c r="BD375" i="7"/>
  <c r="BC172" i="7"/>
  <c r="BG517" i="7"/>
  <c r="BC454" i="7"/>
  <c r="BC412" i="7"/>
  <c r="BC379" i="7" s="1"/>
  <c r="BC313" i="7" s="1"/>
  <c r="BC509" i="7"/>
  <c r="BB622" i="7"/>
  <c r="BB624" i="7" s="1"/>
  <c r="BC616" i="7"/>
  <c r="BB619" i="7"/>
  <c r="BH27" i="12"/>
  <c r="BH33" i="12"/>
  <c r="BH731" i="7"/>
  <c r="BF180" i="7"/>
  <c r="BE167" i="7"/>
  <c r="BG702" i="7"/>
  <c r="BG149" i="7"/>
  <c r="BH9" i="12"/>
  <c r="BF162" i="7"/>
  <c r="BE176" i="7"/>
  <c r="BE388" i="7"/>
  <c r="BD402" i="7"/>
  <c r="BD393" i="7"/>
  <c r="BE389" i="7"/>
  <c r="BE449" i="7"/>
  <c r="BE29" i="12"/>
  <c r="BF464" i="7"/>
  <c r="BG200" i="7"/>
  <c r="BG567" i="7"/>
  <c r="BG192" i="7"/>
  <c r="BG727" i="7"/>
  <c r="BG680" i="7"/>
  <c r="BG264" i="7"/>
  <c r="BG266" i="7" s="1"/>
  <c r="BG728" i="7"/>
  <c r="BG745" i="7" s="1"/>
  <c r="BG738" i="7"/>
  <c r="BH22" i="12"/>
  <c r="BH347" i="7"/>
  <c r="BD158" i="7"/>
  <c r="BD159" i="7"/>
  <c r="BD202" i="7"/>
  <c r="BD204" i="7" s="1"/>
  <c r="BD766" i="7"/>
  <c r="BD767" i="7" s="1"/>
  <c r="BD768" i="7" s="1"/>
  <c r="BD771" i="7" s="1"/>
  <c r="BD601" i="7"/>
  <c r="BD764" i="7"/>
  <c r="BF746" i="7"/>
  <c r="BF749" i="7"/>
  <c r="BF156" i="7" s="1"/>
  <c r="BB606" i="7"/>
  <c r="BB672" i="7" s="1"/>
  <c r="BB675" i="7" s="1"/>
  <c r="BB676" i="7" s="1"/>
  <c r="BB609" i="7"/>
  <c r="BB670" i="7"/>
  <c r="BG703" i="7" l="1"/>
  <c r="BB21" i="44"/>
  <c r="BB24" i="44" s="1"/>
  <c r="BE519" i="7"/>
  <c r="BE490" i="7"/>
  <c r="BF490" i="7" s="1"/>
  <c r="BE467" i="7"/>
  <c r="BB673" i="7"/>
  <c r="BD373" i="7"/>
  <c r="BC559" i="7"/>
  <c r="BC594" i="7" s="1"/>
  <c r="BD503" i="7"/>
  <c r="BC414" i="7"/>
  <c r="BC498" i="7"/>
  <c r="BC496" i="7" s="1"/>
  <c r="BC456" i="7"/>
  <c r="BC459" i="7" s="1"/>
  <c r="BD536" i="7"/>
  <c r="BD112" i="7"/>
  <c r="BF176" i="7"/>
  <c r="BI17" i="12"/>
  <c r="BI18" i="12" s="1"/>
  <c r="BH148" i="7"/>
  <c r="BH111" i="7"/>
  <c r="BH733" i="7"/>
  <c r="BH732" i="7"/>
  <c r="BD154" i="7"/>
  <c r="BD155" i="7" s="1"/>
  <c r="BD157" i="7" s="1"/>
  <c r="BD772" i="7"/>
  <c r="BD773" i="7" s="1"/>
  <c r="BD775" i="7" s="1"/>
  <c r="BG180" i="7"/>
  <c r="BE198" i="7"/>
  <c r="BF167" i="7"/>
  <c r="BH725" i="7"/>
  <c r="BH691" i="7" s="1"/>
  <c r="BH21" i="12"/>
  <c r="BH23" i="12" s="1"/>
  <c r="BH742" i="7"/>
  <c r="BB627" i="7"/>
  <c r="BD603" i="7"/>
  <c r="BG150" i="7"/>
  <c r="BG162" i="7" s="1"/>
  <c r="BI26" i="12"/>
  <c r="BG770" i="7"/>
  <c r="BG244" i="7"/>
  <c r="BE374" i="7"/>
  <c r="BF389" i="7"/>
  <c r="BG193" i="7"/>
  <c r="BG749" i="7"/>
  <c r="BG156" i="7" s="1"/>
  <c r="BG746" i="7"/>
  <c r="BH726" i="7"/>
  <c r="BH10" i="12"/>
  <c r="BH338" i="7"/>
  <c r="BE32" i="12"/>
  <c r="BF519" i="7"/>
  <c r="BF449" i="7"/>
  <c r="BG765" i="7"/>
  <c r="BB70" i="44" l="1"/>
  <c r="BF467" i="7"/>
  <c r="BF468" i="7" s="1"/>
  <c r="BF471" i="7" s="1"/>
  <c r="BG464" i="7" s="1"/>
  <c r="BE468" i="7"/>
  <c r="BE471" i="7" s="1"/>
  <c r="BE520" i="7"/>
  <c r="BE608" i="7" s="1"/>
  <c r="BE392" i="7"/>
  <c r="BF392" i="7" s="1"/>
  <c r="BE487" i="7"/>
  <c r="BE488" i="7" s="1"/>
  <c r="BE489" i="7" s="1"/>
  <c r="BI8" i="12"/>
  <c r="BD776" i="7"/>
  <c r="BD446" i="7"/>
  <c r="BC268" i="7"/>
  <c r="BD408" i="7"/>
  <c r="BC381" i="7"/>
  <c r="BC413" i="7"/>
  <c r="BC501" i="7"/>
  <c r="BC500" i="7"/>
  <c r="BH738" i="7"/>
  <c r="BD52" i="7"/>
  <c r="BI9" i="12"/>
  <c r="BJ16" i="12"/>
  <c r="BF374" i="7"/>
  <c r="BH741" i="7"/>
  <c r="BH736" i="7" s="1"/>
  <c r="BH697" i="7"/>
  <c r="BH699" i="7" s="1"/>
  <c r="BH693" i="7" s="1"/>
  <c r="BH514" i="7" s="1"/>
  <c r="BH517" i="7" s="1"/>
  <c r="BE31" i="12"/>
  <c r="BE30" i="12" s="1"/>
  <c r="BG167" i="7"/>
  <c r="BH680" i="7"/>
  <c r="BH728" i="7"/>
  <c r="BH192" i="7"/>
  <c r="BH727" i="7"/>
  <c r="BH567" i="7"/>
  <c r="BH264" i="7"/>
  <c r="BH266" i="7" s="1"/>
  <c r="BH133" i="7"/>
  <c r="BH51" i="7"/>
  <c r="BI347" i="7"/>
  <c r="BI22" i="12"/>
  <c r="BH189" i="7"/>
  <c r="BH737" i="7"/>
  <c r="BF394" i="7"/>
  <c r="BI33" i="12"/>
  <c r="BI731" i="7"/>
  <c r="BI27" i="12"/>
  <c r="BF520" i="7"/>
  <c r="BF608" i="7" s="1"/>
  <c r="BF198" i="7"/>
  <c r="BE201" i="7"/>
  <c r="BG176" i="7"/>
  <c r="BB73" i="44" l="1"/>
  <c r="M19" i="47"/>
  <c r="Z675" i="42" s="1"/>
  <c r="BF561" i="7"/>
  <c r="BE561" i="7"/>
  <c r="BE474" i="7"/>
  <c r="BF474" i="7" s="1"/>
  <c r="BE394" i="7"/>
  <c r="BE497" i="7"/>
  <c r="BF497" i="7" s="1"/>
  <c r="BE393" i="7"/>
  <c r="BF393" i="7" s="1"/>
  <c r="BF487" i="7"/>
  <c r="BF488" i="7" s="1"/>
  <c r="BF489" i="7" s="1"/>
  <c r="BG29" i="12"/>
  <c r="BG389" i="7"/>
  <c r="BG374" i="7" s="1"/>
  <c r="BG449" i="7"/>
  <c r="BG466" i="7"/>
  <c r="BC681" i="7"/>
  <c r="BC683" i="7" s="1"/>
  <c r="BC270" i="7"/>
  <c r="BC256" i="7"/>
  <c r="BH743" i="7"/>
  <c r="BC384" i="7"/>
  <c r="BC380" i="7"/>
  <c r="BE505" i="7"/>
  <c r="BF505" i="7" s="1"/>
  <c r="BE163" i="7"/>
  <c r="BF163" i="7" s="1"/>
  <c r="BH70" i="7"/>
  <c r="BH739" i="7"/>
  <c r="BE158" i="7"/>
  <c r="BE159" i="7"/>
  <c r="BF201" i="7"/>
  <c r="BE202" i="7"/>
  <c r="BE204" i="7" s="1"/>
  <c r="BI742" i="7"/>
  <c r="BI737" i="7" s="1"/>
  <c r="BI725" i="7"/>
  <c r="BI691" i="7" s="1"/>
  <c r="BI21" i="12"/>
  <c r="BI23" i="12" s="1"/>
  <c r="BI148" i="7"/>
  <c r="BI111" i="7"/>
  <c r="BI733" i="7"/>
  <c r="BI732" i="7"/>
  <c r="BI338" i="7"/>
  <c r="BH765" i="7"/>
  <c r="BK16" i="12"/>
  <c r="BJ17" i="12"/>
  <c r="BJ8" i="12" s="1"/>
  <c r="BK8" i="12" s="1"/>
  <c r="BG198" i="7"/>
  <c r="BH244" i="7"/>
  <c r="BJ26" i="12"/>
  <c r="BH193" i="7"/>
  <c r="BF402" i="7"/>
  <c r="BG388" i="7"/>
  <c r="BI726" i="7"/>
  <c r="BI10" i="12"/>
  <c r="BH190" i="7"/>
  <c r="BH195" i="7" s="1"/>
  <c r="BH694" i="7"/>
  <c r="BH702" i="7" s="1"/>
  <c r="BF601" i="7"/>
  <c r="BF764" i="7"/>
  <c r="BF154" i="7" s="1"/>
  <c r="BF155" i="7" s="1"/>
  <c r="BF766" i="7"/>
  <c r="BF767" i="7" s="1"/>
  <c r="BF768" i="7" s="1"/>
  <c r="BH770" i="7"/>
  <c r="BH745" i="7"/>
  <c r="BH466" i="7" l="1"/>
  <c r="BG391" i="7"/>
  <c r="BG491" i="7"/>
  <c r="BG482" i="7"/>
  <c r="BE402" i="7"/>
  <c r="BE397" i="7"/>
  <c r="BF397" i="7" s="1"/>
  <c r="BK388" i="7" s="1"/>
  <c r="BK463" i="7"/>
  <c r="BG463" i="7"/>
  <c r="BG32" i="12"/>
  <c r="BG31" i="12" s="1"/>
  <c r="BG30" i="12" s="1"/>
  <c r="BG505" i="7" s="1"/>
  <c r="BE601" i="7"/>
  <c r="BE603" i="7" s="1"/>
  <c r="BF603" i="7" s="1"/>
  <c r="BF602" i="7" s="1"/>
  <c r="BG602" i="7" s="1"/>
  <c r="BE766" i="7"/>
  <c r="BE767" i="7" s="1"/>
  <c r="BE768" i="7" s="1"/>
  <c r="BE771" i="7" s="1"/>
  <c r="BE764" i="7"/>
  <c r="BD371" i="7"/>
  <c r="BC401" i="7"/>
  <c r="BC228" i="7"/>
  <c r="BC250" i="7"/>
  <c r="BC558" i="7"/>
  <c r="BC271" i="7"/>
  <c r="BI680" i="7"/>
  <c r="BI727" i="7"/>
  <c r="BI192" i="7"/>
  <c r="BI264" i="7"/>
  <c r="BI266" i="7" s="1"/>
  <c r="BI567" i="7"/>
  <c r="BI728" i="7"/>
  <c r="BI745" i="7" s="1"/>
  <c r="BG201" i="7"/>
  <c r="BF202" i="7"/>
  <c r="BF204" i="7" s="1"/>
  <c r="BH749" i="7"/>
  <c r="BH156" i="7" s="1"/>
  <c r="BH746" i="7"/>
  <c r="BK26" i="12"/>
  <c r="BJ27" i="12"/>
  <c r="BJ33" i="12"/>
  <c r="BJ731" i="7"/>
  <c r="BI133" i="7"/>
  <c r="BI51" i="7"/>
  <c r="BI697" i="7"/>
  <c r="BI699" i="7" s="1"/>
  <c r="BI693" i="7" s="1"/>
  <c r="BI694" i="7" s="1"/>
  <c r="BI741" i="7"/>
  <c r="BI736" i="7" s="1"/>
  <c r="BI739" i="7" s="1"/>
  <c r="BJ22" i="12"/>
  <c r="BJ347" i="7"/>
  <c r="BE177" i="7"/>
  <c r="BE166" i="7"/>
  <c r="BI738" i="7"/>
  <c r="BJ18" i="12"/>
  <c r="BH703" i="7"/>
  <c r="BH700" i="7"/>
  <c r="BH149" i="7"/>
  <c r="BH200" i="7"/>
  <c r="BI189" i="7"/>
  <c r="BE450" i="7"/>
  <c r="BE410" i="7"/>
  <c r="BE772" i="7" l="1"/>
  <c r="BE773" i="7" s="1"/>
  <c r="BE775" i="7" s="1"/>
  <c r="BE154" i="7"/>
  <c r="BE155" i="7" s="1"/>
  <c r="BE157" i="7" s="1"/>
  <c r="BG163" i="7"/>
  <c r="BG166" i="7" s="1"/>
  <c r="BG164" i="7" s="1"/>
  <c r="BG467" i="7"/>
  <c r="BG468" i="7" s="1"/>
  <c r="BG471" i="7" s="1"/>
  <c r="BG519" i="7"/>
  <c r="BG490" i="7"/>
  <c r="BH391" i="7"/>
  <c r="BH491" i="7"/>
  <c r="BH467" i="7" s="1"/>
  <c r="BH392" i="7" s="1"/>
  <c r="BG450" i="7"/>
  <c r="BG448" i="7" s="1"/>
  <c r="BG112" i="7" s="1"/>
  <c r="BG410" i="7"/>
  <c r="BG375" i="7" s="1"/>
  <c r="BG373" i="7" s="1"/>
  <c r="BG52" i="7" s="1"/>
  <c r="BH482" i="7"/>
  <c r="BG483" i="7"/>
  <c r="BG485" i="7" s="1"/>
  <c r="BC605" i="7"/>
  <c r="BC560" i="7"/>
  <c r="BC593" i="7"/>
  <c r="BE164" i="7"/>
  <c r="BF166" i="7"/>
  <c r="BF164" i="7" s="1"/>
  <c r="BC211" i="7"/>
  <c r="BC403" i="7"/>
  <c r="BC406" i="7" s="1"/>
  <c r="BC405" i="7"/>
  <c r="BE448" i="7"/>
  <c r="BF448" i="7" s="1"/>
  <c r="BF450" i="7"/>
  <c r="BI514" i="7"/>
  <c r="BI517" i="7" s="1"/>
  <c r="BE375" i="7"/>
  <c r="BF410" i="7"/>
  <c r="BI700" i="7"/>
  <c r="BI703" i="7"/>
  <c r="BJ9" i="12"/>
  <c r="BK18" i="12"/>
  <c r="BL16" i="12" s="1"/>
  <c r="BL26" i="12" s="1"/>
  <c r="BI746" i="7"/>
  <c r="BI749" i="7"/>
  <c r="BI156" i="7" s="1"/>
  <c r="BI702" i="7"/>
  <c r="BI765" i="7"/>
  <c r="BI70" i="7"/>
  <c r="BI193" i="7"/>
  <c r="BJ338" i="7"/>
  <c r="BK347" i="7"/>
  <c r="BJ148" i="7"/>
  <c r="BJ732" i="7"/>
  <c r="BK731" i="7"/>
  <c r="BJ111" i="7"/>
  <c r="BJ733" i="7"/>
  <c r="BK27" i="12"/>
  <c r="BF177" i="7"/>
  <c r="BG177" i="7" s="1"/>
  <c r="BE179" i="7"/>
  <c r="BI244" i="7"/>
  <c r="BH150" i="7"/>
  <c r="BH162" i="7" s="1"/>
  <c r="BH180" i="7"/>
  <c r="BH602" i="7"/>
  <c r="BI190" i="7"/>
  <c r="BI195" i="7" s="1"/>
  <c r="BI200" i="7" s="1"/>
  <c r="BJ725" i="7"/>
  <c r="BJ21" i="12"/>
  <c r="BJ742" i="7"/>
  <c r="BI770" i="7"/>
  <c r="BI743" i="7"/>
  <c r="BG158" i="7"/>
  <c r="BG159" i="7"/>
  <c r="BG202" i="7"/>
  <c r="BG204" i="7" s="1"/>
  <c r="BH464" i="7" l="1"/>
  <c r="BG561" i="7"/>
  <c r="BG394" i="7"/>
  <c r="BG497" i="7"/>
  <c r="BH463" i="7"/>
  <c r="BH468" i="7" s="1"/>
  <c r="BH471" i="7" s="1"/>
  <c r="BH490" i="7"/>
  <c r="BE776" i="7"/>
  <c r="BF775" i="7"/>
  <c r="BF776" i="7" s="1"/>
  <c r="BG392" i="7"/>
  <c r="BG487" i="7"/>
  <c r="BH483" i="7"/>
  <c r="BH485" i="7" s="1"/>
  <c r="BG520" i="7"/>
  <c r="BG608" i="7" s="1"/>
  <c r="BH519" i="7"/>
  <c r="BE112" i="7"/>
  <c r="BF112" i="7" s="1"/>
  <c r="BE373" i="7"/>
  <c r="BF375" i="7"/>
  <c r="BC612" i="7"/>
  <c r="BC597" i="7"/>
  <c r="BD507" i="7" s="1"/>
  <c r="BC596" i="7"/>
  <c r="BC39" i="12" s="1"/>
  <c r="BC554" i="7"/>
  <c r="BC562" i="7"/>
  <c r="BC607" i="7" s="1"/>
  <c r="BC552" i="7"/>
  <c r="BC620" i="7"/>
  <c r="BJ133" i="7"/>
  <c r="BJ51" i="7"/>
  <c r="BK111" i="7"/>
  <c r="BK732" i="7"/>
  <c r="BK733" i="7"/>
  <c r="BE181" i="7"/>
  <c r="BF179" i="7"/>
  <c r="BJ697" i="7"/>
  <c r="BJ699" i="7" s="1"/>
  <c r="BJ693" i="7" s="1"/>
  <c r="BK693" i="7" s="1"/>
  <c r="BJ741" i="7"/>
  <c r="BJ736" i="7" s="1"/>
  <c r="BK736" i="7" s="1"/>
  <c r="BK725" i="7"/>
  <c r="BJ691" i="7"/>
  <c r="BH176" i="7"/>
  <c r="BJ737" i="7"/>
  <c r="BG179" i="7"/>
  <c r="BG181" i="7" s="1"/>
  <c r="BL17" i="12"/>
  <c r="BL8" i="12" s="1"/>
  <c r="BL27" i="12"/>
  <c r="BL731" i="7"/>
  <c r="BL33" i="12"/>
  <c r="BL32" i="12" s="1"/>
  <c r="BK148" i="7"/>
  <c r="BH167" i="7"/>
  <c r="BK9" i="12"/>
  <c r="BK10" i="12" s="1"/>
  <c r="BJ726" i="7"/>
  <c r="BJ738" i="7" s="1"/>
  <c r="BJ10" i="12"/>
  <c r="BI602" i="7"/>
  <c r="BK338" i="7"/>
  <c r="BJ23" i="12"/>
  <c r="BI149" i="7"/>
  <c r="BI180" i="7" s="1"/>
  <c r="BC38" i="12" l="1"/>
  <c r="BC46" i="12"/>
  <c r="BD540" i="7"/>
  <c r="BD541" i="7" s="1"/>
  <c r="BD544" i="7" s="1"/>
  <c r="BG488" i="7"/>
  <c r="BG489" i="7" s="1"/>
  <c r="BH487" i="7"/>
  <c r="BI464" i="7"/>
  <c r="BI466" i="7" s="1"/>
  <c r="BH497" i="7"/>
  <c r="BH561" i="7"/>
  <c r="BI463" i="7"/>
  <c r="BH394" i="7"/>
  <c r="BH388" i="7"/>
  <c r="BG402" i="7"/>
  <c r="BG393" i="7"/>
  <c r="BH520" i="7"/>
  <c r="BH608" i="7" s="1"/>
  <c r="BG601" i="7"/>
  <c r="BG603" i="7" s="1"/>
  <c r="BG766" i="7"/>
  <c r="BG767" i="7" s="1"/>
  <c r="BG768" i="7" s="1"/>
  <c r="BG771" i="7" s="1"/>
  <c r="BG764" i="7"/>
  <c r="BH449" i="7"/>
  <c r="BH29" i="12"/>
  <c r="BH389" i="7"/>
  <c r="BH374" i="7" s="1"/>
  <c r="BJ471" i="7"/>
  <c r="BC622" i="7"/>
  <c r="BC624" i="7" s="1"/>
  <c r="BC627" i="7" s="1"/>
  <c r="BC619" i="7"/>
  <c r="BD616" i="7"/>
  <c r="BC671" i="7"/>
  <c r="BC609" i="7"/>
  <c r="BC606" i="7"/>
  <c r="BC672" i="7" s="1"/>
  <c r="BC670" i="7"/>
  <c r="BJ743" i="7"/>
  <c r="BD454" i="7"/>
  <c r="BD412" i="7"/>
  <c r="BD379" i="7" s="1"/>
  <c r="BD509" i="7"/>
  <c r="BD618" i="7"/>
  <c r="BE52" i="7"/>
  <c r="BF373" i="7"/>
  <c r="BH198" i="7"/>
  <c r="BJ192" i="7"/>
  <c r="BJ193" i="7" s="1"/>
  <c r="BJ567" i="7"/>
  <c r="BJ264" i="7"/>
  <c r="BJ266" i="7" s="1"/>
  <c r="BK726" i="7"/>
  <c r="BJ728" i="7"/>
  <c r="BJ680" i="7"/>
  <c r="BJ727" i="7"/>
  <c r="BL347" i="7"/>
  <c r="BL22" i="12"/>
  <c r="BK699" i="7"/>
  <c r="BJ739" i="7"/>
  <c r="BK737" i="7"/>
  <c r="BJ70" i="7"/>
  <c r="BK51" i="7"/>
  <c r="BL31" i="12"/>
  <c r="BL30" i="12" s="1"/>
  <c r="BI167" i="7"/>
  <c r="BI198" i="7" s="1"/>
  <c r="BL725" i="7"/>
  <c r="BL21" i="12"/>
  <c r="BK133" i="7"/>
  <c r="BL733" i="7"/>
  <c r="BL148" i="7"/>
  <c r="BL732" i="7"/>
  <c r="BL111" i="7"/>
  <c r="BJ514" i="7"/>
  <c r="BJ517" i="7" s="1"/>
  <c r="BJ694" i="7"/>
  <c r="BJ189" i="7"/>
  <c r="BJ190" i="7" s="1"/>
  <c r="BJ195" i="7" s="1"/>
  <c r="BK691" i="7"/>
  <c r="BL18" i="12"/>
  <c r="BJ602" i="7"/>
  <c r="BG185" i="7"/>
  <c r="BF181" i="7"/>
  <c r="BF185" i="7" s="1"/>
  <c r="BE185" i="7"/>
  <c r="BE168" i="7"/>
  <c r="BI150" i="7"/>
  <c r="BI162" i="7" s="1"/>
  <c r="BC21" i="44" l="1"/>
  <c r="BH601" i="7"/>
  <c r="BH603" i="7" s="1"/>
  <c r="BH764" i="7"/>
  <c r="BH766" i="7"/>
  <c r="BH767" i="7" s="1"/>
  <c r="BH768" i="7" s="1"/>
  <c r="BH771" i="7" s="1"/>
  <c r="BH32" i="12"/>
  <c r="BH31" i="12" s="1"/>
  <c r="BH30" i="12" s="1"/>
  <c r="BH505" i="7" s="1"/>
  <c r="BI388" i="7"/>
  <c r="BH393" i="7"/>
  <c r="BH402" i="7"/>
  <c r="BI29" i="12"/>
  <c r="BI389" i="7"/>
  <c r="BI374" i="7" s="1"/>
  <c r="BI449" i="7"/>
  <c r="BG772" i="7"/>
  <c r="BG773" i="7" s="1"/>
  <c r="BG775" i="7" s="1"/>
  <c r="BG776" i="7" s="1"/>
  <c r="BG154" i="7"/>
  <c r="BG155" i="7" s="1"/>
  <c r="BG157" i="7" s="1"/>
  <c r="BH488" i="7"/>
  <c r="BH489" i="7" s="1"/>
  <c r="BI391" i="7"/>
  <c r="BI491" i="7"/>
  <c r="BJ466" i="7"/>
  <c r="BJ391" i="7" s="1"/>
  <c r="BI482" i="7"/>
  <c r="BJ497" i="7"/>
  <c r="BK497" i="7" s="1"/>
  <c r="BJ474" i="7"/>
  <c r="BK474" i="7" s="1"/>
  <c r="BJ394" i="7"/>
  <c r="BJ561" i="7"/>
  <c r="BJ601" i="7" s="1"/>
  <c r="BJ603" i="7"/>
  <c r="BK603" i="7" s="1"/>
  <c r="BC673" i="7"/>
  <c r="BD313" i="7"/>
  <c r="BD456" i="7"/>
  <c r="BD459" i="7" s="1"/>
  <c r="BD559" i="7"/>
  <c r="BD594" i="7" s="1"/>
  <c r="BD498" i="7"/>
  <c r="BD496" i="7" s="1"/>
  <c r="BD414" i="7"/>
  <c r="BE503" i="7"/>
  <c r="BE172" i="7"/>
  <c r="BF168" i="7"/>
  <c r="BF172" i="7" s="1"/>
  <c r="BC675" i="7"/>
  <c r="BC676" i="7" s="1"/>
  <c r="BE535" i="7"/>
  <c r="BF52" i="7"/>
  <c r="BL505" i="7"/>
  <c r="BL163" i="7"/>
  <c r="BK680" i="7"/>
  <c r="BK264" i="7"/>
  <c r="BK266" i="7" s="1"/>
  <c r="BK727" i="7"/>
  <c r="BK192" i="7"/>
  <c r="BK567" i="7"/>
  <c r="BH201" i="7"/>
  <c r="BK70" i="7"/>
  <c r="BL23" i="12"/>
  <c r="BL742" i="7"/>
  <c r="BL737" i="7" s="1"/>
  <c r="BK694" i="7"/>
  <c r="BK702" i="7" s="1"/>
  <c r="BJ700" i="7"/>
  <c r="BJ703" i="7"/>
  <c r="BK517" i="7"/>
  <c r="BL51" i="7"/>
  <c r="BL133" i="7"/>
  <c r="BG168" i="7"/>
  <c r="BK739" i="7"/>
  <c r="BL491" i="7"/>
  <c r="BL338" i="7"/>
  <c r="BJ765" i="7"/>
  <c r="BL697" i="7"/>
  <c r="BL699" i="7" s="1"/>
  <c r="BL693" i="7" s="1"/>
  <c r="BL741" i="7"/>
  <c r="BL736" i="7" s="1"/>
  <c r="BJ770" i="7"/>
  <c r="BJ745" i="7"/>
  <c r="BK728" i="7"/>
  <c r="BJ244" i="7"/>
  <c r="BL9" i="12"/>
  <c r="BM16" i="12"/>
  <c r="BJ702" i="7"/>
  <c r="BK514" i="7"/>
  <c r="BK697" i="7"/>
  <c r="BK189" i="7"/>
  <c r="BL691" i="7"/>
  <c r="BK738" i="7"/>
  <c r="BJ149" i="7"/>
  <c r="BJ200" i="7"/>
  <c r="BK195" i="7"/>
  <c r="BI176" i="7"/>
  <c r="BK391" i="7" l="1"/>
  <c r="BK466" i="7"/>
  <c r="BC70" i="44"/>
  <c r="BC24" i="44"/>
  <c r="BI467" i="7"/>
  <c r="BI490" i="7"/>
  <c r="BI519" i="7"/>
  <c r="BH410" i="7"/>
  <c r="BH375" i="7" s="1"/>
  <c r="BH373" i="7" s="1"/>
  <c r="BH52" i="7" s="1"/>
  <c r="BH450" i="7"/>
  <c r="BH448" i="7" s="1"/>
  <c r="BH112" i="7" s="1"/>
  <c r="BI32" i="12"/>
  <c r="BI31" i="12" s="1"/>
  <c r="BI30" i="12" s="1"/>
  <c r="BI505" i="7" s="1"/>
  <c r="BH163" i="7"/>
  <c r="BH772" i="7"/>
  <c r="BH773" i="7" s="1"/>
  <c r="BH775" i="7" s="1"/>
  <c r="BH776" i="7" s="1"/>
  <c r="BH154" i="7"/>
  <c r="BH155" i="7" s="1"/>
  <c r="BH157" i="7" s="1"/>
  <c r="BI483" i="7"/>
  <c r="BI485" i="7" s="1"/>
  <c r="BJ482" i="7"/>
  <c r="BJ402" i="7"/>
  <c r="BJ397" i="7"/>
  <c r="BK397" i="7" s="1"/>
  <c r="BP388" i="7" s="1"/>
  <c r="BP463" i="7"/>
  <c r="BP468" i="7" s="1"/>
  <c r="BP471" i="7" s="1"/>
  <c r="BL463" i="7"/>
  <c r="BL468" i="7" s="1"/>
  <c r="BL471" i="7" s="1"/>
  <c r="BJ766" i="7"/>
  <c r="BJ767" i="7" s="1"/>
  <c r="BJ768" i="7" s="1"/>
  <c r="BJ771" i="7" s="1"/>
  <c r="BJ764" i="7"/>
  <c r="BJ772" i="7" s="1"/>
  <c r="BE536" i="7"/>
  <c r="BF536" i="7" s="1"/>
  <c r="BD501" i="7"/>
  <c r="BD500" i="7"/>
  <c r="BD268" i="7"/>
  <c r="BE446" i="7"/>
  <c r="BD413" i="7"/>
  <c r="BE408" i="7"/>
  <c r="BD381" i="7"/>
  <c r="BL739" i="7"/>
  <c r="BL70" i="7"/>
  <c r="BG172" i="7"/>
  <c r="BK765" i="7"/>
  <c r="BK700" i="7"/>
  <c r="BK703" i="7"/>
  <c r="BL10" i="12"/>
  <c r="BL726" i="7"/>
  <c r="BL189" i="7"/>
  <c r="BL694" i="7"/>
  <c r="BL702" i="7" s="1"/>
  <c r="BL514" i="7"/>
  <c r="BL743" i="7"/>
  <c r="BL410" i="7"/>
  <c r="BL450" i="7"/>
  <c r="BJ150" i="7"/>
  <c r="BJ162" i="7" s="1"/>
  <c r="BK149" i="7"/>
  <c r="BK150" i="7" s="1"/>
  <c r="BJ180" i="7"/>
  <c r="BK200" i="7"/>
  <c r="BK516" i="7"/>
  <c r="BL516" i="7" s="1"/>
  <c r="BM516" i="7" s="1"/>
  <c r="BN516" i="7" s="1"/>
  <c r="BO516" i="7" s="1"/>
  <c r="BJ749" i="7"/>
  <c r="BJ156" i="7" s="1"/>
  <c r="BK745" i="7"/>
  <c r="BJ746" i="7"/>
  <c r="BK244" i="7"/>
  <c r="BM17" i="12"/>
  <c r="BM8" i="12" s="1"/>
  <c r="BM26" i="12"/>
  <c r="BI201" i="7"/>
  <c r="BH158" i="7"/>
  <c r="BH159" i="7"/>
  <c r="BH202" i="7"/>
  <c r="BH204" i="7" s="1"/>
  <c r="BC73" i="44" l="1"/>
  <c r="N19" i="47"/>
  <c r="AA675" i="42" s="1"/>
  <c r="BH177" i="7"/>
  <c r="BH166" i="7"/>
  <c r="BH164" i="7" s="1"/>
  <c r="BI163" i="7"/>
  <c r="BI166" i="7" s="1"/>
  <c r="BI164" i="7" s="1"/>
  <c r="BI410" i="7"/>
  <c r="BI375" i="7" s="1"/>
  <c r="BI373" i="7" s="1"/>
  <c r="BI52" i="7" s="1"/>
  <c r="BI450" i="7"/>
  <c r="BI448" i="7" s="1"/>
  <c r="BI112" i="7" s="1"/>
  <c r="BK482" i="7"/>
  <c r="BJ483" i="7"/>
  <c r="BJ485" i="7" s="1"/>
  <c r="BK485" i="7" s="1"/>
  <c r="BI520" i="7"/>
  <c r="BI608" i="7" s="1"/>
  <c r="BI392" i="7"/>
  <c r="BI468" i="7"/>
  <c r="BI471" i="7" s="1"/>
  <c r="BI487" i="7"/>
  <c r="BJ154" i="7"/>
  <c r="BJ155" i="7" s="1"/>
  <c r="BJ157" i="7" s="1"/>
  <c r="BP561" i="7"/>
  <c r="BP601" i="7" s="1"/>
  <c r="BP394" i="7"/>
  <c r="BP402" i="7" s="1"/>
  <c r="BM463" i="7"/>
  <c r="BM468" i="7" s="1"/>
  <c r="BM471" i="7" s="1"/>
  <c r="BL497" i="7"/>
  <c r="BL561" i="7"/>
  <c r="BL601" i="7" s="1"/>
  <c r="BL394" i="7"/>
  <c r="BD384" i="7"/>
  <c r="BD380" i="7"/>
  <c r="BD681" i="7"/>
  <c r="BD683" i="7" s="1"/>
  <c r="BD256" i="7"/>
  <c r="BD270" i="7"/>
  <c r="BL517" i="7"/>
  <c r="BJ773" i="7"/>
  <c r="BL700" i="7"/>
  <c r="BL703" i="7"/>
  <c r="BL680" i="7"/>
  <c r="BL567" i="7"/>
  <c r="BL192" i="7"/>
  <c r="BL728" i="7"/>
  <c r="BL727" i="7"/>
  <c r="BL264" i="7"/>
  <c r="BL266" i="7" s="1"/>
  <c r="BL738" i="7"/>
  <c r="BM33" i="12"/>
  <c r="BM32" i="12" s="1"/>
  <c r="BM731" i="7"/>
  <c r="BM27" i="12"/>
  <c r="BK746" i="7"/>
  <c r="BK749" i="7"/>
  <c r="BK156" i="7" s="1"/>
  <c r="BI158" i="7"/>
  <c r="BI159" i="7"/>
  <c r="BI202" i="7"/>
  <c r="BI204" i="7" s="1"/>
  <c r="BL375" i="7"/>
  <c r="BM347" i="7"/>
  <c r="BM22" i="12"/>
  <c r="BK180" i="7"/>
  <c r="BJ167" i="7"/>
  <c r="BK162" i="7"/>
  <c r="BL448" i="7"/>
  <c r="BM18" i="12"/>
  <c r="BL190" i="7"/>
  <c r="BL195" i="7" s="1"/>
  <c r="BL200" i="7" s="1"/>
  <c r="BJ176" i="7"/>
  <c r="BL482" i="7" l="1"/>
  <c r="BK483" i="7"/>
  <c r="BK484" i="7" s="1"/>
  <c r="BL484" i="7" s="1"/>
  <c r="BM484" i="7" s="1"/>
  <c r="BN484" i="7" s="1"/>
  <c r="BO484" i="7" s="1"/>
  <c r="BI488" i="7"/>
  <c r="BI489" i="7" s="1"/>
  <c r="BJ464" i="7"/>
  <c r="BI561" i="7"/>
  <c r="BI497" i="7"/>
  <c r="BJ463" i="7"/>
  <c r="BJ491" i="7" s="1"/>
  <c r="BI394" i="7"/>
  <c r="BI177" i="7"/>
  <c r="BH179" i="7"/>
  <c r="BH181" i="7" s="1"/>
  <c r="BN463" i="7"/>
  <c r="BN468" i="7" s="1"/>
  <c r="BN471" i="7" s="1"/>
  <c r="BM561" i="7"/>
  <c r="BM601" i="7" s="1"/>
  <c r="BM394" i="7"/>
  <c r="BM497" i="7"/>
  <c r="BM388" i="7"/>
  <c r="BL402" i="7"/>
  <c r="BD558" i="7"/>
  <c r="BD271" i="7"/>
  <c r="BD250" i="7"/>
  <c r="BD228" i="7"/>
  <c r="BD401" i="7"/>
  <c r="BE371" i="7"/>
  <c r="BJ198" i="7"/>
  <c r="BK167" i="7"/>
  <c r="BM725" i="7"/>
  <c r="BM691" i="7" s="1"/>
  <c r="BM21" i="12"/>
  <c r="BM23" i="12" s="1"/>
  <c r="BK176" i="7"/>
  <c r="BM338" i="7"/>
  <c r="BM491" i="7"/>
  <c r="BL244" i="7"/>
  <c r="BM31" i="12"/>
  <c r="BM30" i="12" s="1"/>
  <c r="BM742" i="7"/>
  <c r="BL373" i="7"/>
  <c r="BL770" i="7"/>
  <c r="BL745" i="7"/>
  <c r="BM148" i="7"/>
  <c r="BM111" i="7"/>
  <c r="BM733" i="7"/>
  <c r="BM732" i="7"/>
  <c r="BL149" i="7"/>
  <c r="BL180" i="7" s="1"/>
  <c r="BM9" i="12"/>
  <c r="BN16" i="12"/>
  <c r="BL112" i="7"/>
  <c r="BL193" i="7"/>
  <c r="BL765" i="7"/>
  <c r="BL764" i="7"/>
  <c r="BL766" i="7"/>
  <c r="BL767" i="7" s="1"/>
  <c r="BL768" i="7" s="1"/>
  <c r="BI393" i="7" l="1"/>
  <c r="BI402" i="7"/>
  <c r="BJ388" i="7"/>
  <c r="BK464" i="7"/>
  <c r="BJ449" i="7"/>
  <c r="BJ389" i="7"/>
  <c r="BJ29" i="12"/>
  <c r="BI601" i="7"/>
  <c r="BI603" i="7" s="1"/>
  <c r="BI764" i="7"/>
  <c r="BI766" i="7"/>
  <c r="BI767" i="7" s="1"/>
  <c r="BI768" i="7" s="1"/>
  <c r="BI771" i="7" s="1"/>
  <c r="BM482" i="7"/>
  <c r="BL483" i="7"/>
  <c r="BL485" i="7" s="1"/>
  <c r="BH168" i="7"/>
  <c r="BH172" i="7" s="1"/>
  <c r="BH185" i="7"/>
  <c r="BJ467" i="7"/>
  <c r="BK491" i="7"/>
  <c r="BJ490" i="7"/>
  <c r="BK490" i="7" s="1"/>
  <c r="BL490" i="7" s="1"/>
  <c r="BM490" i="7" s="1"/>
  <c r="BJ519" i="7"/>
  <c r="BI179" i="7"/>
  <c r="BI181" i="7" s="1"/>
  <c r="BM402" i="7"/>
  <c r="BN388" i="7"/>
  <c r="BM393" i="7"/>
  <c r="BO463" i="7"/>
  <c r="BO468" i="7" s="1"/>
  <c r="BO471" i="7" s="1"/>
  <c r="BN497" i="7"/>
  <c r="BN561" i="7"/>
  <c r="BN601" i="7" s="1"/>
  <c r="BN394" i="7"/>
  <c r="BD211" i="7"/>
  <c r="BD405" i="7"/>
  <c r="BD403" i="7"/>
  <c r="BD406" i="7" s="1"/>
  <c r="BD560" i="7"/>
  <c r="BD593" i="7"/>
  <c r="BD605" i="7"/>
  <c r="BL167" i="7"/>
  <c r="BL52" i="7"/>
  <c r="BM189" i="7"/>
  <c r="BM10" i="12"/>
  <c r="BM726" i="7"/>
  <c r="BM738" i="7" s="1"/>
  <c r="BM51" i="7"/>
  <c r="BM133" i="7"/>
  <c r="BM737" i="7"/>
  <c r="BM505" i="7"/>
  <c r="BM163" i="7"/>
  <c r="BM741" i="7"/>
  <c r="BM736" i="7" s="1"/>
  <c r="BM697" i="7"/>
  <c r="BM699" i="7" s="1"/>
  <c r="BM693" i="7" s="1"/>
  <c r="BM694" i="7" s="1"/>
  <c r="BN17" i="12"/>
  <c r="BN8" i="12" s="1"/>
  <c r="BN26" i="12"/>
  <c r="BL150" i="7"/>
  <c r="BL162" i="7" s="1"/>
  <c r="BL176" i="7" s="1"/>
  <c r="BL746" i="7"/>
  <c r="BL749" i="7"/>
  <c r="BL156" i="7" s="1"/>
  <c r="BL772" i="7"/>
  <c r="BL154" i="7"/>
  <c r="BL155" i="7" s="1"/>
  <c r="BK198" i="7"/>
  <c r="BJ201" i="7"/>
  <c r="BL771" i="7"/>
  <c r="BI168" i="7" l="1"/>
  <c r="BI172" i="7" s="1"/>
  <c r="BI185" i="7"/>
  <c r="BI772" i="7"/>
  <c r="BI773" i="7" s="1"/>
  <c r="BI775" i="7" s="1"/>
  <c r="BI154" i="7"/>
  <c r="BI155" i="7" s="1"/>
  <c r="BI157" i="7" s="1"/>
  <c r="BN482" i="7"/>
  <c r="BM483" i="7"/>
  <c r="BM485" i="7" s="1"/>
  <c r="BK449" i="7"/>
  <c r="BK519" i="7"/>
  <c r="BJ520" i="7"/>
  <c r="BJ608" i="7" s="1"/>
  <c r="BK467" i="7"/>
  <c r="BK468" i="7" s="1"/>
  <c r="BK471" i="7" s="1"/>
  <c r="BJ392" i="7"/>
  <c r="BK392" i="7" s="1"/>
  <c r="BJ487" i="7"/>
  <c r="BK389" i="7"/>
  <c r="BJ374" i="7"/>
  <c r="BJ32" i="12"/>
  <c r="BJ31" i="12" s="1"/>
  <c r="BJ30" i="12" s="1"/>
  <c r="BJ505" i="7" s="1"/>
  <c r="BO561" i="7"/>
  <c r="BO601" i="7" s="1"/>
  <c r="BO394" i="7"/>
  <c r="BO474" i="7"/>
  <c r="BP474" i="7" s="1"/>
  <c r="BO497" i="7"/>
  <c r="BP497" i="7" s="1"/>
  <c r="BO388" i="7"/>
  <c r="BN393" i="7"/>
  <c r="BN402" i="7"/>
  <c r="BL773" i="7"/>
  <c r="BD554" i="7"/>
  <c r="BD562" i="7"/>
  <c r="BD607" i="7" s="1"/>
  <c r="BD671" i="7" s="1"/>
  <c r="BD620" i="7"/>
  <c r="BD552" i="7"/>
  <c r="BD612" i="7"/>
  <c r="BD596" i="7"/>
  <c r="BD39" i="12" s="1"/>
  <c r="BD597" i="7"/>
  <c r="BE507" i="7" s="1"/>
  <c r="BL157" i="7"/>
  <c r="BM190" i="7"/>
  <c r="BM195" i="7" s="1"/>
  <c r="BM743" i="7"/>
  <c r="BM703" i="7"/>
  <c r="BM700" i="7"/>
  <c r="BM739" i="7"/>
  <c r="BM680" i="7"/>
  <c r="BM264" i="7"/>
  <c r="BM266" i="7" s="1"/>
  <c r="BM567" i="7"/>
  <c r="BM192" i="7"/>
  <c r="BM728" i="7"/>
  <c r="BM727" i="7"/>
  <c r="BM702" i="7"/>
  <c r="BN347" i="7"/>
  <c r="BN22" i="12"/>
  <c r="BM70" i="7"/>
  <c r="BN33" i="12"/>
  <c r="BN32" i="12" s="1"/>
  <c r="BN27" i="12"/>
  <c r="BN731" i="7"/>
  <c r="BM450" i="7"/>
  <c r="BM410" i="7"/>
  <c r="BJ159" i="7"/>
  <c r="BK201" i="7"/>
  <c r="BJ158" i="7"/>
  <c r="BJ202" i="7"/>
  <c r="BJ204" i="7" s="1"/>
  <c r="BL166" i="7"/>
  <c r="BN18" i="12"/>
  <c r="BM514" i="7"/>
  <c r="BM517" i="7" s="1"/>
  <c r="BL198" i="7"/>
  <c r="BD38" i="12" l="1"/>
  <c r="BD46" i="12"/>
  <c r="BK561" i="7"/>
  <c r="BK394" i="7"/>
  <c r="BK520" i="7"/>
  <c r="BK608" i="7" s="1"/>
  <c r="BL519" i="7"/>
  <c r="BJ393" i="7"/>
  <c r="BK393" i="7" s="1"/>
  <c r="BJ163" i="7"/>
  <c r="BI776" i="7"/>
  <c r="BJ775" i="7"/>
  <c r="BN483" i="7"/>
  <c r="BN485" i="7" s="1"/>
  <c r="BO482" i="7"/>
  <c r="BJ410" i="7"/>
  <c r="BJ450" i="7"/>
  <c r="BK505" i="7"/>
  <c r="BK374" i="7"/>
  <c r="BJ488" i="7"/>
  <c r="BJ489" i="7" s="1"/>
  <c r="BK487" i="7"/>
  <c r="BO397" i="7"/>
  <c r="BP397" i="7" s="1"/>
  <c r="BO402" i="7"/>
  <c r="BO393" i="7"/>
  <c r="BE454" i="7"/>
  <c r="BE412" i="7"/>
  <c r="BE618" i="7"/>
  <c r="BF618" i="7" s="1"/>
  <c r="BF507" i="7"/>
  <c r="BF509" i="7" s="1"/>
  <c r="BE509" i="7"/>
  <c r="BE540" i="7"/>
  <c r="BD619" i="7"/>
  <c r="BE616" i="7"/>
  <c r="BD622" i="7"/>
  <c r="BD624" i="7" s="1"/>
  <c r="BD627" i="7" s="1"/>
  <c r="BD606" i="7"/>
  <c r="BD672" i="7" s="1"/>
  <c r="BD675" i="7" s="1"/>
  <c r="BD676" i="7" s="1"/>
  <c r="BD609" i="7"/>
  <c r="BD670" i="7"/>
  <c r="BL164" i="7"/>
  <c r="BM765" i="7"/>
  <c r="BM764" i="7"/>
  <c r="BM766" i="7"/>
  <c r="BM767" i="7" s="1"/>
  <c r="BM768" i="7" s="1"/>
  <c r="BM193" i="7"/>
  <c r="BN742" i="7"/>
  <c r="BM244" i="7"/>
  <c r="BM448" i="7"/>
  <c r="BN732" i="7"/>
  <c r="BN111" i="7"/>
  <c r="BN148" i="7"/>
  <c r="BN733" i="7"/>
  <c r="BN338" i="7"/>
  <c r="BN491" i="7"/>
  <c r="BM375" i="7"/>
  <c r="BL201" i="7"/>
  <c r="BK202" i="7"/>
  <c r="BK204" i="7" s="1"/>
  <c r="BM149" i="7"/>
  <c r="BM200" i="7"/>
  <c r="BN9" i="12"/>
  <c r="BO16" i="12"/>
  <c r="BM770" i="7"/>
  <c r="BM745" i="7"/>
  <c r="BN31" i="12"/>
  <c r="BN30" i="12" s="1"/>
  <c r="BN725" i="7"/>
  <c r="BN691" i="7" s="1"/>
  <c r="BN21" i="12"/>
  <c r="BN23" i="12" s="1"/>
  <c r="BD21" i="44" l="1"/>
  <c r="BL487" i="7"/>
  <c r="BK488" i="7"/>
  <c r="BK489" i="7" s="1"/>
  <c r="BK163" i="7"/>
  <c r="BJ166" i="7"/>
  <c r="BJ177" i="7"/>
  <c r="BP482" i="7"/>
  <c r="BP483" i="7" s="1"/>
  <c r="BO483" i="7"/>
  <c r="BO485" i="7" s="1"/>
  <c r="BP485" i="7" s="1"/>
  <c r="BL520" i="7"/>
  <c r="BL608" i="7" s="1"/>
  <c r="BM519" i="7"/>
  <c r="BM520" i="7" s="1"/>
  <c r="BM608" i="7" s="1"/>
  <c r="BK450" i="7"/>
  <c r="BJ448" i="7"/>
  <c r="BK775" i="7"/>
  <c r="BJ776" i="7"/>
  <c r="BK402" i="7"/>
  <c r="BL388" i="7"/>
  <c r="BL393" i="7" s="1"/>
  <c r="BP393" i="7" s="1"/>
  <c r="BJ375" i="7"/>
  <c r="BK410" i="7"/>
  <c r="BK601" i="7"/>
  <c r="BK602" i="7" s="1"/>
  <c r="BL602" i="7" s="1"/>
  <c r="BK766" i="7"/>
  <c r="BK767" i="7" s="1"/>
  <c r="BK768" i="7" s="1"/>
  <c r="BK764" i="7"/>
  <c r="BK154" i="7" s="1"/>
  <c r="BK155" i="7" s="1"/>
  <c r="BD673" i="7"/>
  <c r="BF454" i="7"/>
  <c r="BF456" i="7" s="1"/>
  <c r="BF459" i="7" s="1"/>
  <c r="BE456" i="7"/>
  <c r="BE459" i="7" s="1"/>
  <c r="BE268" i="7" s="1"/>
  <c r="BE559" i="7"/>
  <c r="BE594" i="7" s="1"/>
  <c r="BE414" i="7"/>
  <c r="BE498" i="7"/>
  <c r="BF540" i="7"/>
  <c r="BF541" i="7" s="1"/>
  <c r="BF544" i="7" s="1"/>
  <c r="BE541" i="7"/>
  <c r="BE544" i="7" s="1"/>
  <c r="BG503" i="7"/>
  <c r="BK503" i="7"/>
  <c r="BF414" i="7"/>
  <c r="BF559" i="7"/>
  <c r="BF594" i="7" s="1"/>
  <c r="BF412" i="7"/>
  <c r="BE379" i="7"/>
  <c r="BM771" i="7"/>
  <c r="BP491" i="7"/>
  <c r="BN519" i="7"/>
  <c r="BN490" i="7"/>
  <c r="BL158" i="7"/>
  <c r="BL159" i="7"/>
  <c r="BL202" i="7"/>
  <c r="BL204" i="7" s="1"/>
  <c r="BN726" i="7"/>
  <c r="BN10" i="12"/>
  <c r="BM112" i="7"/>
  <c r="BN741" i="7"/>
  <c r="BN736" i="7" s="1"/>
  <c r="BN697" i="7"/>
  <c r="BN699" i="7" s="1"/>
  <c r="BN693" i="7" s="1"/>
  <c r="BN133" i="7"/>
  <c r="BN51" i="7"/>
  <c r="BM154" i="7"/>
  <c r="BM155" i="7" s="1"/>
  <c r="BM772" i="7"/>
  <c r="BM180" i="7"/>
  <c r="BM150" i="7"/>
  <c r="BM162" i="7" s="1"/>
  <c r="BN737" i="7"/>
  <c r="BN189" i="7"/>
  <c r="BO17" i="12"/>
  <c r="BP16" i="12"/>
  <c r="BO26" i="12"/>
  <c r="BM373" i="7"/>
  <c r="BN505" i="7"/>
  <c r="BN163" i="7"/>
  <c r="BM746" i="7"/>
  <c r="BM749" i="7"/>
  <c r="BM156" i="7" s="1"/>
  <c r="BP484" i="7" l="1"/>
  <c r="BD70" i="44"/>
  <c r="BD24" i="44"/>
  <c r="BK776" i="7"/>
  <c r="BL775" i="7"/>
  <c r="BL776" i="7" s="1"/>
  <c r="BJ164" i="7"/>
  <c r="BK166" i="7"/>
  <c r="BK164" i="7" s="1"/>
  <c r="BJ112" i="7"/>
  <c r="BK112" i="7" s="1"/>
  <c r="BK448" i="7"/>
  <c r="BM602" i="7"/>
  <c r="BL603" i="7"/>
  <c r="BK375" i="7"/>
  <c r="BJ373" i="7"/>
  <c r="BK177" i="7"/>
  <c r="BL177" i="7" s="1"/>
  <c r="BJ179" i="7"/>
  <c r="BL488" i="7"/>
  <c r="BL489" i="7" s="1"/>
  <c r="BM487" i="7"/>
  <c r="BO18" i="12"/>
  <c r="BP18" i="12" s="1"/>
  <c r="BQ16" i="12" s="1"/>
  <c r="BO8" i="12"/>
  <c r="BP8" i="12" s="1"/>
  <c r="BM157" i="7"/>
  <c r="BM773" i="7"/>
  <c r="BN743" i="7"/>
  <c r="BE313" i="7"/>
  <c r="BF379" i="7"/>
  <c r="BE413" i="7"/>
  <c r="BE381" i="7"/>
  <c r="BE496" i="7"/>
  <c r="BE501" i="7" s="1"/>
  <c r="BF498" i="7"/>
  <c r="BE270" i="7"/>
  <c r="BE256" i="7"/>
  <c r="BE681" i="7"/>
  <c r="BE683" i="7" s="1"/>
  <c r="BF413" i="7"/>
  <c r="BG408" i="7"/>
  <c r="BK408" i="7"/>
  <c r="BK535" i="7"/>
  <c r="BG535" i="7"/>
  <c r="BK446" i="7"/>
  <c r="BF268" i="7"/>
  <c r="BG446" i="7"/>
  <c r="BN190" i="7"/>
  <c r="BN195" i="7" s="1"/>
  <c r="BN450" i="7"/>
  <c r="BN410" i="7"/>
  <c r="BO22" i="12"/>
  <c r="BO519" i="7" s="1"/>
  <c r="BP519" i="7" s="1"/>
  <c r="BO347" i="7"/>
  <c r="BN739" i="7"/>
  <c r="BO490" i="7"/>
  <c r="BM52" i="7"/>
  <c r="BN192" i="7"/>
  <c r="BN727" i="7"/>
  <c r="BN264" i="7"/>
  <c r="BN266" i="7" s="1"/>
  <c r="BN728" i="7"/>
  <c r="BN567" i="7"/>
  <c r="BN680" i="7"/>
  <c r="BM166" i="7"/>
  <c r="BM176" i="7"/>
  <c r="BO33" i="12"/>
  <c r="BO32" i="12" s="1"/>
  <c r="BO27" i="12"/>
  <c r="BO731" i="7"/>
  <c r="BP26" i="12"/>
  <c r="BM167" i="7"/>
  <c r="BN514" i="7"/>
  <c r="BN517" i="7" s="1"/>
  <c r="BN520" i="7" s="1"/>
  <c r="BN608" i="7" s="1"/>
  <c r="BN70" i="7"/>
  <c r="BN738" i="7"/>
  <c r="BN694" i="7"/>
  <c r="BD73" i="44" l="1"/>
  <c r="O19" i="47"/>
  <c r="AB675" i="42" s="1"/>
  <c r="BM775" i="7"/>
  <c r="BM776" i="7" s="1"/>
  <c r="BN487" i="7"/>
  <c r="BM488" i="7"/>
  <c r="BM489" i="7" s="1"/>
  <c r="BJ181" i="7"/>
  <c r="BK179" i="7"/>
  <c r="BK373" i="7"/>
  <c r="BJ52" i="7"/>
  <c r="BK52" i="7" s="1"/>
  <c r="BM177" i="7"/>
  <c r="BN177" i="7" s="1"/>
  <c r="BL179" i="7"/>
  <c r="BL181" i="7" s="1"/>
  <c r="BN602" i="7"/>
  <c r="BM603" i="7"/>
  <c r="BO9" i="12"/>
  <c r="BO726" i="7" s="1"/>
  <c r="BG536" i="7"/>
  <c r="BE271" i="7"/>
  <c r="BE250" i="7"/>
  <c r="BE558" i="7"/>
  <c r="BF681" i="7"/>
  <c r="BF683" i="7" s="1"/>
  <c r="BF256" i="7"/>
  <c r="BF270" i="7"/>
  <c r="BE384" i="7"/>
  <c r="BE401" i="7" s="1"/>
  <c r="BE380" i="7"/>
  <c r="BF380" i="7" s="1"/>
  <c r="BF381" i="7" s="1"/>
  <c r="BF384" i="7" s="1"/>
  <c r="BE228" i="7"/>
  <c r="BE500" i="7"/>
  <c r="BF496" i="7"/>
  <c r="BF500" i="7" s="1"/>
  <c r="BF313" i="7"/>
  <c r="BN770" i="7"/>
  <c r="BN745" i="7"/>
  <c r="BP490" i="7"/>
  <c r="BN765" i="7"/>
  <c r="BN764" i="7"/>
  <c r="BN766" i="7"/>
  <c r="BN767" i="7" s="1"/>
  <c r="BN768" i="7" s="1"/>
  <c r="BO725" i="7"/>
  <c r="BO21" i="12"/>
  <c r="BO23" i="12" s="1"/>
  <c r="BN700" i="7"/>
  <c r="BN703" i="7"/>
  <c r="BN702" i="7"/>
  <c r="BP27" i="12"/>
  <c r="BQ26" i="12"/>
  <c r="BO733" i="7"/>
  <c r="BP731" i="7"/>
  <c r="BO732" i="7"/>
  <c r="BO111" i="7"/>
  <c r="BO148" i="7"/>
  <c r="BM198" i="7"/>
  <c r="BN448" i="7"/>
  <c r="BO31" i="12"/>
  <c r="BO30" i="12" s="1"/>
  <c r="BO742" i="7"/>
  <c r="BN149" i="7"/>
  <c r="BN200" i="7"/>
  <c r="BQ17" i="12"/>
  <c r="BQ18" i="12" s="1"/>
  <c r="BM179" i="7"/>
  <c r="BM181" i="7" s="1"/>
  <c r="BM164" i="7"/>
  <c r="BN244" i="7"/>
  <c r="BO338" i="7"/>
  <c r="BP347" i="7"/>
  <c r="BN193" i="7"/>
  <c r="BN375" i="7"/>
  <c r="BO602" i="7" l="1"/>
  <c r="BO603" i="7" s="1"/>
  <c r="BP603" i="7" s="1"/>
  <c r="BP602" i="7" s="1"/>
  <c r="BQ602" i="7" s="1"/>
  <c r="BN603" i="7"/>
  <c r="BP9" i="12"/>
  <c r="BK181" i="7"/>
  <c r="BK185" i="7" s="1"/>
  <c r="BJ168" i="7"/>
  <c r="BJ185" i="7"/>
  <c r="BL185" i="7"/>
  <c r="BL168" i="7"/>
  <c r="BL172" i="7" s="1"/>
  <c r="BO10" i="12"/>
  <c r="BO487" i="7"/>
  <c r="BN488" i="7"/>
  <c r="BN489" i="7" s="1"/>
  <c r="BQ8" i="12"/>
  <c r="BP10" i="12"/>
  <c r="BG371" i="7"/>
  <c r="BF401" i="7"/>
  <c r="BK371" i="7"/>
  <c r="BE560" i="7"/>
  <c r="BE593" i="7"/>
  <c r="BE605" i="7"/>
  <c r="BF228" i="7"/>
  <c r="BE211" i="7"/>
  <c r="BF250" i="7"/>
  <c r="BF558" i="7"/>
  <c r="BF271" i="7"/>
  <c r="BF501" i="7"/>
  <c r="BE403" i="7"/>
  <c r="BE406" i="7" s="1"/>
  <c r="BE405" i="7"/>
  <c r="BP725" i="7"/>
  <c r="BO691" i="7"/>
  <c r="BQ9" i="12"/>
  <c r="BR16" i="12"/>
  <c r="BR26" i="12" s="1"/>
  <c r="BN373" i="7"/>
  <c r="BO738" i="7"/>
  <c r="BP732" i="7"/>
  <c r="BP733" i="7"/>
  <c r="BN749" i="7"/>
  <c r="BN156" i="7" s="1"/>
  <c r="BN746" i="7"/>
  <c r="BN771" i="7"/>
  <c r="BN150" i="7"/>
  <c r="BN162" i="7" s="1"/>
  <c r="BN180" i="7"/>
  <c r="BO737" i="7"/>
  <c r="BO505" i="7"/>
  <c r="BO163" i="7"/>
  <c r="BQ22" i="12"/>
  <c r="BQ347" i="7"/>
  <c r="BM201" i="7"/>
  <c r="BP148" i="7"/>
  <c r="BO133" i="7"/>
  <c r="BO51" i="7"/>
  <c r="BP111" i="7"/>
  <c r="BQ33" i="12"/>
  <c r="BQ32" i="12" s="1"/>
  <c r="BQ731" i="7"/>
  <c r="BQ27" i="12"/>
  <c r="BO741" i="7"/>
  <c r="BO736" i="7" s="1"/>
  <c r="BP736" i="7" s="1"/>
  <c r="BO697" i="7"/>
  <c r="BO699" i="7" s="1"/>
  <c r="BO693" i="7" s="1"/>
  <c r="BP693" i="7" s="1"/>
  <c r="BO264" i="7"/>
  <c r="BO266" i="7" s="1"/>
  <c r="BO192" i="7"/>
  <c r="BO193" i="7" s="1"/>
  <c r="BO680" i="7"/>
  <c r="BO567" i="7"/>
  <c r="BP726" i="7"/>
  <c r="BO727" i="7"/>
  <c r="BO728" i="7"/>
  <c r="BO745" i="7" s="1"/>
  <c r="BN772" i="7"/>
  <c r="BN154" i="7"/>
  <c r="BN155" i="7" s="1"/>
  <c r="BM168" i="7"/>
  <c r="BM185" i="7"/>
  <c r="BN112" i="7"/>
  <c r="BP338" i="7"/>
  <c r="BO488" i="7" l="1"/>
  <c r="BO489" i="7" s="1"/>
  <c r="BP487" i="7"/>
  <c r="BP488" i="7" s="1"/>
  <c r="BP489" i="7" s="1"/>
  <c r="BK168" i="7"/>
  <c r="BK172" i="7" s="1"/>
  <c r="BJ172" i="7"/>
  <c r="BQ603" i="7"/>
  <c r="BR602" i="7"/>
  <c r="BN773" i="7"/>
  <c r="BN775" i="7" s="1"/>
  <c r="BM172" i="7"/>
  <c r="BE612" i="7"/>
  <c r="BF612" i="7" s="1"/>
  <c r="BE596" i="7"/>
  <c r="BE39" i="12" s="1"/>
  <c r="BE597" i="7"/>
  <c r="BE562" i="7"/>
  <c r="BE607" i="7" s="1"/>
  <c r="BE671" i="7" s="1"/>
  <c r="BE620" i="7"/>
  <c r="BE554" i="7"/>
  <c r="BE552" i="7"/>
  <c r="BF560" i="7"/>
  <c r="BF605" i="7"/>
  <c r="BF593" i="7"/>
  <c r="BN157" i="7"/>
  <c r="BP738" i="7"/>
  <c r="BF211" i="7"/>
  <c r="BF405" i="7"/>
  <c r="BF403" i="7"/>
  <c r="BF406" i="7" s="1"/>
  <c r="BM158" i="7"/>
  <c r="BM159" i="7"/>
  <c r="BM202" i="7"/>
  <c r="BM204" i="7" s="1"/>
  <c r="BR27" i="12"/>
  <c r="BR33" i="12"/>
  <c r="BR32" i="12" s="1"/>
  <c r="BR731" i="7"/>
  <c r="BQ742" i="7"/>
  <c r="BQ519" i="7"/>
  <c r="BO410" i="7"/>
  <c r="BO450" i="7"/>
  <c r="BP505" i="7"/>
  <c r="BQ726" i="7"/>
  <c r="BQ10" i="12"/>
  <c r="BO770" i="7"/>
  <c r="BP728" i="7"/>
  <c r="BN166" i="7"/>
  <c r="BN176" i="7"/>
  <c r="BO749" i="7"/>
  <c r="BO156" i="7" s="1"/>
  <c r="BP745" i="7"/>
  <c r="BO746" i="7"/>
  <c r="BP163" i="7"/>
  <c r="BO177" i="7"/>
  <c r="BP177" i="7" s="1"/>
  <c r="BO743" i="7"/>
  <c r="BQ732" i="7"/>
  <c r="BQ733" i="7"/>
  <c r="BQ148" i="7"/>
  <c r="BQ111" i="7"/>
  <c r="BN167" i="7"/>
  <c r="BQ31" i="12"/>
  <c r="BQ30" i="12" s="1"/>
  <c r="BP264" i="7"/>
  <c r="BP266" i="7" s="1"/>
  <c r="BP680" i="7"/>
  <c r="BP567" i="7"/>
  <c r="BP727" i="7"/>
  <c r="BP192" i="7"/>
  <c r="BO70" i="7"/>
  <c r="BP51" i="7"/>
  <c r="BO189" i="7"/>
  <c r="BO190" i="7" s="1"/>
  <c r="BO195" i="7" s="1"/>
  <c r="BO514" i="7"/>
  <c r="BO517" i="7" s="1"/>
  <c r="BO694" i="7"/>
  <c r="BP691" i="7"/>
  <c r="BO244" i="7"/>
  <c r="BP699" i="7"/>
  <c r="BQ338" i="7"/>
  <c r="BN52" i="7"/>
  <c r="BP737" i="7"/>
  <c r="BO739" i="7"/>
  <c r="BR17" i="12"/>
  <c r="BQ725" i="7"/>
  <c r="BQ21" i="12"/>
  <c r="BQ23" i="12" s="1"/>
  <c r="BO765" i="7"/>
  <c r="BO766" i="7"/>
  <c r="BO767" i="7" s="1"/>
  <c r="BO768" i="7" s="1"/>
  <c r="BO764" i="7"/>
  <c r="BP133" i="7"/>
  <c r="BN776" i="7"/>
  <c r="BE38" i="12" l="1"/>
  <c r="BE46" i="12"/>
  <c r="BR603" i="7"/>
  <c r="BS602" i="7"/>
  <c r="BS603" i="7" s="1"/>
  <c r="BR8" i="12"/>
  <c r="BR21" i="12" s="1"/>
  <c r="BR18" i="12"/>
  <c r="BR9" i="12" s="1"/>
  <c r="BF596" i="7"/>
  <c r="BF39" i="12" s="1"/>
  <c r="BF38" i="12" s="1"/>
  <c r="BF597" i="7"/>
  <c r="BG507" i="7" s="1"/>
  <c r="BE622" i="7"/>
  <c r="BE624" i="7" s="1"/>
  <c r="BE619" i="7"/>
  <c r="BF619" i="7" s="1"/>
  <c r="BF554" i="7"/>
  <c r="BF562" i="7"/>
  <c r="BF607" i="7" s="1"/>
  <c r="BF671" i="7" s="1"/>
  <c r="BF620" i="7"/>
  <c r="BF552" i="7"/>
  <c r="BG540" i="7" s="1"/>
  <c r="BF611" i="7"/>
  <c r="BG611" i="7" s="1"/>
  <c r="BH611" i="7" s="1"/>
  <c r="BI611" i="7" s="1"/>
  <c r="BJ611" i="7" s="1"/>
  <c r="BE606" i="7"/>
  <c r="BE672" i="7" s="1"/>
  <c r="BE675" i="7" s="1"/>
  <c r="BE676" i="7" s="1"/>
  <c r="BE609" i="7"/>
  <c r="BE670" i="7"/>
  <c r="BO772" i="7"/>
  <c r="BO154" i="7"/>
  <c r="BO155" i="7" s="1"/>
  <c r="BO157" i="7" s="1"/>
  <c r="BO520" i="7"/>
  <c r="BO608" i="7" s="1"/>
  <c r="BP517" i="7"/>
  <c r="BO771" i="7"/>
  <c r="BQ691" i="7"/>
  <c r="BP697" i="7"/>
  <c r="BP514" i="7"/>
  <c r="BP189" i="7"/>
  <c r="BP694" i="7"/>
  <c r="BP702" i="7" s="1"/>
  <c r="BO703" i="7"/>
  <c r="BO700" i="7"/>
  <c r="BR31" i="12"/>
  <c r="BR30" i="12" s="1"/>
  <c r="BR725" i="7"/>
  <c r="BO149" i="7"/>
  <c r="BP195" i="7"/>
  <c r="BO200" i="7"/>
  <c r="BO448" i="7"/>
  <c r="BP450" i="7"/>
  <c r="BP766" i="7"/>
  <c r="BP767" i="7" s="1"/>
  <c r="BP768" i="7" s="1"/>
  <c r="BP765" i="7"/>
  <c r="BP764" i="7"/>
  <c r="BP154" i="7" s="1"/>
  <c r="BP155" i="7" s="1"/>
  <c r="BP244" i="7"/>
  <c r="BQ738" i="7"/>
  <c r="BO375" i="7"/>
  <c r="BP410" i="7"/>
  <c r="BN198" i="7"/>
  <c r="BP749" i="7"/>
  <c r="BP156" i="7" s="1"/>
  <c r="BP746" i="7"/>
  <c r="BQ697" i="7"/>
  <c r="BQ699" i="7" s="1"/>
  <c r="BQ693" i="7" s="1"/>
  <c r="BQ741" i="7"/>
  <c r="BQ736" i="7" s="1"/>
  <c r="BN179" i="7"/>
  <c r="BN181" i="7" s="1"/>
  <c r="BR22" i="12"/>
  <c r="BR347" i="7"/>
  <c r="BP70" i="7"/>
  <c r="BQ51" i="7"/>
  <c r="BQ133" i="7"/>
  <c r="BP739" i="7"/>
  <c r="BQ737" i="7"/>
  <c r="BQ505" i="7"/>
  <c r="BQ163" i="7"/>
  <c r="BQ177" i="7" s="1"/>
  <c r="BR111" i="7"/>
  <c r="BR733" i="7"/>
  <c r="BR148" i="7"/>
  <c r="BR732" i="7"/>
  <c r="BO702" i="7"/>
  <c r="BN164" i="7"/>
  <c r="BQ680" i="7"/>
  <c r="BQ727" i="7"/>
  <c r="BQ192" i="7"/>
  <c r="BQ193" i="7" s="1"/>
  <c r="BQ728" i="7"/>
  <c r="BQ770" i="7" s="1"/>
  <c r="BQ264" i="7"/>
  <c r="BQ266" i="7" s="1"/>
  <c r="BQ567" i="7"/>
  <c r="BE21" i="44" l="1"/>
  <c r="BF46" i="12"/>
  <c r="BS16" i="12"/>
  <c r="BS17" i="12" s="1"/>
  <c r="BS18" i="12" s="1"/>
  <c r="BS9" i="12" s="1"/>
  <c r="BR697" i="7"/>
  <c r="BR699" i="7" s="1"/>
  <c r="BR741" i="7"/>
  <c r="BE673" i="7"/>
  <c r="BQ745" i="7"/>
  <c r="BO773" i="7"/>
  <c r="BO775" i="7" s="1"/>
  <c r="BG412" i="7"/>
  <c r="BG454" i="7"/>
  <c r="BG618" i="7"/>
  <c r="BG509" i="7"/>
  <c r="BG616" i="7"/>
  <c r="BK616" i="7"/>
  <c r="BG541" i="7"/>
  <c r="BG544" i="7" s="1"/>
  <c r="BF606" i="7"/>
  <c r="BF672" i="7" s="1"/>
  <c r="BF675" i="7" s="1"/>
  <c r="BF676" i="7" s="1"/>
  <c r="BF670" i="7"/>
  <c r="BF609" i="7"/>
  <c r="BE627" i="7"/>
  <c r="BF624" i="7"/>
  <c r="BR163" i="7"/>
  <c r="BR177" i="7" s="1"/>
  <c r="BR505" i="7"/>
  <c r="BO150" i="7"/>
  <c r="BO162" i="7" s="1"/>
  <c r="BP149" i="7"/>
  <c r="BP150" i="7" s="1"/>
  <c r="BO180" i="7"/>
  <c r="BR742" i="7"/>
  <c r="BR743" i="7" s="1"/>
  <c r="BR23" i="12"/>
  <c r="BQ189" i="7"/>
  <c r="BQ190" i="7" s="1"/>
  <c r="BQ195" i="7" s="1"/>
  <c r="BQ149" i="7" s="1"/>
  <c r="BQ150" i="7" s="1"/>
  <c r="BQ162" i="7" s="1"/>
  <c r="BQ166" i="7" s="1"/>
  <c r="BQ164" i="7" s="1"/>
  <c r="BQ694" i="7"/>
  <c r="BQ702" i="7" s="1"/>
  <c r="BQ514" i="7"/>
  <c r="BR691" i="7"/>
  <c r="BP775" i="7"/>
  <c r="BO776" i="7"/>
  <c r="BP200" i="7"/>
  <c r="BR51" i="7"/>
  <c r="BR70" i="7" s="1"/>
  <c r="BR133" i="7"/>
  <c r="BR736" i="7"/>
  <c r="BQ244" i="7"/>
  <c r="BP516" i="7"/>
  <c r="BQ516" i="7" s="1"/>
  <c r="BR516" i="7" s="1"/>
  <c r="BS516" i="7" s="1"/>
  <c r="BP520" i="7"/>
  <c r="BP608" i="7" s="1"/>
  <c r="BN201" i="7"/>
  <c r="BO112" i="7"/>
  <c r="BP112" i="7" s="1"/>
  <c r="BP448" i="7"/>
  <c r="BP700" i="7"/>
  <c r="BP703" i="7"/>
  <c r="BR693" i="7"/>
  <c r="BQ70" i="7"/>
  <c r="BR726" i="7"/>
  <c r="BR738" i="7" s="1"/>
  <c r="BR10" i="12"/>
  <c r="BN168" i="7"/>
  <c r="BN185" i="7"/>
  <c r="BQ764" i="7"/>
  <c r="BQ766" i="7"/>
  <c r="BQ767" i="7" s="1"/>
  <c r="BQ768" i="7" s="1"/>
  <c r="BQ771" i="7" s="1"/>
  <c r="BQ765" i="7"/>
  <c r="BQ746" i="7"/>
  <c r="BQ749" i="7"/>
  <c r="BQ156" i="7" s="1"/>
  <c r="BQ743" i="7"/>
  <c r="BO373" i="7"/>
  <c r="BP375" i="7"/>
  <c r="BQ410" i="7"/>
  <c r="BQ450" i="7"/>
  <c r="BQ448" i="7" s="1"/>
  <c r="BQ112" i="7" s="1"/>
  <c r="BQ739" i="7"/>
  <c r="BS26" i="12"/>
  <c r="BR338" i="7"/>
  <c r="BR519" i="7"/>
  <c r="BE70" i="44" l="1"/>
  <c r="P19" i="47" s="1"/>
  <c r="BE24" i="44"/>
  <c r="BF24" i="44" s="1"/>
  <c r="BF21" i="44"/>
  <c r="BF673" i="7"/>
  <c r="BR737" i="7"/>
  <c r="BH535" i="7"/>
  <c r="BF627" i="7"/>
  <c r="BG456" i="7"/>
  <c r="BG459" i="7" s="1"/>
  <c r="BH503" i="7"/>
  <c r="BG414" i="7"/>
  <c r="BG498" i="7"/>
  <c r="BG559" i="7"/>
  <c r="BG594" i="7" s="1"/>
  <c r="BG379" i="7"/>
  <c r="BN172" i="7"/>
  <c r="BS726" i="7"/>
  <c r="BN159" i="7"/>
  <c r="BN158" i="7"/>
  <c r="BN202" i="7"/>
  <c r="BN204" i="7" s="1"/>
  <c r="BS33" i="12"/>
  <c r="BS32" i="12" s="1"/>
  <c r="BS731" i="7"/>
  <c r="BS27" i="12"/>
  <c r="BQ517" i="7"/>
  <c r="BQ520" i="7" s="1"/>
  <c r="BQ608" i="7" s="1"/>
  <c r="BO167" i="7"/>
  <c r="BP180" i="7"/>
  <c r="BQ180" i="7" s="1"/>
  <c r="BP776" i="7"/>
  <c r="BR189" i="7"/>
  <c r="BR514" i="7"/>
  <c r="BR517" i="7" s="1"/>
  <c r="BR520" i="7" s="1"/>
  <c r="BR608" i="7" s="1"/>
  <c r="BR694" i="7"/>
  <c r="BR739" i="7"/>
  <c r="BR190" i="7"/>
  <c r="BR195" i="7" s="1"/>
  <c r="BR149" i="7" s="1"/>
  <c r="BR150" i="7" s="1"/>
  <c r="BR162" i="7" s="1"/>
  <c r="BR166" i="7" s="1"/>
  <c r="BR164" i="7" s="1"/>
  <c r="BS22" i="12"/>
  <c r="BS519" i="7" s="1"/>
  <c r="BS347" i="7"/>
  <c r="BS8" i="12"/>
  <c r="BS10" i="12" s="1"/>
  <c r="BO52" i="7"/>
  <c r="BP373" i="7"/>
  <c r="BQ200" i="7"/>
  <c r="BO166" i="7"/>
  <c r="BP162" i="7"/>
  <c r="BO176" i="7"/>
  <c r="BQ154" i="7"/>
  <c r="BQ155" i="7" s="1"/>
  <c r="BQ157" i="7" s="1"/>
  <c r="BQ772" i="7"/>
  <c r="BQ773" i="7" s="1"/>
  <c r="BQ775" i="7" s="1"/>
  <c r="BQ375" i="7"/>
  <c r="BR410" i="7"/>
  <c r="BR375" i="7" s="1"/>
  <c r="BR373" i="7" s="1"/>
  <c r="BR52" i="7" s="1"/>
  <c r="BR450" i="7"/>
  <c r="BR448" i="7" s="1"/>
  <c r="BR112" i="7" s="1"/>
  <c r="BR264" i="7"/>
  <c r="BR266" i="7" s="1"/>
  <c r="BR728" i="7"/>
  <c r="BR192" i="7"/>
  <c r="BR567" i="7"/>
  <c r="BR727" i="7"/>
  <c r="BR680" i="7"/>
  <c r="BQ703" i="7"/>
  <c r="BQ700" i="7"/>
  <c r="Q19" i="47" l="1"/>
  <c r="AC675" i="42"/>
  <c r="BF70" i="44"/>
  <c r="BE73" i="44"/>
  <c r="BF73" i="44" s="1"/>
  <c r="BG496" i="7"/>
  <c r="BG500" i="7" s="1"/>
  <c r="BG313" i="7"/>
  <c r="BH408" i="7"/>
  <c r="BG381" i="7"/>
  <c r="BG413" i="7"/>
  <c r="BH446" i="7"/>
  <c r="BG268" i="7"/>
  <c r="BH536" i="7"/>
  <c r="BQ167" i="7"/>
  <c r="BQ198" i="7" s="1"/>
  <c r="BR180" i="7"/>
  <c r="BQ373" i="7"/>
  <c r="BO198" i="7"/>
  <c r="BP167" i="7"/>
  <c r="BS338" i="7"/>
  <c r="BS111" i="7"/>
  <c r="BS732" i="7"/>
  <c r="BS733" i="7"/>
  <c r="BS148" i="7"/>
  <c r="BR765" i="7"/>
  <c r="BR764" i="7"/>
  <c r="BR766" i="7"/>
  <c r="BR767" i="7" s="1"/>
  <c r="BR768" i="7" s="1"/>
  <c r="BR193" i="7"/>
  <c r="BP52" i="7"/>
  <c r="BS31" i="12"/>
  <c r="BS30" i="12" s="1"/>
  <c r="BR200" i="7"/>
  <c r="BQ776" i="7"/>
  <c r="BS725" i="7"/>
  <c r="BS691" i="7" s="1"/>
  <c r="BS21" i="12"/>
  <c r="BS23" i="12" s="1"/>
  <c r="BS742" i="7"/>
  <c r="BS728" i="7" s="1"/>
  <c r="BR700" i="7"/>
  <c r="BR703" i="7"/>
  <c r="BR770" i="7"/>
  <c r="BR745" i="7"/>
  <c r="BP176" i="7"/>
  <c r="BQ176" i="7" s="1"/>
  <c r="BO179" i="7"/>
  <c r="BR244" i="7"/>
  <c r="BO164" i="7"/>
  <c r="BP166" i="7"/>
  <c r="BP164" i="7" s="1"/>
  <c r="BR702" i="7"/>
  <c r="BS192" i="7"/>
  <c r="BS193" i="7" s="1"/>
  <c r="BS567" i="7"/>
  <c r="BG501" i="7" l="1"/>
  <c r="BS727" i="7"/>
  <c r="BS738" i="7"/>
  <c r="BG270" i="7"/>
  <c r="BG681" i="7"/>
  <c r="BG683" i="7" s="1"/>
  <c r="BG256" i="7"/>
  <c r="BG384" i="7"/>
  <c r="BG380" i="7"/>
  <c r="BS505" i="7"/>
  <c r="BS163" i="7"/>
  <c r="BS177" i="7" s="1"/>
  <c r="BR772" i="7"/>
  <c r="BR154" i="7"/>
  <c r="BR155" i="7" s="1"/>
  <c r="BS51" i="7"/>
  <c r="BS133" i="7"/>
  <c r="BR771" i="7"/>
  <c r="BR773" i="7" s="1"/>
  <c r="BR775" i="7" s="1"/>
  <c r="BR776" i="7" s="1"/>
  <c r="BP198" i="7"/>
  <c r="BO201" i="7"/>
  <c r="BQ179" i="7"/>
  <c r="BQ181" i="7" s="1"/>
  <c r="BR176" i="7"/>
  <c r="BR749" i="7"/>
  <c r="BR156" i="7" s="1"/>
  <c r="BR746" i="7"/>
  <c r="BS745" i="7"/>
  <c r="BS189" i="7"/>
  <c r="BS190" i="7" s="1"/>
  <c r="BS195" i="7" s="1"/>
  <c r="BS149" i="7" s="1"/>
  <c r="BS150" i="7" s="1"/>
  <c r="BS162" i="7" s="1"/>
  <c r="BS166" i="7" s="1"/>
  <c r="BS164" i="7" s="1"/>
  <c r="BS694" i="7"/>
  <c r="BR167" i="7"/>
  <c r="BR198" i="7" s="1"/>
  <c r="BU338" i="7"/>
  <c r="BQ52" i="7"/>
  <c r="BS737" i="7"/>
  <c r="BS697" i="7"/>
  <c r="BS699" i="7" s="1"/>
  <c r="BS693" i="7" s="1"/>
  <c r="BS514" i="7" s="1"/>
  <c r="BS517" i="7" s="1"/>
  <c r="BS520" i="7" s="1"/>
  <c r="BS741" i="7"/>
  <c r="BS736" i="7" s="1"/>
  <c r="BP179" i="7"/>
  <c r="BO181" i="7"/>
  <c r="BS180" i="7" l="1"/>
  <c r="BS167" i="7" s="1"/>
  <c r="BS198" i="7" s="1"/>
  <c r="BR157" i="7"/>
  <c r="BG228" i="7"/>
  <c r="BG271" i="7"/>
  <c r="BG558" i="7"/>
  <c r="BG250" i="7"/>
  <c r="BH371" i="7"/>
  <c r="BG401" i="7"/>
  <c r="BS200" i="7"/>
  <c r="BS702" i="7"/>
  <c r="BR179" i="7"/>
  <c r="BR181" i="7" s="1"/>
  <c r="BS176" i="7"/>
  <c r="BS179" i="7" s="1"/>
  <c r="BS181" i="7" s="1"/>
  <c r="BS739" i="7"/>
  <c r="BS743" i="7"/>
  <c r="BQ185" i="7"/>
  <c r="BP201" i="7"/>
  <c r="BO159" i="7"/>
  <c r="BO158" i="7"/>
  <c r="BO202" i="7"/>
  <c r="BO204" i="7" s="1"/>
  <c r="BS70" i="7"/>
  <c r="BU51" i="7"/>
  <c r="BS700" i="7"/>
  <c r="BS703" i="7"/>
  <c r="BS749" i="7"/>
  <c r="BS156" i="7" s="1"/>
  <c r="BS157" i="7" s="1"/>
  <c r="BS746" i="7"/>
  <c r="BU133" i="7"/>
  <c r="BO185" i="7"/>
  <c r="BP181" i="7"/>
  <c r="BP185" i="7" s="1"/>
  <c r="BO168" i="7"/>
  <c r="BS410" i="7"/>
  <c r="BS450" i="7"/>
  <c r="BS448" i="7" s="1"/>
  <c r="BS112" i="7" s="1"/>
  <c r="BO172" i="7" l="1"/>
  <c r="BP168" i="7"/>
  <c r="BP172" i="7" s="1"/>
  <c r="BQ168" i="7"/>
  <c r="BQ172" i="7" s="1"/>
  <c r="BG405" i="7"/>
  <c r="BG403" i="7"/>
  <c r="BG406" i="7" s="1"/>
  <c r="BG211" i="7"/>
  <c r="BG593" i="7"/>
  <c r="BG605" i="7"/>
  <c r="BG560" i="7"/>
  <c r="BS168" i="7"/>
  <c r="BS172" i="7" s="1"/>
  <c r="BS185" i="7"/>
  <c r="BS375" i="7"/>
  <c r="BU410" i="7"/>
  <c r="BR185" i="7"/>
  <c r="BR168" i="7"/>
  <c r="BR172" i="7" s="1"/>
  <c r="BU70" i="7"/>
  <c r="BQ201" i="7"/>
  <c r="BP202" i="7"/>
  <c r="BP204" i="7" s="1"/>
  <c r="BG620" i="7" l="1"/>
  <c r="BG554" i="7"/>
  <c r="BG562" i="7"/>
  <c r="BG607" i="7" s="1"/>
  <c r="BG671" i="7" s="1"/>
  <c r="BG552" i="7"/>
  <c r="BG612" i="7"/>
  <c r="BG596" i="7"/>
  <c r="BG39" i="12" s="1"/>
  <c r="BG597" i="7"/>
  <c r="BH507" i="7" s="1"/>
  <c r="BS373" i="7"/>
  <c r="BU375" i="7"/>
  <c r="BQ158" i="7"/>
  <c r="BQ159" i="7"/>
  <c r="BR201" i="7"/>
  <c r="BQ202" i="7"/>
  <c r="BQ204" i="7" s="1"/>
  <c r="BG38" i="12" l="1"/>
  <c r="BG46" i="12"/>
  <c r="BH540" i="7"/>
  <c r="BG606" i="7"/>
  <c r="BG672" i="7" s="1"/>
  <c r="BG675" i="7" s="1"/>
  <c r="BG676" i="7" s="1"/>
  <c r="BG609" i="7"/>
  <c r="BG670" i="7"/>
  <c r="BH454" i="7"/>
  <c r="BH412" i="7"/>
  <c r="BH618" i="7"/>
  <c r="BH509" i="7"/>
  <c r="BG619" i="7"/>
  <c r="BG622" i="7"/>
  <c r="BG624" i="7" s="1"/>
  <c r="BH616" i="7"/>
  <c r="BS201" i="7"/>
  <c r="BR159" i="7"/>
  <c r="BR158" i="7"/>
  <c r="BR202" i="7"/>
  <c r="BR204" i="7" s="1"/>
  <c r="BS52" i="7"/>
  <c r="BU373" i="7"/>
  <c r="BG673" i="7" l="1"/>
  <c r="BG627" i="7"/>
  <c r="BH498" i="7"/>
  <c r="BH559" i="7"/>
  <c r="BH594" i="7" s="1"/>
  <c r="BH414" i="7"/>
  <c r="BI503" i="7"/>
  <c r="BH456" i="7"/>
  <c r="BH459" i="7" s="1"/>
  <c r="BH379" i="7"/>
  <c r="BH541" i="7"/>
  <c r="BH544" i="7" s="1"/>
  <c r="BS158" i="7"/>
  <c r="BS159" i="7"/>
  <c r="BS202" i="7"/>
  <c r="BS204" i="7" s="1"/>
  <c r="BU52" i="7"/>
  <c r="BI535" i="7" l="1"/>
  <c r="BH313" i="7"/>
  <c r="BI446" i="7"/>
  <c r="BH268" i="7"/>
  <c r="BH496" i="7"/>
  <c r="BH500" i="7" s="1"/>
  <c r="BH413" i="7"/>
  <c r="BH381" i="7"/>
  <c r="BI408" i="7"/>
  <c r="BH384" i="7" l="1"/>
  <c r="BH380" i="7"/>
  <c r="BH501" i="7"/>
  <c r="BH681" i="7"/>
  <c r="BH683" i="7" s="1"/>
  <c r="BH256" i="7"/>
  <c r="BH270" i="7"/>
  <c r="BI536" i="7"/>
  <c r="BH558" i="7" l="1"/>
  <c r="BH271" i="7"/>
  <c r="BH250" i="7"/>
  <c r="BH228" i="7"/>
  <c r="BI371" i="7"/>
  <c r="BH401" i="7"/>
  <c r="BH405" i="7" l="1"/>
  <c r="BH403" i="7"/>
  <c r="BH406" i="7" s="1"/>
  <c r="BH560" i="7"/>
  <c r="BH593" i="7"/>
  <c r="BH605" i="7"/>
  <c r="BH211" i="7"/>
  <c r="BH612" i="7" l="1"/>
  <c r="BH596" i="7"/>
  <c r="BH39" i="12" s="1"/>
  <c r="BH597" i="7"/>
  <c r="BI507" i="7" s="1"/>
  <c r="BH620" i="7"/>
  <c r="BH554" i="7"/>
  <c r="BH562" i="7"/>
  <c r="BH607" i="7" s="1"/>
  <c r="BH552" i="7"/>
  <c r="BH38" i="12" l="1"/>
  <c r="BH46" i="12"/>
  <c r="BI540" i="7"/>
  <c r="BI412" i="7"/>
  <c r="BI454" i="7"/>
  <c r="BI618" i="7"/>
  <c r="BI509" i="7"/>
  <c r="BH606" i="7"/>
  <c r="BH672" i="7" s="1"/>
  <c r="BH609" i="7"/>
  <c r="BH670" i="7"/>
  <c r="BH619" i="7"/>
  <c r="BI616" i="7"/>
  <c r="BH622" i="7"/>
  <c r="BH624" i="7" s="1"/>
  <c r="BH671" i="7"/>
  <c r="BI541" i="7"/>
  <c r="BI544" i="7" s="1"/>
  <c r="BH675" i="7" l="1"/>
  <c r="BH676" i="7" s="1"/>
  <c r="BJ535" i="7"/>
  <c r="BH627" i="7"/>
  <c r="BH673" i="7"/>
  <c r="BI559" i="7"/>
  <c r="BI594" i="7" s="1"/>
  <c r="BI498" i="7"/>
  <c r="BI414" i="7"/>
  <c r="BJ503" i="7"/>
  <c r="BI456" i="7"/>
  <c r="BI459" i="7" s="1"/>
  <c r="BI379" i="7"/>
  <c r="BI313" i="7" l="1"/>
  <c r="BI381" i="7"/>
  <c r="BJ408" i="7"/>
  <c r="BI413" i="7"/>
  <c r="BJ446" i="7"/>
  <c r="BI268" i="7"/>
  <c r="BI496" i="7"/>
  <c r="BI500" i="7" s="1"/>
  <c r="BJ536" i="7"/>
  <c r="BK536" i="7" s="1"/>
  <c r="BI501" i="7" l="1"/>
  <c r="BI256" i="7"/>
  <c r="BI270" i="7"/>
  <c r="BI681" i="7"/>
  <c r="BI683" i="7" s="1"/>
  <c r="BI384" i="7"/>
  <c r="BI380" i="7"/>
  <c r="BJ371" i="7" l="1"/>
  <c r="BI401" i="7"/>
  <c r="BI228" i="7"/>
  <c r="BI250" i="7"/>
  <c r="BI271" i="7"/>
  <c r="BI558" i="7"/>
  <c r="BI593" i="7" l="1"/>
  <c r="BI560" i="7"/>
  <c r="BI605" i="7"/>
  <c r="BI405" i="7"/>
  <c r="BI403" i="7"/>
  <c r="BI406" i="7" s="1"/>
  <c r="BI211" i="7"/>
  <c r="BI554" i="7" l="1"/>
  <c r="BI620" i="7"/>
  <c r="BI562" i="7"/>
  <c r="BI607" i="7" s="1"/>
  <c r="BI671" i="7" s="1"/>
  <c r="BI552" i="7"/>
  <c r="BI612" i="7"/>
  <c r="BI596" i="7"/>
  <c r="BI39" i="12" s="1"/>
  <c r="BI597" i="7"/>
  <c r="BJ507" i="7" s="1"/>
  <c r="BI38" i="12" l="1"/>
  <c r="BI46" i="12"/>
  <c r="BJ412" i="7"/>
  <c r="BJ454" i="7"/>
  <c r="BJ618" i="7"/>
  <c r="BK618" i="7" s="1"/>
  <c r="BK507" i="7"/>
  <c r="BK509" i="7" s="1"/>
  <c r="BJ509" i="7"/>
  <c r="BJ540" i="7"/>
  <c r="BI609" i="7"/>
  <c r="BI670" i="7"/>
  <c r="BI606" i="7"/>
  <c r="BI672" i="7" s="1"/>
  <c r="BI675" i="7" s="1"/>
  <c r="BI676" i="7" s="1"/>
  <c r="BI619" i="7"/>
  <c r="BJ616" i="7"/>
  <c r="BI622" i="7"/>
  <c r="BI624" i="7" s="1"/>
  <c r="BI673" i="7" l="1"/>
  <c r="BK454" i="7"/>
  <c r="BK456" i="7" s="1"/>
  <c r="BK459" i="7" s="1"/>
  <c r="BJ456" i="7"/>
  <c r="BJ459" i="7" s="1"/>
  <c r="BJ268" i="7" s="1"/>
  <c r="BI627" i="7"/>
  <c r="BP503" i="7"/>
  <c r="BK414" i="7"/>
  <c r="BL503" i="7"/>
  <c r="BK559" i="7"/>
  <c r="BK594" i="7" s="1"/>
  <c r="BJ379" i="7"/>
  <c r="BK412" i="7"/>
  <c r="BK540" i="7"/>
  <c r="BK541" i="7" s="1"/>
  <c r="BK544" i="7" s="1"/>
  <c r="BJ541" i="7"/>
  <c r="BJ544" i="7" s="1"/>
  <c r="BJ559" i="7"/>
  <c r="BJ594" i="7" s="1"/>
  <c r="BJ414" i="7"/>
  <c r="BJ498" i="7"/>
  <c r="BJ381" i="7" l="1"/>
  <c r="BJ413" i="7"/>
  <c r="BL535" i="7"/>
  <c r="BP535" i="7"/>
  <c r="BJ256" i="7"/>
  <c r="BJ270" i="7"/>
  <c r="BJ681" i="7"/>
  <c r="BJ683" i="7" s="1"/>
  <c r="BK498" i="7"/>
  <c r="BJ496" i="7"/>
  <c r="BJ501" i="7" s="1"/>
  <c r="BJ313" i="7"/>
  <c r="BK379" i="7"/>
  <c r="BL408" i="7"/>
  <c r="BP408" i="7"/>
  <c r="BK413" i="7"/>
  <c r="BK268" i="7"/>
  <c r="BP446" i="7"/>
  <c r="BL446" i="7"/>
  <c r="BJ228" i="7" l="1"/>
  <c r="BL536" i="7"/>
  <c r="BK256" i="7"/>
  <c r="BK270" i="7"/>
  <c r="BK681" i="7"/>
  <c r="BK683" i="7" s="1"/>
  <c r="BJ380" i="7"/>
  <c r="BK380" i="7" s="1"/>
  <c r="BK381" i="7" s="1"/>
  <c r="BK384" i="7" s="1"/>
  <c r="BJ384" i="7"/>
  <c r="BJ401" i="7" s="1"/>
  <c r="BK313" i="7"/>
  <c r="BJ500" i="7"/>
  <c r="BK496" i="7"/>
  <c r="BK500" i="7" s="1"/>
  <c r="BJ558" i="7"/>
  <c r="BJ250" i="7"/>
  <c r="BJ271" i="7"/>
  <c r="BJ405" i="7" l="1"/>
  <c r="BJ403" i="7"/>
  <c r="BJ406" i="7" s="1"/>
  <c r="BL371" i="7"/>
  <c r="BK401" i="7"/>
  <c r="BP371" i="7"/>
  <c r="BK558" i="7"/>
  <c r="BK250" i="7"/>
  <c r="BK271" i="7"/>
  <c r="BJ593" i="7"/>
  <c r="BJ605" i="7"/>
  <c r="BJ560" i="7"/>
  <c r="BK228" i="7"/>
  <c r="BJ211" i="7"/>
  <c r="BK501" i="7"/>
  <c r="BJ596" i="7" l="1"/>
  <c r="BJ39" i="12" s="1"/>
  <c r="BJ612" i="7"/>
  <c r="BK612" i="7" s="1"/>
  <c r="BJ597" i="7"/>
  <c r="BK593" i="7"/>
  <c r="BK605" i="7"/>
  <c r="BK560" i="7"/>
  <c r="BK211" i="7"/>
  <c r="BJ620" i="7"/>
  <c r="BJ562" i="7"/>
  <c r="BJ607" i="7" s="1"/>
  <c r="BJ554" i="7"/>
  <c r="BJ552" i="7"/>
  <c r="BK405" i="7"/>
  <c r="BK403" i="7"/>
  <c r="BK406" i="7" s="1"/>
  <c r="BJ38" i="12" l="1"/>
  <c r="BJ46" i="12"/>
  <c r="BK46" i="12" s="1"/>
  <c r="BJ606" i="7"/>
  <c r="BJ672" i="7" s="1"/>
  <c r="BJ670" i="7"/>
  <c r="BJ609" i="7"/>
  <c r="BK596" i="7"/>
  <c r="BK39" i="12" s="1"/>
  <c r="BK38" i="12" s="1"/>
  <c r="BK597" i="7"/>
  <c r="BL507" i="7" s="1"/>
  <c r="BK611" i="7"/>
  <c r="BL611" i="7" s="1"/>
  <c r="BM611" i="7" s="1"/>
  <c r="BN611" i="7" s="1"/>
  <c r="BO611" i="7" s="1"/>
  <c r="BJ622" i="7"/>
  <c r="BJ624" i="7" s="1"/>
  <c r="BJ619" i="7"/>
  <c r="BK619" i="7" s="1"/>
  <c r="BK620" i="7"/>
  <c r="BK554" i="7"/>
  <c r="BK562" i="7"/>
  <c r="BK607" i="7" s="1"/>
  <c r="BK552" i="7"/>
  <c r="BL540" i="7" s="1"/>
  <c r="BJ671" i="7"/>
  <c r="BJ675" i="7" s="1"/>
  <c r="BJ676" i="7" s="1"/>
  <c r="BL541" i="7" l="1"/>
  <c r="BL544" i="7" s="1"/>
  <c r="BK670" i="7"/>
  <c r="BK609" i="7"/>
  <c r="BK606" i="7"/>
  <c r="BK672" i="7" s="1"/>
  <c r="BL616" i="7"/>
  <c r="BP616" i="7"/>
  <c r="BL454" i="7"/>
  <c r="BL412" i="7"/>
  <c r="BL618" i="7"/>
  <c r="BL509" i="7"/>
  <c r="BJ627" i="7"/>
  <c r="BK624" i="7"/>
  <c r="BK671" i="7"/>
  <c r="BK675" i="7" s="1"/>
  <c r="BK676" i="7" s="1"/>
  <c r="BJ673" i="7"/>
  <c r="BL456" i="7" l="1"/>
  <c r="BL459" i="7" s="1"/>
  <c r="BK627" i="7"/>
  <c r="BL559" i="7"/>
  <c r="BL594" i="7" s="1"/>
  <c r="BL498" i="7"/>
  <c r="BM503" i="7"/>
  <c r="BL414" i="7"/>
  <c r="BL379" i="7"/>
  <c r="BK673" i="7"/>
  <c r="BM535" i="7"/>
  <c r="BM536" i="7" l="1"/>
  <c r="BM408" i="7"/>
  <c r="BL413" i="7"/>
  <c r="BL381" i="7"/>
  <c r="BL313" i="7"/>
  <c r="BL496" i="7"/>
  <c r="BL500" i="7" s="1"/>
  <c r="BL268" i="7"/>
  <c r="BM446" i="7"/>
  <c r="BL501" i="7" l="1"/>
  <c r="BL270" i="7"/>
  <c r="BL681" i="7"/>
  <c r="BL683" i="7" s="1"/>
  <c r="BL256" i="7"/>
  <c r="BL384" i="7"/>
  <c r="BL380" i="7"/>
  <c r="BL401" i="7" l="1"/>
  <c r="BM371" i="7"/>
  <c r="BL228" i="7"/>
  <c r="BL558" i="7"/>
  <c r="BL271" i="7"/>
  <c r="BL250" i="7"/>
  <c r="BL560" i="7" l="1"/>
  <c r="BL593" i="7"/>
  <c r="BL605" i="7"/>
  <c r="BL211" i="7"/>
  <c r="BL405" i="7"/>
  <c r="BL403" i="7"/>
  <c r="BL406" i="7" s="1"/>
  <c r="BL596" i="7" l="1"/>
  <c r="BL39" i="12" s="1"/>
  <c r="BL612" i="7"/>
  <c r="BL597" i="7"/>
  <c r="BM507" i="7" s="1"/>
  <c r="BL620" i="7"/>
  <c r="BL562" i="7"/>
  <c r="BL607" i="7" s="1"/>
  <c r="BL554" i="7"/>
  <c r="BL552" i="7"/>
  <c r="BL38" i="12" l="1"/>
  <c r="BL46" i="12"/>
  <c r="BM540" i="7"/>
  <c r="BM616" i="7"/>
  <c r="BL622" i="7"/>
  <c r="BL624" i="7" s="1"/>
  <c r="BL627" i="7" s="1"/>
  <c r="BL619" i="7"/>
  <c r="BM541" i="7"/>
  <c r="BM544" i="7" s="1"/>
  <c r="BM412" i="7"/>
  <c r="BM454" i="7"/>
  <c r="BM618" i="7"/>
  <c r="BM509" i="7"/>
  <c r="BL606" i="7"/>
  <c r="BL672" i="7" s="1"/>
  <c r="BL609" i="7"/>
  <c r="BL670" i="7"/>
  <c r="BL671" i="7"/>
  <c r="BL675" i="7" l="1"/>
  <c r="BL676" i="7" s="1"/>
  <c r="BM379" i="7"/>
  <c r="BL673" i="7"/>
  <c r="BM414" i="7"/>
  <c r="BN503" i="7"/>
  <c r="BM498" i="7"/>
  <c r="BM559" i="7"/>
  <c r="BM594" i="7" s="1"/>
  <c r="BM456" i="7"/>
  <c r="BM459" i="7" s="1"/>
  <c r="BN535" i="7"/>
  <c r="BN536" i="7" l="1"/>
  <c r="BN446" i="7"/>
  <c r="BM268" i="7"/>
  <c r="BM496" i="7"/>
  <c r="BM500" i="7" s="1"/>
  <c r="BN408" i="7"/>
  <c r="BM413" i="7"/>
  <c r="BM381" i="7"/>
  <c r="BM313" i="7"/>
  <c r="BM501" i="7" l="1"/>
  <c r="BM270" i="7"/>
  <c r="BM256" i="7"/>
  <c r="BM681" i="7"/>
  <c r="BM683" i="7" s="1"/>
  <c r="BM384" i="7"/>
  <c r="BM380" i="7"/>
  <c r="BN371" i="7" l="1"/>
  <c r="BM401" i="7"/>
  <c r="BM228" i="7"/>
  <c r="BM558" i="7"/>
  <c r="BM271" i="7"/>
  <c r="BM250" i="7"/>
  <c r="BM560" i="7" l="1"/>
  <c r="BM605" i="7"/>
  <c r="BM593" i="7"/>
  <c r="BM211" i="7"/>
  <c r="BM403" i="7"/>
  <c r="BM406" i="7" s="1"/>
  <c r="BM405" i="7"/>
  <c r="BM612" i="7" l="1"/>
  <c r="BM596" i="7"/>
  <c r="BM39" i="12" s="1"/>
  <c r="BM597" i="7"/>
  <c r="BN507" i="7" s="1"/>
  <c r="BM554" i="7"/>
  <c r="BM562" i="7"/>
  <c r="BM607" i="7" s="1"/>
  <c r="BM620" i="7"/>
  <c r="BM552" i="7"/>
  <c r="BM38" i="12" l="1"/>
  <c r="BM46" i="12"/>
  <c r="BN540" i="7"/>
  <c r="BN541" i="7" s="1"/>
  <c r="BN544" i="7" s="1"/>
  <c r="BM619" i="7"/>
  <c r="BM622" i="7"/>
  <c r="BM624" i="7" s="1"/>
  <c r="BM627" i="7" s="1"/>
  <c r="BN616" i="7"/>
  <c r="BN412" i="7"/>
  <c r="BN454" i="7"/>
  <c r="BN618" i="7"/>
  <c r="BN509" i="7"/>
  <c r="BM670" i="7"/>
  <c r="BM606" i="7"/>
  <c r="BM672" i="7" s="1"/>
  <c r="BM609" i="7"/>
  <c r="BM671" i="7"/>
  <c r="BM675" i="7" l="1"/>
  <c r="BM676" i="7" s="1"/>
  <c r="BN498" i="7"/>
  <c r="BN559" i="7"/>
  <c r="BN594" i="7" s="1"/>
  <c r="BN414" i="7"/>
  <c r="BO503" i="7"/>
  <c r="BM673" i="7"/>
  <c r="BN456" i="7"/>
  <c r="BN459" i="7" s="1"/>
  <c r="BN379" i="7"/>
  <c r="BO535" i="7"/>
  <c r="BO536" i="7" l="1"/>
  <c r="BP536" i="7" s="1"/>
  <c r="BN313" i="7"/>
  <c r="BN413" i="7"/>
  <c r="BO408" i="7"/>
  <c r="BN381" i="7"/>
  <c r="BN496" i="7"/>
  <c r="BN500" i="7" s="1"/>
  <c r="BN268" i="7"/>
  <c r="BO446" i="7"/>
  <c r="BN270" i="7" l="1"/>
  <c r="BN681" i="7"/>
  <c r="BN683" i="7" s="1"/>
  <c r="BN256" i="7"/>
  <c r="BN501" i="7"/>
  <c r="BN384" i="7"/>
  <c r="BN380" i="7"/>
  <c r="BN401" i="7" l="1"/>
  <c r="BO371" i="7"/>
  <c r="BN228" i="7"/>
  <c r="BN558" i="7"/>
  <c r="BN250" i="7"/>
  <c r="BN271" i="7"/>
  <c r="BN605" i="7" l="1"/>
  <c r="BN560" i="7"/>
  <c r="BN593" i="7"/>
  <c r="BN405" i="7"/>
  <c r="BN403" i="7"/>
  <c r="BN406" i="7" s="1"/>
  <c r="BN211" i="7"/>
  <c r="BN596" i="7" l="1"/>
  <c r="BN39" i="12" s="1"/>
  <c r="BN612" i="7"/>
  <c r="BN597" i="7"/>
  <c r="BO507" i="7" s="1"/>
  <c r="BN554" i="7"/>
  <c r="BN620" i="7"/>
  <c r="BN562" i="7"/>
  <c r="BN607" i="7" s="1"/>
  <c r="BN552" i="7"/>
  <c r="BN38" i="12" l="1"/>
  <c r="BN46" i="12"/>
  <c r="BO540" i="7"/>
  <c r="BP540" i="7" s="1"/>
  <c r="BP541" i="7" s="1"/>
  <c r="BP544" i="7" s="1"/>
  <c r="BO454" i="7"/>
  <c r="BO412" i="7"/>
  <c r="BO618" i="7"/>
  <c r="BP618" i="7" s="1"/>
  <c r="BP507" i="7"/>
  <c r="BP509" i="7" s="1"/>
  <c r="BO509" i="7"/>
  <c r="BN609" i="7"/>
  <c r="BN606" i="7"/>
  <c r="BN672" i="7" s="1"/>
  <c r="BN670" i="7"/>
  <c r="BN619" i="7"/>
  <c r="BN622" i="7"/>
  <c r="BN624" i="7" s="1"/>
  <c r="BN627" i="7" s="1"/>
  <c r="BO616" i="7"/>
  <c r="BN671" i="7"/>
  <c r="BN675" i="7" s="1"/>
  <c r="BN676" i="7" s="1"/>
  <c r="BO541" i="7" l="1"/>
  <c r="BO544" i="7" s="1"/>
  <c r="BP414" i="7"/>
  <c r="BP559" i="7"/>
  <c r="BP594" i="7" s="1"/>
  <c r="BQ503" i="7"/>
  <c r="BO379" i="7"/>
  <c r="BP412" i="7"/>
  <c r="BN673" i="7"/>
  <c r="BO559" i="7"/>
  <c r="BO594" i="7" s="1"/>
  <c r="BO414" i="7"/>
  <c r="BO498" i="7"/>
  <c r="BP454" i="7"/>
  <c r="BP456" i="7" s="1"/>
  <c r="BP459" i="7" s="1"/>
  <c r="BO456" i="7"/>
  <c r="BO459" i="7" s="1"/>
  <c r="BO268" i="7" s="1"/>
  <c r="BQ535" i="7"/>
  <c r="BO256" i="7" l="1"/>
  <c r="BO270" i="7"/>
  <c r="BO681" i="7"/>
  <c r="BO683" i="7" s="1"/>
  <c r="BP268" i="7"/>
  <c r="BQ446" i="7"/>
  <c r="BO496" i="7"/>
  <c r="BO501" i="7" s="1"/>
  <c r="BP498" i="7"/>
  <c r="BO413" i="7"/>
  <c r="BO381" i="7"/>
  <c r="BQ536" i="7"/>
  <c r="BO313" i="7"/>
  <c r="BP379" i="7"/>
  <c r="BU408" i="7"/>
  <c r="BP413" i="7"/>
  <c r="BQ408" i="7"/>
  <c r="BP313" i="7" l="1"/>
  <c r="BO384" i="7"/>
  <c r="BO401" i="7" s="1"/>
  <c r="BO380" i="7"/>
  <c r="BP380" i="7" s="1"/>
  <c r="BP381" i="7" s="1"/>
  <c r="BP384" i="7" s="1"/>
  <c r="BO500" i="7"/>
  <c r="BP496" i="7"/>
  <c r="BP500" i="7" s="1"/>
  <c r="BP681" i="7"/>
  <c r="BP683" i="7" s="1"/>
  <c r="BP256" i="7"/>
  <c r="BP270" i="7"/>
  <c r="BO250" i="7"/>
  <c r="BO558" i="7"/>
  <c r="BO271" i="7"/>
  <c r="BO228" i="7"/>
  <c r="BP501" i="7" l="1"/>
  <c r="BU371" i="7"/>
  <c r="BP401" i="7"/>
  <c r="BQ371" i="7"/>
  <c r="BO211" i="7"/>
  <c r="BO605" i="7"/>
  <c r="BO593" i="7"/>
  <c r="BO560" i="7"/>
  <c r="BP558" i="7"/>
  <c r="BP250" i="7"/>
  <c r="BP271" i="7"/>
  <c r="BP228" i="7"/>
  <c r="BO403" i="7"/>
  <c r="BO406" i="7" s="1"/>
  <c r="BO405" i="7"/>
  <c r="BO562" i="7" l="1"/>
  <c r="BO607" i="7" s="1"/>
  <c r="BO671" i="7" s="1"/>
  <c r="BO554" i="7"/>
  <c r="BO620" i="7"/>
  <c r="BO552" i="7"/>
  <c r="BP605" i="7"/>
  <c r="BP560" i="7"/>
  <c r="BP593" i="7"/>
  <c r="BO596" i="7"/>
  <c r="BO39" i="12" s="1"/>
  <c r="BO612" i="7"/>
  <c r="BP612" i="7" s="1"/>
  <c r="BO597" i="7"/>
  <c r="BP211" i="7"/>
  <c r="BP403" i="7"/>
  <c r="BP406" i="7" s="1"/>
  <c r="BP405" i="7"/>
  <c r="BO38" i="12" l="1"/>
  <c r="BO46" i="12"/>
  <c r="BP46" i="12" s="1"/>
  <c r="BP596" i="7"/>
  <c r="BP39" i="12" s="1"/>
  <c r="BP38" i="12" s="1"/>
  <c r="BP597" i="7"/>
  <c r="BQ507" i="7" s="1"/>
  <c r="BP611" i="7"/>
  <c r="BQ611" i="7" s="1"/>
  <c r="BR611" i="7" s="1"/>
  <c r="BS611" i="7" s="1"/>
  <c r="BS612" i="7" s="1"/>
  <c r="BP562" i="7"/>
  <c r="BP607" i="7" s="1"/>
  <c r="BP554" i="7"/>
  <c r="BP620" i="7"/>
  <c r="BQ616" i="7" s="1"/>
  <c r="BP552" i="7"/>
  <c r="BO619" i="7"/>
  <c r="BP619" i="7" s="1"/>
  <c r="BO622" i="7"/>
  <c r="BO624" i="7" s="1"/>
  <c r="BO606" i="7"/>
  <c r="BO672" i="7" s="1"/>
  <c r="BO675" i="7" s="1"/>
  <c r="BO676" i="7" s="1"/>
  <c r="BO670" i="7"/>
  <c r="BO609" i="7"/>
  <c r="BQ540" i="7" l="1"/>
  <c r="BQ541" i="7" s="1"/>
  <c r="BQ544" i="7" s="1"/>
  <c r="BR535" i="7" s="1"/>
  <c r="BO673" i="7"/>
  <c r="BP671" i="7"/>
  <c r="BP609" i="7"/>
  <c r="BP670" i="7"/>
  <c r="BP606" i="7"/>
  <c r="BP672" i="7" s="1"/>
  <c r="BQ454" i="7"/>
  <c r="BQ412" i="7"/>
  <c r="BQ618" i="7"/>
  <c r="BQ509" i="7"/>
  <c r="BO627" i="7"/>
  <c r="BP624" i="7"/>
  <c r="BQ379" i="7" l="1"/>
  <c r="BP627" i="7"/>
  <c r="BQ559" i="7"/>
  <c r="BQ594" i="7" s="1"/>
  <c r="BQ414" i="7"/>
  <c r="BQ498" i="7"/>
  <c r="BR503" i="7"/>
  <c r="BQ456" i="7"/>
  <c r="BQ459" i="7" s="1"/>
  <c r="BP673" i="7"/>
  <c r="BP675" i="7"/>
  <c r="BP676" i="7" s="1"/>
  <c r="BR536" i="7"/>
  <c r="BQ268" i="7" l="1"/>
  <c r="BR446" i="7"/>
  <c r="BQ496" i="7"/>
  <c r="BQ500" i="7" s="1"/>
  <c r="BR408" i="7"/>
  <c r="BQ381" i="7"/>
  <c r="BQ413" i="7"/>
  <c r="BQ313" i="7"/>
  <c r="BQ501" i="7" l="1"/>
  <c r="BQ384" i="7"/>
  <c r="BQ380" i="7"/>
  <c r="BQ256" i="7"/>
  <c r="BQ681" i="7"/>
  <c r="BQ683" i="7" s="1"/>
  <c r="BQ270" i="7"/>
  <c r="BQ271" i="7" l="1"/>
  <c r="BQ558" i="7"/>
  <c r="BQ250" i="7"/>
  <c r="BQ228" i="7"/>
  <c r="BR371" i="7"/>
  <c r="BQ401" i="7"/>
  <c r="BQ405" i="7" l="1"/>
  <c r="BQ403" i="7"/>
  <c r="BQ406" i="7" s="1"/>
  <c r="BQ211" i="7"/>
  <c r="BQ593" i="7"/>
  <c r="BQ605" i="7"/>
  <c r="BQ560" i="7"/>
  <c r="BQ620" i="7" l="1"/>
  <c r="BQ554" i="7"/>
  <c r="BQ562" i="7"/>
  <c r="BQ607" i="7" s="1"/>
  <c r="BQ671" i="7" s="1"/>
  <c r="BQ552" i="7"/>
  <c r="BQ612" i="7"/>
  <c r="BQ596" i="7"/>
  <c r="BQ39" i="12" s="1"/>
  <c r="BQ38" i="12" s="1"/>
  <c r="BQ597" i="7"/>
  <c r="BR507" i="7" s="1"/>
  <c r="BR412" i="7" l="1"/>
  <c r="BR454" i="7"/>
  <c r="BR618" i="7"/>
  <c r="BR509" i="7"/>
  <c r="BR540" i="7"/>
  <c r="BR541" i="7" s="1"/>
  <c r="BR544" i="7" s="1"/>
  <c r="BQ606" i="7"/>
  <c r="BQ672" i="7" s="1"/>
  <c r="BQ675" i="7" s="1"/>
  <c r="BQ676" i="7" s="1"/>
  <c r="BQ670" i="7"/>
  <c r="BQ609" i="7"/>
  <c r="BR616" i="7"/>
  <c r="BQ619" i="7"/>
  <c r="BQ622" i="7"/>
  <c r="BQ624" i="7" s="1"/>
  <c r="BQ627" i="7" l="1"/>
  <c r="BQ673" i="7"/>
  <c r="BR456" i="7"/>
  <c r="BR459" i="7" s="1"/>
  <c r="BS535" i="7"/>
  <c r="BR559" i="7"/>
  <c r="BR594" i="7" s="1"/>
  <c r="BR498" i="7"/>
  <c r="BS503" i="7"/>
  <c r="BR414" i="7"/>
  <c r="BR379" i="7"/>
  <c r="BR313" i="7" l="1"/>
  <c r="BS408" i="7"/>
  <c r="BR413" i="7"/>
  <c r="BR381" i="7"/>
  <c r="BR496" i="7"/>
  <c r="BR500" i="7" s="1"/>
  <c r="BS536" i="7"/>
  <c r="BS446" i="7"/>
  <c r="BR268" i="7"/>
  <c r="BR501" i="7" l="1"/>
  <c r="BR681" i="7"/>
  <c r="BR683" i="7" s="1"/>
  <c r="BR270" i="7"/>
  <c r="BR256" i="7"/>
  <c r="BR380" i="7"/>
  <c r="BR384" i="7"/>
  <c r="BR401" i="7" l="1"/>
  <c r="BS371" i="7"/>
  <c r="BR250" i="7"/>
  <c r="BR271" i="7"/>
  <c r="BR558" i="7"/>
  <c r="BR228" i="7"/>
  <c r="BR211" i="7" l="1"/>
  <c r="BR560" i="7"/>
  <c r="BR605" i="7"/>
  <c r="BR593" i="7"/>
  <c r="BR405" i="7"/>
  <c r="BR403" i="7"/>
  <c r="BR406" i="7" s="1"/>
  <c r="BR596" i="7" l="1"/>
  <c r="BR39" i="12" s="1"/>
  <c r="BR38" i="12" s="1"/>
  <c r="BR612" i="7"/>
  <c r="BR597" i="7"/>
  <c r="BS507" i="7" s="1"/>
  <c r="BR554" i="7"/>
  <c r="BR562" i="7"/>
  <c r="BR607" i="7" s="1"/>
  <c r="BR620" i="7"/>
  <c r="BR552" i="7"/>
  <c r="BS540" i="7" l="1"/>
  <c r="BS541" i="7" s="1"/>
  <c r="BS544" i="7" s="1"/>
  <c r="BR622" i="7"/>
  <c r="BR624" i="7" s="1"/>
  <c r="BS616" i="7"/>
  <c r="BR619" i="7"/>
  <c r="BS454" i="7"/>
  <c r="BS412" i="7"/>
  <c r="BS618" i="7"/>
  <c r="BS509" i="7"/>
  <c r="BR609" i="7"/>
  <c r="BR606" i="7"/>
  <c r="BR672" i="7" s="1"/>
  <c r="BR670" i="7"/>
  <c r="BR671" i="7"/>
  <c r="BR675" i="7" l="1"/>
  <c r="BR676" i="7" s="1"/>
  <c r="BS456" i="7"/>
  <c r="BS459" i="7" s="1"/>
  <c r="BR673" i="7"/>
  <c r="BS498" i="7"/>
  <c r="BS414" i="7"/>
  <c r="BS559" i="7"/>
  <c r="BS560" i="7" s="1"/>
  <c r="BS379" i="7"/>
  <c r="BU412" i="7"/>
  <c r="BU413" i="7" s="1"/>
  <c r="BR627" i="7"/>
  <c r="BT408" i="7" l="1"/>
  <c r="BT413" i="7" s="1"/>
  <c r="BS381" i="7"/>
  <c r="BS413" i="7"/>
  <c r="BS313" i="7"/>
  <c r="BU379" i="7"/>
  <c r="BS562" i="7"/>
  <c r="BS620" i="7"/>
  <c r="BS496" i="7"/>
  <c r="BS500" i="7" s="1"/>
  <c r="BS501" i="7" l="1"/>
  <c r="BS622" i="7"/>
  <c r="BS624" i="7" s="1"/>
  <c r="BS627" i="7" s="1"/>
  <c r="BS619" i="7"/>
  <c r="BU313" i="7"/>
  <c r="BS384" i="7"/>
  <c r="BS380" i="7"/>
  <c r="BS401" i="7" l="1"/>
  <c r="BT371" i="7"/>
  <c r="BT380" i="7" s="1"/>
  <c r="BU380" i="7" s="1"/>
  <c r="BU381" i="7" s="1"/>
  <c r="BU384" i="7" s="1"/>
  <c r="BS403" i="7" l="1"/>
  <c r="BS406" i="7" s="1"/>
  <c r="BS405" i="7"/>
  <c r="AE56" i="15" l="1"/>
  <c r="BA92" i="7"/>
  <c r="BD105" i="7"/>
  <c r="AE64" i="15" l="1"/>
  <c r="AE58" i="15"/>
  <c r="AJ64" i="15"/>
  <c r="AJ18" i="1" l="1"/>
  <c r="AJ19" i="1" s="1"/>
  <c r="AE66" i="15"/>
  <c r="AJ66" i="15"/>
  <c r="AE74" i="15" l="1"/>
  <c r="AE73" i="15" s="1"/>
  <c r="AJ27" i="1"/>
  <c r="AJ31" i="1" s="1"/>
  <c r="AJ36" i="1" s="1"/>
  <c r="AJ34" i="1" s="1"/>
  <c r="AJ39" i="1" l="1"/>
  <c r="AJ40" i="1" s="1"/>
  <c r="D10" i="56" l="1"/>
  <c r="D10" i="46"/>
  <c r="BN17" i="20"/>
  <c r="B10" i="56" l="1"/>
  <c r="F10" i="56" s="1"/>
  <c r="I10" i="56" s="1"/>
  <c r="F10" i="46"/>
  <c r="D15" i="56"/>
  <c r="BN22" i="20"/>
  <c r="BN324" i="20" s="1"/>
  <c r="BN332" i="20" s="1"/>
  <c r="D15" i="46"/>
  <c r="F15" i="46" l="1"/>
  <c r="B15" i="56"/>
  <c r="D20" i="46"/>
  <c r="BN321" i="20"/>
  <c r="BN330" i="20" s="1"/>
  <c r="BN327" i="20"/>
  <c r="D20" i="56"/>
  <c r="BN322" i="20"/>
  <c r="BN323" i="20"/>
  <c r="BN37" i="20"/>
  <c r="BN326" i="20"/>
  <c r="BN33" i="20"/>
  <c r="BN334" i="20"/>
  <c r="BN325" i="20"/>
  <c r="F15" i="56"/>
  <c r="I15" i="56" s="1"/>
  <c r="E33" i="3" l="1"/>
  <c r="J33" i="3"/>
  <c r="BN35" i="20"/>
  <c r="F7" i="18"/>
  <c r="BN46" i="20"/>
  <c r="BN41" i="20"/>
  <c r="D22" i="56"/>
  <c r="F20" i="46"/>
  <c r="D22" i="46"/>
  <c r="B20" i="56"/>
  <c r="F20" i="56" s="1"/>
  <c r="I20" i="56" s="1"/>
  <c r="BN331" i="20"/>
  <c r="AY169" i="44" l="1"/>
  <c r="BN42" i="20"/>
  <c r="D33" i="3" s="1"/>
  <c r="C33" i="3"/>
  <c r="H33" i="3"/>
  <c r="BN47" i="20"/>
  <c r="I33" i="3" s="1"/>
  <c r="D23" i="56"/>
  <c r="G7" i="18"/>
  <c r="H7" i="18"/>
  <c r="I40" i="17" s="1"/>
  <c r="R7" i="18"/>
  <c r="T7" i="18" s="1"/>
  <c r="J40" i="17" s="1"/>
  <c r="B22" i="56"/>
  <c r="D24" i="56" s="1"/>
  <c r="D23" i="46"/>
  <c r="D24" i="46"/>
  <c r="F22" i="46"/>
  <c r="F22" i="56" l="1"/>
  <c r="I22" i="56" s="1"/>
  <c r="S7" i="18"/>
  <c r="U7" i="18" s="1"/>
  <c r="I7" i="18"/>
  <c r="AZ687" i="7"/>
  <c r="BO151" i="20" s="1"/>
  <c r="BO219" i="20" l="1"/>
  <c r="BP151" i="20"/>
  <c r="E8" i="39" s="1"/>
  <c r="BO56" i="20"/>
  <c r="BN219" i="20"/>
  <c r="BA687" i="7" l="1"/>
  <c r="E10" i="56"/>
  <c r="E10" i="46"/>
  <c r="BN217" i="20"/>
  <c r="BN216" i="20"/>
  <c r="BO12" i="20"/>
  <c r="BP56" i="20"/>
  <c r="C8" i="39" s="1"/>
  <c r="C33" i="39" s="1"/>
  <c r="BO216" i="20"/>
  <c r="BO217" i="20"/>
  <c r="BP217" i="20" s="1"/>
  <c r="BP219" i="20"/>
  <c r="E33" i="39"/>
  <c r="E15" i="56"/>
  <c r="E15" i="46"/>
  <c r="BN196" i="20" l="1"/>
  <c r="E42" i="39"/>
  <c r="G15" i="46"/>
  <c r="C15" i="56"/>
  <c r="G15" i="56" s="1"/>
  <c r="G10" i="46"/>
  <c r="C10" i="56"/>
  <c r="G10" i="56" s="1"/>
  <c r="BP216" i="20"/>
  <c r="BO196" i="20"/>
  <c r="BN83" i="20"/>
  <c r="BN335" i="20"/>
  <c r="BN77" i="20"/>
  <c r="W606" i="42" s="1"/>
  <c r="BN301" i="20"/>
  <c r="BN304" i="20" s="1"/>
  <c r="BN307" i="20" s="1"/>
  <c r="BN308" i="20" s="1"/>
  <c r="BN312" i="20" s="1"/>
  <c r="BN315" i="20" s="1"/>
  <c r="BN316" i="20" s="1"/>
  <c r="BN333" i="20"/>
  <c r="E20" i="46"/>
  <c r="E20" i="56"/>
  <c r="BN241" i="20"/>
  <c r="BP12" i="20"/>
  <c r="BB687" i="7"/>
  <c r="BQ151" i="20" s="1"/>
  <c r="BQ56" i="20" s="1"/>
  <c r="BQ12" i="20" s="1"/>
  <c r="BN336" i="20" l="1"/>
  <c r="BN343" i="20"/>
  <c r="BN347" i="20" s="1"/>
  <c r="AY33" i="43"/>
  <c r="BN87" i="20"/>
  <c r="BN89" i="20" s="1"/>
  <c r="BN85" i="20"/>
  <c r="BN275" i="20"/>
  <c r="BC687" i="7"/>
  <c r="BR151" i="20" s="1"/>
  <c r="BR56" i="20" s="1"/>
  <c r="BR12" i="20" s="1"/>
  <c r="E22" i="56"/>
  <c r="D26" i="56"/>
  <c r="E22" i="46"/>
  <c r="G20" i="46"/>
  <c r="D26" i="46"/>
  <c r="C20" i="56"/>
  <c r="B26" i="56" s="1"/>
  <c r="BO241" i="20"/>
  <c r="BP196" i="20"/>
  <c r="H8" i="39" s="1"/>
  <c r="G20" i="56" l="1"/>
  <c r="H33" i="39"/>
  <c r="F33" i="39" s="1"/>
  <c r="F8" i="39"/>
  <c r="BO275" i="20"/>
  <c r="BP241" i="20"/>
  <c r="E24" i="46"/>
  <c r="C22" i="56"/>
  <c r="G22" i="56" s="1"/>
  <c r="G22" i="46"/>
  <c r="BD687" i="7"/>
  <c r="BS151" i="20" s="1"/>
  <c r="BS56" i="20" s="1"/>
  <c r="BS12" i="20" s="1"/>
  <c r="E24" i="56" l="1"/>
  <c r="BE687" i="7"/>
  <c r="BT151" i="20" s="1"/>
  <c r="BT56" i="20" s="1"/>
  <c r="BP275" i="20"/>
  <c r="I8" i="39"/>
  <c r="I33" i="39" s="1"/>
  <c r="BU56" i="20" l="1"/>
  <c r="BT12" i="20"/>
  <c r="BU151" i="20"/>
  <c r="BF687" i="7"/>
  <c r="BU12" i="20" l="1"/>
  <c r="BG687" i="7"/>
  <c r="BH687" i="7" l="1"/>
  <c r="BI687" i="7" l="1"/>
  <c r="BJ687" i="7" l="1"/>
  <c r="BK687" i="7" l="1"/>
  <c r="BL687" i="7" l="1"/>
  <c r="BM687" i="7" l="1"/>
  <c r="BN687" i="7" l="1"/>
  <c r="BO687" i="7" l="1"/>
  <c r="BP687" i="7" l="1"/>
  <c r="BR687" i="7" l="1"/>
  <c r="BQ687" i="7"/>
  <c r="AY10" i="45"/>
  <c r="AY20" i="45" s="1"/>
  <c r="AY11" i="45"/>
  <c r="AY12" i="45" s="1"/>
  <c r="AY987" i="7" l="1"/>
  <c r="AY246" i="7" l="1"/>
  <c r="AY247" i="7" s="1"/>
  <c r="BN200" i="20"/>
  <c r="AY988" i="7"/>
  <c r="BN201" i="20" l="1"/>
  <c r="BN206" i="20" s="1"/>
  <c r="BN207" i="20" s="1"/>
  <c r="BN245" i="20"/>
  <c r="AY1004" i="7"/>
  <c r="AY357" i="7"/>
  <c r="AY23" i="44"/>
  <c r="AY252" i="7"/>
  <c r="AZ987" i="7"/>
  <c r="AY32" i="43"/>
  <c r="BN342" i="20"/>
  <c r="BN346" i="20" s="1"/>
  <c r="AY253" i="7"/>
  <c r="AY933" i="7"/>
  <c r="AY934" i="7"/>
  <c r="AY935" i="7" s="1"/>
  <c r="AY938" i="7" s="1"/>
  <c r="AZ247" i="7"/>
  <c r="AY939" i="7" l="1"/>
  <c r="AL699" i="42"/>
  <c r="AY940" i="7"/>
  <c r="AY258" i="7"/>
  <c r="AY259" i="7" s="1"/>
  <c r="AY1066" i="7"/>
  <c r="AY254" i="7"/>
  <c r="AY1003" i="7"/>
  <c r="AY1005" i="7" s="1"/>
  <c r="AZ934" i="7"/>
  <c r="AZ935" i="7" s="1"/>
  <c r="AZ938" i="7" s="1"/>
  <c r="BA247" i="7"/>
  <c r="AZ253" i="7"/>
  <c r="AZ988" i="7"/>
  <c r="AZ989" i="7" s="1"/>
  <c r="BA989" i="7" s="1"/>
  <c r="BB987" i="7" s="1"/>
  <c r="BA987" i="7"/>
  <c r="AZ993" i="7"/>
  <c r="AY24" i="44"/>
  <c r="AY35" i="44" s="1"/>
  <c r="BA35" i="44" s="1"/>
  <c r="AY72" i="44"/>
  <c r="J21" i="47" s="1"/>
  <c r="AY340" i="7"/>
  <c r="BN246" i="20"/>
  <c r="BN251" i="20" s="1"/>
  <c r="BN277" i="20"/>
  <c r="BN278" i="20" s="1"/>
  <c r="BN282" i="20" s="1"/>
  <c r="BN285" i="20" s="1"/>
  <c r="BN288" i="20" s="1"/>
  <c r="BN289" i="20" s="1"/>
  <c r="BN293" i="20" s="1"/>
  <c r="BN296" i="20" s="1"/>
  <c r="AY942" i="7"/>
  <c r="AY945" i="7"/>
  <c r="BN252" i="20" l="1"/>
  <c r="BN259" i="20"/>
  <c r="BN297" i="20"/>
  <c r="BN295" i="20"/>
  <c r="AY342" i="7"/>
  <c r="AY320" i="7" s="1"/>
  <c r="AY73" i="44"/>
  <c r="AY82" i="44" s="1"/>
  <c r="BB988" i="7"/>
  <c r="BB989" i="7" s="1"/>
  <c r="BC987" i="7" s="1"/>
  <c r="AZ23" i="44"/>
  <c r="AZ1004" i="7"/>
  <c r="AZ357" i="7"/>
  <c r="AZ1031" i="7"/>
  <c r="M111" i="42"/>
  <c r="M116" i="42" s="1"/>
  <c r="BB247" i="7"/>
  <c r="BB934" i="7" s="1"/>
  <c r="BB935" i="7" s="1"/>
  <c r="BB938" i="7" s="1"/>
  <c r="BA253" i="7"/>
  <c r="AY1067" i="7"/>
  <c r="AY1073" i="7"/>
  <c r="AY1075" i="7" s="1"/>
  <c r="BA993" i="7"/>
  <c r="AZ994" i="7"/>
  <c r="AZ1071" i="7"/>
  <c r="AZ302" i="7" s="1"/>
  <c r="AZ300" i="7" s="1"/>
  <c r="AZ995" i="7"/>
  <c r="AZ127" i="7"/>
  <c r="I7" i="16"/>
  <c r="G40" i="17" s="1"/>
  <c r="G115" i="17" s="1"/>
  <c r="AY946" i="7"/>
  <c r="AY943" i="7"/>
  <c r="J30" i="47" l="1"/>
  <c r="J31" i="47" s="1"/>
  <c r="W6" i="47" s="1"/>
  <c r="X6" i="47" s="1"/>
  <c r="BA82" i="44"/>
  <c r="BC988" i="7"/>
  <c r="AZ12" i="44"/>
  <c r="AY37" i="44"/>
  <c r="AZ1003" i="7"/>
  <c r="AZ1005" i="7" s="1"/>
  <c r="AZ999" i="7"/>
  <c r="AZ24" i="44"/>
  <c r="BA24" i="44" s="1"/>
  <c r="AZ72" i="44"/>
  <c r="K21" i="47" s="1"/>
  <c r="BA23" i="44"/>
  <c r="BA300" i="7"/>
  <c r="BA994" i="7"/>
  <c r="BB993" i="7"/>
  <c r="BA995" i="7"/>
  <c r="BA1071" i="7"/>
  <c r="BA302" i="7" s="1"/>
  <c r="BN265" i="20"/>
  <c r="BN269" i="20" s="1"/>
  <c r="BN260" i="20"/>
  <c r="BN266" i="20" s="1"/>
  <c r="BB253" i="7"/>
  <c r="BC247" i="7"/>
  <c r="BC934" i="7" s="1"/>
  <c r="BC935" i="7" s="1"/>
  <c r="BC938" i="7" s="1"/>
  <c r="AZ1021" i="7"/>
  <c r="BA1021" i="7" s="1"/>
  <c r="AZ324" i="7"/>
  <c r="BA1031" i="7"/>
  <c r="AZ340" i="7"/>
  <c r="BA357" i="7"/>
  <c r="BB1004" i="7"/>
  <c r="BB1031" i="7"/>
  <c r="BB357" i="7"/>
  <c r="AZ65" i="7"/>
  <c r="BA127" i="7"/>
  <c r="AZ135" i="7"/>
  <c r="W10" i="47" l="1"/>
  <c r="L21" i="47"/>
  <c r="L30" i="47"/>
  <c r="J34" i="47"/>
  <c r="BB127" i="7"/>
  <c r="BB995" i="7"/>
  <c r="BB1071" i="7"/>
  <c r="BB302" i="7" s="1"/>
  <c r="BB300" i="7" s="1"/>
  <c r="BC993" i="7"/>
  <c r="BB994" i="7"/>
  <c r="AZ342" i="7"/>
  <c r="AZ320" i="7" s="1"/>
  <c r="BA340" i="7"/>
  <c r="BA342" i="7" s="1"/>
  <c r="BA135" i="7"/>
  <c r="BA137" i="7" s="1"/>
  <c r="BA140" i="7" s="1"/>
  <c r="AZ137" i="7"/>
  <c r="AZ140" i="7" s="1"/>
  <c r="AY84" i="44"/>
  <c r="AZ54" i="44"/>
  <c r="BB1003" i="7"/>
  <c r="BB1005" i="7" s="1"/>
  <c r="BB1021" i="7"/>
  <c r="BB324" i="7"/>
  <c r="BA324" i="7"/>
  <c r="AZ312" i="7"/>
  <c r="AZ72" i="7"/>
  <c r="BA65" i="7"/>
  <c r="AZ10" i="45"/>
  <c r="BA999" i="7"/>
  <c r="AZ980" i="7"/>
  <c r="BD247" i="7"/>
  <c r="BD934" i="7" s="1"/>
  <c r="BD935" i="7" s="1"/>
  <c r="BD938" i="7" s="1"/>
  <c r="BC253" i="7"/>
  <c r="BC1004" i="7"/>
  <c r="BC357" i="7"/>
  <c r="BC340" i="7" s="1"/>
  <c r="BC342" i="7" s="1"/>
  <c r="BC320" i="7" s="1"/>
  <c r="BC308" i="7" s="1"/>
  <c r="BC1031" i="7"/>
  <c r="BB340" i="7"/>
  <c r="AZ73" i="44"/>
  <c r="BA72" i="44"/>
  <c r="BC989" i="7"/>
  <c r="BD987" i="7" s="1"/>
  <c r="W23" i="47" l="1"/>
  <c r="X23" i="47" s="1"/>
  <c r="X10" i="47"/>
  <c r="J32" i="47"/>
  <c r="AZ80" i="44"/>
  <c r="BA80" i="44" s="1"/>
  <c r="BB342" i="7"/>
  <c r="BB320" i="7" s="1"/>
  <c r="AZ308" i="7"/>
  <c r="BA308" i="7" s="1"/>
  <c r="BA320" i="7"/>
  <c r="BC1021" i="7"/>
  <c r="BC324" i="7"/>
  <c r="BC312" i="7" s="1"/>
  <c r="BC314" i="7" s="1"/>
  <c r="BC995" i="7"/>
  <c r="BC1003" i="7" s="1"/>
  <c r="BC1005" i="7" s="1"/>
  <c r="BC127" i="7"/>
  <c r="BC994" i="7"/>
  <c r="BC1071" i="7"/>
  <c r="BC302" i="7" s="1"/>
  <c r="BC300" i="7" s="1"/>
  <c r="BD993" i="7"/>
  <c r="BD988" i="7"/>
  <c r="BA73" i="44"/>
  <c r="BA10" i="45"/>
  <c r="BB999" i="7"/>
  <c r="BA980" i="7"/>
  <c r="BB312" i="7"/>
  <c r="K6" i="47"/>
  <c r="BD253" i="7"/>
  <c r="BE247" i="7"/>
  <c r="BE934" i="7" s="1"/>
  <c r="BE935" i="7" s="1"/>
  <c r="BE938" i="7" s="1"/>
  <c r="AZ293" i="7"/>
  <c r="AZ295" i="7" s="1"/>
  <c r="AZ20" i="45"/>
  <c r="AZ11" i="45"/>
  <c r="AZ12" i="45" s="1"/>
  <c r="AZ74" i="7"/>
  <c r="AZ77" i="7" s="1"/>
  <c r="AK14" i="1" s="1"/>
  <c r="AK19" i="1" s="1"/>
  <c r="AZ13" i="7"/>
  <c r="BA72" i="7"/>
  <c r="BA74" i="7" s="1"/>
  <c r="BA77" i="7" s="1"/>
  <c r="AL14" i="1" s="1"/>
  <c r="AL19" i="1" s="1"/>
  <c r="AZ314" i="7"/>
  <c r="BA312" i="7"/>
  <c r="BA314" i="7" s="1"/>
  <c r="BB135" i="7"/>
  <c r="BB65" i="7"/>
  <c r="Y24" i="47" l="1"/>
  <c r="Y23" i="47"/>
  <c r="Y25" i="47"/>
  <c r="BA83" i="44"/>
  <c r="K28" i="47"/>
  <c r="BC135" i="7"/>
  <c r="BC137" i="7" s="1"/>
  <c r="BC140" i="7" s="1"/>
  <c r="BC65" i="7"/>
  <c r="BC72" i="7" s="1"/>
  <c r="AF74" i="15"/>
  <c r="BB137" i="7"/>
  <c r="BB140" i="7" s="1"/>
  <c r="AG74" i="15"/>
  <c r="BS19" i="1"/>
  <c r="BD1031" i="7"/>
  <c r="BD357" i="7"/>
  <c r="BD1004" i="7"/>
  <c r="AZ246" i="7"/>
  <c r="AZ299" i="7"/>
  <c r="BB314" i="7"/>
  <c r="BB72" i="7"/>
  <c r="BB308" i="7"/>
  <c r="AZ88" i="7"/>
  <c r="BA88" i="7" s="1"/>
  <c r="BA13" i="7"/>
  <c r="AZ15" i="7"/>
  <c r="BD989" i="7"/>
  <c r="BE987" i="7" s="1"/>
  <c r="BF247" i="7"/>
  <c r="BE253" i="7"/>
  <c r="BC999" i="7"/>
  <c r="BB980" i="7"/>
  <c r="BD127" i="7"/>
  <c r="BD1071" i="7"/>
  <c r="BD302" i="7" s="1"/>
  <c r="BD300" i="7" s="1"/>
  <c r="BD994" i="7"/>
  <c r="BD995" i="7"/>
  <c r="AZ6" i="44"/>
  <c r="BA9" i="45"/>
  <c r="BA293" i="7"/>
  <c r="BA295" i="7" s="1"/>
  <c r="L28" i="47" l="1"/>
  <c r="BB293" i="7"/>
  <c r="BB295" i="7" s="1"/>
  <c r="BD999" i="7"/>
  <c r="BC980" i="7"/>
  <c r="BB246" i="7"/>
  <c r="BB299" i="7"/>
  <c r="BA246" i="7"/>
  <c r="BA248" i="7" s="1"/>
  <c r="BA222" i="7" s="1"/>
  <c r="BA299" i="7"/>
  <c r="BB13" i="7"/>
  <c r="BB74" i="7"/>
  <c r="BB77" i="7" s="1"/>
  <c r="AM14" i="1" s="1"/>
  <c r="AM19" i="1" s="1"/>
  <c r="BC74" i="7"/>
  <c r="BC77" i="7" s="1"/>
  <c r="AN14" i="1" s="1"/>
  <c r="AN19" i="1" s="1"/>
  <c r="BC13" i="7"/>
  <c r="BD1021" i="7"/>
  <c r="BD324" i="7"/>
  <c r="BN74" i="15"/>
  <c r="BA11" i="45"/>
  <c r="BA8" i="45"/>
  <c r="BA4" i="45"/>
  <c r="BA5" i="45" s="1"/>
  <c r="BF253" i="7"/>
  <c r="BG247" i="7"/>
  <c r="BG934" i="7" s="1"/>
  <c r="BG935" i="7" s="1"/>
  <c r="BG938" i="7" s="1"/>
  <c r="BE988" i="7"/>
  <c r="BE989" i="7" s="1"/>
  <c r="BF989" i="7" s="1"/>
  <c r="BG987" i="7" s="1"/>
  <c r="BF987" i="7"/>
  <c r="BD340" i="7"/>
  <c r="BD135" i="7"/>
  <c r="BD65" i="7"/>
  <c r="AZ248" i="7"/>
  <c r="AZ222" i="7" s="1"/>
  <c r="AZ933" i="7"/>
  <c r="AM699" i="42" s="1"/>
  <c r="BD1003" i="7"/>
  <c r="BD1005" i="7" s="1"/>
  <c r="BA15" i="7"/>
  <c r="BA25" i="7" s="1"/>
  <c r="AZ25" i="7"/>
  <c r="AZ90" i="7"/>
  <c r="BA6" i="44"/>
  <c r="AZ287" i="11"/>
  <c r="BA287" i="11" s="1"/>
  <c r="BB288" i="11" s="1"/>
  <c r="BE993" i="7"/>
  <c r="AZ297" i="7"/>
  <c r="AZ252" i="7"/>
  <c r="AZ254" i="7" s="1"/>
  <c r="BB248" i="7" l="1"/>
  <c r="BB222" i="7" s="1"/>
  <c r="BB224" i="7" s="1"/>
  <c r="BB933" i="7"/>
  <c r="BC293" i="7"/>
  <c r="BC295" i="7" s="1"/>
  <c r="BD312" i="7"/>
  <c r="BA90" i="7"/>
  <c r="BA93" i="7" s="1"/>
  <c r="AZ93" i="7"/>
  <c r="BE127" i="7"/>
  <c r="BE1071" i="7"/>
  <c r="BE302" i="7" s="1"/>
  <c r="BE300" i="7" s="1"/>
  <c r="BF993" i="7"/>
  <c r="BE995" i="7"/>
  <c r="BE994" i="7"/>
  <c r="AH74" i="15"/>
  <c r="BA297" i="7"/>
  <c r="BA252" i="7"/>
  <c r="BA254" i="7" s="1"/>
  <c r="BD980" i="7"/>
  <c r="AI74" i="15"/>
  <c r="BG988" i="7"/>
  <c r="BE357" i="7"/>
  <c r="BE1031" i="7"/>
  <c r="BE1004" i="7"/>
  <c r="BE999" i="7" s="1"/>
  <c r="BF999" i="7" s="1"/>
  <c r="AZ1033" i="7"/>
  <c r="AZ1066" i="7"/>
  <c r="AZ258" i="7"/>
  <c r="BC88" i="7"/>
  <c r="BC15" i="7"/>
  <c r="BD342" i="7"/>
  <c r="BD320" i="7" s="1"/>
  <c r="BB15" i="7"/>
  <c r="BB88" i="7"/>
  <c r="AF72" i="15"/>
  <c r="AF73" i="15" s="1"/>
  <c r="BC246" i="7"/>
  <c r="BC299" i="7"/>
  <c r="AG72" i="15"/>
  <c r="BB252" i="7"/>
  <c r="BB254" i="7" s="1"/>
  <c r="BB297" i="7"/>
  <c r="BH247" i="7"/>
  <c r="BH934" i="7" s="1"/>
  <c r="BH935" i="7" s="1"/>
  <c r="BH938" i="7" s="1"/>
  <c r="BG253" i="7"/>
  <c r="BA224" i="7"/>
  <c r="AZ939" i="7"/>
  <c r="AZ940" i="7" s="1"/>
  <c r="BA933" i="7"/>
  <c r="AZ224" i="7"/>
  <c r="BD72" i="7"/>
  <c r="BD137" i="7"/>
  <c r="BD140" i="7" s="1"/>
  <c r="BB939" i="7" l="1"/>
  <c r="BB940" i="7" s="1"/>
  <c r="AO699" i="42"/>
  <c r="BD293" i="7"/>
  <c r="BD295" i="7" s="1"/>
  <c r="BC248" i="7"/>
  <c r="BC222" i="7" s="1"/>
  <c r="BC933" i="7"/>
  <c r="BA258" i="7"/>
  <c r="BA1066" i="7"/>
  <c r="AZ230" i="7"/>
  <c r="AZ260" i="7"/>
  <c r="BG1004" i="7"/>
  <c r="BG999" i="7" s="1"/>
  <c r="BG1031" i="7"/>
  <c r="BG357" i="7"/>
  <c r="BD246" i="7"/>
  <c r="BD299" i="7"/>
  <c r="AZ1030" i="7"/>
  <c r="BA1033" i="7"/>
  <c r="AZ1023" i="7"/>
  <c r="BE65" i="7"/>
  <c r="BE135" i="7"/>
  <c r="BF127" i="7"/>
  <c r="BC25" i="7"/>
  <c r="BC90" i="7"/>
  <c r="BC93" i="7" s="1"/>
  <c r="AZ209" i="7"/>
  <c r="BB25" i="7"/>
  <c r="BB90" i="7"/>
  <c r="BD308" i="7"/>
  <c r="BD13" i="7"/>
  <c r="BD74" i="7"/>
  <c r="BD77" i="7" s="1"/>
  <c r="AO14" i="1" s="1"/>
  <c r="AO19" i="1" s="1"/>
  <c r="BF300" i="7"/>
  <c r="BE1021" i="7"/>
  <c r="BF1021" i="7" s="1"/>
  <c r="BE324" i="7"/>
  <c r="BF1031" i="7"/>
  <c r="AZ1073" i="7"/>
  <c r="AZ1075" i="7" s="1"/>
  <c r="BO155" i="20" s="1"/>
  <c r="AZ1067" i="7"/>
  <c r="AZ945" i="7"/>
  <c r="AZ942" i="7"/>
  <c r="BN72" i="15"/>
  <c r="AG73" i="15"/>
  <c r="BN73" i="15" s="1"/>
  <c r="BE1003" i="7"/>
  <c r="BE1005" i="7" s="1"/>
  <c r="BE340" i="7"/>
  <c r="BF357" i="7"/>
  <c r="BB209" i="7"/>
  <c r="BB1033" i="7"/>
  <c r="BB1066" i="7"/>
  <c r="BB258" i="7"/>
  <c r="BF995" i="7"/>
  <c r="BG993" i="7"/>
  <c r="BF980" i="7"/>
  <c r="BF293" i="7" s="1"/>
  <c r="BF295" i="7" s="1"/>
  <c r="BF246" i="7" s="1"/>
  <c r="BF248" i="7" s="1"/>
  <c r="BF222" i="7" s="1"/>
  <c r="BF1071" i="7"/>
  <c r="BF302" i="7" s="1"/>
  <c r="BF994" i="7"/>
  <c r="BE980" i="7"/>
  <c r="BC297" i="7"/>
  <c r="BC252" i="7"/>
  <c r="BC254" i="7" s="1"/>
  <c r="BC224" i="7"/>
  <c r="BI247" i="7"/>
  <c r="BI934" i="7" s="1"/>
  <c r="BI935" i="7" s="1"/>
  <c r="BI938" i="7" s="1"/>
  <c r="BH253" i="7"/>
  <c r="BG989" i="7"/>
  <c r="BH987" i="7" s="1"/>
  <c r="BD314" i="7"/>
  <c r="BC939" i="7" l="1"/>
  <c r="BC940" i="7" s="1"/>
  <c r="AP699" i="42"/>
  <c r="BO60" i="20"/>
  <c r="BP155" i="20"/>
  <c r="E12" i="39" s="1"/>
  <c r="BO200" i="20"/>
  <c r="BO156" i="20"/>
  <c r="BE293" i="7"/>
  <c r="BE295" i="7" s="1"/>
  <c r="BE246" i="7" s="1"/>
  <c r="BD248" i="7"/>
  <c r="BD222" i="7" s="1"/>
  <c r="BD224" i="7" s="1"/>
  <c r="BD933" i="7"/>
  <c r="BA1030" i="7"/>
  <c r="BA1032" i="7" s="1"/>
  <c r="AZ1020" i="7"/>
  <c r="BI253" i="7"/>
  <c r="BJ247" i="7"/>
  <c r="BJ934" i="7" s="1"/>
  <c r="BJ935" i="7" s="1"/>
  <c r="BJ938" i="7" s="1"/>
  <c r="BF224" i="7"/>
  <c r="BG980" i="7"/>
  <c r="BG293" i="7" s="1"/>
  <c r="BG295" i="7" s="1"/>
  <c r="BG246" i="7" s="1"/>
  <c r="BG995" i="7"/>
  <c r="BG1003" i="7" s="1"/>
  <c r="BG1005" i="7" s="1"/>
  <c r="BG1071" i="7"/>
  <c r="BG302" i="7" s="1"/>
  <c r="BG300" i="7" s="1"/>
  <c r="BG299" i="7" s="1"/>
  <c r="BH993" i="7"/>
  <c r="BG127" i="7"/>
  <c r="BG994" i="7"/>
  <c r="BH988" i="7"/>
  <c r="BB230" i="7"/>
  <c r="BB260" i="7"/>
  <c r="BG1021" i="7"/>
  <c r="BG324" i="7"/>
  <c r="BE342" i="7"/>
  <c r="BE320" i="7" s="1"/>
  <c r="BF340" i="7"/>
  <c r="BF342" i="7" s="1"/>
  <c r="BB93" i="7"/>
  <c r="BD297" i="7"/>
  <c r="BD252" i="7"/>
  <c r="BD254" i="7" s="1"/>
  <c r="BG340" i="7"/>
  <c r="BF299" i="7"/>
  <c r="BA260" i="7"/>
  <c r="BA230" i="7"/>
  <c r="BA232" i="7" s="1"/>
  <c r="BA234" i="7" s="1"/>
  <c r="BA235" i="7" s="1"/>
  <c r="AH72" i="15"/>
  <c r="AH73" i="15" s="1"/>
  <c r="BB1073" i="7"/>
  <c r="BB1075" i="7" s="1"/>
  <c r="BQ155" i="20" s="1"/>
  <c r="BB1067" i="7"/>
  <c r="AZ232" i="7"/>
  <c r="AZ234" i="7" s="1"/>
  <c r="AZ235" i="7" s="1"/>
  <c r="AZ213" i="7"/>
  <c r="BE299" i="7"/>
  <c r="BE137" i="7"/>
  <c r="BE140" i="7" s="1"/>
  <c r="BF135" i="7"/>
  <c r="BF137" i="7" s="1"/>
  <c r="BF140" i="7" s="1"/>
  <c r="BA942" i="7"/>
  <c r="AZ943" i="7"/>
  <c r="BA945" i="7"/>
  <c r="I4" i="16"/>
  <c r="G41" i="17" s="1"/>
  <c r="G116" i="17" s="1"/>
  <c r="AZ946" i="7"/>
  <c r="AI72" i="15"/>
  <c r="AI73" i="15" s="1"/>
  <c r="AJ74" i="15"/>
  <c r="BE72" i="7"/>
  <c r="BF65" i="7"/>
  <c r="BC1028" i="7"/>
  <c r="BB1023" i="7"/>
  <c r="BC209" i="7"/>
  <c r="BD88" i="7"/>
  <c r="BD15" i="7"/>
  <c r="BA1023" i="7"/>
  <c r="BF1028" i="7"/>
  <c r="BB1028" i="7"/>
  <c r="BB1030" i="7" s="1"/>
  <c r="BA209" i="7"/>
  <c r="BE312" i="7"/>
  <c r="BF324" i="7"/>
  <c r="BC1033" i="7"/>
  <c r="BC1066" i="7"/>
  <c r="BC258" i="7"/>
  <c r="BA1073" i="7"/>
  <c r="BA1075" i="7" s="1"/>
  <c r="BA1067" i="7"/>
  <c r="BD939" i="7" l="1"/>
  <c r="BD940" i="7" s="1"/>
  <c r="AQ699" i="42"/>
  <c r="BQ156" i="20"/>
  <c r="BQ61" i="20" s="1"/>
  <c r="BQ60" i="20"/>
  <c r="BQ16" i="20" s="1"/>
  <c r="BQ17" i="20" s="1"/>
  <c r="BP156" i="20"/>
  <c r="E13" i="39" s="1"/>
  <c r="BO61" i="20"/>
  <c r="BP61" i="20" s="1"/>
  <c r="BG248" i="7"/>
  <c r="BG222" i="7" s="1"/>
  <c r="BG224" i="7" s="1"/>
  <c r="BG933" i="7"/>
  <c r="BG939" i="7" s="1"/>
  <c r="BG940" i="7" s="1"/>
  <c r="BE248" i="7"/>
  <c r="BE222" i="7" s="1"/>
  <c r="BE224" i="7" s="1"/>
  <c r="BE209" i="7" s="1"/>
  <c r="BE933" i="7"/>
  <c r="AR699" i="42" s="1"/>
  <c r="BO201" i="20"/>
  <c r="BP201" i="20" s="1"/>
  <c r="H13" i="39" s="1"/>
  <c r="F13" i="39" s="1"/>
  <c r="BP200" i="20"/>
  <c r="H12" i="39" s="1"/>
  <c r="BO245" i="20"/>
  <c r="E37" i="39"/>
  <c r="BP60" i="20"/>
  <c r="C12" i="39" s="1"/>
  <c r="C37" i="39" s="1"/>
  <c r="BO16" i="20"/>
  <c r="BB1020" i="7"/>
  <c r="BE314" i="7"/>
  <c r="BF312" i="7"/>
  <c r="BF314" i="7" s="1"/>
  <c r="BB1018" i="7"/>
  <c r="BB1022" i="7" s="1"/>
  <c r="BF1018" i="7"/>
  <c r="BG312" i="7"/>
  <c r="BH1004" i="7"/>
  <c r="BH357" i="7"/>
  <c r="BH1031" i="7"/>
  <c r="BG135" i="7"/>
  <c r="BG65" i="7"/>
  <c r="BB942" i="7"/>
  <c r="BA943" i="7"/>
  <c r="BJ253" i="7"/>
  <c r="BK247" i="7"/>
  <c r="BH989" i="7"/>
  <c r="BI987" i="7" s="1"/>
  <c r="BI993" i="7" s="1"/>
  <c r="BC1018" i="7"/>
  <c r="BE297" i="7"/>
  <c r="BE252" i="7"/>
  <c r="BE254" i="7" s="1"/>
  <c r="BA946" i="7"/>
  <c r="BB945" i="7"/>
  <c r="BG252" i="7"/>
  <c r="BG254" i="7" s="1"/>
  <c r="BG297" i="7"/>
  <c r="BE13" i="7"/>
  <c r="BE74" i="7"/>
  <c r="BE77" i="7" s="1"/>
  <c r="AP14" i="1" s="1"/>
  <c r="AP19" i="1" s="1"/>
  <c r="BF72" i="7"/>
  <c r="BF74" i="7" s="1"/>
  <c r="BF77" i="7" s="1"/>
  <c r="AQ14" i="1" s="1"/>
  <c r="AQ19" i="1" s="1"/>
  <c r="BG342" i="7"/>
  <c r="BG320" i="7" s="1"/>
  <c r="BC230" i="7"/>
  <c r="BC260" i="7"/>
  <c r="AZ215" i="7"/>
  <c r="BA213" i="7"/>
  <c r="AZ66" i="7"/>
  <c r="BA1020" i="7"/>
  <c r="BB232" i="7"/>
  <c r="BB234" i="7" s="1"/>
  <c r="BB235" i="7" s="1"/>
  <c r="BB213" i="7"/>
  <c r="BB215" i="7" s="1"/>
  <c r="BB217" i="7" s="1"/>
  <c r="BB218" i="7" s="1"/>
  <c r="BF252" i="7"/>
  <c r="BF254" i="7" s="1"/>
  <c r="BF297" i="7"/>
  <c r="BH995" i="7"/>
  <c r="BH1071" i="7"/>
  <c r="BH302" i="7" s="1"/>
  <c r="BH300" i="7" s="1"/>
  <c r="BH994" i="7"/>
  <c r="BH127" i="7"/>
  <c r="BC1067" i="7"/>
  <c r="BC1073" i="7"/>
  <c r="BC1075" i="7" s="1"/>
  <c r="BR155" i="20" s="1"/>
  <c r="BD90" i="7"/>
  <c r="BD25" i="7"/>
  <c r="BD209" i="7"/>
  <c r="BD258" i="7"/>
  <c r="BD1066" i="7"/>
  <c r="BD1033" i="7"/>
  <c r="BC1030" i="7"/>
  <c r="BC1020" i="7" s="1"/>
  <c r="BC66" i="7" s="1"/>
  <c r="BC1023" i="7"/>
  <c r="BD1028" i="7"/>
  <c r="BE308" i="7"/>
  <c r="BF308" i="7" s="1"/>
  <c r="BF320" i="7"/>
  <c r="AZ1022" i="7"/>
  <c r="BA1022" i="7" s="1"/>
  <c r="BR156" i="20" l="1"/>
  <c r="BR61" i="20" s="1"/>
  <c r="BR60" i="20"/>
  <c r="BR16" i="20" s="1"/>
  <c r="BR17" i="20" s="1"/>
  <c r="BO277" i="20"/>
  <c r="BO278" i="20" s="1"/>
  <c r="BP245" i="20"/>
  <c r="BO246" i="20"/>
  <c r="BP246" i="20" s="1"/>
  <c r="I13" i="39" s="1"/>
  <c r="F12" i="39"/>
  <c r="H37" i="39"/>
  <c r="F37" i="39" s="1"/>
  <c r="E44" i="39"/>
  <c r="BF933" i="7"/>
  <c r="BE939" i="7"/>
  <c r="BE940" i="7" s="1"/>
  <c r="C13" i="39"/>
  <c r="E45" i="39" s="1"/>
  <c r="BP16" i="20"/>
  <c r="BP17" i="20" s="1"/>
  <c r="BO17" i="20"/>
  <c r="BG72" i="7"/>
  <c r="BH1021" i="7"/>
  <c r="BH324" i="7"/>
  <c r="BB943" i="7"/>
  <c r="BC942" i="7"/>
  <c r="BC945" i="7"/>
  <c r="BB946" i="7"/>
  <c r="BD1023" i="7"/>
  <c r="BD1030" i="7"/>
  <c r="BD1020" i="7" s="1"/>
  <c r="BD66" i="7" s="1"/>
  <c r="BE1028" i="7"/>
  <c r="BD1073" i="7"/>
  <c r="BD1075" i="7" s="1"/>
  <c r="BS155" i="20" s="1"/>
  <c r="BD1067" i="7"/>
  <c r="BG137" i="7"/>
  <c r="BG140" i="7" s="1"/>
  <c r="BD260" i="7"/>
  <c r="BD230" i="7"/>
  <c r="BH1003" i="7"/>
  <c r="BH1005" i="7" s="1"/>
  <c r="BH999" i="7"/>
  <c r="BG308" i="7"/>
  <c r="BK253" i="7"/>
  <c r="BL247" i="7"/>
  <c r="BL934" i="7" s="1"/>
  <c r="BL935" i="7" s="1"/>
  <c r="BL938" i="7" s="1"/>
  <c r="BC128" i="7"/>
  <c r="BC32" i="7"/>
  <c r="BA215" i="7"/>
  <c r="BA217" i="7" s="1"/>
  <c r="BA218" i="7" s="1"/>
  <c r="AZ217" i="7"/>
  <c r="AZ218" i="7" s="1"/>
  <c r="BD93" i="7"/>
  <c r="BC232" i="7"/>
  <c r="BC234" i="7" s="1"/>
  <c r="BC235" i="7" s="1"/>
  <c r="BC213" i="7"/>
  <c r="BC215" i="7" s="1"/>
  <c r="BC217" i="7" s="1"/>
  <c r="BC218" i="7" s="1"/>
  <c r="BI988" i="7"/>
  <c r="AL74" i="15"/>
  <c r="BT19" i="1"/>
  <c r="BI127" i="7"/>
  <c r="BI1071" i="7"/>
  <c r="BI302" i="7" s="1"/>
  <c r="BI300" i="7" s="1"/>
  <c r="BI994" i="7"/>
  <c r="BI995" i="7"/>
  <c r="BC1022" i="7"/>
  <c r="BD1018" i="7"/>
  <c r="BA66" i="7"/>
  <c r="AZ32" i="7"/>
  <c r="AZ128" i="7"/>
  <c r="BA128" i="7" s="1"/>
  <c r="BG314" i="7"/>
  <c r="AK74" i="15"/>
  <c r="BG1066" i="7"/>
  <c r="BG1033" i="7"/>
  <c r="BG258" i="7"/>
  <c r="BF1066" i="7"/>
  <c r="BF258" i="7"/>
  <c r="BE1033" i="7"/>
  <c r="BE258" i="7"/>
  <c r="BE1066" i="7"/>
  <c r="BF209" i="7"/>
  <c r="BG209" i="7"/>
  <c r="BH340" i="7"/>
  <c r="AJ72" i="15"/>
  <c r="AJ73" i="15" s="1"/>
  <c r="BH135" i="7"/>
  <c r="BH137" i="7" s="1"/>
  <c r="BH140" i="7" s="1"/>
  <c r="BH65" i="7"/>
  <c r="BH72" i="7" s="1"/>
  <c r="BE15" i="7"/>
  <c r="BE88" i="7"/>
  <c r="BF88" i="7" s="1"/>
  <c r="BF13" i="7"/>
  <c r="BB66" i="7"/>
  <c r="BS156" i="20" l="1"/>
  <c r="BS61" i="20" s="1"/>
  <c r="BS60" i="20"/>
  <c r="BS16" i="20" s="1"/>
  <c r="BS17" i="20" s="1"/>
  <c r="I12" i="39"/>
  <c r="I37" i="39" s="1"/>
  <c r="BP277" i="20"/>
  <c r="BP278" i="20" s="1"/>
  <c r="BC98" i="7"/>
  <c r="AN25" i="1"/>
  <c r="AN27" i="1" s="1"/>
  <c r="BC34" i="7"/>
  <c r="BF1067" i="7"/>
  <c r="BF1073" i="7"/>
  <c r="BF1075" i="7" s="1"/>
  <c r="BD128" i="7"/>
  <c r="BD32" i="7"/>
  <c r="BB128" i="7"/>
  <c r="BB32" i="7"/>
  <c r="BE260" i="7"/>
  <c r="BE230" i="7"/>
  <c r="BC943" i="7"/>
  <c r="BD942" i="7"/>
  <c r="BL253" i="7"/>
  <c r="BM247" i="7"/>
  <c r="BM934" i="7" s="1"/>
  <c r="BM935" i="7" s="1"/>
  <c r="BM938" i="7" s="1"/>
  <c r="BE90" i="7"/>
  <c r="BE25" i="7"/>
  <c r="BF15" i="7"/>
  <c r="BF25" i="7" s="1"/>
  <c r="BH980" i="7"/>
  <c r="BH293" i="7" s="1"/>
  <c r="BH295" i="7" s="1"/>
  <c r="BO74" i="15"/>
  <c r="BD232" i="7"/>
  <c r="BD234" i="7" s="1"/>
  <c r="BD235" i="7" s="1"/>
  <c r="BD213" i="7"/>
  <c r="BD215" i="7" s="1"/>
  <c r="BD217" i="7" s="1"/>
  <c r="BD218" i="7" s="1"/>
  <c r="BH312" i="7"/>
  <c r="BG1023" i="7"/>
  <c r="BH1028" i="7"/>
  <c r="BH74" i="7"/>
  <c r="BH77" i="7" s="1"/>
  <c r="AS14" i="1" s="1"/>
  <c r="AS19" i="1" s="1"/>
  <c r="BH13" i="7"/>
  <c r="BE1067" i="7"/>
  <c r="BE1073" i="7"/>
  <c r="BE1075" i="7" s="1"/>
  <c r="BT155" i="20" s="1"/>
  <c r="BT60" i="20" s="1"/>
  <c r="BC946" i="7"/>
  <c r="BD945" i="7"/>
  <c r="BI1004" i="7"/>
  <c r="BI999" i="7" s="1"/>
  <c r="BI357" i="7"/>
  <c r="BI1031" i="7"/>
  <c r="AK25" i="1"/>
  <c r="AK27" i="1" s="1"/>
  <c r="AZ98" i="7"/>
  <c r="BA98" i="7" s="1"/>
  <c r="BA32" i="7"/>
  <c r="AZ34" i="7"/>
  <c r="BD1022" i="7"/>
  <c r="BE1018" i="7"/>
  <c r="BE1023" i="7"/>
  <c r="BF1033" i="7"/>
  <c r="BE1030" i="7"/>
  <c r="BE1020" i="7" s="1"/>
  <c r="BF260" i="7"/>
  <c r="BF230" i="7"/>
  <c r="BF232" i="7" s="1"/>
  <c r="BF234" i="7" s="1"/>
  <c r="BF235" i="7" s="1"/>
  <c r="BI65" i="7"/>
  <c r="BI72" i="7" s="1"/>
  <c r="BI135" i="7"/>
  <c r="BI137" i="7" s="1"/>
  <c r="BI140" i="7" s="1"/>
  <c r="BG1067" i="7"/>
  <c r="BG1073" i="7"/>
  <c r="BG1075" i="7" s="1"/>
  <c r="BG13" i="7"/>
  <c r="BG74" i="7"/>
  <c r="BG77" i="7" s="1"/>
  <c r="AR14" i="1" s="1"/>
  <c r="AR19" i="1" s="1"/>
  <c r="BG260" i="7"/>
  <c r="BG230" i="7"/>
  <c r="BI989" i="7"/>
  <c r="BJ987" i="7" s="1"/>
  <c r="BH342" i="7"/>
  <c r="BH320" i="7" s="1"/>
  <c r="BU60" i="20" l="1"/>
  <c r="BT16" i="20"/>
  <c r="BU155" i="20"/>
  <c r="BT156" i="20"/>
  <c r="BT61" i="20" s="1"/>
  <c r="AO25" i="1"/>
  <c r="AO27" i="1" s="1"/>
  <c r="BD98" i="7"/>
  <c r="BD34" i="7"/>
  <c r="BH308" i="7"/>
  <c r="BI980" i="7"/>
  <c r="BI293" i="7" s="1"/>
  <c r="BI295" i="7" s="1"/>
  <c r="AL72" i="15"/>
  <c r="BG213" i="7"/>
  <c r="BG215" i="7" s="1"/>
  <c r="BG217" i="7" s="1"/>
  <c r="BG218" i="7" s="1"/>
  <c r="BG232" i="7"/>
  <c r="BG234" i="7" s="1"/>
  <c r="BG235" i="7" s="1"/>
  <c r="AK72" i="15"/>
  <c r="AK73" i="15" s="1"/>
  <c r="BE93" i="7"/>
  <c r="BF90" i="7"/>
  <c r="BF93" i="7" s="1"/>
  <c r="AI104" i="15"/>
  <c r="BC100" i="7"/>
  <c r="BE66" i="7"/>
  <c r="BF1020" i="7"/>
  <c r="AL25" i="1"/>
  <c r="AL27" i="1" s="1"/>
  <c r="BA34" i="7"/>
  <c r="AG104" i="15" s="1"/>
  <c r="AG106" i="15" s="1"/>
  <c r="BG1028" i="7"/>
  <c r="BG1030" i="7" s="1"/>
  <c r="BK1028" i="7"/>
  <c r="BF1023" i="7"/>
  <c r="BE1022" i="7"/>
  <c r="BF1022" i="7" s="1"/>
  <c r="BH246" i="7"/>
  <c r="BH299" i="7"/>
  <c r="AZ100" i="7"/>
  <c r="BA100" i="7" s="1"/>
  <c r="AF104" i="15"/>
  <c r="BJ988" i="7"/>
  <c r="BJ989" i="7" s="1"/>
  <c r="BK989" i="7" s="1"/>
  <c r="BL987" i="7" s="1"/>
  <c r="BK987" i="7"/>
  <c r="BJ993" i="7"/>
  <c r="BE942" i="7"/>
  <c r="BD943" i="7"/>
  <c r="BI13" i="7"/>
  <c r="BI74" i="7"/>
  <c r="BI77" i="7" s="1"/>
  <c r="AT14" i="1" s="1"/>
  <c r="AT19" i="1" s="1"/>
  <c r="BH15" i="7"/>
  <c r="BH88" i="7"/>
  <c r="AM74" i="15"/>
  <c r="BI324" i="7"/>
  <c r="BI1021" i="7"/>
  <c r="BG15" i="7"/>
  <c r="BG88" i="7"/>
  <c r="BI340" i="7"/>
  <c r="BE945" i="7"/>
  <c r="BD946" i="7"/>
  <c r="BB98" i="7"/>
  <c r="BF98" i="7" s="1"/>
  <c r="AM25" i="1"/>
  <c r="AM27" i="1" s="1"/>
  <c r="BF32" i="7"/>
  <c r="AQ25" i="1" s="1"/>
  <c r="AQ27" i="1" s="1"/>
  <c r="BB34" i="7"/>
  <c r="BH314" i="7"/>
  <c r="AN74" i="15"/>
  <c r="BM253" i="7"/>
  <c r="BN247" i="7"/>
  <c r="BN934" i="7" s="1"/>
  <c r="BN935" i="7" s="1"/>
  <c r="BN938" i="7" s="1"/>
  <c r="BF1030" i="7"/>
  <c r="BF1032" i="7" s="1"/>
  <c r="BI1003" i="7"/>
  <c r="BI1005" i="7" s="1"/>
  <c r="BH1018" i="7"/>
  <c r="BE232" i="7"/>
  <c r="BE234" i="7" s="1"/>
  <c r="BE235" i="7" s="1"/>
  <c r="BE213" i="7"/>
  <c r="BU16" i="20" l="1"/>
  <c r="BU17" i="20" s="1"/>
  <c r="BT17" i="20"/>
  <c r="BU61" i="20"/>
  <c r="H20" i="52" s="1"/>
  <c r="BU156" i="20"/>
  <c r="BH248" i="7"/>
  <c r="BH222" i="7" s="1"/>
  <c r="BH224" i="7" s="1"/>
  <c r="BH933" i="7"/>
  <c r="BH939" i="7" s="1"/>
  <c r="BH940" i="7" s="1"/>
  <c r="BL988" i="7"/>
  <c r="BL989" i="7" s="1"/>
  <c r="BM987" i="7" s="1"/>
  <c r="BB100" i="7"/>
  <c r="BF100" i="7" s="1"/>
  <c r="AH104" i="15"/>
  <c r="BJ1071" i="7"/>
  <c r="BJ302" i="7" s="1"/>
  <c r="BJ300" i="7" s="1"/>
  <c r="BK993" i="7"/>
  <c r="BJ994" i="7"/>
  <c r="BJ995" i="7"/>
  <c r="BJ127" i="7"/>
  <c r="AF119" i="15"/>
  <c r="AF106" i="15"/>
  <c r="BI246" i="7"/>
  <c r="BI299" i="7"/>
  <c r="BO72" i="15"/>
  <c r="AL73" i="15"/>
  <c r="BO73" i="15" s="1"/>
  <c r="BI312" i="7"/>
  <c r="BE128" i="7"/>
  <c r="BF128" i="7" s="1"/>
  <c r="BE32" i="7"/>
  <c r="BF66" i="7"/>
  <c r="BF945" i="7"/>
  <c r="BE946" i="7"/>
  <c r="BD100" i="7"/>
  <c r="AJ104" i="15"/>
  <c r="AO74" i="15"/>
  <c r="BI342" i="7"/>
  <c r="BI320" i="7" s="1"/>
  <c r="BF942" i="7"/>
  <c r="BE943" i="7"/>
  <c r="BG1020" i="7"/>
  <c r="BG25" i="7"/>
  <c r="BG90" i="7"/>
  <c r="BH252" i="7"/>
  <c r="BH254" i="7" s="1"/>
  <c r="BH297" i="7"/>
  <c r="AI119" i="15"/>
  <c r="AI120" i="15" s="1"/>
  <c r="AI106" i="15"/>
  <c r="BF213" i="7"/>
  <c r="BE215" i="7"/>
  <c r="BH90" i="7"/>
  <c r="BH93" i="7" s="1"/>
  <c r="BH25" i="7"/>
  <c r="BJ357" i="7"/>
  <c r="BJ1031" i="7"/>
  <c r="BJ1004" i="7"/>
  <c r="BI15" i="7"/>
  <c r="BI88" i="7"/>
  <c r="BG1018" i="7"/>
  <c r="BK1018" i="7"/>
  <c r="BN253" i="7"/>
  <c r="BO247" i="7"/>
  <c r="BO934" i="7" s="1"/>
  <c r="BO935" i="7" s="1"/>
  <c r="BO938" i="7" s="1"/>
  <c r="BF34" i="7"/>
  <c r="AL104" i="15" s="1"/>
  <c r="AL106" i="15" s="1"/>
  <c r="H21" i="52" l="1"/>
  <c r="F41" i="53" s="1"/>
  <c r="G20" i="52"/>
  <c r="G21" i="52" s="1"/>
  <c r="G13" i="52" s="1"/>
  <c r="BI248" i="7"/>
  <c r="BI222" i="7" s="1"/>
  <c r="BI933" i="7"/>
  <c r="BI939" i="7" s="1"/>
  <c r="BI940" i="7" s="1"/>
  <c r="BJ1003" i="7"/>
  <c r="BJ1005" i="7" s="1"/>
  <c r="BJ999" i="7"/>
  <c r="BP247" i="7"/>
  <c r="BO253" i="7"/>
  <c r="BI314" i="7"/>
  <c r="AI126" i="15"/>
  <c r="AN30" i="1"/>
  <c r="AN31" i="1" s="1"/>
  <c r="AN36" i="1" s="1"/>
  <c r="AN34" i="1" s="1"/>
  <c r="AN39" i="1" s="1"/>
  <c r="AN40" i="1" s="1"/>
  <c r="AJ106" i="15"/>
  <c r="AJ119" i="15"/>
  <c r="AJ120" i="15" s="1"/>
  <c r="BG1022" i="7"/>
  <c r="BF946" i="7"/>
  <c r="BG945" i="7"/>
  <c r="AM72" i="15"/>
  <c r="AM73" i="15" s="1"/>
  <c r="BF943" i="7"/>
  <c r="BG942" i="7"/>
  <c r="BI308" i="7"/>
  <c r="BI252" i="7"/>
  <c r="BI254" i="7" s="1"/>
  <c r="BI297" i="7"/>
  <c r="BJ65" i="7"/>
  <c r="BJ135" i="7"/>
  <c r="BK127" i="7"/>
  <c r="BK300" i="7"/>
  <c r="AH119" i="15"/>
  <c r="AH106" i="15"/>
  <c r="BJ324" i="7"/>
  <c r="BJ1021" i="7"/>
  <c r="BK1021" i="7" s="1"/>
  <c r="BK1031" i="7"/>
  <c r="BJ340" i="7"/>
  <c r="BK357" i="7"/>
  <c r="BH209" i="7"/>
  <c r="BI25" i="7"/>
  <c r="BI90" i="7"/>
  <c r="BI93" i="7" s="1"/>
  <c r="BI224" i="7"/>
  <c r="BG66" i="7"/>
  <c r="BM988" i="7"/>
  <c r="BM989" i="7" s="1"/>
  <c r="BN987" i="7" s="1"/>
  <c r="BH1066" i="7"/>
  <c r="BH1033" i="7"/>
  <c r="BH258" i="7"/>
  <c r="BK994" i="7"/>
  <c r="BK1071" i="7"/>
  <c r="BK302" i="7" s="1"/>
  <c r="BK995" i="7"/>
  <c r="BL993" i="7"/>
  <c r="BG93" i="7"/>
  <c r="AP25" i="1"/>
  <c r="AP27" i="1" s="1"/>
  <c r="BE98" i="7"/>
  <c r="BE34" i="7"/>
  <c r="AN72" i="15"/>
  <c r="AN73" i="15" s="1"/>
  <c r="BF215" i="7"/>
  <c r="BF217" i="7" s="1"/>
  <c r="BF218" i="7" s="1"/>
  <c r="BE217" i="7"/>
  <c r="BE218" i="7" s="1"/>
  <c r="AG119" i="15"/>
  <c r="AF120" i="15"/>
  <c r="BL357" i="7"/>
  <c r="BL1031" i="7"/>
  <c r="BL1004" i="7"/>
  <c r="H13" i="52" l="1"/>
  <c r="H14" i="52" s="1"/>
  <c r="F83" i="52" s="1"/>
  <c r="G14" i="52"/>
  <c r="J41" i="53"/>
  <c r="L41" i="53" s="1"/>
  <c r="G41" i="53"/>
  <c r="BL340" i="7"/>
  <c r="AL119" i="15"/>
  <c r="AH120" i="15"/>
  <c r="BJ312" i="7"/>
  <c r="BK324" i="7"/>
  <c r="BH1067" i="7"/>
  <c r="BH1073" i="7"/>
  <c r="BH1075" i="7" s="1"/>
  <c r="AG125" i="15"/>
  <c r="AG120" i="15"/>
  <c r="AG126" i="15" s="1"/>
  <c r="BE100" i="7"/>
  <c r="AK104" i="15"/>
  <c r="BI258" i="7"/>
  <c r="BI1066" i="7"/>
  <c r="BI1033" i="7"/>
  <c r="BQ247" i="7"/>
  <c r="BQ934" i="7" s="1"/>
  <c r="BQ935" i="7" s="1"/>
  <c r="BQ938" i="7" s="1"/>
  <c r="BP253" i="7"/>
  <c r="AF126" i="15"/>
  <c r="AK30" i="1"/>
  <c r="BG128" i="7"/>
  <c r="BG32" i="7"/>
  <c r="BJ137" i="7"/>
  <c r="BJ140" i="7" s="1"/>
  <c r="BK135" i="7"/>
  <c r="BK137" i="7" s="1"/>
  <c r="BK140" i="7" s="1"/>
  <c r="BL127" i="7"/>
  <c r="BL1071" i="7"/>
  <c r="BL302" i="7" s="1"/>
  <c r="BL300" i="7" s="1"/>
  <c r="BM993" i="7"/>
  <c r="BL994" i="7"/>
  <c r="BL995" i="7"/>
  <c r="BL1003" i="7" s="1"/>
  <c r="BL1005" i="7" s="1"/>
  <c r="BK999" i="7"/>
  <c r="BJ980" i="7"/>
  <c r="BJ293" i="7" s="1"/>
  <c r="BJ295" i="7" s="1"/>
  <c r="BN988" i="7"/>
  <c r="BN989" i="7" s="1"/>
  <c r="BO987" i="7" s="1"/>
  <c r="BI209" i="7"/>
  <c r="BG943" i="7"/>
  <c r="BH942" i="7"/>
  <c r="BH945" i="7"/>
  <c r="BG946" i="7"/>
  <c r="BJ72" i="7"/>
  <c r="BK65" i="7"/>
  <c r="BH230" i="7"/>
  <c r="BH260" i="7"/>
  <c r="BJ342" i="7"/>
  <c r="BJ320" i="7" s="1"/>
  <c r="BK340" i="7"/>
  <c r="BK342" i="7" s="1"/>
  <c r="BM357" i="7"/>
  <c r="BM340" i="7" s="1"/>
  <c r="BM342" i="7" s="1"/>
  <c r="BM320" i="7" s="1"/>
  <c r="BM308" i="7" s="1"/>
  <c r="BM1004" i="7"/>
  <c r="BM1031" i="7"/>
  <c r="AJ126" i="15"/>
  <c r="AO30" i="1"/>
  <c r="AO31" i="1" s="1"/>
  <c r="AO36" i="1" s="1"/>
  <c r="AO34" i="1" s="1"/>
  <c r="AO39" i="1" s="1"/>
  <c r="AO40" i="1" s="1"/>
  <c r="AO72" i="15"/>
  <c r="AO73" i="15" s="1"/>
  <c r="BL1021" i="7"/>
  <c r="BL324" i="7"/>
  <c r="BH1023" i="7"/>
  <c r="BI1028" i="7"/>
  <c r="BH1030" i="7"/>
  <c r="BP987" i="7" l="1"/>
  <c r="BO988" i="7"/>
  <c r="BJ246" i="7"/>
  <c r="BJ299" i="7"/>
  <c r="BI1067" i="7"/>
  <c r="BI1073" i="7"/>
  <c r="BI1075" i="7" s="1"/>
  <c r="BL135" i="7"/>
  <c r="BL65" i="7"/>
  <c r="BH213" i="7"/>
  <c r="BH215" i="7" s="1"/>
  <c r="BH217" i="7" s="1"/>
  <c r="BH218" i="7" s="1"/>
  <c r="BH232" i="7"/>
  <c r="BH234" i="7" s="1"/>
  <c r="BH235" i="7" s="1"/>
  <c r="BQ253" i="7"/>
  <c r="BR247" i="7"/>
  <c r="BR934" i="7" s="1"/>
  <c r="BR935" i="7" s="1"/>
  <c r="BR938" i="7" s="1"/>
  <c r="BM1071" i="7"/>
  <c r="BM302" i="7" s="1"/>
  <c r="BM300" i="7" s="1"/>
  <c r="BN993" i="7"/>
  <c r="BM994" i="7"/>
  <c r="BM995" i="7"/>
  <c r="BM1003" i="7" s="1"/>
  <c r="BM1005" i="7" s="1"/>
  <c r="BM127" i="7"/>
  <c r="BI1018" i="7"/>
  <c r="BJ74" i="7"/>
  <c r="BJ77" i="7" s="1"/>
  <c r="AU14" i="1" s="1"/>
  <c r="AU19" i="1" s="1"/>
  <c r="BJ13" i="7"/>
  <c r="BK72" i="7"/>
  <c r="BK74" i="7" s="1"/>
  <c r="BK77" i="7" s="1"/>
  <c r="AV14" i="1" s="1"/>
  <c r="AV19" i="1" s="1"/>
  <c r="AM30" i="1"/>
  <c r="AH126" i="15"/>
  <c r="AL30" i="1"/>
  <c r="AL31" i="1" s="1"/>
  <c r="AL36" i="1" s="1"/>
  <c r="AK31" i="1"/>
  <c r="AK36" i="1" s="1"/>
  <c r="AK34" i="1" s="1"/>
  <c r="BJ308" i="7"/>
  <c r="BK308" i="7" s="1"/>
  <c r="BK320" i="7"/>
  <c r="BH1020" i="7"/>
  <c r="AL125" i="15"/>
  <c r="AL120" i="15"/>
  <c r="AL126" i="15" s="1"/>
  <c r="AK106" i="15"/>
  <c r="AK119" i="15"/>
  <c r="AK120" i="15" s="1"/>
  <c r="BL312" i="7"/>
  <c r="BI942" i="7"/>
  <c r="BH943" i="7"/>
  <c r="BJ314" i="7"/>
  <c r="BK312" i="7"/>
  <c r="BK314" i="7" s="1"/>
  <c r="BL342" i="7"/>
  <c r="BL320" i="7" s="1"/>
  <c r="BL999" i="7"/>
  <c r="BK980" i="7"/>
  <c r="BK293" i="7" s="1"/>
  <c r="BK295" i="7" s="1"/>
  <c r="BM324" i="7"/>
  <c r="BM312" i="7" s="1"/>
  <c r="BM314" i="7" s="1"/>
  <c r="BM1021" i="7"/>
  <c r="BI1030" i="7"/>
  <c r="BI1020" i="7" s="1"/>
  <c r="BI66" i="7" s="1"/>
  <c r="BI1023" i="7"/>
  <c r="BJ1028" i="7"/>
  <c r="BI230" i="7"/>
  <c r="BI260" i="7"/>
  <c r="BI945" i="7"/>
  <c r="BH946" i="7"/>
  <c r="BK32" i="7"/>
  <c r="AV25" i="1" s="1"/>
  <c r="AR25" i="1"/>
  <c r="AR27" i="1" s="1"/>
  <c r="BG98" i="7"/>
  <c r="BK98" i="7" s="1"/>
  <c r="BG34" i="7"/>
  <c r="BN1031" i="7"/>
  <c r="BN1004" i="7"/>
  <c r="BN357" i="7"/>
  <c r="BN340" i="7" s="1"/>
  <c r="BN342" i="7" s="1"/>
  <c r="BN320" i="7" s="1"/>
  <c r="BN308" i="7" s="1"/>
  <c r="BJ248" i="7" l="1"/>
  <c r="BJ222" i="7" s="1"/>
  <c r="BJ933" i="7"/>
  <c r="BN127" i="7"/>
  <c r="BO993" i="7"/>
  <c r="BN994" i="7"/>
  <c r="BN1071" i="7"/>
  <c r="BN302" i="7" s="1"/>
  <c r="BN300" i="7" s="1"/>
  <c r="BN995" i="7"/>
  <c r="BN1003" i="7" s="1"/>
  <c r="BN1005" i="7" s="1"/>
  <c r="BI128" i="7"/>
  <c r="BI32" i="7"/>
  <c r="BN324" i="7"/>
  <c r="BN1021" i="7"/>
  <c r="BJ252" i="7"/>
  <c r="BJ254" i="7" s="1"/>
  <c r="BJ297" i="7"/>
  <c r="BH66" i="7"/>
  <c r="BK246" i="7"/>
  <c r="BK248" i="7" s="1"/>
  <c r="BK222" i="7" s="1"/>
  <c r="BK299" i="7"/>
  <c r="BL72" i="7"/>
  <c r="BM999" i="7"/>
  <c r="BL980" i="7"/>
  <c r="BL293" i="7" s="1"/>
  <c r="BL295" i="7" s="1"/>
  <c r="BJ224" i="7"/>
  <c r="AK126" i="15"/>
  <c r="AP30" i="1"/>
  <c r="AP31" i="1" s="1"/>
  <c r="AP36" i="1" s="1"/>
  <c r="AP34" i="1" s="1"/>
  <c r="AP39" i="1" s="1"/>
  <c r="AP40" i="1" s="1"/>
  <c r="BS247" i="7"/>
  <c r="BS934" i="7" s="1"/>
  <c r="BS935" i="7" s="1"/>
  <c r="BS938" i="7" s="1"/>
  <c r="BR253" i="7"/>
  <c r="AM104" i="15"/>
  <c r="BG100" i="7"/>
  <c r="BK100" i="7" s="1"/>
  <c r="BI943" i="7"/>
  <c r="BO357" i="7"/>
  <c r="BO1031" i="7"/>
  <c r="BO1004" i="7"/>
  <c r="BL137" i="7"/>
  <c r="BL140" i="7" s="1"/>
  <c r="AQ30" i="1"/>
  <c r="AQ31" i="1" s="1"/>
  <c r="AQ36" i="1" s="1"/>
  <c r="AM31" i="1"/>
  <c r="AM36" i="1" s="1"/>
  <c r="AM34" i="1" s="1"/>
  <c r="BJ88" i="7"/>
  <c r="BK88" i="7" s="1"/>
  <c r="BJ15" i="7"/>
  <c r="BK13" i="7"/>
  <c r="BO989" i="7"/>
  <c r="BP989" i="7" s="1"/>
  <c r="BQ987" i="7" s="1"/>
  <c r="BM65" i="7"/>
  <c r="BM72" i="7" s="1"/>
  <c r="BM135" i="7"/>
  <c r="BM137" i="7" s="1"/>
  <c r="BM140" i="7" s="1"/>
  <c r="BI232" i="7"/>
  <c r="BI234" i="7" s="1"/>
  <c r="BI235" i="7" s="1"/>
  <c r="BI213" i="7"/>
  <c r="BI215" i="7" s="1"/>
  <c r="BI217" i="7" s="1"/>
  <c r="BI218" i="7" s="1"/>
  <c r="BI1022" i="7"/>
  <c r="BJ1018" i="7"/>
  <c r="AK39" i="1"/>
  <c r="AK40" i="1" s="1"/>
  <c r="AL34" i="1"/>
  <c r="AL39" i="1" s="1"/>
  <c r="AL40" i="1" s="1"/>
  <c r="BL308" i="7"/>
  <c r="AV27" i="1"/>
  <c r="AQ74" i="15"/>
  <c r="BU19" i="1"/>
  <c r="AP74" i="15"/>
  <c r="BH1022" i="7"/>
  <c r="BI946" i="7"/>
  <c r="BL314" i="7"/>
  <c r="BK933" i="7" l="1"/>
  <c r="BJ939" i="7"/>
  <c r="BJ940" i="7" s="1"/>
  <c r="BL74" i="7"/>
  <c r="BL77" i="7" s="1"/>
  <c r="AW14" i="1" s="1"/>
  <c r="AW19" i="1" s="1"/>
  <c r="BL13" i="7"/>
  <c r="BO1021" i="7"/>
  <c r="BP1021" i="7" s="1"/>
  <c r="BO324" i="7"/>
  <c r="BO312" i="7" s="1"/>
  <c r="BO314" i="7" s="1"/>
  <c r="BP1031" i="7"/>
  <c r="BK224" i="7"/>
  <c r="BJ258" i="7"/>
  <c r="BJ1066" i="7"/>
  <c r="BJ1033" i="7"/>
  <c r="AM119" i="15"/>
  <c r="AM106" i="15"/>
  <c r="BT247" i="7"/>
  <c r="BT934" i="7" s="1"/>
  <c r="BT935" i="7" s="1"/>
  <c r="BT938" i="7" s="1"/>
  <c r="BS253" i="7"/>
  <c r="BJ209" i="7"/>
  <c r="AL35" i="1"/>
  <c r="BO994" i="7"/>
  <c r="BO127" i="7"/>
  <c r="BP127" i="7" s="1"/>
  <c r="BO1071" i="7"/>
  <c r="BO302" i="7" s="1"/>
  <c r="BO300" i="7" s="1"/>
  <c r="BO995" i="7"/>
  <c r="BO1003" i="7" s="1"/>
  <c r="BO1005" i="7" s="1"/>
  <c r="BP993" i="7"/>
  <c r="BH128" i="7"/>
  <c r="BH32" i="7"/>
  <c r="BJ90" i="7"/>
  <c r="BJ25" i="7"/>
  <c r="BK15" i="7"/>
  <c r="BK25" i="7" s="1"/>
  <c r="BL246" i="7"/>
  <c r="BL299" i="7"/>
  <c r="BN135" i="7"/>
  <c r="BN65" i="7"/>
  <c r="BN72" i="7" s="1"/>
  <c r="BN312" i="7"/>
  <c r="BP324" i="7"/>
  <c r="BI98" i="7"/>
  <c r="AT25" i="1"/>
  <c r="AT27" i="1" s="1"/>
  <c r="BI34" i="7"/>
  <c r="AQ34" i="1"/>
  <c r="AQ39" i="1" s="1"/>
  <c r="AQ40" i="1" s="1"/>
  <c r="AM39" i="1"/>
  <c r="AM40" i="1" s="1"/>
  <c r="BN999" i="7"/>
  <c r="BM980" i="7"/>
  <c r="BM293" i="7" s="1"/>
  <c r="BM295" i="7" s="1"/>
  <c r="BK252" i="7"/>
  <c r="BK254" i="7" s="1"/>
  <c r="BK297" i="7"/>
  <c r="BO340" i="7"/>
  <c r="BP357" i="7"/>
  <c r="BM74" i="7"/>
  <c r="BM77" i="7" s="1"/>
  <c r="AX14" i="1" s="1"/>
  <c r="AX19" i="1" s="1"/>
  <c r="BM13" i="7"/>
  <c r="BQ988" i="7"/>
  <c r="BP74" i="15"/>
  <c r="BL248" i="7" l="1"/>
  <c r="BL222" i="7" s="1"/>
  <c r="BL224" i="7" s="1"/>
  <c r="BL933" i="7"/>
  <c r="BL939" i="7" s="1"/>
  <c r="BL940" i="7" s="1"/>
  <c r="BJ942" i="7"/>
  <c r="BJ945" i="7"/>
  <c r="BM15" i="7"/>
  <c r="BM88" i="7"/>
  <c r="BO342" i="7"/>
  <c r="BO320" i="7" s="1"/>
  <c r="BP340" i="7"/>
  <c r="BP342" i="7" s="1"/>
  <c r="AQ72" i="15"/>
  <c r="BK34" i="7"/>
  <c r="AQ104" i="15" s="1"/>
  <c r="AQ106" i="15" s="1"/>
  <c r="BJ93" i="7"/>
  <c r="BK90" i="7"/>
  <c r="BK93" i="7" s="1"/>
  <c r="AQ35" i="1"/>
  <c r="BN314" i="7"/>
  <c r="BP312" i="7"/>
  <c r="BP314" i="7" s="1"/>
  <c r="BP300" i="7"/>
  <c r="BT253" i="7"/>
  <c r="BU247" i="7"/>
  <c r="AP72" i="15"/>
  <c r="AP73" i="15" s="1"/>
  <c r="BK209" i="7"/>
  <c r="BM246" i="7"/>
  <c r="BM299" i="7"/>
  <c r="BO999" i="7"/>
  <c r="BN980" i="7"/>
  <c r="BN293" i="7" s="1"/>
  <c r="BN295" i="7" s="1"/>
  <c r="BH98" i="7"/>
  <c r="AS25" i="1"/>
  <c r="AS27" i="1" s="1"/>
  <c r="BH34" i="7"/>
  <c r="BJ1023" i="7"/>
  <c r="BJ1030" i="7"/>
  <c r="BK1033" i="7"/>
  <c r="AO104" i="15"/>
  <c r="BI100" i="7"/>
  <c r="BJ230" i="7"/>
  <c r="BJ260" i="7"/>
  <c r="BN137" i="7"/>
  <c r="BN140" i="7" s="1"/>
  <c r="BL88" i="7"/>
  <c r="BL15" i="7"/>
  <c r="AS74" i="15"/>
  <c r="BK1066" i="7"/>
  <c r="BK258" i="7"/>
  <c r="BJ1073" i="7"/>
  <c r="BJ1075" i="7" s="1"/>
  <c r="BJ1067" i="7"/>
  <c r="BP994" i="7"/>
  <c r="BQ993" i="7"/>
  <c r="BP1071" i="7"/>
  <c r="BP302" i="7" s="1"/>
  <c r="BP995" i="7"/>
  <c r="BL252" i="7"/>
  <c r="BL254" i="7" s="1"/>
  <c r="BL297" i="7"/>
  <c r="AR74" i="15"/>
  <c r="AQ119" i="15"/>
  <c r="AM120" i="15"/>
  <c r="BN74" i="7"/>
  <c r="BN77" i="7" s="1"/>
  <c r="AY14" i="1" s="1"/>
  <c r="AY19" i="1" s="1"/>
  <c r="BN13" i="7"/>
  <c r="BO65" i="7"/>
  <c r="BO135" i="7"/>
  <c r="BO137" i="7" s="1"/>
  <c r="BO140" i="7" s="1"/>
  <c r="BQ1031" i="7"/>
  <c r="BQ357" i="7"/>
  <c r="BQ1004" i="7"/>
  <c r="BQ989" i="7"/>
  <c r="BR987" i="7" s="1"/>
  <c r="BJ946" i="7" l="1"/>
  <c r="BK945" i="7"/>
  <c r="BJ943" i="7"/>
  <c r="BK942" i="7"/>
  <c r="BM248" i="7"/>
  <c r="BM222" i="7" s="1"/>
  <c r="BM933" i="7"/>
  <c r="BM939" i="7" s="1"/>
  <c r="BM940" i="7" s="1"/>
  <c r="BP135" i="7"/>
  <c r="BP137" i="7" s="1"/>
  <c r="BP140" i="7" s="1"/>
  <c r="BV247" i="7"/>
  <c r="BV934" i="7" s="1"/>
  <c r="BV935" i="7" s="1"/>
  <c r="BV938" i="7" s="1"/>
  <c r="BU253" i="7"/>
  <c r="AO106" i="15"/>
  <c r="AO119" i="15"/>
  <c r="AO120" i="15" s="1"/>
  <c r="BQ994" i="7"/>
  <c r="BQ1071" i="7"/>
  <c r="BQ302" i="7" s="1"/>
  <c r="BQ300" i="7" s="1"/>
  <c r="BQ127" i="7"/>
  <c r="BR993" i="7"/>
  <c r="BQ995" i="7"/>
  <c r="BQ1003" i="7" s="1"/>
  <c r="BQ1005" i="7" s="1"/>
  <c r="BN246" i="7"/>
  <c r="BN299" i="7"/>
  <c r="BQ340" i="7"/>
  <c r="BP999" i="7"/>
  <c r="BO980" i="7"/>
  <c r="BO293" i="7" s="1"/>
  <c r="BO295" i="7" s="1"/>
  <c r="BQ324" i="7"/>
  <c r="BQ1021" i="7"/>
  <c r="AR30" i="1"/>
  <c r="AM126" i="15"/>
  <c r="BJ213" i="7"/>
  <c r="BJ232" i="7"/>
  <c r="BJ234" i="7" s="1"/>
  <c r="BJ235" i="7" s="1"/>
  <c r="BH100" i="7"/>
  <c r="AN104" i="15"/>
  <c r="BR988" i="7"/>
  <c r="BR989" i="7" s="1"/>
  <c r="BS987" i="7" s="1"/>
  <c r="BM224" i="7"/>
  <c r="BO72" i="7"/>
  <c r="BP65" i="7"/>
  <c r="BN88" i="7"/>
  <c r="BN15" i="7"/>
  <c r="BL25" i="7"/>
  <c r="BL90" i="7"/>
  <c r="BO308" i="7"/>
  <c r="BP308" i="7" s="1"/>
  <c r="BP320" i="7"/>
  <c r="AQ120" i="15"/>
  <c r="AQ126" i="15" s="1"/>
  <c r="AQ125" i="15"/>
  <c r="BL258" i="7"/>
  <c r="BL1066" i="7"/>
  <c r="BL1033" i="7"/>
  <c r="BL1028" i="7"/>
  <c r="BP1028" i="7"/>
  <c r="BK1023" i="7"/>
  <c r="BL209" i="7"/>
  <c r="BK1067" i="7"/>
  <c r="BK1073" i="7"/>
  <c r="BK1075" i="7" s="1"/>
  <c r="BJ1020" i="7"/>
  <c r="BJ1022" i="7" s="1"/>
  <c r="BK1022" i="7" s="1"/>
  <c r="BK1030" i="7"/>
  <c r="BK1032" i="7" s="1"/>
  <c r="BK260" i="7"/>
  <c r="BK230" i="7"/>
  <c r="BK232" i="7" s="1"/>
  <c r="BK234" i="7" s="1"/>
  <c r="BK235" i="7" s="1"/>
  <c r="BM297" i="7"/>
  <c r="BM252" i="7"/>
  <c r="BM254" i="7" s="1"/>
  <c r="BP72" i="15"/>
  <c r="AQ73" i="15"/>
  <c r="BP73" i="15" s="1"/>
  <c r="AT74" i="15"/>
  <c r="BM90" i="7"/>
  <c r="BM93" i="7" s="1"/>
  <c r="BM25" i="7"/>
  <c r="BN248" i="7" l="1"/>
  <c r="BN222" i="7" s="1"/>
  <c r="BN224" i="7" s="1"/>
  <c r="BN933" i="7"/>
  <c r="BN939" i="7" s="1"/>
  <c r="BN940" i="7" s="1"/>
  <c r="BL942" i="7"/>
  <c r="BK943" i="7"/>
  <c r="BK946" i="7"/>
  <c r="BL945" i="7"/>
  <c r="BS988" i="7"/>
  <c r="BS989" i="7" s="1"/>
  <c r="BT987" i="7" s="1"/>
  <c r="BQ342" i="7"/>
  <c r="BQ320" i="7" s="1"/>
  <c r="AN119" i="15"/>
  <c r="AN120" i="15" s="1"/>
  <c r="AN106" i="15"/>
  <c r="BR127" i="7"/>
  <c r="BR1071" i="7"/>
  <c r="BR302" i="7" s="1"/>
  <c r="BR300" i="7" s="1"/>
  <c r="BS993" i="7"/>
  <c r="BR995" i="7"/>
  <c r="BR994" i="7"/>
  <c r="BO74" i="7"/>
  <c r="BO77" i="7" s="1"/>
  <c r="AZ14" i="1" s="1"/>
  <c r="AZ19" i="1" s="1"/>
  <c r="BO13" i="7"/>
  <c r="BP72" i="7"/>
  <c r="BP74" i="7" s="1"/>
  <c r="BP77" i="7" s="1"/>
  <c r="BA14" i="1" s="1"/>
  <c r="BA19" i="1" s="1"/>
  <c r="BL1018" i="7"/>
  <c r="BP1018" i="7"/>
  <c r="BL230" i="7"/>
  <c r="BL260" i="7"/>
  <c r="AS72" i="15"/>
  <c r="AS73" i="15" s="1"/>
  <c r="BM209" i="7"/>
  <c r="BM1066" i="7"/>
  <c r="BM1033" i="7"/>
  <c r="BM258" i="7"/>
  <c r="AR72" i="15"/>
  <c r="AR73" i="15" s="1"/>
  <c r="BQ312" i="7"/>
  <c r="BN252" i="7"/>
  <c r="BN254" i="7" s="1"/>
  <c r="BN297" i="7"/>
  <c r="BL1023" i="7"/>
  <c r="BL1030" i="7"/>
  <c r="BM1028" i="7"/>
  <c r="BQ65" i="7"/>
  <c r="BQ135" i="7"/>
  <c r="BL1067" i="7"/>
  <c r="BL1073" i="7"/>
  <c r="BL1075" i="7" s="1"/>
  <c r="AV30" i="1"/>
  <c r="AV31" i="1" s="1"/>
  <c r="AV36" i="1" s="1"/>
  <c r="AR31" i="1"/>
  <c r="AR36" i="1" s="1"/>
  <c r="AR34" i="1" s="1"/>
  <c r="BL93" i="7"/>
  <c r="BV253" i="7"/>
  <c r="BW247" i="7"/>
  <c r="BW934" i="7" s="1"/>
  <c r="BW935" i="7" s="1"/>
  <c r="BW938" i="7" s="1"/>
  <c r="BQ999" i="7"/>
  <c r="BP980" i="7"/>
  <c r="BP293" i="7" s="1"/>
  <c r="BP295" i="7" s="1"/>
  <c r="BR1031" i="7"/>
  <c r="BR357" i="7"/>
  <c r="BR1004" i="7"/>
  <c r="BJ215" i="7"/>
  <c r="BK213" i="7"/>
  <c r="AO126" i="15"/>
  <c r="AT30" i="1"/>
  <c r="AT31" i="1" s="1"/>
  <c r="AT36" i="1" s="1"/>
  <c r="AT34" i="1" s="1"/>
  <c r="AT39" i="1" s="1"/>
  <c r="AT40" i="1" s="1"/>
  <c r="BJ66" i="7"/>
  <c r="BK1020" i="7"/>
  <c r="BN90" i="7"/>
  <c r="BN93" i="7" s="1"/>
  <c r="BN25" i="7"/>
  <c r="BO246" i="7"/>
  <c r="BO299" i="7"/>
  <c r="BL946" i="7" l="1"/>
  <c r="BM945" i="7"/>
  <c r="BO248" i="7"/>
  <c r="BO222" i="7" s="1"/>
  <c r="BO933" i="7"/>
  <c r="BL943" i="7"/>
  <c r="BM942" i="7"/>
  <c r="BR340" i="7"/>
  <c r="BO15" i="7"/>
  <c r="BO88" i="7"/>
  <c r="BP88" i="7" s="1"/>
  <c r="BP13" i="7"/>
  <c r="BS1071" i="7"/>
  <c r="BS302" i="7" s="1"/>
  <c r="BS300" i="7" s="1"/>
  <c r="BS995" i="7"/>
  <c r="BS127" i="7"/>
  <c r="BS994" i="7"/>
  <c r="BT993" i="7"/>
  <c r="BM230" i="7"/>
  <c r="BM260" i="7"/>
  <c r="BN258" i="7"/>
  <c r="BN1033" i="7"/>
  <c r="BN1066" i="7"/>
  <c r="BX247" i="7"/>
  <c r="BX934" i="7" s="1"/>
  <c r="BX935" i="7" s="1"/>
  <c r="BX938" i="7" s="1"/>
  <c r="BW253" i="7"/>
  <c r="BO297" i="7"/>
  <c r="BO252" i="7"/>
  <c r="BO254" i="7" s="1"/>
  <c r="BM1067" i="7"/>
  <c r="BM1073" i="7"/>
  <c r="BM1075" i="7" s="1"/>
  <c r="BL232" i="7"/>
  <c r="BL234" i="7" s="1"/>
  <c r="BL235" i="7" s="1"/>
  <c r="BL213" i="7"/>
  <c r="BL215" i="7" s="1"/>
  <c r="BL217" i="7" s="1"/>
  <c r="BL218" i="7" s="1"/>
  <c r="BR1021" i="7"/>
  <c r="BR324" i="7"/>
  <c r="BQ314" i="7"/>
  <c r="BN1028" i="7"/>
  <c r="BM1030" i="7"/>
  <c r="BM1020" i="7" s="1"/>
  <c r="BM66" i="7" s="1"/>
  <c r="BM1023" i="7"/>
  <c r="AU74" i="15"/>
  <c r="BR135" i="7"/>
  <c r="BR137" i="7" s="1"/>
  <c r="BR140" i="7" s="1"/>
  <c r="BR65" i="7"/>
  <c r="BR72" i="7" s="1"/>
  <c r="BO224" i="7"/>
  <c r="AR39" i="1"/>
  <c r="AR40" i="1" s="1"/>
  <c r="AV34" i="1"/>
  <c r="AV39" i="1" s="1"/>
  <c r="AV40" i="1" s="1"/>
  <c r="BJ32" i="7"/>
  <c r="BJ128" i="7"/>
  <c r="BK128" i="7" s="1"/>
  <c r="BK66" i="7"/>
  <c r="BT988" i="7"/>
  <c r="BU987" i="7"/>
  <c r="BN209" i="7"/>
  <c r="BQ72" i="7"/>
  <c r="BK215" i="7"/>
  <c r="BK217" i="7" s="1"/>
  <c r="BK218" i="7" s="1"/>
  <c r="BJ217" i="7"/>
  <c r="BJ218" i="7" s="1"/>
  <c r="BL1020" i="7"/>
  <c r="BS357" i="7"/>
  <c r="BS340" i="7" s="1"/>
  <c r="BS342" i="7" s="1"/>
  <c r="BS320" i="7" s="1"/>
  <c r="BS308" i="7" s="1"/>
  <c r="BS1031" i="7"/>
  <c r="BS1004" i="7"/>
  <c r="BP246" i="7"/>
  <c r="BP248" i="7" s="1"/>
  <c r="BP222" i="7" s="1"/>
  <c r="BP299" i="7"/>
  <c r="BR999" i="7"/>
  <c r="BQ980" i="7"/>
  <c r="BQ293" i="7" s="1"/>
  <c r="BQ295" i="7" s="1"/>
  <c r="AN126" i="15"/>
  <c r="AS30" i="1"/>
  <c r="AS31" i="1" s="1"/>
  <c r="AS36" i="1" s="1"/>
  <c r="AS34" i="1" s="1"/>
  <c r="AS39" i="1" s="1"/>
  <c r="AS40" i="1" s="1"/>
  <c r="AT72" i="15"/>
  <c r="AT73" i="15" s="1"/>
  <c r="BQ308" i="7"/>
  <c r="BQ137" i="7"/>
  <c r="BQ140" i="7" s="1"/>
  <c r="BR1003" i="7"/>
  <c r="BR1005" i="7" s="1"/>
  <c r="BM1018" i="7"/>
  <c r="AV74" i="15"/>
  <c r="BV19" i="1"/>
  <c r="BN942" i="7" l="1"/>
  <c r="BM943" i="7"/>
  <c r="BM946" i="7"/>
  <c r="BN945" i="7"/>
  <c r="BP933" i="7"/>
  <c r="BO939" i="7"/>
  <c r="BO940" i="7" s="1"/>
  <c r="AV35" i="1"/>
  <c r="BN1067" i="7"/>
  <c r="BN1073" i="7"/>
  <c r="BN1075" i="7" s="1"/>
  <c r="BQ13" i="7"/>
  <c r="BQ74" i="7"/>
  <c r="BQ77" i="7" s="1"/>
  <c r="BB14" i="1" s="1"/>
  <c r="BB19" i="1" s="1"/>
  <c r="BM232" i="7"/>
  <c r="BM234" i="7" s="1"/>
  <c r="BM235" i="7" s="1"/>
  <c r="BM213" i="7"/>
  <c r="BM215" i="7" s="1"/>
  <c r="BM217" i="7" s="1"/>
  <c r="BM218" i="7" s="1"/>
  <c r="BT1004" i="7"/>
  <c r="BT357" i="7"/>
  <c r="BT340" i="7" s="1"/>
  <c r="BT342" i="7" s="1"/>
  <c r="BT320" i="7" s="1"/>
  <c r="BT308" i="7" s="1"/>
  <c r="BT1031" i="7"/>
  <c r="BR74" i="7"/>
  <c r="BR77" i="7" s="1"/>
  <c r="BC14" i="1" s="1"/>
  <c r="BC19" i="1" s="1"/>
  <c r="BR13" i="7"/>
  <c r="BX253" i="7"/>
  <c r="BY247" i="7"/>
  <c r="BY934" i="7" s="1"/>
  <c r="BY935" i="7" s="1"/>
  <c r="BY938" i="7" s="1"/>
  <c r="BN1030" i="7"/>
  <c r="BO1028" i="7"/>
  <c r="BN1023" i="7"/>
  <c r="BQ246" i="7"/>
  <c r="BQ299" i="7"/>
  <c r="BO90" i="7"/>
  <c r="BO25" i="7"/>
  <c r="BP15" i="7"/>
  <c r="BP25" i="7" s="1"/>
  <c r="BN260" i="7"/>
  <c r="BN230" i="7"/>
  <c r="BT127" i="7"/>
  <c r="BT994" i="7"/>
  <c r="BT1071" i="7"/>
  <c r="BT302" i="7" s="1"/>
  <c r="BT300" i="7" s="1"/>
  <c r="BU993" i="7"/>
  <c r="BT995" i="7"/>
  <c r="BS999" i="7"/>
  <c r="BR980" i="7"/>
  <c r="BR293" i="7" s="1"/>
  <c r="BR295" i="7" s="1"/>
  <c r="BL66" i="7"/>
  <c r="BM32" i="7"/>
  <c r="BM128" i="7"/>
  <c r="BS65" i="7"/>
  <c r="BS72" i="7" s="1"/>
  <c r="BS135" i="7"/>
  <c r="BS137" i="7" s="1"/>
  <c r="BS140" i="7" s="1"/>
  <c r="BP297" i="7"/>
  <c r="BP252" i="7"/>
  <c r="BP254" i="7" s="1"/>
  <c r="BS324" i="7"/>
  <c r="BS312" i="7" s="1"/>
  <c r="BS314" i="7" s="1"/>
  <c r="BS1021" i="7"/>
  <c r="BO1066" i="7"/>
  <c r="BO1033" i="7"/>
  <c r="BO258" i="7"/>
  <c r="BM1022" i="7"/>
  <c r="BN1018" i="7"/>
  <c r="BR312" i="7"/>
  <c r="BT989" i="7"/>
  <c r="BU989" i="7" s="1"/>
  <c r="BV987" i="7" s="1"/>
  <c r="BJ98" i="7"/>
  <c r="AU25" i="1"/>
  <c r="AU27" i="1" s="1"/>
  <c r="BJ34" i="7"/>
  <c r="BP224" i="7"/>
  <c r="BQ74" i="15"/>
  <c r="BS1003" i="7"/>
  <c r="BS1005" i="7" s="1"/>
  <c r="BL1022" i="7"/>
  <c r="BO209" i="7"/>
  <c r="BR342" i="7"/>
  <c r="BR320" i="7" s="1"/>
  <c r="BQ248" i="7" l="1"/>
  <c r="BQ222" i="7" s="1"/>
  <c r="BQ933" i="7"/>
  <c r="BQ939" i="7" s="1"/>
  <c r="BQ940" i="7" s="1"/>
  <c r="BN946" i="7"/>
  <c r="BO945" i="7"/>
  <c r="BN943" i="7"/>
  <c r="BO942" i="7"/>
  <c r="BU357" i="7"/>
  <c r="BU340" i="7"/>
  <c r="BU342" i="7" s="1"/>
  <c r="BR314" i="7"/>
  <c r="BN1020" i="7"/>
  <c r="BN1022" i="7" s="1"/>
  <c r="BZ247" i="7"/>
  <c r="BZ253" i="7" s="1"/>
  <c r="BY253" i="7"/>
  <c r="BR88" i="7"/>
  <c r="BR15" i="7"/>
  <c r="BU300" i="7"/>
  <c r="BT324" i="7"/>
  <c r="BT312" i="7" s="1"/>
  <c r="BT314" i="7" s="1"/>
  <c r="BT1021" i="7"/>
  <c r="BU1021" i="7" s="1"/>
  <c r="BU1031" i="7"/>
  <c r="BT135" i="7"/>
  <c r="BT65" i="7"/>
  <c r="BU127" i="7"/>
  <c r="AP104" i="15"/>
  <c r="BJ100" i="7"/>
  <c r="AX25" i="1"/>
  <c r="AX27" i="1" s="1"/>
  <c r="BM98" i="7"/>
  <c r="BM34" i="7"/>
  <c r="AX74" i="15"/>
  <c r="BN232" i="7"/>
  <c r="BN234" i="7" s="1"/>
  <c r="BN235" i="7" s="1"/>
  <c r="BN213" i="7"/>
  <c r="BN215" i="7" s="1"/>
  <c r="BN217" i="7" s="1"/>
  <c r="BN218" i="7" s="1"/>
  <c r="AU72" i="15"/>
  <c r="AU73" i="15" s="1"/>
  <c r="BO1018" i="7"/>
  <c r="BL32" i="7"/>
  <c r="BL128" i="7"/>
  <c r="BO230" i="7"/>
  <c r="BO260" i="7"/>
  <c r="BO1030" i="7"/>
  <c r="BO1020" i="7" s="1"/>
  <c r="BO66" i="7" s="1"/>
  <c r="BP1033" i="7"/>
  <c r="BO1023" i="7"/>
  <c r="AW74" i="15"/>
  <c r="BO93" i="7"/>
  <c r="BP90" i="7"/>
  <c r="BP93" i="7" s="1"/>
  <c r="BQ88" i="7"/>
  <c r="BQ15" i="7"/>
  <c r="BR308" i="7"/>
  <c r="BU308" i="7" s="1"/>
  <c r="BU320" i="7"/>
  <c r="BT999" i="7"/>
  <c r="BS980" i="7"/>
  <c r="BS293" i="7" s="1"/>
  <c r="BS295" i="7" s="1"/>
  <c r="BP209" i="7"/>
  <c r="BO1073" i="7"/>
  <c r="BO1075" i="7" s="1"/>
  <c r="BO1067" i="7"/>
  <c r="BP1066" i="7"/>
  <c r="BP258" i="7"/>
  <c r="AV72" i="15"/>
  <c r="BV988" i="7"/>
  <c r="BQ252" i="7"/>
  <c r="BQ254" i="7" s="1"/>
  <c r="BQ297" i="7"/>
  <c r="BR246" i="7"/>
  <c r="BR299" i="7"/>
  <c r="BV993" i="7"/>
  <c r="BU995" i="7"/>
  <c r="BU994" i="7"/>
  <c r="BU1071" i="7"/>
  <c r="BU302" i="7" s="1"/>
  <c r="BT1003" i="7"/>
  <c r="BT1005" i="7" s="1"/>
  <c r="BS13" i="7"/>
  <c r="BS74" i="7"/>
  <c r="BS77" i="7" s="1"/>
  <c r="BD14" i="1" s="1"/>
  <c r="BD19" i="1" s="1"/>
  <c r="BQ224" i="7"/>
  <c r="BO1022" i="7" l="1"/>
  <c r="BP1022" i="7" s="1"/>
  <c r="BO946" i="7"/>
  <c r="BP945" i="7"/>
  <c r="BO943" i="7"/>
  <c r="BP942" i="7"/>
  <c r="BR248" i="7"/>
  <c r="BR222" i="7" s="1"/>
  <c r="BR224" i="7" s="1"/>
  <c r="BR933" i="7"/>
  <c r="BR939" i="7" s="1"/>
  <c r="BR940" i="7" s="1"/>
  <c r="BU324" i="7"/>
  <c r="BV1004" i="7"/>
  <c r="BV1031" i="7"/>
  <c r="BV357" i="7"/>
  <c r="BQ209" i="7"/>
  <c r="BO128" i="7"/>
  <c r="BO32" i="7"/>
  <c r="BT137" i="7"/>
  <c r="BT140" i="7" s="1"/>
  <c r="BU135" i="7"/>
  <c r="BU137" i="7" s="1"/>
  <c r="BU140" i="7" s="1"/>
  <c r="BQ72" i="15"/>
  <c r="AV73" i="15"/>
  <c r="BQ73" i="15" s="1"/>
  <c r="BP1067" i="7"/>
  <c r="BP1073" i="7"/>
  <c r="BP1075" i="7" s="1"/>
  <c r="BT72" i="7"/>
  <c r="BU65" i="7"/>
  <c r="BR252" i="7"/>
  <c r="BR254" i="7" s="1"/>
  <c r="BR297" i="7"/>
  <c r="BP1030" i="7"/>
  <c r="AY74" i="15"/>
  <c r="BV127" i="7"/>
  <c r="BV995" i="7"/>
  <c r="BV994" i="7"/>
  <c r="BV1071" i="7"/>
  <c r="BV302" i="7" s="1"/>
  <c r="BV300" i="7" s="1"/>
  <c r="BN66" i="7"/>
  <c r="BP1020" i="7"/>
  <c r="AP119" i="15"/>
  <c r="AP120" i="15" s="1"/>
  <c r="AP106" i="15"/>
  <c r="BP1032" i="7"/>
  <c r="BQ1028" i="7"/>
  <c r="BU1028" i="7"/>
  <c r="BP1023" i="7"/>
  <c r="BO232" i="7"/>
  <c r="BO234" i="7" s="1"/>
  <c r="BO235" i="7" s="1"/>
  <c r="BO213" i="7"/>
  <c r="BL98" i="7"/>
  <c r="BP98" i="7" s="1"/>
  <c r="AW25" i="1"/>
  <c r="AW27" i="1" s="1"/>
  <c r="BP32" i="7"/>
  <c r="BL34" i="7"/>
  <c r="BS246" i="7"/>
  <c r="BS299" i="7"/>
  <c r="BU999" i="7"/>
  <c r="BT980" i="7"/>
  <c r="BT293" i="7" s="1"/>
  <c r="BT295" i="7" s="1"/>
  <c r="BQ90" i="7"/>
  <c r="BQ25" i="7"/>
  <c r="BU312" i="7"/>
  <c r="BU314" i="7" s="1"/>
  <c r="BP260" i="7"/>
  <c r="BP230" i="7"/>
  <c r="BP232" i="7" s="1"/>
  <c r="BP234" i="7" s="1"/>
  <c r="BP235" i="7" s="1"/>
  <c r="BS88" i="7"/>
  <c r="BS15" i="7"/>
  <c r="BR25" i="7"/>
  <c r="BR90" i="7"/>
  <c r="BR93" i="7" s="1"/>
  <c r="BQ1033" i="7"/>
  <c r="BQ258" i="7"/>
  <c r="BQ1066" i="7"/>
  <c r="BV989" i="7"/>
  <c r="BW987" i="7" s="1"/>
  <c r="BW993" i="7" s="1"/>
  <c r="AS104" i="15"/>
  <c r="BM100" i="7"/>
  <c r="BS248" i="7" l="1"/>
  <c r="BS222" i="7" s="1"/>
  <c r="BS224" i="7" s="1"/>
  <c r="BS933" i="7"/>
  <c r="BS939" i="7" s="1"/>
  <c r="BS940" i="7" s="1"/>
  <c r="BP943" i="7"/>
  <c r="BQ942" i="7"/>
  <c r="BP946" i="7"/>
  <c r="BQ945" i="7"/>
  <c r="BW127" i="7"/>
  <c r="BW1071" i="7"/>
  <c r="BW302" i="7" s="1"/>
  <c r="BW300" i="7" s="1"/>
  <c r="BW995" i="7"/>
  <c r="BW994" i="7"/>
  <c r="AP126" i="15"/>
  <c r="AU30" i="1"/>
  <c r="AU31" i="1" s="1"/>
  <c r="AU36" i="1" s="1"/>
  <c r="AU34" i="1" s="1"/>
  <c r="AU39" i="1" s="1"/>
  <c r="AU40" i="1" s="1"/>
  <c r="BQ1018" i="7"/>
  <c r="BU1018" i="7"/>
  <c r="BS297" i="7"/>
  <c r="BS252" i="7"/>
  <c r="BS254" i="7" s="1"/>
  <c r="BO98" i="7"/>
  <c r="AZ25" i="1"/>
  <c r="AZ27" i="1" s="1"/>
  <c r="BO34" i="7"/>
  <c r="BA25" i="1"/>
  <c r="BA27" i="1" s="1"/>
  <c r="BP34" i="7"/>
  <c r="AV104" i="15" s="1"/>
  <c r="AV106" i="15" s="1"/>
  <c r="BQ1073" i="7"/>
  <c r="BQ1075" i="7" s="1"/>
  <c r="BQ1067" i="7"/>
  <c r="AW72" i="15"/>
  <c r="AW73" i="15" s="1"/>
  <c r="BQ1030" i="7"/>
  <c r="BR1028" i="7"/>
  <c r="BQ1023" i="7"/>
  <c r="BV135" i="7"/>
  <c r="BV65" i="7"/>
  <c r="BV340" i="7"/>
  <c r="BR1066" i="7"/>
  <c r="BR1033" i="7"/>
  <c r="BR258" i="7"/>
  <c r="BT13" i="7"/>
  <c r="BT74" i="7"/>
  <c r="BT77" i="7" s="1"/>
  <c r="BE14" i="1" s="1"/>
  <c r="BE19" i="1" s="1"/>
  <c r="BU72" i="7"/>
  <c r="BU74" i="7" s="1"/>
  <c r="BU77" i="7" s="1"/>
  <c r="BF14" i="1" s="1"/>
  <c r="BF19" i="1" s="1"/>
  <c r="AS106" i="15"/>
  <c r="AS119" i="15"/>
  <c r="AS120" i="15" s="1"/>
  <c r="BN128" i="7"/>
  <c r="BP128" i="7" s="1"/>
  <c r="BN32" i="7"/>
  <c r="BP66" i="7"/>
  <c r="BQ93" i="7"/>
  <c r="BW988" i="7"/>
  <c r="BW989" i="7" s="1"/>
  <c r="BX987" i="7" s="1"/>
  <c r="BV999" i="7"/>
  <c r="BU980" i="7"/>
  <c r="BU293" i="7" s="1"/>
  <c r="BU295" i="7" s="1"/>
  <c r="AR104" i="15"/>
  <c r="BL100" i="7"/>
  <c r="BP100" i="7" s="1"/>
  <c r="BR209" i="7"/>
  <c r="AX72" i="15"/>
  <c r="AX73" i="15" s="1"/>
  <c r="BO215" i="7"/>
  <c r="BP213" i="7"/>
  <c r="BV324" i="7"/>
  <c r="BV1021" i="7"/>
  <c r="BT246" i="7"/>
  <c r="BT299" i="7"/>
  <c r="BQ230" i="7"/>
  <c r="BQ260" i="7"/>
  <c r="BS90" i="7"/>
  <c r="BS93" i="7" s="1"/>
  <c r="BS25" i="7"/>
  <c r="BV1003" i="7"/>
  <c r="BV1005" i="7" s="1"/>
  <c r="BQ943" i="7" l="1"/>
  <c r="BR942" i="7"/>
  <c r="BQ946" i="7"/>
  <c r="BR945" i="7"/>
  <c r="BT248" i="7"/>
  <c r="BT222" i="7" s="1"/>
  <c r="BT933" i="7"/>
  <c r="BX988" i="7"/>
  <c r="BX993" i="7"/>
  <c r="AZ74" i="15"/>
  <c r="AR106" i="15"/>
  <c r="AR119" i="15"/>
  <c r="BV72" i="7"/>
  <c r="BV980" i="7"/>
  <c r="BV293" i="7" s="1"/>
  <c r="BV295" i="7" s="1"/>
  <c r="BQ232" i="7"/>
  <c r="BQ234" i="7" s="1"/>
  <c r="BQ235" i="7" s="1"/>
  <c r="BQ213" i="7"/>
  <c r="BQ215" i="7" s="1"/>
  <c r="BQ217" i="7" s="1"/>
  <c r="BQ218" i="7" s="1"/>
  <c r="BT297" i="7"/>
  <c r="BT252" i="7"/>
  <c r="BT254" i="7" s="1"/>
  <c r="BT224" i="7"/>
  <c r="BN98" i="7"/>
  <c r="AY25" i="1"/>
  <c r="AY27" i="1" s="1"/>
  <c r="BN34" i="7"/>
  <c r="AY72" i="15"/>
  <c r="AY73" i="15" s="1"/>
  <c r="BP215" i="7"/>
  <c r="BP217" i="7" s="1"/>
  <c r="BP218" i="7" s="1"/>
  <c r="BO217" i="7"/>
  <c r="BO218" i="7" s="1"/>
  <c r="BT88" i="7"/>
  <c r="BU88" i="7" s="1"/>
  <c r="BT15" i="7"/>
  <c r="BU13" i="7"/>
  <c r="BO100" i="7"/>
  <c r="AU104" i="15"/>
  <c r="BU246" i="7"/>
  <c r="BU248" i="7" s="1"/>
  <c r="BU222" i="7" s="1"/>
  <c r="BU299" i="7"/>
  <c r="BW357" i="7"/>
  <c r="BW1031" i="7"/>
  <c r="BW1004" i="7"/>
  <c r="BS209" i="7"/>
  <c r="AX30" i="1"/>
  <c r="AX31" i="1" s="1"/>
  <c r="AX36" i="1" s="1"/>
  <c r="AX34" i="1" s="1"/>
  <c r="AX39" i="1" s="1"/>
  <c r="AS126" i="15"/>
  <c r="BR230" i="7"/>
  <c r="BR260" i="7"/>
  <c r="BR1023" i="7"/>
  <c r="BS1028" i="7"/>
  <c r="BR1030" i="7"/>
  <c r="BR1020" i="7" s="1"/>
  <c r="BR66" i="7" s="1"/>
  <c r="BR1067" i="7"/>
  <c r="BR1073" i="7"/>
  <c r="BR1075" i="7" s="1"/>
  <c r="BS258" i="7"/>
  <c r="BS1033" i="7"/>
  <c r="BS1066" i="7"/>
  <c r="BV342" i="7"/>
  <c r="BV320" i="7" s="1"/>
  <c r="BV137" i="7"/>
  <c r="BV140" i="7" s="1"/>
  <c r="BR1018" i="7"/>
  <c r="BQ1020" i="7"/>
  <c r="BV312" i="7"/>
  <c r="BW19" i="1"/>
  <c r="BA74" i="15"/>
  <c r="BW135" i="7"/>
  <c r="BW137" i="7" s="1"/>
  <c r="BW140" i="7" s="1"/>
  <c r="BW65" i="7"/>
  <c r="BW72" i="7" s="1"/>
  <c r="BU933" i="7" l="1"/>
  <c r="BT939" i="7"/>
  <c r="BT940" i="7" s="1"/>
  <c r="BS942" i="7"/>
  <c r="BR943" i="7"/>
  <c r="BR946" i="7"/>
  <c r="BS945" i="7"/>
  <c r="BU224" i="7"/>
  <c r="BU297" i="7"/>
  <c r="BU252" i="7"/>
  <c r="BU254" i="7" s="1"/>
  <c r="BT209" i="7"/>
  <c r="AU119" i="15"/>
  <c r="AU120" i="15" s="1"/>
  <c r="AU106" i="15"/>
  <c r="BT25" i="7"/>
  <c r="BT90" i="7"/>
  <c r="BU15" i="7"/>
  <c r="BU25" i="7" s="1"/>
  <c r="BV308" i="7"/>
  <c r="BR74" i="15"/>
  <c r="BR32" i="7"/>
  <c r="BR128" i="7"/>
  <c r="BW1003" i="7"/>
  <c r="BW1005" i="7" s="1"/>
  <c r="BW324" i="7"/>
  <c r="BW1021" i="7"/>
  <c r="BW340" i="7"/>
  <c r="BT1033" i="7"/>
  <c r="BT258" i="7"/>
  <c r="BT1066" i="7"/>
  <c r="BS1073" i="7"/>
  <c r="BS1075" i="7" s="1"/>
  <c r="BS1067" i="7"/>
  <c r="BS1023" i="7"/>
  <c r="BT1028" i="7"/>
  <c r="BS1030" i="7"/>
  <c r="BS1020" i="7" s="1"/>
  <c r="BS66" i="7" s="1"/>
  <c r="BW999" i="7"/>
  <c r="BQ66" i="7"/>
  <c r="BR213" i="7"/>
  <c r="BR215" i="7" s="1"/>
  <c r="BR217" i="7" s="1"/>
  <c r="BR218" i="7" s="1"/>
  <c r="BR232" i="7"/>
  <c r="BR234" i="7" s="1"/>
  <c r="BR235" i="7" s="1"/>
  <c r="BX1071" i="7"/>
  <c r="BX302" i="7" s="1"/>
  <c r="BX300" i="7" s="1"/>
  <c r="BX127" i="7"/>
  <c r="BX995" i="7"/>
  <c r="BX994" i="7"/>
  <c r="BW74" i="7"/>
  <c r="BW77" i="7" s="1"/>
  <c r="BH14" i="1" s="1"/>
  <c r="BH19" i="1" s="1"/>
  <c r="BW13" i="7"/>
  <c r="AR120" i="15"/>
  <c r="AV119" i="15"/>
  <c r="BS1018" i="7"/>
  <c r="BR1022" i="7"/>
  <c r="BX1031" i="7"/>
  <c r="BX357" i="7"/>
  <c r="BX340" i="7" s="1"/>
  <c r="BX342" i="7" s="1"/>
  <c r="BX320" i="7" s="1"/>
  <c r="BX308" i="7" s="1"/>
  <c r="BX1004" i="7"/>
  <c r="BV246" i="7"/>
  <c r="BV299" i="7"/>
  <c r="BS260" i="7"/>
  <c r="BS230" i="7"/>
  <c r="BV13" i="7"/>
  <c r="BV74" i="7"/>
  <c r="BV77" i="7" s="1"/>
  <c r="BG14" i="1" s="1"/>
  <c r="BG19" i="1" s="1"/>
  <c r="BV314" i="7"/>
  <c r="BQ1022" i="7"/>
  <c r="BC39" i="1"/>
  <c r="AX40" i="1"/>
  <c r="BC40" i="1" s="1"/>
  <c r="BH40" i="1" s="1"/>
  <c r="BN100" i="7"/>
  <c r="AT104" i="15"/>
  <c r="BX989" i="7"/>
  <c r="BY987" i="7" s="1"/>
  <c r="BV248" i="7" l="1"/>
  <c r="BV222" i="7" s="1"/>
  <c r="BV933" i="7"/>
  <c r="BV939" i="7" s="1"/>
  <c r="BV940" i="7" s="1"/>
  <c r="BS943" i="7"/>
  <c r="BT942" i="7"/>
  <c r="BT945" i="7"/>
  <c r="BS946" i="7"/>
  <c r="BX1003" i="7"/>
  <c r="BX1005" i="7" s="1"/>
  <c r="BX1021" i="7"/>
  <c r="BX324" i="7"/>
  <c r="BX312" i="7" s="1"/>
  <c r="BX314" i="7" s="1"/>
  <c r="BX999" i="7"/>
  <c r="BW980" i="7"/>
  <c r="BW293" i="7" s="1"/>
  <c r="BW295" i="7" s="1"/>
  <c r="AW30" i="1"/>
  <c r="AR126" i="15"/>
  <c r="BT93" i="7"/>
  <c r="BU90" i="7"/>
  <c r="BU93" i="7" s="1"/>
  <c r="BW15" i="7"/>
  <c r="BW88" i="7"/>
  <c r="AZ72" i="15"/>
  <c r="AZ73" i="15" s="1"/>
  <c r="BT260" i="7"/>
  <c r="BT230" i="7"/>
  <c r="BT1023" i="7"/>
  <c r="BU1033" i="7"/>
  <c r="BT1030" i="7"/>
  <c r="BX65" i="7"/>
  <c r="BX135" i="7"/>
  <c r="BC25" i="1"/>
  <c r="BC27" i="1" s="1"/>
  <c r="BR98" i="7"/>
  <c r="BR34" i="7"/>
  <c r="BQ128" i="7"/>
  <c r="BQ32" i="7"/>
  <c r="BZ987" i="7"/>
  <c r="BY988" i="7"/>
  <c r="BA72" i="15"/>
  <c r="BT1067" i="7"/>
  <c r="BT1073" i="7"/>
  <c r="BT1075" i="7" s="1"/>
  <c r="AU126" i="15"/>
  <c r="AZ30" i="1"/>
  <c r="AZ31" i="1" s="1"/>
  <c r="AZ36" i="1" s="1"/>
  <c r="AZ34" i="1" s="1"/>
  <c r="AZ39" i="1" s="1"/>
  <c r="BS1022" i="7"/>
  <c r="BT1018" i="7"/>
  <c r="BH39" i="1"/>
  <c r="BC74" i="15"/>
  <c r="BW342" i="7"/>
  <c r="BW320" i="7" s="1"/>
  <c r="BU258" i="7"/>
  <c r="BU1066" i="7"/>
  <c r="BS32" i="7"/>
  <c r="BS128" i="7"/>
  <c r="BB74" i="15"/>
  <c r="BY993" i="7"/>
  <c r="AT119" i="15"/>
  <c r="AT120" i="15" s="1"/>
  <c r="AT106" i="15"/>
  <c r="AV120" i="15"/>
  <c r="AV126" i="15" s="1"/>
  <c r="AV125" i="15"/>
  <c r="BV15" i="7"/>
  <c r="BV88" i="7"/>
  <c r="BU209" i="7"/>
  <c r="BS232" i="7"/>
  <c r="BS234" i="7" s="1"/>
  <c r="BS235" i="7" s="1"/>
  <c r="BS213" i="7"/>
  <c r="BS215" i="7" s="1"/>
  <c r="BS217" i="7" s="1"/>
  <c r="BS218" i="7" s="1"/>
  <c r="BW312" i="7"/>
  <c r="BV297" i="7"/>
  <c r="BV252" i="7"/>
  <c r="BV254" i="7" s="1"/>
  <c r="BV224" i="7"/>
  <c r="BU942" i="7" l="1"/>
  <c r="BT943" i="7"/>
  <c r="BT946" i="7"/>
  <c r="BU945" i="7"/>
  <c r="BV209" i="7"/>
  <c r="BS98" i="7"/>
  <c r="BD25" i="1"/>
  <c r="BD27" i="1" s="1"/>
  <c r="BS34" i="7"/>
  <c r="BW90" i="7"/>
  <c r="BW93" i="7" s="1"/>
  <c r="BW25" i="7"/>
  <c r="BX980" i="7"/>
  <c r="BX293" i="7" s="1"/>
  <c r="BX295" i="7" s="1"/>
  <c r="BT1020" i="7"/>
  <c r="BT1022" i="7" s="1"/>
  <c r="BU1022" i="7" s="1"/>
  <c r="BU1030" i="7"/>
  <c r="BU1032" i="7" s="1"/>
  <c r="BU260" i="7"/>
  <c r="BU230" i="7"/>
  <c r="BU232" i="7" s="1"/>
  <c r="BU234" i="7" s="1"/>
  <c r="BU235" i="7" s="1"/>
  <c r="BX72" i="7"/>
  <c r="BY995" i="7"/>
  <c r="BY1071" i="7"/>
  <c r="BY302" i="7" s="1"/>
  <c r="BY300" i="7" s="1"/>
  <c r="BY994" i="7"/>
  <c r="BY127" i="7"/>
  <c r="BZ993" i="7"/>
  <c r="BZ1028" i="7"/>
  <c r="BU1023" i="7"/>
  <c r="BV1028" i="7"/>
  <c r="BV258" i="7"/>
  <c r="BV1033" i="7"/>
  <c r="BV1066" i="7"/>
  <c r="BY357" i="7"/>
  <c r="BY1004" i="7"/>
  <c r="BY999" i="7" s="1"/>
  <c r="BY1031" i="7"/>
  <c r="BA30" i="1"/>
  <c r="BA31" i="1" s="1"/>
  <c r="BA36" i="1" s="1"/>
  <c r="AW31" i="1"/>
  <c r="AW36" i="1" s="1"/>
  <c r="AW34" i="1" s="1"/>
  <c r="BT213" i="7"/>
  <c r="BT232" i="7"/>
  <c r="BT234" i="7" s="1"/>
  <c r="BT235" i="7" s="1"/>
  <c r="BB25" i="1"/>
  <c r="BB27" i="1" s="1"/>
  <c r="BU32" i="7"/>
  <c r="BQ98" i="7"/>
  <c r="BU98" i="7" s="1"/>
  <c r="BQ34" i="7"/>
  <c r="BW308" i="7"/>
  <c r="AX104" i="15"/>
  <c r="BR100" i="7"/>
  <c r="BE39" i="1"/>
  <c r="AZ40" i="1"/>
  <c r="BE40" i="1" s="1"/>
  <c r="BJ40" i="1" s="1"/>
  <c r="BW314" i="7"/>
  <c r="BR72" i="15"/>
  <c r="BA73" i="15"/>
  <c r="BR73" i="15" s="1"/>
  <c r="BU1073" i="7"/>
  <c r="BU1075" i="7" s="1"/>
  <c r="BU1067" i="7"/>
  <c r="BY989" i="7"/>
  <c r="BZ989" i="7" s="1"/>
  <c r="BV90" i="7"/>
  <c r="BV25" i="7"/>
  <c r="BW246" i="7"/>
  <c r="BW299" i="7"/>
  <c r="AY30" i="1"/>
  <c r="AY31" i="1" s="1"/>
  <c r="AY36" i="1" s="1"/>
  <c r="AY34" i="1" s="1"/>
  <c r="AY39" i="1" s="1"/>
  <c r="AT126" i="15"/>
  <c r="BX137" i="7"/>
  <c r="BX140" i="7" s="1"/>
  <c r="BW248" i="7" l="1"/>
  <c r="BW222" i="7" s="1"/>
  <c r="BW224" i="7" s="1"/>
  <c r="BW933" i="7"/>
  <c r="BW939" i="7" s="1"/>
  <c r="BW940" i="7" s="1"/>
  <c r="BV945" i="7"/>
  <c r="BU946" i="7"/>
  <c r="BU943" i="7"/>
  <c r="BV942" i="7"/>
  <c r="BZ999" i="7"/>
  <c r="BY980" i="7"/>
  <c r="BY293" i="7" s="1"/>
  <c r="BY295" i="7" s="1"/>
  <c r="BY246" i="7" s="1"/>
  <c r="BY1021" i="7"/>
  <c r="BZ1021" i="7" s="1"/>
  <c r="BY324" i="7"/>
  <c r="BZ1031" i="7"/>
  <c r="BC72" i="15"/>
  <c r="BC73" i="15" s="1"/>
  <c r="BD39" i="1"/>
  <c r="AY40" i="1"/>
  <c r="BD40" i="1" s="1"/>
  <c r="BI40" i="1" s="1"/>
  <c r="BX246" i="7"/>
  <c r="BX299" i="7"/>
  <c r="BY299" i="7"/>
  <c r="BZ300" i="7"/>
  <c r="BX74" i="7"/>
  <c r="BX77" i="7" s="1"/>
  <c r="BI14" i="1" s="1"/>
  <c r="BI19" i="1" s="1"/>
  <c r="BX13" i="7"/>
  <c r="BV1073" i="7"/>
  <c r="BV1075" i="7" s="1"/>
  <c r="BV1067" i="7"/>
  <c r="BV1030" i="7"/>
  <c r="BV1023" i="7"/>
  <c r="BW1028" i="7"/>
  <c r="AX106" i="15"/>
  <c r="AX119" i="15"/>
  <c r="AX120" i="15" s="1"/>
  <c r="BJ39" i="1"/>
  <c r="BV260" i="7"/>
  <c r="BV230" i="7"/>
  <c r="BT66" i="7"/>
  <c r="BU1020" i="7"/>
  <c r="BW252" i="7"/>
  <c r="BW254" i="7" s="1"/>
  <c r="BW297" i="7"/>
  <c r="BZ1018" i="7"/>
  <c r="BV1018" i="7"/>
  <c r="BZ980" i="7"/>
  <c r="BZ293" i="7" s="1"/>
  <c r="BZ295" i="7" s="1"/>
  <c r="BZ246" i="7" s="1"/>
  <c r="BZ248" i="7" s="1"/>
  <c r="BZ222" i="7" s="1"/>
  <c r="BZ1071" i="7"/>
  <c r="BZ302" i="7" s="1"/>
  <c r="BZ995" i="7"/>
  <c r="BZ994" i="7"/>
  <c r="BY65" i="7"/>
  <c r="BY135" i="7"/>
  <c r="BZ127" i="7"/>
  <c r="BT215" i="7"/>
  <c r="BU213" i="7"/>
  <c r="AW39" i="1"/>
  <c r="BA34" i="1"/>
  <c r="BA39" i="1" s="1"/>
  <c r="BA40" i="1" s="1"/>
  <c r="BY1003" i="7"/>
  <c r="BY1005" i="7" s="1"/>
  <c r="BY340" i="7"/>
  <c r="BZ357" i="7"/>
  <c r="AW104" i="15"/>
  <c r="BQ100" i="7"/>
  <c r="BU100" i="7" s="1"/>
  <c r="AY104" i="15"/>
  <c r="BS100" i="7"/>
  <c r="BF25" i="1"/>
  <c r="BF27" i="1" s="1"/>
  <c r="BU34" i="7"/>
  <c r="BA104" i="15" s="1"/>
  <c r="BA106" i="15" s="1"/>
  <c r="BB72" i="15"/>
  <c r="BB73" i="15" s="1"/>
  <c r="BV93" i="7"/>
  <c r="BX248" i="7" l="1"/>
  <c r="BX222" i="7" s="1"/>
  <c r="BX933" i="7"/>
  <c r="BX939" i="7" s="1"/>
  <c r="BX940" i="7" s="1"/>
  <c r="BW945" i="7"/>
  <c r="BV946" i="7"/>
  <c r="BW942" i="7"/>
  <c r="BV943" i="7"/>
  <c r="BY248" i="7"/>
  <c r="BY222" i="7" s="1"/>
  <c r="BY224" i="7" s="1"/>
  <c r="BY933" i="7"/>
  <c r="BZ299" i="7"/>
  <c r="BZ297" i="7" s="1"/>
  <c r="BX297" i="7"/>
  <c r="BX252" i="7"/>
  <c r="BX254" i="7" s="1"/>
  <c r="BW1033" i="7"/>
  <c r="BW258" i="7"/>
  <c r="BW1066" i="7"/>
  <c r="BY342" i="7"/>
  <c r="BY320" i="7" s="1"/>
  <c r="BZ340" i="7"/>
  <c r="BZ342" i="7" s="1"/>
  <c r="BW209" i="7"/>
  <c r="BW1018" i="7"/>
  <c r="AW106" i="15"/>
  <c r="AW119" i="15"/>
  <c r="BV232" i="7"/>
  <c r="BV234" i="7" s="1"/>
  <c r="BV235" i="7" s="1"/>
  <c r="BV213" i="7"/>
  <c r="BV215" i="7" s="1"/>
  <c r="BV217" i="7" s="1"/>
  <c r="BV218" i="7" s="1"/>
  <c r="BU215" i="7"/>
  <c r="BU217" i="7" s="1"/>
  <c r="BU218" i="7" s="1"/>
  <c r="BT217" i="7"/>
  <c r="BT218" i="7" s="1"/>
  <c r="BI39" i="1"/>
  <c r="BA35" i="1"/>
  <c r="BV1020" i="7"/>
  <c r="BV1022" i="7" s="1"/>
  <c r="BY312" i="7"/>
  <c r="BZ324" i="7"/>
  <c r="AX126" i="15"/>
  <c r="BC30" i="1"/>
  <c r="BC31" i="1" s="1"/>
  <c r="BC36" i="1" s="1"/>
  <c r="AY119" i="15"/>
  <c r="AY120" i="15" s="1"/>
  <c r="AY106" i="15"/>
  <c r="BX15" i="7"/>
  <c r="BX88" i="7"/>
  <c r="BY297" i="7"/>
  <c r="BY252" i="7"/>
  <c r="BY254" i="7" s="1"/>
  <c r="BT32" i="7"/>
  <c r="BT128" i="7"/>
  <c r="BU128" i="7" s="1"/>
  <c r="BU66" i="7"/>
  <c r="BY72" i="7"/>
  <c r="BZ65" i="7"/>
  <c r="BD74" i="15"/>
  <c r="AW40" i="1"/>
  <c r="BB40" i="1" s="1"/>
  <c r="BG40" i="1" s="1"/>
  <c r="BB39" i="1"/>
  <c r="BX224" i="7"/>
  <c r="BY137" i="7"/>
  <c r="BY140" i="7" s="1"/>
  <c r="BZ135" i="7"/>
  <c r="BZ137" i="7" s="1"/>
  <c r="BZ140" i="7" s="1"/>
  <c r="BZ224" i="7"/>
  <c r="BX945" i="7" l="1"/>
  <c r="BW946" i="7"/>
  <c r="BZ933" i="7"/>
  <c r="BY939" i="7"/>
  <c r="BY940" i="7" s="1"/>
  <c r="BX942" i="7"/>
  <c r="BW943" i="7"/>
  <c r="BZ252" i="7"/>
  <c r="BZ254" i="7" s="1"/>
  <c r="BA119" i="15"/>
  <c r="AW120" i="15"/>
  <c r="BG39" i="1"/>
  <c r="BY308" i="7"/>
  <c r="BZ308" i="7" s="1"/>
  <c r="BZ320" i="7"/>
  <c r="BY1066" i="7"/>
  <c r="BY1033" i="7"/>
  <c r="BY258" i="7"/>
  <c r="BD30" i="1"/>
  <c r="BD31" i="1" s="1"/>
  <c r="BD36" i="1" s="1"/>
  <c r="AY126" i="15"/>
  <c r="BX25" i="7"/>
  <c r="BX90" i="7"/>
  <c r="BX209" i="7"/>
  <c r="BY314" i="7"/>
  <c r="BZ312" i="7"/>
  <c r="BZ314" i="7" s="1"/>
  <c r="BV66" i="7"/>
  <c r="BW1023" i="7"/>
  <c r="BX1028" i="7"/>
  <c r="BW1030" i="7"/>
  <c r="BT98" i="7"/>
  <c r="BE25" i="1"/>
  <c r="BE27" i="1" s="1"/>
  <c r="BT34" i="7"/>
  <c r="BC34" i="1"/>
  <c r="BC35" i="1" s="1"/>
  <c r="BW1073" i="7"/>
  <c r="BW1075" i="7" s="1"/>
  <c r="BW1067" i="7"/>
  <c r="BW230" i="7"/>
  <c r="BW260" i="7"/>
  <c r="BY209" i="7"/>
  <c r="BX258" i="7"/>
  <c r="BX1033" i="7"/>
  <c r="BX1066" i="7"/>
  <c r="BY74" i="7"/>
  <c r="BY77" i="7" s="1"/>
  <c r="BJ14" i="1" s="1"/>
  <c r="BJ19" i="1" s="1"/>
  <c r="BY13" i="7"/>
  <c r="BZ72" i="7"/>
  <c r="BZ74" i="7" s="1"/>
  <c r="BZ77" i="7" s="1"/>
  <c r="BK14" i="1" s="1"/>
  <c r="BK19" i="1" s="1"/>
  <c r="BZ258" i="7"/>
  <c r="BZ1066" i="7"/>
  <c r="BX943" i="7" l="1"/>
  <c r="BY942" i="7"/>
  <c r="BY945" i="7"/>
  <c r="BX946" i="7"/>
  <c r="BX93" i="7"/>
  <c r="BZ260" i="7"/>
  <c r="BZ230" i="7"/>
  <c r="BZ232" i="7" s="1"/>
  <c r="BZ234" i="7" s="1"/>
  <c r="BZ235" i="7" s="1"/>
  <c r="BY260" i="7"/>
  <c r="BY230" i="7"/>
  <c r="BW232" i="7"/>
  <c r="BW234" i="7" s="1"/>
  <c r="BW235" i="7" s="1"/>
  <c r="BW213" i="7"/>
  <c r="BW215" i="7" s="1"/>
  <c r="BW217" i="7" s="1"/>
  <c r="BW218" i="7" s="1"/>
  <c r="BD72" i="15"/>
  <c r="BD73" i="15" s="1"/>
  <c r="BF74" i="15"/>
  <c r="BX19" i="1"/>
  <c r="BY15" i="7"/>
  <c r="BY88" i="7"/>
  <c r="BZ88" i="7" s="1"/>
  <c r="BZ13" i="7"/>
  <c r="BX1018" i="7"/>
  <c r="BV128" i="7"/>
  <c r="BV32" i="7"/>
  <c r="BZ1073" i="7"/>
  <c r="BZ1075" i="7" s="1"/>
  <c r="BZ1067" i="7"/>
  <c r="BY1023" i="7"/>
  <c r="BZ1033" i="7"/>
  <c r="BX1067" i="7"/>
  <c r="BX1073" i="7"/>
  <c r="BX1075" i="7" s="1"/>
  <c r="BT100" i="7"/>
  <c r="AZ104" i="15"/>
  <c r="BE74" i="15"/>
  <c r="BX230" i="7"/>
  <c r="BX260" i="7"/>
  <c r="BB30" i="1"/>
  <c r="AW126" i="15"/>
  <c r="BD34" i="1"/>
  <c r="BD35" i="1" s="1"/>
  <c r="BW1020" i="7"/>
  <c r="BW1022" i="7" s="1"/>
  <c r="BY1073" i="7"/>
  <c r="BY1075" i="7" s="1"/>
  <c r="BY1067" i="7"/>
  <c r="BX1023" i="7"/>
  <c r="BX1030" i="7"/>
  <c r="BX1020" i="7" s="1"/>
  <c r="BX66" i="7" s="1"/>
  <c r="BY1028" i="7"/>
  <c r="BY1030" i="7" s="1"/>
  <c r="BY1020" i="7" s="1"/>
  <c r="BY66" i="7" s="1"/>
  <c r="BZ209" i="7"/>
  <c r="BA125" i="15"/>
  <c r="BA120" i="15"/>
  <c r="BA126" i="15" s="1"/>
  <c r="BZ945" i="7" l="1"/>
  <c r="BZ946" i="7" s="1"/>
  <c r="BY946" i="7"/>
  <c r="BZ942" i="7"/>
  <c r="BZ943" i="7" s="1"/>
  <c r="BY943" i="7"/>
  <c r="BY128" i="7"/>
  <c r="BY32" i="7"/>
  <c r="BF30" i="1"/>
  <c r="BF31" i="1" s="1"/>
  <c r="BF36" i="1" s="1"/>
  <c r="BB31" i="1"/>
  <c r="BB36" i="1" s="1"/>
  <c r="BY25" i="7"/>
  <c r="BY90" i="7"/>
  <c r="BZ15" i="7"/>
  <c r="BZ25" i="7" s="1"/>
  <c r="AZ119" i="15"/>
  <c r="AZ120" i="15" s="1"/>
  <c r="AZ106" i="15"/>
  <c r="BY232" i="7"/>
  <c r="BY234" i="7" s="1"/>
  <c r="BY235" i="7" s="1"/>
  <c r="BY213" i="7"/>
  <c r="BS74" i="15"/>
  <c r="BZ1023" i="7"/>
  <c r="BZ1032" i="7"/>
  <c r="BX232" i="7"/>
  <c r="BX234" i="7" s="1"/>
  <c r="BX235" i="7" s="1"/>
  <c r="BX213" i="7"/>
  <c r="BX215" i="7" s="1"/>
  <c r="BX217" i="7" s="1"/>
  <c r="BX218" i="7" s="1"/>
  <c r="BX1022" i="7"/>
  <c r="BY1018" i="7"/>
  <c r="BY1022" i="7" s="1"/>
  <c r="BZ1022" i="7" s="1"/>
  <c r="BV98" i="7"/>
  <c r="BZ98" i="7" s="1"/>
  <c r="BG25" i="1"/>
  <c r="BG27" i="1" s="1"/>
  <c r="BZ32" i="7"/>
  <c r="BK25" i="1" s="1"/>
  <c r="BK27" i="1" s="1"/>
  <c r="BV34" i="7"/>
  <c r="BX128" i="7"/>
  <c r="BX32" i="7"/>
  <c r="BZ1030" i="7"/>
  <c r="BW66" i="7"/>
  <c r="BZ1020" i="7"/>
  <c r="BI25" i="1" l="1"/>
  <c r="BI27" i="1" s="1"/>
  <c r="BX98" i="7"/>
  <c r="BX34" i="7"/>
  <c r="BY93" i="7"/>
  <c r="BZ90" i="7"/>
  <c r="BZ93" i="7" s="1"/>
  <c r="BZ213" i="7"/>
  <c r="BY215" i="7"/>
  <c r="BE30" i="1"/>
  <c r="BE31" i="1" s="1"/>
  <c r="BE36" i="1" s="1"/>
  <c r="AZ126" i="15"/>
  <c r="BE72" i="15"/>
  <c r="BE73" i="15" s="1"/>
  <c r="BY34" i="7"/>
  <c r="BW128" i="7"/>
  <c r="BZ128" i="7" s="1"/>
  <c r="BW32" i="7"/>
  <c r="BZ66" i="7"/>
  <c r="BF72" i="15"/>
  <c r="BZ34" i="7"/>
  <c r="BF104" i="15" s="1"/>
  <c r="BF106" i="15" s="1"/>
  <c r="BB34" i="1"/>
  <c r="BF34" i="1" s="1"/>
  <c r="BF39" i="1" s="1"/>
  <c r="BF40" i="1" s="1"/>
  <c r="BJ25" i="1"/>
  <c r="BJ27" i="1" s="1"/>
  <c r="BY98" i="7"/>
  <c r="BB104" i="15"/>
  <c r="BV100" i="7"/>
  <c r="BZ100" i="7" s="1"/>
  <c r="BE104" i="15" l="1"/>
  <c r="BY100" i="7"/>
  <c r="BW98" i="7"/>
  <c r="BH25" i="1"/>
  <c r="BH27" i="1" s="1"/>
  <c r="BW34" i="7"/>
  <c r="BB35" i="1"/>
  <c r="BF35" i="1" s="1"/>
  <c r="BE34" i="1"/>
  <c r="BE35" i="1" s="1"/>
  <c r="BX100" i="7"/>
  <c r="BD104" i="15"/>
  <c r="BB106" i="15"/>
  <c r="BB119" i="15"/>
  <c r="BS72" i="15"/>
  <c r="BF73" i="15"/>
  <c r="BS73" i="15" s="1"/>
  <c r="BZ215" i="7"/>
  <c r="BZ217" i="7" s="1"/>
  <c r="BZ218" i="7" s="1"/>
  <c r="BY217" i="7"/>
  <c r="BY218" i="7" s="1"/>
  <c r="BF119" i="15" l="1"/>
  <c r="BB120" i="15"/>
  <c r="BD106" i="15"/>
  <c r="BD119" i="15"/>
  <c r="BD120" i="15" s="1"/>
  <c r="BW100" i="7"/>
  <c r="BC104" i="15"/>
  <c r="BE119" i="15"/>
  <c r="BE120" i="15" s="1"/>
  <c r="BE106" i="15"/>
  <c r="BJ30" i="1" l="1"/>
  <c r="BJ31" i="1" s="1"/>
  <c r="BJ36" i="1" s="1"/>
  <c r="BE126" i="15"/>
  <c r="BC119" i="15"/>
  <c r="BC120" i="15" s="1"/>
  <c r="BC106" i="15"/>
  <c r="BB126" i="15"/>
  <c r="BG30" i="1"/>
  <c r="BD126" i="15"/>
  <c r="BI30" i="1"/>
  <c r="BI31" i="1" s="1"/>
  <c r="BI36" i="1" s="1"/>
  <c r="BF125" i="15"/>
  <c r="BF120" i="15"/>
  <c r="BF126" i="15" s="1"/>
  <c r="BK30" i="1" l="1"/>
  <c r="BK31" i="1" s="1"/>
  <c r="BK36" i="1" s="1"/>
  <c r="BG31" i="1"/>
  <c r="BG36" i="1" s="1"/>
  <c r="BI34" i="1"/>
  <c r="BI35" i="1" s="1"/>
  <c r="BH30" i="1"/>
  <c r="BH31" i="1" s="1"/>
  <c r="BH36" i="1" s="1"/>
  <c r="BC126" i="15"/>
  <c r="BJ34" i="1"/>
  <c r="BJ35" i="1" s="1"/>
  <c r="BH34" i="1" l="1"/>
  <c r="BH35" i="1" s="1"/>
  <c r="BG34" i="1"/>
  <c r="BK34" i="1" s="1"/>
  <c r="BK39" i="1" s="1"/>
  <c r="BK40" i="1" s="1"/>
  <c r="BG35" i="1" l="1"/>
  <c r="BK35" i="1" s="1"/>
  <c r="AY23" i="43"/>
  <c r="AY22" i="43" s="1"/>
  <c r="AZ22" i="43" s="1"/>
  <c r="AZ328" i="11"/>
  <c r="BA22" i="43" l="1"/>
  <c r="AZ23" i="43"/>
  <c r="AZ330" i="11"/>
  <c r="BA328" i="11"/>
  <c r="BA23" i="43" l="1"/>
  <c r="BB22" i="43"/>
  <c r="BO160" i="20"/>
  <c r="AZ25" i="43"/>
  <c r="AZ26" i="43" s="1"/>
  <c r="AZ321" i="11"/>
  <c r="AZ304" i="11"/>
  <c r="AZ317" i="11" s="1"/>
  <c r="BA317" i="11" s="1"/>
  <c r="AZ13" i="44"/>
  <c r="AZ36" i="44" s="1"/>
  <c r="AZ348" i="11" s="1"/>
  <c r="AZ351" i="11" s="1"/>
  <c r="AZ352" i="11" s="1"/>
  <c r="AZ55" i="44"/>
  <c r="AZ83" i="44" s="1"/>
  <c r="BA330" i="11"/>
  <c r="BC22" i="43" l="1"/>
  <c r="BB23" i="43"/>
  <c r="BO205" i="20"/>
  <c r="BO65" i="20"/>
  <c r="BP160" i="20"/>
  <c r="BO161" i="20"/>
  <c r="AZ302" i="11"/>
  <c r="BA302" i="11" s="1"/>
  <c r="BA13" i="44"/>
  <c r="K7" i="47"/>
  <c r="K31" i="47" s="1"/>
  <c r="BA55" i="44"/>
  <c r="K32" i="47" l="1"/>
  <c r="L32" i="47" s="1"/>
  <c r="K34" i="47"/>
  <c r="AZ357" i="11"/>
  <c r="X602" i="42"/>
  <c r="BB25" i="43"/>
  <c r="BQ160" i="20"/>
  <c r="BD22" i="43"/>
  <c r="BC23" i="43"/>
  <c r="BP65" i="20"/>
  <c r="BO21" i="20"/>
  <c r="BO66" i="20"/>
  <c r="BO342" i="20"/>
  <c r="AZ32" i="43"/>
  <c r="E17" i="39"/>
  <c r="BP161" i="20"/>
  <c r="BO250" i="20"/>
  <c r="BP205" i="20"/>
  <c r="BO206" i="20"/>
  <c r="BA36" i="44"/>
  <c r="L7" i="47"/>
  <c r="L31" i="47" s="1"/>
  <c r="AZ10" i="44"/>
  <c r="AZ37" i="44"/>
  <c r="AZ9" i="44"/>
  <c r="AZ84" i="44"/>
  <c r="BA84" i="44" s="1"/>
  <c r="Q6" i="47" l="1"/>
  <c r="L34" i="47"/>
  <c r="X605" i="42"/>
  <c r="X604" i="42"/>
  <c r="AZ356" i="11"/>
  <c r="X653" i="42" s="1"/>
  <c r="AZ353" i="11"/>
  <c r="BQ161" i="20"/>
  <c r="Z602" i="42" s="1"/>
  <c r="BQ65" i="20"/>
  <c r="BC25" i="43"/>
  <c r="BC26" i="43" s="1"/>
  <c r="BR160" i="20"/>
  <c r="BF54" i="44"/>
  <c r="BB54" i="44"/>
  <c r="M6" i="47" s="1"/>
  <c r="BA9" i="44"/>
  <c r="BB50" i="44" s="1"/>
  <c r="BE22" i="43"/>
  <c r="BD23" i="43"/>
  <c r="BO207" i="20"/>
  <c r="BP207" i="20" s="1"/>
  <c r="BP206" i="20"/>
  <c r="H18" i="39" s="1"/>
  <c r="C189" i="20"/>
  <c r="H17" i="39"/>
  <c r="F17" i="39" s="1"/>
  <c r="E18" i="39"/>
  <c r="BA32" i="43"/>
  <c r="BP342" i="20"/>
  <c r="BO346" i="20"/>
  <c r="BP21" i="20"/>
  <c r="BP22" i="20" s="1"/>
  <c r="BO22" i="20"/>
  <c r="BO326" i="20" s="1"/>
  <c r="BP250" i="20"/>
  <c r="BO281" i="20"/>
  <c r="BO282" i="20" s="1"/>
  <c r="BO251" i="20"/>
  <c r="BO335" i="20"/>
  <c r="BO301" i="20"/>
  <c r="BO83" i="20"/>
  <c r="BO87" i="20" s="1"/>
  <c r="BA25" i="43"/>
  <c r="BB26" i="43" s="1"/>
  <c r="C17" i="39"/>
  <c r="E49" i="39" s="1"/>
  <c r="BP66" i="20"/>
  <c r="BF12" i="44"/>
  <c r="BB12" i="44"/>
  <c r="BA10" i="44"/>
  <c r="AZ301" i="11"/>
  <c r="AZ8" i="44"/>
  <c r="AZ7" i="44" s="1"/>
  <c r="BA37" i="44"/>
  <c r="BO71" i="20"/>
  <c r="BO91" i="20" s="1"/>
  <c r="BO77" i="20" l="1"/>
  <c r="BB32" i="43"/>
  <c r="BB357" i="11"/>
  <c r="BB356" i="11" s="1"/>
  <c r="Z653" i="42" s="1"/>
  <c r="L577" i="42"/>
  <c r="L587" i="42" s="1"/>
  <c r="L589" i="42" s="1"/>
  <c r="Z604" i="42"/>
  <c r="Z605" i="42"/>
  <c r="BR161" i="20"/>
  <c r="BR65" i="20"/>
  <c r="BQ21" i="20"/>
  <c r="BQ22" i="20" s="1"/>
  <c r="BQ66" i="20"/>
  <c r="BD25" i="43"/>
  <c r="BD26" i="43" s="1"/>
  <c r="BS160" i="20"/>
  <c r="BA8" i="44"/>
  <c r="BA7" i="44" s="1"/>
  <c r="BF22" i="43"/>
  <c r="BF23" i="43" s="1"/>
  <c r="BE23" i="43"/>
  <c r="BP301" i="20"/>
  <c r="BP83" i="20"/>
  <c r="C18" i="39"/>
  <c r="E50" i="39" s="1"/>
  <c r="BP251" i="20"/>
  <c r="I18" i="39" s="1"/>
  <c r="BO252" i="20"/>
  <c r="BP252" i="20" s="1"/>
  <c r="BO324" i="20"/>
  <c r="BO332" i="20" s="1"/>
  <c r="BO321" i="20"/>
  <c r="BO330" i="20" s="1"/>
  <c r="BO325" i="20"/>
  <c r="BO333" i="20" s="1"/>
  <c r="BO334" i="20"/>
  <c r="BO327" i="20"/>
  <c r="BO323" i="20"/>
  <c r="BO322" i="20"/>
  <c r="BQ342" i="20"/>
  <c r="BQ346" i="20" s="1"/>
  <c r="BP346" i="20"/>
  <c r="F18" i="39"/>
  <c r="I17" i="39"/>
  <c r="BP281" i="20"/>
  <c r="BP282" i="20" s="1"/>
  <c r="V7" i="39"/>
  <c r="BO73" i="20"/>
  <c r="BP71" i="20"/>
  <c r="BP91" i="20" s="1"/>
  <c r="BO257" i="20"/>
  <c r="BO31" i="20"/>
  <c r="BO84" i="20"/>
  <c r="X606" i="42"/>
  <c r="BA301" i="11"/>
  <c r="BA303" i="11" s="1"/>
  <c r="AZ303" i="11"/>
  <c r="BA321" i="11" s="1"/>
  <c r="BA323" i="11" s="1"/>
  <c r="BC32" i="43" l="1"/>
  <c r="AA602" i="42"/>
  <c r="BC357" i="11"/>
  <c r="BC356" i="11" s="1"/>
  <c r="AA653" i="42" s="1"/>
  <c r="BS161" i="20"/>
  <c r="AB602" i="42" s="1"/>
  <c r="BS65" i="20"/>
  <c r="BR21" i="20"/>
  <c r="BR22" i="20" s="1"/>
  <c r="BR66" i="20"/>
  <c r="BE25" i="43"/>
  <c r="BE26" i="43" s="1"/>
  <c r="BT160" i="20"/>
  <c r="BT65" i="20" s="1"/>
  <c r="BO331" i="20"/>
  <c r="BO336" i="20" s="1"/>
  <c r="BB49" i="44"/>
  <c r="BB34" i="44" s="1"/>
  <c r="BF34" i="44" s="1"/>
  <c r="BB321" i="11"/>
  <c r="BB304" i="11"/>
  <c r="BB317" i="11" s="1"/>
  <c r="BA324" i="11"/>
  <c r="BB324" i="11" s="1"/>
  <c r="BC324" i="11" s="1"/>
  <c r="BD324" i="11" s="1"/>
  <c r="BE324" i="11" s="1"/>
  <c r="BB323" i="11"/>
  <c r="BB86" i="44" s="1"/>
  <c r="BB80" i="44" s="1"/>
  <c r="BO85" i="20"/>
  <c r="BO88" i="20"/>
  <c r="BO89" i="20" s="1"/>
  <c r="BO284" i="20"/>
  <c r="BP257" i="20"/>
  <c r="BP284" i="20" s="1"/>
  <c r="BO259" i="20"/>
  <c r="BP73" i="20"/>
  <c r="F88" i="52"/>
  <c r="F89" i="52" s="1"/>
  <c r="F90" i="52" s="1"/>
  <c r="BP77" i="20"/>
  <c r="BP84" i="20"/>
  <c r="BP85" i="20" s="1"/>
  <c r="C20" i="39"/>
  <c r="BP31" i="20"/>
  <c r="BO33" i="20"/>
  <c r="BO37" i="20"/>
  <c r="AZ33" i="43"/>
  <c r="BO75" i="20"/>
  <c r="BO343" i="20"/>
  <c r="BD357" i="11" l="1"/>
  <c r="BD356" i="11" s="1"/>
  <c r="AB653" i="42" s="1"/>
  <c r="M28" i="47"/>
  <c r="AB604" i="42"/>
  <c r="AB605" i="42"/>
  <c r="BD32" i="43"/>
  <c r="AA604" i="42"/>
  <c r="AA605" i="42"/>
  <c r="E34" i="3"/>
  <c r="J34" i="3"/>
  <c r="BT21" i="20"/>
  <c r="BU65" i="20"/>
  <c r="BT66" i="20"/>
  <c r="BS21" i="20"/>
  <c r="BS22" i="20" s="1"/>
  <c r="BS66" i="20"/>
  <c r="BU160" i="20"/>
  <c r="BU161" i="20" s="1"/>
  <c r="BF32" i="43" s="1"/>
  <c r="BT161" i="20"/>
  <c r="BC323" i="11"/>
  <c r="BC86" i="44" s="1"/>
  <c r="BB326" i="11"/>
  <c r="BB328" i="11" s="1"/>
  <c r="N7" i="39"/>
  <c r="V10" i="39" s="1"/>
  <c r="C21" i="39"/>
  <c r="I20" i="39"/>
  <c r="I21" i="39" s="1"/>
  <c r="BP343" i="20"/>
  <c r="BO347" i="20"/>
  <c r="BO303" i="20"/>
  <c r="BO304" i="20" s="1"/>
  <c r="BO307" i="20" s="1"/>
  <c r="BO308" i="20" s="1"/>
  <c r="BO312" i="20" s="1"/>
  <c r="BO315" i="20" s="1"/>
  <c r="BO316" i="20" s="1"/>
  <c r="BO285" i="20"/>
  <c r="BO288" i="20" s="1"/>
  <c r="BO289" i="20" s="1"/>
  <c r="BO293" i="20" s="1"/>
  <c r="BO296" i="20" s="1"/>
  <c r="BO35" i="20"/>
  <c r="BO46" i="20"/>
  <c r="F4" i="18"/>
  <c r="BO41" i="20"/>
  <c r="F91" i="52"/>
  <c r="F92" i="52"/>
  <c r="F93" i="52" s="1"/>
  <c r="BP37" i="20"/>
  <c r="BP33" i="20"/>
  <c r="BP75" i="20"/>
  <c r="BA33" i="43"/>
  <c r="BP259" i="20"/>
  <c r="BO265" i="20"/>
  <c r="BO260" i="20"/>
  <c r="BP285" i="20"/>
  <c r="BP288" i="20" s="1"/>
  <c r="BP289" i="20" s="1"/>
  <c r="BP293" i="20" s="1"/>
  <c r="BP296" i="20" s="1"/>
  <c r="BP303" i="20"/>
  <c r="BP304" i="20" s="1"/>
  <c r="BP307" i="20" s="1"/>
  <c r="BP308" i="20" s="1"/>
  <c r="BP312" i="20" s="1"/>
  <c r="BP315" i="20" s="1"/>
  <c r="BP316" i="20" s="1"/>
  <c r="BF25" i="43" l="1"/>
  <c r="BU66" i="20"/>
  <c r="BU21" i="20"/>
  <c r="BU22" i="20" s="1"/>
  <c r="BT22" i="20"/>
  <c r="BE32" i="43"/>
  <c r="BE357" i="11"/>
  <c r="BE356" i="11" s="1"/>
  <c r="BB330" i="11"/>
  <c r="BB55" i="44" s="1"/>
  <c r="BD323" i="11"/>
  <c r="BD86" i="44" s="1"/>
  <c r="BC326" i="11"/>
  <c r="BC328" i="11" s="1"/>
  <c r="BC330" i="11" s="1"/>
  <c r="BP46" i="20"/>
  <c r="BP47" i="20" s="1"/>
  <c r="BP35" i="20"/>
  <c r="BP41" i="20"/>
  <c r="BP42" i="20" s="1"/>
  <c r="BP347" i="20"/>
  <c r="BQ343" i="20"/>
  <c r="BQ347" i="20" s="1"/>
  <c r="BO295" i="20"/>
  <c r="BO297" i="20"/>
  <c r="F21" i="39"/>
  <c r="I23" i="39"/>
  <c r="I25" i="39" s="1"/>
  <c r="I26" i="39" s="1"/>
  <c r="BO42" i="20"/>
  <c r="D34" i="3" s="1"/>
  <c r="AZ169" i="44"/>
  <c r="C34" i="3"/>
  <c r="H34" i="3"/>
  <c r="BO47" i="20"/>
  <c r="I34" i="3" s="1"/>
  <c r="BO266" i="20"/>
  <c r="BP266" i="20" s="1"/>
  <c r="BP260" i="20"/>
  <c r="BO269" i="20"/>
  <c r="BP265" i="20"/>
  <c r="BP269" i="20" s="1"/>
  <c r="C23" i="39"/>
  <c r="N6" i="39"/>
  <c r="N9" i="39" s="1"/>
  <c r="V6" i="39" s="1"/>
  <c r="V8" i="39" s="1"/>
  <c r="V11" i="39" s="1"/>
  <c r="D14" i="3"/>
  <c r="D15" i="3" s="1"/>
  <c r="H4" i="18"/>
  <c r="I41" i="17" s="1"/>
  <c r="G4" i="18"/>
  <c r="R4" i="18"/>
  <c r="T4" i="18" s="1"/>
  <c r="J41" i="17" s="1"/>
  <c r="BP297" i="20"/>
  <c r="BP295" i="20"/>
  <c r="M7" i="47" l="1"/>
  <c r="M31" i="47" s="1"/>
  <c r="BB83" i="44"/>
  <c r="BC54" i="44" s="1"/>
  <c r="N6" i="47" s="1"/>
  <c r="BC13" i="44"/>
  <c r="BC55" i="44"/>
  <c r="N7" i="47" s="1"/>
  <c r="BE323" i="11"/>
  <c r="BD326" i="11"/>
  <c r="BD328" i="11" s="1"/>
  <c r="BD330" i="11" s="1"/>
  <c r="BB13" i="44"/>
  <c r="BB302" i="11"/>
  <c r="I4" i="18"/>
  <c r="S4" i="18"/>
  <c r="U4" i="18" s="1"/>
  <c r="G74" i="62"/>
  <c r="G67" i="62"/>
  <c r="G68" i="62" s="1"/>
  <c r="G69" i="62" s="1"/>
  <c r="D77" i="62"/>
  <c r="M32" i="47" l="1"/>
  <c r="BB84" i="44"/>
  <c r="BE326" i="11"/>
  <c r="BE328" i="11" s="1"/>
  <c r="BE330" i="11" s="1"/>
  <c r="BE13" i="44" s="1"/>
  <c r="BE86" i="44"/>
  <c r="BC80" i="44"/>
  <c r="BD13" i="44"/>
  <c r="BD55" i="44"/>
  <c r="O7" i="47" s="1"/>
  <c r="BB303" i="11"/>
  <c r="BC304" i="11" s="1"/>
  <c r="BC317" i="11" s="1"/>
  <c r="BC302" i="11" s="1"/>
  <c r="BB36" i="44"/>
  <c r="BB348" i="11" s="1"/>
  <c r="BB351" i="11" s="1"/>
  <c r="D82" i="62"/>
  <c r="D91" i="62"/>
  <c r="BF328" i="11" l="1"/>
  <c r="BF330" i="11"/>
  <c r="M34" i="47"/>
  <c r="BC83" i="44"/>
  <c r="BD54" i="44" s="1"/>
  <c r="O6" i="47" s="1"/>
  <c r="N28" i="47"/>
  <c r="N31" i="47" s="1"/>
  <c r="BB352" i="11"/>
  <c r="BB353" i="11"/>
  <c r="BE55" i="44"/>
  <c r="BF13" i="44"/>
  <c r="BF36" i="44" s="1"/>
  <c r="BC12" i="44"/>
  <c r="BC36" i="44" s="1"/>
  <c r="BC348" i="11" s="1"/>
  <c r="BC351" i="11" s="1"/>
  <c r="BB37" i="44"/>
  <c r="BC321" i="11"/>
  <c r="BC303" i="11"/>
  <c r="BD304" i="11" s="1"/>
  <c r="BD317" i="11" s="1"/>
  <c r="BD302" i="11" s="1"/>
  <c r="BC84" i="44" l="1"/>
  <c r="BF55" i="44"/>
  <c r="P7" i="47"/>
  <c r="Q7" i="47" s="1"/>
  <c r="BC352" i="11"/>
  <c r="BC353" i="11"/>
  <c r="BQ71" i="20"/>
  <c r="BD80" i="44"/>
  <c r="BD12" i="44"/>
  <c r="BD36" i="44" s="1"/>
  <c r="BD348" i="11" s="1"/>
  <c r="BD351" i="11" s="1"/>
  <c r="BC37" i="44"/>
  <c r="BD303" i="11"/>
  <c r="BE304" i="11" s="1"/>
  <c r="BE317" i="11" s="1"/>
  <c r="BF317" i="11" s="1"/>
  <c r="BD321" i="11"/>
  <c r="BQ77" i="20" l="1"/>
  <c r="Z606" i="42" s="1"/>
  <c r="BQ91" i="20"/>
  <c r="BQ73" i="20"/>
  <c r="BB33" i="43" s="1"/>
  <c r="N32" i="47"/>
  <c r="N34" i="47"/>
  <c r="BD83" i="44"/>
  <c r="BD84" i="44" s="1"/>
  <c r="O28" i="47"/>
  <c r="O31" i="47" s="1"/>
  <c r="BD352" i="11"/>
  <c r="BD353" i="11"/>
  <c r="BR71" i="20"/>
  <c r="BQ31" i="20"/>
  <c r="BE302" i="11"/>
  <c r="BE303" i="11" s="1"/>
  <c r="BF321" i="11" s="1"/>
  <c r="BE321" i="11"/>
  <c r="BE12" i="44"/>
  <c r="BE36" i="44" s="1"/>
  <c r="BD37" i="44"/>
  <c r="BR31" i="20" l="1"/>
  <c r="BR33" i="20" s="1"/>
  <c r="BR46" i="20" s="1"/>
  <c r="BR91" i="20"/>
  <c r="BQ75" i="20"/>
  <c r="BE54" i="44"/>
  <c r="P6" i="47" s="1"/>
  <c r="BR73" i="20"/>
  <c r="BR77" i="20"/>
  <c r="AA606" i="42" s="1"/>
  <c r="BR37" i="20"/>
  <c r="J36" i="3" s="1"/>
  <c r="BQ37" i="20"/>
  <c r="J35" i="3" s="1"/>
  <c r="BQ33" i="20"/>
  <c r="BS71" i="20"/>
  <c r="BE37" i="44"/>
  <c r="BE348" i="11"/>
  <c r="BE351" i="11" s="1"/>
  <c r="BC33" i="43"/>
  <c r="BR75" i="20"/>
  <c r="BS31" i="20" l="1"/>
  <c r="BS91" i="20"/>
  <c r="BE80" i="44"/>
  <c r="P28" i="47" s="1"/>
  <c r="P31" i="47" s="1"/>
  <c r="P32" i="47" s="1"/>
  <c r="BR35" i="20"/>
  <c r="BR41" i="20"/>
  <c r="BR42" i="20" s="1"/>
  <c r="BT71" i="20"/>
  <c r="BS77" i="20"/>
  <c r="AB606" i="42" s="1"/>
  <c r="BS73" i="20"/>
  <c r="BD33" i="43" s="1"/>
  <c r="O34" i="47"/>
  <c r="O32" i="47"/>
  <c r="BE352" i="11"/>
  <c r="BE353" i="11"/>
  <c r="BS33" i="20"/>
  <c r="BS35" i="20" s="1"/>
  <c r="BS37" i="20"/>
  <c r="J37" i="3" s="1"/>
  <c r="BQ46" i="20"/>
  <c r="BQ41" i="20"/>
  <c r="BQ42" i="20" s="1"/>
  <c r="BQ35" i="20"/>
  <c r="BR47" i="20"/>
  <c r="I36" i="3" s="1"/>
  <c r="H36" i="3"/>
  <c r="BF37" i="44"/>
  <c r="BE83" i="44" l="1"/>
  <c r="BE84" i="44" s="1"/>
  <c r="BF84" i="44" s="1"/>
  <c r="Q28" i="47"/>
  <c r="Q31" i="47" s="1"/>
  <c r="W21" i="47" s="1"/>
  <c r="X21" i="47" s="1"/>
  <c r="X20" i="47" s="1"/>
  <c r="BT31" i="20"/>
  <c r="BT37" i="20" s="1"/>
  <c r="J38" i="3" s="1"/>
  <c r="BT91" i="20"/>
  <c r="BF80" i="44"/>
  <c r="BF83" i="44" s="1"/>
  <c r="Q34" i="47" s="1"/>
  <c r="Q32" i="47"/>
  <c r="BT73" i="20"/>
  <c r="BT75" i="20" s="1"/>
  <c r="BT77" i="20"/>
  <c r="BU71" i="20"/>
  <c r="BS41" i="20"/>
  <c r="BS42" i="20" s="1"/>
  <c r="BT33" i="20"/>
  <c r="BT35" i="20" s="1"/>
  <c r="P34" i="47"/>
  <c r="BU31" i="20"/>
  <c r="BU37" i="20" s="1"/>
  <c r="BS75" i="20"/>
  <c r="BS46" i="20"/>
  <c r="BS47" i="20" s="1"/>
  <c r="I37" i="3" s="1"/>
  <c r="BQ47" i="20"/>
  <c r="I35" i="3" s="1"/>
  <c r="H35" i="3"/>
  <c r="W20" i="47" l="1"/>
  <c r="H15" i="52"/>
  <c r="F16" i="53"/>
  <c r="BT41" i="20"/>
  <c r="BT42" i="20" s="1"/>
  <c r="BU33" i="20"/>
  <c r="BU77" i="20"/>
  <c r="BU91" i="20"/>
  <c r="BE33" i="43"/>
  <c r="BT46" i="20"/>
  <c r="BT47" i="20" s="1"/>
  <c r="I38" i="3" s="1"/>
  <c r="H37" i="3"/>
  <c r="BU73" i="20"/>
  <c r="F45" i="53" s="1"/>
  <c r="BU46" i="20"/>
  <c r="BU47" i="20" s="1"/>
  <c r="BU41" i="20"/>
  <c r="BU42" i="20" s="1"/>
  <c r="BU35" i="20"/>
  <c r="BF33" i="43" l="1"/>
  <c r="J16" i="53"/>
  <c r="G16" i="53"/>
  <c r="F17" i="53"/>
  <c r="H16" i="52"/>
  <c r="G15" i="52"/>
  <c r="G16" i="52" s="1"/>
  <c r="G17" i="52" s="1"/>
  <c r="BU75" i="20"/>
  <c r="H38" i="3"/>
  <c r="G45" i="53"/>
  <c r="F46" i="53"/>
  <c r="AY173" i="13"/>
  <c r="AZ173" i="13" s="1"/>
  <c r="BA173" i="13" s="1"/>
  <c r="BB173" i="13" s="1"/>
  <c r="BA170" i="13"/>
  <c r="BB170" i="13" s="1"/>
  <c r="BA171" i="13"/>
  <c r="L16" i="53" l="1"/>
  <c r="J17" i="53"/>
  <c r="G17" i="53"/>
  <c r="F37" i="53"/>
  <c r="I16" i="52"/>
  <c r="H17" i="52"/>
  <c r="I17" i="52" s="1"/>
  <c r="F53" i="52"/>
  <c r="BC170" i="13"/>
  <c r="BB171" i="13"/>
  <c r="BC173" i="13"/>
  <c r="BB174" i="13"/>
  <c r="BB177" i="13" s="1"/>
  <c r="AZ174" i="13"/>
  <c r="G37" i="53" l="1"/>
  <c r="F43" i="53"/>
  <c r="J37" i="53"/>
  <c r="L37" i="53" s="1"/>
  <c r="L17" i="53"/>
  <c r="BD170" i="13"/>
  <c r="BC171" i="13"/>
  <c r="BB10" i="13"/>
  <c r="BB12" i="13" s="1"/>
  <c r="BB178" i="13"/>
  <c r="BD173" i="13"/>
  <c r="BC174" i="13"/>
  <c r="BC177" i="13" s="1"/>
  <c r="AZ177" i="13"/>
  <c r="AZ10" i="13" s="1"/>
  <c r="BA174" i="13"/>
  <c r="J43" i="53" l="1"/>
  <c r="J44" i="53" s="1"/>
  <c r="L44" i="53" s="1"/>
  <c r="G43" i="53"/>
  <c r="F44" i="53"/>
  <c r="G44" i="53" s="1"/>
  <c r="BE170" i="13"/>
  <c r="BD171" i="13"/>
  <c r="BA10" i="13"/>
  <c r="BA12" i="13" s="1"/>
  <c r="AZ12" i="13"/>
  <c r="BC10" i="13"/>
  <c r="BC12" i="13" s="1"/>
  <c r="BC179" i="13"/>
  <c r="BC178" i="13"/>
  <c r="BE173" i="13"/>
  <c r="BD174" i="13"/>
  <c r="BD177" i="13" s="1"/>
  <c r="AZ178" i="13"/>
  <c r="BA177" i="13"/>
  <c r="AZ179" i="13"/>
  <c r="J45" i="53" l="1"/>
  <c r="BE171" i="13"/>
  <c r="BF171" i="13" s="1"/>
  <c r="BF170" i="13"/>
  <c r="BA178" i="13"/>
  <c r="BB179" i="13"/>
  <c r="BF173" i="13"/>
  <c r="BF174" i="13" s="1"/>
  <c r="BE174" i="13"/>
  <c r="BE177" i="13" s="1"/>
  <c r="BD10" i="13"/>
  <c r="BD12" i="13" s="1"/>
  <c r="BD178" i="13"/>
  <c r="BD179" i="13"/>
  <c r="AZ885" i="7"/>
  <c r="J47" i="53" l="1"/>
  <c r="L45" i="53"/>
  <c r="BE10" i="13"/>
  <c r="BE12" i="13" s="1"/>
  <c r="BF177" i="13"/>
  <c r="BF178" i="13" s="1"/>
  <c r="BE179" i="13"/>
  <c r="BE178" i="13"/>
  <c r="AZ902" i="7"/>
  <c r="BA885" i="7"/>
  <c r="AZ887" i="7"/>
  <c r="AZ25" i="13"/>
  <c r="AZ905" i="7"/>
  <c r="AZ875" i="7"/>
  <c r="D18" i="3" l="1"/>
  <c r="J48" i="53"/>
  <c r="BB885" i="7"/>
  <c r="AZ869" i="7"/>
  <c r="AZ877" i="7"/>
  <c r="AZ871" i="7" s="1"/>
  <c r="BA871" i="7" s="1"/>
  <c r="AZ900" i="7"/>
  <c r="AZ907" i="7"/>
  <c r="BA902" i="7"/>
  <c r="BA887" i="7"/>
  <c r="J50" i="53" l="1"/>
  <c r="J59" i="53"/>
  <c r="J57" i="53"/>
  <c r="J54" i="53"/>
  <c r="D17" i="3"/>
  <c r="D19" i="3" s="1"/>
  <c r="J49" i="53"/>
  <c r="J53" i="53"/>
  <c r="J58" i="53"/>
  <c r="J56" i="53"/>
  <c r="J55" i="53"/>
  <c r="BC885" i="7"/>
  <c r="BA877" i="7"/>
  <c r="BA900" i="7"/>
  <c r="AZ903" i="7"/>
  <c r="BB902" i="7"/>
  <c r="BB887" i="7"/>
  <c r="BA869" i="7"/>
  <c r="AZ872" i="7"/>
  <c r="AZ880" i="7" s="1"/>
  <c r="AZ881" i="7" s="1"/>
  <c r="AZ225" i="7"/>
  <c r="AZ226" i="7" s="1"/>
  <c r="BB905" i="7"/>
  <c r="BB907" i="7" s="1"/>
  <c r="BB875" i="7"/>
  <c r="BB877" i="7" s="1"/>
  <c r="BB871" i="7" s="1"/>
  <c r="BB25" i="13"/>
  <c r="BA875" i="7" l="1"/>
  <c r="BB869" i="7"/>
  <c r="BA225" i="7"/>
  <c r="BA226" i="7" s="1"/>
  <c r="AZ878" i="7"/>
  <c r="BA872" i="7"/>
  <c r="BA878" i="7" s="1"/>
  <c r="BC905" i="7"/>
  <c r="BC907" i="7" s="1"/>
  <c r="BC875" i="7"/>
  <c r="BC877" i="7" s="1"/>
  <c r="BC871" i="7" s="1"/>
  <c r="BC25" i="13"/>
  <c r="BA903" i="7"/>
  <c r="BB900" i="7"/>
  <c r="BD885" i="7"/>
  <c r="BC902" i="7"/>
  <c r="BC887" i="7"/>
  <c r="BE905" i="7" l="1"/>
  <c r="BE907" i="7" s="1"/>
  <c r="BE875" i="7"/>
  <c r="BE877" i="7" s="1"/>
  <c r="BE25" i="13"/>
  <c r="BD905" i="7"/>
  <c r="BD907" i="7" s="1"/>
  <c r="BD25" i="13"/>
  <c r="BD875" i="7"/>
  <c r="BD877" i="7" s="1"/>
  <c r="BD871" i="7" s="1"/>
  <c r="BE885" i="7"/>
  <c r="BF10" i="13"/>
  <c r="BD902" i="7"/>
  <c r="BD887" i="7"/>
  <c r="BB903" i="7"/>
  <c r="BC900" i="7"/>
  <c r="BC869" i="7"/>
  <c r="BB225" i="7"/>
  <c r="BB226" i="7" s="1"/>
  <c r="BB872" i="7"/>
  <c r="BB878" i="7" s="1"/>
  <c r="BA880" i="7"/>
  <c r="BA881" i="7" s="1"/>
  <c r="BE871" i="7" l="1"/>
  <c r="BF871" i="7" s="1"/>
  <c r="BF877" i="7" s="1"/>
  <c r="BC872" i="7"/>
  <c r="BC878" i="7" s="1"/>
  <c r="BD869" i="7"/>
  <c r="BC225" i="7"/>
  <c r="BC226" i="7" s="1"/>
  <c r="BB880" i="7"/>
  <c r="BB881" i="7" s="1"/>
  <c r="BD900" i="7"/>
  <c r="BC903" i="7"/>
  <c r="BF12" i="13"/>
  <c r="BG10" i="13" s="1"/>
  <c r="BG12" i="13" s="1"/>
  <c r="BF885" i="7"/>
  <c r="BE887" i="7"/>
  <c r="BE902" i="7"/>
  <c r="BG885" i="7" l="1"/>
  <c r="BH10" i="13"/>
  <c r="BH23" i="13" s="1"/>
  <c r="BG23" i="13"/>
  <c r="BF887" i="7"/>
  <c r="BF902" i="7"/>
  <c r="BE869" i="7"/>
  <c r="BD872" i="7"/>
  <c r="BD878" i="7" s="1"/>
  <c r="BD225" i="7"/>
  <c r="BD226" i="7" s="1"/>
  <c r="BD903" i="7"/>
  <c r="BE900" i="7"/>
  <c r="BC880" i="7"/>
  <c r="BC881" i="7" s="1"/>
  <c r="BH25" i="13" l="1"/>
  <c r="BH905" i="7"/>
  <c r="BH907" i="7" s="1"/>
  <c r="BH875" i="7"/>
  <c r="BH877" i="7" s="1"/>
  <c r="BE903" i="7"/>
  <c r="BF900" i="7"/>
  <c r="BE225" i="7"/>
  <c r="BE226" i="7" s="1"/>
  <c r="BE872" i="7"/>
  <c r="BF869" i="7"/>
  <c r="BG905" i="7"/>
  <c r="BG907" i="7" s="1"/>
  <c r="BG875" i="7"/>
  <c r="BG877" i="7" s="1"/>
  <c r="BG871" i="7" s="1"/>
  <c r="BG25" i="13"/>
  <c r="BD880" i="7"/>
  <c r="BD881" i="7" s="1"/>
  <c r="BH885" i="7"/>
  <c r="BH12" i="13"/>
  <c r="BI10" i="13" s="1"/>
  <c r="BG902" i="7"/>
  <c r="BG887" i="7"/>
  <c r="BH871" i="7" l="1"/>
  <c r="BI885" i="7"/>
  <c r="BI12" i="13"/>
  <c r="BJ10" i="13" s="1"/>
  <c r="BI23" i="13"/>
  <c r="BF872" i="7"/>
  <c r="BF878" i="7" s="1"/>
  <c r="BE878" i="7"/>
  <c r="BF903" i="7"/>
  <c r="BG900" i="7"/>
  <c r="BH902" i="7"/>
  <c r="BH887" i="7"/>
  <c r="BF225" i="7"/>
  <c r="BF226" i="7" s="1"/>
  <c r="BG869" i="7"/>
  <c r="BF875" i="7"/>
  <c r="BE880" i="7"/>
  <c r="BE881" i="7" s="1"/>
  <c r="BF880" i="7" l="1"/>
  <c r="BF881" i="7" s="1"/>
  <c r="BJ12" i="13"/>
  <c r="BJ885" i="7"/>
  <c r="BK10" i="13"/>
  <c r="BG872" i="7"/>
  <c r="BG878" i="7" s="1"/>
  <c r="BG225" i="7"/>
  <c r="BG226" i="7" s="1"/>
  <c r="BH869" i="7"/>
  <c r="BH900" i="7"/>
  <c r="BG903" i="7"/>
  <c r="BI25" i="13"/>
  <c r="BI875" i="7"/>
  <c r="BI877" i="7" s="1"/>
  <c r="BI871" i="7" s="1"/>
  <c r="BI905" i="7"/>
  <c r="BI907" i="7" s="1"/>
  <c r="BI902" i="7"/>
  <c r="BI887" i="7"/>
  <c r="BJ23" i="13"/>
  <c r="BI869" i="7" l="1"/>
  <c r="BH225" i="7"/>
  <c r="BH226" i="7" s="1"/>
  <c r="BH872" i="7"/>
  <c r="BH878" i="7" s="1"/>
  <c r="BK12" i="13"/>
  <c r="BL10" i="13" s="1"/>
  <c r="BJ887" i="7"/>
  <c r="BJ902" i="7"/>
  <c r="BK885" i="7"/>
  <c r="BJ905" i="7"/>
  <c r="BJ907" i="7" s="1"/>
  <c r="BJ25" i="13"/>
  <c r="BJ875" i="7"/>
  <c r="BJ877" i="7" s="1"/>
  <c r="BJ871" i="7" s="1"/>
  <c r="BK871" i="7" s="1"/>
  <c r="BH903" i="7"/>
  <c r="BI900" i="7"/>
  <c r="BG880" i="7"/>
  <c r="BG881" i="7" s="1"/>
  <c r="BK877" i="7" l="1"/>
  <c r="BL885" i="7"/>
  <c r="BL12" i="13"/>
  <c r="BM10" i="13" s="1"/>
  <c r="BL23" i="13"/>
  <c r="BJ900" i="7"/>
  <c r="BI903" i="7"/>
  <c r="BK887" i="7"/>
  <c r="BK902" i="7"/>
  <c r="BH880" i="7"/>
  <c r="BH881" i="7" s="1"/>
  <c r="BI225" i="7"/>
  <c r="BI226" i="7" s="1"/>
  <c r="BI872" i="7"/>
  <c r="BI878" i="7" s="1"/>
  <c r="BJ869" i="7"/>
  <c r="BI880" i="7" l="1"/>
  <c r="BI881" i="7" s="1"/>
  <c r="BM885" i="7"/>
  <c r="BM12" i="13"/>
  <c r="BN10" i="13" s="1"/>
  <c r="BM23" i="13"/>
  <c r="BJ872" i="7"/>
  <c r="BJ880" i="7" s="1"/>
  <c r="BJ881" i="7" s="1"/>
  <c r="BK869" i="7"/>
  <c r="BJ225" i="7"/>
  <c r="BJ226" i="7" s="1"/>
  <c r="BK900" i="7"/>
  <c r="BJ903" i="7"/>
  <c r="BL905" i="7"/>
  <c r="BL907" i="7" s="1"/>
  <c r="BL875" i="7"/>
  <c r="BL877" i="7" s="1"/>
  <c r="BL871" i="7" s="1"/>
  <c r="BL25" i="13"/>
  <c r="BL887" i="7"/>
  <c r="BL902" i="7"/>
  <c r="BN12" i="13" l="1"/>
  <c r="BO10" i="13" s="1"/>
  <c r="BN885" i="7"/>
  <c r="BN23" i="13"/>
  <c r="BL900" i="7"/>
  <c r="BK903" i="7"/>
  <c r="BJ878" i="7"/>
  <c r="BK872" i="7"/>
  <c r="BK878" i="7" s="1"/>
  <c r="BK875" i="7"/>
  <c r="BK225" i="7"/>
  <c r="BK226" i="7" s="1"/>
  <c r="BL869" i="7"/>
  <c r="BM875" i="7"/>
  <c r="BM877" i="7" s="1"/>
  <c r="BM871" i="7" s="1"/>
  <c r="BM25" i="13"/>
  <c r="BM905" i="7"/>
  <c r="BM907" i="7" s="1"/>
  <c r="BM887" i="7"/>
  <c r="BM902" i="7"/>
  <c r="BK880" i="7" l="1"/>
  <c r="BK881" i="7" s="1"/>
  <c r="BM869" i="7"/>
  <c r="BL225" i="7"/>
  <c r="BL226" i="7" s="1"/>
  <c r="BL872" i="7"/>
  <c r="BL878" i="7" s="1"/>
  <c r="BN25" i="13"/>
  <c r="BN905" i="7"/>
  <c r="BN907" i="7" s="1"/>
  <c r="BN875" i="7"/>
  <c r="BN877" i="7" s="1"/>
  <c r="BN871" i="7" s="1"/>
  <c r="BN887" i="7"/>
  <c r="BN902" i="7"/>
  <c r="BM900" i="7"/>
  <c r="BL903" i="7"/>
  <c r="BP10" i="13"/>
  <c r="BO885" i="7"/>
  <c r="BO12" i="13"/>
  <c r="BO23" i="13"/>
  <c r="BP885" i="7" l="1"/>
  <c r="BO902" i="7"/>
  <c r="BO887" i="7"/>
  <c r="BP12" i="13"/>
  <c r="BQ10" i="13" s="1"/>
  <c r="BO875" i="7"/>
  <c r="BO877" i="7" s="1"/>
  <c r="BO871" i="7" s="1"/>
  <c r="BP871" i="7" s="1"/>
  <c r="BO905" i="7"/>
  <c r="BO907" i="7" s="1"/>
  <c r="BO25" i="13"/>
  <c r="BM903" i="7"/>
  <c r="BN900" i="7"/>
  <c r="BL880" i="7"/>
  <c r="BL881" i="7" s="1"/>
  <c r="BN869" i="7"/>
  <c r="BM872" i="7"/>
  <c r="BM878" i="7" s="1"/>
  <c r="BM225" i="7"/>
  <c r="BM226" i="7" s="1"/>
  <c r="BM880" i="7" l="1"/>
  <c r="BM881" i="7" s="1"/>
  <c r="BP877" i="7"/>
  <c r="BQ885" i="7"/>
  <c r="BQ12" i="13"/>
  <c r="BR10" i="13" s="1"/>
  <c r="BR23" i="13" s="1"/>
  <c r="BQ23" i="13"/>
  <c r="BO869" i="7"/>
  <c r="BN872" i="7"/>
  <c r="BN878" i="7" s="1"/>
  <c r="BN225" i="7"/>
  <c r="BN226" i="7" s="1"/>
  <c r="BN903" i="7"/>
  <c r="BO900" i="7"/>
  <c r="BP887" i="7"/>
  <c r="BP902" i="7"/>
  <c r="BN880" i="7" l="1"/>
  <c r="BN881" i="7" s="1"/>
  <c r="BR905" i="7"/>
  <c r="BR907" i="7" s="1"/>
  <c r="BR875" i="7"/>
  <c r="BR877" i="7" s="1"/>
  <c r="BR25" i="13"/>
  <c r="BO903" i="7"/>
  <c r="BP900" i="7"/>
  <c r="BO872" i="7"/>
  <c r="BO880" i="7" s="1"/>
  <c r="BO881" i="7" s="1"/>
  <c r="BO225" i="7"/>
  <c r="BO226" i="7" s="1"/>
  <c r="BP869" i="7"/>
  <c r="BQ875" i="7"/>
  <c r="BQ877" i="7" s="1"/>
  <c r="BQ871" i="7" s="1"/>
  <c r="BR871" i="7" s="1"/>
  <c r="BQ905" i="7"/>
  <c r="BQ907" i="7" s="1"/>
  <c r="BQ25" i="13"/>
  <c r="BQ887" i="7"/>
  <c r="BQ902" i="7"/>
  <c r="BR885" i="7"/>
  <c r="BR12" i="13"/>
  <c r="BS10" i="13" s="1"/>
  <c r="BS885" i="7" l="1"/>
  <c r="BS12" i="13"/>
  <c r="BT10" i="13" s="1"/>
  <c r="BS23" i="13"/>
  <c r="BR887" i="7"/>
  <c r="BR902" i="7"/>
  <c r="BQ869" i="7"/>
  <c r="BP225" i="7"/>
  <c r="BP226" i="7" s="1"/>
  <c r="BP875" i="7"/>
  <c r="BO878" i="7"/>
  <c r="BP872" i="7"/>
  <c r="BP878" i="7" s="1"/>
  <c r="BQ900" i="7"/>
  <c r="BP903" i="7"/>
  <c r="BP880" i="7" l="1"/>
  <c r="BP881" i="7" s="1"/>
  <c r="BS25" i="13"/>
  <c r="BS905" i="7"/>
  <c r="BS907" i="7" s="1"/>
  <c r="BS875" i="7"/>
  <c r="BS877" i="7" s="1"/>
  <c r="BS871" i="7" s="1"/>
  <c r="BQ903" i="7"/>
  <c r="BR900" i="7"/>
  <c r="BQ872" i="7"/>
  <c r="BQ878" i="7" s="1"/>
  <c r="BQ225" i="7"/>
  <c r="BQ226" i="7" s="1"/>
  <c r="BR869" i="7"/>
  <c r="BU10" i="13"/>
  <c r="BT885" i="7"/>
  <c r="BT12" i="13"/>
  <c r="BT23" i="13"/>
  <c r="BS887" i="7"/>
  <c r="BS902" i="7"/>
  <c r="BQ880" i="7" l="1"/>
  <c r="BQ881" i="7" s="1"/>
  <c r="BU885" i="7"/>
  <c r="BT902" i="7"/>
  <c r="BT887" i="7"/>
  <c r="BS869" i="7"/>
  <c r="BR872" i="7"/>
  <c r="BR878" i="7" s="1"/>
  <c r="BR225" i="7"/>
  <c r="BR226" i="7" s="1"/>
  <c r="BT25" i="13"/>
  <c r="BT875" i="7"/>
  <c r="BT877" i="7" s="1"/>
  <c r="BT871" i="7" s="1"/>
  <c r="BU871" i="7" s="1"/>
  <c r="BT905" i="7"/>
  <c r="BT907" i="7" s="1"/>
  <c r="BU12" i="13"/>
  <c r="BV10" i="13" s="1"/>
  <c r="BS900" i="7"/>
  <c r="BR903" i="7"/>
  <c r="BR880" i="7" l="1"/>
  <c r="BR881" i="7" s="1"/>
  <c r="BV885" i="7"/>
  <c r="BV12" i="13"/>
  <c r="BW10" i="13" s="1"/>
  <c r="BU877" i="7"/>
  <c r="BS903" i="7"/>
  <c r="BT900" i="7"/>
  <c r="BV23" i="13"/>
  <c r="BS225" i="7"/>
  <c r="BS226" i="7" s="1"/>
  <c r="BS872" i="7"/>
  <c r="BS878" i="7" s="1"/>
  <c r="BT869" i="7"/>
  <c r="BU902" i="7"/>
  <c r="BU887" i="7"/>
  <c r="BS880" i="7" l="1"/>
  <c r="BS881" i="7" s="1"/>
  <c r="BW12" i="13"/>
  <c r="BX10" i="13" s="1"/>
  <c r="BW885" i="7"/>
  <c r="BW23" i="13"/>
  <c r="BV887" i="7"/>
  <c r="BV902" i="7"/>
  <c r="BU869" i="7"/>
  <c r="BT872" i="7"/>
  <c r="BT225" i="7"/>
  <c r="BT226" i="7" s="1"/>
  <c r="BV25" i="13"/>
  <c r="BV875" i="7"/>
  <c r="BV877" i="7" s="1"/>
  <c r="BV871" i="7" s="1"/>
  <c r="BV905" i="7"/>
  <c r="BV907" i="7" s="1"/>
  <c r="BU900" i="7"/>
  <c r="BT903" i="7"/>
  <c r="BX12" i="13" l="1"/>
  <c r="BY10" i="13" s="1"/>
  <c r="BY23" i="13" s="1"/>
  <c r="BX885" i="7"/>
  <c r="BX23" i="13"/>
  <c r="BT878" i="7"/>
  <c r="BU872" i="7"/>
  <c r="BU878" i="7" s="1"/>
  <c r="BT880" i="7"/>
  <c r="BT881" i="7" s="1"/>
  <c r="BW905" i="7"/>
  <c r="BW907" i="7" s="1"/>
  <c r="BW875" i="7"/>
  <c r="BW877" i="7" s="1"/>
  <c r="BW871" i="7" s="1"/>
  <c r="BW25" i="13"/>
  <c r="BU903" i="7"/>
  <c r="BV900" i="7"/>
  <c r="BU875" i="7"/>
  <c r="BV869" i="7"/>
  <c r="BU225" i="7"/>
  <c r="BU226" i="7" s="1"/>
  <c r="BW902" i="7"/>
  <c r="BW887" i="7"/>
  <c r="BU880" i="7" l="1"/>
  <c r="BU881" i="7" s="1"/>
  <c r="BY905" i="7"/>
  <c r="BY907" i="7" s="1"/>
  <c r="BY875" i="7"/>
  <c r="BY877" i="7" s="1"/>
  <c r="BY25" i="13"/>
  <c r="BV903" i="7"/>
  <c r="BW900" i="7"/>
  <c r="BX905" i="7"/>
  <c r="BX907" i="7" s="1"/>
  <c r="BX875" i="7"/>
  <c r="BX877" i="7" s="1"/>
  <c r="BX871" i="7" s="1"/>
  <c r="BY871" i="7" s="1"/>
  <c r="BZ871" i="7" s="1"/>
  <c r="BZ877" i="7" s="1"/>
  <c r="BX25" i="13"/>
  <c r="BW869" i="7"/>
  <c r="BV872" i="7"/>
  <c r="BV878" i="7" s="1"/>
  <c r="BV225" i="7"/>
  <c r="BV226" i="7" s="1"/>
  <c r="BZ10" i="13"/>
  <c r="BZ12" i="13" s="1"/>
  <c r="BY885" i="7"/>
  <c r="BY12" i="13"/>
  <c r="BX887" i="7"/>
  <c r="BX902" i="7"/>
  <c r="BV880" i="7" l="1"/>
  <c r="BV881" i="7" s="1"/>
  <c r="BX900" i="7"/>
  <c r="BW903" i="7"/>
  <c r="BZ885" i="7"/>
  <c r="BY887" i="7"/>
  <c r="BY902" i="7"/>
  <c r="BX869" i="7"/>
  <c r="BW225" i="7"/>
  <c r="BW226" i="7" s="1"/>
  <c r="BW872" i="7"/>
  <c r="BW878" i="7" s="1"/>
  <c r="BW880" i="7" l="1"/>
  <c r="BW881" i="7" s="1"/>
  <c r="BX872" i="7"/>
  <c r="BX878" i="7" s="1"/>
  <c r="BX225" i="7"/>
  <c r="BX226" i="7" s="1"/>
  <c r="BY869" i="7"/>
  <c r="BZ887" i="7"/>
  <c r="BZ902" i="7"/>
  <c r="BX903" i="7"/>
  <c r="BY900" i="7"/>
  <c r="BX880" i="7" l="1"/>
  <c r="BX881" i="7" s="1"/>
  <c r="BY903" i="7"/>
  <c r="BZ900" i="7"/>
  <c r="BZ903" i="7" s="1"/>
  <c r="BZ869" i="7"/>
  <c r="BY872" i="7"/>
  <c r="BY880" i="7" s="1"/>
  <c r="BY881" i="7" s="1"/>
  <c r="BY225" i="7"/>
  <c r="BY226" i="7" s="1"/>
  <c r="BY878" i="7" l="1"/>
  <c r="BZ872" i="7"/>
  <c r="BZ878" i="7" s="1"/>
  <c r="BZ875" i="7"/>
  <c r="BZ225" i="7"/>
  <c r="BZ226" i="7" s="1"/>
  <c r="BZ880" i="7" l="1"/>
  <c r="BZ881" i="7" s="1"/>
  <c r="L43" i="5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tc={5724D655-9946-44C6-961A-6292241B159E}</author>
    <author>tc={4B8721CE-D865-418A-9B2B-A197B659EC0D}</author>
    <author>tc={CEE711ED-2DCF-4498-9F13-018E410D4532}</author>
  </authors>
  <commentList>
    <comment ref="W7" authorId="0" shapeId="0" xr:uid="{5724D655-9946-44C6-961A-6292241B159E}">
      <text>
        <t>[Threaded comment]
Your version of Excel allows you to read this threaded comment; however, any edits to it will get removed if the file is opened in a newer version of Excel. Learn more: https://go.microsoft.com/fwlink/?linkid=870924
Comment:
    Using adjusted Arm equity holding from June '24 i.e., adjusted for $12bn receivable still to be paid to SVF1.</t>
      </text>
    </comment>
    <comment ref="M109" authorId="1" shapeId="0" xr:uid="{4B8721CE-D865-418A-9B2B-A197B659EC0D}">
      <text>
        <t>[Threaded comment]
Your version of Excel allows you to read this threaded comment; however, any edits to it will get removed if the file is opened in a newer version of Excel. Learn more: https://go.microsoft.com/fwlink/?linkid=870924
Comment:
    See slide 6 of F3Q23 Investor Briefing: DT call options on 35m T-Mobile US shares expire June '24 but only 28.2m "floating" (i.e., exercise price based on trailing VWAP) vs. 6.7m fixed ($103 per original commentary in Financial Reports).
Reply:
    https://group.softbank/system/files/pdf/ir/presentations/2023/investor-presentation_q3fy2023_01_en.pdf</t>
      </text>
    </comment>
    <comment ref="M114" authorId="2" shapeId="0" xr:uid="{CEE711ED-2DCF-4498-9F13-018E410D4532}">
      <text>
        <t>[Threaded comment]
Your version of Excel allows you to read this threaded comment; however, any edits to it will get removed if the file is opened in a newer version of Excel. Learn more: https://go.microsoft.com/fwlink/?linkid=870924
Comment:
    Per FT article, investment not an SVF investment but done at Group/SoftBank level: SoftBank said to provide "substantial majority of the $1.05bn funding round".
Reply:
    https://www.ft.com/content/a5704e29-545c-45e6-b7e3-d0a8cda285c4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tc={F228989F-838D-4B6B-997C-04E49D72EB9D}</author>
  </authors>
  <commentList>
    <comment ref="D6" authorId="0" shapeId="0" xr:uid="{F228989F-838D-4B6B-997C-04E49D72EB9D}">
      <text>
        <t>[Threaded comment]
Your version of Excel allows you to read this threaded comment; however, any edits to it will get removed if the file is opened in a newer version of Excel. Learn more: https://go.microsoft.com/fwlink/?linkid=870924
Comment:
    Ctrl+F "outstanding" in latest SoftBank Group quarterly Financial Report: note includes treasury stock.
Reply:
    https://group.softbank/en/news/press/20251111</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tc={FE73669F-ABA8-4E76-9810-1FB110FCAB31}</author>
    <author>tc={D7FDF76D-736D-47EA-B8C4-2EB6B7584893}</author>
  </authors>
  <commentList>
    <comment ref="BH209" authorId="0" shapeId="0" xr:uid="{FE73669F-ABA8-4E76-9810-1FB110FCAB31}">
      <text>
        <t>[Threaded comment]
Your version of Excel allows you to read this threaded comment; however, any edits to it will get removed if the file is opened in a newer version of Excel. Learn more: https://go.microsoft.com/fwlink/?linkid=870924
Comment:
    Arm target price: upgraded to $106 March ‘27 target price on 5 Aug. ‘24.
Reply:
    https://arete-singletrack.s3.eu-west-1.amazonaws.com/Arm_Holdings_Pre_Season_Fitness_1_1.pdf?X-Amz-Signature=27c95584c79d3228ae611c9559fac792f837df44b10aa13c03dde6dec54ebdd8&amp;X-Amz-Algorithm=AWS4-HMAC-SHA256&amp;X-Amz-Credential=AKIAW3DTAMO2PMSTXXFB%2F20250722%2Feu-west-1%2Fs3%2Faws4_request&amp;X-Amz-Date=20250722T145052Z&amp;X-Amz-Expires=86400&amp;X-Amz-SignedHeaders=host</t>
      </text>
    </comment>
    <comment ref="BJ209" authorId="1" shapeId="0" xr:uid="{D7FDF76D-736D-47EA-B8C4-2EB6B7584893}">
      <text>
        <t>[Threaded comment]
Your version of Excel allows you to read this threaded comment; however, any edits to it will get removed if the file is opened in a newer version of Excel. Learn more: https://go.microsoft.com/fwlink/?linkid=870924
Comment:
    Arm target price: upgraded to $115 March ‘27 target price on 13 Feb. ‘25 as part of Semis monthly RTV note.
Reply:
    https://arete-singletrack.s3.eu-west-1.amazonaws.com/Semis_Hardware_Real_Time_Views_February_25_Edition_1_1.pdf?X-Amz-Signature=320b78f56dd08f8d4b358e3c274aa085dc76943ec50aaba8ba9db3409168ff6d&amp;X-Amz-Algorithm=AWS4-HMAC-SHA256&amp;X-Amz-Credential=AKIAW3DTAMO2PMSTXXFB%2F20250722%2Feu-west-1%2Fs3%2Faws4_request&amp;X-Amz-Date=20250722T145513Z&amp;X-Amz-Expires=86400&amp;X-Amz-SignedHeaders=hos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tc={407C5026-ECBF-4836-8A13-68D6A7650B4D}</author>
    <author>tc={970D5582-94DD-4F9A-86FC-8062598119E0}</author>
    <author>tc={09B132B0-1CAD-45E9-A526-3A4A4047B9BC}</author>
    <author>tc={2957F277-579B-41CF-8DBB-4641237CE7D9}</author>
    <author>tc={A7B10712-FD8B-440B-906C-0419B2E207B5}</author>
    <author>tc={13025801-E283-48CC-9D65-90BE7EDDD745}</author>
    <author>tc={07493B29-04BB-4A1A-B71E-FCEC19D79423}</author>
    <author>tc={FEAFAA1B-DC3F-427D-BE8C-3EF7688DB1E9}</author>
    <author>tc={DA71C67C-BC65-4FE3-A114-B4A0E504666F}</author>
    <author>tc={D4237039-8673-49C4-B84C-7145E9C36D7D}</author>
    <author>tc={1EC5078F-0054-49D2-BC0C-A2D40997137B}</author>
    <author>tc={0DCB85EB-5FF0-496F-81E3-C1C560DF640B}</author>
    <author>tc={C6600A08-C0E1-4ECE-8F9F-44A23E77E535}</author>
    <author>tc={F81FF168-1A2F-4D1A-9692-9073237F2B6D}</author>
    <author>tc={C7354616-E9E3-4831-8E43-DB84A58CBF77}</author>
    <author>tc={BB59C666-F831-403A-A753-AC1744D77BAC}</author>
    <author>tc={73304EC0-87A4-49F8-A8A9-096D33699F61}</author>
    <author>tc={82F39EB0-ECD2-4307-96F9-4CD9CCF8E9B6}</author>
    <author>tc={774B4FE3-B5C3-4855-A8DE-42EA32961F8D}</author>
    <author>tc={FA1D7D62-3D7A-47FA-8A8F-9D1883D8DCD3}</author>
    <author>tc={3684E18F-C72E-43AC-8BB5-642EB6455972}</author>
    <author>tc={41D57B4B-3546-44F9-BE20-0F60C0D3504B}</author>
    <author>tc={A4C2BCBB-0422-41AF-BA4C-4840E0E212B3}</author>
    <author>tc={3AF2CDFD-5C8F-412D-8C86-D8F8ACCC3833}</author>
    <author>tc={1AADDDE3-7770-4CCD-8CC5-C92F0B507E59}</author>
    <author>tc={5F743C1B-99B8-47AA-A1DB-190B2110666E}</author>
    <author>tc={16D1339F-768D-488C-BFF1-85949BE9194F}</author>
    <author>tc={B43D9726-CE20-4174-9C59-A41C59928619}</author>
    <author>tc={DFD50585-9727-4800-A236-4DCDE9549A41}</author>
    <author>tc={BC556393-0B62-428F-9896-EE5170F4546B}</author>
    <author>tc={817ACFDE-EF0E-441D-9CE8-1419A7AF7343}</author>
    <author>tc={EA006018-50DC-41A3-8E13-8542C995F2BB}</author>
    <author>tc={C83DCDC2-7FCE-4764-8E15-40436D9B4E6B}</author>
    <author>tc={50CB367E-3576-4CC2-8A0F-754B6E5F2E9C}</author>
    <author>tc={6AC8E6BA-AC4F-4617-A289-5210D2442597}</author>
    <author>tc={44AFCF0A-6340-43CD-8FB0-7CAC077534D9}</author>
    <author>tc={68E37A26-C6D9-4C20-A922-2723EE9DE652}</author>
    <author>tc={6CBFA3AB-076E-49CE-8F5D-F2FB87C69819}</author>
    <author>tc={5C9F0AA3-52D8-4A54-ABB1-A1ECD844CF71}</author>
    <author>tc={D44048A8-EA5D-4370-B4C2-28B939D01F8A}</author>
    <author>tc={0C321568-6A96-495F-88E1-967C0589FED2}</author>
    <author>tc={9A4482DA-ED7B-485D-BD87-C2620DF7FFE4}</author>
  </authors>
  <commentList>
    <comment ref="AD92" authorId="0" shapeId="0" xr:uid="{407C5026-ECBF-4836-8A13-68D6A7650B4D}">
      <text>
        <t>[Threaded comment]
Your version of Excel allows you to read this threaded comment; however, any edits to it will get removed if the file is opened in a newer version of Excel. Learn more: https://go.microsoft.com/fwlink/?linkid=870924
Comment:
    See 2Q21 Investor Briefing (Accounting): slide 6 gives details of fixed vs. floating call option breakdown of 45.37 million T-Mobile US shares sold for 225 million DT shares in September '21.
Reply:
    https://group.softbank/system/files/pdf/ir/presentations/2021/investor-accounting_q2fy2021_01_en.pdf</t>
      </text>
    </comment>
    <comment ref="AH92" authorId="1" shapeId="0" xr:uid="{970D5582-94DD-4F9A-86FC-8062598119E0}">
      <text>
        <t>[Threaded comment]
Your version of Excel allows you to read this threaded comment; however, any edits to it will get removed if the file is opened in a newer version of Excel. Learn more: https://go.microsoft.com/fwlink/?linkid=870924
Comment:
    See 4Q21 Investor Briefing (Accounting): slides 6-7 gives details of fixed vs. floating call option breakdown of 21.15m million T-Mobile US shares sold for $2.4bn gross consideration.
Reply:
    https://group.softbank/system/files/pdf/ir/presentations/2021/investor-accounting_q4fy2021_01_en.pdf</t>
      </text>
    </comment>
    <comment ref="AR92" authorId="2" shapeId="0" xr:uid="{09B132B0-1CAD-45E9-A526-3A4A4047B9BC}">
      <text>
        <t>[Threaded comment]
Your version of Excel allows you to read this threaded comment; however, any edits to it will get removed if the file is opened in a newer version of Excel. Learn more: https://go.microsoft.com/fwlink/?linkid=870924
Comment:
    See Deutsche Telekom June '24 press release re. acquisition of 6.7m T-Mobile US shares.
Reply:
    https://www.telekom.com/en/media/media-information/archive/deutsche-telekom-acquires-6-7-million-t-mobile-us-shares-significantly-below-market-price-1067800#:~:text=Deutsche%20Telekom%20is%20acquiring%20roughly,were%20agreed%20in%20June%202020.</t>
      </text>
    </comment>
    <comment ref="AD93" authorId="3" shapeId="0" xr:uid="{2957F277-579B-41CF-8DBB-4641237CE7D9}">
      <text>
        <t>[Threaded comment]
Your version of Excel allows you to read this threaded comment; however, any edits to it will get removed if the file is opened in a newer version of Excel. Learn more: https://go.microsoft.com/fwlink/?linkid=870924
Comment:
    See 2Q21 Investor Briefing (Accounting): slide 6 gives details of fixed vs. floating call option breakdown of 45.37 million T-Mobile US shares sold for 225 million DT shares in September '21.
Reply:
    https://group.softbank/system/files/pdf/ir/presentations/2021/investor-accounting_q2fy2021_01_en.pdf</t>
      </text>
    </comment>
    <comment ref="AH93" authorId="4" shapeId="0" xr:uid="{A7B10712-FD8B-440B-906C-0419B2E207B5}">
      <text>
        <t>[Threaded comment]
Your version of Excel allows you to read this threaded comment; however, any edits to it will get removed if the file is opened in a newer version of Excel. Learn more: https://go.microsoft.com/fwlink/?linkid=870924
Comment:
    See 4Q21 Investor Briefing (Accounting): slides 6-7 gives details of fixed vs. floating call option breakdown of 21.15m million T-Mobile US shares sold for $2.4bn gross consideration.
Reply:
    https://group.softbank/system/files/pdf/ir/presentations/2021/investor-accounting_q4fy2021_01_en.pdf</t>
      </text>
    </comment>
    <comment ref="AR93" authorId="5" shapeId="0" xr:uid="{13025801-E283-48CC-9D65-90BE7EDDD745}">
      <text>
        <t>[Threaded comment]
Your version of Excel allows you to read this threaded comment; however, any edits to it will get removed if the file is opened in a newer version of Excel. Learn more: https://go.microsoft.com/fwlink/?linkid=870924
Comment:
    Per slide 5 of F1Q Accounting presentation, DT’s “variable” call options for 28.2m T-Mobile shares expired during F1Q.</t>
      </text>
    </comment>
    <comment ref="X94" authorId="6" shapeId="0" xr:uid="{07493B29-04BB-4A1A-B71E-FCEC19D79423}">
      <text>
        <t>[Threaded comment]
Your version of Excel allows you to read this threaded comment; however, any edits to it will get removed if the file is opened in a newer version of Excel. Learn more: https://go.microsoft.com/fwlink/?linkid=870924
Comment:
    See pg.6 of SBG 1Q20 Consolidated Financial Report: 44.9m of 101.5m shares with $103 strike price and 56.6m of 101.5m shares with strike price equal to 20-day trailing VWAP prior to exercise with option to exercise post-exercise of 44.9m shares or 2nd October '20: https://group.softbank/system/files/pdf/ir/financials/financial_reports/financial-report_q1fy2020_01_en.pdf.</t>
      </text>
    </comment>
    <comment ref="AD94" authorId="7" shapeId="0" xr:uid="{FEAFAA1B-DC3F-427D-BE8C-3EF7688DB1E9}">
      <text>
        <t>[Threaded comment]
Your version of Excel allows you to read this threaded comment; however, any edits to it will get removed if the file is opened in a newer version of Excel. Learn more: https://go.microsoft.com/fwlink/?linkid=870924
Comment:
    See pg.12-13 of SBG 2Q21 Consolidated Financial Report: SBG switched 45.4m T-Mobile shares for 225m Deutsche Telekom shares with reference price €20 i.e., implies exercise price on T-Mobile shares of around $117 for T-Mobile shares at USD/EUR FX i.e., significant discount to market price of TMUS.
Reply:
    https://group.softbank/system/files/pdf/ir/financials/financial_reports/financial-report_q2fy2021_01_en.pdf</t>
      </text>
    </comment>
    <comment ref="AR95" authorId="8" shapeId="0" xr:uid="{DA71C67C-BC65-4FE3-A114-B4A0E504666F}">
      <text>
        <t>[Threaded comment]
Your version of Excel allows you to read this threaded comment; however, any edits to it will get removed if the file is opened in a newer version of Excel. Learn more: https://go.microsoft.com/fwlink/?linkid=870924
Comment:
    https://group.softbank/system/files/pdf/ir/presentations/2024/investor-accounting_q1fy2024_01_en.pdf
Reply:
    See slide 5 of F1Q Accounting presentation: SoftBank sold 6.7m T-Mobile shares to DT for $670m in June ‘24 &amp; DT’s remaining call option for 28.2m T-Mobile shares also expired in June ‘24.</t>
      </text>
    </comment>
    <comment ref="AW95" authorId="9" shapeId="0" xr:uid="{D4237039-8673-49C4-B84C-7145E9C36D7D}">
      <text>
        <t>[Threaded comment]
Your version of Excel allows you to read this threaded comment; however, any edits to it will get removed if the file is opened in a newer version of Excel. Learn more: https://go.microsoft.com/fwlink/?linkid=870924
Comment:
    See SoftBank F1Q “Accounting” slides (pg.5): https://group.softbank/media/Project/sbg/sbg/pdf/ir/presentations/2025/investor-accounting_q1fy2025_01_en.pdf.</t>
      </text>
    </comment>
    <comment ref="AX95" authorId="10" shapeId="0" xr:uid="{1EC5078F-0054-49D2-BC0C-A2D40997137B}">
      <text>
        <t>[Threaded comment]
Your version of Excel allows you to read this threaded comment; however, any edits to it will get removed if the file is opened in a newer version of Excel. Learn more: https://go.microsoft.com/fwlink/?linkid=870924
Comment:
    Refer to SoftBank F1Q and F2Q “Accounting” slides for details: pg.5 for F1Q and pg.7 for F2Q.
Reply:
    https://group.softbank/media/Project/sbg/sbg/pdf/ir/presentations/2025/investor-accounting_q1fy2025_01_en.pdf
Reply:
    https://group.softbank/media/Project/sbg/sbg/pdf/ir/presentations/2025/investor-presentation_q2fy2025_01_en.pdf</t>
      </text>
    </comment>
    <comment ref="AY95" authorId="11" shapeId="0" xr:uid="{0DCB85EB-5FF0-496F-81E3-C1C560DF640B}">
      <text>
        <t>[Threaded comment]
Your version of Excel allows you to read this threaded comment; however, any edits to it will get removed if the file is opened in a newer version of Excel. Learn more: https://go.microsoft.com/fwlink/?linkid=870924
Comment:
    Refer to pg.8 of SoftBank F3Q “Accounting” slides for details: https://group.softbank/media/Project/sbg/sbg/pdf/ir/presentations/2025/investor-presentation_q3fy2025_01_en.pdf.</t>
      </text>
    </comment>
    <comment ref="AZ95" authorId="12" shapeId="0" xr:uid="{C6600A08-C0E1-4ECE-8F9F-44A23E77E535}">
      <text>
        <t>[Threaded comment]
Your version of Excel allows you to read this threaded comment; however, any edits to it will get removed if the file is opened in a newer version of Excel. Learn more: https://go.microsoft.com/fwlink/?linkid=870924
Comment:
    Refer to pg.8 of SoftBank F3Q “Accounting” slides for details: https://group.softbank/media/Project/sbg/sbg/pdf/ir/presentations/2025/investor-presentation_q3fy2025_01_en.pdf.</t>
      </text>
    </comment>
    <comment ref="V96" authorId="13" shapeId="0" xr:uid="{F81FF168-1A2F-4D1A-9692-9073237F2B6D}">
      <text>
        <t>[Threaded comment]
Your version of Excel allows you to read this threaded comment; however, any edits to it will get removed if the file is opened in a newer version of Excel. Learn more: https://go.microsoft.com/fwlink/?linkid=870924
Comment:
    See Schedule 13D of 1st April '20 i.e., post-Sprint merger: https://d18rn0p25nwr6d.cloudfront.net/CIK-0001283699/07962930-3254-4750-b137-ca162082e39a.pdf.</t>
      </text>
    </comment>
    <comment ref="AC96" authorId="14" shapeId="0" xr:uid="{C7354616-E9E3-4831-8E43-DB84A58CBF77}">
      <text>
        <t>[Threaded comment]
Your version of Excel allows you to read this threaded comment; however, any edits to it will get removed if the file is opened in a newer version of Excel. Learn more: https://go.microsoft.com/fwlink/?linkid=870924
Comment:
    See Schedule 13D of 8th September '21: https://d18rn0p25nwr6d.cloudfront.net/CIK-0001283699/c3ded67c-bfb1-4c33-975f-810bb9503b80.pdf.</t>
      </text>
    </comment>
    <comment ref="AD96" authorId="15" shapeId="0" xr:uid="{BB59C666-F831-403A-A753-AC1744D77BAC}">
      <text>
        <t>[Threaded comment]
Your version of Excel allows you to read this threaded comment; however, any edits to it will get removed if the file is opened in a newer version of Excel. Learn more: https://go.microsoft.com/fwlink/?linkid=870924
Comment:
    See pg.12-13 of SBG 2Q21 Consolidated Financial Report: SBG switched 45.4m T-Mobile shares for 225m Deutsche Telekom shares with reference price €20 i.e., implies exercise price on T-Mobile shares of around $117 for T-Mobile shares at USD/EUR FX i.e., significant discount to market price of TMUS.
Reply:
    https://group.softbank/system/files/pdf/ir/financials/financial_reports/financial-report_q2fy2021_01_en.pdf</t>
      </text>
    </comment>
    <comment ref="AH96" authorId="16" shapeId="0" xr:uid="{73304EC0-87A4-49F8-A8A9-096D33699F61}">
      <text>
        <t>[Threaded comment]
Your version of Excel allows you to read this threaded comment; however, any edits to it will get removed if the file is opened in a newer version of Excel. Learn more: https://go.microsoft.com/fwlink/?linkid=870924
Comment:
    See pg.14 of SBG 4Q21 Consolidated Financial Report: post-FY21 year end SBG sold 21.2m T-Mobile shares to Deutsche Telekom for $2.4bn consideration.
Reply:
    https://group.softbank/system/files/pdf/ir/financials/financial_reports/financial-report_q4fy2021_01_en.pdf</t>
      </text>
    </comment>
    <comment ref="AF98" authorId="17" shapeId="0" xr:uid="{82F39EB0-ECD2-4307-96F9-4CD9CCF8E9B6}">
      <text>
        <t>[Threaded comment]
Your version of Excel allows you to read this threaded comment; however, any edits to it will get removed if the file is opened in a newer version of Excel. Learn more: https://go.microsoft.com/fwlink/?linkid=870924
Comment:
    See pg.14 of SBG 4Q21 Consolidated Financial Report: in March '22 SBG procured additional $680m of funds using 6.865m T-Mobile shares.
Reply:
    https://group.softbank/system/files/pdf/ir/financials/financial_reports/financial-report_q4fy2021_01_en.pdf</t>
      </text>
    </comment>
    <comment ref="AH98" authorId="18" shapeId="0" xr:uid="{774B4FE3-B5C3-4855-A8DE-42EA32961F8D}">
      <text>
        <t>[Threaded comment]
Your version of Excel allows you to read this threaded comment; however, any edits to it will get removed if the file is opened in a newer version of Excel. Learn more: https://go.microsoft.com/fwlink/?linkid=870924
Comment:
    See pg.14 of SBG 4Q21 Consolidated Financial Report: in March '22 SBG procured additional $680m of funds using 6.865m T-Mobile shares.
Reply:
    https://group.softbank/system/files/pdf/ir/financials/financial_reports/financial-report_q4fy2021_01_en.pdf</t>
      </text>
    </comment>
    <comment ref="AR98" authorId="19" shapeId="0" xr:uid="{FA1D7D62-3D7A-47FA-8A8F-9D1883D8DCD3}">
      <text>
        <t>[Threaded comment]
Your version of Excel allows you to read this threaded comment; however, any edits to it will get removed if the file is opened in a newer version of Excel. Learn more: https://go.microsoft.com/fwlink/?linkid=870924
Comment:
    https://group.softbank/system/files/pdf/ir/presentations/2024/investor-accounting_q1fy2024_01_en.pdf
Reply:
    See slide 6 of F1Q Accounting presentation: of 32m “fixed” strike price call options, 6.7m related to DT (called by DT in June ‘24 for exercise price of $99.51 per share) &amp; 24.8m related to T-Mobile shares used for other prepaid forward contracts. 20m of these prepaid forward contracts were settled during F1Q for $2.6bn with remaining 4.8m settled on 1 July ‘24 for $540m.</t>
      </text>
    </comment>
    <comment ref="V102" authorId="20" shapeId="0" xr:uid="{3684E18F-C72E-43AC-8BB5-642EB6455972}">
      <text>
        <t>[Threaded comment]
Your version of Excel allows you to read this threaded comment; however, any edits to it will get removed if the file is opened in a newer version of Excel. Learn more: https://go.microsoft.com/fwlink/?linkid=870924
Comment:
    See pg.27 of SBG 1Q23 Consolidated Financial Report: https://group.softbank/system/files/pdf/ir/financials/financial_reports/financial-report_q1fy2023_01_en.pdf.
Reply:
    Also see Schedule 13D dated 1st June '23: Delaware Project 4 LLC i.e., SBG subsidiary received 3.5664 million T-Mobile shares as part of contingent value rights from Sprint merger.
Reply:
    https://d18rn0p25nwr6d.cloudfront.net/CIK-0001283699/e7f5b2ed-e1ae-43aa-b9dc-ca125b8cb4b7.pdf</t>
      </text>
    </comment>
    <comment ref="V103" authorId="21" shapeId="0" xr:uid="{41D57B4B-3546-44F9-BE20-0F60C0D3504B}">
      <text>
        <t>[Threaded comment]
Your version of Excel allows you to read this threaded comment; however, any edits to it will get removed if the file is opened in a newer version of Excel. Learn more: https://go.microsoft.com/fwlink/?linkid=870924
Comment:
    See pg.6 of T-Mobile US 8-K from April '20 post-Sprint merger: https://d18rn0p25nwr6d.cloudfront.net/CIK-0001283699/87d35a79-789f-48bf-a6e3-36cbd3eaf667.pdf.
Reply:
    Also see pg.5 of SBG 1Q20 Consolidated Financial Report: https://group.softbank/system/files/pdf/ir/financials/financial_reports/financial-report_q1fy2020_01_en.pdf.</t>
      </text>
    </comment>
    <comment ref="AO105" authorId="22" shapeId="0" xr:uid="{A4C2BCBB-0422-41AF-BA4C-4840E0E212B3}">
      <text>
        <t>[Threaded comment]
Your version of Excel allows you to read this threaded comment; however, any edits to it will get removed if the file is opened in a newer version of Excel. Learn more: https://go.microsoft.com/fwlink/?linkid=870924
Comment:
    See Schedule 13D dated 22nd December '23: 48.8m T-Mobile shares issued to SBG for no consideration: https://d18rn0p25nwr6d.cloudfront.net/CIK-0001283699/2bad1eb1-a762-4b84-b306-1f1696420a4b.pdf.
Reply:
    See also pg.6 of SBG 3Q23 Consolidated Financial Report: https://group.softbank/system/files/pdf/ir/financials/financial_reports/financial-report_q3fy2023_01_en.pdf.</t>
      </text>
    </comment>
    <comment ref="V136" authorId="23" shapeId="0" xr:uid="{3AF2CDFD-5C8F-412D-8C86-D8F8ACCC3833}">
      <text>
        <t>[Threaded comment]
Your version of Excel allows you to read this threaded comment; however, any edits to it will get removed if the file is opened in a newer version of Excel. Learn more: https://go.microsoft.com/fwlink/?linkid=870924
Comment:
    See pg.26 of T-Mobile US 8-K from April '20 post-Sprint merger: https://d18rn0p25nwr6d.cloudfront.net/CIK-0001283699/87d35a79-789f-48bf-a6e3-36cbd3eaf667.pdf.</t>
      </text>
    </comment>
    <comment ref="AO145" authorId="24" shapeId="0" xr:uid="{1AADDDE3-7770-4CCD-8CC5-C92F0B507E59}">
      <text>
        <t>[Threaded comment]
Your version of Excel allows you to read this threaded comment; however, any edits to it will get removed if the file is opened in a newer version of Excel. Learn more: https://go.microsoft.com/fwlink/?linkid=870924
Comment:
    See Schedule 13D dated 22nd December '23: 48.8m T-Mobile shares issued to SBG for no consideration: https://d18rn0p25nwr6d.cloudfront.net/CIK-0001283699/2bad1eb1-a762-4b84-b306-1f1696420a4b.pdf.
Reply:
    See also pg.6 of SBG 3Q23 Consolidated Financial Report: https://group.softbank/system/files/pdf/ir/financials/financial_reports/financial-report_q3fy2023_01_en.pdf.</t>
      </text>
    </comment>
    <comment ref="AR147" authorId="25" shapeId="0" xr:uid="{5F743C1B-99B8-47AA-A1DB-190B2110666E}">
      <text>
        <t>[Threaded comment]
Your version of Excel allows you to read this threaded comment; however, any edits to it will get removed if the file is opened in a newer version of Excel. Learn more: https://go.microsoft.com/fwlink/?linkid=870924
Comment:
    See Deutsche Telekom June '24 press release re. acquisition of 6.7m T-Mobile US shares.
Reply:
    https://www.telekom.com/en/media/media-information/archive/deutsche-telekom-acquires-6-7-million-t-mobile-us-shares-significantly-below-market-price-1067800#:~:text=Deutsche%20Telekom%20is%20acquiring%20roughly,were%20agreed%20in%20June%202020.</t>
      </text>
    </comment>
    <comment ref="X148" authorId="26" shapeId="0" xr:uid="{16D1339F-768D-488C-BFF1-85949BE9194F}">
      <text>
        <t>[Threaded comment]
Your version of Excel allows you to read this threaded comment; however, any edits to it will get removed if the file is opened in a newer version of Excel. Learn more: https://go.microsoft.com/fwlink/?linkid=870924
Comment:
    See pg.6-7 of SBG 1Q20 Consolidated Financial Report: SBG borrowed $4.38bn against T-Mobile shares in July '20 but $2.08bn of the margin loan is guaranteed by SBG i.e., not non-recourse vs. $2.3bn non-recourse to Group i.e., only offset $2.3bn against T-Mobile position: https://group.softbank/system/files/pdf/ir/financials/financial_reports/financial-report_q1fy2020_01_en.pdf.</t>
      </text>
    </comment>
    <comment ref="AD148" authorId="27" shapeId="0" xr:uid="{B43D9726-CE20-4174-9C59-A41C59928619}">
      <text>
        <t>[Threaded comment]
Your version of Excel allows you to read this threaded comment; however, any edits to it will get removed if the file is opened in a newer version of Excel. Learn more: https://go.microsoft.com/fwlink/?linkid=870924
Comment:
    See pg.12 of SBG 2Q21 Consolidated Financial Report and pg.11 of SBG 3Q21 Consolidated Financial Report: includes $1.25bn temporary bridge loan against T-Mobile shares later repaid using collar transactions against SBG's 225m DT shares i.e., $1.25bn of leverage switched to be backed by DT equity holding.</t>
      </text>
    </comment>
    <comment ref="AO153" authorId="28" shapeId="0" xr:uid="{DFD50585-9727-4800-A236-4DCDE9549A41}">
      <text>
        <t>[Threaded comment]
Your version of Excel allows you to read this threaded comment; however, any edits to it will get removed if the file is opened in a newer version of Excel. Learn more: https://go.microsoft.com/fwlink/?linkid=870924
Comment:
    See Schedule 13D dated 22nd December '23: 48.8m T-Mobile shares issued to SBG for no consideration: https://d18rn0p25nwr6d.cloudfront.net/CIK-0001283699/2bad1eb1-a762-4b84-b306-1f1696420a4b.pdf.
Reply:
    See also pg.6 of SBG 3Q23 Consolidated Financial Report: https://group.softbank/system/files/pdf/ir/financials/financial_reports/financial-report_q3fy2023_01_en.pdf.</t>
      </text>
    </comment>
    <comment ref="X157" authorId="29" shapeId="0" xr:uid="{BC556393-0B62-428F-9896-EE5170F4546B}">
      <text>
        <t>[Threaded comment]
Your version of Excel allows you to read this threaded comment; however, any edits to it will get removed if the file is opened in a newer version of Excel. Learn more: https://go.microsoft.com/fwlink/?linkid=870924
Comment:
    See pg.6-7 of SBG 1Q20 Consolidated Financial Report: SBG borrowed $4.38bn against T-Mobile shares in July '20 but $2.08bn of the margin loan is guaranteed by SBG i.e., not non-recourse vs. $2.3bn non-recourse to Group i.e., only offset $2.3bn against T-Mobile position: https://group.softbank/system/files/pdf/ir/financials/financial_reports/financial-report_q1fy2020_01_en.pdf.</t>
      </text>
    </comment>
    <comment ref="AD159" authorId="30" shapeId="0" xr:uid="{817ACFDE-EF0E-441D-9CE8-1419A7AF7343}">
      <text>
        <t>[Threaded comment]
Your version of Excel allows you to read this threaded comment; however, any edits to it will get removed if the file is opened in a newer version of Excel. Learn more: https://go.microsoft.com/fwlink/?linkid=870924
Comment:
    See pg.12 of SBG 2Q21 Consolidated Financial Report: 17.9m T-Mobile shares used for prepaid forward contracts ($1.8bn) plus margin loan borrowings ($2.6bn) made against remaining 43.0m T-Mobile shares.
Reply:
    https://group.softbank/system/files/pdf/ir/financials/financial_reports/financial-report_q2fy2021_01_en.pdf</t>
      </text>
    </comment>
    <comment ref="AR166" authorId="31" shapeId="0" xr:uid="{EA006018-50DC-41A3-8E13-8542C995F2BB}">
      <text>
        <t>[Threaded comment]
Your version of Excel allows you to read this threaded comment; however, any edits to it will get removed if the file is opened in a newer version of Excel. Learn more: https://go.microsoft.com/fwlink/?linkid=870924
Comment:
    See Deutsche Telekom June '24 press release re. acquisition of 6.7m T-Mobile US shares.
Reply:
    https://www.telekom.com/en/media/media-information/archive/deutsche-telekom-acquires-6-7-million-t-mobile-us-shares-significantly-below-market-price-1067800#:~:text=Deutsche%20Telekom%20is%20acquiring%20roughly,were%20agreed%20in%20June%202020.</t>
      </text>
    </comment>
    <comment ref="A180" authorId="32" shapeId="0" xr:uid="{C83DCDC2-7FCE-4764-8E15-40436D9B4E6B}">
      <text>
        <t>[Threaded comment]
Your version of Excel allows you to read this threaded comment; however, any edits to it will get removed if the file is opened in a newer version of Excel. Learn more: https://go.microsoft.com/fwlink/?linkid=870924
Comment:
    https://investor.t-mobile.com/stock-info/dividend-history/default.aspx</t>
      </text>
    </comment>
    <comment ref="AU190" authorId="33" shapeId="0" xr:uid="{50CB367E-3576-4CC2-8A0F-754B6E5F2E9C}">
      <text>
        <t>[Threaded comment]
Your version of Excel allows you to read this threaded comment; however, any edits to it will get removed if the file is opened in a newer version of Excel. Learn more: https://go.microsoft.com/fwlink/?linkid=870924
Comment:
    https://www.telekom.com/en/investor-relations/investor-relations/announcement-of-share-buy-back-2025-1085520</t>
      </text>
    </comment>
    <comment ref="AD191" authorId="34" shapeId="0" xr:uid="{6AC8E6BA-AC4F-4617-A289-5210D2442597}">
      <text>
        <t>[Threaded comment]
Your version of Excel allows you to read this threaded comment; however, any edits to it will get removed if the file is opened in a newer version of Excel. Learn more: https://go.microsoft.com/fwlink/?linkid=870924
Comment:
    See SoftBank Group &amp; Deutsche Telekom Long-Term Strategic Partnership and Equity Share Swap Agreement from September '21: DT to acquire 45m T-Mobile shares from SBG by issuing SBG 225m DT shares. Per the press release by SBG the DT reference price for the transaction is €20 i.e., this has been a value accretive transaction given DT share price now &gt;€21 (as at April '24).
Reply:
    https://group.softbank/en/news/press/20210907</t>
      </text>
    </comment>
    <comment ref="AU191" authorId="35" shapeId="0" xr:uid="{44AFCF0A-6340-43CD-8FB0-7CAC077534D9}">
      <text>
        <t>[Threaded comment]
Your version of Excel allows you to read this threaded comment; however, any edits to it will get removed if the file is opened in a newer version of Excel. Learn more: https://go.microsoft.com/fwlink/?linkid=870924
Comment:
    Per SoftBank Group’s F4Q Accounting presentation: SBG physically settled 19.5m DT collar transactions during F4Q and released some shares previously held as collateral. Calcs.: $668m of $6,947m gross DT position NOT subject to collar transaction -&gt; approx. 8.75% feed-through of share price gains to be reflected in SBG NAV.
Reply:
    https://group.softbank/media/Project/sbg/sbg/pdf/ir/presentations/2024/investor-accounting_q4fy2024_01_en.pdf</t>
      </text>
    </comment>
    <comment ref="AW191" authorId="36" shapeId="0" xr:uid="{68E37A26-C6D9-4C20-A922-2723EE9DE652}">
      <text>
        <t>[Threaded comment]
Your version of Excel allows you to read this threaded comment; however, any edits to it will get removed if the file is opened in a newer version of Excel. Learn more: https://go.microsoft.com/fwlink/?linkid=870924
Comment:
    Per SoftBank Group’s F1Q Accounting presentation (pg.6): SBG held 166.5m DT shares at the end of F1Q25.
Reply:
    https://group.softbank/media/Project/sbg/sbg/pdf/ir/presentations/2025/investor-accounting_q1fy2025_01_en.pdf</t>
      </text>
    </comment>
    <comment ref="AX191" authorId="37" shapeId="0" xr:uid="{6CBFA3AB-076E-49CE-8F5D-F2FB87C69819}">
      <text>
        <t>[Threaded comment]
Your version of Excel allows you to read this threaded comment; however, any edits to it will get removed if the file is opened in a newer version of Excel. Learn more: https://go.microsoft.com/fwlink/?linkid=870924
Comment:
    Per SoftBank F1Q earnings presentation (pg.51) and IR commentary: post June quarter close, SoftBank’s ownership decreased from 3.3% to 0.4%/21m (18m from physical settlement + 3m from early unwind of derivatives).
Reply:
    https://group.softbank/media/Project/sbg/sbg/pdf/ir/presentations/2025/earnings-presentation_q1fy2025_01_en.pdf
Reply:
    Per SoftBank F2Q earnings presentation (pg.8 of “Accounting” slides): DT position of 10.8m shares at end of F2Q.
Reply:
    https://group.softbank/media/Project/sbg/sbg/pdf/ir/presentations/2025/investor-presentation_q2fy2025_01_en.pdf</t>
      </text>
    </comment>
    <comment ref="AD193" authorId="38" shapeId="0" xr:uid="{5C9F0AA3-52D8-4A54-ABB1-A1ECD844CF71}">
      <text>
        <t>[Threaded comment]
Your version of Excel allows you to read this threaded comment; however, any edits to it will get removed if the file is opened in a newer version of Excel. Learn more: https://go.microsoft.com/fwlink/?linkid=870924
Comment:
    DT shareholder structure page: https://www.telekom.com/en/investor-relations/share/shareholder-structure.</t>
      </text>
    </comment>
    <comment ref="AP197" authorId="39" shapeId="0" xr:uid="{D44048A8-EA5D-4370-B4C2-28B939D01F8A}">
      <text>
        <t>[Threaded comment]
Your version of Excel allows you to read this threaded comment; however, any edits to it will get removed if the file is opened in a newer version of Excel. Learn more: https://go.microsoft.com/fwlink/?linkid=870924
Comment:
    https://www.telekom.com/en/investor-relations/investor-relations/announcement-of-share-buy-back-2024-1055780</t>
      </text>
    </comment>
    <comment ref="AE215" authorId="40" shapeId="0" xr:uid="{0C321568-6A96-495F-88E1-967C0589FED2}">
      <text>
        <t>[Threaded comment]
Your version of Excel allows you to read this threaded comment; however, any edits to it will get removed if the file is opened in a newer version of Excel. Learn more: https://go.microsoft.com/fwlink/?linkid=870924
Comment:
    See pg.87 of FY21 i.e., 2022 Annual Report: details 45m/225m T-Mobile/DT share switch plus fund procurement/borrowings against T-Mobile and Deutsche Telekom shares.
Reply:
    https://group.softbank/system/files/pdf/ir/financials/annual_reports/annual-report_fy2022_en.pdf</t>
      </text>
    </comment>
    <comment ref="A230" authorId="41" shapeId="0" xr:uid="{9A4482DA-ED7B-485D-BD87-C2620DF7FFE4}">
      <text>
        <t>[Threaded comment]
Your version of Excel allows you to read this threaded comment; however, any edits to it will get removed if the file is opened in a newer version of Excel. Learn more: https://go.microsoft.com/fwlink/?linkid=870924
Comment:
    https://www.telekom.com/en/investor-relations/share/dividend</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tc={0000EE3C-4A71-490D-BBC1-5087BCC55242}</author>
    <author>tc={18C55173-5E0F-4852-B8E3-CEDBDBFC5E9E}</author>
    <author>tc={7C451149-BDD5-4805-8182-918D27B27BFE}</author>
    <author>tc={A9B42A82-5448-46E2-8CA5-5B954636546F}</author>
    <author>tc={22377E76-F563-4375-9B89-DABB2485F9E2}</author>
    <author>tc={F24FA42B-04B9-4073-B685-AA07A15A6942}</author>
    <author>tc={03416C10-D3D4-461D-A30A-A8159611DE6A}</author>
    <author>tc={63EB6B94-B0FB-4921-8A7A-264230662E12}</author>
    <author>tc={52DC0B66-CD1F-41E4-B12F-7480ED16A691}</author>
    <author>tc={FE7DCC29-0D0E-49F6-A77D-BEEE3B827B37}</author>
    <author>tc={910D5A74-D1C9-4634-8B4A-72FE5D48AEB5}</author>
    <author>tc={CA891664-6453-4E36-933F-7F8FFB839C5C}</author>
    <author>tc={6AB4475D-B551-4232-BF3F-68693917BDD5}</author>
    <author>tc={8BD72DCA-0B7A-43B5-8BC0-B3ED9E5356FD}</author>
    <author>tc={05EA6C46-04C0-411B-96C9-DA3CE18988F6}</author>
    <author>tc={51FDC11A-1713-4DED-B9C0-2002E77AC1BE}</author>
    <author>tc={CB37A72E-7B77-44DE-8BD7-EEAE4D786D44}</author>
    <author>tc={2010783E-55B4-4AD6-B20A-97F11FC56182}</author>
    <author>tc={B11501D3-DE86-4B53-A3CF-D6A7D9F09070}</author>
    <author>tc={95935F5C-B684-4D96-9039-E788F5C6766A}</author>
    <author>tc={C72B7A59-E25F-4B23-96F4-EBED59BFDE1D}</author>
    <author>tc={D5C5DC1B-EDE7-4357-B614-547DF813103F}</author>
    <author>tc={CF2F624C-1AC2-4B57-9EDF-E13BF711E0FB}</author>
    <author>tc={096B0520-5D75-4FD6-9CBE-B6BA585B91CF}</author>
    <author>tc={20F260BB-E39C-430D-AD1F-2FEDFE7B6421}</author>
    <author>tc={9068B293-D607-455C-AD18-2ADAAF5E74E8}</author>
    <author>tc={9B74AE2B-E70D-48D1-AC10-4C67F3F9ED9B}</author>
    <author>tc={094D6870-DC04-4F1E-B2B8-DECBD65CBFD8}</author>
    <author>tc={72373773-54ED-4F6F-8301-A3F4273FF2EF}</author>
    <author>tc={9DF0D109-F037-4479-B423-6C98B748CEE5}</author>
    <author>tc={514F3028-672D-4099-8DCB-A6553DCD2891}</author>
    <author>tc={BC03B886-91D6-4661-9088-AF45B373A32A}</author>
    <author>tc={955D5548-0503-4E11-B181-BCDA9046F8F4}</author>
    <author>tc={E371D00D-FF74-46FE-8395-997B505E5CD2}</author>
    <author>tc={317F449B-5C67-47C3-9B19-6EED056CF58C}</author>
    <author>tc={E2102288-0409-4408-9C5F-A76C6A445BCD}</author>
    <author>tc={FF3536BC-2478-4BEF-BBFF-B7245E3CE4DF}</author>
    <author>tc={D1F278A2-6024-4DA1-969A-EA9EBE33A1AB}</author>
    <author>tc={523FF0B6-79A0-456B-96E9-81E842EB7793}</author>
    <author>tc={06FC85D3-58D7-408E-ABAF-BC99592F4412}</author>
    <author>tc={89842C71-5527-41F8-BAB9-65C096F863C9}</author>
    <author>tc={97B83119-E6C2-421B-8EA3-AD98DDAEA000}</author>
    <author>tc={FD4A8873-8425-4144-89D5-7FFD79AA2C92}</author>
    <author>tc={8F17D196-5A23-4BA3-B117-676BC1A3297F}</author>
    <author>tc={0FD23251-4F13-4288-A788-45D7AD92B27E}</author>
    <author>tc={76964DFD-57CC-4475-9EC5-D0242E3045DF}</author>
    <author>tc={BBB26540-66B4-487E-87E6-AF9FC5071371}</author>
    <author>tc={4B960F8C-F718-44BC-B727-B6ED1EBE26EC}</author>
    <author>tc={2F8A6E80-672B-4D9A-B2BE-2680F16D067E}</author>
    <author>tc={99FE2579-F83E-4446-97BB-2BBA7C3F5725}</author>
    <author>tc={58BA8892-738F-4A68-A45F-3515152ECB0F}</author>
    <author>tc={798A5EF6-CE9D-481C-AB2F-3D769AFE4B7A}</author>
    <author>tc={3923EBE4-3FDA-4B58-8AC4-48DA7B9838A7}</author>
    <author>tc={FDB93FD7-B0AD-4E9B-9AC9-E9463585C943}</author>
    <author>tc={8112A252-3367-4EE2-BACA-F4C026823EC9}</author>
    <author>tc={BA91FC6A-DD06-4CD9-AC36-A8B5E54CC36B}</author>
    <author>tc={F291271E-D935-492E-98C7-0921DB85C3ED}</author>
    <author>tc={3BB891F0-E050-4CB3-AAFC-B4DB6FE2C385}</author>
    <author>tc={1AFB8A25-D15C-4E03-8719-0B7ED9AE550D}</author>
    <author>tc={89460835-C989-4CDF-92CD-2136A0880625}</author>
    <author>tc={3B51921F-FD81-4954-B5CF-220D55372A3A}</author>
    <author>tc={BFDF0657-9AD6-451B-8E41-7F93F239303C}</author>
    <author>tc={E13AF647-78F8-41A3-BE2E-2D1C3FA673E7}</author>
    <author>tc={C32DBF35-E2E0-4AA4-9FBF-D29D3A0885DB}</author>
    <author>tc={CCCAE25F-F5CB-4D84-96E7-09A14DDBEAE6}</author>
    <author>tc={A2FD3459-8FEC-427A-BCE8-40281E680377}</author>
    <author>tc={86C72033-5763-48BF-BE41-B359B8737319}</author>
    <author>tc={950D46EC-7E7F-4C1F-9306-147C83F66745}</author>
    <author>tc={BB84523F-774A-4988-8E62-B678D8CC17D5}</author>
    <author>tc={44B5E4A7-144B-4E11-8EC4-765E6FDB8514}</author>
  </authors>
  <commentList>
    <comment ref="Q4" authorId="0" shapeId="0" xr:uid="{0000EE3C-4A71-490D-BBC1-5087BCC55242}">
      <text>
        <t>[Threaded comment]
Your version of Excel allows you to read this threaded comment; however, any edits to it will get removed if the file is opened in a newer version of Excel. Learn more: https://go.microsoft.com/fwlink/?linkid=870924
Comment:
    See pg.22-23 of 4Q18 Consolidated Financial Report: $2.8bn NVIDIA shares purchased in December '16 in anticipation of SVF1 launch in 1Q17 &amp; later transferred to SVF1. Disposed of (hedged) position in 4Q18 (i.e., January '19) for total valuation gain of $2.8bn: $1.45bn gain on shares plus $1.465bn derivative gain on collar transaction.</t>
      </text>
    </comment>
    <comment ref="N9" authorId="1" shapeId="0" xr:uid="{18C55173-5E0F-4852-B8E3-CEDBDBFC5E9E}">
      <text>
        <t>[Threaded comment]
Your version of Excel allows you to read this threaded comment; however, any edits to it will get removed if the file is opened in a newer version of Excel. Learn more: https://go.microsoft.com/fwlink/?linkid=870924
Comment:
    See pg.22 of 2Q18 Consolidated Financial Report: at this point in reporting cycle SBG separating SVF1 &amp; Delta Fund gains/losses within SVF segment reporting but (per our understanding) these were later combined so we simply aggregate.</t>
      </text>
    </comment>
    <comment ref="O9" authorId="2" shapeId="0" xr:uid="{7C451149-BDD5-4805-8182-918D27B27BFE}">
      <text>
        <t>[Threaded comment]
Your version of Excel allows you to read this threaded comment; however, any edits to it will get removed if the file is opened in a newer version of Excel. Learn more: https://go.microsoft.com/fwlink/?linkid=870924
Comment:
    See pg.21 of 2Q18 Consolidated Financial Report: at this point in reporting cycle SBG separating SVF1 &amp; Delta Fund gains/losses within SVF segment reporting but (per our understanding) these were later combined so we simply aggregate.</t>
      </text>
    </comment>
    <comment ref="P9" authorId="3" shapeId="0" xr:uid="{A9B42A82-5448-46E2-8CA5-5B954636546F}">
      <text>
        <t>[Threaded comment]
Your version of Excel allows you to read this threaded comment; however, any edits to it will get removed if the file is opened in a newer version of Excel. Learn more: https://go.microsoft.com/fwlink/?linkid=870924
Comment:
    See pg.21 of 3Q18 Consolidated Financial Report: at this point in reporting cycle SBG separating SVF1 &amp; Delta Fund gains/losses within SVF segment reporting but (per our understanding) these were later combined so we simply aggregate.</t>
      </text>
    </comment>
    <comment ref="R9" authorId="4" shapeId="0" xr:uid="{22377E76-F563-4375-9B89-DABB2485F9E2}">
      <text>
        <t>[Threaded comment]
Your version of Excel allows you to read this threaded comment; however, any edits to it will get removed if the file is opened in a newer version of Excel. Learn more: https://go.microsoft.com/fwlink/?linkid=870924
Comment:
    See pg.22 of 4Q18 Consolidated Financial Report: the main contributors to ¥1bn gain on SVF investments are Uber (¥418bn gain ahead of likely IPO valuation), Guardant Health (¥203bn &amp; already publicly listed) and OYO (¥154bn) based on private fund raisings during FY18.
Reply:
    Note: per pg.26 table SVF1 invested $7.7bn in Uber with shares originally purchased at Group level for the purpose of selling on to SVF1.</t>
      </text>
    </comment>
    <comment ref="AC10" authorId="5" shapeId="0" xr:uid="{F24FA42B-04B9-4073-B685-AA07A15A6942}">
      <text>
        <t>[Threaded comment]
Your version of Excel allows you to read this threaded comment; however, any edits to it will get removed if the file is opened in a newer version of Excel. Learn more: https://go.microsoft.com/fwlink/?linkid=870924
Comment:
    See pg.19 of Consolidated Financial Report: ARM distributed shares of Treasure Data Inc. as a "dividend-in-kind" to SVF1 shareholders, worth ¥20.8m.</t>
      </text>
    </comment>
    <comment ref="P31" authorId="6" shapeId="0" xr:uid="{03416C10-D3D4-461D-A30A-A8159611DE6A}">
      <text>
        <t>[Threaded comment]
Your version of Excel allows you to read this threaded comment; however, any edits to it will get removed if the file is opened in a newer version of Excel. Learn more: https://go.microsoft.com/fwlink/?linkid=870924
Comment:
    See pg.21 of 3Q18 Consolidated Financial Report: below the line (i.e., below segment Operating income) items not yet reported for SVF segment but talks of ¥249,509m gain relating to an NVIDIA collar transaction (vs. ¥299,539m unrealised loss on NVIDIA shares during 3Q).</t>
      </text>
    </comment>
    <comment ref="R31" authorId="7" shapeId="0" xr:uid="{63EB6B94-B0FB-4921-8A7A-264230662E12}">
      <text>
        <t>[Threaded comment]
Your version of Excel allows you to read this threaded comment; however, any edits to it will get removed if the file is opened in a newer version of Excel. Learn more: https://go.microsoft.com/fwlink/?linkid=870924
Comment:
    See pg.21 of 4Q18 Consolidated Financial Report: ¥168,471m of Derivative gain relates to NVIDIA collar transaction.</t>
      </text>
    </comment>
    <comment ref="Z50" authorId="8" shapeId="0" xr:uid="{52DC0B66-CD1F-41E4-B12F-7480ED16A691}">
      <text>
        <t>[Threaded comment]
Your version of Excel allows you to read this threaded comment; however, any edits to it will get removed if the file is opened in a newer version of Excel. Learn more: https://go.microsoft.com/fwlink/?linkid=870924
Comment:
    See pg.30 of 3Q20 Consolidated Financial Report: attributing $14.7bn of $20.1bn SVF1 "unrealised gain" to investments in DoorDash and Uber (each company had previously IPO'd and so publicly listed).</t>
      </text>
    </comment>
    <comment ref="AC50" authorId="9" shapeId="0" xr:uid="{FE7DCC29-0D0E-49F6-A77D-BEEE3B827B37}">
      <text>
        <t>[Threaded comment]
Your version of Excel allows you to read this threaded comment; however, any edits to it will get removed if the file is opened in a newer version of Excel. Learn more: https://go.microsoft.com/fwlink/?linkid=870924
Comment:
    See pg.18 of Consolidated Financial Report: SBG calling out strong share price performances of DiDi and Full Truck Alliance (both of which IPO'd during 1Q21).</t>
      </text>
    </comment>
    <comment ref="AD52" authorId="10" shapeId="0" xr:uid="{910D5A74-D1C9-4634-8B4A-72FE5D48AEB5}">
      <text>
        <t>[Threaded comment]
Your version of Excel allows you to read this threaded comment; however, any edits to it will get removed if the file is opened in a newer version of Excel. Learn more: https://go.microsoft.com/fwlink/?linkid=870924
Comment:
    Use quarterly Consolidated Financial Reports: Ctrl+F "entitled to" to get to tables in the notes which reconcile Change in Third-Party interests in SVF1 &amp; SVF2 (these are presented separately i.e., we can track Third-Party interests across each fund) but key point is to reverse the sign from these tables e.g., SVF1 table will show a +ve figure for "Attributable to investors entitled to fixed distribution" but in the P&amp;L and SVF segment reporting this is a deduction of Third-Party interests so we put this in as a negative!
Reply:
    Key pt: an "increase" or +ve figure in Third-Party interests tables must be inputted as a "decrease" or -ve figure here.</t>
      </text>
    </comment>
    <comment ref="AC56" authorId="11" shapeId="0" xr:uid="{CA891664-6453-4E36-933F-7F8FFB839C5C}">
      <text>
        <t>[Threaded comment]
Your version of Excel allows you to read this threaded comment; however, any edits to it will get removed if the file is opened in a newer version of Excel. Learn more: https://go.microsoft.com/fwlink/?linkid=870924
Comment:
    See pg.19 of Consolidated Financial Report: partial sale of KE Holdings.</t>
      </text>
    </comment>
    <comment ref="AD59" authorId="12" shapeId="0" xr:uid="{6AB4475D-B551-4232-BF3F-68693917BDD5}">
      <text>
        <t>[Threaded comment]
Your version of Excel allows you to read this threaded comment; however, any edits to it will get removed if the file is opened in a newer version of Excel. Learn more: https://go.microsoft.com/fwlink/?linkid=870924
Comment:
    Use quarterly Consolidated Financial Reports: Ctrl+F "entitled to" to get to tables in the notes which reconcile Change in Third-Party interests in SVF1 &amp; SVF2 (these are presented separately i.e., we can track Third-Party interests across each fund) but key point is to reverse the sign from these tables e.g., SVF1 table will show a +ve figure for "Attributable to investors entitled to fixed distribution" but in the P&amp;L and SVF segment reporting this is a deduction of Third-Party interests so we put this in as a negative!
Reply:
    Key pt: an "increase" or +ve figure in Third-Party interests tables must be inputted as a "decrease" or -ve figure here.</t>
      </text>
    </comment>
    <comment ref="AN76" authorId="13" shapeId="0" xr:uid="{8BD72DCA-0B7A-43B5-8BC0-B3ED9E5356FD}">
      <text>
        <t>[Threaded comment]
Your version of Excel allows you to read this threaded comment; however, any edits to it will get removed if the file is opened in a newer version of Excel. Learn more: https://go.microsoft.com/fwlink/?linkid=870924
Comment:
    See pg.5 of 2Q23 Consolidated Financial Report: SBG reporting ¥764m/$5.1bn gain on SVF investments in subsidiaries across 1H23 i.e., for simplicity we assume this is entirely SVF1's 24.99% ARM holding.
Reply:
    https://group.softbank/system/files/pdf/ir/financials/financial_reports/financial-report_q2fy2023_01_en.pdf</t>
      </text>
    </comment>
    <comment ref="A78" authorId="14" shapeId="0" xr:uid="{05EA6C46-04C0-411B-96C9-DA3CE18988F6}">
      <text>
        <t>[Threaded comment]
Your version of Excel allows you to read this threaded comment; however, any edits to it will get removed if the file is opened in a newer version of Excel. Learn more: https://go.microsoft.com/fwlink/?linkid=870924
Comment:
    i.e., be aware of three companies here: $8.2bn/24.99% SVF1 ARM holding (SBG subsidiary), WeWork investments across both SVF1 &amp; SVF2 (SBG equity method associate) and PayPay Corporation (SBG subsidiary).</t>
      </text>
    </comment>
    <comment ref="W82" authorId="15" shapeId="0" xr:uid="{51FDC11A-1713-4DED-B9C0-2002E77AC1BE}">
      <text>
        <t>[Threaded comment]
Your version of Excel allows you to read this threaded comment; however, any edits to it will get removed if the file is opened in a newer version of Excel. Learn more: https://go.microsoft.com/fwlink/?linkid=870924
Comment:
    See pg.19 of 4Q19 Consolidated Financial Report: SBG saying $17.3bn unrealised valuation loss in FY19 of which $5.2bn Uber (public share price decline), $4.6bn WeWork investments and $7.5bn "Other" portfolio investments (more than 80 companies).</t>
      </text>
    </comment>
    <comment ref="AB82" authorId="16" shapeId="0" xr:uid="{CB37A72E-7B77-44DE-8BD7-EEAE4D786D44}">
      <text>
        <t>[Threaded comment]
Your version of Excel allows you to read this threaded comment; however, any edits to it will get removed if the file is opened in a newer version of Excel. Learn more: https://go.microsoft.com/fwlink/?linkid=870924
Comment:
    See pg.32 of 4Q20 Consolidated Financial Report: SBG saying $52.2bn unrealised valuation gain in FY20 of which $40.5bn from listed portfolio companies i.e., Coupang and DoorDash (both IPO'd during FY20) &amp; Uber (significant share price recovery from Covid lows during FY20).</t>
      </text>
    </comment>
    <comment ref="AG82" authorId="17" shapeId="0" xr:uid="{2010783E-55B4-4AD6-B20A-97F11FC56182}">
      <text>
        <t>[Threaded comment]
Your version of Excel allows you to read this threaded comment; however, any edits to it will get removed if the file is opened in a newer version of Excel. Learn more: https://go.microsoft.com/fwlink/?linkid=870924
Comment:
    See pg.22-23 of 4Q21 Consolidated Financial Report: SBG saying unrealised loss of $23.9bn on SVF1 holdings and $2.2bn unrealised loss on SVF2 holdings. https://group.softbank/system/files/pdf/ir/financials/financial_reports/financial-report_q4fy2021_01_en.pdf
Reply:
    SVF1: loss of $31.8bn on listed portfolio companies (e.g., calling out Coupang, DiDi and Grab as contributors: note Coupang largest single publicly listed holding in SVF1 at &gt;$8bn and loss of $14.6bn during the period &amp; DiDi loss of $8bn and one of the most significant investment in terms of acquisition cost of &gt;$12bn by SVF1). Recorded $7.9bn valuation gain on unlisted/privately held companies: again, RED FLAG in terms of private company valuation methodologies.</t>
      </text>
    </comment>
    <comment ref="T84" authorId="18" shapeId="0" xr:uid="{B11501D3-DE86-4B53-A3CF-D6A7D9F09070}">
      <text>
        <t>[Threaded comment]
Your version of Excel allows you to read this threaded comment; however, any edits to it will get removed if the file is opened in a newer version of Excel. Learn more: https://go.microsoft.com/fwlink/?linkid=870924
Comment:
    See pg.8 &amp; pg.12 of 2Q19 Consolidated Financial Report: SVF recorded $3.5bn loss on WeWork investments in 2Q19 &amp; also mentions Uber's share price performance (i.e., already IPO'd) as a major contributor.</t>
      </text>
    </comment>
    <comment ref="AB110" authorId="19" shapeId="0" xr:uid="{95935F5C-B684-4D96-9039-E788F5C6766A}">
      <text>
        <t>[Threaded comment]
Your version of Excel allows you to read this threaded comment; however, any edits to it will get removed if the file is opened in a newer version of Excel. Learn more: https://go.microsoft.com/fwlink/?linkid=870924
Comment:
    See pg.32 of 4Q20 Consolidated Financial Report: SBG saying $52.2bn unrealised valuation gain in FY20 of which $40.5bn from listed portfolio companies i.e., Coupang and DoorDash (both IPO'd during FY20) &amp; Uber (significant share price recovery from Covid lows during FY20).</t>
      </text>
    </comment>
    <comment ref="AG110" authorId="20" shapeId="0" xr:uid="{C72B7A59-E25F-4B23-96F4-EBED59BFDE1D}">
      <text>
        <t>[Threaded comment]
Your version of Excel allows you to read this threaded comment; however, any edits to it will get removed if the file is opened in a newer version of Excel. Learn more: https://go.microsoft.com/fwlink/?linkid=870924
Comment:
    See pg.22-23 of 4Q21 Consolidated Financial Report: SBG saying unrealised loss of $23.9bn on SVF1 holdings and $2.2bn unrealised loss on SVF2 holdings. https://group.softbank/system/files/pdf/ir/financials/financial_reports/financial-report_q4fy2021_01_en.pdf
Reply:
    SVF1: loss of $31.8bn on listed portfolio companies (e.g., calling out Coupang, DiDi and Grab as contributors: note Coupang largest single publicly listed holding in SVF1 at &gt;$8bn and loss of $14.6bn during the period &amp; DiDi loss of $8bn and one of the most significant investment in terms of acquisition cost of &gt;$12bn by SVF1). Recorded $7.9bn valuation gain on unlisted/privately held companies: again, RED FLAG in terms of private company valuation methodologies.</t>
      </text>
    </comment>
    <comment ref="AL111" authorId="21" shapeId="0" xr:uid="{D5C5DC1B-EDE7-4357-B614-547DF813103F}">
      <text>
        <t>[Threaded comment]
Your version of Excel allows you to read this threaded comment; however, any edits to it will get removed if the file is opened in a newer version of Excel. Learn more: https://go.microsoft.com/fwlink/?linkid=870924
Comment:
    See pg.15 of 4Q22 Consolidated Financial Report: SBG saying 8% gain on listed (i.e., IPO'd) holdings vs. 3.6% loss on private portfolio companies &amp; the main contributors to listed company gains: DiDi, Coupang and DoorDash, partly offset by Grab.</t>
      </text>
    </comment>
    <comment ref="AL118" authorId="22" shapeId="0" xr:uid="{CF2F624C-1AC2-4B57-9EDF-E13BF711E0FB}">
      <text>
        <t>[Threaded comment]
Your version of Excel allows you to read this threaded comment; however, any edits to it will get removed if the file is opened in a newer version of Excel. Learn more: https://go.microsoft.com/fwlink/?linkid=870924
Comment:
    See pg.15 of 4Q22 Consolidated Financial Report: SBG saying 10% gain on listed (i.e., IPO'd) holdings vs. 7.7% loss on private portfolio companies &amp; the main contributors to listed company gains: AutoStore and Symbotic, partly offset by WeWork.</t>
      </text>
    </comment>
    <comment ref="AM139" authorId="23" shapeId="0" xr:uid="{096B0520-5D75-4FD6-9CBE-B6BA585B91CF}">
      <text>
        <t>[Threaded comment]
Your version of Excel allows you to read this threaded comment; however, any edits to it will get removed if the file is opened in a newer version of Excel. Learn more: https://go.microsoft.com/fwlink/?linkid=870924
Comment:
    See pg.3 of 1Q23 Consolidated Financial Report: SBG calling out increase in ARM valuation for SVF1 then eliminated in consolidated P&amp;L due to being a subsidiary of SBG (also still calling out PayPay Corporation in SVF2 as a fully consolidated subsidiary whose gains/losses would be eliminated upon consolidation: see pg.16 but unclear on size of holding!).
Reply:
    https://group.softbank/system/files/pdf/ir/financials/financial_reports/financial-report_q1fy2023_01_en.pdf</t>
      </text>
    </comment>
    <comment ref="AN139" authorId="24" shapeId="0" xr:uid="{20F260BB-E39C-430D-AD1F-2FEDFE7B6421}">
      <text>
        <t>[Threaded comment]
Your version of Excel allows you to read this threaded comment; however, any edits to it will get removed if the file is opened in a newer version of Excel. Learn more: https://go.microsoft.com/fwlink/?linkid=870924
Comment:
    See pg.5 of 2Q23 Consolidated Financial Report: SBG reporting ¥764m/$5.1bn gain on SVF investments in subsidiaries across 1H23 i.e., for simplicity we assume this is entirely SVF1's 24.99% ARM holding.
Reply:
    https://group.softbank/system/files/pdf/ir/financials/financial_reports/financial-report_q2fy2023_01_en.pdf</t>
      </text>
    </comment>
    <comment ref="AA205" authorId="25" shapeId="0" xr:uid="{9068B293-D607-455C-AD18-2ADAAF5E74E8}">
      <text>
        <t>[Threaded comment]
Your version of Excel allows you to read this threaded comment; however, any edits to it will get removed if the file is opened in a newer version of Excel. Learn more: https://go.microsoft.com/fwlink/?linkid=870924
Comment:
    See slide 18 of 4Q20 SoftBank Vision Funds Update presentation. https://group.softbank/system/files/pdf/ir/presentations/2020/investor-svf_q4fy2020_01_en.pdf</t>
      </text>
    </comment>
    <comment ref="X318" authorId="26" shapeId="0" xr:uid="{9B74AE2B-E70D-48D1-AC10-4C67F3F9ED9B}">
      <text>
        <t>[Threaded comment]
Your version of Excel allows you to read this threaded comment; however, any edits to it will get removed if the file is opened in a newer version of Excel. Learn more: https://go.microsoft.com/fwlink/?linkid=870924
Comment:
    See pg.19 of 1Q20 Consolidated Financial Report: no mention of SVF2 contributed capital or investments in Financial Report vs. $1.27bn SVF1 follow-on investments and $2.1bn SVF1 monetisations as mentioned at end of pg.19. https://group.softbank/system/files/pdf/ir/financials/financial_reports/financial-report_q1fy2020_01_en.pdf</t>
      </text>
    </comment>
    <comment ref="AC325" authorId="27" shapeId="0" xr:uid="{094D6870-DC04-4F1E-B2B8-DECBD65CBFD8}">
      <text>
        <t>[Threaded comment]
Your version of Excel allows you to read this threaded comment; however, any edits to it will get removed if the file is opened in a newer version of Excel. Learn more: https://go.microsoft.com/fwlink/?linkid=870924
Comment:
    See pg.83 of 2Q21 Consolidated Financial Report: "Collateral and other credit protection for receivables". Seems as though Son's $2.6bn commitment to SVF2 LLC is never to be paid in cash but this amount compounded at 3% p.a. would offset against Ordinary equity distributions from SVF 2 LLC for which MgmtCo owns 17.25%. Further, Son would personally guarantee receivables and deposited 8.9m SBG shares in SVF 2 LLC as collateral: equivalent to $500m-$550m in August '21 so approximately 1/5 of $2.6bn commitment.
Reply:
    https://group.softbank/system/files/pdf/ir/financials/financial_reports/financial-report_q2fy2021_01_en.pdf
Reply:
    See pg.110-112 of 4Q21 Consolidated Financial Report: details Related party transactions between SVF2 and MgmtCo &amp; shows that MgmtCo made no cash contributions to SVF2 LLC equity i.e., contribution is owed as a receivable to SBG and is offset against Performance based equity distributions.
Reply:
    https://group.softbank/system/files/pdf/ir/financials/financial_reports/financial-report_q4fy2021_01_en.pdf</t>
      </text>
    </comment>
    <comment ref="AC335" authorId="28" shapeId="0" xr:uid="{72373773-54ED-4F6F-8301-A3F4273FF2EF}">
      <text>
        <t>[Threaded comment]
Your version of Excel allows you to read this threaded comment; however, any edits to it will get removed if the file is opened in a newer version of Excel. Learn more: https://go.microsoft.com/fwlink/?linkid=870924
Comment:
    See pg.19 of Consolidated Financial Report: table at bottom of page shows $1.5bn of sales by SBG to SVF2 and in-kind contributions each of which would bypass FCF statement numbers &amp; therefore distort reconciliation.</t>
      </text>
    </comment>
    <comment ref="AD372" authorId="29" shapeId="0" xr:uid="{9DF0D109-F037-4479-B423-6C98B748CEE5}">
      <text>
        <t>[Threaded comment]
Your version of Excel allows you to read this threaded comment; however, any edits to it will get removed if the file is opened in a newer version of Excel. Learn more: https://go.microsoft.com/fwlink/?linkid=870924
Comment:
    Note: have not needed to amend this formula as SVF1 accounts for entirety of "Contributions into SVF from Third-party investors" as MgmtCo yet to make a "cash" equity contribution to SVF2 LLC.</t>
      </text>
    </comment>
    <comment ref="I375" authorId="30" shapeId="0" xr:uid="{514F3028-672D-4099-8DCB-A6553DCD2891}">
      <text>
        <t>[Threaded comment]
Your version of Excel allows you to read this threaded comment; however, any edits to it will get removed if the file is opened in a newer version of Excel. Learn more: https://go.microsoft.com/fwlink/?linkid=870924
Comment:
    See pg.19 of 1Q17 Consolidated Financial Report: no Contributions into SVF from third-party investors had been recorded in Cashflow statement at end 1Q17 but management commentary talks of gain on NVIDIA shares (held by the Company but to be transferred to SVF1) &amp; as such have attributed entire change in third-party interest during 1Q17 to ordinary equity holders.</t>
      </text>
    </comment>
    <comment ref="K376" authorId="31" shapeId="0" xr:uid="{BC03B886-91D6-4661-9088-AF45B373A32A}">
      <text>
        <t>[Threaded comment]
Your version of Excel allows you to read this threaded comment; however, any edits to it will get removed if the file is opened in a newer version of Excel. Learn more: https://go.microsoft.com/fwlink/?linkid=870924
Comment:
    Assumes there is no redemption of "principal" in 3Q17 as SVF1 "closing" not even complete at this point: i.e., assume all Distributions to/redemptions from SVF to third-party investors either payment of Preferred equity coupon (= June/December each year) or dividend pass-through to ordinary (third-party) equity portion (e.g., could be NVIDIA dividend..?).</t>
      </text>
    </comment>
    <comment ref="L377" authorId="32" shapeId="0" xr:uid="{955D5548-0503-4E11-B181-BCDA9046F8F4}">
      <text>
        <t>[Threaded comment]
Your version of Excel allows you to read this threaded comment; however, any edits to it will get removed if the file is opened in a newer version of Excel. Learn more: https://go.microsoft.com/fwlink/?linkid=870924
Comment:
    Assumes there are no "Fixed" (i.e., Preferred equity) distributions in 4Q17 as per IR comments Preferred equity coupons paid semi-annually in December/June.</t>
      </text>
    </comment>
    <comment ref="I394" authorId="33" shapeId="0" xr:uid="{E371D00D-FF74-46FE-8395-997B505E5CD2}">
      <text>
        <t>[Threaded comment]
Your version of Excel allows you to read this threaded comment; however, any edits to it will get removed if the file is opened in a newer version of Excel. Learn more: https://go.microsoft.com/fwlink/?linkid=870924
Comment:
    See pg.19 of 1Q17 Consolidated Financial Report: no Contributions into SVF from third-party investors had been recorded in Cashflow statement at end 1Q17 but management commentary talks of gain on NVIDIA shares (held by the Company but to be transferred to SVF1) &amp; as such have attributed entire change in third-party interest during 1Q17 to ordinary equity holders.</t>
      </text>
    </comment>
    <comment ref="I403" authorId="34" shapeId="0" xr:uid="{317F449B-5C67-47C3-9B19-6EED056CF58C}">
      <text>
        <t>[Threaded comment]
Your version of Excel allows you to read this threaded comment; however, any edits to it will get removed if the file is opened in a newer version of Excel. Learn more: https://go.microsoft.com/fwlink/?linkid=870924
Comment:
    See pg.19 of 1Q17 Consolidated Financial Report: no Contributions into SVF from third-party investors had been recorded in Cashflow statement at end 1Q17 but management commentary talks of gain on NVIDIA shares (held by the Company but to be transferred to SVF1) &amp; as such have attributed entire change in third-party interest during 1Q17 to ordinary equity holders.</t>
      </text>
    </comment>
    <comment ref="R404" authorId="35" shapeId="0" xr:uid="{E2102288-0409-4408-9C5F-A76C6A445BCD}">
      <text>
        <t>[Threaded comment]
Your version of Excel allows you to read this threaded comment; however, any edits to it will get removed if the file is opened in a newer version of Excel. Learn more: https://go.microsoft.com/fwlink/?linkid=870924
Comment:
    See pg.114 of SBG 2019 Annual Report: footnote below Third-party interests reconciliation table.</t>
      </text>
    </comment>
    <comment ref="I468" authorId="36" shapeId="0" xr:uid="{FF3536BC-2478-4BEF-BBFF-B7245E3CE4DF}">
      <text>
        <t>[Threaded comment]
Your version of Excel allows you to read this threaded comment; however, any edits to it will get removed if the file is opened in a newer version of Excel. Learn more: https://go.microsoft.com/fwlink/?linkid=870924
Comment:
    See pg.19 of 1Q17 Consolidated Financial Report: no Contributions into SVF from third-party investors had been recorded in Cashflow statement at end 1Q17 but management commentary talks of gain on NVIDIA shares (held by the Company but to be transferred to SVF1) &amp; as such have attributed entire change in third-party interest during 1Q17 to ordinary equity holders.</t>
      </text>
    </comment>
    <comment ref="AA479" authorId="37" shapeId="0" xr:uid="{D1F278A2-6024-4DA1-969A-EA9EBE33A1AB}">
      <text>
        <t>[Threaded comment]
Your version of Excel allows you to read this threaded comment; however, any edits to it will get removed if the file is opened in a newer version of Excel. Learn more: https://go.microsoft.com/fwlink/?linkid=870924
Comment:
    See slide 26 of 4Q20 SoftBank Vision Funds Update presentation. https://group.softbank/system/files/pdf/ir/presentations/2020/investor-svf_q4fy2020_01_en.pdf</t>
      </text>
    </comment>
    <comment ref="AA485" authorId="38" shapeId="0" xr:uid="{523FF0B6-79A0-456B-96E9-81E842EB7793}">
      <text>
        <t>[Threaded comment]
Your version of Excel allows you to read this threaded comment; however, any edits to it will get removed if the file is opened in a newer version of Excel. Learn more: https://go.microsoft.com/fwlink/?linkid=870924
Comment:
    See slide 25 of 4Q20 SoftBank Vision Funds Update presentation. https://group.softbank/system/files/pdf/ir/presentations/2020/investor-svf_q4fy2020_01_en.pdf</t>
      </text>
    </comment>
    <comment ref="AA490" authorId="39" shapeId="0" xr:uid="{06FC85D3-58D7-408E-ABAF-BC99592F4412}">
      <text>
        <t>[Threaded comment]
Your version of Excel allows you to read this threaded comment; however, any edits to it will get removed if the file is opened in a newer version of Excel. Learn more: https://go.microsoft.com/fwlink/?linkid=870924
Comment:
    See slide 25 of 4Q20 SoftBank Vision Funds Update presentation. https://group.softbank/system/files/pdf/ir/presentations/2020/investor-svf_q4fy2020_01_en.pdf</t>
      </text>
    </comment>
    <comment ref="A543" authorId="40" shapeId="0" xr:uid="{89842C71-5527-41F8-BAB9-65C096F863C9}">
      <text>
        <t>[Threaded comment]
Your version of Excel allows you to read this threaded comment; however, any edits to it will get removed if the file is opened in a newer version of Excel. Learn more: https://go.microsoft.com/fwlink/?linkid=870924
Comment:
    Hurdle rate/high watermark calculations use Third-party Performance-based distributions &amp; Repayments which are "net" of "bonus" Performance fees (i.e., 20% of return above 8% p.a. goes to SBIA): but hurdle rate/high watermark needs to be lowered by "grossed up" distributions i.e., also including Performance fees paid out to SBIA as this theoretically lowers the high watermark from which future returns are judged. See 4Q Consolidated Financial Reports (Ctrl+F "Performance fees paid") to find yoy SVF Performance fees paid: e.g., pg.73 4Q23.</t>
      </text>
    </comment>
    <comment ref="O543" authorId="41" shapeId="0" xr:uid="{97B83119-E6C2-421B-8EA3-AD98DDAEA000}">
      <text>
        <t>[Threaded comment]
Your version of Excel allows you to read this threaded comment; however, any edits to it will get removed if the file is opened in a newer version of Excel. Learn more: https://go.microsoft.com/fwlink/?linkid=870924
Comment:
    See pg.66 of 2Q18 Consolidated Financial Report: Performance fees for SVF1 cannot be paid to SBIA until late '22 (at this point: assumed November '22) when 5 year investment period has finished i.e., Performance fees accrued on monetisations of investments (e.g., Flipkart shares in this instance) paid up to LPs and held there until these can be paid to SBIA &amp; could be clawbacks on poor future performance.</t>
      </text>
    </comment>
    <comment ref="AM543" authorId="42" shapeId="0" xr:uid="{FD4A8873-8425-4144-89D5-7FFD79AA2C92}">
      <text>
        <t xml:space="preserve">[Threaded comment]
Your version of Excel allows you to read this threaded comment; however, any edits to it will get removed if the file is opened in a newer version of Excel. Learn more: https://go.microsoft.com/fwlink/?linkid=870924
Comment:
    See pg.63 of 1Q23 Consolidated Financial Report: SBG now saying that cumulative Performance fee to SBIA for SVF1 is $454m vs. $439m previously i.e., increase of $15m &amp; we assume on the revaluation of 24.99% ARM holding. </t>
      </text>
    </comment>
    <comment ref="AM571" authorId="43" shapeId="0" xr:uid="{8F17D196-5A23-4BA3-B117-676BC1A3297F}">
      <text>
        <t>[Threaded comment]
Your version of Excel allows you to read this threaded comment; however, any edits to it will get removed if the file is opened in a newer version of Excel. Learn more: https://go.microsoft.com/fwlink/?linkid=870924
Comment:
    See pg.3 &amp; pg.59 of 1Q23 Consolidated Financial Report: SBG calling out an ARM valuation gain for SVF1 &amp; on pg.59 says ¥175.5bn unrealised gain arising from shares of SBG's subsidiaries: this could also mean PayPay Corporation but we attribute full ¥175.5bn/$1.2bn gain to ARM holding given this is called out and ARM filed its F-1 during the quarter.
Reply:
    https://group.softbank/system/files/pdf/ir/financials/financial_reports/financial-report_q1fy2023_01_en.pdf</t>
      </text>
    </comment>
    <comment ref="AN571" authorId="44" shapeId="0" xr:uid="{0FD23251-4F13-4288-A788-45D7AD92B27E}">
      <text>
        <t>[Threaded comment]
Your version of Excel allows you to read this threaded comment; however, any edits to it will get removed if the file is opened in a newer version of Excel. Learn more: https://go.microsoft.com/fwlink/?linkid=870924
Comment:
    See pg.5 of 2Q23 Consolidated Financial Report: SBG saying 24.99% ARM holding sale value of $16.1bn but due to timing of cash payments through August '25 only recognising $15.1bn at 2Q i.e., we have kept $1bn delta as an "unsold" ARM valuation in our SVF1 modelling.
Reply:
    https://group.softbank/system/files/pdf/ir/financials/financial_reports/financial-report_q2fy2023_01_en.pdf</t>
      </text>
    </comment>
    <comment ref="AN582" authorId="45" shapeId="0" xr:uid="{76964DFD-57CC-4475-9EC5-D0242E3045DF}">
      <text>
        <t>[Threaded comment]
Your version of Excel allows you to read this threaded comment; however, any edits to it will get removed if the file is opened in a newer version of Excel. Learn more: https://go.microsoft.com/fwlink/?linkid=870924
Comment:
    See pg.5 of 2Q23 Consolidated Financial Report: SBG saying 24.99% ARM holding sale value of $16.1bn but due to timing of cash payments through August '25 only recognising $15.1bn at 2Q i.e., we have kept $1bn delta as an "unsold" ARM valuation in our SVF1 modelling.
Reply:
    https://group.softbank/system/files/pdf/ir/financials/financial_reports/financial-report_q2fy2023_01_en.pdf</t>
      </text>
    </comment>
    <comment ref="K645" authorId="46" shapeId="0" xr:uid="{BBB26540-66B4-487E-87E6-AF9FC5071371}">
      <text>
        <t>[Threaded comment]
Your version of Excel allows you to read this threaded comment; however, any edits to it will get removed if the file is opened in a newer version of Excel. Learn more: https://go.microsoft.com/fwlink/?linkid=870924
Comment:
    Use pg.23 of 3Q17 Consolidated Financial Report: 3Q is first quarter where SBG starts splitting out Delta Fund (co-invested with Mubadala Investment Company but later absorbed into SVF1, per our understanding) i.e., we are simply aggregating SVF1 plus Delta Fund figures for the purposes of this segment reporting.</t>
      </text>
    </comment>
    <comment ref="L645" authorId="47" shapeId="0" xr:uid="{4B960F8C-F718-44BC-B727-B6ED1EBE26EC}">
      <text>
        <t>[Threaded comment]
Your version of Excel allows you to read this threaded comment; however, any edits to it will get removed if the file is opened in a newer version of Excel. Learn more: https://go.microsoft.com/fwlink/?linkid=870924
Comment:
    Use pg.24 of 4Q17 Consolidated Financial Report. SBG reporting both SVF1 and Delta Fund figures: given Delta Fund later merged into SVF1 (per our understanding), we are simply aggregating SVF1 plus Delta Fund figures for the purposes of this segment reporting.</t>
      </text>
    </comment>
    <comment ref="N645" authorId="48" shapeId="0" xr:uid="{2F8A6E80-672B-4D9A-B2BE-2680F16D067E}">
      <text>
        <t>[Threaded comment]
Your version of Excel allows you to read this threaded comment; however, any edits to it will get removed if the file is opened in a newer version of Excel. Learn more: https://go.microsoft.com/fwlink/?linkid=870924
Comment:
    Use pg.20 of 1Q18 Consolidated Financial Report. SBG reporting both SVF1 and Delta Fund figures: given Delta Fund later merged into SVF1 (per our understanding), we are simply aggregating SVF1 plus Delta Fund figures for the purposes of this segment reporting.</t>
      </text>
    </comment>
    <comment ref="O645" authorId="49" shapeId="0" xr:uid="{99FE2579-F83E-4446-97BB-2BBA7C3F5725}">
      <text>
        <t>[Threaded comment]
Your version of Excel allows you to read this threaded comment; however, any edits to it will get removed if the file is opened in a newer version of Excel. Learn more: https://go.microsoft.com/fwlink/?linkid=870924
Comment:
    Use pg.21 of 2Q18 Consolidated Financial Report. SBG reporting both SVF1 and Delta Fund figures: given Delta Fund later merged into SVF1 (per our understanding), we are simply aggregating SVF1 plus Delta Fund figures for the purposes of this segment reporting.</t>
      </text>
    </comment>
    <comment ref="M652" authorId="50" shapeId="0" xr:uid="{58BA8892-738F-4A68-A45F-3515152ECB0F}">
      <text>
        <t>[Threaded comment]
Your version of Excel allows you to read this threaded comment; however, any edits to it will get removed if the file is opened in a newer version of Excel. Learn more: https://go.microsoft.com/fwlink/?linkid=870924
Comment:
    SBG disclosure on SVF Ordinary vs. Preferred equity is poor. FT article on SVF1 capital structure is useful: link below. IR gives $40bn Preferred equity figure with regards to the balance of Total committed capital: see email chain with Sayaka but structure provided by IR gives $98.6bn committed capital figure but assume delta of $98.6bn vs. $97.7bn is driven by Ordinary equity and the $40bn Preferred equity figure remains fixed. Methodology: then feed all %'s of capital structure off $40bn Preferred equity figure.
Reply:
    FT article: https://www.ft.com/content/b6fe313a-4add-11e7-a3f4-c742b9791d43</t>
      </text>
    </comment>
    <comment ref="AN685" authorId="51" shapeId="0" xr:uid="{798A5EF6-CE9D-481C-AB2F-3D769AFE4B7A}">
      <text>
        <t>[Threaded comment]
Your version of Excel allows you to read this threaded comment; however, any edits to it will get removed if the file is opened in a newer version of Excel. Learn more: https://go.microsoft.com/fwlink/?linkid=870924
Comment:
    Remember: why do we add "total" Arm receivable back to SVF1 reported NAV. "SVF1 total fair value $m" excludes Arm receivable (as considered to be already monetised/exited) but "Third-party minority interests $m" includes the portion of Arm receivable belonging to third-party investors i.e., theoretically should add "PV of future Arm receivable" to "SVF1 total fair value" before deducting "Third-party minority interests" to make the calculation intuitive.</t>
      </text>
    </comment>
    <comment ref="J707" authorId="52" shapeId="0" xr:uid="{3923EBE4-3FDA-4B58-8AC4-48DA7B9838A7}">
      <text>
        <t>[Threaded comment]
Your version of Excel allows you to read this threaded comment; however, any edits to it will get removed if the file is opened in a newer version of Excel. Learn more: https://go.microsoft.com/fwlink/?linkid=870924
Comment:
    See pg.21 of 2Q17 Consolidated financial report: $3.8bn ARM shares plus $3.6bn DiDi share contributed.</t>
      </text>
    </comment>
    <comment ref="Q722" authorId="53" shapeId="0" xr:uid="{FDB93FD7-B0AD-4E9B-9AC9-E9463585C943}">
      <text>
        <t>[Threaded comment]
Your version of Excel allows you to read this threaded comment; however, any edits to it will get removed if the file is opened in a newer version of Excel. Learn more: https://go.microsoft.com/fwlink/?linkid=870924
Comment:
    See pg.25-27 of 4Q18 Consolidated Financial Report: has details of SVF1's DiDi transactions with Delta Fund and SBG. SVF1 ends FY18 with $11.8bn DiDi investment.</t>
      </text>
    </comment>
    <comment ref="J725" authorId="54" shapeId="0" xr:uid="{8112A252-3367-4EE2-BACA-F4C026823EC9}">
      <text>
        <t>[Threaded comment]
Your version of Excel allows you to read this threaded comment; however, any edits to it will get removed if the file is opened in a newer version of Excel. Learn more: https://go.microsoft.com/fwlink/?linkid=870924
Comment:
    See pg.21 of 2Q17 Consolidated Financial Report: includes $3.6bn of investments in WeWork and OSIsoft held at Group but agreed to be transferred to SVF.</t>
      </text>
    </comment>
    <comment ref="K725" authorId="55" shapeId="0" xr:uid="{BA91FC6A-DD06-4CD9-AC36-A8B5E54CC36B}">
      <text>
        <t>[Threaded comment]
Your version of Excel allows you to read this threaded comment; however, any edits to it will get removed if the file is opened in a newer version of Excel. Learn more: https://go.microsoft.com/fwlink/?linkid=870924
Comment:
    See pg.24 of 3Q17 Consolidated Financial Report: includes $100m of investments held at Group but agreed to be transferred to SVF.</t>
      </text>
    </comment>
    <comment ref="N725" authorId="56" shapeId="0" xr:uid="{F291271E-D935-492E-98C7-0921DB85C3ED}">
      <text>
        <t>[Threaded comment]
Your version of Excel allows you to read this threaded comment; however, any edits to it will get removed if the file is opened in a newer version of Excel. Learn more: https://go.microsoft.com/fwlink/?linkid=870924
Comment:
    See pg.22 of 1Q18 Consolidated Financial Report: during 1Q18 SBG were separating SVF1 and Delta Fund reporting but (per our understanding) these funds later combined so we have aggregated all figures in historics.</t>
      </text>
    </comment>
    <comment ref="O725" authorId="57" shapeId="0" xr:uid="{3BB891F0-E050-4CB3-AAFC-B4DB6FE2C385}">
      <text>
        <t>[Threaded comment]
Your version of Excel allows you to read this threaded comment; however, any edits to it will get removed if the file is opened in a newer version of Excel. Learn more: https://go.microsoft.com/fwlink/?linkid=870924
Comment:
    See pg.24 of 2Q18 Consolidated Financial Report: during 2Q18 SBG were separating SVF1 and Delta Fund reporting but (per our understanding) these funds later combined so we have aggregated all figures in historics.</t>
      </text>
    </comment>
    <comment ref="P725" authorId="58" shapeId="0" xr:uid="{1AFB8A25-D15C-4E03-8719-0B7ED9AE550D}">
      <text>
        <t>[Threaded comment]
Your version of Excel allows you to read this threaded comment; however, any edits to it will get removed if the file is opened in a newer version of Excel. Learn more: https://go.microsoft.com/fwlink/?linkid=870924
Comment:
    See pg.22-24 of 3Q18 Consolidated Financial Report: during 3Q18 SBG were separating SVF1 and Delta Fund reporting but (per our understanding) these funds later combined so we have aggregated all figures in historics.</t>
      </text>
    </comment>
    <comment ref="J726" authorId="59" shapeId="0" xr:uid="{89460835-C989-4CDF-92CD-2136A0880625}">
      <text>
        <t>[Threaded comment]
Your version of Excel allows you to read this threaded comment; however, any edits to it will get removed if the file is opened in a newer version of Excel. Learn more: https://go.microsoft.com/fwlink/?linkid=870924
Comment:
    See pg.21 of 2Q17 Consolidated Financial Report: includes $3.6bn of investments in WeWork and OSIsoft held at Group but agreed to be transferred to SVF.</t>
      </text>
    </comment>
    <comment ref="K726" authorId="60" shapeId="0" xr:uid="{3B51921F-FD81-4954-B5CF-220D55372A3A}">
      <text>
        <t>[Threaded comment]
Your version of Excel allows you to read this threaded comment; however, any edits to it will get removed if the file is opened in a newer version of Excel. Learn more: https://go.microsoft.com/fwlink/?linkid=870924
Comment:
    See pg.24 of 3Q17 Consolidated Financial Report: includes $100m of investments held at Group but agreed to be transferred to SVF.</t>
      </text>
    </comment>
    <comment ref="N726" authorId="61" shapeId="0" xr:uid="{BFDF0657-9AD6-451B-8E41-7F93F239303C}">
      <text>
        <t>[Threaded comment]
Your version of Excel allows you to read this threaded comment; however, any edits to it will get removed if the file is opened in a newer version of Excel. Learn more: https://go.microsoft.com/fwlink/?linkid=870924
Comment:
    See pg.22 of 1Q18 Consolidated Financial Report: during 1Q18 SBG were separating SVF1 and Delta Fund reporting but (per our understanding) these funds later combined so we have aggregated all figures in historics.</t>
      </text>
    </comment>
    <comment ref="O726" authorId="62" shapeId="0" xr:uid="{E13AF647-78F8-41A3-BE2E-2D1C3FA673E7}">
      <text>
        <t>[Threaded comment]
Your version of Excel allows you to read this threaded comment; however, any edits to it will get removed if the file is opened in a newer version of Excel. Learn more: https://go.microsoft.com/fwlink/?linkid=870924
Comment:
    See pg.24 of 2Q18 Consolidated Financial Report: during 2Q18 SBG were separating SVF1 and Delta Fund reporting but (per our understanding) these funds later combined so we have aggregated all figures in historics.</t>
      </text>
    </comment>
    <comment ref="P726" authorId="63" shapeId="0" xr:uid="{C32DBF35-E2E0-4AA4-9FBF-D29D3A0885DB}">
      <text>
        <t>[Threaded comment]
Your version of Excel allows you to read this threaded comment; however, any edits to it will get removed if the file is opened in a newer version of Excel. Learn more: https://go.microsoft.com/fwlink/?linkid=870924
Comment:
    See pg.22-24 of 3Q18 Consolidated Financial Report: during 3Q18 SBG were separating SVF1 and Delta Fund reporting but (per our understanding) these funds later combined so we have aggregated all figures in historics.</t>
      </text>
    </comment>
    <comment ref="V728" authorId="64" shapeId="0" xr:uid="{CCCAE25F-F5CB-4D84-96E7-09A14DDBEAE6}">
      <text>
        <t>[Threaded comment]
Your version of Excel allows you to read this threaded comment; however, any edits to it will get removed if the file is opened in a newer version of Excel. Learn more: https://go.microsoft.com/fwlink/?linkid=870924
Comment:
    Using more complete SBG disclosures we can more accurately estimate SVF1's periodic return: we know amount of capital coming in during period from "Cumulative investment cost" and we know the amount of capital distributed from/taken out of SVF1 during period from periodic delta on Distributions.</t>
      </text>
    </comment>
    <comment ref="T761" authorId="65" shapeId="0" xr:uid="{A2FD3459-8FEC-427A-BCE8-40281E680377}">
      <text>
        <t>[Threaded comment]
Your version of Excel allows you to read this threaded comment; however, any edits to it will get removed if the file is opened in a newer version of Excel. Learn more: https://go.microsoft.com/fwlink/?linkid=870924
Comment:
    See slide 16 of SVF1 1Q19 update: $4.1bn Portfolio financing facility effective from 25th July '19. https://group.softbank/system/files/pdf/ir/presentations/2019/investor-svf_q1fy2019_01_en.pdf</t>
      </text>
    </comment>
    <comment ref="W761" authorId="66" shapeId="0" xr:uid="{86C72033-5763-48BF-BE41-B359B8737319}">
      <text>
        <t>[Threaded comment]
Your version of Excel allows you to read this threaded comment; however, any edits to it will get removed if the file is opened in a newer version of Excel. Learn more: https://go.microsoft.com/fwlink/?linkid=870924
Comment:
    See slide 17 of SVF1 4Q19 update: now saying original Portfolio facility only $3.1bn but increased to $3.4bn in March '20. https://group.softbank/system/files/pdf/ir/presentations/2019/investor-svf_q4fy2019_01_en.pdf</t>
      </text>
    </comment>
    <comment ref="A790" authorId="67" shapeId="0" xr:uid="{950D46EC-7E7F-4C1F-9306-147C83F66745}">
      <text>
        <t>[Threaded comment]
Your version of Excel allows you to read this threaded comment; however, any edits to it will get removed if the file is opened in a newer version of Excel. Learn more: https://go.microsoft.com/fwlink/?linkid=870924
Comment:
    See pg.20 of 2Q21 Consolidated Financial Report for explanation &amp; general capital structure of SVF II following agreement with MgmtCo: SVF II investments publicly listed (i.e., IPO'd) prior to 23rd June '21 or those which have applied for IPO at the same date plus Board-selected privately held companies would continue to be owned as 100% Ordinary equity by SBG via SVF II.</t>
      </text>
    </comment>
    <comment ref="AD790" authorId="68" shapeId="0" xr:uid="{BB84523F-774A-4988-8E62-B678D8CC17D5}">
      <text>
        <t>[Threaded comment]
Your version of Excel allows you to read this threaded comment; however, any edits to it will get removed if the file is opened in a newer version of Excel. Learn more: https://go.microsoft.com/fwlink/?linkid=870924
Comment:
    See pg.19-21 of 1Q21 Consolidated Financial Report: at June '21 SVF II had 7 publicly listed investments with acquisition cost of $2.5bn and fair value of $5.8bn: we know these would have been part of the carve out in the agreement with MgmtCo but unclear the extent of privately held investments carved out as $2.5bn acquisition cost for publicly held investments would only have required $2.5bn committed capital.
Reply:
    Question: vs. 7 publicly listed investments of SVF II at June '21/end 1Q21 we have $5.2bn of "missing" Contributed capital or carved out Ordinary equity.</t>
      </text>
    </comment>
    <comment ref="AE888" authorId="69" shapeId="0" xr:uid="{44B5E4A7-144B-4E11-8EC4-765E6FDB8514}">
      <text>
        <t>[Threaded comment]
Your version of Excel allows you to read this threaded comment; however, any edits to it will get removed if the file is opened in a newer version of Excel. Learn more: https://go.microsoft.com/fwlink/?linkid=870924
Comment:
    Using more complete SBG disclosures we can more accurately estimate SVF1's periodic return: we know amount of capital coming in during period from "Cumulative investment cost" and we know the amount of capital distributed from/taken out of SVF1 during period from periodic delta on Distributions.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tc={7321C0DD-3ABB-4B97-9383-A3E56D8BE10F}</author>
    <author>tc={BE4AFEA4-CDC2-45FB-94B0-00A76CA7413A}</author>
    <author>tc={01003E30-4F6B-4C72-ABB2-34CC647BACD6}</author>
    <author>tc={6DA22BAC-43F1-4D9B-BA3F-B04FA638F171}</author>
    <author>tc={6D9CB39F-AE8C-4C49-9025-5B20DDA52F81}</author>
    <author>tc={F29BABA9-47C9-4141-A7E3-A0163749FF84}</author>
    <author>tc={EFA9E311-57B1-4812-BC5D-6AF46D1CE1A5}</author>
    <author>tc={23142D6D-384F-46DC-9115-A5E9B4939503}</author>
    <author>tc={95CAEFE3-F70F-4875-82C2-FE0BBD029CCD}</author>
    <author>tc={ECB36F22-CBA8-45C8-A86D-15B88427AA95}</author>
    <author>tc={5794C71F-0844-4675-A279-78DECA881393}</author>
    <author>tc={4D16C1BC-D2E2-4F22-8A6D-199897523C2C}</author>
    <author>tc={11EEFF27-385B-4049-98E4-3827A1E84EB4}</author>
    <author>tc={0DFAB6BF-F030-4896-9382-DC42988945B9}</author>
    <author>tc={0767E6EE-A0FA-4F37-81EF-30AE35864695}</author>
    <author>tc={4DE789AB-F039-4397-8341-26B96BEC9A3A}</author>
    <author>tc={7C27247A-CF15-443B-B35D-954FFF0D8C4B}</author>
    <author>tc={9416A477-0013-4B98-8E03-2AA74BB6ED10}</author>
    <author>tc={07AC7D14-82D1-4CC8-B689-DCEBFE18E267}</author>
    <author>tc={BA58E1AF-4CA5-4B21-B165-D853D696A50F}</author>
    <author>tc={6EF93D28-19AF-4ED2-9524-49FC1AE4C69F}</author>
    <author>tc={401D64AA-B04C-4279-BD52-32F6A50343AD}</author>
    <author>tc={D5EF9377-77A1-470C-8A71-E3EDA53CB654}</author>
    <author>tc={9F2D2867-3B8A-4E6B-AE21-7E36E081F4C6}</author>
    <author>tc={194FF88D-FC35-46CB-B7CC-131E530DC8FA}</author>
    <author>tc={BE78C000-6FB5-4668-AF17-63705CDC830F}</author>
    <author>tc={32C74F71-083A-47D3-AD51-38878D005463}</author>
    <author>tc={5EE5304E-EAAC-4C69-9B72-BB0812A13279}</author>
    <author>tc={7B155848-E3CA-4090-90B5-2707120B67CA}</author>
    <author>tc={E55D8937-A480-4771-B2D2-5B68C7BCFF75}</author>
    <author>tc={4B1B28BB-B628-4121-8FC5-48F4A6E7125D}</author>
    <author>tc={6790C6C1-868B-4220-BB2D-CAD640D4E32F}</author>
    <author>tc={D5D72802-4B72-437C-9925-193128C46A5B}</author>
    <author>tc={CB589507-D603-46F6-8CA9-90BD6D5BF8BD}</author>
    <author>tc={BC05E568-35CF-429B-A5EC-3EF3AA19C3DF}</author>
    <author>tc={02234043-FD86-4714-983C-1ADEAD4C8313}</author>
    <author>tc={0D8E76E2-7BDF-49EA-9369-318336403242}</author>
    <author>tc={21A0B4E2-4937-4069-88A5-C43287498B2D}</author>
    <author>tc={4CFCC813-2F91-43F1-9BC5-64FD85017D51}</author>
    <author>tc={5DDDBD31-021C-4F64-AF87-110BD966DFE8}</author>
    <author>tc={C339D11D-AE11-4993-B350-E284001A2C9C}</author>
    <author>tc={76D29C51-10BE-46AD-B288-B03512527010}</author>
    <author>tc={33E33FEB-356E-49EB-8C64-80762B6497B5}</author>
    <author>tc={1E8D6DBD-FA1A-4424-BF1F-0251A7F87097}</author>
    <author>tc={595462C6-B81D-4D1B-934E-B9C9A6509C88}</author>
    <author>tc={3AAD32C3-11D3-4EEB-B8BB-0B456077F822}</author>
    <author>tc={928AE54B-2249-4427-A94D-4C77A574FB41}</author>
    <author>tc={8AC3C86F-FCF5-4B13-89C1-1D76565C4289}</author>
    <author>tc={AA38A309-D774-4F1B-B500-9C2C88F9DA08}</author>
    <author>tc={CA2CB47E-72EF-49E7-908E-25FE95616C48}</author>
    <author>tc={60F43980-3D28-4F46-AFA6-1332B92C5B31}</author>
    <author>tc={21D54794-9B3B-4AEA-BD42-29218E6231A1}</author>
    <author>tc={8C180E1D-6DB5-465B-AF1D-D2AB911DA534}</author>
    <author>tc={8358E1DF-3D07-4131-96EA-8F22AC42EE85}</author>
    <author>tc={9ED5A4B6-2781-446C-A0AB-25DE9602F10F}</author>
    <author>tc={6ED1A06C-9B55-4267-A6AA-5122BF6C6B3D}</author>
    <author>tc={AC0C6C81-0B7F-4654-8ACD-914917D3606C}</author>
    <author>tc={4B964F17-16FD-407C-A827-4881F2C7D2D6}</author>
    <author>tc={345F59CD-5152-4CA2-B72E-9FB84285AB02}</author>
    <author>tc={DD76DE99-77CF-46EC-A9F4-83B44321A7D1}</author>
    <author>tc={BFCA1CCD-F368-428D-9F13-6A91B38EA69D}</author>
    <author>tc={92D34F68-4915-4FDE-BB34-BB38B6C7286B}</author>
    <author>tc={F0C2D687-4901-41E1-AE7E-10A9553063D4}</author>
    <author>tc={A923B3D3-C799-4A91-AE6F-B024A32CDE3C}</author>
    <author>tc={753F737E-D50C-4B8E-93E5-522CF869CDE5}</author>
  </authors>
  <commentList>
    <comment ref="AR82" authorId="0" shapeId="0" xr:uid="{7321C0DD-3ABB-4B97-9383-A3E56D8BE10F}">
      <text>
        <t>[Threaded comment]
Your version of Excel allows you to read this threaded comment; however, any edits to it will get removed if the file is opened in a newer version of Excel. Learn more: https://go.microsoft.com/fwlink/?linkid=870924
Comment:
    View Inc. entered Chapter 11 restructuring during April '24: https://investors.view.com/news-releases/news-release-details/view-inc-reaches-agreement-cantor-fitzgerald-and-rxr-become.</t>
      </text>
    </comment>
    <comment ref="AO129" authorId="1" shapeId="0" xr:uid="{BE4AFEA4-CDC2-45FB-94B0-00A76CA7413A}">
      <text>
        <t>[Threaded comment]
Your version of Excel allows you to read this threaded comment; however, any edits to it will get removed if the file is opened in a newer version of Excel. Learn more: https://go.microsoft.com/fwlink/?linkid=870924
Comment:
    Per pre-initiation catch-up with IR in April '24: said latest periodic valuation for ByteDance equity stake is "around $11bn" which is based on SBIA's est. valuation not the employee buyback implied valuation of $160 per share/$268bn as at December '23 (see FT article below from April '24 on employee buyback programme &amp; December '23 valuation). SBG says that &lt;10% of their estimated valuation is attributable to TikTok US.
Reply:
    https://www.ft.com/content/540985a4-6c20-4fac-b38b-52dd59d5f543
Reply:
    SBG est. ordinary equity stake: 3%-3.25%: per BBG article in October '18 SBG led a $3bn funding round at a $75bn valuation with SBG reportedly putting in $1.8bn i.e., taking a 2.4% equity stake (see BBG article below). Per SBG IR comments, SBG had already put a smaller amount of capital (we assume $700m given total acquisition cost of $2.5bn) which we reckon would have given SBG an initial 75bps-100bps position in ByteDance.
Reply:
    https://www.bloomberg.com/news/articles/2018-10-26/bytedance-is-said-to-secure-funding-at-record-75-billion-value?embedded-checkout=true
Reply:
    3% equity stake: around $365bn valuation on SBIA discounted cashflow.
3.25% equity stake: around $340bn valuation on SBIA discounted cashflow.
i.e., both at a premium to $176 per share/$295bn valuation reported in April '24 FT article: https://www.ft.com/content/540985a4-6c20-4fac-b38b-52dd59d5f543.</t>
      </text>
    </comment>
    <comment ref="AR129" authorId="2" shapeId="0" xr:uid="{01003E30-4F6B-4C72-ABB2-34CC647BACD6}">
      <text>
        <t>[Threaded comment]
Your version of Excel allows you to read this threaded comment; however, any edits to it will get removed if the file is opened in a newer version of Excel. Learn more: https://go.microsoft.com/fwlink/?linkid=870924
Comment:
    See pg.14 of F1Q24 Financial Report: SBG saying SVF1 private portfolio companies gain "primarily driven by the markup of ByteDance" and "partially offset" by markdowns of other private companies.
Reply:
    https://group.softbank/system/files/pdf/ir/financials/financial_reports/financial-report_q1fy2024_01_en.pdf</t>
      </text>
    </comment>
    <comment ref="AU129" authorId="3" shapeId="0" xr:uid="{6DA22BAC-43F1-4D9B-BA3F-B04FA638F171}">
      <text>
        <t>[Threaded comment]
Your version of Excel allows you to read this threaded comment; however, any edits to it will get removed if the file is opened in a newer version of Excel. Learn more: https://go.microsoft.com/fwlink/?linkid=870924
Comment:
    See pg.9 of F4Q24 Financial Report: SBG saying SVF1 private portfolio companies gain "mainly led by an increase in the fair value of Bytedance Ltd.".
Reply:
    https://group.softbank/media/Project/sbg/sbg/pdf/ir/financials/financial_reports/financial-report_q4fy2024_01_en.pdf</t>
      </text>
    </comment>
    <comment ref="AX129" authorId="4" shapeId="0" xr:uid="{6D9CB39F-AE8C-4C49-9025-5B20DDA52F81}">
      <text>
        <t>[Threaded comment]
Your version of Excel allows you to read this threaded comment; however, any edits to it will get removed if the file is opened in a newer version of Excel. Learn more: https://go.microsoft.com/fwlink/?linkid=870924
Comment:
    IR confirmed that ByteDance valuation written-up again in F2Q: pg.8 of F2Q Vision Funds presentation references performance of Alibaba (+58%) and Tencent (+32%) and we assume +20% for ByteDance private mark.
Reply:
    https://group.softbank/media/Project/sbg/sbg/pdf/ir/presentations/2025/investor-svf_q2fy2025_01_en.pdf</t>
      </text>
    </comment>
    <comment ref="AY129" authorId="5" shapeId="0" xr:uid="{F29BABA9-47C9-4141-A7E3-A0163749FF84}">
      <text>
        <t>[Threaded comment]
Your version of Excel allows you to read this threaded comment; however, any edits to it will get removed if the file is opened in a newer version of Excel. Learn more: https://go.microsoft.com/fwlink/?linkid=870924
Comment:
    ByteDance investment marked down in F3Q per pg.6 of Vision Funds presentation: previous quarter slides referenced performance of Alibaba (-18% in F3Q) and Tencent (-10% in F3Q) and we assume -15% for ByteDance private mark.</t>
      </text>
    </comment>
    <comment ref="AS130" authorId="6" shapeId="0" xr:uid="{EFA9E311-57B1-4812-BC5D-6AF46D1CE1A5}">
      <text>
        <t>[Threaded comment]
Your version of Excel allows you to read this threaded comment; however, any edits to it will get removed if the file is opened in a newer version of Excel. Learn more: https://go.microsoft.com/fwlink/?linkid=870924
Comment:
    https://www.reuters.com/world/india/softbank-backed-oyo-withdraws-ipo-papers-second-time-2024-05-22/
Reply:
    https://economictimes.indiatimes.com/tech/technology/oyo-withdraws-ipo-application-opts-for-private-funding-in-downround/articleshow/110332846.cms?from=mdr</t>
      </text>
    </comment>
    <comment ref="AO132" authorId="7" shapeId="0" xr:uid="{23142D6D-384F-46DC-9115-A5E9B4939503}">
      <text>
        <t>[Threaded comment]
Your version of Excel allows you to read this threaded comment; however, any edits to it will get removed if the file is opened in a newer version of Excel. Learn more: https://go.microsoft.com/fwlink/?linkid=870924
Comment:
    Per tracxn: Nuro valuation hit $8.6bn at Nov. ‘21 Series D funding round and we assume SVF co-invested to prevent equity dilution up to this point.
Reply:
    https://tracxn.com/d/companies/nuro/__kZIHQ5O-_3IZyro8NW7D_MgT95dHsu-fp13xeGHsKLE/funding-and-investors#funding-rounds</t>
      </text>
    </comment>
    <comment ref="AW132" authorId="8" shapeId="0" xr:uid="{95CAEFE3-F70F-4875-82C2-FE0BBD029CCD}">
      <text>
        <t>[Threaded comment]
Your version of Excel allows you to read this threaded comment; however, any edits to it will get removed if the file is opened in a newer version of Excel. Learn more: https://go.microsoft.com/fwlink/?linkid=870924
Comment:
    Per Nuro press release: $106m Series E funding round valuing Nuro at $6bn all-in valuation in Apr. ‘25.
Reply:
    https://www.prnewswire.com/news-releases/nuro-announces-series-e-financing-at-6b-valuation-backed-by-leading-financial-and-strategic-investors-302424082.html?utm_source=chatgpt.com</t>
      </text>
    </comment>
    <comment ref="AX132" authorId="9" shapeId="0" xr:uid="{ECB36F22-CBA8-45C8-A86D-15B88427AA95}">
      <text>
        <t>[Threaded comment]
Your version of Excel allows you to read this threaded comment; however, any edits to it will get removed if the file is opened in a newer version of Excel. Learn more: https://go.microsoft.com/fwlink/?linkid=870924
Comment:
    https://www.nuro.ai/blog/nuro-closes-203-million-series-e-financing-to-advance-its-ai-first-self-driving-technology-and-commercial-partnerships</t>
      </text>
    </comment>
    <comment ref="AO148" authorId="10" shapeId="0" xr:uid="{5794C71F-0844-4675-A279-78DECA881393}">
      <text>
        <t>[Threaded comment]
Your version of Excel allows you to read this threaded comment; however, any edits to it will get removed if the file is opened in a newer version of Excel. Learn more: https://go.microsoft.com/fwlink/?linkid=870924
Comment:
    Per Wall Street Journal: SVF1 invested $940m in Nuro Inc. in Feb. ‘19 at $2.7bn valuation (Series B). Tracxn then reports that SVF participated in $500m Series C and $600m Series D funding rounds in Nov. ‘20 and Nov. ‘21: we assume $100m participation by SVF1 at Series C and Series D funding rounds, simplistically in order to prevent any equity dilution.
Reply:
    https://www.wsj.com/articles/softbank-invests-940-million-in-nuro-for-driverless-deliveries-11549893721
Reply:
    https://tracxn.com/d/companies/nuro/__kZIHQ5O-_3IZyro8NW7D_MgT95dHsu-fp13xeGHsKLE/funding-and-investors#funding-rounds
Reply:
    https://www.globenewswire.com/news-release/2019/02/11/1716644/0/en/Nuro-Raises-Close-to-1-Billion-from-the-SoftBank-Vision-Fund-to-Transform-Local-Commerce-Through-Self-Driving.html?utm_source=chatgpt.com</t>
      </text>
    </comment>
    <comment ref="AR162" authorId="11" shapeId="0" xr:uid="{4D16C1BC-D2E2-4F22-8A6D-199897523C2C}">
      <text>
        <t>[Threaded comment]
Your version of Excel allows you to read this threaded comment; however, any edits to it will get removed if the file is opened in a newer version of Excel. Learn more: https://go.microsoft.com/fwlink/?linkid=870924
Comment:
    F1Q24 earnings report: ByteDance markup “reflecting share price increases among its market comparable companies and its strong performance”.
Meta: +3.8%
Tencent: +22.6%
Kuaishou Technology: -5.9%
Alibaba: -0.5%
JD.com: -5.7%</t>
      </text>
    </comment>
    <comment ref="AU162" authorId="12" shapeId="0" xr:uid="{11EEFF27-385B-4049-98E4-3827A1E84EB4}">
      <text>
        <t>[Threaded comment]
Your version of Excel allows you to read this threaded comment; however, any edits to it will get removed if the file is opened in a newer version of Excel. Learn more: https://go.microsoft.com/fwlink/?linkid=870924
Comment:
    F4Q24 earnings report: ByteDance markup “reflecting higher share prices of market comparable companies and its stronger business performance”.
Meta: -1.6%
Tencent: +19.2%
Kuaishou Technology: +31.4%
Alibaba: +55.9%
JD.com: +18.6%</t>
      </text>
    </comment>
    <comment ref="AX162" authorId="13" shapeId="0" xr:uid="{0DFAB6BF-F030-4896-9382-DC42988945B9}">
      <text>
        <t>[Threaded comment]
Your version of Excel allows you to read this threaded comment; however, any edits to it will get removed if the file is opened in a newer version of Excel. Learn more: https://go.microsoft.com/fwlink/?linkid=870924
Comment:
    IR confirmed that ByteDance valuation written-up again in F2Q: pg.8 of F2Q Vision Funds presentation references performance of Alibaba (+58%) and Tencent (+32%) and we assume +20% for ByteDance private mark.
Reply:
    https://group.softbank/media/Project/sbg/sbg/pdf/ir/presentations/2025/investor-svf_q2fy2025_01_en.pdf</t>
      </text>
    </comment>
    <comment ref="AY162" authorId="14" shapeId="0" xr:uid="{0767E6EE-A0FA-4F37-81EF-30AE35864695}">
      <text>
        <t>[Threaded comment]
Your version of Excel allows you to read this threaded comment; however, any edits to it will get removed if the file is opened in a newer version of Excel. Learn more: https://go.microsoft.com/fwlink/?linkid=870924
Comment:
    ByteDance investment marked down in F3Q per pg.6 of Vision Funds presentation: previous quarter slides referenced performance of Alibaba (-18% in F3Q) and Tencent (-10% in F3Q) and we assume -10% for ByteDance private mark.</t>
      </text>
    </comment>
    <comment ref="AP171" authorId="15" shapeId="0" xr:uid="{4DE789AB-F039-4397-8341-26B96BEC9A3A}">
      <text>
        <t>[Threaded comment]
Your version of Excel allows you to read this threaded comment; however, any edits to it will get removed if the file is opened in a newer version of Excel. Learn more: https://go.microsoft.com/fwlink/?linkid=870924
Comment:
    Using Schedule 13G for 31st December '23: https://d18rn0p25nwr6d.cloudfront.net/CIK-0001834584/36bc35f9-d040-435f-bc11-852f387eca73.pdf
Reply:
    Per Form 144 sold 31.6m shares in March '24: https://d18rn0p25nwr6d.cloudfront.net/CIK-0001834584/c6503d36-bf91-4804-9eb1-3babb168c319.pdf
Reply:
    Per Form 144 sold a further 15m shares in March '24: https://d18rn0p25nwr6d.cloudfront.net/CIK-0001834584/4fa3a7b9-4364-4d26-b91b-c0a0ad19919d.pdf
Reply:
    Per Form 4: SVF1 disposed of a total of 46.6m shares during March '24 at weighted average price of $19.20 per share: https://d18rn0p25nwr6d.cloudfront.net/CIK-0001834584/fc1f8b48-d777-4f0d-9fbd-32f7bfb3df99.pdf</t>
      </text>
    </comment>
    <comment ref="AW171" authorId="16" shapeId="0" xr:uid="{7C27247A-CF15-443B-B35D-954FFF0D8C4B}">
      <text>
        <t>[Threaded comment]
Your version of Excel allows you to read this threaded comment; however, any edits to it will get removed if the file is opened in a newer version of Excel. Learn more: https://go.microsoft.com/fwlink/?linkid=870924
Comment:
    Using Schedule 13G for 31st December '23: https://d18rn0p25nwr6d.cloudfront.net/CIK-0001834584/36bc35f9-d040-435f-bc11-852f387eca73.pdf
Reply:
    Per Form 144 sold 31.6m shares in March '24: https://d18rn0p25nwr6d.cloudfront.net/CIK-0001834584/c6503d36-bf91-4804-9eb1-3babb168c319.pdf
Reply:
    Per Form 144 sold a further 15m shares in March '24: https://d18rn0p25nwr6d.cloudfront.net/CIK-0001834584/4fa3a7b9-4364-4d26-b91b-c0a0ad19919d.pdf
Reply:
    Per Form 4: SVF1 disposed of a total of 46.6m shares during March '24 at weighted average price of $19.20 per share: https://d18rn0p25nwr6d.cloudfront.net/CIK-0001834584/fc1f8b48-d777-4f0d-9fbd-32f7bfb3df99.pdf
Reply:
    Using Schedule 13G for 30th September '24: https://d18rn0p25nwr6d.cloudfront.net/CIK-0001834584/bf064a57-5dd1-4073-8374-66b7465879ba.pdf
Reply:
    See Form 4’s published in C2Q25: https://d18rn0p25nwr6d.cloudfront.net/CIK-0001834584/4fd815f2-3237-4655-b41a-d7a60f7c2b50.pdf; https://d18rn0p25nwr6d.cloudfront.net/CIK-0001834584/297e398b-f1b6-4af5-82cf-cc0dd2027d7f.pdf.</t>
      </text>
    </comment>
    <comment ref="AX171" authorId="17" shapeId="0" xr:uid="{9416A477-0013-4B98-8E03-2AA74BB6ED10}">
      <text>
        <t>[Threaded comment]
Your version of Excel allows you to read this threaded comment; however, any edits to it will get removed if the file is opened in a newer version of Excel. Learn more: https://go.microsoft.com/fwlink/?linkid=870924
Comment:
    Using Schedule 13G for 31st December '23: https://d18rn0p25nwr6d.cloudfront.net/CIK-0001834584/36bc35f9-d040-435f-bc11-852f387eca73.pdf
Reply:
    Per Form 144 sold 31.6m shares in March '24: https://d18rn0p25nwr6d.cloudfront.net/CIK-0001834584/c6503d36-bf91-4804-9eb1-3babb168c319.pdf
Reply:
    Per Form 144 sold a further 15m shares in March '24: https://d18rn0p25nwr6d.cloudfront.net/CIK-0001834584/4fa3a7b9-4364-4d26-b91b-c0a0ad19919d.pdf
Reply:
    Per Form 4: SVF1 disposed of a total of 46.6m shares during March '24 at weighted average price of $19.20 per share: https://d18rn0p25nwr6d.cloudfront.net/CIK-0001834584/fc1f8b48-d777-4f0d-9fbd-32f7bfb3df99.pdf
Reply:
    Using Schedule 13G for 30th September '24: https://d18rn0p25nwr6d.cloudfront.net/CIK-0001834584/bf064a57-5dd1-4073-8374-66b7465879ba.pdf
Reply:
    See Form 4’s published in C2Q25: https://d18rn0p25nwr6d.cloudfront.net/CIK-0001834584/4fd815f2-3237-4655-b41a-d7a60f7c2b50.pdf; https://d18rn0p25nwr6d.cloudfront.net/CIK-0001834584/297e398b-f1b6-4af5-82cf-cc0dd2027d7f.pdf.</t>
      </text>
    </comment>
    <comment ref="AY171" authorId="18" shapeId="0" xr:uid="{07AC7D14-82D1-4CC8-B689-DCEBFE18E267}">
      <text>
        <t>[Threaded comment]
Your version of Excel allows you to read this threaded comment; however, any edits to it will get removed if the file is opened in a newer version of Excel. Learn more: https://go.microsoft.com/fwlink/?linkid=870924
Comment:
    Note: no evidence of SVF1 selling Coupang shares in F3Q after reviewing Form 144s and Form 4s.
Reply:
    https://d18rn0p25nwr6d.cloudfront.net/CIK-0001834584/d03ba82a-5adc-44d2-80e7-bbd7ff51c184.pdf</t>
      </text>
    </comment>
    <comment ref="AZ217" authorId="19" shapeId="0" xr:uid="{BA58E1AF-4CA5-4B21-B165-D853D696A50F}">
      <text>
        <t>[Threaded comment]
Your version of Excel allows you to read this threaded comment; however, any edits to it will get removed if the file is opened in a newer version of Excel. Learn more: https://go.microsoft.com/fwlink/?linkid=870924
Comment:
    Using Schedule 13G for 31st December '23: https://investors.grab.com/static-files/aae5aa01-44d3-468a-a43c-cbb911e13910
Reply:
    Using Schedule 13G for 30th September '24: https://d18rn0p25nwr6d.cloudfront.net/CIK-0001855612/04f4684a-4baa-4033-88c9-2068651a659e.pdf</t>
      </text>
    </comment>
    <comment ref="AO222" authorId="20" shapeId="0" xr:uid="{6EF93D28-19AF-4ED2-9524-49FC1AE4C69F}">
      <text>
        <t>[Threaded comment]
Your version of Excel allows you to read this threaded comment; however, any edits to it will get removed if the file is opened in a newer version of Excel. Learn more: https://go.microsoft.com/fwlink/?linkid=870924
Comment:
    Using Form 20-F but excludes 26m warrants with $11.50 exercise price.</t>
      </text>
    </comment>
    <comment ref="AT222" authorId="21" shapeId="0" xr:uid="{401D64AA-B04C-4279-BD52-32F6A50343AD}">
      <text>
        <t>[Threaded comment]
Your version of Excel allows you to read this threaded comment; however, any edits to it will get removed if the file is opened in a newer version of Excel. Learn more: https://go.microsoft.com/fwlink/?linkid=870924
Comment:
    Using Form 20-F but excludes 26m warrants with $11.50 exercise price.</t>
      </text>
    </comment>
    <comment ref="AP240" authorId="22" shapeId="0" xr:uid="{D5EF9377-77A1-470C-8A71-E3EDA53CB654}">
      <text>
        <t>[Threaded comment]
Your version of Excel allows you to read this threaded comment; however, any edits to it will get removed if the file is opened in a newer version of Excel. Learn more: https://go.microsoft.com/fwlink/?linkid=870924
Comment:
    Using Schedule 13G for 31st December '23: https://app.quotemedia.com/data/downloadFiling?webmasterId=101533&amp;ref=318061389&amp;type=PDF&amp;cdn=d1cb07e38cd81b5d180164e2624528d0&amp;formType=SC+13G%2FA&amp;dateFiled=2024-02-13&amp;cik=0001838413&amp;symbol=0001838413&amp;companyName=
Reply:
    Important: per front page of Form 20-F each ADS represents 20 Class A ordinary shares.
Reply:
    Using Schedule 13G for 30th September '24: https://app.quotemedia.com/data/downloadFiling?webmasterId=101533&amp;ref=318764385&amp;type=PDF&amp;cdn=8383b46371e0bdc42a8d22b37636804b&amp;formType=SC+13G%2FA&amp;dateFiled=2024-12-03&amp;cik=0001838413&amp;symbol=0001838413&amp;companyName=</t>
      </text>
    </comment>
    <comment ref="AZ240" authorId="23" shapeId="0" xr:uid="{9F2D2867-3B8A-4E6B-AE21-7E36E081F4C6}">
      <text>
        <t>[Threaded comment]
Your version of Excel allows you to read this threaded comment; however, any edits to it will get removed if the file is opened in a newer version of Excel. Learn more: https://go.microsoft.com/fwlink/?linkid=870924
Comment:
    Using Schedule 13G for 31st December '23: https://app.quotemedia.com/data/downloadFiling?webmasterId=101533&amp;ref=318061389&amp;type=PDF&amp;cdn=d1cb07e38cd81b5d180164e2624528d0&amp;formType=SC+13G%2FA&amp;dateFiled=2024-02-13&amp;cik=0001838413&amp;symbol=0001838413&amp;companyName=
Reply:
    Important: per front page of Form 20-F each ADS represents 20 Class A ordinary shares.</t>
      </text>
    </comment>
    <comment ref="AO245" authorId="24" shapeId="0" xr:uid="{194FF88D-FC35-46CB-B7CC-131E530DC8FA}">
      <text>
        <t>[Threaded comment]
Your version of Excel allows you to read this threaded comment; however, any edits to it will get removed if the file is opened in a newer version of Excel. Learn more: https://go.microsoft.com/fwlink/?linkid=870924
Comment:
    Important: per front page of Form 20-F each ADS represents 20 Class A ordinary shares i.e., we have taken Class A ordinary shares outstanding from Form 20-F and divided by 20.</t>
      </text>
    </comment>
    <comment ref="AT245" authorId="25" shapeId="0" xr:uid="{BE78C000-6FB5-4668-AF17-63705CDC830F}">
      <text>
        <t>[Threaded comment]
Your version of Excel allows you to read this threaded comment; however, any edits to it will get removed if the file is opened in a newer version of Excel. Learn more: https://go.microsoft.com/fwlink/?linkid=870924
Comment:
    Important: per front page of Form 20-F each ADS represents 20 Class A ordinary shares i.e., we have taken Class A ordinary shares outstanding from Form 20-F and divided by 20.</t>
      </text>
    </comment>
    <comment ref="AP292" authorId="26" shapeId="0" xr:uid="{32C74F71-083A-47D3-AD51-38878D005463}">
      <text>
        <t xml:space="preserve">[Threaded comment]
Your version of Excel allows you to read this threaded comment; however, any edits to it will get removed if the file is opened in a newer version of Excel. Learn more: https://go.microsoft.com/fwlink/?linkid=870924
Comment:
    Using Schedule 13G for 31st December '23: https://d18rn0p25nwr6d.cloudfront.net/CIK-0001792789/f7307a11-bcad-4300-aac6-9538237d315a.pdf </t>
      </text>
    </comment>
    <comment ref="AO297" authorId="27" shapeId="0" xr:uid="{5EE5304E-EAAC-4C69-9B72-BB0812A13279}">
      <text>
        <t>[Threaded comment]
Your version of Excel allows you to read this threaded comment; however, any edits to it will get removed if the file is opened in a newer version of Excel. Learn more: https://go.microsoft.com/fwlink/?linkid=870924
Comment:
    Using 10-K: summation of Class A and Class B ordinary shares as at 9 February '24.
Reply:
    https://d18rn0p25nwr6d.cloudfront.net/CIK-0001792789/22478833-4051-473e-9a9d-048e0c200bfa.pdf</t>
      </text>
    </comment>
    <comment ref="AP315" authorId="28" shapeId="0" xr:uid="{7B155848-E3CA-4090-90B5-2707120B67CA}">
      <text>
        <t>[Threaded comment]
Your version of Excel allows you to read this threaded comment; however, any edits to it will get removed if the file is opened in a newer version of Excel. Learn more: https://go.microsoft.com/fwlink/?linkid=870924
Comment:
    Using Schedule 13G for 31st December '23: https://investor.roivant.com/static-files/a9c8224d-7365-4b17-bfaa-69e4c8b08d65</t>
      </text>
    </comment>
    <comment ref="AO320" authorId="29" shapeId="0" xr:uid="{E55D8937-A480-4771-B2D2-5B68C7BCFF75}">
      <text>
        <t>[Threaded comment]
Your version of Excel allows you to read this threaded comment; however, any edits to it will get removed if the file is opened in a newer version of Excel. Learn more: https://go.microsoft.com/fwlink/?linkid=870924
Comment:
    Using 10-Q but excludes 30.7m warrants with $11.50 exercise price.</t>
      </text>
    </comment>
    <comment ref="AR378" authorId="30" shapeId="0" xr:uid="{4B1B28BB-B628-4121-8FC5-48F4A6E7125D}">
      <text>
        <t>[Threaded comment]
Your version of Excel allows you to read this threaded comment; however, any edits to it will get removed if the file is opened in a newer version of Excel. Learn more: https://go.microsoft.com/fwlink/?linkid=870924
Comment:
    Per S&amp;P Capital IQ 17th July '24.</t>
      </text>
    </comment>
    <comment ref="AR407" authorId="31" shapeId="0" xr:uid="{6790C6C1-868B-4220-BB2D-CAD640D4E32F}">
      <text>
        <t>[Threaded comment]
Your version of Excel allows you to read this threaded comment; however, any edits to it will get removed if the file is opened in a newer version of Excel. Learn more: https://go.microsoft.com/fwlink/?linkid=870924
Comment:
    Per S&amp;P Capital IQ 17th July '24.</t>
      </text>
    </comment>
    <comment ref="AS407" authorId="32" shapeId="0" xr:uid="{D5D72802-4B72-437C-9925-193128C46A5B}">
      <text>
        <t>[Threaded comment]
Your version of Excel allows you to read this threaded comment; however, any edits to it will get removed if the file is opened in a newer version of Excel. Learn more: https://go.microsoft.com/fwlink/?linkid=870924
Comment:
    Per S&amp;P Capital IQ 28th October '24.</t>
      </text>
    </comment>
    <comment ref="AT407" authorId="33" shapeId="0" xr:uid="{CB589507-D603-46F6-8CA9-90BD6D5BF8BD}">
      <text>
        <t>[Threaded comment]
Your version of Excel allows you to read this threaded comment; however, any edits to it will get removed if the file is opened in a newer version of Excel. Learn more: https://go.microsoft.com/fwlink/?linkid=870924
Comment:
    Per S&amp;P Capital IQ 5th February ‘25.</t>
      </text>
    </comment>
    <comment ref="AU407" authorId="34" shapeId="0" xr:uid="{BC05E568-35CF-429B-A5EC-3EF3AA19C3DF}">
      <text>
        <t>[Threaded comment]
Your version of Excel allows you to read this threaded comment; however, any edits to it will get removed if the file is opened in a newer version of Excel. Learn more: https://go.microsoft.com/fwlink/?linkid=870924
Comment:
    Per S&amp;P Capital IQ 29th April ‘25.</t>
      </text>
    </comment>
    <comment ref="AW407" authorId="35" shapeId="0" xr:uid="{02234043-FD86-4714-983C-1ADEAD4C8313}">
      <text>
        <t>[Threaded comment]
Your version of Excel allows you to read this threaded comment; however, any edits to it will get removed if the file is opened in a newer version of Excel. Learn more: https://go.microsoft.com/fwlink/?linkid=870924
Comment:
    Per S&amp;P Capital IQ 30th July ‘25.</t>
      </text>
    </comment>
    <comment ref="AX407" authorId="36" shapeId="0" xr:uid="{0D8E76E2-7BDF-49EA-9369-318336403242}">
      <text>
        <t>[Threaded comment]
Your version of Excel allows you to read this threaded comment; however, any edits to it will get removed if the file is opened in a newer version of Excel. Learn more: https://go.microsoft.com/fwlink/?linkid=870924
Comment:
    Per S&amp;P Capital IQ 29th October '25.</t>
      </text>
    </comment>
    <comment ref="AY407" authorId="37" shapeId="0" xr:uid="{21A0B4E2-4937-4069-88A5-C43287498B2D}">
      <text>
        <t>[Threaded comment]
Your version of Excel allows you to read this threaded comment; however, any edits to it will get removed if the file is opened in a newer version of Excel. Learn more: https://go.microsoft.com/fwlink/?linkid=870924
Comment:
    Per S&amp;P Capital IQ 5th January ‘26.</t>
      </text>
    </comment>
    <comment ref="AO425" authorId="38" shapeId="0" xr:uid="{4CFCC813-2F91-43F1-9BC5-64FD85017D51}">
      <text>
        <t>[Threaded comment]
Your version of Excel allows you to read this threaded comment; however, any edits to it will get removed if the file is opened in a newer version of Excel. Learn more: https://go.microsoft.com/fwlink/?linkid=870924
Comment:
    https://d18rn0p25nwr6d.cloudfront.net/CIK-0001563190/e9c0f7ce-6fca-48ec-8a46-dff96f2c1862.pdf</t>
      </text>
    </comment>
    <comment ref="AS425" authorId="39" shapeId="0" xr:uid="{5DDDBD31-021C-4F64-AF87-110BD966DFE8}">
      <text>
        <t>[Threaded comment]
Your version of Excel allows you to read this threaded comment; however, any edits to it will get removed if the file is opened in a newer version of Excel. Learn more: https://go.microsoft.com/fwlink/?linkid=870924
Comment:
    Using Schedule 13G for 30th September '24: https://d18rn0p25nwr6d.cloudfront.net/CIK-0001563190/d700d2ab-2a5a-4650-835d-cc4b8f2a5ce2.pdf</t>
      </text>
    </comment>
    <comment ref="AT425" authorId="40" shapeId="0" xr:uid="{C339D11D-AE11-4993-B350-E284001A2C9C}">
      <text>
        <t>[Threaded comment]
Your version of Excel allows you to read this threaded comment; however, any edits to it will get removed if the file is opened in a newer version of Excel. Learn more: https://go.microsoft.com/fwlink/?linkid=870924
Comment:
    Using Schedule 13G for 31st December '24: https://d18rn0p25nwr6d.cloudfront.net/CIK-0001563190/29103615-faee-4aa7-b966-a38eddf0220f.pdf.</t>
      </text>
    </comment>
    <comment ref="AU425" authorId="41" shapeId="0" xr:uid="{76D29C51-10BE-46AD-B288-B03512527010}">
      <text>
        <t>[Threaded comment]
Your version of Excel allows you to read this threaded comment; however, any edits to it will get removed if the file is opened in a newer version of Excel. Learn more: https://go.microsoft.com/fwlink/?linkid=870924
Comment:
    Using Schedule 13G for 31st March '25: https://d18rn0p25nwr6d.cloudfront.net/CIK-0001563190/6b6b799a-be6e-451d-bcca-d0ea5d286e59.pdf.</t>
      </text>
    </comment>
    <comment ref="AO430" authorId="42" shapeId="0" xr:uid="{33E33FEB-356E-49EB-8C64-80762B6497B5}">
      <text>
        <t>[Threaded comment]
Your version of Excel allows you to read this threaded comment; however, any edits to it will get removed if the file is opened in a newer version of Excel. Learn more: https://go.microsoft.com/fwlink/?linkid=870924
Comment:
    Using Compass, Inc. 10-K for Basic shares outstanding at 31st December '23: https://d18rn0p25nwr6d.cloudfront.net/CIK-0001563190/3c9e8255-f380-4a9e-9e6a-c928e2d5b471.pdf.</t>
      </text>
    </comment>
    <comment ref="AP432" authorId="43" shapeId="0" xr:uid="{1E8D6DBD-FA1A-4424-BF1F-0251A7F87097}">
      <text>
        <t>[Threaded comment]
Your version of Excel allows you to read this threaded comment; however, any edits to it will get removed if the file is opened in a newer version of Excel. Learn more: https://go.microsoft.com/fwlink/?linkid=870924
Comment:
    https://d18rn0p25nwr6d.cloudfront.net/CIK-0001563190/c398f88f-06a4-47e6-8f5b-594ee702d210.pdf</t>
      </text>
    </comment>
    <comment ref="AR432" authorId="44" shapeId="0" xr:uid="{595462C6-B81D-4D1B-934E-B9C9A6509C88}">
      <text>
        <t>[Threaded comment]
Your version of Excel allows you to read this threaded comment; however, any edits to it will get removed if the file is opened in a newer version of Excel. Learn more: https://go.microsoft.com/fwlink/?linkid=870924
Comment:
    https://d18rn0p25nwr6d.cloudfront.net/CIK-0001563190/040ea8f8-1c74-4db6-8009-367242075abf.pdf</t>
      </text>
    </comment>
    <comment ref="AS432" authorId="45" shapeId="0" xr:uid="{3AAD32C3-11D3-4EEB-B8BB-0B456077F822}">
      <text>
        <t>[Threaded comment]
Your version of Excel allows you to read this threaded comment; however, any edits to it will get removed if the file is opened in a newer version of Excel. Learn more: https://go.microsoft.com/fwlink/?linkid=870924
Comment:
    https://d18rn0p25nwr6d.cloudfront.net/CIK-0001563190/e23e942a-8d00-4e1b-931a-b02f1e8186da.pdf</t>
      </text>
    </comment>
    <comment ref="AT432" authorId="46" shapeId="0" xr:uid="{928AE54B-2249-4427-A94D-4C77A574FB41}">
      <text>
        <t>[Threaded comment]
Your version of Excel allows you to read this threaded comment; however, any edits to it will get removed if the file is opened in a newer version of Excel. Learn more: https://go.microsoft.com/fwlink/?linkid=870924
Comment:
    https://d18rn0p25nwr6d.cloudfront.net/CIK-0001563190/27aabf3b-0262-495d-92ed-b990c64d3702.pdf</t>
      </text>
    </comment>
    <comment ref="AU432" authorId="47" shapeId="0" xr:uid="{8AC3C86F-FCF5-4B13-89C1-1D76565C4289}">
      <text>
        <t>[Threaded comment]
Your version of Excel allows you to read this threaded comment; however, any edits to it will get removed if the file is opened in a newer version of Excel. Learn more: https://go.microsoft.com/fwlink/?linkid=870924
Comment:
    https://d18rn0p25nwr6d.cloudfront.net/CIK-0001563190/a5db5673-2195-458a-ba13-4dd5e8a54753.pdf</t>
      </text>
    </comment>
    <comment ref="AP454" authorId="48" shapeId="0" xr:uid="{AA38A309-D774-4F1B-B500-9C2C88F9DA08}">
      <text>
        <t>[Threaded comment]
Your version of Excel allows you to read this threaded comment; however, any edits to it will get removed if the file is opened in a newer version of Excel. Learn more: https://go.microsoft.com/fwlink/?linkid=870924
Comment:
    Per press reports dated 24th January '24 (e.g., see The Economic Times link below) SVF India Holdings managed to dispose of another 2% of Paytm stake before share price collapse caused by regulatory crackdown on the fintech i.e., Indian regulator forced Paytm to shut down its banking unit due to non-compliance with regulations.
Reply:
    https://economictimes.indiatimes.com/markets/stocks/news/softbank-sells-another-2-stake-in-paytm-via-open-market/articleshow/107103098.cms?from=mdr
Reply:
    Per The Economic Times (article dated 29th February '24) SVF sold another 2.17% stake in late February '24: https://economictimes.indiatimes.com/tech/startups/japans-softbank-cuts-stake-in-paytm/articleshow/108096958.cms?from=mdr.</t>
      </text>
    </comment>
    <comment ref="AR459" authorId="49" shapeId="0" xr:uid="{CA2CB47E-72EF-49E7-908E-25FE95616C48}">
      <text>
        <t>[Threaded comment]
Your version of Excel allows you to read this threaded comment; however, any edits to it will get removed if the file is opened in a newer version of Excel. Learn more: https://go.microsoft.com/fwlink/?linkid=870924
Comment:
    Per S&amp;P Capital IQ 17th July '24.</t>
      </text>
    </comment>
    <comment ref="AP463" authorId="50" shapeId="0" xr:uid="{60F43980-3D28-4F46-AFA6-1332B92C5B31}">
      <text>
        <t>[Threaded comment]
Your version of Excel allows you to read this threaded comment; however, any edits to it will get removed if the file is opened in a newer version of Excel. Learn more: https://go.microsoft.com/fwlink/?linkid=870924
Comment:
    Assumes 23rd January sale at INR 750 &amp; adjusted for exchange rate.
Reply:
    https://economictimes.indiatimes.com/markets/stocks/news/softbank-sells-another-2-stake-in-paytm-via-open-market/articleshow/107103098.cms?from=mdr
Reply:
    SVF sold another 2% tranche towards end of February '24 with share price around INR 400 &amp; have adjusted for exchange rate.
Reply:
    https://economictimes.indiatimes.com/tech/startups/japans-softbank-cuts-stake-in-paytm/articleshow/108096958.cms?from=mdr</t>
      </text>
    </comment>
    <comment ref="AO482" authorId="51" shapeId="0" xr:uid="{21D54794-9B3B-4AEA-BD42-29218E6231A1}">
      <text>
        <t>[Threaded comment]
Your version of Excel allows you to read this threaded comment; however, any edits to it will get removed if the file is opened in a newer version of Excel. Learn more: https://go.microsoft.com/fwlink/?linkid=870924
Comment:
    Using Relay Therapeutics, Inc. 10-K for Basic shares outstanding at 16th February '24: https://ir.relaytx.com/static-files/9088966d-3ce7-4ca3-82d6-470b0c9dfa93.</t>
      </text>
    </comment>
    <comment ref="AT482" authorId="52" shapeId="0" xr:uid="{8C180E1D-6DB5-465B-AF1D-D2AB911DA534}">
      <text>
        <t>[Threaded comment]
Your version of Excel allows you to read this threaded comment; however, any edits to it will get removed if the file is opened in a newer version of Excel. Learn more: https://go.microsoft.com/fwlink/?linkid=870924
Comment:
    Using Relay Therapeutics, Inc. 10-K for Basic shares outstanding at 21st February '25: https://ir.relaytx.com/static-files/9da8b6b3-0850-4d10-8712-f2e70284d906.</t>
      </text>
    </comment>
    <comment ref="AR511" authorId="53" shapeId="0" xr:uid="{8358E1DF-3D07-4131-96EA-8F22AC42EE85}">
      <text>
        <t>[Threaded comment]
Your version of Excel allows you to read this threaded comment; however, any edits to it will get removed if the file is opened in a newer version of Excel. Learn more: https://go.microsoft.com/fwlink/?linkid=870924
Comment:
    Per S&amp;P Capital IQ 17th July '24.</t>
      </text>
    </comment>
    <comment ref="AS511" authorId="54" shapeId="0" xr:uid="{9ED5A4B6-2781-446C-A0AB-25DE9602F10F}">
      <text>
        <t>[Threaded comment]
Your version of Excel allows you to read this threaded comment; however, any edits to it will get removed if the file is opened in a newer version of Excel. Learn more: https://go.microsoft.com/fwlink/?linkid=870924
Comment:
    Per S&amp;P Capital IQ 28th October '24.</t>
      </text>
    </comment>
    <comment ref="AT511" authorId="55" shapeId="0" xr:uid="{6ED1A06C-9B55-4267-A6AA-5122BF6C6B3D}">
      <text>
        <t>[Threaded comment]
Your version of Excel allows you to read this threaded comment; however, any edits to it will get removed if the file is opened in a newer version of Excel. Learn more: https://go.microsoft.com/fwlink/?linkid=870924
Comment:
    Per S&amp;P Capital IQ 5th February ‘25.</t>
      </text>
    </comment>
    <comment ref="AU511" authorId="56" shapeId="0" xr:uid="{AC0C6C81-0B7F-4654-8ACD-914917D3606C}">
      <text>
        <t>[Threaded comment]
Your version of Excel allows you to read this threaded comment; however, any edits to it will get removed if the file is opened in a newer version of Excel. Learn more: https://go.microsoft.com/fwlink/?linkid=870924
Comment:
    Per S&amp;P Capital IQ 29th April ‘25.</t>
      </text>
    </comment>
    <comment ref="AX511" authorId="57" shapeId="0" xr:uid="{4B964F17-16FD-407C-A827-4881F2C7D2D6}">
      <text>
        <t>[Threaded comment]
Your version of Excel allows you to read this threaded comment; however, any edits to it will get removed if the file is opened in a newer version of Excel. Learn more: https://go.microsoft.com/fwlink/?linkid=870924
Comment:
    Per S&amp;P Capital IQ 29th April ‘25.</t>
      </text>
    </comment>
    <comment ref="W531" authorId="58" shapeId="0" xr:uid="{345F59CD-5152-4CA2-B72E-9FB84285AB02}">
      <text>
        <t>[Threaded comment]
Your version of Excel allows you to read this threaded comment; however, any edits to it will get removed if the file is opened in a newer version of Excel. Learn more: https://go.microsoft.com/fwlink/?linkid=870924
Comment:
    Companies House for TikTok Europe accounts: https://find-and-update.company-information.service.gov.uk/company/10165711.</t>
      </text>
    </comment>
    <comment ref="AP533" authorId="59" shapeId="0" xr:uid="{DD76DE99-77CF-46EC-A9F4-83B44321A7D1}">
      <text>
        <t>[Threaded comment]
Your version of Excel allows you to read this threaded comment; however, any edits to it will get removed if the file is opened in a newer version of Excel. Learn more: https://go.microsoft.com/fwlink/?linkid=870924
Comment:
    Note: April '23 FT article suggests "around $15bn" in ByteDance International (i.e., TikTok) sales although prior November '22 article suggested TikTok had slashed revenue target for '22 to nearer to $10.5bn from $12bn-$14.5bn so assume it couldn't have achieved much more than $13.5bn.
Reply:
    November '22 FT article: https://www.ft.com/content/c4ce8f13-bec0-4cde-a885-7857f0bbb733.</t>
      </text>
    </comment>
    <comment ref="AP537" authorId="60" shapeId="0" xr:uid="{BFCA1CCD-F368-428D-9F13-6A91B38EA69D}">
      <text>
        <t>[Threaded comment]
Your version of Excel allows you to read this threaded comment; however, any edits to it will get removed if the file is opened in a newer version of Excel. Learn more: https://go.microsoft.com/fwlink/?linkid=870924
Comment:
    See April '23 FT article: https://www.ft.com/content/b990b325-5af1-4713-b8d0-580b823cad3c.</t>
      </text>
    </comment>
    <comment ref="AO559" authorId="61" shapeId="0" xr:uid="{92D34F68-4915-4FDE-BB34-BB38B6C7286B}">
      <text>
        <t>[Threaded comment]
Your version of Excel allows you to read this threaded comment; however, any edits to it will get removed if the file is opened in a newer version of Excel. Learn more: https://go.microsoft.com/fwlink/?linkid=870924
Comment:
    See April '23 FT article noting that ByteDance EBITDA grew 79% in '22 to reach $25bn: https://www.ft.com/content/b990b325-5af1-4713-b8d0-580b823cad3c.</t>
      </text>
    </comment>
    <comment ref="AR581" authorId="62" shapeId="0" xr:uid="{F0C2D687-4901-41E1-AE7E-10A9553063D4}">
      <text>
        <t>[Threaded comment]
Your version of Excel allows you to read this threaded comment; however, any edits to it will get removed if the file is opened in a newer version of Excel. Learn more: https://go.microsoft.com/fwlink/?linkid=870924
Comment:
    See December '23 FT article which notes TikTok has &gt;$50bn of cash on the balance sheet: https://www.ft.com/content/e721bca0-0c9c-49d1-81e7-09675e8f176f.</t>
      </text>
    </comment>
    <comment ref="AS589" authorId="63" shapeId="0" xr:uid="{A923B3D3-C799-4A91-AE6F-B024A32CDE3C}">
      <text>
        <t>[Threaded comment]
Your version of Excel allows you to read this threaded comment; however, any edits to it will get removed if the file is opened in a newer version of Excel. Learn more: https://go.microsoft.com/fwlink/?linkid=870924
Comment:
    See April '24 FT article for valuation details: https://www.ft.com/content/540985a4-6c20-4fac-b38b-52dd59d5f543.</t>
      </text>
    </comment>
    <comment ref="AS590" authorId="64" shapeId="0" xr:uid="{753F737E-D50C-4B8E-93E5-522CF869CDE5}">
      <text>
        <t>[Threaded comment]
Your version of Excel allows you to read this threaded comment; however, any edits to it will get removed if the file is opened in a newer version of Excel. Learn more: https://go.microsoft.com/fwlink/?linkid=870924
Comment:
    See April '24 FT article for valuation details: https://www.ft.com/content/540985a4-6c20-4fac-b38b-52dd59d5f543.</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tc={A8D0E0A0-9680-47B0-A47D-04D37725C800}</author>
    <author>tc={4000468B-6F28-4736-A003-5B88C8F6A985}</author>
    <author>tc={C91CEA2E-2CC3-4AEA-AF3A-B786665E324D}</author>
    <author>tc={626D60DF-FE6F-4641-B516-8D332171D04A}</author>
    <author>tc={A6484E7B-634B-4A11-BF1A-6F23D24214EA}</author>
    <author>tc={AFFFF9A8-2BAB-4432-9494-D5ABCB00655C}</author>
    <author>tc={4145E92B-C049-47A5-BA97-9A50E1BA9D02}</author>
    <author>tc={4130C4AE-CED5-423E-A134-D2E53D300459}</author>
    <author>tc={CF7279E1-14F3-48B4-98CD-EC48C328EB8B}</author>
    <author>tc={DF8041EF-D145-45C7-86B7-52D9B4164E2E}</author>
    <author>tc={7D8FFC06-0B97-4B1F-8447-AFFA533B36B9}</author>
    <author>tc={5DFF48CA-7833-4C8B-876A-B7820DAB7DDF}</author>
    <author>tc={772E82ED-E7CF-49B7-9CD4-F83162D575E2}</author>
    <author>tc={5A529D9F-36F7-4716-AA3C-49224BC3383F}</author>
    <author>tc={9053761C-B4BE-4064-8E0F-D900F63E45C4}</author>
    <author>tc={1BBAD50C-8E27-49E6-8563-5273C4D6BDD1}</author>
    <author>tc={8A69063E-4ED5-4E2D-A6FF-BC9F8484F89C}</author>
    <author>tc={E2FB3A25-C0B5-472B-B680-01ECD1A2BE3E}</author>
    <author>tc={E973114A-145F-4C6D-BC43-5542CA54CCEB}</author>
    <author>tc={9834126B-842C-4D18-8B89-58F43158AD40}</author>
    <author>tc={F1583FF1-09F3-4C3F-8670-D5DCADCE93DB}</author>
    <author>tc={DC67202E-CFA6-4E98-BC4A-AF1F8D4AB393}</author>
    <author>tc={2CF6C537-DD2A-4656-9708-FD3D0649D966}</author>
    <author>tc={3EB76E0D-B021-46D3-BFAE-27C7301AEC4E}</author>
    <author>tc={6B02CC52-8E34-4199-BDED-6D49D15550B5}</author>
    <author>tc={98A69331-F521-485C-BA29-8B4248D0720D}</author>
    <author>tc={4AC471AC-95F9-4ED0-9D1C-88D6839B7A8C}</author>
    <author>tc={38ACE20C-DE6A-459D-BEB6-818331CF5596}</author>
    <author>tc={3298BC38-1632-44CC-B190-9D6171DAA994}</author>
    <author>tc={25F8CD23-112E-4AD0-976A-63091AA8A3DC}</author>
    <author>tc={AE34E9AC-BC49-4BE1-9DC7-3147EF570F79}</author>
    <author>tc={06FD1944-2534-4FF0-9251-60537A050C5C}</author>
    <author>tc={5E522686-A87B-4C4C-BF50-E205BC1CF334}</author>
    <author>tc={04B62550-BF92-4FDD-868B-6FD1FE7C2924}</author>
    <author>tc={9A94E70A-8141-4F7D-9142-D4AD0A3E8842}</author>
    <author>tc={F6F791DB-DF4B-4168-BF7E-81714DEBC147}</author>
    <author>tc={E1E44DE4-BF5F-49D6-B53C-576A0700FB37}</author>
    <author>tc={B7811F33-1DC1-43D7-8CCA-C69AB7A630A5}</author>
    <author>tc={B33CAD87-2F53-47F1-906F-5968B4BB14AD}</author>
    <author>tc={34837028-1420-492B-82B5-6F6AAF66299D}</author>
    <author>tc={670BEFE5-7918-43D5-AA5B-AB6772BD45B3}</author>
    <author>tc={A2F6E2DA-E8E5-433C-927B-443D27B073BB}</author>
    <author>tc={BEC20971-3F76-4F11-BDF2-824ED8F020B8}</author>
    <author>tc={4DCDB6A3-9FBB-4792-A6D1-7A698A8F0169}</author>
    <author>tc={C8B1F49C-EEAA-4A89-AAC4-15BCEE5C03D4}</author>
    <author>tc={DDCC6589-765D-4155-A819-3C5187149E7B}</author>
    <author>tc={659C752A-4373-47C0-B16D-BE47D43EBF57}</author>
    <author>tc={D573EB0E-543B-472B-BAE3-7A35EBD4CD06}</author>
    <author>tc={5EAE1158-D284-4FA2-A017-DDC351E769FE}</author>
    <author>tc={03030C5D-EB8A-495A-8E43-6D4669939CEC}</author>
    <author>tc={6D4E8C96-25B3-415D-B927-707C0513E6BF}</author>
    <author>tc={33AF84E4-81BA-45D5-839C-15399CC8E755}</author>
    <author>tc={09500631-693C-43EF-8BCA-4BE87AB73D2E}</author>
    <author>tc={A722766D-1B7C-45C4-A14E-1061BD7C2842}</author>
    <author>tc={BE9DD946-4EDA-4672-86DC-D3AF0E13F53F}</author>
    <author>tc={518D760E-1FC3-4DC8-8D9F-14938D626D62}</author>
    <author>tc={4256DB16-A966-4983-96AB-1E94371682DB}</author>
    <author>tc={86BC2147-9ABB-4504-8F54-08B016CAF998}</author>
    <author>tc={8339EB57-AC0F-4DFF-A9BD-BCE60B8D26B1}</author>
    <author>tc={8F20C922-43C2-46F7-8210-17D48E732AD1}</author>
    <author>tc={6E838F1A-7251-472B-993F-19D4277F9647}</author>
    <author>tc={7ED501D0-CD62-42AC-B207-3D06E1078B6D}</author>
    <author>tc={8A9BC52E-0C87-4CED-B108-CDCC8C29EB16}</author>
    <author>tc={83BF2605-4DD9-47DA-8638-3D9B1F46C79F}</author>
    <author>tc={F2A8314D-4344-4385-8A36-C2FCFB5C88F6}</author>
    <author>tc={53F045B3-6BEA-4F20-8E34-F2F800D67F08}</author>
    <author>tc={042007EA-BAF7-4638-B85D-8FF1CBF134C2}</author>
  </authors>
  <commentList>
    <comment ref="A44" authorId="0" shapeId="0" xr:uid="{A8D0E0A0-9680-47B0-A47D-04D37725C800}">
      <text>
        <t>[Threaded comment]
Your version of Excel allows you to read this threaded comment; however, any edits to it will get removed if the file is opened in a newer version of Excel. Learn more: https://go.microsoft.com/fwlink/?linkid=870924
Comment:
    Per Tech Crunch: SVF invested $275m in Series G funding round in December '19 at $1.5bn valuation i.e., 18.3% implied stake.
Reply:
    https://techcrunch.com/2019/12/20/softbank-lenskart-india/
Reply:
    Per The Economic Times (India): Temasek &amp; Fidelity could be investing $200m this year (article from April '24) in Lenskart at $5bn valuation. Article notes that SoftBank is the largest institutional investor in Lenskart with 16.5% stake but is not selling down via latest funding round. Prior valuation at $4.5bn so we take 16.5% x $4.5bn = $745m valuation.
Reply:
    https://economictimes.indiatimes.com/tech/funding/temasek-fidelity-may-invest-200-million-in-lenskart-at-5-billion-valuation/articleshow/109572374.cms?from=mdr
Reply:
    Per The Economic Times (India): in June '24 Singapore Sovereign Fund Temasek and Fidelity invested further $200m in Lenskart at a valuation of $5bn i.e., $500m/11% uplift on prior $4.5bn valuation but SoftBank's 16.5% ownership diluted by 4% (or $200m/$5bn).
Reply:
    https://economictimes.indiatimes.com/tech/funding/peyush-bansal-other-lenskart-founders-invest-20-million-in-new-funding-round/articleshow/111838072.cms
Reply:
    Per Times of India: in February ‘25 Lenskart had been planning to file draft IPO documentation by May ‘25 and potentially seeking a $10bn valuation (i.e., 2x the prior $5bn mark). Note: given tariff uncertainty we anticipate a delay in the IPO so we have kept SVF2’s all-in private mark at $5bn.
Reply:
    https://timesofindia.indiatimes.com/business/india-business/lenskart-eyes-10-billion-valuation-plans-1-billion-ipo-at-double-its-2024-value/articleshow/118321843.cms</t>
      </text>
    </comment>
    <comment ref="BP44" authorId="1" shapeId="0" xr:uid="{4000468B-6F28-4736-A003-5B88C8F6A985}">
      <text>
        <t>[Threaded comment]
Your version of Excel allows you to read this threaded comment; however, any edits to it will get removed if the file is opened in a newer version of Excel. Learn more: https://go.microsoft.com/fwlink/?linkid=870924
Comment:
    Per Tech Crunch: SoftBank invested $450m in $1.25bn funding round in July '21 at a post-money valuation of $4.9bn/$5.5bn giving SVF2 an 8-9% equity stake.
Reply:
    https://techcrunch.com/2021/07/20/indian-food-delivery-startup-swiggy-raises-1-25-billion-led-by-softbank-and-prosus/
Reply:
    Per The Economic Times (India): Invesco marked up Swiggy valuation to $12.7bn ahead of potential IPO (filed for IPO in April '24) with Baron previously increasing its own estimated valuation to $12.1bn in March '24. $12.1bn x 9% = $1.1bn fair value for SVF2.
Reply:
    https://economictimes.indiatimes.com/tech/startups/invesco-marks-swiggy-valuation-at-12-7-billion-up-18-from-last-fundraise/articleshow/109157973.cms?from=mdr</t>
      </text>
    </comment>
    <comment ref="BH45" authorId="2" shapeId="0" xr:uid="{C91CEA2E-2CC3-4AEA-AF3A-B786665E324D}">
      <text>
        <t>[Threaded comment]
Your version of Excel allows you to read this threaded comment; however, any edits to it will get removed if the file is opened in a newer version of Excel. Learn more: https://go.microsoft.com/fwlink/?linkid=870924
Comment:
    Swiggy Limited + Ola Electric Mobility Limited.</t>
      </text>
    </comment>
    <comment ref="BM45" authorId="3" shapeId="0" xr:uid="{626D60DF-FE6F-4641-B516-8D332171D04A}">
      <text>
        <t>[Threaded comment]
Your version of Excel allows you to read this threaded comment; however, any edits to it will get removed if the file is opened in a newer version of Excel. Learn more: https://go.microsoft.com/fwlink/?linkid=870924
Comment:
    Per Tech Crunch: SVF invested $275m in Series G funding round in December '19 at $1.5bn valuation i.e., 18.3% implied stake.
Reply:
    https://techcrunch.com/2019/12/20/softbank-lenskart-india/
Reply:
    Per The Economic Times (India): Temasek &amp; Fidelity could be investing $200m this year (article from April '24) in Lenskart at $5bn valuation. Article notes that SoftBank is the largest institutional investor in Lenskart with 16.5% stake but is not selling down via latest funding round. Prior valuation at $4.5bn so we take 16.5% x $4.5bn = $745m valuation.
Reply:
    https://economictimes.indiatimes.com/tech/funding/temasek-fidelity-may-invest-200-million-in-lenskart-at-5-billion-valuation/articleshow/109572374.cms?from=mdr
Reply:
    Per The Economic Times (India): in June '24 Singapore Sovereign Fund Temasek and Fidelity invested further $200m in Lenskart at a valuation of $5bn i.e., $500m/11% uplift on prior $4.5bn valuation but SoftBank's 16.5% ownership diluted by 4% (or $200m/$5bn).
Reply:
    https://economictimes.indiatimes.com/tech/funding/peyush-bansal-other-lenskart-founders-invest-20-million-in-new-funding-round/articleshow/111838072.cms
Reply:
    Per Times of India: in February ‘25 Lenskart had been planning to file draft IPO documentation by May ‘25 and potentially seeking a $10bn valuation (i.e., 2x the prior $5bn mark). Note: given tariff uncertainty we anticipate a delay in the IPO so we have kept SVF2’s all-in private mark at $5bn.
Reply:
    https://timesofindia.indiatimes.com/business/india-business/lenskart-eyes-10-billion-valuation-plans-1-billion-ipo-at-double-its-2024-value/articleshow/118321843.cms</t>
      </text>
    </comment>
    <comment ref="A46" authorId="4" shapeId="0" xr:uid="{A6484E7B-634B-4A11-BF1A-6F23D24214EA}">
      <text>
        <t>[Threaded comment]
Your version of Excel allows you to read this threaded comment; however, any edits to it will get removed if the file is opened in a newer version of Excel. Learn more: https://go.microsoft.com/fwlink/?linkid=870924
Comment:
    Per Tech Crunch: SoftBank invested $450m in $1.25bn funding round in July '21 at a post-money valuation of $4.9bn/$5.5bn giving SVF2 an 8-9% equity stake.
Reply:
    https://techcrunch.com/2021/07/20/indian-food-delivery-startup-swiggy-raises-1-25-billion-led-by-softbank-and-prosus/
Reply:
    Per The Economic Times (India): Invesco marked up Swiggy valuation to $12.7bn ahead of potential IPO (filed for IPO in April '24) with Baron previously increasing its own estimated valuation to $12.1bn in March '24. $12.1bn x 9% = $1.1bn fair value for SVF2.
Reply:
    https://economictimes.indiatimes.com/tech/startups/invesco-marks-swiggy-valuation-at-12-7-billion-up-18-from-last-fundraise/articleshow/109157973.cms?from=mdr
Reply:
    Assumptions: we marked up SBG's 8-9% Swiggy Priv. Ltd. Stake by $50m (from $1.1bn to $1.15bn) to reflect ET reporting that both Invesco/Baron Capital had marked up their valuations to $12.7bn/$12.1bn respectively (ahead of $1bn IPO) i.e., we took an 8-9% share of $600m increase in valuation to get to Invesco's latest mark.</t>
      </text>
    </comment>
    <comment ref="BP46" authorId="5" shapeId="0" xr:uid="{AFFFF9A8-2BAB-4432-9494-D5ABCB00655C}">
      <text>
        <t>[Threaded comment]
Your version of Excel allows you to read this threaded comment; however, any edits to it will get removed if the file is opened in a newer version of Excel. Learn more: https://go.microsoft.com/fwlink/?linkid=870924
Comment:
    SoftBank carried out a sole $1.7bn funding round for Yanolja in July '21.
Reply:
    https://www.prnewswire.com/news-releases/yanolja-raises-usd-1-7-billion-in-new-funding-from-softbank-vision-fund-2--301334416.html#:~:text=SEOUL%2C%20South%20Korea%2C%20July%2015,largest%20technology%2Dfocused%20investment%20funds.
Reply:
    Pre Bloomberg report: Yanolja valuation reportedly &gt;$9bn based on SoftBank funding round i.e., SoftBank holds up to 19% equity stake in Yanolja.
Reply:
    https://www.bloomberg.com/news/articles/2021-07-15/softbank-invests-1-7-billion-in-korea-s-yanolja-ahead-of-ipo?embedded-checkout=true</t>
      </text>
    </comment>
    <comment ref="BQ46" authorId="6" shapeId="0" xr:uid="{4145E92B-C049-47A5-BA97-9A50E1BA9D02}">
      <text>
        <t>[Threaded comment]
Your version of Excel allows you to read this threaded comment; however, any edits to it will get removed if the file is opened in a newer version of Excel. Learn more: https://go.microsoft.com/fwlink/?linkid=870924
Comment:
    Per The Korea Herald: OTC market implies Yanolja valuation down circa 50% (5 trillion won vs. 10 trillion won) since SoftBank funding round although saying IPO valuation &gt;10 trillion which would put SVF2 back in the green.
Reply:
    https://www.koreaherald.com/view.php?ud=20240313050593#:~:text=The%20company%20aims%20to%20launch,at%20around%205.3%20trillion%20won.</t>
      </text>
    </comment>
    <comment ref="BS46" authorId="7" shapeId="0" xr:uid="{4130C4AE-CED5-423E-A134-D2E53D300459}">
      <text>
        <t>[Threaded comment]
Your version of Excel allows you to read this threaded comment; however, any edits to it will get removed if the file is opened in a newer version of Excel. Learn more: https://go.microsoft.com/fwlink/?linkid=870924
Comment:
    Lenskart Solutions + Yanolja Group.</t>
      </text>
    </comment>
    <comment ref="BP47" authorId="8" shapeId="0" xr:uid="{CF7279E1-14F3-48B4-98CD-EC48C328EB8B}">
      <text>
        <t>[Threaded comment]
Your version of Excel allows you to read this threaded comment; however, any edits to it will get removed if the file is opened in a newer version of Excel. Learn more: https://go.microsoft.com/fwlink/?linkid=870924
Comment:
    Per SoftBank IR: SVF2 has invested "just under $1bn" in Revolut. Per Revolut Series E funding press release, SBG led an $800m Series E funding round at $33bn valuation in July '21 i.e., we assume over time in '21 SBG acquires a 2.5% equity stake in Revolut.
Reply:
    https://www.revolut.com/en-US/news/revolut_raises_800m_series_e_funding_from_softbank_vision_fund_2_and_tiger_global/
Reply:
    Revolut valuation fell dramatically post-SBG investment but Bloomberg reports in April '24 that shareholders increasing mark back to &gt;$25bn valuation i.e., SoftBank stake worth perhaps $600m.
Reply:
    https://www.bloomberg.com/news/articles/2024-04-15/revolut-valuation-raised-by-investor-schroders-as-fintech-fortunes-rebound?embedded-checkout=true</t>
      </text>
    </comment>
    <comment ref="BS47" authorId="9" shapeId="0" xr:uid="{DF8041EF-D145-45C7-86B7-52D9B4164E2E}">
      <text>
        <t>[Threaded comment]
Your version of Excel allows you to read this threaded comment; however, any edits to it will get removed if the file is opened in a newer version of Excel. Learn more: https://go.microsoft.com/fwlink/?linkid=870924
Comment:
    Swiggy Limited + Ola Electric Mobility Limited.</t>
      </text>
    </comment>
    <comment ref="BH49" authorId="10" shapeId="0" xr:uid="{7D8FFC06-0B97-4B1F-8447-AFFA533B36B9}">
      <text>
        <t>[Threaded comment]
Your version of Excel allows you to read this threaded comment; however, any edits to it will get removed if the file is opened in a newer version of Excel. Learn more: https://go.microsoft.com/fwlink/?linkid=870924
Comment:
    Lenskart Solutions + Yanolja Group.</t>
      </text>
    </comment>
    <comment ref="AS140" authorId="11" shapeId="0" xr:uid="{5DFF48CA-7833-4C8B-876A-B7820DAB7DDF}">
      <text>
        <t>[Threaded comment]
Your version of Excel allows you to read this threaded comment; however, any edits to it will get removed if the file is opened in a newer version of Excel. Learn more: https://go.microsoft.com/fwlink/?linkid=870924
Comment:
    OpenAI raised $6.6bn at $157bn post-money valuation in Sep. ‘24 with SVF2 investing $500m (see links below).
Reply:
    https://openai.com/index/scale-the-benefits-of-ai/
Reply:
    https://group.softbank/system/files/pdf/ir/presentations/2024/investor-svf_q2fy2024_01_en.pdf</t>
      </text>
    </comment>
    <comment ref="AU140" authorId="12" shapeId="0" xr:uid="{772E82ED-E7CF-49B7-9CD4-F83162D575E2}">
      <text>
        <t>[Threaded comment]
Your version of Excel allows you to read this threaded comment; however, any edits to it will get removed if the file is opened in a newer version of Excel. Learn more: https://go.microsoft.com/fwlink/?linkid=870924
Comment:
    See “OpenAI SBG rough” tab for workings, based on pgs.4-5 of F2Q “Accounting” slides: SoftBank recognised $1.1bn SVF gain in P&amp;L at FY24 for OpenAI investment.
Reply:
    https://group.softbank/media/Project/sbg/sbg/pdf/ir/presentations/2025/investor-presentation_q2fy2025_01_en.pdf</t>
      </text>
    </comment>
    <comment ref="AW140" authorId="13" shapeId="0" xr:uid="{5A529D9F-36F7-4716-AA3C-49224BC3383F}">
      <text>
        <t>[Threaded comment]
Your version of Excel allows you to read this threaded comment; however, any edits to it will get removed if the file is opened in a newer version of Excel. Learn more: https://go.microsoft.com/fwlink/?linkid=870924
Comment:
    We adjust SVF2’s OpenAI mark to Apr. ‘25 $300bn post-money valuation for SBG’s syndicated $40bn OpenAI Global LLC investment. Note: dilution of prior investment for First Closing ($10bn in Apr. ‘25) only.
Reply:
    https://group.softbank/en/news/press/20250401
Reply:
    See “OpenAI SBG rough” tab for workings, based on pgs.4-5 of F2Q “Accounting” slides: SoftBank recognised $1.1bn SVF gain in P&amp;L at FY24 for OpenAI investment.
Reply:
    https://group.softbank/media/Project/sbg/sbg/pdf/ir/presentations/2025/investor-presentation_q2fy2025_01_en.pdf</t>
      </text>
    </comment>
    <comment ref="AX142" authorId="14" shapeId="0" xr:uid="{9053761C-B4BE-4064-8E0F-D900F63E45C4}">
      <text>
        <t>[Threaded comment]
Your version of Excel allows you to read this threaded comment; however, any edits to it will get removed if the file is opened in a newer version of Excel. Learn more: https://go.microsoft.com/fwlink/?linkid=870924
Comment:
    During F2Q SBG’s “OpenAI Forward Contract” was transferred to SVF2: per pgs.4-5 of F2Q “Accounting” slides: TopCo recognised $1.8bn of $8bn recorded gain on “OpenAI Forward Contract” with SVF2 recognising the remaining $6.2bn (i.e., implying that SVF2 effectively acquired the “OpenAI Forward Contract” from TopCo for $1.8bn in cash).</t>
      </text>
    </comment>
    <comment ref="AR146" authorId="15" shapeId="0" xr:uid="{1BBAD50C-8E27-49E6-8563-5273C4D6BDD1}">
      <text>
        <t>[Threaded comment]
Your version of Excel allows you to read this threaded comment; however, any edits to it will get removed if the file is opened in a newer version of Excel. Learn more: https://go.microsoft.com/fwlink/?linkid=870924
Comment:
    Per Reuters article: SoftBank Vision Fund 2 invested $10m-$20m in Perplexity AI at $3bn valuation in June ‘24 as part of Perplexity AI’s $250m Series C funding round.
Reply:
    https://www.reuters.com/technology/artificial-intelligence/softbank-invest-search-startup-perplexity-ai-3-bln-valuation-bloomberg-reports-2024-06-27/#:~:text=SoftBank%20to%20invest%20in%20search,bln%20valuation%2C%20Bloomberg%20reports%20%7C%20Reuters
Reply:
    See slide 15 of F1Q24 SVF earnings presentation: https://group.softbank/media/Project/sbg/sbg/pdf/ir/presentations/2024/investor-svf_q1fy2024_01_en.pdf.</t>
      </text>
    </comment>
    <comment ref="AT146" authorId="16" shapeId="0" xr:uid="{8A69063E-4ED5-4E2D-A6FF-BC9F8484F89C}">
      <text>
        <t>[Threaded comment]
Your version of Excel allows you to read this threaded comment; however, any edits to it will get removed if the file is opened in a newer version of Excel. Learn more: https://go.microsoft.com/fwlink/?linkid=870924
Comment:
    Per Bloomberg reports: Perplexity AI closed a $500m Series D funding round in Dec. ‘24 at $9bn valuation or approximately 3x Series C valuation at time of SVF2 original investment. Note: it is unclear whether SoftBank participated in this Series D funding round (at this point had committed to OpenAI by investing $500m in $6.6bn/$157bn funding round in Sep. ‘24).
Reply:
    https://www.verdict.co.uk/perplexity-raises-500m/</t>
      </text>
    </comment>
    <comment ref="AW146" authorId="17" shapeId="0" xr:uid="{E2FB3A25-C0B5-472B-B680-01ECD1A2BE3E}">
      <text>
        <t>[Threaded comment]
Your version of Excel allows you to read this threaded comment; however, any edits to it will get removed if the file is opened in a newer version of Excel. Learn more: https://go.microsoft.com/fwlink/?linkid=870924
Comment:
    Per CNBC: Perplexity AI is in talks to raise an additional $500m-$1bn at an $18bn post-money valuation.
Reply:
    https://www.cnbc.com/2025/03/20/perplexity-in-talks-to-double-valuation-to-18-billion-via-new-funding.html
Reply:
    Per various reports: Perplexity AI later secured $500m of additional funding at $14bn valuation (and some reports of SVF2 participating in this $500m funding round).
Reply:
    https://www.perplexity.ai/discover/top/perplexity-ai-wrapping-talks-t-lkMydBK6QFuNZI6P5sg0Hw#:~:text=As%20reported%20by%20NBC%20and,billion%20valuation%20in%20December%202024.</t>
      </text>
    </comment>
    <comment ref="AX146" authorId="18" shapeId="0" xr:uid="{E973114A-145F-4C6D-BC43-5542CA54CCEB}">
      <text>
        <t>[Threaded comment]
Your version of Excel allows you to read this threaded comment; however, any edits to it will get removed if the file is opened in a newer version of Excel. Learn more: https://go.microsoft.com/fwlink/?linkid=870924
Comment:
    Per Financial Times: Perplexity AI secured another $100m of funding at $18bn valuation in July ‘25 (annualised revenues of $150m as of July ‘25 indicating a P/S multiple of 120).
Reply:
    https://www.ft.com/content/4e05a5c5-84ad-4f8a-991a-d7f3842de76d</t>
      </text>
    </comment>
    <comment ref="AY146" authorId="19" shapeId="0" xr:uid="{9834126B-842C-4D18-8B89-58F43158AD40}">
      <text>
        <t>[Threaded comment]
Your version of Excel allows you to read this threaded comment; however, any edits to it will get removed if the file is opened in a newer version of Excel. Learn more: https://go.microsoft.com/fwlink/?linkid=870924
Comment:
    https://www.theinformation.com/briefings/perplexity-finalizes-20-billion-valuation-round?utm_source=chatgpt.com&amp;rc=oyp3ga</t>
      </text>
    </comment>
    <comment ref="AR147" authorId="20" shapeId="0" xr:uid="{F1583FF1-09F3-4C3F-8670-D5DCADCE93DB}">
      <text>
        <t>[Threaded comment]
Your version of Excel allows you to read this threaded comment; however, any edits to it will get removed if the file is opened in a newer version of Excel. Learn more: https://go.microsoft.com/fwlink/?linkid=870924
Comment:
    Per SoftBank IR: SVF2 has invested "just under $1bn" in Revolut. Per Revolut Series E funding press release, SBG led an $800m Series E funding round at $33bn valuation in July '21 i.e., we assume over time in '21 SBG acquires a 2.5% equity stake in Revolut.
Reply:
    https://www.revolut.com/en-US/news/revolut_raises_800m_series_e_funding_from_softbank_vision_fund_2_and_tiger_global/
Reply:
    Revolut valuation fell dramatically post-SBG investment but Bloomberg reports in April '24 that shareholders increasing mark back to &gt;$25bn valuation i.e., SoftBank stake worth perhaps $600m.
Reply:
    https://www.bloomberg.com/news/articles/2024-04-15/revolut-valuation-raised-by-investor-schroders-as-fintech-fortunes-rebound?embedded-checkout=true</t>
      </text>
    </comment>
    <comment ref="AS147" authorId="21" shapeId="0" xr:uid="{DC67202E-CFA6-4E98-BC4A-AF1F8D4AB393}">
      <text>
        <t>[Threaded comment]
Your version of Excel allows you to read this threaded comment; however, any edits to it will get removed if the file is opened in a newer version of Excel. Learn more: https://go.microsoft.com/fwlink/?linkid=870924
Comment:
    Per Revolut press release: Revolut carried out a secondary share sale (i.e., no dilution for SVF2 as an existing investor) in Aug. ‘24 at a $45bn valuation.
Reply:
    https://www.revolut.com/news/revolut_announces_secondary_share_sale_to_provide_employee_liquidity/</t>
      </text>
    </comment>
    <comment ref="AU147" authorId="22" shapeId="0" xr:uid="{2CF6C537-DD2A-4656-9708-FD3D0649D966}">
      <text>
        <t>[Threaded comment]
Your version of Excel allows you to read this threaded comment; however, any edits to it will get removed if the file is opened in a newer version of Excel. Learn more: https://go.microsoft.com/fwlink/?linkid=870924
Comment:
    Per City A.M.: Schroders upgraded the value of its Revolut stake to an implied all-in value for Revolut of $48bn in Mar. ‘25.
Reply:
    https://www.cityam.com/schroders-upgrades-revolut-stake-in-former-woodford-trust-by-85-per-cent/</t>
      </text>
    </comment>
    <comment ref="AY147" authorId="23" shapeId="0" xr:uid="{3EB76E0D-B021-46D3-BFAE-27C7301AEC4E}">
      <text>
        <t>[Threaded comment]
Your version of Excel allows you to read this threaded comment; however, any edits to it will get removed if the file is opened in a newer version of Excel. Learn more: https://go.microsoft.com/fwlink/?linkid=870924
Comment:
    Per the FT: Revolut is in talks to raise new funding at $65bn valuation.
Reply:
    https://www.ft.com/content/f4de3f2e-2476-4048-a035-f1f78a59922e
Reply:
    Per Reuters: Revolut carried out a secondary share sale at $75bn valuation in Sep. ‘25.
Reply:
    https://www.reuters.com/business/finance/uks-revolut-kicks-off-secondary-share-sale-75-billion-valuation-source-says-2025-09-01/
Reply:
    Per Revolut press release: $75bn valuation fundraising (incl. employee share sale) completed in Nov. ‘25.
Reply:
    https://www.revolut.com/news/revolut_completes_fundraising_process_establishing_75_billion_valuation/</t>
      </text>
    </comment>
    <comment ref="AU148" authorId="24" shapeId="0" xr:uid="{6B02CC52-8E34-4199-BDED-6D49D15550B5}">
      <text>
        <t>[Threaded comment]
Your version of Excel allows you to read this threaded comment; however, any edits to it will get removed if the file is opened in a newer version of Excel. Learn more: https://go.microsoft.com/fwlink/?linkid=870924
Comment:
    Wayve Series C valuation estimate: no publicly disclosed valuation for Wayve at May ‘24 Series C but Tracxn (only available source) puts valuation at £4.4bn/$5.75bn.
Reply:
    https://tracxn.com/d/companies/wayve/__go5_Z58BAb4tRQ9srOvG14MIffdlqtv-Xbv6nI1E3eg</t>
      </text>
    </comment>
    <comment ref="AZ148" authorId="25" shapeId="0" xr:uid="{98A69331-F521-485C-BA29-8B4248D0720D}">
      <text>
        <t>[Threaded comment]
Your version of Excel allows you to read this threaded comment; however, any edits to it will get removed if the file is opened in a newer version of Excel. Learn more: https://go.microsoft.com/fwlink/?linkid=870924
Comment:
    FT reports that Wayve is raising $2bn from SoftBank, Microsoft, etc. at $8bn reported valuation.
Reply:
    https://www.ft.com/content/3f6b6126-06d6-4b31-b907-30d25c8c7236</t>
      </text>
    </comment>
    <comment ref="AX149" authorId="26" shapeId="0" xr:uid="{4AC471AC-95F9-4ED0-9D1C-88D6839B7A8C}">
      <text>
        <t>[Threaded comment]
Your version of Excel allows you to read this threaded comment; however, any edits to it will get removed if the file is opened in a newer version of Excel. Learn more: https://go.microsoft.com/fwlink/?linkid=870924
Comment:
    Arete estimate of SoftBank participation in $10bn Series J funding round valuing Databricks at $62bn: IR has guided that initial exposure is &lt;$50m but unclear whether SoftBank went on to participate in Series K valuing Databricks at &gt;$100bn.
Reply:
    https://www.databricks.com/company/newsroom/press-releases/databricks-raising-10b-series-j-investment-62b-valuation
Reply:
    Databricks closed $1bn Series K funding round at &gt;$100bn valuation in Sep. ‘25: i.e., maximum 1% dilution to SoftBank as existing shareholder but unclear whether SoftBank participated in follow-on round.
Reply:
    https://www.databricks.com/company/newsroom/press-releases/databricks-surpasses-4b-revenue-run-rate-exceeding-1b-ai-revenue</t>
      </text>
    </comment>
    <comment ref="AY149" authorId="27" shapeId="0" xr:uid="{38ACE20C-DE6A-459D-BEB6-818331CF5596}">
      <text>
        <t>[Threaded comment]
Your version of Excel allows you to read this threaded comment; however, any edits to it will get removed if the file is opened in a newer version of Excel. Learn more: https://go.microsoft.com/fwlink/?linkid=870924
Comment:
    Arete estimate of SoftBank participation in $10bn Series J funding round valuing Databricks at $62bn: IR has guided that initial exposure is &lt;$50m but unclear whether SoftBank went on to participate in Series K valuing Databricks at &gt;$100bn.
Reply:
    https://www.databricks.com/company/newsroom/press-releases/databricks-raising-10b-series-j-investment-62b-valuation
Reply:
    Databricks closed $1bn Series K funding round at &gt;$100bn valuation in Sep. ‘25: i.e., maximum 1% dilution to SoftBank as existing shareholder but unclear whether SoftBank participated in follow-on round.
Reply:
    https://www.databricks.com/company/newsroom/press-releases/databricks-surpasses-4b-revenue-run-rate-exceeding-1b-ai-revenue
Reply:
    CNBC reported that Databricks closed $5bn additional equity funding at $134bn valuation in Feb. ‘26.
Reply:
    https://www.cnbc.com/2026/02/09/databricks-completes-5-billion-funding-round-with-2-billion-in-debt.html
Reply:
    https://www.databricks.com/company/newsroom/press-releases/databricks-grows-65-yoy-surpasses-5-4-billion-revenue-run-rate</t>
      </text>
    </comment>
    <comment ref="AT150" authorId="28" shapeId="0" xr:uid="{3298BC38-1632-44CC-B190-9D6171DAA994}">
      <text>
        <t>[Threaded comment]
Your version of Excel allows you to read this threaded comment; however, any edits to it will get removed if the file is opened in a newer version of Excel. Learn more: https://go.microsoft.com/fwlink/?linkid=870924
Comment:
    SoftBank participated in Series A funding round in Jul. ‘24: $300m round at $1.5bn valuation, led by four investors incl. SoftBank, so we assume $75m each.
Reply:
    https://www.businesswire.com/news/home/20240709306400/en/Skild-AI-Raises-%24300M-Series-A-To-Build-A-Scalable-AI-Foundation-Model-For-Robotics?utm_source=chatgpt.com
Reply:
    Per pg.10 of SoftBank’s F4Q24 Accounting presentation: SBG transferred Skild AI investment to SVF2 in F4Q23.
Reply:
    https://group.softbank/media/Project/sbg/sbg/pdf/ir/presentations/2024/investor-presentation_q4fy2024_01_en.pdf</t>
      </text>
    </comment>
    <comment ref="AU152" authorId="29" shapeId="0" xr:uid="{25F8CD23-112E-4AD0-976A-63091AA8A3DC}">
      <text>
        <t>[Threaded comment]
Your version of Excel allows you to read this threaded comment; however, any edits to it will get removed if the file is opened in a newer version of Excel. Learn more: https://go.microsoft.com/fwlink/?linkid=870924
Comment:
    See pg.11 of F4Q24 Accounting slides which indicates &lt;49.9% SVF2 ownership of Robo HD entity: https://group.softbank/media/Project/sbg/sbg/pdf/ir/presentations/2024/investor-presentation_q4fy2024_01_en.pdf.</t>
      </text>
    </comment>
    <comment ref="AW152" authorId="30" shapeId="0" xr:uid="{AE34E9AC-BC49-4BE1-9DC7-3147EF570F79}">
      <text>
        <t>[Threaded comment]
Your version of Excel allows you to read this threaded comment; however, any edits to it will get removed if the file is opened in a newer version of Excel. Learn more: https://go.microsoft.com/fwlink/?linkid=870924
Comment:
    Per Reuters: Skild AI reportedly raised another $500m in a Series B funding round at a $4.5bn valuation.
Reply:
    https://www.reuters.com/business/media-telecom/softbank-nvidia-looking-invest-skild-ai-14-billion-valuation-sources-say-2025-12-08/
Reply:
    Per Crunchbase: SoftBank Group participated in Series B funding round alongside NVIDIA and Samsung Electronics.
Reply:
    https://www.crunchbase.com/funding_round/skild-ai-series-b--968d99de
Reply:
    We assume $150m contribution by RoboHD on the basis of FT article in Jan. ‘25 suggesting SoftBank would look to lead the funding round.
Reply:
    https://www.ft.com/content/c1ddf355-1de8-4c9a-a9ee-e37e4c7cf1a8</t>
      </text>
    </comment>
    <comment ref="AZ152" authorId="31" shapeId="0" xr:uid="{06FD1944-2534-4FF0-9251-60537A050C5C}">
      <text>
        <t>[Threaded comment]
Your version of Excel allows you to read this threaded comment; however, any edits to it will get removed if the file is opened in a newer version of Excel. Learn more: https://go.microsoft.com/fwlink/?linkid=870924
Comment:
    Per Skild AI press release: the company raised $1.4bn in Jan. ‘26 at a $14bn valuation, with the investment round led by SoftBank (so we assume $700m participation by RoboHD).
Reply:
    https://www.skild.ai/blogs/series-c</t>
      </text>
    </comment>
    <comment ref="AU156" authorId="32" shapeId="0" xr:uid="{5E522686-A87B-4C4C-BF50-E205BC1CF334}">
      <text>
        <t>[Threaded comment]
Your version of Excel allows you to read this threaded comment; however, any edits to it will get removed if the file is opened in a newer version of Excel. Learn more: https://go.microsoft.com/fwlink/?linkid=870924
Comment:
    Wiz acquisition: SoftBank participated in Wiz’s $1bn Series E funding round in May ‘24 at a $12bn valuation and made a strategic follow-on investment in Nov. ‘24 to help finance Wiz’s expansion into Asian markets (see various links below). We est. $50m total investment by SVF2. In Mar. ‘25, Alphabet agreed to acquire Wiz for $32bn so a 2.7x mark-up in SoftBank’s equity to approximately $135m.
Reply:
    https://www.wiz.io/blog/celebrating-our-1-billion-funding-round-and-12-billion-valuation
Reply:
    https://www.accessnewswire.com/newsroom/en/computers-technology-and-internet/softbank-vision-fund-2-makes-strategic-investment-in-wiz-to-expand-943766
Reply:
    https://blog.google/inside-google/company-announcements/google-agreement-acquire-wiz/</t>
      </text>
    </comment>
    <comment ref="AS159" authorId="33" shapeId="0" xr:uid="{04B62550-BF92-4FDD-868B-6FD1FE7C2924}">
      <text>
        <t>[Threaded comment]
Your version of Excel allows you to read this threaded comment; however, any edits to it will get removed if the file is opened in a newer version of Excel. Learn more: https://go.microsoft.com/fwlink/?linkid=870924
Comment:
    OpenAI raised $6.6bn at $157bn post-money valuation in Sep. ‘24 with SVF2 investing $500m (see links below).
Reply:
    https://openai.com/index/scale-the-benefits-of-ai/
Reply:
    https://group.softbank/system/files/pdf/ir/presentations/2024/investor-svf_q2fy2024_01_en.pdf</t>
      </text>
    </comment>
    <comment ref="AU159" authorId="34" shapeId="0" xr:uid="{9A94E70A-8141-4F7D-9142-D4AD0A3E8842}">
      <text>
        <t>[Threaded comment]
Your version of Excel allows you to read this threaded comment; however, any edits to it will get removed if the file is opened in a newer version of Excel. Learn more: https://go.microsoft.com/fwlink/?linkid=870924
Comment:
    SBG confirmed at F3Q24 earnings a $1.5bn follow-on investment in OpenAI by SVF2 in Jan. ‘25: carried out via tender offer to OpenAI employees and unclear what valuation the investment got made at but we assume $225bn (i.e., approximate average between $157bn Sep. ‘24 valuation and $300bn Mar. ‘24 valuation for SBG’s $40bn syndicated investment).
Reply:
    See slide 12 of F3Q24 SVF earnings presentation: https://group.softbank/media/Project/sbg/sbg/pdf/ir/presentations/2024/investor-svf_q3fy2024_01_en.pdf.</t>
      </text>
    </comment>
    <comment ref="AX159" authorId="35" shapeId="0" xr:uid="{F6F791DB-DF4B-4168-BF7E-81714DEBC147}">
      <text>
        <t>[Threaded comment]
Your version of Excel allows you to read this threaded comment; however, any edits to it will get removed if the file is opened in a newer version of Excel. Learn more: https://go.microsoft.com/fwlink/?linkid=870924
Comment:
    See pg.8 of F2Q “Finance” slides: SVF2 acquired a further $1.1bn OpenAI shares from employees in August (per IR: $260bn pre-money valuation per CY25 funding round).
Reply:
    https://group.softbank/media/Project/sbg/sbg/pdf/ir/presentations/2025/investor-presentation_q2fy2025_01_en.pdf</t>
      </text>
    </comment>
    <comment ref="AY159" authorId="36" shapeId="0" xr:uid="{E1E44DE4-BF5F-49D6-B53C-576A0700FB37}">
      <text>
        <t>[Threaded comment]
Your version of Excel allows you to read this threaded comment; however, any edits to it will get removed if the file is opened in a newer version of Excel. Learn more: https://go.microsoft.com/fwlink/?linkid=870924
Comment:
    See pg.42 of SoftBank’s F2Q earnings presentation: SVF2 invested a further $1.45bn in OpenAI via an employee share sale at all-in valuation of $500bn.
Reply:
    https://group.softbank/media/Project/sbg/sbg/pdf/ir/presentations/2025/earnings-presentation_q2fy2025_01_en.pdf</t>
      </text>
    </comment>
    <comment ref="AX161" authorId="37" shapeId="0" xr:uid="{B7811F33-1DC1-43D7-8CCA-C69AB7A630A5}">
      <text>
        <t>[Threaded comment]
Your version of Excel allows you to read this threaded comment; however, any edits to it will get removed if the file is opened in a newer version of Excel. Learn more: https://go.microsoft.com/fwlink/?linkid=870924
Comment:
    During F2Q SBG’s “OpenAI Forward Contract” was transferred to SVF2: per pgs.4-5 of F2Q “Accounting” slides: TopCo recognised $1.8bn of $8bn recorded gain on “OpenAI Forward Contract” with SVF2 recognising the remaining $6.2bn (i.e., implying that SVF2 effectively acquired the “OpenAI Forward Contract” from TopCo for $1.8bn in cash).</t>
      </text>
    </comment>
    <comment ref="AR163" authorId="38" shapeId="0" xr:uid="{B33CAD87-2F53-47F1-906F-5968B4BB14AD}">
      <text>
        <t>[Threaded comment]
Your version of Excel allows you to read this threaded comment; however, any edits to it will get removed if the file is opened in a newer version of Excel. Learn more: https://go.microsoft.com/fwlink/?linkid=870924
Comment:
    Per Reuters article: SoftBank Vision Fund 2 invested $10m-$20m in Perplexity AI at $3bn valuation in June ‘24 as part of Perplexity AI’s $250m Series C funding round.
Reply:
    https://www.reuters.com/technology/artificial-intelligence/softbank-invest-search-startup-perplexity-ai-3-bln-valuation-bloomberg-reports-2024-06-27/#:~:text=SoftBank%20to%20invest%20in%20search,bln%20valuation%2C%20Bloomberg%20reports%20%7C%20Reuters
Reply:
    See slide 15 of F1Q24 SVF earnings presentation: https://group.softbank/media/Project/sbg/sbg/pdf/ir/presentations/2024/investor-svf_q1fy2024_01_en.pdf.</t>
      </text>
    </comment>
    <comment ref="AT163" authorId="39" shapeId="0" xr:uid="{34837028-1420-492B-82B5-6F6AAF66299D}">
      <text>
        <t>[Threaded comment]
Your version of Excel allows you to read this threaded comment; however, any edits to it will get removed if the file is opened in a newer version of Excel. Learn more: https://go.microsoft.com/fwlink/?linkid=870924
Comment:
    Per Bloomberg reports: Perplexity AI closed a $500m Series D funding round in Dec. ‘24 at $9bn valuation or approximately 3x Series C valuation at time of SVF2 original investment. Note: it is unclear whether SoftBank participated in this Series D funding round (at this point had committed to OpenAI by investing $500m in $6.6bn/$157bn funding round in Sep. ‘24).
Reply:
    https://www.verdict.co.uk/perplexity-raises-500m/</t>
      </text>
    </comment>
    <comment ref="AW163" authorId="40" shapeId="0" xr:uid="{670BEFE5-7918-43D5-AA5B-AB6772BD45B3}">
      <text>
        <t>[Threaded comment]
Your version of Excel allows you to read this threaded comment; however, any edits to it will get removed if the file is opened in a newer version of Excel. Learn more: https://go.microsoft.com/fwlink/?linkid=870924
Comment:
    Per CNBC: Perplexity AI is in talks to raise an additional $500m-$1bn at an $18bn post-money valuation.
Reply:
    https://www.cnbc.com/2025/03/20/perplexity-in-talks-to-double-valuation-to-18-billion-via-new-funding.html</t>
      </text>
    </comment>
    <comment ref="AR164" authorId="41" shapeId="0" xr:uid="{A2F6E2DA-E8E5-433C-927B-443D27B073BB}">
      <text>
        <t>[Threaded comment]
Your version of Excel allows you to read this threaded comment; however, any edits to it will get removed if the file is opened in a newer version of Excel. Learn more: https://go.microsoft.com/fwlink/?linkid=870924
Comment:
    Per SoftBank IR: SVF2 has invested "just under $1bn" in Revolut. Per Revolut Series E funding press release, SBG led an $800m Series E funding round at $33bn valuation in July '21 i.e., we assume over time in '21 SBG acquires a 2.5% equity stake in Revolut.
Reply:
    https://www.revolut.com/en-US/news/revolut_raises_800m_series_e_funding_from_softbank_vision_fund_2_and_tiger_global/
Reply:
    Revolut valuation fell dramatically post-SBG investment but Bloomberg reports in April '24 that shareholders increasing mark back to &gt;$25bn valuation i.e., SoftBank stake worth perhaps $600m.
Reply:
    https://www.bloomberg.com/news/articles/2024-04-15/revolut-valuation-raised-by-investor-schroders-as-fintech-fortunes-rebound?embedded-checkout=true</t>
      </text>
    </comment>
    <comment ref="AU165" authorId="42" shapeId="0" xr:uid="{BEC20971-3F76-4F11-BDF2-824ED8F020B8}">
      <text>
        <t>[Threaded comment]
Your version of Excel allows you to read this threaded comment; however, any edits to it will get removed if the file is opened in a newer version of Excel. Learn more: https://go.microsoft.com/fwlink/?linkid=870924
Comment:
    Wayve investment estimate: SoftBank’s contribution to $1.05bn Series C funding round (https://wayve.ai/press/series-c/) not disclosed but SoftBank is said to have led the round in its F1Q24 quarter (Group level investment at this point). See pg.3 of F1Q earnings report where SoftBank references two key Group level investments: Wayve and Tempus, totaling $1.2bn at F1Q average FX. We estimate $800m investment in Wayve.
Reply:
    https://group.softbank/media/Project/sbg/sbg/pdf/ir/financials/financial_reports/financial-report_q1fy2024_01_en.pdf</t>
      </text>
    </comment>
    <comment ref="AZ165" authorId="43" shapeId="0" xr:uid="{4DCDB6A3-9FBB-4792-A6D1-7A698A8F0169}">
      <text>
        <t>[Threaded comment]
Your version of Excel allows you to read this threaded comment; however, any edits to it will get removed if the file is opened in a newer version of Excel. Learn more: https://go.microsoft.com/fwlink/?linkid=870924
Comment:
    We assume SVF2 invests $500m in Wayve’s upcoming $2bn funding round at $8bn valuation, per the Financial Times.
Reply:
    https://www.ft.com/content/3f6b6126-06d6-4b31-b907-30d25c8c7236</t>
      </text>
    </comment>
    <comment ref="AT166" authorId="44" shapeId="0" xr:uid="{C8B1F49C-EEAA-4A89-AAC4-15BCEE5C03D4}">
      <text>
        <t>[Threaded comment]
Your version of Excel allows you to read this threaded comment; however, any edits to it will get removed if the file is opened in a newer version of Excel. Learn more: https://go.microsoft.com/fwlink/?linkid=870924
Comment:
    Arete estimate of SoftBank participation in $10bn Series J funding round valuing Databricks at $62bn: IR has guided that initial exposure is &lt;$50m but unclear whether SoftBank went on to participate in Series K valuing Databricks at &gt;$100bn.
Reply:
    https://www.databricks.com/company/newsroom/press-releases/databricks-raising-10b-series-j-investment-62b-valuation</t>
      </text>
    </comment>
    <comment ref="AT167" authorId="45" shapeId="0" xr:uid="{DDCC6589-765D-4155-A819-3C5187149E7B}">
      <text>
        <t>[Threaded comment]
Your version of Excel allows you to read this threaded comment; however, any edits to it will get removed if the file is opened in a newer version of Excel. Learn more: https://go.microsoft.com/fwlink/?linkid=870924
Comment:
    SoftBank participated in Series A funding round in Jul. ‘24: $300m round at $1.5bn valuation, led by four investors incl. SoftBank, so we assume $75m each.
Reply:
    https://www.businesswire.com/news/home/20240709306400/en/Skild-AI-Raises-%24300M-Series-A-To-Build-A-Scalable-AI-Foundation-Model-For-Robotics?utm_source=chatgpt.com
Reply:
    Per pg.10 of SoftBank’s F4Q24 Accounting presentation: SBG transferred Skild AI investment to SVF2 in F4Q23.
Reply:
    https://group.softbank/media/Project/sbg/sbg/pdf/ir/presentations/2024/investor-presentation_q4fy2024_01_en.pdf</t>
      </text>
    </comment>
    <comment ref="AU169" authorId="46" shapeId="0" xr:uid="{659C752A-4373-47C0-B16D-BE47D43EBF57}">
      <text>
        <t>[Threaded comment]
Your version of Excel allows you to read this threaded comment; however, any edits to it will get removed if the file is opened in a newer version of Excel. Learn more: https://go.microsoft.com/fwlink/?linkid=870924
Comment:
    See pg.11 of F4Q24 Accounting slides which indicates &lt;49.9% SVF2 ownership of Robo HD entity: https://group.softbank/media/Project/sbg/sbg/pdf/ir/presentations/2024/investor-presentation_q4fy2024_01_en.pdf.</t>
      </text>
    </comment>
    <comment ref="AW169" authorId="47" shapeId="0" xr:uid="{D573EB0E-543B-472B-BAE3-7A35EBD4CD06}">
      <text>
        <t>[Threaded comment]
Your version of Excel allows you to read this threaded comment; however, any edits to it will get removed if the file is opened in a newer version of Excel. Learn more: https://go.microsoft.com/fwlink/?linkid=870924
Comment:
    Per Reuters: Skild AI reportedly raised another $500m in a Series B funding round at a $4.5bn valuation.
Reply:
    https://www.reuters.com/business/media-telecom/softbank-nvidia-looking-invest-skild-ai-14-billion-valuation-sources-say-2025-12-08/
Reply:
    Per Crunchbase: SoftBank Group participated in Series B funding round alongside NVIDIA and Samsung Electronics.
Reply:
    https://www.crunchbase.com/funding_round/skild-ai-series-b--968d99de
Reply:
    We assume $125m contribution by RoboHD on the basis of FT article in Jan. ‘25 suggesting SoftBank would look to lead the funding round.
Reply:
    https://www.ft.com/content/c1ddf355-1de8-4c9a-a9ee-e37e4c7cf1a8</t>
      </text>
    </comment>
    <comment ref="AR172" authorId="48" shapeId="0" xr:uid="{5EAE1158-D284-4FA2-A017-DDC351E769FE}">
      <text>
        <t>[Threaded comment]
Your version of Excel allows you to read this threaded comment; however, any edits to it will get removed if the file is opened in a newer version of Excel. Learn more: https://go.microsoft.com/fwlink/?linkid=870924
Comment:
    Refer to pg.20 of F3Q21 earnings report: 30.2% PayPay stake transferred to SVF2 at $1.467bn valuation.
Reply:
    https://group.softbank/media/Project/sbg/sbg/pdf/ir/financials/financial_reports/financial-report_q3fy2021_01_en.pdf</t>
      </text>
    </comment>
    <comment ref="AW172" authorId="49" shapeId="0" xr:uid="{03030C5D-EB8A-495A-8E43-6D4669939CEC}">
      <text>
        <t>[Threaded comment]
Your version of Excel allows you to read this threaded comment; however, any edits to it will get removed if the file is opened in a newer version of Excel. Learn more: https://go.microsoft.com/fwlink/?linkid=870924
Comment:
    Per IR commentary: SVF2 exercised SARs from Paytm for $280m in F1Q25, increasing SVF2’s ownership stake from 30.2% to 34%.</t>
      </text>
    </comment>
    <comment ref="AO188" authorId="50" shapeId="0" xr:uid="{6D4E8C96-25B3-415D-B927-707C0513E6BF}">
      <text>
        <t>[Threaded comment]
Your version of Excel allows you to read this threaded comment; however, any edits to it will get removed if the file is opened in a newer version of Excel. Learn more: https://go.microsoft.com/fwlink/?linkid=870924
Comment:
    Use FT for AutoStore Holdings Ltd. share price as S&amp;P Capital IQ share price incorrect i.e., seems to be reported in € despite being a Norwegian listed company: https://markets.ft.com/data/equities/tearsheet/charts?s=AUTO:OSL.</t>
      </text>
    </comment>
    <comment ref="AP188" authorId="51" shapeId="0" xr:uid="{33AF84E4-81BA-45D5-839C-15399CC8E755}">
      <text>
        <t>[Threaded comment]
Your version of Excel allows you to read this threaded comment; however, any edits to it will get removed if the file is opened in a newer version of Excel. Learn more: https://go.microsoft.com/fwlink/?linkid=870924
Comment:
    Use FT for AutoStore Holdings Ltd. share price as S&amp;P Capital IQ share price incorrect i.e., seems to be reported in € despite being a Norwegian listed company: https://markets.ft.com/data/equities/tearsheet/charts?s=AUTO:OSL.</t>
      </text>
    </comment>
    <comment ref="AR188" authorId="52" shapeId="0" xr:uid="{09500631-693C-43EF-8BCA-4BE87AB73D2E}">
      <text>
        <t>[Threaded comment]
Your version of Excel allows you to read this threaded comment; however, any edits to it will get removed if the file is opened in a newer version of Excel. Learn more: https://go.microsoft.com/fwlink/?linkid=870924
Comment:
    Use FT for AutoStore Holdings Ltd. share price as S&amp;P Capital IQ share price incorrect i.e., seems to be reported in € despite being a Norwegian listed company: https://markets.ft.com/data/equities/tearsheet/charts?s=AUTO:OSL.</t>
      </text>
    </comment>
    <comment ref="AS188" authorId="53" shapeId="0" xr:uid="{A722766D-1B7C-45C4-A14E-1061BD7C2842}">
      <text>
        <t>[Threaded comment]
Your version of Excel allows you to read this threaded comment; however, any edits to it will get removed if the file is opened in a newer version of Excel. Learn more: https://go.microsoft.com/fwlink/?linkid=870924
Comment:
    Use FT for AutoStore Holdings Ltd. share price as S&amp;P Capital IQ share price incorrect i.e., seems to be reported in € despite being a Norwegian listed company: https://markets.ft.com/data/equities/tearsheet/charts?s=AUTO:OSL.</t>
      </text>
    </comment>
    <comment ref="AT188" authorId="54" shapeId="0" xr:uid="{BE9DD946-4EDA-4672-86DC-D3AF0E13F53F}">
      <text>
        <t>[Threaded comment]
Your version of Excel allows you to read this threaded comment; however, any edits to it will get removed if the file is opened in a newer version of Excel. Learn more: https://go.microsoft.com/fwlink/?linkid=870924
Comment:
    Use FT for AutoStore Holdings Ltd. share price as S&amp;P Capital IQ share price incorrect i.e., seems to be reported in € despite being a Norwegian listed company: https://markets.ft.com/data/equities/tearsheet/charts?s=AUTO:OSL.</t>
      </text>
    </comment>
    <comment ref="AU188" authorId="55" shapeId="0" xr:uid="{518D760E-1FC3-4DC8-8D9F-14938D626D62}">
      <text>
        <t>[Threaded comment]
Your version of Excel allows you to read this threaded comment; however, any edits to it will get removed if the file is opened in a newer version of Excel. Learn more: https://go.microsoft.com/fwlink/?linkid=870924
Comment:
    Use FT for AutoStore Holdings Ltd. share price as S&amp;P Capital IQ share price incorrect i.e., seems to be reported in € despite being a Norwegian listed company: https://markets.ft.com/data/equities/tearsheet/charts?s=AUTO:OSL.</t>
      </text>
    </comment>
    <comment ref="AW188" authorId="56" shapeId="0" xr:uid="{4256DB16-A966-4983-96AB-1E94371682DB}">
      <text>
        <t>[Threaded comment]
Your version of Excel allows you to read this threaded comment; however, any edits to it will get removed if the file is opened in a newer version of Excel. Learn more: https://go.microsoft.com/fwlink/?linkid=870924
Comment:
    Use FT for AutoStore Holdings Ltd. share price as S&amp;P Capital IQ share price incorrect i.e., seems to be reported in € despite being a Norwegian listed company: https://markets.ft.com/data/equities/tearsheet/charts?s=AUTO:OSL.</t>
      </text>
    </comment>
    <comment ref="AX188" authorId="57" shapeId="0" xr:uid="{86BC2147-9ABB-4504-8F54-08B016CAF998}">
      <text>
        <t>[Threaded comment]
Your version of Excel allows you to read this threaded comment; however, any edits to it will get removed if the file is opened in a newer version of Excel. Learn more: https://go.microsoft.com/fwlink/?linkid=870924
Comment:
    Use FT for AutoStore Holdings Ltd. share price as S&amp;P Capital IQ share price incorrect i.e., seems to be reported in € despite being a Norwegian listed company: https://markets.ft.com/data/equities/tearsheet/charts?s=AUTO:OSL.</t>
      </text>
    </comment>
    <comment ref="AY188" authorId="58" shapeId="0" xr:uid="{8339EB57-AC0F-4DFF-A9BD-BCE60B8D26B1}">
      <text>
        <t>[Threaded comment]
Your version of Excel allows you to read this threaded comment; however, any edits to it will get removed if the file is opened in a newer version of Excel. Learn more: https://go.microsoft.com/fwlink/?linkid=870924
Comment:
    Use FT for AutoStore Holdings Ltd. share price as S&amp;P Capital IQ share price incorrect i.e., seems to be reported in € despite being a Norwegian listed company: https://markets.ft.com/data/equities/tearsheet/charts?s=AUTO:OSL.</t>
      </text>
    </comment>
    <comment ref="AW364" authorId="59" shapeId="0" xr:uid="{8F20C922-43C2-46F7-8210-17D48E732AD1}">
      <text>
        <t>[Threaded comment]
Your version of Excel allows you to read this threaded comment; however, any edits to it will get removed if the file is opened in a newer version of Excel. Learn more: https://go.microsoft.com/fwlink/?linkid=870924
Comment:
    See Chime 10-Q from August ‘25: https://investors.chime.com/static-files/dca39098-a64a-4dfa-9544-bf0ba2a6c72e.</t>
      </text>
    </comment>
    <comment ref="AO410" authorId="60" shapeId="0" xr:uid="{6E838F1A-7251-472B-993F-19D4277F9647}">
      <text>
        <t>[Threaded comment]
Your version of Excel allows you to read this threaded comment; however, any edits to it will get removed if the file is opened in a newer version of Excel. Learn more: https://go.microsoft.com/fwlink/?linkid=870924
Comment:
    See Neumora Therapeutics 10-Q from November '23: https://ir.neumoratx.com/static-files/25c23a40-0e50-4fda-a5bd-a11c694de070.</t>
      </text>
    </comment>
    <comment ref="AP410" authorId="61" shapeId="0" xr:uid="{7ED501D0-CD62-42AC-B207-3D06E1078B6D}">
      <text>
        <t>[Threaded comment]
Your version of Excel allows you to read this threaded comment; however, any edits to it will get removed if the file is opened in a newer version of Excel. Learn more: https://go.microsoft.com/fwlink/?linkid=870924
Comment:
    See Neumora Therapeutics 10-K from March '24: https://ir.neumoratx.com/static-files/d08c50ad-53ae-46f6-afb1-f897de7586af.</t>
      </text>
    </comment>
    <comment ref="AR410" authorId="62" shapeId="0" xr:uid="{8A9BC52E-0C87-4CED-B108-CDCC8C29EB16}">
      <text>
        <t>[Threaded comment]
Your version of Excel allows you to read this threaded comment; however, any edits to it will get removed if the file is opened in a newer version of Excel. Learn more: https://go.microsoft.com/fwlink/?linkid=870924
Comment:
    See Neumora Therapeutics 10-Q from August '24: https://ir.neumoratx.com/static-files/f2463cf9-52d8-4c61-8c72-44ee9766bd4e.</t>
      </text>
    </comment>
    <comment ref="AS410" authorId="63" shapeId="0" xr:uid="{83BF2605-4DD9-47DA-8638-3D9B1F46C79F}">
      <text>
        <t>[Threaded comment]
Your version of Excel allows you to read this threaded comment; however, any edits to it will get removed if the file is opened in a newer version of Excel. Learn more: https://go.microsoft.com/fwlink/?linkid=870924
Comment:
    See Neumora Therapeutics 10-Q from November '24: https://ir.neumoratx.com/static-files/0b4eb540-de78-446f-8de4-89d558790ca5.</t>
      </text>
    </comment>
    <comment ref="AT410" authorId="64" shapeId="0" xr:uid="{F2A8314D-4344-4385-8A36-C2FCFB5C88F6}">
      <text>
        <t>[Threaded comment]
Your version of Excel allows you to read this threaded comment; however, any edits to it will get removed if the file is opened in a newer version of Excel. Learn more: https://go.microsoft.com/fwlink/?linkid=870924
Comment:
    See Neumora Therapeutics 10-K from March '25: https://ir.neumoratx.com/static-files/0bf25367-28a0-403d-9ace-74ee101ccf20.</t>
      </text>
    </comment>
    <comment ref="AU410" authorId="65" shapeId="0" xr:uid="{53F045B3-6BEA-4F20-8E34-F2F800D67F08}">
      <text>
        <t>[Threaded comment]
Your version of Excel allows you to read this threaded comment; however, any edits to it will get removed if the file is opened in a newer version of Excel. Learn more: https://go.microsoft.com/fwlink/?linkid=870924
Comment:
    See Neumora Therapeutics 10-Q from May ‘25:  https://ir.neumoratx.com/static-files/de279624-40d5-479b-8dde-bc03902f7e4c.</t>
      </text>
    </comment>
    <comment ref="AW410" authorId="66" shapeId="0" xr:uid="{042007EA-BAF7-4638-B85D-8FF1CBF134C2}">
      <text>
        <t>[Threaded comment]
Your version of Excel allows you to read this threaded comment; however, any edits to it will get removed if the file is opened in a newer version of Excel. Learn more: https://go.microsoft.com/fwlink/?linkid=870924
Comment:
    See Neumora Therapeutics 10-Q from August ‘25: https://ir.neumoratx.com/static-files/6e9d5b08-5415-4f2f-8e58-db1d41585f06.</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tc={30A14541-C745-4242-AC04-C219EA41874B}</author>
    <author>tc={8733A900-13D1-40CF-B4C5-91D4AA628900}</author>
    <author>tc={48EB2C58-5BEF-447A-B6F1-7A1BBDC0C095}</author>
    <author>tc={FCA097A3-06B8-4107-AAB4-DC83421DC576}</author>
    <author>tc={DEDDB1D9-25AB-4945-B578-C8BDCD26AB0A}</author>
    <author>tc={BBD44456-54AD-4915-A007-023E351EE161}</author>
    <author>tc={11FB0120-5091-4D8C-815E-89945EEEB394}</author>
    <author>tc={63036C25-1936-4C06-BC12-BF6E9A96EDFB}</author>
    <author>tc={27F1C3C5-2EEE-4135-8E2B-3B7C841C6D79}</author>
    <author>tc={DC5FEAF3-5F57-4860-A819-D2932CEFD6E7}</author>
    <author>tc={68F8AB12-6B97-40E4-A382-63696DE1280E}</author>
    <author>tc={FA8151BE-60D8-45C3-B9F7-9E829110B6DF}</author>
    <author>tc={6B2ECDEB-F2AC-4079-B5F0-F10168184EC3}</author>
    <author>tc={8C10D22A-4D38-46C3-88E4-EA7277DA994B}</author>
    <author>tc={3964A318-5C4D-4354-AA21-0A5EAB0A059B}</author>
  </authors>
  <commentList>
    <comment ref="BD18" authorId="0" shapeId="0" xr:uid="{30A14541-C745-4242-AC04-C219EA41874B}">
      <text>
        <t>[Threaded comment]
Your version of Excel allows you to read this threaded comment; however, any edits to it will get removed if the file is opened in a newer version of Excel. Learn more: https://go.microsoft.com/fwlink/?linkid=870924
Comment:
    https://group.softbank/en/news/press/20251229</t>
      </text>
    </comment>
    <comment ref="AR20" authorId="1" shapeId="0" xr:uid="{8733A900-13D1-40CF-B4C5-91D4AA628900}">
      <text>
        <t>[Threaded comment]
Your version of Excel allows you to read this threaded comment; however, any edits to it will get removed if the file is opened in a newer version of Excel. Learn more: https://go.microsoft.com/fwlink/?linkid=870924
Comment:
    Assumptions: $650m for Graphcore acquisition in July '24 (note: said to be more than $600m but less than $700m cumulatively raised by Graphcore from Venture Capital in the past), $95m SB Tempus JV investments and $1.25bn "other" investments in line with $9bn p.a. AI investments run-rate.
Reply:
    Graphcore acquisition FT article: https://www.ft.com/content/e33bab13-2d64-47f7-b0e2-9ba446296234.</t>
      </text>
    </comment>
    <comment ref="BC21" authorId="2" shapeId="0" xr:uid="{48EB2C58-5BEF-447A-B6F1-7A1BBDC0C095}">
      <text>
        <t>[Threaded comment]
Your version of Excel allows you to read this threaded comment; however, any edits to it will get removed if the file is opened in a newer version of Excel. Learn more: https://go.microsoft.com/fwlink/?linkid=870924
Comment:
    https://group.softbank/en/news/press/20251008</t>
      </text>
    </comment>
    <comment ref="AX30" authorId="3" shapeId="0" xr:uid="{FCA097A3-06B8-4107-AAB4-DC83421DC576}">
      <text>
        <t>[Threaded comment]
Your version of Excel allows you to read this threaded comment; however, any edits to it will get removed if the file is opened in a newer version of Excel. Learn more: https://go.microsoft.com/fwlink/?linkid=870924
Comment:
    Note: $8bn reported fair value of “OpenAI Forward Contract” at F2Q includes $1.8bn recognised at TopCo (i.e., value of derivative contract when it was transferred to SVF2 in Sep. ‘25).</t>
      </text>
    </comment>
    <comment ref="AY46" authorId="4" shapeId="0" xr:uid="{DEDDB1D9-25AB-4945-B578-C8BDCD26AB0A}">
      <text>
        <t>[Threaded comment]
Your version of Excel allows you to read this threaded comment; however, any edits to it will get removed if the file is opened in a newer version of Excel. Learn more: https://go.microsoft.com/fwlink/?linkid=870924
Comment:
    SBG disclosed that after F2Q close it sold all 32.1m NVIDIA shares for $5.83bn in Oct. ‘25 (see pg.4 of F2Q earnings report): implies $181.50/share selling price.
Reply:
    https://group.softbank/media/Project/sbg/sbg/pdf/ir/financials/financial_reports/financial-report_q2fy2025_01_en.pdf</t>
      </text>
    </comment>
    <comment ref="AY108" authorId="5" shapeId="0" xr:uid="{BBD44456-54AD-4915-A007-023E351EE161}">
      <text>
        <t>[Threaded comment]
Your version of Excel allows you to read this threaded comment; however, any edits to it will get removed if the file is opened in a newer version of Excel. Learn more: https://go.microsoft.com/fwlink/?linkid=870924
Comment:
    https://ir.symbotic.com/news-releases/news-release-details/symbotic-announces-pricing-primary-and-secondary-offering-0</t>
      </text>
    </comment>
    <comment ref="AO109" authorId="6" shapeId="0" xr:uid="{11FB0120-5091-4D8C-815E-89945EEEB394}">
      <text>
        <t>[Threaded comment]
Your version of Excel allows you to read this threaded comment; however, any edits to it will get removed if the file is opened in a newer version of Excel. Learn more: https://go.microsoft.com/fwlink/?linkid=870924
Comment:
    Note: SoftBank's Symbotic shares split between: 1) 20m shares held within SVF2, 2) 17.8m shares held at a TopCo/HoldCo subsidiary i.e., directly by the Group, 3) 2m shares held at SoftBank Northstar i.e., 2) and 3) are reported within "Other".
Reply:
    https://ir.symbotic.com/static-files/46f96247-43cc-4102-bb7d-d94f09b7c5dc
Reply:
    Note: SoftBank also holds 11.4m warrants as part of GreenBox JV agreement &amp; were transferred to the same TopCo subsidiary which holds the 17.8m additional (non-SVF2) shares in Symbotic i.e., "SVF II Strategic Investments AIV LLC".</t>
      </text>
    </comment>
    <comment ref="AP109" authorId="7" shapeId="0" xr:uid="{63036C25-1936-4C06-BC12-BF6E9A96EDFB}">
      <text>
        <t>[Threaded comment]
Your version of Excel allows you to read this threaded comment; however, any edits to it will get removed if the file is opened in a newer version of Excel. Learn more: https://go.microsoft.com/fwlink/?linkid=870924
Comment:
    Note: SoftBank's Symbotic shares split between: 1) 20m shares held within SVF2, 2) 17.8m shares held at a TopCo/HoldCo subsidiary i.e., directly by the Group, 3) 2m shares held at SoftBank Northstar i.e., 2) and 3) are reported within "Other".
Reply:
    https://ir.symbotic.com/static-files/46f96247-43cc-4102-bb7d-d94f09b7c5dc
Reply:
    Note: SoftBank also holds 11.4m warrants as part of GreenBox JV agreement &amp; were transferred to the same TopCo subsidiary which holds the 17.8m additional (non-SVF2) shares in Symbotic i.e., "SVF II Strategic Investments AIV LLC".</t>
      </text>
    </comment>
    <comment ref="AR109" authorId="8" shapeId="0" xr:uid="{27F1C3C5-2EEE-4135-8E2B-3B7C841C6D79}">
      <text>
        <t>[Threaded comment]
Your version of Excel allows you to read this threaded comment; however, any edits to it will get removed if the file is opened in a newer version of Excel. Learn more: https://go.microsoft.com/fwlink/?linkid=870924
Comment:
    Note: SoftBank's Symbotic shares split between: 1) 20m shares held within SVF2, 2) 17.8m shares held at a TopCo/HoldCo subsidiary i.e., directly by the Group, 3) 2m shares held at SoftBank Northstar i.e., 2) and 3) are reported within "Other".
Reply:
    https://ir.symbotic.com/static-files/46f96247-43cc-4102-bb7d-d94f09b7c5dc
Reply:
    Note: SoftBank also holds 11.4m warrants as part of GreenBox JV agreement &amp; were transferred to the same TopCo subsidiary which holds the 17.8m additional (non-SVF2) shares in Symbotic i.e., "SVF II Strategic Investments AIV LLC".</t>
      </text>
    </comment>
    <comment ref="AS109" authorId="9" shapeId="0" xr:uid="{DC5FEAF3-5F57-4860-A819-D2932CEFD6E7}">
      <text>
        <t>[Threaded comment]
Your version of Excel allows you to read this threaded comment; however, any edits to it will get removed if the file is opened in a newer version of Excel. Learn more: https://go.microsoft.com/fwlink/?linkid=870924
Comment:
    Note: SoftBank's Symbotic shares split between: 1) 20m shares held within SVF2, 2) 17.8m shares held at a TopCo/HoldCo subsidiary i.e., directly by the Group, 3) 2m shares held at SoftBank Northstar i.e., 2) and 3) are reported within "Other".
Reply:
    https://ir.symbotic.com/static-files/46f96247-43cc-4102-bb7d-d94f09b7c5dc
Reply:
    Note: SoftBank also holds 11.4m warrants as part of GreenBox JV agreement &amp; were transferred to the same TopCo subsidiary which holds the 17.8m additional (non-SVF2) shares in Symbotic i.e., "SVF II Strategic Investments AIV LLC".</t>
      </text>
    </comment>
    <comment ref="AT109" authorId="10" shapeId="0" xr:uid="{68F8AB12-6B97-40E4-A382-63696DE1280E}">
      <text>
        <t>[Threaded comment]
Your version of Excel allows you to read this threaded comment; however, any edits to it will get removed if the file is opened in a newer version of Excel. Learn more: https://go.microsoft.com/fwlink/?linkid=870924
Comment:
    Note: SoftBank's Symbotic shares split between: 1) 20m shares held within SVF2, 2) 17.8m shares held at a TopCo/HoldCo subsidiary i.e., directly by the Group, 3) 2m shares held at SoftBank Northstar i.e., 2) and 3) are reported within "Other".
Reply:
    https://ir.symbotic.com/static-files/46f96247-43cc-4102-bb7d-d94f09b7c5dc
Reply:
    Note: SoftBank also holds 11.4m warrants as part of GreenBox JV agreement &amp; were transferred to the same TopCo subsidiary which holds the 17.8m additional (non-SVF2) shares in Symbotic i.e., "SVF II Strategic Investments AIV LLC".</t>
      </text>
    </comment>
    <comment ref="AU109" authorId="11" shapeId="0" xr:uid="{FA8151BE-60D8-45C3-B9F7-9E829110B6DF}">
      <text>
        <t>[Threaded comment]
Your version of Excel allows you to read this threaded comment; however, any edits to it will get removed if the file is opened in a newer version of Excel. Learn more: https://go.microsoft.com/fwlink/?linkid=870924
Comment:
    Note: SoftBank's Symbotic shares split between: 1) 20m shares held within SVF2, 2) 17.8m shares held at a TopCo/HoldCo subsidiary i.e., directly by the Group, 3) 2m shares held at SoftBank Northstar i.e., 2) and 3) are reported within "Other".
Reply:
    https://ir.symbotic.com/static-files/46f96247-43cc-4102-bb7d-d94f09b7c5dc
Reply:
    Note: SoftBank also holds 11.4m warrants as part of GreenBox JV agreement &amp; were transferred to the same TopCo subsidiary which holds the 17.8m additional (non-SVF2) shares in Symbotic i.e., "SVF II Strategic Investments AIV LLC".</t>
      </text>
    </comment>
    <comment ref="AW109" authorId="12" shapeId="0" xr:uid="{6B2ECDEB-F2AC-4079-B5F0-F10168184EC3}">
      <text>
        <t>[Threaded comment]
Your version of Excel allows you to read this threaded comment; however, any edits to it will get removed if the file is opened in a newer version of Excel. Learn more: https://go.microsoft.com/fwlink/?linkid=870924
Comment:
    Note: SoftBank's Symbotic shares split between: 1) 20m shares held within SVF2, 2) 17.8m shares held at a TopCo/HoldCo subsidiary i.e., directly by the Group, 3) 2m shares held at SoftBank Northstar i.e., 2) and 3) are reported within "Other".
Reply:
    https://ir.symbotic.com/static-files/46f96247-43cc-4102-bb7d-d94f09b7c5dc
Reply:
    Note: SoftBank also holds 11.4m warrants as part of GreenBox JV agreement &amp; were transferred to the same TopCo subsidiary which holds the 17.8m additional (non-SVF2) shares in Symbotic i.e., "SVF II Strategic Investments AIV LLC".</t>
      </text>
    </comment>
    <comment ref="AX109" authorId="13" shapeId="0" xr:uid="{8C10D22A-4D38-46C3-88E4-EA7277DA994B}">
      <text>
        <t>[Threaded comment]
Your version of Excel allows you to read this threaded comment; however, any edits to it will get removed if the file is opened in a newer version of Excel. Learn more: https://go.microsoft.com/fwlink/?linkid=870924
Comment:
    Note: SoftBank's Symbotic shares split between: 1) 20m shares held within SVF2, 2) 17.8m shares held at a TopCo/HoldCo subsidiary i.e., directly by the Group, 3) 2m shares held at SoftBank Northstar i.e., 2) and 3) are reported within "Other".
Reply:
    https://ir.symbotic.com/static-files/46f96247-43cc-4102-bb7d-d94f09b7c5dc
Reply:
    Note: SoftBank also holds 11.4m warrants as part of GreenBox JV agreement &amp; were transferred to the same TopCo subsidiary which holds the 17.8m additional (non-SVF2) shares in Symbotic i.e., "SVF II Strategic Investments AIV LLC".</t>
      </text>
    </comment>
    <comment ref="AY109" authorId="14" shapeId="0" xr:uid="{3964A318-5C4D-4354-AA21-0A5EAB0A059B}">
      <text>
        <t>[Threaded comment]
Your version of Excel allows you to read this threaded comment; however, any edits to it will get removed if the file is opened in a newer version of Excel. Learn more: https://go.microsoft.com/fwlink/?linkid=870924
Comment:
    Note: SoftBank's Symbotic shares split between: 1) 20m shares held within SVF2, 2) 17.8m shares held at a TopCo/HoldCo subsidiary i.e., directly by the Group, 3) 2m shares held at SoftBank Northstar i.e., 2) and 3) are reported within "Other".
Reply:
    https://ir.symbotic.com/static-files/46f96247-43cc-4102-bb7d-d94f09b7c5dc
Reply:
    Note: SoftBank also holds 11.4m warrants as part of GreenBox JV agreement &amp; were transferred to the same TopCo subsidiary which holds the 17.8m additional (non-SVF2) shares in Symbotic i.e., "SVF II Strategic Investments AIV LLC".</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tc={26A03288-817D-457F-BD31-8D45EFCD9687}</author>
  </authors>
  <commentList>
    <comment ref="AS51" authorId="0" shapeId="0" xr:uid="{26A03288-817D-457F-BD31-8D45EFCD9687}">
      <text>
        <t>[Threaded comment]
Your version of Excel allows you to read this threaded comment; however, any edits to it will get removed if the file is opened in a newer version of Excel. Learn more: https://go.microsoft.com/fwlink/?linkid=870924
Comment:
    Note: 13F disclosures inconsistent with SBIA SEC filings (see 1st April '23 filing below which gives a 38.4m/38.5% holding vs. 19.9m reported within 13F).
Reply:
    https://d18rn0p25nwr6d.cloudfront.net/CIK-0001793663/72eb39cc-6c43-4729-9a47-1a96ed1989b2.pdf
Reply:
    https://www.sec.gov/Archives/edgar/data/1065521/000106299324010266/xslForm13F_X02/form13fInfoTable.xml</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tc={0262D7DE-0488-490F-A395-D5842E14989F}</author>
  </authors>
  <commentList>
    <comment ref="AZ292" authorId="0" shapeId="0" xr:uid="{0262D7DE-0488-490F-A395-D5842E14989F}">
      <text>
        <t>[Threaded comment]
Your version of Excel allows you to read this threaded comment; however, any edits to it will get removed if the file is opened in a newer version of Excel. Learn more: https://go.microsoft.com/fwlink/?linkid=870924
Comment:
    https://fred.stlouisfed.org/series/DFEDTARU</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tc={CB045788-2AAF-4908-BD0E-4DB52DB8B033}</author>
    <author>tc={340D2025-D30B-429A-9D86-BFCCDE5CD094}</author>
    <author>tc={80F66660-D31F-43B9-BB5F-C2D6E882BAAC}</author>
    <author>tc={E3DDCA35-A244-41A0-BDAB-5BDAEE959F2B}</author>
    <author>tc={75E9005F-3C62-4D95-8C1F-45619BE6AC95}</author>
    <author>tc={24E38976-FAFB-4590-AD3B-860ED43CC6C1}</author>
    <author>tc={ED389B42-C040-4AEE-A658-2876560A9575}</author>
    <author>tc={DD4D943B-F95F-405A-9104-7AD091AA907D}</author>
    <author>tc={AB1584AB-FC6D-4E62-8AA0-0F64A7A3F0CC}</author>
    <author>tc={87E61ABD-0E5D-450D-B7E9-09D3841C5659}</author>
    <author>tc={DB45887D-AFA6-4BCB-9550-1291DF2318EA}</author>
    <author>tc={0231B953-CDAE-40F9-988A-EFFFB1857FB4}</author>
    <author>tc={512F89F7-D5FD-44E6-AB20-7CE0ED944067}</author>
    <author>tc={745E6856-23E7-4D5A-86F0-43CC43E775D3}</author>
    <author>tc={24453B98-1BBF-4F58-908C-7362D587DD14}</author>
    <author>tc={63E8A067-A0CA-491B-B6EB-A9EDE26F1DEF}</author>
    <author>tc={5AC6D6AF-264E-48D7-BF02-B00572AD9410}</author>
    <author>tc={A22FB331-1CBC-4679-BAA9-837A1317B90A}</author>
    <author>tc={AB6712A8-144C-4E15-9BCF-B672A8AF59F7}</author>
    <author>tc={16CF5DA2-E8A9-447B-8628-AB8A83ACADF2}</author>
    <author>tc={ABBC882B-1ADB-419F-828E-8787B82FC47D}</author>
    <author>tc={380C99A9-7CC6-469E-AE80-0DC625D54BDD}</author>
    <author>tc={7B64279A-490E-4B09-8368-08D8290E4B03}</author>
    <author>tc={4625617F-B4B8-4D86-A0A0-076B16030FD1}</author>
    <author>tc={1DD69BC9-84F2-4751-B88D-15F5D8CD6963}</author>
    <author>tc={973DCA2F-DEAA-424E-9CD2-2BC4161EC536}</author>
    <author>tc={E53809D6-6646-456E-AB49-54AFE00C693B}</author>
    <author>tc={0BEBD43A-A244-44D6-BB25-79FAAE673A95}</author>
    <author>tc={36335C2E-1E5E-4522-9EEE-D249924FE863}</author>
    <author>tc={000E6BE2-2465-460E-AB3E-24FBA208C218}</author>
    <author>tc={EC61D51F-94A5-4D49-A845-CBFD0F0853A2}</author>
    <author>tc={1CCC85C8-375E-42E7-A7EB-6C13024AED4E}</author>
    <author>tc={9C88D9F1-2DAC-4781-A7FA-C5896953F83B}</author>
    <author>tc={237C7409-87B1-4C81-925D-9F1D625B479D}</author>
    <author>tc={720316A6-CDFB-4078-BC2C-171424ED1376}</author>
    <author>tc={5ACA248A-05D6-4D0F-AB9D-25200EC30B13}</author>
    <author>tc={761885C5-DCC7-4567-8078-BF2DF30C1BC0}</author>
    <author>tc={68310115-F6A8-4C7C-A477-E22FD63EDA5F}</author>
    <author>tc={48C8C9E3-5AAD-4E5A-AE57-EFF91774D03E}</author>
    <author>tc={DC42A6AC-5C57-4FE5-9898-BEF44185D3C4}</author>
    <author>tc={0443FFBD-3C86-42DB-8CB2-86E749A5514C}</author>
  </authors>
  <commentList>
    <comment ref="AR20" authorId="0" shapeId="0" xr:uid="{CB045788-2AAF-4908-BD0E-4DB52DB8B033}">
      <text>
        <t>[Threaded comment]
Your version of Excel allows you to read this threaded comment; however, any edits to it will get removed if the file is opened in a newer version of Excel. Learn more: https://go.microsoft.com/fwlink/?linkid=870924
Comment:
    6.73m call option settled with DT at "fixed" price of $99.51 per share ($101.46 per share as original agreement stated but adjusted for $1.95 dividends paid out by T-Mobile US over the call option contract period).
Reply:
    See slide 6 of F1Q Accounting presentation: SoftBank settled 20m T-Mobile prepaid forward contracts with cash for $2.6bn plus $880m deposited for 1 July ‘24 settlement of remaining 4.8m contract settlement.
Reply:
    https://group.softbank/system/files/pdf/ir/presentations/2024/investor-accounting_q1fy2024_01_en.pdf</t>
      </text>
    </comment>
    <comment ref="AX20" authorId="1" shapeId="0" xr:uid="{340D2025-D30B-429A-9D86-BFCCDE5CD094}">
      <text>
        <t>[Threaded comment]
Your version of Excel allows you to read this threaded comment; however, any edits to it will get removed if the file is opened in a newer version of Excel. Learn more: https://go.microsoft.com/fwlink/?linkid=870924
Comment:
    Refer to pgs.7-8 of SoftBank’s F2Q “Accounting” slides: SBG sold 40.2m TMUS shares for $9.2bn across F1Q-F2Q and generated $2.4bn across F1H25 from sale of DT shares and settlement of DT collar transactions.
Reply:
    https://group.softbank/media/Project/sbg/sbg/pdf/ir/presentations/2025/investor-presentation_q2fy2025_01_en.pdf</t>
      </text>
    </comment>
    <comment ref="AY20" authorId="2" shapeId="0" xr:uid="{80F66660-D31F-43B9-BB5F-C2D6E882BAAC}">
      <text>
        <t>[Threaded comment]
Your version of Excel allows you to read this threaded comment; however, any edits to it will get removed if the file is opened in a newer version of Excel. Learn more: https://go.microsoft.com/fwlink/?linkid=870924
Comment:
    Using pgs.7-8 of F2Q and pg.8 of F3Q “Accounting” slides for TMUS (i.e., $12.7bn F1Q-F3Q less $9.2bn F1Q-F2Q) and for DT taking average share price during F3Q and applying to end-F2Q disclosed position of $369m.
Reply:
    https://group.softbank/media/Project/sbg/sbg/pdf/ir/presentations/2025/investor-presentation_q2fy2025_01_en.pdf
Reply:
    https://group.softbank/media/Project/sbg/sbg/pdf/ir/presentations/2025/investor-presentation_q3fy2025_01_en.pdf</t>
      </text>
    </comment>
    <comment ref="AZ20" authorId="3" shapeId="0" xr:uid="{E3DDCA35-A244-41A0-BDAB-5BDAEE959F2B}">
      <text>
        <t>[Threaded comment]
Your version of Excel allows you to read this threaded comment; however, any edits to it will get removed if the file is opened in a newer version of Excel. Learn more: https://go.microsoft.com/fwlink/?linkid=870924
Comment:
    Refer to pg.8 of F3Q “Accounting” slides: https://group.softbank/media/Project/sbg/sbg/pdf/ir/presentations/2025/investor-presentation_q3fy2025_01_en.pdf.</t>
      </text>
    </comment>
    <comment ref="AT26" authorId="4" shapeId="0" xr:uid="{75E9005F-3C62-4D95-8C1F-45619BE6AC95}">
      <text>
        <t>[Threaded comment]
Your version of Excel allows you to read this threaded comment; however, any edits to it will get removed if the file is opened in a newer version of Excel. Learn more: https://go.microsoft.com/fwlink/?linkid=870924
Comment:
    Assumptions: $500m OpenAI investment in October ‘24.
Reply:
    https://www.ft.com/content/b1efdc2a-4dbc-40cc-920e-2cf389d261e8</t>
      </text>
    </comment>
    <comment ref="AU26" authorId="5" shapeId="0" xr:uid="{24E38976-FAFB-4590-AD3B-860ED43CC6C1}">
      <text>
        <t>[Threaded comment]
Your version of Excel allows you to read this threaded comment; however, any edits to it will get removed if the file is opened in a newer version of Excel. Learn more: https://go.microsoft.com/fwlink/?linkid=870924
Comment:
    Per slide 33 of SoftBank’s F3Q24 earnings presentation: in Jan. ‘25 SVF2 invested $1.5bn as a follow-on investment in OpenAI after participating ($500m) in $6.6bn October ‘24 OpenAI fundraising (at $157bn valuation).
Reply:
    https://group.softbank/media/Project/sbg/sbg/pdf/ir/presentations/2024/earnings-presentation_q3fy2024_01_en.pdf</t>
      </text>
    </comment>
    <comment ref="AW26" authorId="6" shapeId="0" xr:uid="{ED389B42-C040-4AEE-A658-2876560A9575}">
      <text>
        <t>[Threaded comment]
Your version of Excel allows you to read this threaded comment; however, any edits to it will get removed if the file is opened in a newer version of Excel. Learn more: https://go.microsoft.com/fwlink/?linkid=870924
Comment:
    Assumes 80% of "up to $9bn p.a." AI investments run-rate set out by CFO in interview with FT (https://www.ft.com/content/2245e6f1-c8fa-49a4-af8a-2871dd1161ec) but excludes an assumed $1.5bn p.a. via SoftBank KK (e.g., data centre, LLM investments etc., etc.).
Reply:
    OpenAI investment: SoftBank is reportedly set to lead an OpenAI funding round at $300bn valuation and investing between $15bn-$25bn (of total $40bn investment which OpenAI is looking for).
Reply:
    https://www.ft.com/content/2c697ff8-dfe9-4c42-a328-d21216293aa3
Reply:
    Updated assumptions per SoftBank press release on $40bn syndicated OpenAI investment: https://group.softbank/en/news/press/20250401.
Reply:
    SBG to invest $10bn in April ‘25 with some participation from syndicate: per SBG press release syndicate to contribute up to $10bn of total $40bn (i.e., up to 25% of total equity investment).
Reply:
    Subject to OpenAI Global LLC “recapitalising its economic waterfall” (i.e., conversion from capped-profit to for-profit PBC) the syndicate is to invest an additional $30bn in OpenAI in Dec. ‘25 or early ‘26 (we assume early ‘26 given expedited trial between Musk/OpenAI only likely to begin in Dec. ‘25).</t>
      </text>
    </comment>
    <comment ref="AX26" authorId="7" shapeId="0" xr:uid="{DD4D943B-F95F-405A-9104-7AD091AA907D}">
      <text>
        <t>[Threaded comment]
Your version of Excel allows you to read this threaded comment; however, any edits to it will get removed if the file is opened in a newer version of Excel. Learn more: https://go.microsoft.com/fwlink/?linkid=870924
Comment:
    Per slide 63 of SoftBank’s F3Q25 earnings presentation: https://group.softbank/media/Project/sbg/sbg/pdf/ir/presentations/2025/earnings-presentation_q2fy2025_01_en.pdf.</t>
      </text>
    </comment>
    <comment ref="AY26" authorId="8" shapeId="0" xr:uid="{AB1584AB-FC6D-4E62-8AA0-0F64A7A3F0CC}">
      <text>
        <t>[Threaded comment]
Your version of Excel allows you to read this threaded comment; however, any edits to it will get removed if the file is opened in a newer version of Excel. Learn more: https://go.microsoft.com/fwlink/?linkid=870924
Comment:
    Assumes 80% of "up to $9bn p.a." AI investments run-rate set out by CFO in interview with FT (https://www.ft.com/content/2245e6f1-c8fa-49a4-af8a-2871dd1161ec) but excludes an assumed $1.5bn p.a. via SoftBank KK (e.g., data centre, LLM investments etc., etc.).
Reply:
    OpenAI investment: SoftBank is reportedly set to lead an OpenAI funding round at $300bn valuation and investing between $15bn-$25bn (of total $40bn investment which OpenAI is looking for).
Reply:
    https://www.ft.com/content/2c697ff8-dfe9-4c42-a328-d21216293aa3
Reply:
    Updated assumptions per SoftBank press release on $40bn syndicated OpenAI investment: https://group.softbank/en/news/press/20250401.
Reply:
    SBG to invest $10bn in April ‘25 with some participation from syndicate: per SBG press release syndicate to contribute up to $10bn of total $40bn (i.e., up to 25% of total equity investment).
Reply:
    Subject to OpenAI Global LLC “recapitalising its economic waterfall” (i.e., conversion from capped-profit to for-profit PBC) the syndicate is to invest an additional $30bn in OpenAI in Dec. ‘25 or early ‘26 (we assume early ‘26 given expedited trial between Musk/OpenAI only likely to begin in Dec. ‘25).</t>
      </text>
    </comment>
    <comment ref="AR27" authorId="9" shapeId="0" xr:uid="{87E61ABD-0E5D-450D-B7E9-09D3841C5659}">
      <text>
        <t>[Threaded comment]
Your version of Excel allows you to read this threaded comment; however, any edits to it will get removed if the file is opened in a newer version of Excel. Learn more: https://go.microsoft.com/fwlink/?linkid=870924
Comment:
    Per FT article on Wayve funding round SoftBank Group provided the "substantial majority of the $1.05bn funding round".
Reply:
    https://www.ft.com/content/a5704e29-545c-45e6-b7e3-d0a8cda285c4
Reply:
    AP amendment: added $295m investment in Tempus AI Inc in F1Q24 ($200m pre-IPO investment as part of Series G funding round in Apr. ‘24 and further $95m in Jun. ‘24 as SoftBank’s capital contribution to SB Tempus JV).
Reply:
    https://www.reuters.com/business/healthcare-pharmaceuticals/softbank-group-launches-ai-healthcare-joint-venture-with-tempus-ai-2024-06-27/#:~:text=SoftBank%20invested%20around%20%24200%20million,millions%20of%20patients'%20clinical%20records.
Reply:
    https://group.softbank/en/news/press/20240627</t>
      </text>
    </comment>
    <comment ref="AS27" authorId="10" shapeId="0" xr:uid="{DB45887D-AFA6-4BCB-9550-1291DF2318EA}">
      <text>
        <t>[Threaded comment]
Your version of Excel allows you to read this threaded comment; however, any edits to it will get removed if the file is opened in a newer version of Excel. Learn more: https://go.microsoft.com/fwlink/?linkid=870924
Comment:
    Assumptions: $650m for Graphcore acquisition in July '24 (note: said to be more than $600m but less than $700m cumulatively raised by Graphcore from Venture Capital in the past), $95m SB Tempus JV investments and $1.25bn "other" investments in line with $9bn p.a. AI investments run-rate.
Reply:
    Graphcore acquisition FT article: https://www.ft.com/content/e33bab13-2d64-47f7-b0e2-9ba446296234.
Reply:
    SB Tempus JV announcement/press release: https://group.softbank/en/news/press/20240627.</t>
      </text>
    </comment>
    <comment ref="AX27" authorId="11" shapeId="0" xr:uid="{0231B953-CDAE-40F9-988A-EFFFB1857FB4}">
      <text>
        <t>[Threaded comment]
Your version of Excel allows you to read this threaded comment; however, any edits to it will get removed if the file is opened in a newer version of Excel. Learn more: https://go.microsoft.com/fwlink/?linkid=870924
Comment:
    SoftBank Group’s $2bn strategic investment in Intel common stock at $23/share: see SoftBank Group press release below.
Reply:
    https://group.softbank/en/news/press/20250819
Reply:
    Adj. for Oracle and Cipher Mining equity sales in F2Q: see SBG 13F’s.</t>
      </text>
    </comment>
    <comment ref="AY27" authorId="12" shapeId="0" xr:uid="{512F89F7-D5FD-44E6-AB20-7CE0ED944067}">
      <text>
        <t>[Threaded comment]
Your version of Excel allows you to read this threaded comment; however, any edits to it will get removed if the file is opened in a newer version of Excel. Learn more: https://go.microsoft.com/fwlink/?linkid=870924
Comment:
    Per pg.4 of F2Q earnings report: SBG sold all of its 32.1m NVIDIA shares for $5.83bn in Oct. ‘25.
Reply:
    https://group.softbank/media/Project/sbg/sbg/pdf/ir/financials/financial_reports/financial-report_q2fy2025_01_en.pdf</t>
      </text>
    </comment>
    <comment ref="AZ27" authorId="13" shapeId="0" xr:uid="{745E6856-23E7-4D5A-86F0-43CC43E775D3}">
      <text>
        <t>[Threaded comment]
Your version of Excel allows you to read this threaded comment; however, any edits to it will get removed if the file is opened in a newer version of Excel. Learn more: https://go.microsoft.com/fwlink/?linkid=870924
Comment:
    Note: includes 3.5m Symbotic Class A shares sold by SVF Sponsor III (DE) LLC at $55/share as part of Symbotic capital raise.
Reply:
    https://ir.symbotic.com/news-releases/news-release-details/symbotic-announces-pricing-primary-and-secondary-offering-0</t>
      </text>
    </comment>
    <comment ref="AW28" authorId="14" shapeId="0" xr:uid="{24453B98-1BBF-4F58-908C-7362D587DD14}">
      <text>
        <t>[Threaded comment]
Your version of Excel allows you to read this threaded comment; however, any edits to it will get removed if the file is opened in a newer version of Excel. Learn more: https://go.microsoft.com/fwlink/?linkid=870924
Comment:
    Per SoftBank Group quarterly earnings (pg.34): at average F1Q USD/JPY FX, “Payments for acquisition of investments” of $663m “primarily for the Stargate Project” i.e., we assume $500m contribution during F1Q to Stargate equity vehicle.</t>
      </text>
    </comment>
    <comment ref="AX28" authorId="15" shapeId="0" xr:uid="{63E8A067-A0CA-491B-B6EB-A9EDE26F1DEF}">
      <text>
        <t>[Threaded comment]
Your version of Excel allows you to read this threaded comment; however, any edits to it will get removed if the file is opened in a newer version of Excel. Learn more: https://go.microsoft.com/fwlink/?linkid=870924
Comment:
    Project Stargate assumptions: 1) Stargate parent vehicle ownership 40% OpenAI + 40% SoftBank + remainder Oracle/MGX; 2) Stargate parent vehicle to put 10-15% equity in each individual data centre project in the U.S. (remainder via Preferred debt, Project financing etc.); 3) first $100bn Stargate investment to be deployed over 3-4 years -&gt; so up to $15bn equity contribution by Stargate parent vehicle over 3-4 years or 40% x $15bn = UP TO $6bn commitment for SBG or $1.5bn p.a. -&gt; we assume $750m paid-up in F1Q of each year with $250m per Q thereafter.
Reply:
    Assumptions: see OpenAI press release + SB Energy website (links below) for details. We assume (GB300) GPUs for Lordstown, Ohio (500MW) and Milam County, Texas (1GW) sites get acquired/ordered in FY25 (Mar. ‘26). Stargate JV -&gt; 50/50 ownership between OpenAI/SoftBank after Oracle signed separate compute deals with OpenAI. Assumption: approx. $30bn GPU capex per GW, 1.5GW so $45bn GPU capex in FY25, 50% x 15% equity contribution x $45bn = up to $3.5bn equity contribution in FY25 (Mar. ‘26) + Lordstown, Ohio site acquired from Foxconn ($375m) + $12.5m/MW for data center shell at Milam County, Texas i.e., $12.5bn 100% covered by SB Energy but @ 80% debt-funded so $2.5bn equity. Total = $6.25bn maximum outlay for Stargate in Y1.
Reply:
    https://openai.com/index/five-new-stargate-sites/
Reply:
    https://sbenergy.com/digital-infrastructure/
Reply:
    https://www.reuters.com/business/autos-transportation/foxconn-agrees-375-mln-lordstown-plant-sale-pivot-towards-data-centres-2025-08-04/</t>
      </text>
    </comment>
    <comment ref="AY28" authorId="16" shapeId="0" xr:uid="{5AC6D6AF-264E-48D7-BF02-B00572AD9410}">
      <text>
        <t>[Threaded comment]
Your version of Excel allows you to read this threaded comment; however, any edits to it will get removed if the file is opened in a newer version of Excel. Learn more: https://go.microsoft.com/fwlink/?linkid=870924
Comment:
    Project Stargate assumptions: 1) Stargate parent vehicle ownership 40% OpenAI + 40% SoftBank + remainder Oracle/MGX; 2) Stargate parent vehicle to put 10-15% equity in each individual data centre project in the U.S. (remainder via Preferred debt, Project financing etc.); 3) first $100bn Stargate investment to be deployed over 3-4 years -&gt; so up to $15bn equity contribution by Stargate parent vehicle over 3-4 years or 40% x $15bn = UP TO $6bn commitment for SBG or $1.5bn p.a. -&gt; we assume $750m paid-up in F1Q of each year with $250m per Q thereafter.
Reply:
    Assumptions: see OpenAI press release + SB Energy website (links below) for details. We assume (GB300) GPUs for Lordstown, Ohio (500MW) and Milam County, Texas (1GW) sites get acquired/ordered in FY25 (Mar. ‘26). Stargate JV -&gt; 50/50 ownership between OpenAI/SoftBank after Oracle signed separate compute deals with OpenAI. Assumption: approx. $30bn GPU capex per GW, 1.5GW so $45bn GPU capex in FY25, 50% x 15% equity contribution x $45bn = up to $3.5bn equity contribution in FY25 (Mar. ‘26) + Lordstown, Ohio site acquired from Foxconn ($375m) + $12.5m/MW for data center shell at Milam County, Texas i.e., $12.5bn 100% covered by SB Energy but @ 80% debt-funded so $2.5bn equity. Total = $6.25bn maximum outlay for Stargate in Y1.
Reply:
    https://openai.com/index/five-new-stargate-sites/
Reply:
    https://sbenergy.com/digital-infrastructure/
Reply:
    https://www.reuters.com/business/autos-transportation/foxconn-agrees-375-mln-lordstown-plant-sale-pivot-towards-data-centres-2025-08-04/</t>
      </text>
    </comment>
    <comment ref="AZ28" authorId="17" shapeId="0" xr:uid="{A22FB331-1CBC-4679-BAA9-837A1317B90A}">
      <text>
        <t>[Threaded comment]
Your version of Excel allows you to read this threaded comment; however, any edits to it will get removed if the file is opened in a newer version of Excel. Learn more: https://go.microsoft.com/fwlink/?linkid=870924
Comment:
    Per SB Energy press release: SB Energy and OpenAI each investing $500m into SB Energy (n.b., this follows $800m Redeemable Preferred Equity investment by Ares Management in CY25) to support the 1.2GW data center buildout at Milam County (Texas).
Reply:
    https://sbenergy.com/openai-and-softbank-group-partner-with-sb-energy/</t>
      </text>
    </comment>
    <comment ref="AY29" authorId="18" shapeId="0" xr:uid="{AB6712A8-144C-4E15-9BCF-B672A8AF59F7}">
      <text>
        <t>[Threaded comment]
Your version of Excel allows you to read this threaded comment; however, any edits to it will get removed if the file is opened in a newer version of Excel. Learn more: https://go.microsoft.com/fwlink/?linkid=870924
Comment:
    Per SoftBank press release on $6.5bn Ampere acquisition: expected to close “in the latter half of 2025”.
Reply:
    https://group.softbank/en/news/press/20250320_0
Reply:
    SoftBank IR now saying to expect close by end of FY25 (or March ‘26) on the basis of U.S. regulatory scrutiny.
Reply:
    https://www.bloomberg.com/news/articles/2025-07-02/softbank-s-ampere-deal-now-faces-a-more-in-depth-review-by-ftc</t>
      </text>
    </comment>
    <comment ref="AY61" authorId="19" shapeId="0" xr:uid="{16CF5DA2-E8A9-447B-8628-AB8A83ACADF2}">
      <text>
        <t>[Threaded comment]
Your version of Excel allows you to read this threaded comment; however, any edits to it will get removed if the file is opened in a newer version of Excel. Learn more: https://go.microsoft.com/fwlink/?linkid=870924
Comment:
    See pg.4 of SoftBank F3Q24 earnings release: Arm margin loan facility increased from $8.5bn to $13.5bn or $5bn additional financing capacity -&gt; we assume SBG draws $2.5bn in FY25 to Mar. ‘25.</t>
      </text>
    </comment>
    <comment ref="AX64" authorId="20" shapeId="0" xr:uid="{ABBC882B-1ADB-419F-828E-8787B82FC47D}">
      <text>
        <t>[Threaded comment]
Your version of Excel allows you to read this threaded comment; however, any edits to it will get removed if the file is opened in a newer version of Excel. Learn more: https://go.microsoft.com/fwlink/?linkid=870924
Comment:
    See pg.4 of SBG F2Q Financial Report: SoftBank repaid $1bn of OpenAI bridge loan in Aug. ‘25.
Reply:
    https://group.softbank/media/Project/sbg/sbg/pdf/ir/financials/financial_reports/financial-report_q2fy2025_01_en.pdf</t>
      </text>
    </comment>
    <comment ref="AY64" authorId="21" shapeId="0" xr:uid="{380C99A9-7CC6-469E-AE80-0DC625D54BDD}">
      <text>
        <t>[Threaded comment]
Your version of Excel allows you to read this threaded comment; however, any edits to it will get removed if the file is opened in a newer version of Excel. Learn more: https://go.microsoft.com/fwlink/?linkid=870924
Comment:
    See pg.4 of SBG F3Q Financial Report: SoftBank had repaid $3bn of Mizuho bridge loans as at F3Q.
Reply:
    https://group.softbank/media/Project/sbg/sbg/pdf/ir/financials/financial_reports/financial-report_q3fy2025_01_en.pdf</t>
      </text>
    </comment>
    <comment ref="AR69" authorId="22" shapeId="0" xr:uid="{7B64279A-490E-4B09-8368-08D8290E4B03}">
      <text>
        <t>[Threaded comment]
Your version of Excel allows you to read this threaded comment; however, any edits to it will get removed if the file is opened in a newer version of Excel. Learn more: https://go.microsoft.com/fwlink/?linkid=870924
Comment:
    6.73m call option settled with DT at "fixed" price of $99.51 per share ($101.46 per share as original agreement stated but adjusted for $1.95 dividends paid out by T-Mobile US over the call option contract period).
Reply:
    See slide 6 of F1Q Accounting presentation: SoftBank settled 20m T-Mobile prepaid forward contracts with cash for $2.6bn plus $880m deposited for 1 July ‘24 settlement of remaining 4.8m contract settlement.
Reply:
    https://group.softbank/system/files/pdf/ir/presentations/2024/investor-accounting_q1fy2024_01_en.pdf</t>
      </text>
    </comment>
    <comment ref="AR90" authorId="23" shapeId="0" xr:uid="{4625617F-B4B8-4D86-A0A0-076B16030FD1}">
      <text>
        <t>[Threaded comment]
Your version of Excel allows you to read this threaded comment; however, any edits to it will get removed if the file is opened in a newer version of Excel. Learn more: https://go.microsoft.com/fwlink/?linkid=870924
Comment:
    See details from 19th April '24 SoftBank press release: https://group.softbank/en/news/press/20240419.</t>
      </text>
    </comment>
    <comment ref="AR91" authorId="24" shapeId="0" xr:uid="{1DD69BC9-84F2-4751-B88D-15F5D8CD6963}">
      <text>
        <t>[Threaded comment]
Your version of Excel allows you to read this threaded comment; however, any edits to it will get removed if the file is opened in a newer version of Excel. Learn more: https://go.microsoft.com/fwlink/?linkid=870924
Comment:
    See details from 31st May '24 SoftBank press release: https://group.softbank/en/news/press/20240531.</t>
      </text>
    </comment>
    <comment ref="AT100" authorId="25" shapeId="0" xr:uid="{973DCA2F-DEAA-424E-9CD2-2BC4161EC536}">
      <text>
        <t>[Threaded comment]
Your version of Excel allows you to read this threaded comment; however, any edits to it will get removed if the file is opened in a newer version of Excel. Learn more: https://go.microsoft.com/fwlink/?linkid=870924
Comment:
    See details from 31st October '24 SoftBank press release: https://group.softbank/en/news/press/20241031.</t>
      </text>
    </comment>
    <comment ref="AW100" authorId="26" shapeId="0" xr:uid="{E53809D6-6646-456E-AB49-54AFE00C693B}">
      <text>
        <t>[Threaded comment]
Your version of Excel allows you to read this threaded comment; however, any edits to it will get removed if the file is opened in a newer version of Excel. Learn more: https://go.microsoft.com/fwlink/?linkid=870924
Comment:
    See details from 18th April ‘25 SoftBank press release: https://group.softbank/en/news/press/20250418.</t>
      </text>
    </comment>
    <comment ref="AY100" authorId="27" shapeId="0" xr:uid="{0BEBD43A-A244-44D6-BB25-79FAAE673A95}">
      <text>
        <t>[Threaded comment]
Your version of Excel allows you to read this threaded comment; however, any edits to it will get removed if the file is opened in a newer version of Excel. Learn more: https://go.microsoft.com/fwlink/?linkid=870924
Comment:
    See details from 26th November ‘25 SoftBank press release: https://group.softbank/en/news/press/20251126_0.</t>
      </text>
    </comment>
    <comment ref="AS101" authorId="28" shapeId="0" xr:uid="{36335C2E-1E5E-4522-9EEE-D249924FE863}">
      <text>
        <t>[Threaded comment]
Your version of Excel allows you to read this threaded comment; however, any edits to it will get removed if the file is opened in a newer version of Excel. Learn more: https://go.microsoft.com/fwlink/?linkid=870924
Comment:
    See details from 28th June '24 SoftBank press release: https://group.softbank/en/news/press/20240628.</t>
      </text>
    </comment>
    <comment ref="AX101" authorId="29" shapeId="0" xr:uid="{000E6BE2-2465-460E-AB3E-24FBA208C218}">
      <text>
        <t>[Threaded comment]
Your version of Excel allows you to read this threaded comment; however, any edits to it will get removed if the file is opened in a newer version of Excel. Learn more: https://go.microsoft.com/fwlink/?linkid=870924
Comment:
    See details from 3rd July ‘25 SoftBank press release: https://group.softbank/en/news/press/20250703.
Reply:
    See also AP Cash Raising Analysis spreadsheet.</t>
      </text>
    </comment>
    <comment ref="AT102" authorId="30" shapeId="0" xr:uid="{EC61D51F-94A5-4D49-A845-CBFD0F0853A2}">
      <text>
        <t>[Threaded comment]
Your version of Excel allows you to read this threaded comment; however, any edits to it will get removed if the file is opened in a newer version of Excel. Learn more: https://go.microsoft.com/fwlink/?linkid=870924
Comment:
    See details from 31st October '24 SoftBank press release: https://group.softbank/en/news/press/20241031.</t>
      </text>
    </comment>
    <comment ref="AX102" authorId="31" shapeId="0" xr:uid="{1CCC85C8-375E-42E7-A7EB-6C13024AED4E}">
      <text>
        <t>[Threaded comment]
Your version of Excel allows you to read this threaded comment; however, any edits to it will get removed if the file is opened in a newer version of Excel. Learn more: https://go.microsoft.com/fwlink/?linkid=870924
Comment:
    See details from 29th August '25 SoftBank press release: https://group.softbank/en/news/press/20250829.</t>
      </text>
    </comment>
    <comment ref="AY102" authorId="32" shapeId="0" xr:uid="{9C88D9F1-2DAC-4781-A7FA-C5896953F83B}">
      <text>
        <t>[Threaded comment]
Your version of Excel allows you to read this threaded comment; however, any edits to it will get removed if the file is opened in a newer version of Excel. Learn more: https://go.microsoft.com/fwlink/?linkid=870924
Comment:
    See details from 23rd October '25 SoftBank press release: https://group.softbank/en/news/press/20251023.</t>
      </text>
    </comment>
    <comment ref="AS105" authorId="33" shapeId="0" xr:uid="{237C7409-87B1-4C81-925D-9F1D625B479D}">
      <text>
        <t>[Threaded comment]
Your version of Excel allows you to read this threaded comment; however, any edits to it will get removed if the file is opened in a newer version of Excel. Learn more: https://go.microsoft.com/fwlink/?linkid=870924
Comment:
    See details from 25th June '24 SoftBank press release: https://group.softbank/en/news/press/20240625.</t>
      </text>
    </comment>
    <comment ref="AT105" authorId="34" shapeId="0" xr:uid="{720316A6-CDFB-4078-BC2C-171424ED1376}">
      <text>
        <t>[Threaded comment]
Your version of Excel allows you to read this threaded comment; however, any edits to it will get removed if the file is opened in a newer version of Excel. Learn more: https://go.microsoft.com/fwlink/?linkid=870924
Comment:
    See details from 31st October '24 SoftBank press release: https://group.softbank/en/news/press/20241031.</t>
      </text>
    </comment>
    <comment ref="AZ105" authorId="35" shapeId="0" xr:uid="{5ACA248A-05D6-4D0F-AB9D-25200EC30B13}">
      <text>
        <t>[Threaded comment]
Your version of Excel allows you to read this threaded comment; however, any edits to it will get removed if the file is opened in a newer version of Excel. Learn more: https://go.microsoft.com/fwlink/?linkid=870924
Comment:
    See details from 10th November '25 SoftBank press release: JPY 177bn of Unsecured subordinated notes to be redeemed on 4th February ‘26.
Reply:
    https://group.softbank/en/news/press/20251110</t>
      </text>
    </comment>
    <comment ref="AU110" authorId="36" shapeId="0" xr:uid="{761885C5-DCC7-4567-8078-BF2DF30C1BC0}">
      <text>
        <t>[Threaded comment]
Your version of Excel allows you to read this threaded comment; however, any edits to it will get removed if the file is opened in a newer version of Excel. Learn more: https://go.microsoft.com/fwlink/?linkid=870924
Comment:
    See pg.4 of F4Q24 Financial Report: https://group.softbank/media/Project/sbg/sbg/pdf/ir/financials/financial_reports/financial-report_q4fy2024_01_en.pdf.</t>
      </text>
    </comment>
    <comment ref="AX110" authorId="37" shapeId="0" xr:uid="{68310115-F6A8-4C7C-A477-E22FD63EDA5F}">
      <text>
        <t>[Threaded comment]
Your version of Excel allows you to read this threaded comment; however, any edits to it will get removed if the file is opened in a newer version of Excel. Learn more: https://go.microsoft.com/fwlink/?linkid=870924
Comment:
    See pg.19 of SBG F2Q “Accounting” slides: “borrowed $5.81bn...through commitment lines”.
Reply:
    https://group.softbank/media/Project/sbg/sbg/pdf/ir/presentations/2025/investor-accounting_q2fy2025_01_en.pdf</t>
      </text>
    </comment>
    <comment ref="AX111" authorId="38" shapeId="0" xr:uid="{48C8C9E3-5AAD-4E5A-AE57-EFF91774D03E}">
      <text>
        <t>[Threaded comment]
Your version of Excel allows you to read this threaded comment; however, any edits to it will get removed if the file is opened in a newer version of Excel. Learn more: https://go.microsoft.com/fwlink/?linkid=870924
Comment:
    See pg.19 of SBG F2Q “Accounting” slides: “Repaid $5.47bn...borrowed in FY24 through commitment lines”.
Reply:
    https://group.softbank/media/Project/sbg/sbg/pdf/ir/presentations/2025/investor-accounting_q2fy2025_01_en.pdf</t>
      </text>
    </comment>
    <comment ref="AY111" authorId="39" shapeId="0" xr:uid="{DC42A6AC-5C57-4FE5-9898-BEF44185D3C4}">
      <text>
        <t>[Threaded comment]
Your version of Excel allows you to read this threaded comment; however, any edits to it will get removed if the file is opened in a newer version of Excel. Learn more: https://go.microsoft.com/fwlink/?linkid=870924
Comment:
    See pg.19 of SBG “Accounting” slides: ¥0.9tn YTD in commitment lines drawn (roughly equates to $5.81bn at FX rates) and ¥1.7tn commitment lines repaid “(two instances)” i.e., implying both $5.5bn and $5.8bn commitment lines repaid YTD.</t>
      </text>
    </comment>
    <comment ref="AY153" authorId="40" shapeId="0" xr:uid="{0443FFBD-3C86-42DB-8CB2-86E749A5514C}">
      <text>
        <t>[Threaded comment]
Your version of Excel allows you to read this threaded comment; however, any edits to it will get removed if the file is opened in a newer version of Excel. Learn more: https://go.microsoft.com/fwlink/?linkid=870924
Comment:
    https://group.softbank/en/news/press/20251111</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tc={88313B3E-2785-42AB-9CE8-5FFF3FE32B72}</author>
    <author>tc={8424FF90-08D5-457F-B4F8-E09B64C41F31}</author>
  </authors>
  <commentList>
    <comment ref="A54" authorId="0" shapeId="0" xr:uid="{88313B3E-2785-42AB-9CE8-5FFF3FE32B72}">
      <text>
        <t>[Threaded comment]
Your version of Excel allows you to read this threaded comment; however, any edits to it will get removed if the file is opened in a newer version of Excel. Learn more: https://go.microsoft.com/fwlink/?linkid=870924
Comment:
    See pg.5 of 3Q23 SoftBank Corp. Consolidated Financial Report: simplistically takes SBC's 50% holding of A Holdings Corp. JV which itself owns 64.4% of LY Corp. i.e., SBC owns only 32.2% of LY Corp. on a proportionate basis so "gives away" 67.8% to Non-controlling interests but this is a slightly oversimplistic view as SBC also owns 5.9% of PayPay directly.
Reply:
    See diagram on pg.5: https://www.softbank.jp/en/corp/set/data/ir/documents/financial_reports/fy2023/pdf/sbkk_financial_report_20240207_en.pdf</t>
      </text>
    </comment>
    <comment ref="AY185" authorId="1" shapeId="0" xr:uid="{8424FF90-08D5-457F-B4F8-E09B64C41F31}">
      <text>
        <t>[Threaded comment]
Your version of Excel allows you to read this threaded comment; however, any edits to it will get removed if the file is opened in a newer version of Excel. Learn more: https://go.microsoft.com/fwlink/?linkid=870924
Comment:
    Per Japanese press reports in early '23, Japanese Ministry Of Internal Affairs and Communications (MIC) are considering carrying out a spectrum auction system by early '26: previously, spectrum had been allocated to operators for free based on coverage/investment commitments.
Reply:
    Assume €200m = circa ¥35bn for mmWave frequencies: this would be far less punitive than European spectrum auctions given low-band/mid-band 5G spectrum already allocated for free although need to check frequency expiries with IR.
Reply:
    https://www.fierce-network.com/wireless/japan-plans-auction-spectrum-rather-give-it-free</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tc={35E2662C-C480-405A-9FFA-BA03AD7380BB}</author>
    <author>tc={B2B6F346-A345-4D6C-BF80-DB52B2C56951}</author>
    <author>tc={2414B4D3-DDBB-4786-8432-65F811B70BF5}</author>
    <author>tc={28B0DD20-1EC4-4960-BAEC-96B307234D5C}</author>
    <author>tc={3C2C971F-371E-4A93-B52D-BF7A82FB25D7}</author>
    <author>tc={941D2325-8D35-429D-8F4C-418C6D324DC3}</author>
    <author>tc={B0B4CD14-1E4E-477F-9380-1E3DD9BA36D4}</author>
    <author>tc={FB62B8E2-FE37-484D-BB48-1AD4E95BBF8E}</author>
    <author>tc={42A93921-D8B7-4F9A-A683-ECAA7E967BF9}</author>
  </authors>
  <commentList>
    <comment ref="AH27" authorId="0" shapeId="0" xr:uid="{35E2662C-C480-405A-9FFA-BA03AD7380BB}">
      <text>
        <t>[Threaded comment]
Your version of Excel allows you to read this threaded comment; however, any edits to it will get removed if the file is opened in a newer version of Excel. Learn more: https://go.microsoft.com/fwlink/?linkid=870924
Comment:
    Arete est. of Mobile network costs excluding D&amp;A: based on est. iliad &amp; O2D network costs of €700m-€1bn p.a. and scaled to Japan square miles vs. Italy/Germany = this is a very rough estimate &amp; have added 25% to "final answer" to scale to more realistic % gross margin.</t>
      </text>
    </comment>
    <comment ref="AM27" authorId="1" shapeId="0" xr:uid="{B2B6F346-A345-4D6C-BF80-DB52B2C56951}">
      <text>
        <t>[Threaded comment]
Your version of Excel allows you to read this threaded comment; however, any edits to it will get removed if the file is opened in a newer version of Excel. Learn more: https://go.microsoft.com/fwlink/?linkid=870924
Comment:
    Arete est. of Mobile network costs excluding D&amp;A: based on est. iliad &amp; O2D network costs of €700m-€1bn p.a. and scaled to Japan square miles vs. Italy/Germany = this is a very rough estimate &amp; have added 25% to "final answer" to scale to more realistic % gross margin.</t>
      </text>
    </comment>
    <comment ref="AR27" authorId="2" shapeId="0" xr:uid="{2414B4D3-DDBB-4786-8432-65F811B70BF5}">
      <text>
        <t>[Threaded comment]
Your version of Excel allows you to read this threaded comment; however, any edits to it will get removed if the file is opened in a newer version of Excel. Learn more: https://go.microsoft.com/fwlink/?linkid=870924
Comment:
    Arete est. of Mobile network costs excluding D&amp;A: based on est. iliad &amp; O2D network costs of €700m-€1bn p.a. and scaled to Japan square miles vs. Italy/Germany = this is a very rough estimate &amp; have added 25% to "final answer" to scale to more realistic % gross margin.</t>
      </text>
    </comment>
    <comment ref="AW27" authorId="3" shapeId="0" xr:uid="{28B0DD20-1EC4-4960-BAEC-96B307234D5C}">
      <text>
        <t>[Threaded comment]
Your version of Excel allows you to read this threaded comment; however, any edits to it will get removed if the file is opened in a newer version of Excel. Learn more: https://go.microsoft.com/fwlink/?linkid=870924
Comment:
    Arete est. of Mobile network costs excluding D&amp;A: based on est. iliad &amp; O2D network costs of €700m-€1bn p.a. and scaled to Japan square miles vs. Italy/Germany = this is a very rough estimate &amp; have added 25% to "final answer" to scale to more realistic % gross margin.</t>
      </text>
    </comment>
    <comment ref="BB27" authorId="4" shapeId="0" xr:uid="{3C2C971F-371E-4A93-B52D-BF7A82FB25D7}">
      <text>
        <t>[Threaded comment]
Your version of Excel allows you to read this threaded comment; however, any edits to it will get removed if the file is opened in a newer version of Excel. Learn more: https://go.microsoft.com/fwlink/?linkid=870924
Comment:
    Arete est. of Mobile network costs excluding D&amp;A: based on est. iliad &amp; O2D network costs of €700m-€1bn p.a. and scaled to Japan square miles vs. Italy/Germany = this is a very rough estimate &amp; have added 25% to "final answer" to scale to more realistic % gross margin.</t>
      </text>
    </comment>
    <comment ref="BG27" authorId="5" shapeId="0" xr:uid="{941D2325-8D35-429D-8F4C-418C6D324DC3}">
      <text>
        <t>[Threaded comment]
Your version of Excel allows you to read this threaded comment; however, any edits to it will get removed if the file is opened in a newer version of Excel. Learn more: https://go.microsoft.com/fwlink/?linkid=870924
Comment:
    Arete est. of Mobile network costs excluding D&amp;A: based on est. iliad &amp; O2D network costs of €700m-€1bn p.a. and scaled to Japan square miles vs. Italy/Germany = this is a very rough estimate &amp; have added 25% to "final answer" to scale to more realistic % gross margin.</t>
      </text>
    </comment>
    <comment ref="BL27" authorId="6" shapeId="0" xr:uid="{B0B4CD14-1E4E-477F-9380-1E3DD9BA36D4}">
      <text>
        <t>[Threaded comment]
Your version of Excel allows you to read this threaded comment; however, any edits to it will get removed if the file is opened in a newer version of Excel. Learn more: https://go.microsoft.com/fwlink/?linkid=870924
Comment:
    Arete est. of Mobile network costs excluding D&amp;A: based on est. iliad &amp; O2D network costs of €700m-€1bn p.a. and scaled to Japan square miles vs. Italy/Germany = this is a very rough estimate &amp; have added 25% to "final answer" to scale to more realistic % gross margin.</t>
      </text>
    </comment>
    <comment ref="X126" authorId="7" shapeId="0" xr:uid="{FB62B8E2-FE37-484D-BB48-1AD4E95BBF8E}">
      <text>
        <t>[Threaded comment]
Your version of Excel allows you to read this threaded comment; however, any edits to it will get removed if the file is opened in a newer version of Excel. Learn more: https://go.microsoft.com/fwlink/?linkid=870924
Comment:
    Press release on closure of Z Holdings/LINE merger: https://linecorp.com/en/pr/news/en/2021/3646</t>
      </text>
    </comment>
    <comment ref="AF244" authorId="8" shapeId="0" xr:uid="{42A93921-D8B7-4F9A-A683-ECAA7E967BF9}">
      <text>
        <t>[Threaded comment]
Your version of Excel allows you to read this threaded comment; however, any edits to it will get removed if the file is opened in a newer version of Excel. Learn more: https://go.microsoft.com/fwlink/?linkid=870924
Comment:
    ¥294.8bn remeasurement gain associated with consolidation of PayPay Corporation.</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tc={E1929441-3CD7-4B3D-9F4D-348BE29C5589}</author>
  </authors>
  <commentList>
    <comment ref="A22" authorId="0" shapeId="0" xr:uid="{E1929441-3CD7-4B3D-9F4D-348BE29C5589}">
      <text>
        <t>[Threaded comment]
Your version of Excel allows you to read this threaded comment; however, any edits to it will get removed if the file is opened in a newer version of Excel. Learn more: https://go.microsoft.com/fwlink/?linkid=870924
Comment:
    See KPI definitions in PDF version of data: describes ARPU as "Principal Operational Data for Main Subscribers". But need to check meaning of definitions with HR.</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tc={1F0C39AC-6F4A-4E45-AD07-07110E013FDF}</author>
    <author>tc={9F3FDA12-1644-4217-A0B0-E69681F53B30}</author>
    <author>tc={BE776B0F-C01E-470B-B8B4-54459B0A95EB}</author>
  </authors>
  <commentList>
    <comment ref="X4" authorId="0" shapeId="0" xr:uid="{1F0C39AC-6F4A-4E45-AD07-07110E013FDF}">
      <text>
        <t>[Threaded comment]
Your version of Excel allows you to read this threaded comment; however, any edits to it will get removed if the file is opened in a newer version of Excel. Learn more: https://go.microsoft.com/fwlink/?linkid=870924
Comment:
    Press release on closure of Z Holdings/LINE merger: https://linecorp.com/en/pr/news/en/2021/3646</t>
      </text>
    </comment>
    <comment ref="X19" authorId="1" shapeId="0" xr:uid="{9F3FDA12-1644-4217-A0B0-E69681F53B30}">
      <text>
        <t>[Threaded comment]
Your version of Excel allows you to read this threaded comment; however, any edits to it will get removed if the file is opened in a newer version of Excel. Learn more: https://go.microsoft.com/fwlink/?linkid=870924
Comment:
    Press release on closure of Z Holdings/LINE merger: https://linecorp.com/en/pr/news/en/2021/3646</t>
      </text>
    </comment>
    <comment ref="X55" authorId="2" shapeId="0" xr:uid="{BE776B0F-C01E-470B-B8B4-54459B0A95EB}">
      <text>
        <t>[Threaded comment]
Your version of Excel allows you to read this threaded comment; however, any edits to it will get removed if the file is opened in a newer version of Excel. Learn more: https://go.microsoft.com/fwlink/?linkid=870924
Comment:
    Press release on closure of Z Holdings/LINE merger: https://linecorp.com/en/pr/news/en/2021/3646</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tc={EEBB6363-957C-4F8D-AA20-E438D8A983E1}</author>
    <author>tc={1B5F6818-5223-49BC-8CCA-2D1C728C9F6A}</author>
    <author>tc={BFCDB664-ACC6-426E-8E3A-8AC1F0C21A4A}</author>
  </authors>
  <commentList>
    <comment ref="X4" authorId="0" shapeId="0" xr:uid="{EEBB6363-957C-4F8D-AA20-E438D8A983E1}">
      <text>
        <t>[Threaded comment]
Your version of Excel allows you to read this threaded comment; however, any edits to it will get removed if the file is opened in a newer version of Excel. Learn more: https://go.microsoft.com/fwlink/?linkid=870924
Comment:
    Press release on closure of Z Holdings/LINE merger: https://linecorp.com/en/pr/news/en/2021/3646</t>
      </text>
    </comment>
    <comment ref="X25" authorId="1" shapeId="0" xr:uid="{1B5F6818-5223-49BC-8CCA-2D1C728C9F6A}">
      <text>
        <t>[Threaded comment]
Your version of Excel allows you to read this threaded comment; however, any edits to it will get removed if the file is opened in a newer version of Excel. Learn more: https://go.microsoft.com/fwlink/?linkid=870924
Comment:
    Press release on closure of Z Holdings/LINE merger: https://linecorp.com/en/pr/news/en/2021/3646</t>
      </text>
    </comment>
    <comment ref="X65" authorId="2" shapeId="0" xr:uid="{BFCDB664-ACC6-426E-8E3A-8AC1F0C21A4A}">
      <text>
        <t>[Threaded comment]
Your version of Excel allows you to read this threaded comment; however, any edits to it will get removed if the file is opened in a newer version of Excel. Learn more: https://go.microsoft.com/fwlink/?linkid=870924
Comment:
    Press release on closure of Z Holdings/LINE merger: https://linecorp.com/en/pr/news/en/2021/3646</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<sst xmlns="http://schemas.openxmlformats.org/spreadsheetml/2006/main" count="9820" uniqueCount="3624">
  <si>
    <t>SoftBank Group Corp.</t>
  </si>
  <si>
    <t>Balance sheet</t>
  </si>
  <si>
    <t>year end March ¥m</t>
  </si>
  <si>
    <t>Cash and cash equivalents</t>
  </si>
  <si>
    <t>Trade and other receivables</t>
  </si>
  <si>
    <t>Derivative financial assets</t>
  </si>
  <si>
    <t>Other financial assets</t>
  </si>
  <si>
    <t>Inventories</t>
  </si>
  <si>
    <t>Other current assets</t>
  </si>
  <si>
    <t>Total current assets</t>
  </si>
  <si>
    <t>1Q22</t>
  </si>
  <si>
    <t>2Q22</t>
  </si>
  <si>
    <t>3Q22</t>
  </si>
  <si>
    <t>4Q22</t>
  </si>
  <si>
    <t>FY22</t>
  </si>
  <si>
    <t>JPY/USD</t>
  </si>
  <si>
    <t>Property, plant and equipment</t>
  </si>
  <si>
    <t>Right-of-use assets</t>
  </si>
  <si>
    <t>Goodwill</t>
  </si>
  <si>
    <t>Intangible assets</t>
  </si>
  <si>
    <t>Costs to obtain contracts</t>
  </si>
  <si>
    <t>Investments accounted for using the equity method</t>
  </si>
  <si>
    <t>Investments from SVF (= FVTPL)</t>
  </si>
  <si>
    <t>Investment securities</t>
  </si>
  <si>
    <t>Deferred tax assets</t>
  </si>
  <si>
    <t>Other non-current assets</t>
  </si>
  <si>
    <t>Total non-current assets</t>
  </si>
  <si>
    <t>Total assets</t>
  </si>
  <si>
    <t>% yoy growth</t>
  </si>
  <si>
    <t>Interest-bearing debt</t>
  </si>
  <si>
    <t>Lease liabilities</t>
  </si>
  <si>
    <t>Deposits for banking business</t>
  </si>
  <si>
    <t>Trade and other payables</t>
  </si>
  <si>
    <t>Derivative financial liabilities</t>
  </si>
  <si>
    <t>Other financial liabilities</t>
  </si>
  <si>
    <t>Income taxes payable</t>
  </si>
  <si>
    <t>Provisions</t>
  </si>
  <si>
    <t>Other current liabilities</t>
  </si>
  <si>
    <t>Total current liabilities</t>
  </si>
  <si>
    <t>Third-party interests in SVF</t>
  </si>
  <si>
    <t>Deferred tax liabilities</t>
  </si>
  <si>
    <t>Other non-current liabilities</t>
  </si>
  <si>
    <t>Total non-current liabilities</t>
  </si>
  <si>
    <t>Common stock</t>
  </si>
  <si>
    <t>Capital surplus</t>
  </si>
  <si>
    <t>Other equity instruments</t>
  </si>
  <si>
    <t>Retained earnings</t>
  </si>
  <si>
    <t>Treasury stock</t>
  </si>
  <si>
    <t>Accumulated other comprehensive income</t>
  </si>
  <si>
    <t>Total equity attributable to owners of the Parent</t>
  </si>
  <si>
    <t>Non-controlling interests</t>
  </si>
  <si>
    <t>Total equity</t>
  </si>
  <si>
    <t>Total liabilities and equity</t>
  </si>
  <si>
    <t>Total liabilities</t>
  </si>
  <si>
    <t>Income statement</t>
  </si>
  <si>
    <t>Net sales</t>
  </si>
  <si>
    <t>Less: Cost of sales</t>
  </si>
  <si>
    <t>Gross profit</t>
  </si>
  <si>
    <t>Gain &amp; losses on investment</t>
  </si>
  <si>
    <t>Gain/(loss) on investments at Investment Business of Holding Companies</t>
  </si>
  <si>
    <t>Gain/(loss) on investments at SoftBank Vision Funds</t>
  </si>
  <si>
    <t>Gain/(loss) on other investments</t>
  </si>
  <si>
    <t>Selling, general and administrative expenses</t>
  </si>
  <si>
    <t>Finance costs</t>
  </si>
  <si>
    <t>Foreign exchange gain/(loss)</t>
  </si>
  <si>
    <t>Income/(loss) on equity method investments</t>
  </si>
  <si>
    <t>Derivative gain/(loss)</t>
  </si>
  <si>
    <t>Change in third-party interests in SVF</t>
  </si>
  <si>
    <t>Other gain/(loss)</t>
  </si>
  <si>
    <t>Income before income tax</t>
  </si>
  <si>
    <t>Less: Income taxes</t>
  </si>
  <si>
    <t>Net income</t>
  </si>
  <si>
    <t>Net income attributable to</t>
  </si>
  <si>
    <t>Owners of the Parent</t>
  </si>
  <si>
    <t>1Q21</t>
  </si>
  <si>
    <t>2Q21</t>
  </si>
  <si>
    <t>3Q21</t>
  </si>
  <si>
    <t>4Q21</t>
  </si>
  <si>
    <t>FY21</t>
  </si>
  <si>
    <t>= year ending 31 March '23.</t>
  </si>
  <si>
    <t>% ownership</t>
  </si>
  <si>
    <t>ARM</t>
  </si>
  <si>
    <t>Market cap. $bn</t>
  </si>
  <si>
    <t>SVF2</t>
  </si>
  <si>
    <t>SVF1</t>
  </si>
  <si>
    <t>SoftBank Corp.</t>
  </si>
  <si>
    <t>SoftBank Group</t>
  </si>
  <si>
    <t>T-Mobile US</t>
  </si>
  <si>
    <t>Deutsche Telekom</t>
  </si>
  <si>
    <t>Total</t>
  </si>
  <si>
    <t>= year ending 31 March '24.</t>
  </si>
  <si>
    <t>1Q23</t>
  </si>
  <si>
    <t>2Q23</t>
  </si>
  <si>
    <t>3Q23</t>
  </si>
  <si>
    <t>4Q23</t>
  </si>
  <si>
    <t>FY23</t>
  </si>
  <si>
    <t>Gain (loss) on investments at SVF1, SVF2 and LatAm Funds</t>
  </si>
  <si>
    <t>Gain on other investments</t>
  </si>
  <si>
    <t>Gain (loss) on investments at SoftBank Vision Funds</t>
  </si>
  <si>
    <t>Foreign exchange translation</t>
  </si>
  <si>
    <t>Derivative gain (loss) on investments</t>
  </si>
  <si>
    <t>Interest and dividend income from investments</t>
  </si>
  <si>
    <t>Unrealised gain (loss) on valuation of investments</t>
  </si>
  <si>
    <t>Realised gain (loss) on investments</t>
  </si>
  <si>
    <t>Change in valuation for the fiscal year</t>
  </si>
  <si>
    <t>Reclassified to realised gain (loss) recorded in the past fiscal years</t>
  </si>
  <si>
    <t>Finance cost</t>
  </si>
  <si>
    <t>Derivative gain (excluding gain (loss) on investments)</t>
  </si>
  <si>
    <t>Other gain</t>
  </si>
  <si>
    <r>
      <t xml:space="preserve">Change in third-party interests in SVF </t>
    </r>
    <r>
      <rPr>
        <sz val="9"/>
        <color rgb="FFFF0000"/>
        <rFont val="Calibri"/>
        <family val="2"/>
        <scheme val="minor"/>
      </rPr>
      <t>= 3rd party investors in SVF1 + MgtCo in SVF2</t>
    </r>
  </si>
  <si>
    <t>Segment income (income before income tax)</t>
  </si>
  <si>
    <t>Average rate for the quarter</t>
  </si>
  <si>
    <t>Rate at the end of the period</t>
  </si>
  <si>
    <r>
      <t xml:space="preserve">JPY/USD </t>
    </r>
    <r>
      <rPr>
        <sz val="9"/>
        <color rgb="FFFF0000"/>
        <rFont val="Calibri"/>
        <family val="2"/>
        <scheme val="minor"/>
      </rPr>
      <t>= Ctrl+F "exchange rate" in quarterly Financial reports</t>
    </r>
  </si>
  <si>
    <t>Average JPY/USD</t>
  </si>
  <si>
    <t>% qoq</t>
  </si>
  <si>
    <r>
      <t xml:space="preserve">% yoy </t>
    </r>
    <r>
      <rPr>
        <sz val="9"/>
        <color rgb="FF0000FF"/>
        <rFont val="Calibri"/>
        <family val="2"/>
        <scheme val="minor"/>
      </rPr>
      <t>= benefit (drag) on SoftBank JPY reporting</t>
    </r>
  </si>
  <si>
    <r>
      <t>Financial results $m</t>
    </r>
    <r>
      <rPr>
        <sz val="9"/>
        <color theme="1"/>
        <rFont val="Calibri"/>
        <family val="2"/>
        <scheme val="minor"/>
      </rPr>
      <t xml:space="preserve"> </t>
    </r>
    <r>
      <rPr>
        <sz val="9"/>
        <color rgb="FF0000FF"/>
        <rFont val="Calibri"/>
        <family val="2"/>
        <scheme val="minor"/>
      </rPr>
      <t>= uses average JPY/USD exchange rate</t>
    </r>
  </si>
  <si>
    <t>Consolidated results = removes any gain (loss) on investments or shares held in SoftBank Group subsidiaries e.g., ARM.</t>
  </si>
  <si>
    <t>Gain (loss) on investments at SVF1</t>
  </si>
  <si>
    <t>Gain (loss) on investments at SVF2</t>
  </si>
  <si>
    <t>Gain (loss) on investments at LatAm Funds</t>
  </si>
  <si>
    <t>Gain (loss) on other investments</t>
  </si>
  <si>
    <t>Gain (loss) on SVF's investments in shares of the Company's subsidiaries</t>
  </si>
  <si>
    <t>Gain (loss) on investments at SoftBank Vision Funds segment in Consolidated P&amp;L</t>
  </si>
  <si>
    <t>Other gain (loss)</t>
  </si>
  <si>
    <t>Jun. '22</t>
  </si>
  <si>
    <t>Sep. '22</t>
  </si>
  <si>
    <t>Dec. '22</t>
  </si>
  <si>
    <t>Jun. '23</t>
  </si>
  <si>
    <t>Sep. '23</t>
  </si>
  <si>
    <t>Dec. '23</t>
  </si>
  <si>
    <t>= impact of Sep. '23 ARM IPO.</t>
  </si>
  <si>
    <t>1Q20</t>
  </si>
  <si>
    <t>2Q20</t>
  </si>
  <si>
    <t>3Q20</t>
  </si>
  <si>
    <t>4Q20</t>
  </si>
  <si>
    <t>FY20</t>
  </si>
  <si>
    <t>Jun. '21</t>
  </si>
  <si>
    <t>Sep. '21</t>
  </si>
  <si>
    <t>Dec. '21</t>
  </si>
  <si>
    <t>= year ending 31 March '22.</t>
  </si>
  <si>
    <t>Jun. '20</t>
  </si>
  <si>
    <t>Sep. '20</t>
  </si>
  <si>
    <t>Dec. '20</t>
  </si>
  <si>
    <t>= year ending 31 March '21.</t>
  </si>
  <si>
    <t>Jun. '19</t>
  </si>
  <si>
    <t>Sep. '19</t>
  </si>
  <si>
    <t>Dec. '19</t>
  </si>
  <si>
    <t>= year ending 31 March '20.</t>
  </si>
  <si>
    <t>Jun. '18</t>
  </si>
  <si>
    <t>Sep. '18</t>
  </si>
  <si>
    <t>Dec. '18</t>
  </si>
  <si>
    <t>= year ending 31 March '19.</t>
  </si>
  <si>
    <t>1Q19</t>
  </si>
  <si>
    <t>2Q19</t>
  </si>
  <si>
    <t>3Q19</t>
  </si>
  <si>
    <t>4Q19</t>
  </si>
  <si>
    <t>FY19</t>
  </si>
  <si>
    <t>= year ending 31 March '18.</t>
  </si>
  <si>
    <t>Jun. '17</t>
  </si>
  <si>
    <t>Sep. '17</t>
  </si>
  <si>
    <t>Dec. '17</t>
  </si>
  <si>
    <t>1Q18</t>
  </si>
  <si>
    <t>2Q18</t>
  </si>
  <si>
    <t>3Q18</t>
  </si>
  <si>
    <t>4Q18</t>
  </si>
  <si>
    <t>FY18</t>
  </si>
  <si>
    <r>
      <t>SoftBank Vision Fund 1 capital structure</t>
    </r>
    <r>
      <rPr>
        <sz val="9"/>
        <color theme="1"/>
        <rFont val="Calibri"/>
        <family val="2"/>
        <scheme val="minor"/>
      </rPr>
      <t xml:space="preserve"> </t>
    </r>
    <r>
      <rPr>
        <sz val="9"/>
        <color rgb="FF0437FF"/>
        <rFont val="Calibri"/>
        <family val="2"/>
        <scheme val="minor"/>
      </rPr>
      <t>= based on FT disclosures</t>
    </r>
  </si>
  <si>
    <t>Third-party investors</t>
  </si>
  <si>
    <t>Total committed capital</t>
  </si>
  <si>
    <t>Third-party interests in SVF workings $m</t>
  </si>
  <si>
    <t>% Third-party investor capital = Preferred equity</t>
  </si>
  <si>
    <t>% Third-party investor capital = Ordinary equity</t>
  </si>
  <si>
    <t>Ordinary equity = SoftBank Group</t>
  </si>
  <si>
    <t>Ordinary equity = third-party investors</t>
  </si>
  <si>
    <t>SoftBank Vision Fund 1</t>
  </si>
  <si>
    <t>SoftBank Vision Fund 2</t>
  </si>
  <si>
    <r>
      <t xml:space="preserve">Third-party investors </t>
    </r>
    <r>
      <rPr>
        <sz val="9"/>
        <color rgb="FF0000FF"/>
        <rFont val="Calibri"/>
        <family val="2"/>
        <scheme val="minor"/>
      </rPr>
      <t>= MgmtCo i.e., Masayoshi Son</t>
    </r>
  </si>
  <si>
    <t>% SoftBank Group equity = Preferred equity</t>
  </si>
  <si>
    <t>% SoftBank Group equity = Ordinary equity</t>
  </si>
  <si>
    <t>SoftBank Group % share of ordinary equity</t>
  </si>
  <si>
    <t>Third-party investors % share of ordinary equity</t>
  </si>
  <si>
    <t>MgmtCo % share of ordinary equity</t>
  </si>
  <si>
    <t>Ordinary equity = MgmtCo</t>
  </si>
  <si>
    <r>
      <t xml:space="preserve">Preferred equity </t>
    </r>
    <r>
      <rPr>
        <sz val="9"/>
        <color rgb="FFFF0000"/>
        <rFont val="Calibri"/>
        <family val="2"/>
        <scheme val="minor"/>
      </rPr>
      <t>= third-party investors = 7% p.a. fixed return over 12yr fund lifetime</t>
    </r>
  </si>
  <si>
    <r>
      <t xml:space="preserve">Preferred equity = SoftBank Group </t>
    </r>
    <r>
      <rPr>
        <sz val="9"/>
        <color rgb="FF92D050"/>
        <rFont val="Calibri"/>
        <family val="2"/>
        <scheme val="minor"/>
      </rPr>
      <t>= 8% p.a. fixed return over "xx"yr fund lifetime</t>
    </r>
  </si>
  <si>
    <t>SoftBank LatAm Fund</t>
  </si>
  <si>
    <r>
      <t xml:space="preserve">Ordinary equity = SoftBank Group </t>
    </r>
    <r>
      <rPr>
        <u/>
        <sz val="9"/>
        <color theme="1"/>
        <rFont val="Calibri"/>
        <family val="2"/>
        <scheme val="minor"/>
      </rPr>
      <t>outside</t>
    </r>
    <r>
      <rPr>
        <sz val="9"/>
        <color theme="1"/>
        <rFont val="Calibri"/>
        <family val="2"/>
        <scheme val="minor"/>
      </rPr>
      <t xml:space="preserve"> scope of co-investment programme</t>
    </r>
  </si>
  <si>
    <t>SoftBank Group reportable segments</t>
  </si>
  <si>
    <t>Investment Business of Holding Companies</t>
  </si>
  <si>
    <t>SoftBank Vision Funds</t>
  </si>
  <si>
    <t>Other</t>
  </si>
  <si>
    <r>
      <t xml:space="preserve">Other </t>
    </r>
    <r>
      <rPr>
        <sz val="9"/>
        <color rgb="FF0000FF"/>
        <rFont val="Calibri"/>
        <family val="2"/>
        <scheme val="minor"/>
      </rPr>
      <t>= includes Fukuoka SoftBank HAWKS</t>
    </r>
  </si>
  <si>
    <t>1Q17</t>
  </si>
  <si>
    <t>2Q17</t>
  </si>
  <si>
    <t>3Q17</t>
  </si>
  <si>
    <t>4Q17</t>
  </si>
  <si>
    <t>FY17</t>
  </si>
  <si>
    <r>
      <t xml:space="preserve">Contributed capital </t>
    </r>
    <r>
      <rPr>
        <sz val="9"/>
        <color rgb="FF0000FF"/>
        <rFont val="Calibri"/>
        <family val="2"/>
        <scheme val="minor"/>
      </rPr>
      <t>= called down by SBIA</t>
    </r>
  </si>
  <si>
    <r>
      <t xml:space="preserve">Remaining committed capital </t>
    </r>
    <r>
      <rPr>
        <sz val="9"/>
        <color rgb="FFFF0000"/>
        <rFont val="Calibri"/>
        <family val="2"/>
        <scheme val="minor"/>
      </rPr>
      <t>= yet to be called down by SBIA</t>
    </r>
  </si>
  <si>
    <r>
      <t>SoftBank Vision Fund 1 Other reporting</t>
    </r>
    <r>
      <rPr>
        <sz val="9"/>
        <color theme="1"/>
        <rFont val="Calibri"/>
        <family val="2"/>
        <scheme val="minor"/>
      </rPr>
      <t xml:space="preserve"> </t>
    </r>
    <r>
      <rPr>
        <sz val="9"/>
        <color rgb="FF0000FF"/>
        <rFont val="Calibri"/>
        <family val="2"/>
        <scheme val="minor"/>
      </rPr>
      <t>= taken from Financial Reports: $m</t>
    </r>
  </si>
  <si>
    <t>Total committed capital $m</t>
  </si>
  <si>
    <t>yoy change $m</t>
  </si>
  <si>
    <t>= SVF1 launched during 1Q17.</t>
  </si>
  <si>
    <t>BoP third-party interests</t>
  </si>
  <si>
    <r>
      <t xml:space="preserve">Contributions from third-party investors </t>
    </r>
    <r>
      <rPr>
        <sz val="9"/>
        <color rgb="FF0000FF"/>
        <rFont val="Calibri"/>
        <family val="2"/>
        <scheme val="minor"/>
      </rPr>
      <t>= capital called down</t>
    </r>
  </si>
  <si>
    <t>Changes in third-party interests</t>
  </si>
  <si>
    <r>
      <t xml:space="preserve">of which Attributable to investors entitled to fixed distribution </t>
    </r>
    <r>
      <rPr>
        <sz val="9"/>
        <color rgb="FF0000FF"/>
        <rFont val="Calibri"/>
        <family val="2"/>
        <scheme val="minor"/>
      </rPr>
      <t>= Preferred equity investors</t>
    </r>
  </si>
  <si>
    <r>
      <t xml:space="preserve">of which Attributable to investors entitled to performance-based distribution </t>
    </r>
    <r>
      <rPr>
        <sz val="9"/>
        <color rgb="FF0000FF"/>
        <rFont val="Calibri"/>
        <family val="2"/>
        <scheme val="minor"/>
      </rPr>
      <t>= Ordinary equity investors</t>
    </r>
  </si>
  <si>
    <t>Distributions to third-party investors</t>
  </si>
  <si>
    <t>of which Fixed distributions</t>
  </si>
  <si>
    <t>of which Performance-based distributions</t>
  </si>
  <si>
    <t>Exchange differences on translating third-party interests</t>
  </si>
  <si>
    <t>EoP third-party interests</t>
  </si>
  <si>
    <t>% SoftBank Group</t>
  </si>
  <si>
    <t>% third-party investors</t>
  </si>
  <si>
    <t>SVF1 Preferred equity</t>
  </si>
  <si>
    <t>BoP Preferred equity balance</t>
  </si>
  <si>
    <t>Add: additional called-down capital</t>
  </si>
  <si>
    <t>Less: Fixed distributions</t>
  </si>
  <si>
    <t>Less: Preferred equity share of Repayment to third-party investors</t>
  </si>
  <si>
    <t>Management &amp; performance fees: use Note 7 in FY18 Annual Report.</t>
  </si>
  <si>
    <t>% capital called-down</t>
  </si>
  <si>
    <t>% remaining committed capital</t>
  </si>
  <si>
    <t>= SVF1 "Investment period" ends on 12 Sep. '19 because accumulated investment account &gt;85% of total committed capital.</t>
  </si>
  <si>
    <t>$1.6bn DiDi sale from Delta Fund to SVF1 in 2Q19 = $1.6bn distributed to LPs and Delta Fund essentially wound up during FY19.</t>
  </si>
  <si>
    <r>
      <t xml:space="preserve">Repayment to third-party investors </t>
    </r>
    <r>
      <rPr>
        <sz val="9"/>
        <color rgb="FFFF0000"/>
        <rFont val="Calibri"/>
        <family val="2"/>
        <scheme val="minor"/>
      </rPr>
      <t>= from FY19 "Distribution/Repayment" combined</t>
    </r>
  </si>
  <si>
    <t>= Performance fees to SBIA can be paid out from 3Q19 because the SVF1 "Investment period" has ended.</t>
  </si>
  <si>
    <r>
      <t xml:space="preserve">Add: 7% p.a. of BoP balance </t>
    </r>
    <r>
      <rPr>
        <sz val="9"/>
        <color rgb="FF0000FF"/>
        <rFont val="Calibri"/>
        <family val="2"/>
        <scheme val="minor"/>
      </rPr>
      <t>&amp; new called-down capital</t>
    </r>
  </si>
  <si>
    <r>
      <t>Cash and cash equivalents breakdown $m</t>
    </r>
    <r>
      <rPr>
        <sz val="9"/>
        <color theme="1"/>
        <rFont val="Calibri"/>
        <family val="2"/>
        <scheme val="minor"/>
      </rPr>
      <t xml:space="preserve"> </t>
    </r>
    <r>
      <rPr>
        <sz val="9"/>
        <color rgb="FF0000FF"/>
        <rFont val="Calibri"/>
        <family val="2"/>
        <scheme val="minor"/>
      </rPr>
      <t>= consolidated Cash and cash equivalents</t>
    </r>
  </si>
  <si>
    <r>
      <t xml:space="preserve">Share price </t>
    </r>
    <r>
      <rPr>
        <sz val="9"/>
        <color theme="1"/>
        <rFont val="Calibri"/>
        <family val="2"/>
      </rPr>
      <t>¥</t>
    </r>
  </si>
  <si>
    <t>Shares outstanding (m)</t>
  </si>
  <si>
    <r>
      <t xml:space="preserve">Market cap. </t>
    </r>
    <r>
      <rPr>
        <sz val="9"/>
        <color theme="1"/>
        <rFont val="Calibri"/>
        <family val="2"/>
      </rPr>
      <t>¥</t>
    </r>
    <r>
      <rPr>
        <sz val="9"/>
        <color theme="1"/>
        <rFont val="Calibri"/>
        <family val="2"/>
        <scheme val="minor"/>
      </rPr>
      <t>bn</t>
    </r>
  </si>
  <si>
    <t>Market cap. $m</t>
  </si>
  <si>
    <t>¥m</t>
  </si>
  <si>
    <t>$m</t>
  </si>
  <si>
    <r>
      <t xml:space="preserve">Interest-bearing debt </t>
    </r>
    <r>
      <rPr>
        <u/>
        <sz val="9"/>
        <color theme="1"/>
        <rFont val="Calibri"/>
        <family val="2"/>
      </rPr>
      <t>¥</t>
    </r>
    <r>
      <rPr>
        <u/>
        <sz val="9"/>
        <color theme="1"/>
        <rFont val="Calibri"/>
        <family val="2"/>
        <scheme val="minor"/>
      </rPr>
      <t>m</t>
    </r>
  </si>
  <si>
    <t>Commercial paper</t>
  </si>
  <si>
    <t>year-to-date Segment income (income before income tax)</t>
  </si>
  <si>
    <t>year-to-date check</t>
  </si>
  <si>
    <t>Financial results P&amp;L ¥m</t>
  </si>
  <si>
    <t>Consolidated results P&amp;L ¥m</t>
  </si>
  <si>
    <t>Financial results Balance sheet ¥m</t>
  </si>
  <si>
    <r>
      <t xml:space="preserve">P&amp;L </t>
    </r>
    <r>
      <rPr>
        <sz val="9"/>
        <color rgb="FFFF0000"/>
        <rFont val="Calibri"/>
        <family val="2"/>
      </rPr>
      <t>¥m results taken from Consolidated financial reports.</t>
    </r>
  </si>
  <si>
    <r>
      <t xml:space="preserve">P&amp;L </t>
    </r>
    <r>
      <rPr>
        <sz val="9"/>
        <color rgb="FFFF0000"/>
        <rFont val="Calibri"/>
        <family val="2"/>
      </rPr>
      <t>¥m results taken from Earnings Investor Briefing (= longer version Presentation material).</t>
    </r>
  </si>
  <si>
    <t>Financial results Cashflow statement ¥m</t>
  </si>
  <si>
    <r>
      <t xml:space="preserve">Segment operating income </t>
    </r>
    <r>
      <rPr>
        <sz val="9"/>
        <color rgb="FFFF0000"/>
        <rFont val="Calibri"/>
        <family val="2"/>
        <scheme val="minor"/>
      </rPr>
      <t>= before Change in third-party interests in SVF</t>
    </r>
  </si>
  <si>
    <t>$6bn increase in Total committed capital = Delta Fund: $4.4bn SBG + $1.6bn Mubadala Investment Company.</t>
  </si>
  <si>
    <t>Use Consolidated Statement of Income and Comprehensive Income in quarterly Consolidated financial report.</t>
  </si>
  <si>
    <t>+ve figure for Gain (loss) on SVF's investments in shares of the Company's subsidiaries = gain in fair value of those (e.g., ARM) shares: this gain is eliminated upon consolidation as full Balance sheet of subsidiary is consolidated.</t>
  </si>
  <si>
    <t>Investments from SVF accounted for using FVTPL</t>
  </si>
  <si>
    <t>SVF Non-current asset figure excludes any Group-consolidated subsidiaries (e.g., ARM) also held by SVF.</t>
  </si>
  <si>
    <t>Less: Third-party interests in SVF</t>
  </si>
  <si>
    <t>Fair value of SBG's equity across SVF segment (net)</t>
  </si>
  <si>
    <t>Fair value of SBG's equity across SVF segment (net) excludes any Group-consolidated subsidiaries (e.g., ARM) also held by SVF.</t>
  </si>
  <si>
    <t>SBG's implied % of SVF total equity (including Third-party preferred equity)</t>
  </si>
  <si>
    <t>Cashflows from investing activities:</t>
  </si>
  <si>
    <t>Payments for acquisition of investments by SVF</t>
  </si>
  <si>
    <t>Cashflows from financing activities:</t>
  </si>
  <si>
    <t>Contributions into SVF from third-party investors</t>
  </si>
  <si>
    <t>Financial results Balance sheet $m</t>
  </si>
  <si>
    <t>vs. Contributed capital</t>
  </si>
  <si>
    <t>% of Contributed capital</t>
  </si>
  <si>
    <t>SVF model feeds directly off this figure: see comment for explanation.</t>
  </si>
  <si>
    <t>First $m disclosures on pg.114 FY18 or "2019 Annual Report".</t>
  </si>
  <si>
    <r>
      <t xml:space="preserve">EoP JPY/USD </t>
    </r>
    <r>
      <rPr>
        <sz val="9"/>
        <color rgb="FF0000FF"/>
        <rFont val="Calibri"/>
        <family val="2"/>
        <scheme val="minor"/>
      </rPr>
      <t>= used for Financial statement translation</t>
    </r>
  </si>
  <si>
    <t>Distributions to/redemptions from SVF to third-party investors</t>
  </si>
  <si>
    <t>Financial results Cashflow statement $m</t>
  </si>
  <si>
    <t>Preferred equity annualised return</t>
  </si>
  <si>
    <t>Preferred equity quarterly return</t>
  </si>
  <si>
    <t>Third-party interests in SVF workings ¥m</t>
  </si>
  <si>
    <t>Preferred equity semi-annualised return</t>
  </si>
  <si>
    <t>= Preferred equity coupons paid semi-annually in June and December per discussions with IR.</t>
  </si>
  <si>
    <r>
      <t xml:space="preserve">Changes in third-party interests </t>
    </r>
    <r>
      <rPr>
        <sz val="9"/>
        <color rgb="FF0000FF"/>
        <rFont val="Calibri"/>
        <family val="2"/>
        <scheme val="minor"/>
      </rPr>
      <t>= Income statement figure (i.e., ex. capital called down)</t>
    </r>
  </si>
  <si>
    <r>
      <t xml:space="preserve">Distributions to third-party investors </t>
    </r>
    <r>
      <rPr>
        <sz val="9"/>
        <color rgb="FF0000FF"/>
        <rFont val="Calibri"/>
        <family val="2"/>
        <scheme val="minor"/>
      </rPr>
      <t>= Cashflow statement figure (i.e., but non-principal component)</t>
    </r>
  </si>
  <si>
    <t>delta</t>
  </si>
  <si>
    <t>EoP third-party interests (as reported in SBG Balance sheet)</t>
  </si>
  <si>
    <r>
      <t xml:space="preserve">EoP Preferred equity balance </t>
    </r>
    <r>
      <rPr>
        <sz val="9"/>
        <color rgb="FF0000FF"/>
        <rFont val="Calibri"/>
        <family val="2"/>
        <scheme val="minor"/>
      </rPr>
      <t>= Arete est.</t>
    </r>
  </si>
  <si>
    <t>SVF1 Third-party ordinary equity</t>
  </si>
  <si>
    <r>
      <t xml:space="preserve">Less: EoP Preferred equity balance </t>
    </r>
    <r>
      <rPr>
        <sz val="9"/>
        <color rgb="FF0000FF"/>
        <rFont val="Calibri"/>
        <family val="2"/>
        <scheme val="minor"/>
      </rPr>
      <t>= Arete est.</t>
    </r>
  </si>
  <si>
    <t>EoP Third-party ordinary equity balance</t>
  </si>
  <si>
    <t>% Third-party equity "preferred"</t>
  </si>
  <si>
    <t>% Third-party equity "ordinary"</t>
  </si>
  <si>
    <t>Reconciliation vs. SBG Balance sheet "net" SVF figure</t>
  </si>
  <si>
    <r>
      <t xml:space="preserve">Fair value of SBG's equity across SVF segment (net) </t>
    </r>
    <r>
      <rPr>
        <sz val="9"/>
        <color rgb="FF0000FF"/>
        <rFont val="Calibri"/>
        <family val="2"/>
        <scheme val="minor"/>
      </rPr>
      <t>= SBG ordinary equity in SVF</t>
    </r>
  </si>
  <si>
    <t>= Preferred equity fixed distribution model assumes capital called-down evenly throughout period i.e., take 7% p.a. rate on half of called-down amount in any one period.</t>
  </si>
  <si>
    <t>delta (e.g., Exchange differences on translation)</t>
  </si>
  <si>
    <t>= balance should be approximately 55% SBG vs. 45% Third-party ordinary equity.</t>
  </si>
  <si>
    <t>BoP Third-party ordinary equity</t>
  </si>
  <si>
    <t>Add: Ordinary equity contributions from third-party investors</t>
  </si>
  <si>
    <t>Add/(Less): Ordinary equity return component</t>
  </si>
  <si>
    <t>= Ordinary equity return component assumes capital called-down evenly throughout period i.e., use half of Ordinary equity contributions from period in calculation.</t>
  </si>
  <si>
    <t>Less: Performance-based distributions</t>
  </si>
  <si>
    <t>Ordinary equity annualised hurdle rate/high watermark return</t>
  </si>
  <si>
    <t>Ordinary equity semi-annualised hurdle rate/high watermark return</t>
  </si>
  <si>
    <t>Ordinary equity quarterly hurdle rate/high watermark return</t>
  </si>
  <si>
    <t>Less: Ordinary equity share of Repayment to third-party investors</t>
  </si>
  <si>
    <r>
      <t>Ordinary equity hurdle rate/high watermark estimates</t>
    </r>
    <r>
      <rPr>
        <sz val="9"/>
        <color theme="1"/>
        <rFont val="Calibri"/>
        <family val="2"/>
        <scheme val="minor"/>
      </rPr>
      <t xml:space="preserve"> </t>
    </r>
    <r>
      <rPr>
        <sz val="9"/>
        <color rgb="FF0000FF"/>
        <rFont val="Calibri"/>
        <family val="2"/>
        <scheme val="minor"/>
      </rPr>
      <t>= uses Third-party ordinary equity balance &amp; scales up for SBG equity contributions</t>
    </r>
  </si>
  <si>
    <t>SVF1 Investment status summary</t>
  </si>
  <si>
    <t>Acquisition cost $m</t>
  </si>
  <si>
    <t>Fair value $m</t>
  </si>
  <si>
    <t>% total return</t>
  </si>
  <si>
    <t>Period since SVF1 inception</t>
  </si>
  <si>
    <t>% CAGR since inception</t>
  </si>
  <si>
    <t>% return during period</t>
  </si>
  <si>
    <t>= uses simple time-weighted rate of return method i.e., not perfect methodology!</t>
  </si>
  <si>
    <t>SVF1 "index"</t>
  </si>
  <si>
    <t>% yoy return</t>
  </si>
  <si>
    <r>
      <t xml:space="preserve">Add: SBG contributed capital </t>
    </r>
    <r>
      <rPr>
        <sz val="9"/>
        <color rgb="FF0000FF"/>
        <rFont val="Calibri"/>
        <family val="2"/>
        <scheme val="minor"/>
      </rPr>
      <t>= Ordinary equity</t>
    </r>
  </si>
  <si>
    <t>Add: Third-party investor Ordinary equity contributed capital</t>
  </si>
  <si>
    <t>EoP Ordinary equity contributed capital</t>
  </si>
  <si>
    <t>BoP Ordinary equity contributed capital</t>
  </si>
  <si>
    <t>BoP Ordinary equity hurdle rate/high watermark</t>
  </si>
  <si>
    <t>Add: 8% p.a. return on BoP hurdle rate/high watermark</t>
  </si>
  <si>
    <t>= Preferred equity share of Repayment to third-party investors modelled off previous EoP equity balance.</t>
  </si>
  <si>
    <t>= Ordinary equity share of Repayment to third-party investors modelled off previous EoP equity balance.</t>
  </si>
  <si>
    <t>EoP Ordinary equity hurdle rate/high watermark</t>
  </si>
  <si>
    <r>
      <t xml:space="preserve">Total SVF1 Ordinary equity </t>
    </r>
    <r>
      <rPr>
        <sz val="9"/>
        <color rgb="FF0000FF"/>
        <rFont val="Calibri"/>
        <family val="2"/>
        <scheme val="minor"/>
      </rPr>
      <t>= SBG + Third-party investors</t>
    </r>
  </si>
  <si>
    <r>
      <t xml:space="preserve">Total SVF1 Fair value </t>
    </r>
    <r>
      <rPr>
        <sz val="9"/>
        <color rgb="FF0000FF"/>
        <rFont val="Calibri"/>
        <family val="2"/>
        <scheme val="minor"/>
      </rPr>
      <t>= from SBG Balance sheet figures</t>
    </r>
  </si>
  <si>
    <r>
      <t xml:space="preserve">vs. SVF1 Fair value </t>
    </r>
    <r>
      <rPr>
        <sz val="9"/>
        <color rgb="FFFF0000"/>
        <rFont val="Calibri"/>
        <family val="2"/>
        <scheme val="minor"/>
      </rPr>
      <t>= as reported in Consolidated Financial Reports</t>
    </r>
  </si>
  <si>
    <t>SoftBank Group % share of Ordinary equity contributed</t>
  </si>
  <si>
    <t>Third-party investors % share of Ordinary equity contributed</t>
  </si>
  <si>
    <t>SBG ordinary equity contributed</t>
  </si>
  <si>
    <t>Third-party investors ordinary equity contributed</t>
  </si>
  <si>
    <t>Add: ordinary equity contributed during period</t>
  </si>
  <si>
    <r>
      <t xml:space="preserve">vs. Fair value of Third-party investor Ordinary equity </t>
    </r>
    <r>
      <rPr>
        <sz val="9"/>
        <color rgb="FF0000FF"/>
        <rFont val="Calibri"/>
        <family val="2"/>
        <scheme val="minor"/>
      </rPr>
      <t>= Arete est.</t>
    </r>
  </si>
  <si>
    <r>
      <t xml:space="preserve">EoP Third-party ordinary equity balance </t>
    </r>
    <r>
      <rPr>
        <sz val="9"/>
        <color rgb="FF0000FF"/>
        <rFont val="Calibri"/>
        <family val="2"/>
        <scheme val="minor"/>
      </rPr>
      <t>= Arete est.</t>
    </r>
  </si>
  <si>
    <r>
      <t xml:space="preserve">Add: SVF1 Preferred equity </t>
    </r>
    <r>
      <rPr>
        <sz val="9"/>
        <color rgb="FF0000FF"/>
        <rFont val="Calibri"/>
        <family val="2"/>
        <scheme val="minor"/>
      </rPr>
      <t>= Arete est.</t>
    </r>
  </si>
  <si>
    <t>delta = up to 24.99% SVF holding in ARM (i.e., fully-consolidated in SBG balance sheet)</t>
  </si>
  <si>
    <t>Back of envelope ARM workings = up to $8.2bn/24.99% of ARM equity to be contributed to SVF1.</t>
  </si>
  <si>
    <t>SVF ARM % holding at EoP</t>
  </si>
  <si>
    <t>= est. value of SVF1 ARM holding based off $8.2bn total contribution</t>
  </si>
  <si>
    <r>
      <t xml:space="preserve">EoP Ordinary equity hurdle rate/high watermark vs. SVF1 Ordinary equity </t>
    </r>
    <r>
      <rPr>
        <sz val="9"/>
        <color rgb="FF0000FF"/>
        <rFont val="Calibri"/>
        <family val="2"/>
        <scheme val="minor"/>
      </rPr>
      <t>= SBG + Third-party investors</t>
    </r>
  </si>
  <si>
    <r>
      <t xml:space="preserve">Less: Ordinary equity Performance-based distributions (e.g., dividends) </t>
    </r>
    <r>
      <rPr>
        <sz val="9"/>
        <color rgb="FFFF0000"/>
        <rFont val="Calibri"/>
        <family val="2"/>
        <scheme val="minor"/>
      </rPr>
      <t>= scaled to high watermark</t>
    </r>
    <r>
      <rPr>
        <sz val="9"/>
        <color theme="1"/>
        <rFont val="Calibri"/>
        <family val="2"/>
        <scheme val="minor"/>
      </rPr>
      <t xml:space="preserve"> </t>
    </r>
    <r>
      <rPr>
        <sz val="9"/>
        <color rgb="FF0000FF"/>
        <rFont val="Calibri"/>
        <family val="2"/>
        <scheme val="minor"/>
      </rPr>
      <t>+ SBG equity</t>
    </r>
  </si>
  <si>
    <r>
      <t xml:space="preserve">Less: Ordinary equity share of Repayments to third-party investors </t>
    </r>
    <r>
      <rPr>
        <sz val="9"/>
        <color rgb="FFFF0000"/>
        <rFont val="Calibri"/>
        <family val="2"/>
        <scheme val="minor"/>
      </rPr>
      <t>= scaled to high watermark</t>
    </r>
    <r>
      <rPr>
        <sz val="9"/>
        <color theme="1"/>
        <rFont val="Calibri"/>
        <family val="2"/>
        <scheme val="minor"/>
      </rPr>
      <t xml:space="preserve"> </t>
    </r>
    <r>
      <rPr>
        <sz val="9"/>
        <color rgb="FF0000FF"/>
        <rFont val="Calibri"/>
        <family val="2"/>
        <scheme val="minor"/>
      </rPr>
      <t>+ SBG equity</t>
    </r>
  </si>
  <si>
    <t>SVF1 Ordinary equity vs. hurdle rate/high watermark</t>
  </si>
  <si>
    <t>= greater than 1 means SVF mgmt is "beating" the high watermark &amp; eligible for 20% bonus performance fee.</t>
  </si>
  <si>
    <r>
      <t xml:space="preserve">Fair value of SBG's equity across SVF segment (net) </t>
    </r>
    <r>
      <rPr>
        <sz val="9"/>
        <color rgb="FF0000FF"/>
        <rFont val="Calibri"/>
        <family val="2"/>
        <scheme val="minor"/>
      </rPr>
      <t>= SBG ordinary equity in SVF taken from Balance sheet</t>
    </r>
  </si>
  <si>
    <t>SVF segment includes SBIA (i.e., fully-consolidated &amp; manages the SVFs) so Operating income is "gross" of Management/Performance fees = below the line "Change in third-party interests in SVF" is then "net" of Management/Performance fees attributed to third-party equity stakes.</t>
  </si>
  <si>
    <t>EoP Ordinary equity hurdle rate/high watermark adjusted for Performance fees paid</t>
  </si>
  <si>
    <r>
      <t xml:space="preserve">Adjustment for: Performance fees paid </t>
    </r>
    <r>
      <rPr>
        <sz val="9"/>
        <color rgb="FFFF0000"/>
        <rFont val="Calibri"/>
        <family val="2"/>
        <scheme val="minor"/>
      </rPr>
      <t>= see comment for why this adjustment is needed!</t>
    </r>
  </si>
  <si>
    <r>
      <t xml:space="preserve">Add: 8% p.a. return on "within period" contributed capital </t>
    </r>
    <r>
      <rPr>
        <sz val="9"/>
        <color rgb="FFFF0000"/>
        <rFont val="Calibri"/>
        <family val="2"/>
        <scheme val="minor"/>
      </rPr>
      <t>= assumes capital called-down evenly during period</t>
    </r>
  </si>
  <si>
    <t>Acquisition cost &amp; Fair value figures include "bridge investments" where SBG holds investment to be transferred to SVF1: transfer has been agreed upon.</t>
  </si>
  <si>
    <t>Add: $bn value of SVF ARM holding</t>
  </si>
  <si>
    <t>Total SVF investments including up to 24.99% ARM holding</t>
  </si>
  <si>
    <t>= seems like a restatement from end FY17 Balance sheet figure.</t>
  </si>
  <si>
    <t>= when breakdown of Changes in third-party interests not available in SBG reporting:</t>
  </si>
  <si>
    <t>use 7% p.a. Preferred equity formula in yellow/blue.</t>
  </si>
  <si>
    <t>reconcile with Third-party interests working below</t>
  </si>
  <si>
    <t>= check</t>
  </si>
  <si>
    <t>Preferred equity share of Exchange differences</t>
  </si>
  <si>
    <t>vs. theoretical high watermark index</t>
  </si>
  <si>
    <t>Arete SVF1 Ordinary equity "index"</t>
  </si>
  <si>
    <t>EoP total Ordinary equity</t>
  </si>
  <si>
    <t>Return component</t>
  </si>
  <si>
    <t>of which SBG ordinary equity</t>
  </si>
  <si>
    <t>of which Third-party ordinary equity</t>
  </si>
  <si>
    <t>= assumes Distributions &amp; Repayments made evenly throughout financial Q.</t>
  </si>
  <si>
    <t>Alternative SVF1 Ordinary equity vs. hurdle rate/high watermark</t>
  </si>
  <si>
    <r>
      <t>Leveraged return calculations</t>
    </r>
    <r>
      <rPr>
        <sz val="9"/>
        <color rgb="FF0000FF"/>
        <rFont val="Calibri"/>
        <family val="2"/>
        <scheme val="minor"/>
      </rPr>
      <t xml:space="preserve"> = Ordinary equity levered return</t>
    </r>
  </si>
  <si>
    <r>
      <t xml:space="preserve">Equity </t>
    </r>
    <r>
      <rPr>
        <sz val="9"/>
        <color rgb="FF0000FF"/>
        <rFont val="Calibri"/>
        <family val="2"/>
        <scheme val="minor"/>
      </rPr>
      <t>= SBG + Third-party Ordinary equity</t>
    </r>
  </si>
  <si>
    <t>Return on assets during period</t>
  </si>
  <si>
    <r>
      <t xml:space="preserve">Return on equity = </t>
    </r>
    <r>
      <rPr>
        <sz val="9"/>
        <color rgb="FF0000FF"/>
        <rFont val="Calibri"/>
        <family val="2"/>
        <scheme val="minor"/>
      </rPr>
      <t>return on assets x assets/equity</t>
    </r>
  </si>
  <si>
    <r>
      <t xml:space="preserve">Financial leverage </t>
    </r>
    <r>
      <rPr>
        <sz val="9"/>
        <color rgb="FF0000FF"/>
        <rFont val="Calibri"/>
        <family val="2"/>
        <scheme val="minor"/>
      </rPr>
      <t>= assets/equity</t>
    </r>
  </si>
  <si>
    <r>
      <t xml:space="preserve">Less: cost of financing </t>
    </r>
    <r>
      <rPr>
        <sz val="9"/>
        <color rgb="FFFF0000"/>
        <rFont val="Calibri"/>
        <family val="2"/>
        <scheme val="minor"/>
      </rPr>
      <t>= 7% p.a. x % liabilities</t>
    </r>
  </si>
  <si>
    <t>Levered equity return</t>
  </si>
  <si>
    <t>SVF1 levered equity "index"</t>
  </si>
  <si>
    <t>= from 4Q17 small portion of Third-party interests in SVF included in Current liabilities.</t>
  </si>
  <si>
    <t>Non-recallable contributions</t>
  </si>
  <si>
    <t>= change of formula to incorporate "Non-recallable contributions" following sale of Flipkart shares.</t>
  </si>
  <si>
    <t>= now includes SBG share of "Non-recallable contributions".</t>
  </si>
  <si>
    <t>= balance should be approximately 55% SBG vs. 45% Third-party ordinary equity although note this excludes 24.99% ARM holding.</t>
  </si>
  <si>
    <t>= suspect disparity relates to timing of disposal of Flipkart shares: rectifies in following Q i.e., 2Q18.</t>
  </si>
  <si>
    <t>= $4bn Flipkart share sale to Walmart in Sep. '18.</t>
  </si>
  <si>
    <t>= SBG increased committed capital by $5bn for SVF "incentive scheme".</t>
  </si>
  <si>
    <t>= now includes Third-party share of "Non-recallable contributions".</t>
  </si>
  <si>
    <t>Acquisition cost &amp; Fair value figures exclude exited investments.</t>
  </si>
  <si>
    <t>Proceeds from sales of investments by SVF</t>
  </si>
  <si>
    <t>= Performance fees accrued on $4bn sale of Flipkart shares to Walmart.</t>
  </si>
  <si>
    <t>= suspect more timing issues on in-kind contributions from SBG to SVF.</t>
  </si>
  <si>
    <t>Finance cost (interest expenses)</t>
  </si>
  <si>
    <t>FX gain (loss)</t>
  </si>
  <si>
    <t>= disposal of NVIDIA shares in 4Q18.</t>
  </si>
  <si>
    <t>= careful as SBG reporting Contributed capital "grossed-up" again i.e., includes Non-recallable contributions.</t>
  </si>
  <si>
    <t>= Delta Fund no longer reported as it agreed sale of $5bn DiDi investment to SVF1 in 4Q18.</t>
  </si>
  <si>
    <t>Quarterly $m figures in FY18 do not reconcile perfectly with first reporting in 2019 Annual Report but very close!</t>
  </si>
  <si>
    <t>= figure does not reconcile exactly with $16.6bn BoP figure in 2019 Annual Report.</t>
  </si>
  <si>
    <t>= have scaled BoP Preferred equity balance to $16.6bn total Third-party equity figure in 2019 Annual Report i.e., first SBG $m disclosure.</t>
  </si>
  <si>
    <t>= have scaled to $16.6bn total Third-party equity figure in 2019 Annual Report i.e., first SBG $m disclosure.</t>
  </si>
  <si>
    <t>year-to-date Segment operating income</t>
  </si>
  <si>
    <t>= includes $3.5bn loss recorded on WeWork investment.</t>
  </si>
  <si>
    <t>= distributions to SVF investors largely financed via $4.1bn portfolio financing facility agreed in 1Q19.</t>
  </si>
  <si>
    <t>= now includes SBG's $3.5bn Delta Fund committed capital post-DiDi shares sale to SVF1: $1.6bn Third-party amount reverts to SVF committed capital.</t>
  </si>
  <si>
    <t>= $1.6bn Delta Fund Third-party committed capital reverts to SVF1.</t>
  </si>
  <si>
    <t>$4.1bn portfolio financing facility adjustment</t>
  </si>
  <si>
    <t>= Portfolio financing facility assumed interest rate</t>
  </si>
  <si>
    <r>
      <t xml:space="preserve">Liabilities </t>
    </r>
    <r>
      <rPr>
        <sz val="9"/>
        <color rgb="FFFF0000"/>
        <rFont val="Calibri"/>
        <family val="2"/>
        <scheme val="minor"/>
      </rPr>
      <t>= Third-party Preferred equity at 7% p.a. cost of debt</t>
    </r>
    <r>
      <rPr>
        <sz val="9"/>
        <color theme="1"/>
        <rFont val="Calibri"/>
        <family val="2"/>
        <scheme val="minor"/>
      </rPr>
      <t xml:space="preserve"> </t>
    </r>
    <r>
      <rPr>
        <sz val="9"/>
        <color rgb="FF0000FF"/>
        <rFont val="Calibri"/>
        <family val="2"/>
        <scheme val="minor"/>
      </rPr>
      <t>+ Portfolio financing facility</t>
    </r>
  </si>
  <si>
    <t>of which Third-party Preferred equity investors</t>
  </si>
  <si>
    <t>of which $4.1bn Portfolio financing facility</t>
  </si>
  <si>
    <t>Finance cost (interest expenses) ¥m</t>
  </si>
  <si>
    <t>Finance cost (interest expenses) $m</t>
  </si>
  <si>
    <t>Arete est. % cost of debt on SVF financing facilities</t>
  </si>
  <si>
    <t>= new Arete est. formula as from 3Q19 SBG no longer separates Distributions/Repayments in Third-party reporting.</t>
  </si>
  <si>
    <t>Ctrl+F "(Reference) Interest-bearing debt" and use SVF segment net debt: do not count SBIA lease liabilities.</t>
  </si>
  <si>
    <t>Performance fees paid to SBIA during period ¥m</t>
  </si>
  <si>
    <t>Performance fees paid to SBIA during period $m</t>
  </si>
  <si>
    <t>Performance fees due and unpaid ¥m</t>
  </si>
  <si>
    <t>Performance fees due and unpaid $m</t>
  </si>
  <si>
    <t>Ctrl+F "Performance fees" in Consolidated Financial Reports.</t>
  </si>
  <si>
    <t>= SBG US$ figure is Distributions + Repayments i.e., when reconciling use shaded area!</t>
  </si>
  <si>
    <t>= amended FY19 formula.</t>
  </si>
  <si>
    <t>= possible that ARM investment written-down or potentially timing issue?</t>
  </si>
  <si>
    <r>
      <t>SVF1 P&amp;L reporting</t>
    </r>
    <r>
      <rPr>
        <sz val="9"/>
        <color rgb="FF0000FF"/>
        <rFont val="Calibri"/>
        <family val="2"/>
        <scheme val="minor"/>
      </rPr>
      <t xml:space="preserve"> = taken from quarterly SVF1 updates beginning 1Q19</t>
    </r>
  </si>
  <si>
    <r>
      <t xml:space="preserve">Arete est. Fund net profit </t>
    </r>
    <r>
      <rPr>
        <sz val="9"/>
        <color rgb="FF0000FF"/>
        <rFont val="Calibri"/>
        <family val="2"/>
        <scheme val="minor"/>
      </rPr>
      <t>= before deducting Third-party interests</t>
    </r>
  </si>
  <si>
    <t>SBG reported SVF Fund net profit</t>
  </si>
  <si>
    <t>Less: change in third-party interests in SVF</t>
  </si>
  <si>
    <t>SBG LP income = SBG share of Fund net profit</t>
  </si>
  <si>
    <t>Add: SBG manager income = Management &amp; Performance fees</t>
  </si>
  <si>
    <t>Contribution to SBG net of Third-party interests</t>
  </si>
  <si>
    <t>Management fee ests.</t>
  </si>
  <si>
    <t>Contributed capital $m</t>
  </si>
  <si>
    <t>Average contributed capital during period $m</t>
  </si>
  <si>
    <t>Management fee p.a.</t>
  </si>
  <si>
    <t>= we assume Arete est. includes or "gross of" SBIA Management &amp; Performance fees.</t>
  </si>
  <si>
    <t>of which SBIA Management &amp; Performance fees</t>
  </si>
  <si>
    <r>
      <t xml:space="preserve">Arete est. Fund gross profit </t>
    </r>
    <r>
      <rPr>
        <sz val="9"/>
        <color rgb="FF0000FF"/>
        <rFont val="Calibri"/>
        <family val="2"/>
        <scheme val="minor"/>
      </rPr>
      <t>= before deducting Third-party interests</t>
    </r>
  </si>
  <si>
    <t>Average fair value during period $m</t>
  </si>
  <si>
    <t>implied Performance fees accrued during period $m</t>
  </si>
  <si>
    <t>year-to-date Contribution to SBG net of Third-party interests</t>
  </si>
  <si>
    <t>= from 3Q19 SVF update becomes SVF1 only i.e., Delta Fund closed in 2Q19 (DiDi holding bought by SVF1) so current &amp; historics only SVF1 from this point onwards.</t>
  </si>
  <si>
    <t>Cumulative performance</t>
  </si>
  <si>
    <t>Less: cumulative change in third-party interests in SVF</t>
  </si>
  <si>
    <t>SBG reported SVF Fund cumulative net profit</t>
  </si>
  <si>
    <t>SBG reported cumulative Contribution to SBG</t>
  </si>
  <si>
    <t>= based on SBG FY18 and FY19 Management &amp; Performance fees reporting to back into FY17 cumulative figure.</t>
  </si>
  <si>
    <t>= clearly ideal starting point should be "zero" but maths doesn't quite work!</t>
  </si>
  <si>
    <r>
      <t xml:space="preserve">Cumulative Performance fees accrued $m </t>
    </r>
    <r>
      <rPr>
        <sz val="9"/>
        <color rgb="FF0000FF"/>
        <rFont val="Calibri"/>
        <family val="2"/>
        <scheme val="minor"/>
      </rPr>
      <t>= Arete est.</t>
    </r>
  </si>
  <si>
    <r>
      <t xml:space="preserve">Cumulative Management fees accrued $m </t>
    </r>
    <r>
      <rPr>
        <sz val="9"/>
        <color rgb="FF0000FF"/>
        <rFont val="Calibri"/>
        <family val="2"/>
        <scheme val="minor"/>
      </rPr>
      <t>= Arete est.</t>
    </r>
  </si>
  <si>
    <t>= implies significant Management fee clawback due to SVF1 losses in FY19.</t>
  </si>
  <si>
    <t>= SBG seemed to restate FY19 quarterly figures in FY20 reporting.</t>
  </si>
  <si>
    <t>Cumulative investment cost $m</t>
  </si>
  <si>
    <r>
      <t xml:space="preserve">Cumulative investment return $m </t>
    </r>
    <r>
      <rPr>
        <sz val="9"/>
        <color rgb="FF0000FF"/>
        <rFont val="Calibri"/>
        <family val="2"/>
        <scheme val="minor"/>
      </rPr>
      <t>= unrealised SVF1 fair value plus distributions</t>
    </r>
  </si>
  <si>
    <t>of which Distributions</t>
  </si>
  <si>
    <t>Cumulative gain/loss on realised investments $m</t>
  </si>
  <si>
    <t>Cumulative gain/loss $m</t>
  </si>
  <si>
    <t>= FY19 and pre-FY19 figures taken from SV1 presentations.</t>
  </si>
  <si>
    <t>= thereafter figures taken from quarterly Consolidated Financial Reports.</t>
  </si>
  <si>
    <t>= have reset cumulative figures to SBG reporting from 1Q20 although delta only $80m prior to reset!</t>
  </si>
  <si>
    <t>= SBG no longer reporting $4.4bn Group committed capital to Delta Fund.</t>
  </si>
  <si>
    <r>
      <t xml:space="preserve">Repayment to third-party investors </t>
    </r>
    <r>
      <rPr>
        <sz val="9"/>
        <color rgb="FFFF0000"/>
        <rFont val="Calibri"/>
        <family val="2"/>
        <scheme val="minor"/>
      </rPr>
      <t>= from 3Q19 "Distribution/Repayment" combined</t>
    </r>
  </si>
  <si>
    <t>= formula reset as SBG no longer separates Distributions/Repayments in Third-party SVF reporting.</t>
  </si>
  <si>
    <t>= based off 7% p.a. Preferred equity coupons historic run-rate: mainly paid June/December per IR guidance.</t>
  </si>
  <si>
    <t>= for Ordinary equity simply combine Distributions/Repayments as economically identical!</t>
  </si>
  <si>
    <t>= formula change to account for removal of SBG's $4.4bn Delta Fund committed capital from reporting.</t>
  </si>
  <si>
    <t>= reported in quarterly SVF presentations from 1Q20 onwards.</t>
  </si>
  <si>
    <t>Third-party Preferred equity cumulative drawn capital</t>
  </si>
  <si>
    <t>Third-party Ordinary equity cumulative drawn capital</t>
  </si>
  <si>
    <t>= rounded to $10m</t>
  </si>
  <si>
    <t>vs. quarterly SVF presentation reporting</t>
  </si>
  <si>
    <t>= have retrospectively adjusted formula to correspond closer to quarterly SVF presentation reporting on "Drawn Capital" in 1Q20.</t>
  </si>
  <si>
    <t>= adjustment for $1.7bn non-recallable capital post-$4bn Flipkart sale to Walmart.</t>
  </si>
  <si>
    <t>Third-party Preferred equity cumulative coupons paid</t>
  </si>
  <si>
    <t>Third-party Preferred equity cumulative return of capital</t>
  </si>
  <si>
    <t>= excluded 39% Ordinary equity share of $1.6bn Third-party commitment to Delta Fund as SVF presentation reconciliation at 1Q20 is SVF1 only!</t>
  </si>
  <si>
    <t>= excluded 61% Preferred equity share of $1.6bn Third-party commitment to Delta Fund as SVF presentation reconciliation at 1Q20 is SVF1 only!</t>
  </si>
  <si>
    <t>= adapted formula to 50/50 Preferred equity/Ordinary equity contributions by Third-party investors.</t>
  </si>
  <si>
    <t>= have reset based on BoP total Third-party equity figure from 2019 Annual Report.</t>
  </si>
  <si>
    <t>= $8.2bn ARM shares contributed by SBG so assume these held within the Ordinary equity component of SVF1.</t>
  </si>
  <si>
    <t>= Preferred equity superior to Ordinary equity in capital structure i.e., can assume "Outstanding capital" is same as Fair value unless SVF1 total equity falls below outstanding Preferred equity capital.</t>
  </si>
  <si>
    <t>SBG reported SVF1 Preferred equity vs. Ordinary equity</t>
  </si>
  <si>
    <t>Arete est. SVF1 Third-party Preferred equity</t>
  </si>
  <si>
    <r>
      <t xml:space="preserve">SVF1 Third-party Preferred equity </t>
    </r>
    <r>
      <rPr>
        <sz val="9"/>
        <color rgb="FF0000FF"/>
        <rFont val="Calibri"/>
        <family val="2"/>
        <scheme val="minor"/>
      </rPr>
      <t>= SBG reported Third-party Preferred equity "Outstanding capital"</t>
    </r>
  </si>
  <si>
    <r>
      <t xml:space="preserve">SVF1 Ordinary equity </t>
    </r>
    <r>
      <rPr>
        <sz val="9"/>
        <color rgb="FF0000FF"/>
        <rFont val="Calibri"/>
        <family val="2"/>
        <scheme val="minor"/>
      </rPr>
      <t>= per SBG Balance sheet &amp; quarterly SVF presentations</t>
    </r>
  </si>
  <si>
    <r>
      <t xml:space="preserve">of which SBG Ordinary equity </t>
    </r>
    <r>
      <rPr>
        <sz val="9"/>
        <color rgb="FF0000FF"/>
        <rFont val="Calibri"/>
        <family val="2"/>
        <scheme val="minor"/>
      </rPr>
      <t>= taken directly from Balance sheet</t>
    </r>
    <r>
      <rPr>
        <sz val="9"/>
        <color theme="1"/>
        <rFont val="Calibri"/>
        <family val="2"/>
        <scheme val="minor"/>
      </rPr>
      <t xml:space="preserve"> </t>
    </r>
    <r>
      <rPr>
        <sz val="9"/>
        <color rgb="FFFF0000"/>
        <rFont val="Calibri"/>
        <family val="2"/>
        <scheme val="minor"/>
      </rPr>
      <t>+ ARM shares</t>
    </r>
  </si>
  <si>
    <r>
      <t xml:space="preserve">of which Third-party Ordinary equity </t>
    </r>
    <r>
      <rPr>
        <sz val="9"/>
        <color rgb="FFFF0000"/>
        <rFont val="Calibri"/>
        <family val="2"/>
        <scheme val="minor"/>
      </rPr>
      <t>= includes ARM shares</t>
    </r>
  </si>
  <si>
    <t>= need to be careful that $8.2bn ARM holding does not always look accurate e.g., around $6bn in highlighted years: check reconciliation with IR!</t>
  </si>
  <si>
    <t>= workings assume that $8.2bn SVF1 ARM holding is Ordinary equity only.</t>
  </si>
  <si>
    <r>
      <t xml:space="preserve">vs. Ordinary equity "Outstanding capital" </t>
    </r>
    <r>
      <rPr>
        <sz val="9"/>
        <color rgb="FF0000FF"/>
        <rFont val="Calibri"/>
        <family val="2"/>
        <scheme val="minor"/>
      </rPr>
      <t>= as reported in quarterly SVF presentations</t>
    </r>
  </si>
  <si>
    <t>% of Ordinary equity "Outstanding capital" covered by current Fair value of SVF1</t>
  </si>
  <si>
    <t>SoftBank Vision Fund 1 (cont'd)</t>
  </si>
  <si>
    <r>
      <t xml:space="preserve">SBG reported SBG Ordinary equity figure </t>
    </r>
    <r>
      <rPr>
        <sz val="9"/>
        <color rgb="FF0000FF"/>
        <rFont val="Calibri"/>
        <family val="2"/>
        <scheme val="minor"/>
      </rPr>
      <t>= per quarterly SVF presentations</t>
    </r>
  </si>
  <si>
    <t>= corresponds with $1.3bn/$2.1bn follow-on investments/sales of SVF1: no SVF2 cashflows in 1Q20.</t>
  </si>
  <si>
    <t>= Gain (loss) on investments at SVF/SBIA in Consolidated P&amp;L no longer includes SBIA SG&amp;A costs.</t>
  </si>
  <si>
    <t>= from 2Q20 SVF segment reporting includes SVF2: est. P&amp;L split-out below.</t>
  </si>
  <si>
    <t>= based on disclosures in quarterly Consolidated Financial Reports.</t>
  </si>
  <si>
    <t>Arete est. SVF1 vs. SVF2 P&amp;L split-out ¥m</t>
  </si>
  <si>
    <t>SVF1 ¥m</t>
  </si>
  <si>
    <t>Change in third-party interests in SVF1</t>
  </si>
  <si>
    <t>Change in third-party interests in SVF2</t>
  </si>
  <si>
    <t>SVF2 ¥m</t>
  </si>
  <si>
    <t>Reconciliation with P&amp;L</t>
  </si>
  <si>
    <r>
      <t xml:space="preserve">Unrealised gain (loss) on valuation of investments </t>
    </r>
    <r>
      <rPr>
        <sz val="9"/>
        <color rgb="FF0000FF"/>
        <rFont val="Calibri"/>
        <family val="2"/>
        <scheme val="minor"/>
      </rPr>
      <t>= Change in valuation for the fiscal year i.e., excludes Reclassifications</t>
    </r>
  </si>
  <si>
    <t>= no longer feasible to separate SVF1 vs. SVF2 "Fund net profit" from Consolidated P&amp;L.</t>
  </si>
  <si>
    <t>= SVF segment reporting now includes SVF2.</t>
  </si>
  <si>
    <r>
      <t>SoftBank Vision Fund 2 Other reporting</t>
    </r>
    <r>
      <rPr>
        <sz val="9"/>
        <color theme="1"/>
        <rFont val="Calibri"/>
        <family val="2"/>
        <scheme val="minor"/>
      </rPr>
      <t xml:space="preserve"> </t>
    </r>
    <r>
      <rPr>
        <sz val="9"/>
        <color rgb="FF0000FF"/>
        <rFont val="Calibri"/>
        <family val="2"/>
        <scheme val="minor"/>
      </rPr>
      <t>= taken from Financial Reports: $m</t>
    </r>
  </si>
  <si>
    <t>= SBG attributing all SVF debt to SVF1 in its Financial Reports.</t>
  </si>
  <si>
    <t>Arete est. SVF1 vs. SVF2 Balance sheet split-out $m</t>
  </si>
  <si>
    <t>= have amended formula to include SVF2 contributed capital.</t>
  </si>
  <si>
    <t>SVF1 $m</t>
  </si>
  <si>
    <t>SVF2 $m</t>
  </si>
  <si>
    <t>SVF2 Investment status summary</t>
  </si>
  <si>
    <t>SVF2 "index"</t>
  </si>
  <si>
    <t>Period since SVF2 inception</t>
  </si>
  <si>
    <t>Fair value</t>
  </si>
  <si>
    <t>Less: $8.2bn ARM shares fully-consolidated within Group</t>
  </si>
  <si>
    <t>Fair value reported within Investments from SVF accounted for using FVTPL</t>
  </si>
  <si>
    <t>Less: Third-Party interests in SVF1</t>
  </si>
  <si>
    <t>Adjustments</t>
  </si>
  <si>
    <t>Reconciliation with Balance sheet</t>
  </si>
  <si>
    <t>SVF2 Investments from SVF accounted for using FVTPL</t>
  </si>
  <si>
    <t>SBG total equity in SVF2</t>
  </si>
  <si>
    <r>
      <t xml:space="preserve">SBG total equity in SVF1 </t>
    </r>
    <r>
      <rPr>
        <sz val="9"/>
        <color rgb="FF0000FF"/>
        <rFont val="Calibri"/>
        <family val="2"/>
        <scheme val="minor"/>
      </rPr>
      <t>= excludes proportionate share of $8.2bn ARM holding</t>
    </r>
  </si>
  <si>
    <t>Less: Third-Party interests in SVF2</t>
  </si>
  <si>
    <t>Fair value of SBG's total equity in SVF2</t>
  </si>
  <si>
    <t>= entirety of gain comes from KE Holdings Inc IPO: $6.4bn fair value vs. $1.4bn investment cost.</t>
  </si>
  <si>
    <t>Arete est. SVF1 vs. SVF2 Cashflow statement split-out $m</t>
  </si>
  <si>
    <t>Reconciliation with Cashflow statement</t>
  </si>
  <si>
    <t>SVF1 Payments for acquisition of investments</t>
  </si>
  <si>
    <t>SVF2 Payments for acquisition of investments</t>
  </si>
  <si>
    <t>SVF1 Proceeds from sales of investments</t>
  </si>
  <si>
    <t>SVF2 Proceeds from sales of investments</t>
  </si>
  <si>
    <t>Payments for acquisition of investments by SVF1</t>
  </si>
  <si>
    <t>Proceeds from sales of investments by SVF1</t>
  </si>
  <si>
    <t>Payments for acquisition of investments by SVF2</t>
  </si>
  <si>
    <t>Proceeds from sales of investments by SVF2</t>
  </si>
  <si>
    <t>= SBG equity across SVF segment now includes SVF2 equity so this comparison now null &amp; void.</t>
  </si>
  <si>
    <t>= no third-party interests in SVF2 at this time.</t>
  </si>
  <si>
    <r>
      <t xml:space="preserve">SVF1 Investments from SVF accounted for using FVTPL </t>
    </r>
    <r>
      <rPr>
        <sz val="9"/>
        <color rgb="FF0000FF"/>
        <rFont val="Calibri"/>
        <family val="2"/>
        <scheme val="minor"/>
      </rPr>
      <t>= excludes proportionate share of $8.2bn ARM holding</t>
    </r>
  </si>
  <si>
    <t>= change of formula to separate SBG equity in SVF2.</t>
  </si>
  <si>
    <t>= SVF1 capital structure not reported so use Arete calcs.</t>
  </si>
  <si>
    <t>= only SBG an investor in SVF2 i.e., no third-party investors.</t>
  </si>
  <si>
    <t>= per 3Q20 Financial Report SVF2 launched October '19 i.e., begin SVF2 index at end 3Q19.</t>
  </si>
  <si>
    <t>= SBG did not report Fair value of SVF2 until 2Q20 so cannot compound returns until then.</t>
  </si>
  <si>
    <t>= entirety of gain at 2Q20 comes from KE Holdings Inc IPO which took place August '20, so assume 8% CAGR up to that point.</t>
  </si>
  <si>
    <t>= per 1Q20 SVF quarterly presentation.</t>
  </si>
  <si>
    <t>= delta likely the result of clawback of Management fees up to 2Q20 thereafter Performance fees accrued i.e., back above high watermark.</t>
  </si>
  <si>
    <t>= have changed assumption to 3% given implied lowered % cost of debt.</t>
  </si>
  <si>
    <t>= SBG calling out Coupang and DoorDash i.e., both IPO'd during FY20 plus Uber as key contributors to $52.2bn SVF1 "unrealised" gain in FY20.</t>
  </si>
  <si>
    <t>= likely timing issues associated with SVF1 Fund Level Facility or Portfolio Financing Facility or simply "cash" timing of investments.</t>
  </si>
  <si>
    <t>= likely timing of "cash" receipts for monetisations/investment exits.</t>
  </si>
  <si>
    <t>= $m BoP Third-party interests figure often restated.</t>
  </si>
  <si>
    <r>
      <t xml:space="preserve">delta </t>
    </r>
    <r>
      <rPr>
        <sz val="9"/>
        <color rgb="FFFF0000"/>
        <rFont val="Calibri"/>
        <family val="2"/>
        <scheme val="minor"/>
      </rPr>
      <t>= due to Arete modelling assumptions</t>
    </r>
  </si>
  <si>
    <r>
      <t xml:space="preserve">EoP Preferred equity balance = </t>
    </r>
    <r>
      <rPr>
        <sz val="9"/>
        <color rgb="FF0000FF"/>
        <rFont val="Calibri"/>
        <family val="2"/>
        <scheme val="minor"/>
      </rPr>
      <t>as reported in SBG Annual Report</t>
    </r>
  </si>
  <si>
    <t>= EoP Preferred equity formula set to SBG Annual Report footnote figure.</t>
  </si>
  <si>
    <t>= 1Q and FY BoP formula set to SBG prior year Annual Report Preferred equity figure.</t>
  </si>
  <si>
    <t>= Annual Report figure.</t>
  </si>
  <si>
    <t>= have reset formula to assume that 90% of all Third-party Repayments made to Preferred equity investors.</t>
  </si>
  <si>
    <t>= based on slide 26 of 4Q20 SVF presentation: $14bn of $15.5bn Return of Capital has been Preferred equity i.e., 90%.</t>
  </si>
  <si>
    <r>
      <t xml:space="preserve">Total Management fees &amp; Performance fees accrued </t>
    </r>
    <r>
      <rPr>
        <sz val="9"/>
        <color rgb="FF0000FF"/>
        <rFont val="Calibri"/>
        <family val="2"/>
        <scheme val="minor"/>
      </rPr>
      <t>= Arete est.</t>
    </r>
  </si>
  <si>
    <t>Accrued &amp; Paid Performance Fees (as reported by SBG)</t>
  </si>
  <si>
    <t>= see SVF quarterly update presentations.</t>
  </si>
  <si>
    <r>
      <t xml:space="preserve">Total Ordinary equity Drawn Capital </t>
    </r>
    <r>
      <rPr>
        <sz val="9"/>
        <color rgb="FF0000FF"/>
        <rFont val="Calibri"/>
        <family val="2"/>
        <scheme val="minor"/>
      </rPr>
      <t>= SBG + Third-party</t>
    </r>
  </si>
  <si>
    <r>
      <t xml:space="preserve">Less: Ordinary equity Returned Capital </t>
    </r>
    <r>
      <rPr>
        <sz val="9"/>
        <color rgb="FF0000FF"/>
        <rFont val="Calibri"/>
        <family val="2"/>
        <scheme val="minor"/>
      </rPr>
      <t>= SBG + Third-party</t>
    </r>
  </si>
  <si>
    <r>
      <t xml:space="preserve">Total Ordinary equity Outstanding Capital </t>
    </r>
    <r>
      <rPr>
        <sz val="9"/>
        <color rgb="FF0000FF"/>
        <rFont val="Calibri"/>
        <family val="2"/>
        <scheme val="minor"/>
      </rPr>
      <t>= SBG + Third-party</t>
    </r>
  </si>
  <si>
    <r>
      <t xml:space="preserve">Total Ordinary equity cumulative drawn capital </t>
    </r>
    <r>
      <rPr>
        <sz val="9"/>
        <color rgb="FF0000FF"/>
        <rFont val="Calibri"/>
        <family val="2"/>
        <scheme val="minor"/>
      </rPr>
      <t>= SBG + Third-party</t>
    </r>
  </si>
  <si>
    <t>= FY Preferred equity formula set to SBG Annual Report figures.</t>
  </si>
  <si>
    <t>= look for "Net Asset Value (Unrealised Value)" in SVF quarterly presentations and add accrued Performance fees!</t>
  </si>
  <si>
    <t>= updated formula includes Accrued &amp; Paid Performance Fees now SBG back above high watermark.</t>
  </si>
  <si>
    <r>
      <t>Distributions $m</t>
    </r>
    <r>
      <rPr>
        <sz val="9"/>
        <color rgb="FF0000FF"/>
        <rFont val="Calibri"/>
        <family val="2"/>
        <scheme val="minor"/>
      </rPr>
      <t xml:space="preserve"> = includes Derivatives settlement &amp; Dividend income</t>
    </r>
  </si>
  <si>
    <r>
      <t xml:space="preserve">MOIC </t>
    </r>
    <r>
      <rPr>
        <sz val="9"/>
        <color rgb="FF0000FF"/>
        <rFont val="Calibri"/>
        <family val="2"/>
        <scheme val="minor"/>
      </rPr>
      <t>= multiple on invested capital</t>
    </r>
  </si>
  <si>
    <r>
      <t xml:space="preserve">MOIC on exited investments </t>
    </r>
    <r>
      <rPr>
        <sz val="9"/>
        <color rgb="FF0000FF"/>
        <rFont val="Calibri"/>
        <family val="2"/>
        <scheme val="minor"/>
      </rPr>
      <t>= multiple on invested capital</t>
    </r>
  </si>
  <si>
    <t>% of SVF1 Fund net profit to SBG</t>
  </si>
  <si>
    <r>
      <t xml:space="preserve">% of SVF1 Fund net profit to SBG </t>
    </r>
    <r>
      <rPr>
        <sz val="9"/>
        <color rgb="FF0000FF"/>
        <rFont val="Calibri"/>
        <family val="2"/>
        <scheme val="minor"/>
      </rPr>
      <t>= cumulative</t>
    </r>
  </si>
  <si>
    <t>= note SVF2 is now also using leverage!</t>
  </si>
  <si>
    <t>= 1Q21 is the first quarter where SVF2 uses leverage.</t>
  </si>
  <si>
    <t>= have amended formula to allocate quarterly Finance cost proportionate to SVF1 vs. SVF2 reported debt.</t>
  </si>
  <si>
    <t>= quarterly Finance cost allocated proportionate to SVF1 vs. SVF2 reported debt.</t>
  </si>
  <si>
    <r>
      <t xml:space="preserve">Liabilities </t>
    </r>
    <r>
      <rPr>
        <sz val="9"/>
        <color rgb="FFFF0000"/>
        <rFont val="Calibri"/>
        <family val="2"/>
        <scheme val="minor"/>
      </rPr>
      <t>= $x.xbn Portfolio financing facility</t>
    </r>
  </si>
  <si>
    <t>= note $1.55bn of in-kind contributions &amp; SBG sales to SVF2 which would bypass FCF statement numbers.</t>
  </si>
  <si>
    <t>qoq change</t>
  </si>
  <si>
    <t>= new methodology for SVF1 Preferred equity: set US$m Repayment amount to qoq delta &amp; back into ¥m number.</t>
  </si>
  <si>
    <t>= sense check vs. US$m Preferred equity "additional called-down capital" figure.</t>
  </si>
  <si>
    <t>= reset percentage to 61%.</t>
  </si>
  <si>
    <r>
      <t xml:space="preserve">Equity </t>
    </r>
    <r>
      <rPr>
        <sz val="9"/>
        <color rgb="FF0000FF"/>
        <rFont val="Calibri"/>
        <family val="2"/>
        <scheme val="minor"/>
      </rPr>
      <t>= SBG</t>
    </r>
  </si>
  <si>
    <t>= set to unlevered index as SVF2 not using leverage at this point.</t>
  </si>
  <si>
    <t>= formula adjustment to deduct "Non-recallable contributions" no longer reported by SBG.</t>
  </si>
  <si>
    <t>= see pg.20 or pg.82-90 of 2Q21 Consolidated Financial Report for capital structure diagrams/explanation.</t>
  </si>
  <si>
    <t>= delta in SVF segment income vs. Consolidated P&amp;L SVF income is due to SVF1 holding of 24.99% ARM shares: any gain on ARM or distributions from ARM holdings eliminated on consolidation.</t>
  </si>
  <si>
    <t>= taken from "Changes in interests attributable to Third-Party Investors" in Consolidated Financial Report notes.</t>
  </si>
  <si>
    <t>= see Comment for important notes on methodology.</t>
  </si>
  <si>
    <r>
      <t xml:space="preserve">SVF1 Third-party interests </t>
    </r>
    <r>
      <rPr>
        <sz val="9"/>
        <color rgb="FF0000FF"/>
        <rFont val="Calibri"/>
        <family val="2"/>
        <scheme val="minor"/>
      </rPr>
      <t>= Preferred equity + Ordinary equity</t>
    </r>
  </si>
  <si>
    <r>
      <t xml:space="preserve">SVF2 Third-party interests </t>
    </r>
    <r>
      <rPr>
        <sz val="9"/>
        <color rgb="FF0000FF"/>
        <rFont val="Calibri"/>
        <family val="2"/>
        <scheme val="minor"/>
      </rPr>
      <t>= MgmtCo 17.25% SVF2 Ordinary equity (excluding standalone investments)</t>
    </r>
  </si>
  <si>
    <t>Total SVF Third-party interests</t>
  </si>
  <si>
    <r>
      <t xml:space="preserve">of which SVF1 </t>
    </r>
    <r>
      <rPr>
        <sz val="9"/>
        <color rgb="FF0000FF"/>
        <rFont val="Calibri"/>
        <family val="2"/>
        <scheme val="minor"/>
      </rPr>
      <t>= Preferred equity + Ordinary equity</t>
    </r>
  </si>
  <si>
    <r>
      <t xml:space="preserve">of which SVF2 </t>
    </r>
    <r>
      <rPr>
        <sz val="9"/>
        <color rgb="FF0000FF"/>
        <rFont val="Calibri"/>
        <family val="2"/>
        <scheme val="minor"/>
      </rPr>
      <t>= MgmtCo 17.25% SVF2 Ordinary equity (excluding standalone investments)</t>
    </r>
  </si>
  <si>
    <t>= change of formula as SVF1 and SVF2 Third-party interests must now be separated.</t>
  </si>
  <si>
    <t>= change of formula as SVF2 now has Third-party interests i.e., MgmtCo.</t>
  </si>
  <si>
    <t>= SBG still describing Cashflows from financing activities as only SVF1 line items: i.e., MgmtCo has not contributed any cash upfront?</t>
  </si>
  <si>
    <t>= from 2Q21 Third-party interests reconciliation is for SVF1 only: SVF1 and SVF2 reconciliations separated in the quarterly Consolidated Financial Report notes.</t>
  </si>
  <si>
    <t>= formula amended to SVF1 Third-party interests only.</t>
  </si>
  <si>
    <t>SVF2 levered equity "index"</t>
  </si>
  <si>
    <t>SVF2 impact on SBG net profits</t>
  </si>
  <si>
    <t>SBG Paid-In Capital $m</t>
  </si>
  <si>
    <r>
      <t xml:space="preserve">Net Asset Value $m </t>
    </r>
    <r>
      <rPr>
        <sz val="9"/>
        <color rgb="FF0000FF"/>
        <rFont val="Calibri"/>
        <family val="2"/>
        <scheme val="minor"/>
      </rPr>
      <t>= unrealised value</t>
    </r>
  </si>
  <si>
    <t>Add: Accrued Performance Fees $m</t>
  </si>
  <si>
    <t>implied SBG Preferred + Ordinary equity in SVF II</t>
  </si>
  <si>
    <t>Add: Distributions</t>
  </si>
  <si>
    <t>SBG Total Value</t>
  </si>
  <si>
    <t>Total Capital drawn-down $m</t>
  </si>
  <si>
    <t>implied MgmtCo Paid-In Capital $m</t>
  </si>
  <si>
    <t>= check Distributions figure with IR: does not match implied Distributions from sale of investments = see above, even if $1bn debt used directly for Distributions.</t>
  </si>
  <si>
    <t>= 1Q21 Distributions figure matches with $1.2bn implied exits = see above, plus assumption that $900m debt fully used for Distributions.</t>
  </si>
  <si>
    <t>= from 3Q19 WeWork designated an Equity Associate of SBG i.e., WeWork gains/losses at SVF eliminated upon consolidation: post-April '21 tender offer SBG owned &gt;50% but voting rights limited so remains an Associate.</t>
  </si>
  <si>
    <t>Capital structure of SVF2 LLC</t>
  </si>
  <si>
    <t>= see pg.20 of 2Q21 Consolidated Financial Report: SVF2 LLC is an 82.75% subsidiary of SVF II LP &amp; financed with Preferred equity, 82.75% SBG Ordinary equity plus 17.25% MgmtCo Ordinary equity.</t>
  </si>
  <si>
    <r>
      <t xml:space="preserve">Total committed capital </t>
    </r>
    <r>
      <rPr>
        <sz val="9"/>
        <color rgb="FFFF0000"/>
        <rFont val="Calibri"/>
        <family val="2"/>
        <scheme val="minor"/>
      </rPr>
      <t>= within scope of co-investment programme</t>
    </r>
  </si>
  <si>
    <t>= during 3Q21 $1.5bn holding in PayPay Corporation = subsidiary of SBG transferred to SVF2 so s.t. intercompany elims i.e., same as ARM (subsidiary) and similar to WeWork (associate).</t>
  </si>
  <si>
    <t>= at 9M21 be aware of $17.7bn loss on listed vs. $11.7bn gain on privately held/unlisted year-to-date = clear red flag on PE valuation approach.</t>
  </si>
  <si>
    <r>
      <t xml:space="preserve">SBG reported EoP SVF2 Third-party interest </t>
    </r>
    <r>
      <rPr>
        <sz val="9"/>
        <color rgb="FFFF0000"/>
        <rFont val="Calibri"/>
        <family val="2"/>
        <scheme val="minor"/>
      </rPr>
      <t>= MgmtCo interest</t>
    </r>
  </si>
  <si>
    <r>
      <t xml:space="preserve">Management fee accrued during period $m </t>
    </r>
    <r>
      <rPr>
        <sz val="9"/>
        <color rgb="FF0000FF"/>
        <rFont val="Calibri"/>
        <family val="2"/>
        <scheme val="minor"/>
      </rPr>
      <t>= based on Equity "contributions"</t>
    </r>
  </si>
  <si>
    <t>= check with IR whether 1% Management fee based on Fair value of investments or original Equity contributions.</t>
  </si>
  <si>
    <t>= no SVF1 capital structure disclosure in 3Q21 so have taken average of 2Q/4Q Return of Capital figures.</t>
  </si>
  <si>
    <t>= -ve balancing value for subsidiaries/associates means a gain recorded within SVF valuation then eliminated.</t>
  </si>
  <si>
    <t>= MgmtCo Third-party interest is gross i.e., not net of Receivables owed by MgmtCo to SBG w.r.t. $2.6bn committed equity capital.</t>
  </si>
  <si>
    <t>= of which $6.2bn sales or in-kind contributions from SBG to SVF2 which would bypass consolidated FCF statement due to interco elimination.</t>
  </si>
  <si>
    <t>= no longer disclosed in Annual Report: now set out in Financial Report but cannot find 2022 Financial Report.</t>
  </si>
  <si>
    <t>= US$m Third-party interests reconciliation no longer disclosed in Annual Report: now set out in Financial Report but cannot find 2022 Financial Report.</t>
  </si>
  <si>
    <t>= used % to match Preferred equity Drawn Capital per SVF presentations (see below).</t>
  </si>
  <si>
    <t>Acquisition of interest by third-party investor</t>
  </si>
  <si>
    <r>
      <t xml:space="preserve">Changes in third-party interests </t>
    </r>
    <r>
      <rPr>
        <sz val="9"/>
        <color rgb="FF0000FF"/>
        <rFont val="Calibri"/>
        <family val="2"/>
        <scheme val="minor"/>
      </rPr>
      <t>= Income statement figure</t>
    </r>
  </si>
  <si>
    <r>
      <t xml:space="preserve">Distributions/repayment to third-party investors </t>
    </r>
    <r>
      <rPr>
        <sz val="9"/>
        <color rgb="FFFF0000"/>
        <rFont val="Calibri"/>
        <family val="2"/>
        <scheme val="minor"/>
      </rPr>
      <t>= from 3Q19 "Distribution/Repayment" combined</t>
    </r>
  </si>
  <si>
    <t>Distributions from exited investments $m</t>
  </si>
  <si>
    <t>SVF2 debt capital $m</t>
  </si>
  <si>
    <r>
      <t xml:space="preserve">Total potential Distributions $m </t>
    </r>
    <r>
      <rPr>
        <sz val="9"/>
        <color rgb="FF0000FF"/>
        <rFont val="Calibri"/>
        <family val="2"/>
        <scheme val="minor"/>
      </rPr>
      <t>= Arete calcs.</t>
    </r>
  </si>
  <si>
    <t>SBG reported SVF2 Distributions $m</t>
  </si>
  <si>
    <t>= from 1Q22 SVF segment reporting includes LatAm Funds: est. P&amp;L split-out below.</t>
  </si>
  <si>
    <t>LatAm Funds ¥m</t>
  </si>
  <si>
    <t>LatAm Funds $m</t>
  </si>
  <si>
    <t>SVF1 Capital structure evolution over time</t>
  </si>
  <si>
    <r>
      <t xml:space="preserve">Contributed capital </t>
    </r>
    <r>
      <rPr>
        <sz val="9"/>
        <color rgb="FF0000FF"/>
        <rFont val="Calibri"/>
        <family val="2"/>
        <scheme val="minor"/>
      </rPr>
      <t>= called down by SBGA</t>
    </r>
  </si>
  <si>
    <r>
      <t xml:space="preserve">Remaining committed capital </t>
    </r>
    <r>
      <rPr>
        <sz val="9"/>
        <color rgb="FFFF0000"/>
        <rFont val="Calibri"/>
        <family val="2"/>
        <scheme val="minor"/>
      </rPr>
      <t>= yet to be called down by SBGA</t>
    </r>
  </si>
  <si>
    <r>
      <t xml:space="preserve">Cumulative investment return $m </t>
    </r>
    <r>
      <rPr>
        <sz val="9"/>
        <color rgb="FF0000FF"/>
        <rFont val="Calibri"/>
        <family val="2"/>
        <scheme val="minor"/>
      </rPr>
      <t>= unrealised SVF2 fair value plus distributions</t>
    </r>
  </si>
  <si>
    <t>Debt attributable to SVF2 ¥m</t>
  </si>
  <si>
    <t>Debt attributable to SVF2 $m</t>
  </si>
  <si>
    <t>Debt attributable to SVF1 ¥m</t>
  </si>
  <si>
    <t>Debt attributable to SVF1 $m</t>
  </si>
  <si>
    <t>Debt attributable to LatAm Funds ¥m</t>
  </si>
  <si>
    <t>Debt attributable to LatAm Funds $m</t>
  </si>
  <si>
    <t>= change of formula to account for consolidation of LatAm Funds in SVF segment.</t>
  </si>
  <si>
    <t>= no longer reporting Accrued &amp; Paid Performance fees in SVF quarterly presentation i.e., assume zero.</t>
  </si>
  <si>
    <r>
      <t xml:space="preserve">of which LatAm Funds </t>
    </r>
    <r>
      <rPr>
        <sz val="9"/>
        <color rgb="FF0000FF"/>
        <rFont val="Calibri"/>
        <family val="2"/>
        <scheme val="minor"/>
      </rPr>
      <t>= MgmtCo 17.25% SVF2 Ordinary equity</t>
    </r>
  </si>
  <si>
    <t>= limited disclosures on LatAm Funds: assume no cash distributions as of yet.</t>
  </si>
  <si>
    <t>SBG % of SVF1 (net) assets</t>
  </si>
  <si>
    <t>SBG % of SVF2 (net) assets</t>
  </si>
  <si>
    <t>SBG % of LatAm Funds (net) assets</t>
  </si>
  <si>
    <t>= delta here due to Balance sheet consolidation of SVF segment assets: have accounted for $8.2bn/24.99% ARM shares but also WeWork (= equity method associate from 3Q19) and PayPay Corporation (fully-consolidated subsidiary).</t>
  </si>
  <si>
    <t>= no longer clear whether this is just SVF1 Third-party Contributions/Distributions.</t>
  </si>
  <si>
    <t>= SVF1 capital structure not provided 1Q or 2Q so use linear interpolation.</t>
  </si>
  <si>
    <t>= back at high watermark so no longer reporting Accrued &amp; Paid Performance Fees.</t>
  </si>
  <si>
    <t>BoP total Ordinary equity = SBG + Third-party investors</t>
  </si>
  <si>
    <t>Add: Ordinary equity contributed capital = SBG + Third-party investors</t>
  </si>
  <si>
    <t>Less: Ordinary equity Performance-based distributions and Repayments = SBG + Third-party investors</t>
  </si>
  <si>
    <r>
      <t>Alternative high watermark calculation</t>
    </r>
    <r>
      <rPr>
        <sz val="9"/>
        <color theme="0" tint="-0.499984740745262"/>
        <rFont val="Calibri"/>
        <family val="2"/>
        <scheme val="minor"/>
      </rPr>
      <t xml:space="preserve"> = Arete SVF index methodology</t>
    </r>
  </si>
  <si>
    <t>= do not use this method: Method 1 (above) backtests to data far better.</t>
  </si>
  <si>
    <t>LatAm Funds Third-Party interests</t>
  </si>
  <si>
    <r>
      <t xml:space="preserve">SVF2 "index" </t>
    </r>
    <r>
      <rPr>
        <sz val="9"/>
        <color rgb="FFFF0000"/>
        <rFont val="Calibri"/>
        <family val="2"/>
        <scheme val="minor"/>
      </rPr>
      <t>= excludes distortionary 4-5x gain on KE Holdings IPO during year 1!</t>
    </r>
  </si>
  <si>
    <r>
      <t xml:space="preserve">Total realised + unrealised gain (loss) on SVF1 investments during period </t>
    </r>
    <r>
      <rPr>
        <sz val="9"/>
        <color rgb="FFFF0000"/>
        <rFont val="Calibri"/>
        <family val="2"/>
        <scheme val="minor"/>
      </rPr>
      <t>= includes "realised" reclassification</t>
    </r>
  </si>
  <si>
    <r>
      <t xml:space="preserve">Total realised + unrealised gain (loss) on SVF2 investments during period </t>
    </r>
    <r>
      <rPr>
        <sz val="9"/>
        <color rgb="FFFF0000"/>
        <rFont val="Calibri"/>
        <family val="2"/>
        <scheme val="minor"/>
      </rPr>
      <t>= includes "realised" reclassification</t>
    </r>
  </si>
  <si>
    <r>
      <t xml:space="preserve">Total realised + unrealised gain (loss) on LatAm Funds investments during period </t>
    </r>
    <r>
      <rPr>
        <sz val="9"/>
        <color rgb="FFFF0000"/>
        <rFont val="Calibri"/>
        <family val="2"/>
        <scheme val="minor"/>
      </rPr>
      <t>= includes "realised" reclassification</t>
    </r>
  </si>
  <si>
    <r>
      <t xml:space="preserve">Total realised + unrealised gain (loss) on SVF investments during period </t>
    </r>
    <r>
      <rPr>
        <sz val="9"/>
        <color rgb="FFFF0000"/>
        <rFont val="Calibri"/>
        <family val="2"/>
        <scheme val="minor"/>
      </rPr>
      <t>= includes "realised" reclassification</t>
    </r>
  </si>
  <si>
    <t>= from 1Q22 SVF segment reporting now includes LatAm Funds i.e., note FY21 historics have been retrospectively restated by SBG.</t>
  </si>
  <si>
    <t>LatAm Funds Investments from SVF accounted for using FVTPL</t>
  </si>
  <si>
    <t>SBG total equity in LatAm Funds</t>
  </si>
  <si>
    <r>
      <t xml:space="preserve">LatAm Funds Third-party interests </t>
    </r>
    <r>
      <rPr>
        <sz val="9"/>
        <color rgb="FF0000FF"/>
        <rFont val="Calibri"/>
        <family val="2"/>
        <scheme val="minor"/>
      </rPr>
      <t>= MgmtCo 17.25% SVF2 Ordinary equity (excluding standalone investments)</t>
    </r>
  </si>
  <si>
    <t>LatAm Funds Payments for acquisition of investments</t>
  </si>
  <si>
    <t>LatAm Funds Proceeds from sales of investments</t>
  </si>
  <si>
    <t>= change of formula to account for inclusion of LatAm Funds in SVF segment.</t>
  </si>
  <si>
    <r>
      <t xml:space="preserve">SVF2 levered equity "index" </t>
    </r>
    <r>
      <rPr>
        <sz val="9"/>
        <color rgb="FFFF0000"/>
        <rFont val="Calibri"/>
        <family val="2"/>
        <scheme val="minor"/>
      </rPr>
      <t>= excludes distortionary 4-5x gain on KE Holdings IPO during year 1!</t>
    </r>
  </si>
  <si>
    <t>= taken from Performance Snapshot slide in quarterly SVF presentations.</t>
  </si>
  <si>
    <t>= from October '20 WeWork publicly listed but an "equity associate" of SBG: could choose to retrospectively split out from delta.</t>
  </si>
  <si>
    <t>= clearly timing issues with SVF1 capital structure reporting: one-off adjustment for 4Q21 -&gt; 3Q22 delta: $900m increase in Preferred RoC vs. $3.6bn increase in Ordinary RoC.</t>
  </si>
  <si>
    <t>= new methodology/formula for SVF1 Preferred equity: based on reported Preferred Equity Return Of Capital in SVF presentations.</t>
  </si>
  <si>
    <t>= SBG saying $3.6bn increase in Ordinary equity RoC vs. $3.1bn per our modelling i.e., 2x $1.55bn to scale for Third-party + SBG RoC.</t>
  </si>
  <si>
    <t>LatAm Funds impact on SBG net profits</t>
  </si>
  <si>
    <t>implied SBG Preferred + Ordinary equity in LatAm Funds</t>
  </si>
  <si>
    <t>= need to check Third-party interest BoP $m accounting with IR as do not understand 31st March EoP vs. 1 April BoP disparity: which also matches Exchange differences..?</t>
  </si>
  <si>
    <t>= again the result of $m Third-Party interest reporting with significant 31st March EoP vs. 1st April BoP delta.</t>
  </si>
  <si>
    <t>= gain on 24.99% SVF1 ARM investment.</t>
  </si>
  <si>
    <t>= $1.2bn write-up of SVF1 ARM valuation: see comment for details.</t>
  </si>
  <si>
    <t>= $8.2bn of acquisition cost decline attributable to $8.2bn 24.99% ARM acquisition.</t>
  </si>
  <si>
    <t>= given $1.8bn unrealised loss i.e., reclassified to "realised" gain, seems as though ARM holding being carried at $10bn prior to sale by SVF1.</t>
  </si>
  <si>
    <t>= ARM transaction so significant have had to manually adapt 2Q23 periodic return formula.</t>
  </si>
  <si>
    <t>= delta is due to SVF1's 24.99% ARM holding sale to SBG i.e., interco transaction so bypasses FCF statement.</t>
  </si>
  <si>
    <t>= check with IR re. % tax paid on Performance fees to SBIA as notes in Consolidated Financial Reports say "Performance fee (net of tax)".</t>
  </si>
  <si>
    <t>= clearly some issue with cash or LPs distribution timing on 24.99% ARM holding transaction to SBG: note four cash installments paid through August '25.</t>
  </si>
  <si>
    <t>1Q24</t>
  </si>
  <si>
    <r>
      <t xml:space="preserve">24.99% ARM holdings </t>
    </r>
    <r>
      <rPr>
        <sz val="9"/>
        <color rgb="FF0000FF"/>
        <rFont val="Calibri"/>
        <family val="2"/>
        <scheme val="minor"/>
      </rPr>
      <t>= $16.1bn from SBG</t>
    </r>
  </si>
  <si>
    <t>Less: cash already received by SVF1</t>
  </si>
  <si>
    <r>
      <t xml:space="preserve">Less: time value of money </t>
    </r>
    <r>
      <rPr>
        <sz val="9"/>
        <color rgb="FF0000FF"/>
        <rFont val="Calibri"/>
        <family val="2"/>
        <scheme val="minor"/>
      </rPr>
      <t>= up to $1bn discount disparity</t>
    </r>
  </si>
  <si>
    <r>
      <t xml:space="preserve">24.99% ARM receivable </t>
    </r>
    <r>
      <rPr>
        <sz val="9"/>
        <color rgb="FF0000FF"/>
        <rFont val="Calibri"/>
        <family val="2"/>
        <scheme val="minor"/>
      </rPr>
      <t>= present value of cash to be received</t>
    </r>
  </si>
  <si>
    <t>SBG ordinary equity share of 24.99% ARM receivable</t>
  </si>
  <si>
    <r>
      <t xml:space="preserve">Fair value of SBG's ordinary equity in SVF1 </t>
    </r>
    <r>
      <rPr>
        <sz val="9"/>
        <color rgb="FF0000FF"/>
        <rFont val="Calibri"/>
        <family val="2"/>
        <scheme val="minor"/>
      </rPr>
      <t>= includes fair value of ARM receivable</t>
    </r>
  </si>
  <si>
    <t>vs. Fair value of Third-party ordinary equity in SVF1</t>
  </si>
  <si>
    <t>= adjusted formula for ARM receivable i.e., included within Third-party interest but no longer in SVF Balance sheet value as interco transaction.</t>
  </si>
  <si>
    <t>2Q24</t>
  </si>
  <si>
    <t>3Q24</t>
  </si>
  <si>
    <t>4Q24</t>
  </si>
  <si>
    <t>FY24</t>
  </si>
  <si>
    <t>= year ending 31 March '25.</t>
  </si>
  <si>
    <t>Jun. '24</t>
  </si>
  <si>
    <t>Sep. '24</t>
  </si>
  <si>
    <t>Dec. '24</t>
  </si>
  <si>
    <t>= change of formula to account for $16.1bn ARM sale to SBG and cash timing of ARM receivable.</t>
  </si>
  <si>
    <t>Alibaba</t>
  </si>
  <si>
    <t>T-Mobile</t>
  </si>
  <si>
    <t>check</t>
  </si>
  <si>
    <t>of which SoftBank Corp.</t>
  </si>
  <si>
    <t>of which ARM</t>
  </si>
  <si>
    <t>% gross profit margin</t>
  </si>
  <si>
    <t>Total net sales</t>
  </si>
  <si>
    <t>of which Other</t>
  </si>
  <si>
    <t>Cashflow statement</t>
  </si>
  <si>
    <t>Depreciation and amortisation</t>
  </si>
  <si>
    <t>(Gain)/loss on investments at Investment Business of Holding Companies</t>
  </si>
  <si>
    <t>(Gain)/loss on investments at SoftBank Vision Funds</t>
  </si>
  <si>
    <t>Foreign exchange (gain)/loss</t>
  </si>
  <si>
    <t>Loss on equity method investments</t>
  </si>
  <si>
    <t>Derivative (gain)/loss excluding (gain)/loss on investments</t>
  </si>
  <si>
    <t>(Gain)/loss on other investments</t>
  </si>
  <si>
    <t>Income taxes</t>
  </si>
  <si>
    <t>Decrease/(increase) in investments by asset management subsidiaries</t>
  </si>
  <si>
    <t>Change in derivative financial assets and derivative financial liabilities by asset management subsidiaries</t>
  </si>
  <si>
    <t>(Increase)/decrease in restricted cash held at asset management subsidiaries</t>
  </si>
  <si>
    <t>(Increase)/decrease in trade and other receivables</t>
  </si>
  <si>
    <t>(Increase)/decrease in inventories</t>
  </si>
  <si>
    <t>Increase/(decrease) in trade and other payables</t>
  </si>
  <si>
    <t>Subtotal</t>
  </si>
  <si>
    <t>Cash interest and cash dividends received</t>
  </si>
  <si>
    <t>Cash interest paid</t>
  </si>
  <si>
    <t>Cash tax paid</t>
  </si>
  <si>
    <t>Income taxes refunded</t>
  </si>
  <si>
    <t>Net cash provided by (used in) operating activities</t>
  </si>
  <si>
    <t>Coupang Inc.</t>
  </si>
  <si>
    <t>Source: S&amp;P Capital IQ.</t>
  </si>
  <si>
    <t>= yellow is for $m reporting.</t>
  </si>
  <si>
    <r>
      <t>SVF1 Publicly listed companies</t>
    </r>
    <r>
      <rPr>
        <sz val="9"/>
        <color theme="1"/>
        <rFont val="Calibri"/>
        <family val="2"/>
        <scheme val="minor"/>
      </rPr>
      <t xml:space="preserve">: </t>
    </r>
    <r>
      <rPr>
        <sz val="9"/>
        <color rgb="FF0070C0"/>
        <rFont val="Calibri"/>
        <family val="2"/>
        <scheme val="minor"/>
      </rPr>
      <t>= fair value at quarter end.</t>
    </r>
  </si>
  <si>
    <r>
      <t>SVF1 Publicly listed companies</t>
    </r>
    <r>
      <rPr>
        <sz val="9"/>
        <color theme="1"/>
        <rFont val="Calibri"/>
        <family val="2"/>
        <scheme val="minor"/>
      </rPr>
      <t xml:space="preserve">: </t>
    </r>
    <r>
      <rPr>
        <sz val="9"/>
        <color rgb="FF0070C0"/>
        <rFont val="Calibri"/>
        <family val="2"/>
        <scheme val="minor"/>
      </rPr>
      <t>= acquisition cost at quarter end.</t>
    </r>
  </si>
  <si>
    <t>% qoq change</t>
  </si>
  <si>
    <t>% prior quarter-end position sold</t>
  </si>
  <si>
    <t>= selling price $</t>
  </si>
  <si>
    <t>vs. effective acquisition share price</t>
  </si>
  <si>
    <t>= "realised" gain during quarter $m</t>
  </si>
  <si>
    <r>
      <t xml:space="preserve">of which "reclassified as unrealised loss" during quarter $m </t>
    </r>
    <r>
      <rPr>
        <sz val="9"/>
        <color rgb="FFFF0000"/>
        <rFont val="Calibri"/>
        <family val="2"/>
        <scheme val="minor"/>
      </rPr>
      <t>= i.e., recorded as unrealised gain during past quarters</t>
    </r>
  </si>
  <si>
    <t>DiDi Global Inc.</t>
  </si>
  <si>
    <t>Cumulative gain/(loss) at quarter end</t>
  </si>
  <si>
    <t>Number of shares held by SVF1 at quarter end/during quarter = millions</t>
  </si>
  <si>
    <t>Coupang Inc. shares outstanding (millions)</t>
  </si>
  <si>
    <t>Shares sold by SVF1 during quarter (millions)</t>
  </si>
  <si>
    <t>Share price at quarter end/during quarter $</t>
  </si>
  <si>
    <t>DiDi Global Inc. shares outstanding (millions)</t>
  </si>
  <si>
    <t>Grab Holdings Inc.</t>
  </si>
  <si>
    <t>= do not copy formulae vertically downwards: only copy to the RIGHT!</t>
  </si>
  <si>
    <t>Full Truck Alliance Co. Ltd.</t>
  </si>
  <si>
    <t>Full Truck Alliance Co. Ltd. shares outstanding (millions)</t>
  </si>
  <si>
    <t>DoorDash Inc.</t>
  </si>
  <si>
    <t>DoorDash Inc. shares outstanding (millions)</t>
  </si>
  <si>
    <t>Grab Holdings Inc. shares outstanding (millions)</t>
  </si>
  <si>
    <t>Roivant Sciences Ltd.</t>
  </si>
  <si>
    <t>Roivant Sciences Ltd. shares outstanding (millions)</t>
  </si>
  <si>
    <t>PT GoTo Gojek Tokopedia Tbk</t>
  </si>
  <si>
    <t>PT GoTo Gojek Tokopedia Tbk shares outstanding (millions)</t>
  </si>
  <si>
    <t>Share price at quarter end/during quarter Indonesian Rupiah</t>
  </si>
  <si>
    <t>US$ vs. Indonesian Rupiah</t>
  </si>
  <si>
    <t>= limited ownership disclosure as listed in Indonesia.</t>
  </si>
  <si>
    <t>3/29/2024</t>
  </si>
  <si>
    <t>2/29/2024</t>
  </si>
  <si>
    <t>1/31/2024</t>
  </si>
  <si>
    <t>12/29/2023</t>
  </si>
  <si>
    <t>11/30/2023</t>
  </si>
  <si>
    <t>10/31/2023</t>
  </si>
  <si>
    <t>9/29/2023</t>
  </si>
  <si>
    <t>8/31/2023</t>
  </si>
  <si>
    <t>7/31/2023</t>
  </si>
  <si>
    <t>6/30/2023</t>
  </si>
  <si>
    <t>5/31/2023</t>
  </si>
  <si>
    <t>4/28/2023</t>
  </si>
  <si>
    <t>3/31/2023</t>
  </si>
  <si>
    <t>2/28/2023</t>
  </si>
  <si>
    <t>1/31/2023</t>
  </si>
  <si>
    <t>12/30/2022</t>
  </si>
  <si>
    <t>11/30/2022</t>
  </si>
  <si>
    <t>10/31/2022</t>
  </si>
  <si>
    <t>9/30/2022</t>
  </si>
  <si>
    <t>8/31/2022</t>
  </si>
  <si>
    <t>7/29/2022</t>
  </si>
  <si>
    <t>6/30/2022</t>
  </si>
  <si>
    <t>5/31/2022</t>
  </si>
  <si>
    <t>4/29/2022</t>
  </si>
  <si>
    <t>3/31/2022</t>
  </si>
  <si>
    <t>2/28/2022</t>
  </si>
  <si>
    <t>1/31/2022</t>
  </si>
  <si>
    <t>12/31/2021</t>
  </si>
  <si>
    <t>11/30/2021</t>
  </si>
  <si>
    <t>10/29/2021</t>
  </si>
  <si>
    <t>9/30/2021</t>
  </si>
  <si>
    <t>8/31/2021</t>
  </si>
  <si>
    <t>7/30/2021</t>
  </si>
  <si>
    <t>6/30/2021</t>
  </si>
  <si>
    <t>5/31/2021</t>
  </si>
  <si>
    <t>4/30/2021</t>
  </si>
  <si>
    <t>3/31/2021</t>
  </si>
  <si>
    <t>2/26/2021</t>
  </si>
  <si>
    <t>1/29/2021</t>
  </si>
  <si>
    <t>12/31/2020</t>
  </si>
  <si>
    <t>11/30/2020</t>
  </si>
  <si>
    <t>10/30/2020</t>
  </si>
  <si>
    <t>9/30/2020</t>
  </si>
  <si>
    <t>8/31/2020</t>
  </si>
  <si>
    <t>7/31/2020</t>
  </si>
  <si>
    <t>6/30/2020</t>
  </si>
  <si>
    <t>5/29/2020</t>
  </si>
  <si>
    <t>4/30/2020</t>
  </si>
  <si>
    <t>3/31/2020</t>
  </si>
  <si>
    <t>2/28/2020</t>
  </si>
  <si>
    <t>1/31/2020</t>
  </si>
  <si>
    <t>12/31/2019</t>
  </si>
  <si>
    <t>11/29/2019</t>
  </si>
  <si>
    <t>10/31/2019</t>
  </si>
  <si>
    <t>9/30/2019</t>
  </si>
  <si>
    <t>8/30/2019</t>
  </si>
  <si>
    <t>7/31/2019</t>
  </si>
  <si>
    <t>6/28/2019</t>
  </si>
  <si>
    <t>5/31/2019</t>
  </si>
  <si>
    <t>4/30/2019</t>
  </si>
  <si>
    <t>3/29/2019</t>
  </si>
  <si>
    <t>2/28/2019</t>
  </si>
  <si>
    <t>1/31/2019</t>
  </si>
  <si>
    <t>12/31/2018</t>
  </si>
  <si>
    <t>11/30/2018</t>
  </si>
  <si>
    <t>10/31/2018</t>
  </si>
  <si>
    <t>9/28/2018</t>
  </si>
  <si>
    <t>8/31/2018</t>
  </si>
  <si>
    <t>7/31/2018</t>
  </si>
  <si>
    <t>6/29/2018</t>
  </si>
  <si>
    <t>5/31/2018</t>
  </si>
  <si>
    <t>4/30/2018</t>
  </si>
  <si>
    <t>3/30/2018</t>
  </si>
  <si>
    <t>2/28/2018</t>
  </si>
  <si>
    <t>1/31/2018</t>
  </si>
  <si>
    <t>12/29/2017</t>
  </si>
  <si>
    <t>11/30/2017</t>
  </si>
  <si>
    <t>10/31/2017</t>
  </si>
  <si>
    <t>9/29/2017</t>
  </si>
  <si>
    <t>8/31/2017</t>
  </si>
  <si>
    <t>7/31/2017</t>
  </si>
  <si>
    <t>6/30/2017</t>
  </si>
  <si>
    <t>5/31/2017</t>
  </si>
  <si>
    <t>4/28/2017</t>
  </si>
  <si>
    <t>3/31/2017</t>
  </si>
  <si>
    <t>2/28/2017</t>
  </si>
  <si>
    <t>1/31/2017</t>
  </si>
  <si>
    <t>12/30/2016</t>
  </si>
  <si>
    <t>Thomson Reuters Venture Capital Index</t>
  </si>
  <si>
    <t>Date</t>
  </si>
  <si>
    <t>Index price</t>
  </si>
  <si>
    <t>SBG quarter</t>
  </si>
  <si>
    <t>4Q16</t>
  </si>
  <si>
    <t>3Q16</t>
  </si>
  <si>
    <t>Thomson Reuters VC Index</t>
  </si>
  <si>
    <t>VC Index</t>
  </si>
  <si>
    <t>SVF1 "levered"</t>
  </si>
  <si>
    <t>SVF1 "unlevered" index vs. Thomson Reuters VC Index</t>
  </si>
  <si>
    <t>SVF1 "levered" index vs. Thomson Reuters VC Index</t>
  </si>
  <si>
    <t>SVF1 "unlevered" vs. SVF1 "levered"</t>
  </si>
  <si>
    <t>SenseTime Group Inc.</t>
  </si>
  <si>
    <t>US$ vs. Hong Kong $</t>
  </si>
  <si>
    <t>Share price at quarter end/during quarter Hong Kong $</t>
  </si>
  <si>
    <t>SenseTime Group Inc. shares outstanding (millions)</t>
  </si>
  <si>
    <t>Delhivery Limited</t>
  </si>
  <si>
    <t>Share price at quarter end/during quarter Indian Rupees</t>
  </si>
  <si>
    <t>US$ vs. Indian Rupee</t>
  </si>
  <si>
    <t>4/28/2022</t>
  </si>
  <si>
    <t>12/30/2021</t>
  </si>
  <si>
    <t>12/30/2020</t>
  </si>
  <si>
    <t>12/30/2019</t>
  </si>
  <si>
    <t>4/26/2019</t>
  </si>
  <si>
    <t>12/28/2018</t>
  </si>
  <si>
    <t>4/27/2018</t>
  </si>
  <si>
    <t>11/30/2016</t>
  </si>
  <si>
    <t>10/31/2016</t>
  </si>
  <si>
    <t>9/30/2016</t>
  </si>
  <si>
    <t>8/31/2016</t>
  </si>
  <si>
    <t>7/29/2016</t>
  </si>
  <si>
    <t>6/30/2016</t>
  </si>
  <si>
    <t>5/31/2016</t>
  </si>
  <si>
    <t>4/28/2016</t>
  </si>
  <si>
    <t>3/31/2016</t>
  </si>
  <si>
    <t>2/29/2016</t>
  </si>
  <si>
    <t>1/29/2016</t>
  </si>
  <si>
    <t>12/30/2015</t>
  </si>
  <si>
    <t>11/30/2015</t>
  </si>
  <si>
    <t>10/30/2015</t>
  </si>
  <si>
    <t>9/30/2015</t>
  </si>
  <si>
    <t>8/31/2015</t>
  </si>
  <si>
    <t>7/31/2015</t>
  </si>
  <si>
    <t>6/30/2015</t>
  </si>
  <si>
    <t>5/29/2015</t>
  </si>
  <si>
    <t>4/30/2015</t>
  </si>
  <si>
    <t>3/31/2015</t>
  </si>
  <si>
    <t>2/27/2015</t>
  </si>
  <si>
    <t>1/30/2015</t>
  </si>
  <si>
    <t>12/30/2014</t>
  </si>
  <si>
    <t>11/28/2014</t>
  </si>
  <si>
    <t>10/31/2014</t>
  </si>
  <si>
    <t>9/30/2014</t>
  </si>
  <si>
    <t>8/29/2014</t>
  </si>
  <si>
    <t>7/31/2014</t>
  </si>
  <si>
    <t>6/30/2014</t>
  </si>
  <si>
    <t>5/30/2014</t>
  </si>
  <si>
    <t>4/30/2014</t>
  </si>
  <si>
    <t>SoftBank Group Market cap. ¥bn</t>
  </si>
  <si>
    <t>Market cap.</t>
  </si>
  <si>
    <t>3Q15</t>
  </si>
  <si>
    <t>2Q16</t>
  </si>
  <si>
    <t>2Q15</t>
  </si>
  <si>
    <t>1Q16</t>
  </si>
  <si>
    <t>1Q15</t>
  </si>
  <si>
    <t>4Q15</t>
  </si>
  <si>
    <t>4Q14</t>
  </si>
  <si>
    <t>3Q14</t>
  </si>
  <si>
    <t>2Q14</t>
  </si>
  <si>
    <t>1Q14</t>
  </si>
  <si>
    <t>Market cap. ¥bn</t>
  </si>
  <si>
    <t>SVF2 "levered"</t>
  </si>
  <si>
    <t>SVF2 "unlevered" index vs. Thomson Reuters VC Index</t>
  </si>
  <si>
    <t>SVF2 "levered" index vs. Thomson Reuters VC Index</t>
  </si>
  <si>
    <t>SVF2 "unlevered" vs. SVF1 "levered"</t>
  </si>
  <si>
    <t>= year ending 31 March '17.</t>
  </si>
  <si>
    <t>FY16</t>
  </si>
  <si>
    <t>Jun. '16</t>
  </si>
  <si>
    <t>Sep. '16</t>
  </si>
  <si>
    <t>Dec. '16</t>
  </si>
  <si>
    <t>Jun. '15</t>
  </si>
  <si>
    <t>Sep. '15</t>
  </si>
  <si>
    <t>Dec. '15</t>
  </si>
  <si>
    <t>= year ending 31 March '16.</t>
  </si>
  <si>
    <t>FY15</t>
  </si>
  <si>
    <t>Jun. '14</t>
  </si>
  <si>
    <t>Sep. '14</t>
  </si>
  <si>
    <t>Dec. '14</t>
  </si>
  <si>
    <t>= year ending 31 March '15.</t>
  </si>
  <si>
    <t>FY14</t>
  </si>
  <si>
    <r>
      <t xml:space="preserve">SoftBank Group equity value of holdings </t>
    </r>
    <r>
      <rPr>
        <sz val="9"/>
        <color rgb="FF0000FF"/>
        <rFont val="Calibri"/>
        <family val="2"/>
        <scheme val="minor"/>
      </rPr>
      <t>= as reported by SBG in quarterly Data sheets.</t>
    </r>
  </si>
  <si>
    <t>LatAm Funds</t>
  </si>
  <si>
    <t>SBG's equity in Vision Funds</t>
  </si>
  <si>
    <t>Arm</t>
  </si>
  <si>
    <t>Others</t>
  </si>
  <si>
    <t>SBG total value of equity holdings net of asset-backed finance</t>
  </si>
  <si>
    <t>year end March ¥tn</t>
  </si>
  <si>
    <t>¥tn</t>
  </si>
  <si>
    <t>$bn</t>
  </si>
  <si>
    <t>Less: SBG TopCo standalone net interest-bearing debt</t>
  </si>
  <si>
    <t>Consolidated net interest-bearing debt</t>
  </si>
  <si>
    <t>Less: net interest-bearing debt at self-financing entities</t>
  </si>
  <si>
    <r>
      <t xml:space="preserve">Other adjustments </t>
    </r>
    <r>
      <rPr>
        <sz val="9"/>
        <color rgb="FF0000FF"/>
        <rFont val="Calibri"/>
        <family val="2"/>
        <scheme val="minor"/>
      </rPr>
      <t>= 50% equity component of hybrid bonds plus asset-backed finance e.g., margin loans, collars etc.</t>
    </r>
  </si>
  <si>
    <r>
      <t xml:space="preserve">Net asset value </t>
    </r>
    <r>
      <rPr>
        <sz val="9"/>
        <color rgb="FF0000FF"/>
        <rFont val="Calibri"/>
        <family val="2"/>
        <scheme val="minor"/>
      </rPr>
      <t>= per SBG reporting.</t>
    </r>
  </si>
  <si>
    <r>
      <t xml:space="preserve">Loan-to-value </t>
    </r>
    <r>
      <rPr>
        <sz val="9"/>
        <color rgb="FFFF0000"/>
        <rFont val="Calibri"/>
        <family val="2"/>
        <scheme val="minor"/>
      </rPr>
      <t>= only uses net debt effectively held at TopCo i.e., standalone</t>
    </r>
    <r>
      <rPr>
        <sz val="9"/>
        <color theme="1"/>
        <rFont val="Calibri"/>
        <family val="2"/>
        <scheme val="minor"/>
      </rPr>
      <t>.</t>
    </r>
  </si>
  <si>
    <t>SB Northstar</t>
  </si>
  <si>
    <r>
      <t xml:space="preserve">Total others </t>
    </r>
    <r>
      <rPr>
        <sz val="9"/>
        <color rgb="FFFF0000"/>
        <rFont val="Calibri"/>
        <family val="2"/>
        <scheme val="minor"/>
      </rPr>
      <t>= pre-FY22 SB Northstar reported separately to Others.</t>
    </r>
  </si>
  <si>
    <t>SBG reported NAV ¥bn</t>
  </si>
  <si>
    <t>SBG reported NAV $bn</t>
  </si>
  <si>
    <t>% discount to NAV</t>
  </si>
  <si>
    <t>Market cap. ex-telcos ¥bn</t>
  </si>
  <si>
    <t>Market cap. ex-telcos $bn</t>
  </si>
  <si>
    <t>SBG reported NAV ex-telcos ¥bn</t>
  </si>
  <si>
    <t>SBG reported NAV ex-telcos $bn</t>
  </si>
  <si>
    <t>Arm valuation $bn</t>
  </si>
  <si>
    <t>Arm valuation ¥bn</t>
  </si>
  <si>
    <t>of which Telcos assets</t>
  </si>
  <si>
    <t>Telcos as % of NAV</t>
  </si>
  <si>
    <t>Telcos assets ¥bn</t>
  </si>
  <si>
    <t>Telcos assets $bn</t>
  </si>
  <si>
    <t>Telcos % market cap.</t>
  </si>
  <si>
    <t>Ex-telcos % market cap.</t>
  </si>
  <si>
    <t>% discount to NAV ex-telcos</t>
  </si>
  <si>
    <t>= assumed telcos assets discount to NAV.</t>
  </si>
  <si>
    <r>
      <t>Ownership</t>
    </r>
    <r>
      <rPr>
        <sz val="9"/>
        <color theme="1"/>
        <rFont val="Calibri"/>
        <family val="2"/>
        <scheme val="minor"/>
      </rPr>
      <t>:</t>
    </r>
  </si>
  <si>
    <t>SBG EoP T-Mobile shares</t>
  </si>
  <si>
    <t>of which subject to DT call option</t>
  </si>
  <si>
    <t>of which outright SBG-owned</t>
  </si>
  <si>
    <t>SBG % ownership</t>
  </si>
  <si>
    <r>
      <t>SBG economic exposure</t>
    </r>
    <r>
      <rPr>
        <sz val="9"/>
        <color theme="1"/>
        <rFont val="Calibri"/>
        <family val="2"/>
        <scheme val="minor"/>
      </rPr>
      <t>:</t>
    </r>
  </si>
  <si>
    <t>T-Mobile EoP share price $</t>
  </si>
  <si>
    <t>SBG EoP gross T-Mobile position $m</t>
  </si>
  <si>
    <t>Less: SBG asset-backed financing relating to T-Mobile shares</t>
  </si>
  <si>
    <t>SBG EoP net T-Mobile position $m</t>
  </si>
  <si>
    <t>SBG reported T-Mobile position $m</t>
  </si>
  <si>
    <t>EoP exchange rate</t>
  </si>
  <si>
    <t>SBG EoP Deutsche Telekom shares</t>
  </si>
  <si>
    <r>
      <t xml:space="preserve">T-Mobile EoP shares outstanding outstanding </t>
    </r>
    <r>
      <rPr>
        <sz val="9"/>
        <color rgb="FF0000FF"/>
        <rFont val="Calibri"/>
        <family val="2"/>
        <scheme val="minor"/>
      </rPr>
      <t>= using Arete/AB model i.e., includes future buyback benefit.</t>
    </r>
  </si>
  <si>
    <r>
      <t xml:space="preserve">Deutsche Telekom EoP shares outstanding (millions) </t>
    </r>
    <r>
      <rPr>
        <sz val="9"/>
        <color rgb="FF0000FF"/>
        <rFont val="Calibri"/>
        <family val="2"/>
        <scheme val="minor"/>
      </rPr>
      <t>= using Arete/AB model i.e., includes future buyback benefit.</t>
    </r>
  </si>
  <si>
    <t>SBG investee share prices</t>
  </si>
  <si>
    <t>3/28/2024</t>
  </si>
  <si>
    <t>3/29/2018</t>
  </si>
  <si>
    <t>10/30/2017</t>
  </si>
  <si>
    <t>4/29/2016</t>
  </si>
  <si>
    <t>= up to end FY19 Alibaba equity holding reported gross of margin loans, prepaid forward contract liabilities etc etc.</t>
  </si>
  <si>
    <r>
      <t xml:space="preserve">T-Mobile US </t>
    </r>
    <r>
      <rPr>
        <sz val="9"/>
        <color rgb="FF0000FF"/>
        <rFont val="Calibri"/>
        <family val="2"/>
        <scheme val="minor"/>
      </rPr>
      <t>= Sprint US up to end 3Q19.</t>
    </r>
  </si>
  <si>
    <r>
      <t xml:space="preserve">SoftBank Corp. </t>
    </r>
    <r>
      <rPr>
        <sz val="9"/>
        <color rgb="FFFF0000"/>
        <rFont val="Calibri"/>
        <family val="2"/>
        <scheme val="minor"/>
      </rPr>
      <t>= includes Yahoo Japan up to 4Q18.</t>
    </r>
  </si>
  <si>
    <t>= SBG started reporting NAV and LTV after IPO'ing SoftBank Corp. in December '18.</t>
  </si>
  <si>
    <t>% discount to NAV ex-telcos assets</t>
  </si>
  <si>
    <t>Deutsche Telekom EoP share price $</t>
  </si>
  <si>
    <t>Less: SBG asset-backed financing relating to Deutsche Telekom shares</t>
  </si>
  <si>
    <t>SBG EoP net Deutsche Telekom position $m</t>
  </si>
  <si>
    <t>SBG reported Deutsche Telekom position $m</t>
  </si>
  <si>
    <t>FX</t>
  </si>
  <si>
    <t>EoP JPY/USD</t>
  </si>
  <si>
    <t>= SBG and Deutsche Telekom strategic agreement: SBG switches 45m T-Mobile shares for 225m DT shares.</t>
  </si>
  <si>
    <t>Collar transactions using Deutsche Telekom shares ¥bn</t>
  </si>
  <si>
    <t>= €2.64bn/$3.04bn fund procurement through collar transaction using 225m DT shares.</t>
  </si>
  <si>
    <t>SBG EoP Alibaba shares</t>
  </si>
  <si>
    <t>Alibaba ADR EoP share price $</t>
  </si>
  <si>
    <t>Alibaba EoP shares outstanding (millions)</t>
  </si>
  <si>
    <t>SBG EoP gross Alibaba position $m</t>
  </si>
  <si>
    <t>= taken from Arete/AB T-Mobile model: EoP shares outstanding (millions)</t>
  </si>
  <si>
    <r>
      <t xml:space="preserve">delta </t>
    </r>
    <r>
      <rPr>
        <sz val="9"/>
        <color rgb="FFFF0000"/>
        <rFont val="Calibri"/>
        <family val="2"/>
        <scheme val="minor"/>
      </rPr>
      <t>= +ve delta likely "option" value of 48.8m shares contingent consideration: need to check with IR!</t>
    </r>
  </si>
  <si>
    <r>
      <t xml:space="preserve">SBG specified shares amount </t>
    </r>
    <r>
      <rPr>
        <sz val="9"/>
        <color rgb="FF0000FF"/>
        <rFont val="Calibri"/>
        <family val="2"/>
        <scheme val="minor"/>
      </rPr>
      <t>= contingent consideration based on 45-day trailing VWAP &gt;$150.</t>
    </r>
  </si>
  <si>
    <r>
      <t>Details of T-Mobile share sales</t>
    </r>
    <r>
      <rPr>
        <sz val="9"/>
        <color theme="1"/>
        <rFont val="Calibri"/>
        <family val="2"/>
        <scheme val="minor"/>
      </rPr>
      <t>:</t>
    </r>
  </si>
  <si>
    <t>Public offering in the US by T-Mobile</t>
  </si>
  <si>
    <t>Private placement through a trust by T-Mobile</t>
  </si>
  <si>
    <r>
      <t>Sale by T-Mobile to Marcelo Claure</t>
    </r>
    <r>
      <rPr>
        <sz val="9"/>
        <color rgb="FF0000FF"/>
        <rFont val="Calibri"/>
        <family val="2"/>
        <scheme val="minor"/>
      </rPr>
      <t xml:space="preserve"> = Board Director of T-Mobile.</t>
    </r>
  </si>
  <si>
    <t>Rights offering by T-Mobile</t>
  </si>
  <si>
    <t>Total T-Mobile shares sold during 1Q20</t>
  </si>
  <si>
    <t>Total borrowings i.e., margin loan against T-Mobile shares ¥bn</t>
  </si>
  <si>
    <t>Less: portion guaranteed by SBG</t>
  </si>
  <si>
    <t>Effective borrowings i.e., margin loan against T-Mobile shares ¥bn</t>
  </si>
  <si>
    <t>Add: derivative financial asset for 48.8m contingent consideration</t>
  </si>
  <si>
    <t>Less: derivative financial liability for shares subject to DT call option</t>
  </si>
  <si>
    <t>Derivative financial asset for 48.8m contingent consideration</t>
  </si>
  <si>
    <t>Derivative financial liability for shares subject to DT call option</t>
  </si>
  <si>
    <t>= note SBG's intention to sell further 20m of T-Mobile shares to DT post-DT's sale of T-Mobile Netherlands.</t>
  </si>
  <si>
    <t>= decrease due to DT exercising 45.4m call option on T-Mobile shares: exchanged for 225m DT shares.</t>
  </si>
  <si>
    <t>= prior $4.4bn T-Mobile collateralised borrowings, of which $2.1bn guaranteed by SBG = repaid/replaced.</t>
  </si>
  <si>
    <r>
      <t xml:space="preserve">Less: call options with "fixed" strike price &amp; prepaid forward contracts </t>
    </r>
    <r>
      <rPr>
        <sz val="9"/>
        <color rgb="FFFF0000"/>
        <rFont val="Calibri"/>
        <family val="2"/>
        <scheme val="minor"/>
      </rPr>
      <t>= shares without true "economic" exposure.</t>
    </r>
  </si>
  <si>
    <t>= subject to DT call option at "fixed" $103 strike.</t>
  </si>
  <si>
    <t>= 20m of remaining 60.9m shares to be sold to DT for $2.4bn upon its sale of T-Mobile Netherlands.</t>
  </si>
  <si>
    <t>SBG EoP net T-Mobile shares</t>
  </si>
  <si>
    <t>% real economic ownership</t>
  </si>
  <si>
    <r>
      <t xml:space="preserve">% real economic ownership </t>
    </r>
    <r>
      <rPr>
        <sz val="9"/>
        <color rgb="FF0000FF"/>
        <rFont val="Calibri"/>
        <family val="2"/>
        <scheme val="minor"/>
      </rPr>
      <t>= assumes successful exercise of 48.8m shares contingent consideration.</t>
    </r>
  </si>
  <si>
    <t>of which Prepaid forward contracts</t>
  </si>
  <si>
    <t>of which Margin loan borrowings</t>
  </si>
  <si>
    <t>= can use Note 11 "Option contracts to which hedge accounting is not applied" in quarterly Consolidated Financial Reports.</t>
  </si>
  <si>
    <t>= careful: new formula.</t>
  </si>
  <si>
    <r>
      <t xml:space="preserve">Contingent value rights </t>
    </r>
    <r>
      <rPr>
        <sz val="9"/>
        <color rgb="FF0000FF"/>
        <rFont val="Calibri"/>
        <family val="2"/>
        <scheme val="minor"/>
      </rPr>
      <t>= 3.6m T-Mobile shares vested 1 June '23.</t>
    </r>
  </si>
  <si>
    <t>= vested on 1 June '23 so moves to SBG EoP T-Mobile shares (above).</t>
  </si>
  <si>
    <t>= 45-day trailing VWAP condition reached in December '23.</t>
  </si>
  <si>
    <t>SBG total value of equity holdings net of asset-backed finance ex-Arm Holdings</t>
  </si>
  <si>
    <t>Less: NAV ex-Arm Holdings</t>
  </si>
  <si>
    <t>= DT has a useful "Shareholder structure" website for EoP shares outstanding (millions) plus SBG's DT shares held: see comment for link.</t>
  </si>
  <si>
    <t>Delhivery Ltd.</t>
  </si>
  <si>
    <t>= cannot find % ownership on S&amp;P Capital IQ despite &gt;5% stake.</t>
  </si>
  <si>
    <t>= held via SVF Doorbell (Cayman) Ltd per S&amp;P Capital IQ disclosures.</t>
  </si>
  <si>
    <t>Compass, Inc.</t>
  </si>
  <si>
    <t>Delhivery Limited shares outstanding (millions)</t>
  </si>
  <si>
    <t>Compass, Inc. shares outstanding (millions)</t>
  </si>
  <si>
    <t>One97 Communications Limited (Paytm)</t>
  </si>
  <si>
    <t>= assumes Paytm stake down to 2% by end March '24: clearly exiting investment.</t>
  </si>
  <si>
    <t>Relay Therapeutics, Inc.</t>
  </si>
  <si>
    <t>One97 Communications Limited (Paytm) shares outstanding (millions)</t>
  </si>
  <si>
    <t>Auto 1 Group SE</t>
  </si>
  <si>
    <t>US$ vs. €</t>
  </si>
  <si>
    <t>Relay Therapeutics, Inc. shares outstanding (millions)</t>
  </si>
  <si>
    <r>
      <t xml:space="preserve">Total SVF1 publicly listed companies </t>
    </r>
    <r>
      <rPr>
        <sz val="9"/>
        <color rgb="FF0070C0"/>
        <rFont val="Calibri"/>
        <family val="2"/>
        <scheme val="minor"/>
      </rPr>
      <t>= fair value at quarter end.</t>
    </r>
  </si>
  <si>
    <r>
      <t xml:space="preserve">Total SVF1 publicly listed companies </t>
    </r>
    <r>
      <rPr>
        <sz val="9"/>
        <color rgb="FF0070C0"/>
        <rFont val="Calibri"/>
        <family val="2"/>
        <scheme val="minor"/>
      </rPr>
      <t>= acquisition cost at quarter end.</t>
    </r>
  </si>
  <si>
    <t>Share price at quarter end/during quarter €</t>
  </si>
  <si>
    <t>= using S&amp;P Capital IQ.</t>
  </si>
  <si>
    <t>Auto 1 Group SE shares outstanding (millions)</t>
  </si>
  <si>
    <t>Aurora Innovation Inc.</t>
  </si>
  <si>
    <t>Vir Biotechnology, Inc.</t>
  </si>
  <si>
    <t>Energy Vault, Inc.</t>
  </si>
  <si>
    <t>Ginkgo Bioworks Holdings, Inc.</t>
  </si>
  <si>
    <t>Getaround, Inc.</t>
  </si>
  <si>
    <t>View, Inc.</t>
  </si>
  <si>
    <t>OneConnect Financial Technology Co.,</t>
  </si>
  <si>
    <r>
      <t>Share prices of minor SVF1 holdings</t>
    </r>
    <r>
      <rPr>
        <sz val="9"/>
        <color theme="0" tint="-0.499984740745262"/>
        <rFont val="Calibri"/>
        <family val="2"/>
        <scheme val="minor"/>
      </rPr>
      <t>:</t>
    </r>
  </si>
  <si>
    <t>SVF1 IPO'd companies acquisition cost $m</t>
  </si>
  <si>
    <t>SVF1 IPO'd companies fair value $m</t>
  </si>
  <si>
    <t>SVF1 Privately held companies</t>
  </si>
  <si>
    <t>ByteDance</t>
  </si>
  <si>
    <r>
      <t>SVF1 Privately held companies</t>
    </r>
    <r>
      <rPr>
        <sz val="9"/>
        <color theme="1"/>
        <rFont val="Calibri"/>
        <family val="2"/>
        <scheme val="minor"/>
      </rPr>
      <t xml:space="preserve">: </t>
    </r>
    <r>
      <rPr>
        <sz val="9"/>
        <color rgb="FF0070C0"/>
        <rFont val="Calibri"/>
        <family val="2"/>
        <scheme val="minor"/>
      </rPr>
      <t>= fair value at quarter end.</t>
    </r>
  </si>
  <si>
    <r>
      <t>SVF1 Privately held companies</t>
    </r>
    <r>
      <rPr>
        <sz val="9"/>
        <color theme="1"/>
        <rFont val="Calibri"/>
        <family val="2"/>
        <scheme val="minor"/>
      </rPr>
      <t xml:space="preserve">: </t>
    </r>
    <r>
      <rPr>
        <sz val="9"/>
        <color rgb="FF0070C0"/>
        <rFont val="Calibri"/>
        <family val="2"/>
        <scheme val="minor"/>
      </rPr>
      <t>= acquisition cost at quarter end.</t>
    </r>
  </si>
  <si>
    <t>OYO</t>
  </si>
  <si>
    <t>Fanatics</t>
  </si>
  <si>
    <r>
      <t xml:space="preserve">Total SVF1 Privately held companies </t>
    </r>
    <r>
      <rPr>
        <sz val="9"/>
        <color rgb="FF0070C0"/>
        <rFont val="Calibri"/>
        <family val="2"/>
        <scheme val="minor"/>
      </rPr>
      <t>= fair value at quarter end.</t>
    </r>
  </si>
  <si>
    <r>
      <t xml:space="preserve">Total SVF1 Privately held companies </t>
    </r>
    <r>
      <rPr>
        <sz val="9"/>
        <color rgb="FF0070C0"/>
        <rFont val="Calibri"/>
        <family val="2"/>
        <scheme val="minor"/>
      </rPr>
      <t>= acquisition cost at quarter end.</t>
    </r>
  </si>
  <si>
    <t>Number of privately held companies</t>
  </si>
  <si>
    <t>Number of privately held companies ex. ByteDance, OYO and Fanatics</t>
  </si>
  <si>
    <t>Average fair value per company ex. ByteDance, OYO and Fanatics $m</t>
  </si>
  <si>
    <t>= &lt;10% of SBIA's est. ByteDance valuation is attributable to TikTok US.</t>
  </si>
  <si>
    <t>SVF1 Privately held companies fair value $m</t>
  </si>
  <si>
    <t>SVF1 Privately held companies acquisition cost $m</t>
  </si>
  <si>
    <t>SVF1 Publicly listed companies</t>
  </si>
  <si>
    <t>WeWork Inc. = filed for Chapter 11 bankruptcy in November '23.</t>
  </si>
  <si>
    <t>Acquisition cost of investments exited during period $m</t>
  </si>
  <si>
    <r>
      <t xml:space="preserve">MOIC on exited investments during period </t>
    </r>
    <r>
      <rPr>
        <sz val="9"/>
        <color rgb="FF0000FF"/>
        <rFont val="Calibri"/>
        <family val="2"/>
        <scheme val="minor"/>
      </rPr>
      <t>= multiple on invested capital</t>
    </r>
  </si>
  <si>
    <r>
      <t xml:space="preserve">Fair value of exited investments at exit date $m </t>
    </r>
    <r>
      <rPr>
        <sz val="9"/>
        <color rgb="FF0000FF"/>
        <rFont val="Calibri"/>
        <family val="2"/>
        <scheme val="minor"/>
      </rPr>
      <t>= effectively periodic delta on Distributions</t>
    </r>
  </si>
  <si>
    <t>= important formula change with disclosure of Cumulative investment cost and investment return: see comment for details.</t>
  </si>
  <si>
    <t>= we can only really "model" monetisations/exits of SVF1 public companies.</t>
  </si>
  <si>
    <t xml:space="preserve">= SVF1 debt paid down with first $4.1bn Arm receivable tranche received August '23. </t>
  </si>
  <si>
    <t>% of total distributions during period</t>
  </si>
  <si>
    <t>Total investment return during period $m</t>
  </si>
  <si>
    <t>of which 7% p.a. Preferred equity return</t>
  </si>
  <si>
    <t>of which Third-party Ordinary equity return</t>
  </si>
  <si>
    <t>of which SBG Ordinary equity return</t>
  </si>
  <si>
    <t>SBG % share of Ordinary equity</t>
  </si>
  <si>
    <t>Third-party % share of Ordinary equity</t>
  </si>
  <si>
    <t>of which Ordinary equity return</t>
  </si>
  <si>
    <t>% SVF1 net profit belonging to SBG before Management &amp; Performance fees</t>
  </si>
  <si>
    <t>ByteDance Valuation &amp; Comps.</t>
  </si>
  <si>
    <r>
      <t>ByteDance</t>
    </r>
    <r>
      <rPr>
        <sz val="9"/>
        <color theme="1"/>
        <rFont val="Calibri"/>
        <family val="2"/>
        <scheme val="minor"/>
      </rPr>
      <t>:</t>
    </r>
  </si>
  <si>
    <t>Total revenues</t>
  </si>
  <si>
    <t>% EBITDA margin</t>
  </si>
  <si>
    <r>
      <t>Meta</t>
    </r>
    <r>
      <rPr>
        <sz val="9"/>
        <color theme="1"/>
        <rFont val="Calibri"/>
        <family val="2"/>
        <scheme val="minor"/>
      </rPr>
      <t>:</t>
    </r>
  </si>
  <si>
    <t>D&amp;A</t>
  </si>
  <si>
    <t>% of revenues</t>
  </si>
  <si>
    <t>EBIT</t>
  </si>
  <si>
    <t>EBITDA</t>
  </si>
  <si>
    <t>% EBIT margin</t>
  </si>
  <si>
    <r>
      <t>Alibaba</t>
    </r>
    <r>
      <rPr>
        <sz val="9"/>
        <color theme="1"/>
        <rFont val="Calibri"/>
        <family val="2"/>
        <scheme val="minor"/>
      </rPr>
      <t>:</t>
    </r>
  </si>
  <si>
    <r>
      <t>Tencent</t>
    </r>
    <r>
      <rPr>
        <sz val="9"/>
        <color theme="1"/>
        <rFont val="Calibri"/>
        <family val="2"/>
        <scheme val="minor"/>
      </rPr>
      <t>:</t>
    </r>
  </si>
  <si>
    <r>
      <t>JD.com</t>
    </r>
    <r>
      <rPr>
        <sz val="9"/>
        <color theme="1"/>
        <rFont val="Calibri"/>
        <family val="2"/>
        <scheme val="minor"/>
      </rPr>
      <t>:</t>
    </r>
  </si>
  <si>
    <r>
      <t>Amazon</t>
    </r>
    <r>
      <rPr>
        <sz val="9"/>
        <color theme="1"/>
        <rFont val="Calibri"/>
        <family val="2"/>
        <scheme val="minor"/>
      </rPr>
      <t>:</t>
    </r>
  </si>
  <si>
    <t>year ending December</t>
  </si>
  <si>
    <t>Less: net debt</t>
  </si>
  <si>
    <t>Enterprise value</t>
  </si>
  <si>
    <t>= negative figure: net cash.</t>
  </si>
  <si>
    <r>
      <t xml:space="preserve">EBITDA </t>
    </r>
    <r>
      <rPr>
        <sz val="9"/>
        <color rgb="FF0070C0"/>
        <rFont val="Calibri"/>
        <family val="2"/>
        <scheme val="minor"/>
      </rPr>
      <t>= excluding SBC</t>
    </r>
  </si>
  <si>
    <t>EV/EBITDA</t>
  </si>
  <si>
    <t>EV/EBIT</t>
  </si>
  <si>
    <r>
      <t xml:space="preserve">D&amp;A </t>
    </r>
    <r>
      <rPr>
        <sz val="9"/>
        <color rgb="FF0070C0"/>
        <rFont val="Calibri"/>
        <family val="2"/>
        <scheme val="minor"/>
      </rPr>
      <t>= Arete est.</t>
    </r>
  </si>
  <si>
    <r>
      <t xml:space="preserve">EBITDA </t>
    </r>
    <r>
      <rPr>
        <sz val="9"/>
        <color rgb="FF0070C0"/>
        <rFont val="Calibri"/>
        <family val="2"/>
        <scheme val="minor"/>
      </rPr>
      <t>= adjusted.</t>
    </r>
  </si>
  <si>
    <r>
      <t xml:space="preserve">EBITDA </t>
    </r>
    <r>
      <rPr>
        <sz val="9"/>
        <color rgb="FFFF0000"/>
        <rFont val="Calibri"/>
        <family val="2"/>
        <scheme val="minor"/>
      </rPr>
      <t>= GAAP.</t>
    </r>
  </si>
  <si>
    <t>Non-GAAP EBITDA adjustment</t>
  </si>
  <si>
    <r>
      <t xml:space="preserve">EBIT </t>
    </r>
    <r>
      <rPr>
        <sz val="9"/>
        <color rgb="FFFF0000"/>
        <rFont val="Calibri"/>
        <family val="2"/>
        <scheme val="minor"/>
      </rPr>
      <t>= GAAP.</t>
    </r>
  </si>
  <si>
    <r>
      <t xml:space="preserve">EBIT </t>
    </r>
    <r>
      <rPr>
        <sz val="9"/>
        <color rgb="FF0070C0"/>
        <rFont val="Calibri"/>
        <family val="2"/>
        <scheme val="minor"/>
      </rPr>
      <t>= adjusted.</t>
    </r>
  </si>
  <si>
    <t>EV/sales</t>
  </si>
  <si>
    <t>CNY vs. US$ exchange rate</t>
  </si>
  <si>
    <t>= Tencent figures in CNY so reset FX rate when resetting formulae below.</t>
  </si>
  <si>
    <r>
      <t xml:space="preserve">EBIT </t>
    </r>
    <r>
      <rPr>
        <sz val="9"/>
        <color rgb="FFFF0000"/>
        <rFont val="Calibri"/>
        <family val="2"/>
        <scheme val="minor"/>
      </rPr>
      <t>= unadjusted.</t>
    </r>
  </si>
  <si>
    <t>Non-GAAP EBIT adjustment</t>
  </si>
  <si>
    <t>= note adjusted EBIT numbers taken from Visible Alpha.</t>
  </si>
  <si>
    <r>
      <t xml:space="preserve">EBITDA </t>
    </r>
    <r>
      <rPr>
        <sz val="9"/>
        <color rgb="FFFF0000"/>
        <rFont val="Calibri"/>
        <family val="2"/>
        <scheme val="minor"/>
      </rPr>
      <t>= unadjusted.</t>
    </r>
  </si>
  <si>
    <r>
      <t>Multiples premia to Alibaba</t>
    </r>
    <r>
      <rPr>
        <sz val="9"/>
        <color theme="1"/>
        <rFont val="Calibri"/>
        <family val="2"/>
        <scheme val="minor"/>
      </rPr>
      <t>:</t>
    </r>
  </si>
  <si>
    <r>
      <t>Multiples premia to Tencent</t>
    </r>
    <r>
      <rPr>
        <sz val="9"/>
        <color theme="1"/>
        <rFont val="Calibri"/>
        <family val="2"/>
        <scheme val="minor"/>
      </rPr>
      <t>:</t>
    </r>
  </si>
  <si>
    <t>Operational leverage</t>
  </si>
  <si>
    <t>Buyback equity value: lower</t>
  </si>
  <si>
    <t>Buyback equity value: higher</t>
  </si>
  <si>
    <t>= based on $160 per share/$268bn valuation per December '23 employee buyback.</t>
  </si>
  <si>
    <t>= based on $176 per share/$295bn valuation per 1Q24 vesting of employee stock options.</t>
  </si>
  <si>
    <r>
      <t>Alphabet</t>
    </r>
    <r>
      <rPr>
        <sz val="9"/>
        <color theme="1"/>
        <rFont val="Calibri"/>
        <family val="2"/>
        <scheme val="minor"/>
      </rPr>
      <t>:</t>
    </r>
  </si>
  <si>
    <r>
      <t xml:space="preserve">of which China </t>
    </r>
    <r>
      <rPr>
        <sz val="9"/>
        <color rgb="FF0070C0"/>
        <rFont val="Calibri"/>
        <family val="2"/>
        <scheme val="minor"/>
      </rPr>
      <t>= Douyin i.e., Chinese TikTok and Chinese news app Toutiao</t>
    </r>
  </si>
  <si>
    <r>
      <t xml:space="preserve">of which TikTok </t>
    </r>
    <r>
      <rPr>
        <sz val="9"/>
        <color rgb="FF0070C0"/>
        <rFont val="Calibri"/>
        <family val="2"/>
        <scheme val="minor"/>
      </rPr>
      <t>= simplistically "ByteDance International"</t>
    </r>
  </si>
  <si>
    <t>= see April '23 FT article: "about $70bn" China vs. "about $15bn" International.</t>
  </si>
  <si>
    <r>
      <t xml:space="preserve">of which TikTok Europe </t>
    </r>
    <r>
      <rPr>
        <sz val="9"/>
        <color rgb="FF0070C0"/>
        <rFont val="Calibri"/>
        <family val="2"/>
        <scheme val="minor"/>
      </rPr>
      <t>= European accounts filed at UK Companies House</t>
    </r>
  </si>
  <si>
    <r>
      <t xml:space="preserve">of which TikTok US </t>
    </r>
    <r>
      <rPr>
        <sz val="9"/>
        <color rgb="FFFF0000"/>
        <rFont val="Calibri"/>
        <family val="2"/>
        <scheme val="minor"/>
      </rPr>
      <t>= subject to ban per April '24 foreign security bill.</t>
    </r>
  </si>
  <si>
    <t>of which TikTok ex-US/ex-Europe</t>
  </si>
  <si>
    <t>= uses Operating income as D&amp;A immaterial.</t>
  </si>
  <si>
    <t>Total % EBITDA margin</t>
  </si>
  <si>
    <t>Total % revenue growth</t>
  </si>
  <si>
    <t>Opex</t>
  </si>
  <si>
    <t>Total opex</t>
  </si>
  <si>
    <r>
      <t>ByteDance separate valuation</t>
    </r>
    <r>
      <rPr>
        <sz val="9"/>
        <color theme="1"/>
        <rFont val="Calibri"/>
        <family val="2"/>
        <scheme val="minor"/>
      </rPr>
      <t>:</t>
    </r>
  </si>
  <si>
    <t>ByteDance International</t>
  </si>
  <si>
    <t>= Alphabet could be another possible comp. because of YouTube etc etc.</t>
  </si>
  <si>
    <t>'24</t>
  </si>
  <si>
    <t>'27</t>
  </si>
  <si>
    <t>= Meta '27 EV/EBITDA comp. with 25% valuation discount.</t>
  </si>
  <si>
    <t>= EV/EBITDA comp. with Tencent in '24 with 20% valuation discount.</t>
  </si>
  <si>
    <t>ByteDance China "base case"</t>
  </si>
  <si>
    <t>ByteDance China "bearish"</t>
  </si>
  <si>
    <t>= using Alibaba EV/EBITDA multiples as "loose" reference point.</t>
  </si>
  <si>
    <t>1Q25</t>
  </si>
  <si>
    <t>2Q25</t>
  </si>
  <si>
    <t>3Q25</t>
  </si>
  <si>
    <t>4Q25</t>
  </si>
  <si>
    <t>FY25</t>
  </si>
  <si>
    <t>Jun. '25</t>
  </si>
  <si>
    <t>Sep. '25</t>
  </si>
  <si>
    <t>Dec. '25</t>
  </si>
  <si>
    <t>= year ending 31 March '26.</t>
  </si>
  <si>
    <r>
      <t xml:space="preserve">Fair value of SBG's total equity in SVF1 </t>
    </r>
    <r>
      <rPr>
        <sz val="9"/>
        <color rgb="FF0000FF"/>
        <rFont val="Calibri"/>
        <family val="2"/>
        <scheme val="minor"/>
      </rPr>
      <t>= excludes proportionate share of $8.2bn ARM holding/$16.1bn ARM receivable.</t>
    </r>
  </si>
  <si>
    <t>= second $4.1bn Arm tranche paid in August '24.</t>
  </si>
  <si>
    <t>Arm receivable cash tranches</t>
  </si>
  <si>
    <t>1Q26</t>
  </si>
  <si>
    <t>2Q26</t>
  </si>
  <si>
    <t>3Q26</t>
  </si>
  <si>
    <t>4Q26</t>
  </si>
  <si>
    <t>FY26</t>
  </si>
  <si>
    <t>Jun. '26</t>
  </si>
  <si>
    <t>Sep. '26</t>
  </si>
  <si>
    <t>Dec. '26</t>
  </si>
  <si>
    <t>Jun. '27</t>
  </si>
  <si>
    <t>1Q27</t>
  </si>
  <si>
    <t>2Q27</t>
  </si>
  <si>
    <t>3Q27</t>
  </si>
  <si>
    <t>4Q27</t>
  </si>
  <si>
    <t>FY27</t>
  </si>
  <si>
    <t>= year ending 31 March '27.</t>
  </si>
  <si>
    <t>Sep. '27</t>
  </si>
  <si>
    <t>Dec. '27</t>
  </si>
  <si>
    <t>Jun. '28</t>
  </si>
  <si>
    <t>1Q28</t>
  </si>
  <si>
    <t>Sep. '28</t>
  </si>
  <si>
    <t>2Q28</t>
  </si>
  <si>
    <t>Dec. '28</t>
  </si>
  <si>
    <t>3Q28</t>
  </si>
  <si>
    <t>4Q28</t>
  </si>
  <si>
    <t>FY28</t>
  </si>
  <si>
    <t>= year ending 31 March '28.</t>
  </si>
  <si>
    <t>= year ending 31 March '29.</t>
  </si>
  <si>
    <t>Jun. '29</t>
  </si>
  <si>
    <t>1Q29</t>
  </si>
  <si>
    <t>Sep. '29</t>
  </si>
  <si>
    <t>2Q29</t>
  </si>
  <si>
    <t>Dec. '29</t>
  </si>
  <si>
    <t>3Q29</t>
  </si>
  <si>
    <t>4Q29</t>
  </si>
  <si>
    <t>FY29</t>
  </si>
  <si>
    <t>= year ending 31 March '30.</t>
  </si>
  <si>
    <t>= year ending 31 March '31.</t>
  </si>
  <si>
    <t>1Q30</t>
  </si>
  <si>
    <t>2Q30</t>
  </si>
  <si>
    <t>3Q30</t>
  </si>
  <si>
    <t>4Q30</t>
  </si>
  <si>
    <t>FY30</t>
  </si>
  <si>
    <t>= $4.1bn August '24.</t>
  </si>
  <si>
    <t>= $4.1bn February '25.</t>
  </si>
  <si>
    <t>= cost of equity or time value of money?</t>
  </si>
  <si>
    <t>= $4.1bn August '23.</t>
  </si>
  <si>
    <t>Period</t>
  </si>
  <si>
    <r>
      <t xml:space="preserve">NPV of $16.1bn Arm receivable at August '23 </t>
    </r>
    <r>
      <rPr>
        <sz val="9"/>
        <color rgb="FF0000FF"/>
        <rFont val="Calibri"/>
        <family val="2"/>
        <scheme val="minor"/>
      </rPr>
      <t>= $16.1bn transaction value for 24.99% Arm sale.</t>
    </r>
  </si>
  <si>
    <t>= SBG disclosed at 2Q23 that receivable initially valued at $15.1bn due to discounting to PV.</t>
  </si>
  <si>
    <t>Present value at August '23</t>
  </si>
  <si>
    <t>Present value at August '24</t>
  </si>
  <si>
    <t>Present value at August '25</t>
  </si>
  <si>
    <t>Present value at February '25</t>
  </si>
  <si>
    <t>= $3.8bn August '25.</t>
  </si>
  <si>
    <t>n/a</t>
  </si>
  <si>
    <t>NPV of remaining Arm receivable at August '24</t>
  </si>
  <si>
    <t>NPV of remaining Arm receivable at February '25</t>
  </si>
  <si>
    <t>NPV of remaining Arm receivable at August '25</t>
  </si>
  <si>
    <t>= SVF1 initial fund life period ends November '29 but there is a possible two year extension option.</t>
  </si>
  <si>
    <t>= total SVF1 return CAGR to end of fund life.</t>
  </si>
  <si>
    <t>Total SVF1 return CAGR beyond two quarters</t>
  </si>
  <si>
    <t>Total SVF1 quarterly periodic return beyond two quarters</t>
  </si>
  <si>
    <r>
      <t xml:space="preserve">Periods until end of SVF1 fund life </t>
    </r>
    <r>
      <rPr>
        <sz val="9"/>
        <color rgb="FFFF0000"/>
        <rFont val="Calibri"/>
        <family val="2"/>
        <scheme val="minor"/>
      </rPr>
      <t>= November '29 with optional two year extension.</t>
    </r>
  </si>
  <si>
    <t>Fair value before exits $m</t>
  </si>
  <si>
    <t>Less: exits during period $m</t>
  </si>
  <si>
    <t>Fair value at end of period $m</t>
  </si>
  <si>
    <t>MOIC</t>
  </si>
  <si>
    <t>% taper to get back to "normalised" levels</t>
  </si>
  <si>
    <t>= currently make assumption that Preferred equity capital paid off aroun 1yr prior to end of SVF1 fund life.</t>
  </si>
  <si>
    <r>
      <t xml:space="preserve">= need to review before using: VC index is </t>
    </r>
    <r>
      <rPr>
        <i/>
        <sz val="9"/>
        <color rgb="FFFF0000"/>
        <rFont val="Calibri"/>
        <family val="2"/>
        <scheme val="minor"/>
      </rPr>
      <t>before</t>
    </r>
    <r>
      <rPr>
        <sz val="9"/>
        <color rgb="FFFF0000"/>
        <rFont val="Calibri"/>
        <family val="2"/>
        <scheme val="minor"/>
      </rPr>
      <t xml:space="preserve"> management fees whereas SVF is currently </t>
    </r>
    <r>
      <rPr>
        <i/>
        <sz val="9"/>
        <color rgb="FFFF0000"/>
        <rFont val="Calibri"/>
        <family val="2"/>
        <scheme val="minor"/>
      </rPr>
      <t>post</t>
    </r>
    <r>
      <rPr>
        <sz val="9"/>
        <color rgb="FFFF0000"/>
        <rFont val="Calibri"/>
        <family val="2"/>
        <scheme val="minor"/>
      </rPr>
      <t xml:space="preserve"> management fees!</t>
    </r>
  </si>
  <si>
    <t>SVF1 Fund gross profit</t>
  </si>
  <si>
    <t>SVF1 Fund net profit</t>
  </si>
  <si>
    <t>Add: 1% p.a. management fee</t>
  </si>
  <si>
    <t>= from two quarters out we switch to modelling an SVF1 net profit CAGR: see SVF1 tab.</t>
  </si>
  <si>
    <t>Management fee taper to normalisation</t>
  </si>
  <si>
    <t>= used because SVF1 currently so far "underwater" vs. 7% p.a. Preferred equity hurdle rate.</t>
  </si>
  <si>
    <t>= different methodology from two quarters out.</t>
  </si>
  <si>
    <t>= change of methodology/formula.</t>
  </si>
  <si>
    <t>= need to copy across correct formula to the right dependent on whether positive/negative return during period.</t>
  </si>
  <si>
    <t>= includes Third-party ordinary equity share of Arm receivable distribution.</t>
  </si>
  <si>
    <r>
      <t xml:space="preserve">= acquisition cost should be </t>
    </r>
    <r>
      <rPr>
        <i/>
        <sz val="9"/>
        <color rgb="FFFF0000"/>
        <rFont val="Calibri"/>
        <family val="2"/>
        <scheme val="minor"/>
      </rPr>
      <t>at least</t>
    </r>
    <r>
      <rPr>
        <sz val="9"/>
        <color rgb="FFFF0000"/>
        <rFont val="Calibri"/>
        <family val="2"/>
        <scheme val="minor"/>
      </rPr>
      <t xml:space="preserve"> $3.2bn for We Work write-off to zero/bankruptcy.</t>
    </r>
  </si>
  <si>
    <t>= note change in methodology/formula to link to SVF1 tab.</t>
  </si>
  <si>
    <t>SVF2 Publicly listed companies</t>
  </si>
  <si>
    <r>
      <t>SVF2 Publicly listed companies</t>
    </r>
    <r>
      <rPr>
        <sz val="9"/>
        <color theme="1"/>
        <rFont val="Calibri"/>
        <family val="2"/>
        <scheme val="minor"/>
      </rPr>
      <t xml:space="preserve">: </t>
    </r>
    <r>
      <rPr>
        <sz val="9"/>
        <color rgb="FF0070C0"/>
        <rFont val="Calibri"/>
        <family val="2"/>
        <scheme val="minor"/>
      </rPr>
      <t>= fair value at quarter end.</t>
    </r>
  </si>
  <si>
    <t>AutoStore Holdings Ltd.</t>
  </si>
  <si>
    <t>Symbotic Inc.</t>
  </si>
  <si>
    <t>Neumora Therapeutics, Inc.</t>
  </si>
  <si>
    <r>
      <t>SVF2 Publicly listed companies</t>
    </r>
    <r>
      <rPr>
        <sz val="9"/>
        <color theme="1"/>
        <rFont val="Calibri"/>
        <family val="2"/>
        <scheme val="minor"/>
      </rPr>
      <t xml:space="preserve">: </t>
    </r>
    <r>
      <rPr>
        <sz val="9"/>
        <color rgb="FF0070C0"/>
        <rFont val="Calibri"/>
        <family val="2"/>
        <scheme val="minor"/>
      </rPr>
      <t>= acquisition cost at quarter end.</t>
    </r>
  </si>
  <si>
    <t>Share price at quarter end/during quarter Norwegian Krone</t>
  </si>
  <si>
    <t>US$ vs. Norwegian Krone</t>
  </si>
  <si>
    <t>Source: Financial Times.</t>
  </si>
  <si>
    <t>Number of shares held by SVF2 at quarter end/during quarter = millions</t>
  </si>
  <si>
    <t>Shares sold by SVF2 during quarter (millions)</t>
  </si>
  <si>
    <t>AutoStore Holdings Ltd. shares outstanding (millions)</t>
  </si>
  <si>
    <t>Symbotic Inc. shares outstanding (millions)</t>
  </si>
  <si>
    <t>= need to check % ownership with IR: some of Symbotic stake held outside of SVF2.</t>
  </si>
  <si>
    <t>Neumora Therapeutics, Inc. shares outstanding (millions)</t>
  </si>
  <si>
    <t>JD Logistics, Inc.</t>
  </si>
  <si>
    <t>Keep Inc.</t>
  </si>
  <si>
    <t>IonQ, Inc.</t>
  </si>
  <si>
    <t>Beisen Holding Limited</t>
  </si>
  <si>
    <t>DingDong (Cayman) Limited</t>
  </si>
  <si>
    <t>Seer, Inc.</t>
  </si>
  <si>
    <t>Globalstar, Inc.</t>
  </si>
  <si>
    <r>
      <t>Share prices of minor SVF2 holdings</t>
    </r>
    <r>
      <rPr>
        <sz val="9"/>
        <color theme="0" tint="-0.499984740745262"/>
        <rFont val="Calibri"/>
        <family val="2"/>
        <scheme val="minor"/>
      </rPr>
      <t>:</t>
    </r>
  </si>
  <si>
    <r>
      <t xml:space="preserve">JD Logistics, Inc. </t>
    </r>
    <r>
      <rPr>
        <sz val="9"/>
        <color rgb="FF0000FF"/>
        <rFont val="Calibri"/>
        <family val="2"/>
        <scheme val="minor"/>
      </rPr>
      <t>= share price in HK$.</t>
    </r>
  </si>
  <si>
    <r>
      <t xml:space="preserve">Keep Inc. </t>
    </r>
    <r>
      <rPr>
        <sz val="9"/>
        <color rgb="FF0000FF"/>
        <rFont val="Calibri"/>
        <family val="2"/>
        <scheme val="minor"/>
      </rPr>
      <t>= share price in HK$.</t>
    </r>
  </si>
  <si>
    <r>
      <t xml:space="preserve">Better Holdco Inc. </t>
    </r>
    <r>
      <rPr>
        <sz val="9"/>
        <color rgb="FFFF0000"/>
        <rFont val="Calibri"/>
        <family val="2"/>
        <scheme val="minor"/>
      </rPr>
      <t>= need to check company with IR.</t>
    </r>
  </si>
  <si>
    <t>Qingdao AInnovation Technology Group Co., Ltd.</t>
  </si>
  <si>
    <r>
      <t xml:space="preserve">Qingdao AInnovation Technology Group Co., Ltd. = </t>
    </r>
    <r>
      <rPr>
        <sz val="9"/>
        <color rgb="FF0000FF"/>
        <rFont val="Calibri"/>
        <family val="2"/>
        <scheme val="minor"/>
      </rPr>
      <t>share price in HK$.</t>
    </r>
  </si>
  <si>
    <t>% qoq return</t>
  </si>
  <si>
    <t>Pear Therapeutics, Inc. = filed for Chapter 11 bankruptcy April '23.</t>
  </si>
  <si>
    <t>SVF2 IPO'd companies fair value $m</t>
  </si>
  <si>
    <t>SVF2 IPO'd companies acquisition cost $m</t>
  </si>
  <si>
    <t>SVF2 Privately held companies</t>
  </si>
  <si>
    <t>SVF2 Privately held companies fair value $m</t>
  </si>
  <si>
    <t>SVF2 Privately held companies acquisition cost $m</t>
  </si>
  <si>
    <t>Average fair value per company $m</t>
  </si>
  <si>
    <t>= formula adjustment to account for MOIC of "realised" investments during period: see SVF1 calcs.</t>
  </si>
  <si>
    <t>Cumulative investment return as % of cumulative acquisition cost $m</t>
  </si>
  <si>
    <r>
      <t xml:space="preserve">= in July '23 i.e., 2Q21 MgmtCo becomes a 17.25% in SVF2 LLC: see 2Q21 Consolidated Financial Report for details, but simplistically MgmtCo </t>
    </r>
    <r>
      <rPr>
        <i/>
        <sz val="9"/>
        <color rgb="FFFF0000"/>
        <rFont val="Calibri"/>
        <family val="2"/>
        <scheme val="minor"/>
      </rPr>
      <t>cannot</t>
    </r>
    <r>
      <rPr>
        <sz val="9"/>
        <color rgb="FFFF0000"/>
        <rFont val="Calibri"/>
        <family val="2"/>
        <scheme val="minor"/>
      </rPr>
      <t xml:space="preserve"> receive distributions until cumulative investment return &gt;130% of cumulative acquisition cost.</t>
    </r>
  </si>
  <si>
    <t>MgmtCo Third-party interests $m</t>
  </si>
  <si>
    <r>
      <t xml:space="preserve">vs. SBG receivable from MgmtCo $m </t>
    </r>
    <r>
      <rPr>
        <sz val="9"/>
        <color rgb="FFFF0000"/>
        <rFont val="Calibri"/>
        <family val="2"/>
        <scheme val="minor"/>
      </rPr>
      <t xml:space="preserve">= MgmtCo did </t>
    </r>
    <r>
      <rPr>
        <i/>
        <sz val="9"/>
        <color rgb="FFFF0000"/>
        <rFont val="Calibri"/>
        <family val="2"/>
        <scheme val="minor"/>
      </rPr>
      <t>not</t>
    </r>
    <r>
      <rPr>
        <sz val="9"/>
        <color rgb="FFFF0000"/>
        <rFont val="Calibri"/>
        <family val="2"/>
        <scheme val="minor"/>
      </rPr>
      <t xml:space="preserve"> contribute cash i.e., owes $2.6bn compounded at 3% p.a.</t>
    </r>
  </si>
  <si>
    <t>SBG "net" receivable from MgmtCo</t>
  </si>
  <si>
    <t>SVF2 total fair value $m</t>
  </si>
  <si>
    <t>Less: MgmtCo Third-party minority interests $m</t>
  </si>
  <si>
    <r>
      <t xml:space="preserve">SBG equity share of SVF2 $m </t>
    </r>
    <r>
      <rPr>
        <sz val="9"/>
        <color rgb="FF0000FF"/>
        <rFont val="Calibri"/>
        <family val="2"/>
        <scheme val="minor"/>
      </rPr>
      <t>= Ordinary equity carve-out + Preferred equity in SVF2 LLC + 82.75% Ordinary equity in SVF2 LLC</t>
    </r>
  </si>
  <si>
    <t>Add: gross receivable due from MgmtCo $m</t>
  </si>
  <si>
    <t>= check with IR whether to deduct leverage although can likely "sense check" for quarters with zero Third-party interest.</t>
  </si>
  <si>
    <r>
      <t xml:space="preserve">= MgmtCo </t>
    </r>
    <r>
      <rPr>
        <i/>
        <sz val="9"/>
        <color rgb="FFFF0000"/>
        <rFont val="Calibri"/>
        <family val="2"/>
        <scheme val="minor"/>
      </rPr>
      <t>not</t>
    </r>
    <r>
      <rPr>
        <sz val="9"/>
        <color rgb="FFFF0000"/>
        <rFont val="Calibri"/>
        <family val="2"/>
        <scheme val="minor"/>
      </rPr>
      <t xml:space="preserve"> entitled to distributions until cumulative investment return &gt;130% of cumulative acquisition cost.</t>
    </r>
  </si>
  <si>
    <t>Total SVF2 return CAGR beyond two quarters</t>
  </si>
  <si>
    <t>Total SVF2 quarterly periodic return beyond two quarters</t>
  </si>
  <si>
    <r>
      <t xml:space="preserve">Total SVF2 publicly listed companies </t>
    </r>
    <r>
      <rPr>
        <sz val="9"/>
        <color rgb="FF0070C0"/>
        <rFont val="Calibri"/>
        <family val="2"/>
        <scheme val="minor"/>
      </rPr>
      <t>= acquisition cost at quarter end.</t>
    </r>
  </si>
  <si>
    <r>
      <t xml:space="preserve">Total SVF2 publicly listed companies </t>
    </r>
    <r>
      <rPr>
        <sz val="9"/>
        <color rgb="FF0070C0"/>
        <rFont val="Calibri"/>
        <family val="2"/>
        <scheme val="minor"/>
      </rPr>
      <t>= fair value at quarter end.</t>
    </r>
  </si>
  <si>
    <r>
      <t xml:space="preserve">Periods until end of SVF2 fund life </t>
    </r>
    <r>
      <rPr>
        <sz val="9"/>
        <color rgb="FFFF0000"/>
        <rFont val="Calibri"/>
        <family val="2"/>
        <scheme val="minor"/>
      </rPr>
      <t>= October '32 with optional two year extension.</t>
    </r>
  </si>
  <si>
    <t>= SVF2 fund life ends almost exactly 3yrs after fund life of SVF1: October '32 vs. November '29.</t>
  </si>
  <si>
    <t>= note change in methodology/formula to link to SVF2 tab.</t>
  </si>
  <si>
    <t>= remember: when ending fair value = $0m, acquisition cost must be at least $3bn for WeWork securities.</t>
  </si>
  <si>
    <t>= remember: we are including SBG's Preferred equity in SVF2 as "equity" not "debt".</t>
  </si>
  <si>
    <t>= using Cumulative investment return/SVF1 future modelling.</t>
  </si>
  <si>
    <t>= remember: this is an Income statement line so formula ignores Distributions during quarter.</t>
  </si>
  <si>
    <t>= using Cumulative investment return/SVF2 future modelling.</t>
  </si>
  <si>
    <t>= no requirement to model SVF2 Third-party or "MgmtCo" interests until cumulative investment return goes back "above water".</t>
  </si>
  <si>
    <t>Preferred equity as % SVF1 capital structure</t>
  </si>
  <si>
    <t>SVF1 total i.e., "unlevered" return CAGR</t>
  </si>
  <si>
    <r>
      <t xml:space="preserve">= implied p.a. "hurdle rate" for SVF1 total return CAGR </t>
    </r>
    <r>
      <rPr>
        <sz val="9"/>
        <color rgb="FF0000FF"/>
        <rFont val="Calibri"/>
        <family val="2"/>
        <scheme val="minor"/>
      </rPr>
      <t>= 7% p.a. x % capital structure Preferred equity</t>
    </r>
  </si>
  <si>
    <t>= hurdle rate achieved?</t>
  </si>
  <si>
    <t>= implied Management fee clawback?</t>
  </si>
  <si>
    <t>= clawback increasing or decreasing?</t>
  </si>
  <si>
    <t>= MgmtCo only entitled to receive SVF2 distributions once cumulative investment return &gt;130% of cumulative acquisition cost: i.e., assume Third-party interests of $0m until this point.</t>
  </si>
  <si>
    <t>= until August '25 i.e., when final $3.8bn tranche of Arm receivable paid by SBG to SVF1: SBG share of SVF1 equity looks artificially lower by amount equal to PV of remaining Arm receivable.</t>
  </si>
  <si>
    <t>= currently no need to model SVF2 Third-party interests because SVF2 LLC so far "underwater": we will model if we anticipate SVF2 cumulative investment return exceeding 130% of cumulative acquisition cost by end of fund lifetime in October '32.</t>
  </si>
  <si>
    <t>= change of formula to incorporate Arm receivable: not included in SBG's Balance sheet implied Ordinary equity.</t>
  </si>
  <si>
    <t>Total Latam Funds return CAGR beyond two quarters</t>
  </si>
  <si>
    <t>Total Latam Funds quarterly periodic return beyond two quarters</t>
  </si>
  <si>
    <r>
      <t xml:space="preserve">Periods until end of SVF1 fund life </t>
    </r>
    <r>
      <rPr>
        <sz val="9"/>
        <color rgb="FFFF0000"/>
        <rFont val="Calibri"/>
        <family val="2"/>
        <scheme val="minor"/>
      </rPr>
      <t>= 'XX with optional two year extension: need to check with SBG IR.</t>
    </r>
  </si>
  <si>
    <t>= until confirmation from IR: assume approximately similar fund life to SVF2.</t>
  </si>
  <si>
    <t>= assuming cumulative investment return reaches &gt;130% of cumulative acquisition cost, final SBG ownership % should approximate 82.75%.</t>
  </si>
  <si>
    <t>MgmtCo &amp; capital structure workings</t>
  </si>
  <si>
    <t>LatAm Funds MgmtCo receivable</t>
  </si>
  <si>
    <t>EoP receipt of capital contribution in SLA LLC and related adjustments</t>
  </si>
  <si>
    <t>Add: 3% p.a. premium on unpaid equity acquisition amount</t>
  </si>
  <si>
    <t>BoP receipt of capital contribution in SLA LLC and related adjustments</t>
  </si>
  <si>
    <t>Less: cash payments received from MgmtCo during period</t>
  </si>
  <si>
    <t>SVF2 LLC MgmtCo receivable</t>
  </si>
  <si>
    <t>Add: additional equity contributions during period</t>
  </si>
  <si>
    <t>= co-investment programme with MgmtCo established in July '21 i.e., 2Q21 first quarter of reporting on related party transactions with MgmtCo.</t>
  </si>
  <si>
    <t>Less: offsetting settlement of distributions from SVF2 LLC and receivables</t>
  </si>
  <si>
    <r>
      <t xml:space="preserve">delta </t>
    </r>
    <r>
      <rPr>
        <sz val="9"/>
        <color rgb="FFFF0000"/>
        <rFont val="Calibri"/>
        <family val="2"/>
        <scheme val="minor"/>
      </rPr>
      <t>= FX adjustment etc etc.</t>
    </r>
  </si>
  <si>
    <t>Less: MgmtCo's ordinary equity in SVF2 LLC</t>
  </si>
  <si>
    <t>SBG net receivable from MgmtCo/(MgmtCo net equity in SVF2 LLC)</t>
  </si>
  <si>
    <t>Arete est. 3% p.a. premium on unpaid equity acquisition amount</t>
  </si>
  <si>
    <t>as reported by SBG</t>
  </si>
  <si>
    <t>SBG's SVF2 NAV</t>
  </si>
  <si>
    <t>Less: SVF2 net debt $m</t>
  </si>
  <si>
    <t>SBG reported SVF2 NAV</t>
  </si>
  <si>
    <t>SBG SVF1 NAV reporting</t>
  </si>
  <si>
    <t>SVF1 total fair value $m</t>
  </si>
  <si>
    <t>Less: SVF1 net debt $m</t>
  </si>
  <si>
    <t>SBG equity share of SVF1 $m</t>
  </si>
  <si>
    <t>Less: third-party minority interests $m</t>
  </si>
  <si>
    <t>= formula switch due to introduction of SVF2/Latam Funds in SBG NAV reporting.</t>
  </si>
  <si>
    <t>= change of formula due to introduction of MgmtCo as third-party interest in SVF2 and Latam Funds.</t>
  </si>
  <si>
    <t>Adjustment for: PV of future Arm receivable</t>
  </si>
  <si>
    <t>= using prior EoP FX rate.</t>
  </si>
  <si>
    <t>Less: Third-Party interests in LatAm Funds</t>
  </si>
  <si>
    <t>Fair value of SBG's total equity in LatAm Funds</t>
  </si>
  <si>
    <t>LatAm Funds total fair value $m</t>
  </si>
  <si>
    <t>Less: LatAm Funds net debt $m</t>
  </si>
  <si>
    <r>
      <t xml:space="preserve">SBG equity share of LatAm Funds $m </t>
    </r>
    <r>
      <rPr>
        <sz val="9"/>
        <color rgb="FF0000FF"/>
        <rFont val="Calibri"/>
        <family val="2"/>
        <scheme val="minor"/>
      </rPr>
      <t>= Ordinary equity carve-out + Preferred equity in SVF2 LLC + 82.75% Ordinary equity in SVF2 LLC</t>
    </r>
  </si>
  <si>
    <t>SBG's LatAm Funds NAV</t>
  </si>
  <si>
    <t>= using Cumulative investment return/LatAm Funds future modelling.</t>
  </si>
  <si>
    <t>SG&amp;A $m</t>
  </si>
  <si>
    <t>= run-down SG&amp;A costs as currently assume SVF1 shutdown in FY29: although possible extension option of 2yrs.</t>
  </si>
  <si>
    <t>= SVF2 acquired 30.2% PayPay stake from SBG in December '21 at $1.467bn transfer value.</t>
  </si>
  <si>
    <t>= per FT article on potential PayPay IPO: PayPay est. valuation of $7bn.</t>
  </si>
  <si>
    <r>
      <t xml:space="preserve">= note: PayPay is a fully consolidated subsidiary of SoftBank Corp. and therefore of SBG i.e., SVF2's 30.2% stake is eliminated on consolidation and does </t>
    </r>
    <r>
      <rPr>
        <i/>
        <sz val="9"/>
        <color rgb="FFFF0000"/>
        <rFont val="Calibri"/>
        <family val="2"/>
        <scheme val="minor"/>
      </rPr>
      <t>not</t>
    </r>
    <r>
      <rPr>
        <sz val="9"/>
        <color rgb="FFFF0000"/>
        <rFont val="Calibri"/>
        <family val="2"/>
        <scheme val="minor"/>
      </rPr>
      <t xml:space="preserve"> appear in SVF segment Balance sheet figure.</t>
    </r>
  </si>
  <si>
    <t>PayPay % periodic return i.e., qoq</t>
  </si>
  <si>
    <t>PayPay % yoy valuation change</t>
  </si>
  <si>
    <t>Payments for acquisition of investments by LatAm Funds</t>
  </si>
  <si>
    <t>Proceeds from sales of investments by LatAm Funds</t>
  </si>
  <si>
    <t>= currently SBG reporting on LatAm Funds is limited: no disclosures given on qoq cashflow statement items.</t>
  </si>
  <si>
    <t>= SVF1 Proceeds from sales of investments excludes outstanding Arm receivables: cash inflows from SBG so eliminated upon consolidation.</t>
  </si>
  <si>
    <t>= need to check with IR whether LatAm Funds have any Preferred equity in capital structure or just "clean" 82.75% Ordinary equity SBG/17.25% Ordinary equity MgmtCo.</t>
  </si>
  <si>
    <t>= currently assuming no pathway to SVF2 LLC distributions to MgmtCo i.e., no Third-party distributions from SVF2.</t>
  </si>
  <si>
    <t>= 30.2% PayPay stake in SVF2.</t>
  </si>
  <si>
    <t>year end March ¥bn</t>
  </si>
  <si>
    <t>Share price ¥</t>
  </si>
  <si>
    <t>JPY vs. USD</t>
  </si>
  <si>
    <t>LY Corp. share price ¥</t>
  </si>
  <si>
    <t>Arete Mar. '25 target price</t>
  </si>
  <si>
    <t>LY Corp. shares outstanding (millions)</t>
  </si>
  <si>
    <t>= as at 31 December '23.</t>
  </si>
  <si>
    <t>% upside/(downside)</t>
  </si>
  <si>
    <t>= attributable to Owners of the Company.</t>
  </si>
  <si>
    <t>= 67.8% of LY Corp. effectively "minority interests"</t>
  </si>
  <si>
    <t>¥bn</t>
  </si>
  <si>
    <t>Revenue</t>
  </si>
  <si>
    <t>EBITDAaL</t>
  </si>
  <si>
    <t>Capex</t>
  </si>
  <si>
    <t>opFCF</t>
  </si>
  <si>
    <t>opFCFaL</t>
  </si>
  <si>
    <t>FCFF</t>
  </si>
  <si>
    <t>FCFE</t>
  </si>
  <si>
    <t>EV/EBITDAaL</t>
  </si>
  <si>
    <t>EV/opFCF</t>
  </si>
  <si>
    <t>EV/opFCFaL</t>
  </si>
  <si>
    <t>P/E</t>
  </si>
  <si>
    <t>P/FCF</t>
  </si>
  <si>
    <t>DPS ¥</t>
  </si>
  <si>
    <t>% dividend yield</t>
  </si>
  <si>
    <t>Dividend</t>
  </si>
  <si>
    <t>Cash dividend cover</t>
  </si>
  <si>
    <r>
      <t xml:space="preserve">Leverage </t>
    </r>
    <r>
      <rPr>
        <sz val="9"/>
        <color rgb="FF0070C0"/>
        <rFont val="Calibri"/>
        <family val="2"/>
        <scheme val="minor"/>
      </rPr>
      <t>= pre-IFRS 16</t>
    </r>
  </si>
  <si>
    <r>
      <t xml:space="preserve">Leverage </t>
    </r>
    <r>
      <rPr>
        <sz val="9"/>
        <color rgb="FF0070C0"/>
        <rFont val="Calibri"/>
        <family val="2"/>
        <scheme val="minor"/>
      </rPr>
      <t>= post-IFRS 16</t>
    </r>
  </si>
  <si>
    <t>Shares outstanding (millions)</t>
  </si>
  <si>
    <r>
      <t xml:space="preserve">Net debt (fully-loaded) ¥bn </t>
    </r>
    <r>
      <rPr>
        <sz val="9"/>
        <color rgb="FF0070C0"/>
        <rFont val="Calibri"/>
        <family val="2"/>
        <scheme val="minor"/>
      </rPr>
      <t>= pre-IFRS 16</t>
    </r>
  </si>
  <si>
    <t>Minority interests ¥bn</t>
  </si>
  <si>
    <t>Enterprise value ¥bn</t>
  </si>
  <si>
    <r>
      <t xml:space="preserve">Net debt (fully-loaded) ¥bn </t>
    </r>
    <r>
      <rPr>
        <sz val="9"/>
        <color rgb="FF0070C0"/>
        <rFont val="Calibri"/>
        <family val="2"/>
        <scheme val="minor"/>
      </rPr>
      <t>= post-IFRS 16</t>
    </r>
  </si>
  <si>
    <t>2022/23</t>
  </si>
  <si>
    <t>2023/24E</t>
  </si>
  <si>
    <t>2024/25E</t>
  </si>
  <si>
    <t>2025/26E</t>
  </si>
  <si>
    <t>2026/27E</t>
  </si>
  <si>
    <t>2027/28E</t>
  </si>
  <si>
    <t>2028/29E</t>
  </si>
  <si>
    <t>PGR</t>
  </si>
  <si>
    <t>% capital structure debt</t>
  </si>
  <si>
    <t>% cost of debt</t>
  </si>
  <si>
    <t>WACC</t>
  </si>
  <si>
    <t>% capital structure equity</t>
  </si>
  <si>
    <t>% cost of equity</t>
  </si>
  <si>
    <t>= Japanese 10yr + x% equity spread.</t>
  </si>
  <si>
    <t>TV</t>
  </si>
  <si>
    <t>% EBITDAaL margin</t>
  </si>
  <si>
    <t>Less: D&amp;A</t>
  </si>
  <si>
    <t>% effective tax rate</t>
  </si>
  <si>
    <t>% capital intensity</t>
  </si>
  <si>
    <t>Terminal value @ March '30</t>
  </si>
  <si>
    <t>DCF FCFF</t>
  </si>
  <si>
    <t>NPV (target EV)</t>
  </si>
  <si>
    <r>
      <t xml:space="preserve">Less: net debt </t>
    </r>
    <r>
      <rPr>
        <sz val="9"/>
        <color rgb="FF0070C0"/>
        <rFont val="Calibri"/>
        <family val="2"/>
        <scheme val="minor"/>
      </rPr>
      <t>= excluding lease liabilities</t>
    </r>
  </si>
  <si>
    <t>SoftBank Corp. equity</t>
  </si>
  <si>
    <t>No. of shares (millions)</t>
  </si>
  <si>
    <t>SoftBank Corp. share price ¥</t>
  </si>
  <si>
    <t>4Q23E</t>
  </si>
  <si>
    <t>FY23E</t>
  </si>
  <si>
    <t>1Q24E</t>
  </si>
  <si>
    <t>2Q24E</t>
  </si>
  <si>
    <t>3Q24E</t>
  </si>
  <si>
    <t>4Q24E</t>
  </si>
  <si>
    <t>FY24E</t>
  </si>
  <si>
    <t>1Q25E</t>
  </si>
  <si>
    <t>2Q25E</t>
  </si>
  <si>
    <t>3Q25E</t>
  </si>
  <si>
    <t>4Q25E</t>
  </si>
  <si>
    <t>FY25E</t>
  </si>
  <si>
    <t>1Q26E</t>
  </si>
  <si>
    <t>2Q26E</t>
  </si>
  <si>
    <t>3Q26E</t>
  </si>
  <si>
    <t>4Q26E</t>
  </si>
  <si>
    <t>FY26E</t>
  </si>
  <si>
    <t>1Q27E</t>
  </si>
  <si>
    <t>2Q27E</t>
  </si>
  <si>
    <t>3Q27E</t>
  </si>
  <si>
    <t>4Q27E</t>
  </si>
  <si>
    <t>FY27E</t>
  </si>
  <si>
    <t>1Q28E</t>
  </si>
  <si>
    <t>2Q28E</t>
  </si>
  <si>
    <t>3Q28E</t>
  </si>
  <si>
    <t>4Q28E</t>
  </si>
  <si>
    <t>FY28E</t>
  </si>
  <si>
    <t>Annual</t>
  </si>
  <si>
    <t>Cost of sales</t>
  </si>
  <si>
    <t>% of CoGS + SG&amp;A ex. D&amp;A and extraordinary items</t>
  </si>
  <si>
    <t>gross profit margin yoy delta</t>
  </si>
  <si>
    <t>Less: SG&amp;A</t>
  </si>
  <si>
    <t>SG&amp;A yoy delta</t>
  </si>
  <si>
    <t>% yoy opex growth</t>
  </si>
  <si>
    <t>CoGS</t>
  </si>
  <si>
    <t>SG&amp;A</t>
  </si>
  <si>
    <r>
      <t xml:space="preserve">Adjusted Operating income </t>
    </r>
    <r>
      <rPr>
        <sz val="9"/>
        <color rgb="FF0070C0"/>
        <rFont val="Calibri"/>
        <family val="2"/>
        <scheme val="minor"/>
      </rPr>
      <t>= per Consolidated tab model</t>
    </r>
  </si>
  <si>
    <t>delta vs. Consolidated reporting</t>
  </si>
  <si>
    <r>
      <t xml:space="preserve">Adjusted Operating income </t>
    </r>
    <r>
      <rPr>
        <sz val="9"/>
        <color rgb="FF0070C0"/>
        <rFont val="Calibri"/>
        <family val="2"/>
        <scheme val="minor"/>
      </rPr>
      <t>= before extraordinary items</t>
    </r>
  </si>
  <si>
    <t>% operating margin</t>
  </si>
  <si>
    <t>Add: Other operating income</t>
  </si>
  <si>
    <t>Less: Other operating expenses</t>
  </si>
  <si>
    <t>Operating income</t>
  </si>
  <si>
    <t>Gain on changes in equity interest</t>
  </si>
  <si>
    <t>Share of gains/(losses) of associates accounted for using the equity method</t>
  </si>
  <si>
    <t>Financing income</t>
  </si>
  <si>
    <t>Financing costs</t>
  </si>
  <si>
    <t>Gains/(losses) on sales of equity method investments</t>
  </si>
  <si>
    <t>Impairment loss on equity method investments</t>
  </si>
  <si>
    <t>Profit before income taxes</t>
  </si>
  <si>
    <t>% PBT margin</t>
  </si>
  <si>
    <t>Less: income taxes</t>
  </si>
  <si>
    <t>% corporate tax rate</t>
  </si>
  <si>
    <t>% net profit margin</t>
  </si>
  <si>
    <t>Net income attributable to:</t>
  </si>
  <si>
    <t>Owners of the Company</t>
  </si>
  <si>
    <r>
      <t xml:space="preserve">Non-controlling interests </t>
    </r>
    <r>
      <rPr>
        <sz val="9"/>
        <color rgb="FFFF0000"/>
        <rFont val="Calibri"/>
        <family val="2"/>
        <scheme val="minor"/>
      </rPr>
      <t>= 67.8% of LY Corp. net income</t>
    </r>
  </si>
  <si>
    <t>Non-controlling interests % of Net income</t>
  </si>
  <si>
    <t>= should simplistically match 67.8% LY Corp. minority interests line below.</t>
  </si>
  <si>
    <t>Average number of shares outstanding year-to-date (millions)</t>
  </si>
  <si>
    <t>Average number of shares outstanding during period (millions)</t>
  </si>
  <si>
    <t>Basic earnings per share ¥</t>
  </si>
  <si>
    <r>
      <t>Operating income SoftBank Corp. vs. LY Corp. &amp; PayPay</t>
    </r>
    <r>
      <rPr>
        <sz val="9"/>
        <color theme="1"/>
        <rFont val="Calibri"/>
        <family val="2"/>
        <scheme val="minor"/>
      </rPr>
      <t>:</t>
    </r>
  </si>
  <si>
    <t>SoftBank Corp. "only" EBITDA</t>
  </si>
  <si>
    <t>SoftBank Corp. "only" D&amp;A</t>
  </si>
  <si>
    <t>SoftBank Corp. "only" Operating income</t>
  </si>
  <si>
    <t>LY Corp. &amp; PayPay EBITDA</t>
  </si>
  <si>
    <t>LY Corp. &amp; PayPay D&amp;A</t>
  </si>
  <si>
    <t>LY Corp. &amp; PayPay Operating income</t>
  </si>
  <si>
    <t>Total Adjusted Operating income</t>
  </si>
  <si>
    <t>= should simplistically match Non-controlling interests line above.</t>
  </si>
  <si>
    <t>SoftBank Corp. "only" share</t>
  </si>
  <si>
    <t>LY Corp. &amp; PayPay share</t>
  </si>
  <si>
    <t>Total D&amp;A</t>
  </si>
  <si>
    <t>% of capex</t>
  </si>
  <si>
    <t>Dividends</t>
  </si>
  <si>
    <t>Dividend per share (declared) ¥</t>
  </si>
  <si>
    <t>Earnings cover</t>
  </si>
  <si>
    <t>= dividends declared 2Q and 4Q: payable 1Q (June) and 3Q (December).</t>
  </si>
  <si>
    <t>Cash dividend paid</t>
  </si>
  <si>
    <r>
      <t xml:space="preserve">Cash dividend paid </t>
    </r>
    <r>
      <rPr>
        <sz val="9"/>
        <color rgb="FF0070C0"/>
        <rFont val="Calibri"/>
        <family val="2"/>
        <scheme val="minor"/>
      </rPr>
      <t>= as reported by SoftBank Corp.</t>
    </r>
  </si>
  <si>
    <r>
      <t xml:space="preserve">FCFE </t>
    </r>
    <r>
      <rPr>
        <sz val="9"/>
        <color rgb="FF0070C0"/>
        <rFont val="Calibri"/>
        <family val="2"/>
        <scheme val="minor"/>
      </rPr>
      <t>= by half-year vs. cash dividend</t>
    </r>
  </si>
  <si>
    <r>
      <t xml:space="preserve">FCFE adjusted for changes in WC </t>
    </r>
    <r>
      <rPr>
        <sz val="9"/>
        <color rgb="FF0070C0"/>
        <rFont val="Calibri"/>
        <family val="2"/>
        <scheme val="minor"/>
      </rPr>
      <t>= by half-year vs. cash dividend</t>
    </r>
  </si>
  <si>
    <r>
      <t xml:space="preserve">Cash cover </t>
    </r>
    <r>
      <rPr>
        <sz val="9"/>
        <color rgb="FF0070C0"/>
        <rFont val="Calibri"/>
        <family val="2"/>
        <scheme val="minor"/>
      </rPr>
      <t>= using FCFE</t>
    </r>
  </si>
  <si>
    <r>
      <t xml:space="preserve">Cash cover adjusted for changes in WC </t>
    </r>
    <r>
      <rPr>
        <sz val="9"/>
        <color rgb="FF0070C0"/>
        <rFont val="Calibri"/>
        <family val="2"/>
        <scheme val="minor"/>
      </rPr>
      <t>= using FCFE adjusted for changes in WC</t>
    </r>
  </si>
  <si>
    <t>PP&amp;E</t>
  </si>
  <si>
    <t>Contract costs</t>
  </si>
  <si>
    <t>Investment securities in banking business</t>
  </si>
  <si>
    <t>Contract liabilities</t>
  </si>
  <si>
    <t>Accumulated other comprehensive income (loss)</t>
  </si>
  <si>
    <t>Total equity attributable to owners of the Company</t>
  </si>
  <si>
    <t>Total liabilities + equity</t>
  </si>
  <si>
    <t>Cashflows from Operating activities:</t>
  </si>
  <si>
    <t>Loss/(gain) on disposal of PP&amp;E and intangible assets</t>
  </si>
  <si>
    <t>Remeasurement gain on step acquisition</t>
  </si>
  <si>
    <t>Loss/(gain) relating to loss of control over subsidiaries</t>
  </si>
  <si>
    <t>Shares of losses/(gains) of associates accounted for using the equity method</t>
  </si>
  <si>
    <t>Loss/(gain) on sales of equity method investments</t>
  </si>
  <si>
    <t>Purchase of mobile devices leased to Enterprise customers</t>
  </si>
  <si>
    <t>Increase/(decrease) in consumption taxes payable</t>
  </si>
  <si>
    <t>Increase/(decrease) in deposits in banking business</t>
  </si>
  <si>
    <t>(Increase)/decrease in loans in banking business</t>
  </si>
  <si>
    <t>Add: cash interest and dividends received</t>
  </si>
  <si>
    <t>Less: cash interest paid</t>
  </si>
  <si>
    <t>Less: income taxes paid</t>
  </si>
  <si>
    <t>Add: income taxes refunded</t>
  </si>
  <si>
    <t>Net cashflows from operating activities</t>
  </si>
  <si>
    <t>Cashflows from Investing activities:</t>
  </si>
  <si>
    <t>Purchases of PP&amp;E and intangible assets</t>
  </si>
  <si>
    <t>Proceeds from sales of PP&amp;E and intangible assets</t>
  </si>
  <si>
    <t>Spectrum capex</t>
  </si>
  <si>
    <t>Payments for acquisition of investments</t>
  </si>
  <si>
    <t>Proceeds from sales/redemption of investments</t>
  </si>
  <si>
    <t>Purchase of investment securities in banking business</t>
  </si>
  <si>
    <t>Proceeds from sales/redemption of investment securities in banking business</t>
  </si>
  <si>
    <t>Proceeds from (payments for) obtaining control of subsidiaries</t>
  </si>
  <si>
    <t>Net cash outflow from investing activities</t>
  </si>
  <si>
    <t>Cashflows from Financing activities:</t>
  </si>
  <si>
    <t>Increase/(decrease) in short-term interest-bearing debt, net</t>
  </si>
  <si>
    <t>Proceeds from interest-bearing debt</t>
  </si>
  <si>
    <t>Repayment of interest-bearing debt</t>
  </si>
  <si>
    <t>Proceeds from issuance of shares</t>
  </si>
  <si>
    <t>Proceeds from stock issuance to non-controlling interests</t>
  </si>
  <si>
    <t>Payments for purchase of treasury stock</t>
  </si>
  <si>
    <t>Cash dividends paid</t>
  </si>
  <si>
    <t>Cash dividends paid to non-controlling interests</t>
  </si>
  <si>
    <t>Net cash inflow/(outflow) from financing activities</t>
  </si>
  <si>
    <t>Effect of exchange rate changes on cash and cash equivalents</t>
  </si>
  <si>
    <t>Increase/(decrease) in cash and cash equivalents</t>
  </si>
  <si>
    <t>Cash and cash equivalents at the beginning of the year</t>
  </si>
  <si>
    <t>Cash and cash equivalents at the end of the year</t>
  </si>
  <si>
    <r>
      <t>SoftBank Corp. FCF analysis</t>
    </r>
    <r>
      <rPr>
        <sz val="9"/>
        <color theme="1"/>
        <rFont val="Calibri"/>
        <family val="2"/>
        <scheme val="minor"/>
      </rPr>
      <t>:</t>
    </r>
  </si>
  <si>
    <t>= FCF analysis ex. future spectrum capex.</t>
  </si>
  <si>
    <r>
      <t>FCFE</t>
    </r>
    <r>
      <rPr>
        <sz val="9"/>
        <color theme="1"/>
        <rFont val="Calibri"/>
        <family val="2"/>
        <scheme val="minor"/>
      </rPr>
      <t>:</t>
    </r>
  </si>
  <si>
    <t>Less: purchases of PP&amp;E and intangible assets</t>
  </si>
  <si>
    <t>SoftBank Corp. FCFE</t>
  </si>
  <si>
    <t>FCF per share ¥</t>
  </si>
  <si>
    <t>Adjustment for: changes in working capital</t>
  </si>
  <si>
    <t>SoftBank Corp. FCFE adjusted for changes in WC</t>
  </si>
  <si>
    <r>
      <t xml:space="preserve">FCF per share ¥ </t>
    </r>
    <r>
      <rPr>
        <sz val="9"/>
        <color rgb="FF0070C0"/>
        <rFont val="Calibri"/>
        <family val="2"/>
        <scheme val="minor"/>
      </rPr>
      <t>= adjusted for changes in WC</t>
    </r>
  </si>
  <si>
    <r>
      <t>FCFF</t>
    </r>
    <r>
      <rPr>
        <sz val="9"/>
        <color theme="1"/>
        <rFont val="Calibri"/>
        <family val="2"/>
        <scheme val="minor"/>
      </rPr>
      <t>:</t>
    </r>
  </si>
  <si>
    <t>Add back: net cash interest paid</t>
  </si>
  <si>
    <t>Add back: net cash tax paid</t>
  </si>
  <si>
    <t>Less: theoretical unlevered cash tax paid</t>
  </si>
  <si>
    <t>SoftBank Corp. FCFF</t>
  </si>
  <si>
    <t>SoftBank Corp. FCFF adjusted for changes in WC</t>
  </si>
  <si>
    <t>Japan theoretical % corporate tax rate</t>
  </si>
  <si>
    <t>Consolidated Interest-bearing debt &amp; Interest payments</t>
  </si>
  <si>
    <t>= in ¥bn</t>
  </si>
  <si>
    <r>
      <t>SoftBank Corp. excluding LY Corp. &amp; PayPay</t>
    </r>
    <r>
      <rPr>
        <sz val="9"/>
        <rFont val="Calibri"/>
        <family val="2"/>
        <scheme val="minor"/>
      </rPr>
      <t>:</t>
    </r>
  </si>
  <si>
    <t>SoftBank Corp. excluding LY Corp. &amp; PayPay</t>
  </si>
  <si>
    <t>Bank loans</t>
  </si>
  <si>
    <t>Securitisation of sales receivables</t>
  </si>
  <si>
    <r>
      <t xml:space="preserve">Lease liabilities </t>
    </r>
    <r>
      <rPr>
        <sz val="9"/>
        <color rgb="FFFF0000"/>
        <rFont val="Calibri"/>
        <family val="2"/>
        <scheme val="minor"/>
      </rPr>
      <t>= relates to sale &amp; leaseback plus finance lease liabilities</t>
    </r>
  </si>
  <si>
    <t>Bonds</t>
  </si>
  <si>
    <r>
      <t xml:space="preserve">IFRS 16 lease liabilities </t>
    </r>
    <r>
      <rPr>
        <sz val="9"/>
        <color rgb="FFFF0000"/>
        <rFont val="Calibri"/>
        <family val="2"/>
        <scheme val="minor"/>
      </rPr>
      <t>= cell tower/network equipment lease agreements</t>
    </r>
  </si>
  <si>
    <t>SoftBank Corp. total debt excluding LY Corp. &amp; PayPay</t>
  </si>
  <si>
    <t>Less: IFRS 16 lease liabilities</t>
  </si>
  <si>
    <t>SoftBank Corp. total debt excluding LY Corp. &amp; PayPay and IFRS 16 lease liabilities</t>
  </si>
  <si>
    <t>Less: cash and cash equivalents excluding LY Corp. &amp; PayPay</t>
  </si>
  <si>
    <t>SoftBank Corp. net debt excluding LY Corp. &amp; PayPay</t>
  </si>
  <si>
    <t>SoftBank Corp. adjusted EBITDA excluding LY Corp. &amp; PayPay</t>
  </si>
  <si>
    <t>SoftBank Corp. leverage excluding LY Corp. &amp; PayPay (post-IFRS 16)</t>
  </si>
  <si>
    <t>SoftBank Corp. leverage excluding LY Corp. &amp; PayPay (post-IFRS 16) ex. Securitisation of sales receivables</t>
  </si>
  <si>
    <t>SoftBank Corp. net debt excluding LY Corp. &amp; PayPay and IFRS 16 lease liabilities</t>
  </si>
  <si>
    <t>SoftBank Corp. adjusted EBITDAaL excluding LY Corp. &amp; PayPay</t>
  </si>
  <si>
    <t>SoftBank Corp. leverage excluding LY Corp. &amp; PayPay (pre-IFRS 16)</t>
  </si>
  <si>
    <t>SoftBank Corp. leverage excluding LY Corp. &amp; PayPay (pre-IFRS 16) ex. Securitisation of sales receivables</t>
  </si>
  <si>
    <r>
      <t>SoftBank Corp. total consolidated</t>
    </r>
    <r>
      <rPr>
        <sz val="9"/>
        <rFont val="Calibri"/>
        <family val="2"/>
        <scheme val="minor"/>
      </rPr>
      <t>:</t>
    </r>
  </si>
  <si>
    <t>Add: LY Corp. and PayPay debt</t>
  </si>
  <si>
    <t>SoftBank Corp. total consolidated debt</t>
  </si>
  <si>
    <t>LY Corp. &amp; PayPay % of total debt</t>
  </si>
  <si>
    <t>SoftBank Corp. total consolidated debt excluding IFRS 16 lease liabilities</t>
  </si>
  <si>
    <t>of which LY Corp. &amp; PayPay cash and cash equivalents</t>
  </si>
  <si>
    <t>Less: SoftBank Corp. total consolidated cash and cash equivalents</t>
  </si>
  <si>
    <t>SoftBank Corp. total consolidated net debt</t>
  </si>
  <si>
    <t>SoftBank Corp. adjusted EBITDA</t>
  </si>
  <si>
    <t>SoftBank Corp. leverage (post-IFRS 16)</t>
  </si>
  <si>
    <t>SoftBank Corp. leverage (post-IFRS 16) ex. Securitisation of sales receivables</t>
  </si>
  <si>
    <t>SoftBank Corp. total consolidated net debt excluding IFRS 16 lease liabilities</t>
  </si>
  <si>
    <t>SoftBank Corp. adjusted EBITDAaL</t>
  </si>
  <si>
    <t>SoftBank Corp. leverage (pre-IFRS 16)</t>
  </si>
  <si>
    <t>SoftBank Corp. leverage (pre-IFRS 16) ex. Securitisation of sales receivables</t>
  </si>
  <si>
    <r>
      <t>Interest expenses &amp; income</t>
    </r>
    <r>
      <rPr>
        <sz val="9"/>
        <color theme="1"/>
        <rFont val="Calibri"/>
        <family val="2"/>
        <scheme val="minor"/>
      </rPr>
      <t>:</t>
    </r>
  </si>
  <si>
    <t>% interest earned on deposits</t>
  </si>
  <si>
    <t>% interest paid on borrowings</t>
  </si>
  <si>
    <t>of which SoftBank Corp. "only"</t>
  </si>
  <si>
    <t>of which LY Corp. &amp; PayPay</t>
  </si>
  <si>
    <t>Net financing costs</t>
  </si>
  <si>
    <t>% net cost of debt</t>
  </si>
  <si>
    <r>
      <rPr>
        <u/>
        <sz val="9"/>
        <color theme="1"/>
        <rFont val="Calibri"/>
        <family val="2"/>
        <scheme val="minor"/>
      </rPr>
      <t>Interest expense vs. cash interest paid</t>
    </r>
    <r>
      <rPr>
        <sz val="9"/>
        <color theme="1"/>
        <rFont val="Calibri"/>
        <family val="2"/>
        <scheme val="minor"/>
      </rPr>
      <t>:</t>
    </r>
  </si>
  <si>
    <t>Interest expense</t>
  </si>
  <si>
    <t>Tax calculations</t>
  </si>
  <si>
    <r>
      <t>Balance sheet items</t>
    </r>
    <r>
      <rPr>
        <sz val="9"/>
        <color theme="1"/>
        <rFont val="Calibri"/>
        <family val="2"/>
        <scheme val="minor"/>
      </rPr>
      <t>:</t>
    </r>
  </si>
  <si>
    <t>Net deferred tax asset/(liability)</t>
  </si>
  <si>
    <t>qoq delta</t>
  </si>
  <si>
    <r>
      <t>Income tax expense vs. cash tax paid</t>
    </r>
    <r>
      <rPr>
        <sz val="9"/>
        <color theme="1"/>
        <rFont val="Calibri"/>
        <family val="2"/>
        <scheme val="minor"/>
      </rPr>
      <t>:</t>
    </r>
  </si>
  <si>
    <t>Income tax expense</t>
  </si>
  <si>
    <r>
      <t>Revenues</t>
    </r>
    <r>
      <rPr>
        <sz val="9"/>
        <color theme="1"/>
        <rFont val="Calibri"/>
        <family val="2"/>
        <scheme val="minor"/>
      </rPr>
      <t>:</t>
    </r>
  </si>
  <si>
    <t>Consumer</t>
  </si>
  <si>
    <t>Enterprise</t>
  </si>
  <si>
    <t>Distribution</t>
  </si>
  <si>
    <t>Media &amp; EC</t>
  </si>
  <si>
    <t>Financial</t>
  </si>
  <si>
    <t>adjustment</t>
  </si>
  <si>
    <t>= FY23 guidance.</t>
  </si>
  <si>
    <r>
      <t>% share of revenues</t>
    </r>
    <r>
      <rPr>
        <sz val="9"/>
        <color theme="1"/>
        <rFont val="Calibri"/>
        <family val="2"/>
        <scheme val="minor"/>
      </rPr>
      <t>:</t>
    </r>
  </si>
  <si>
    <t>Traditional "telcos" revenue exposure</t>
  </si>
  <si>
    <r>
      <t>SoftBank Corp. vs. LY Corp. revenue breakdown</t>
    </r>
    <r>
      <rPr>
        <sz val="9"/>
        <color theme="1"/>
        <rFont val="Calibri"/>
        <family val="2"/>
        <scheme val="minor"/>
      </rPr>
      <t>:</t>
    </r>
  </si>
  <si>
    <t>SoftBank Corp. ex. LY Corp.</t>
  </si>
  <si>
    <t>LY Corp.</t>
  </si>
  <si>
    <t>Media &amp; EC + Financial</t>
  </si>
  <si>
    <t>% LY Corp. revenues</t>
  </si>
  <si>
    <r>
      <t>% yoy growth</t>
    </r>
    <r>
      <rPr>
        <sz val="9"/>
        <color theme="1"/>
        <rFont val="Calibri"/>
        <family val="2"/>
        <scheme val="minor"/>
      </rPr>
      <t>:</t>
    </r>
  </si>
  <si>
    <r>
      <t>% revenue split</t>
    </r>
    <r>
      <rPr>
        <sz val="9"/>
        <color theme="1"/>
        <rFont val="Calibri"/>
        <family val="2"/>
        <scheme val="minor"/>
      </rPr>
      <t>:</t>
    </r>
  </si>
  <si>
    <r>
      <t>Opex ex. Yahoo, Line &amp; Financial segment</t>
    </r>
    <r>
      <rPr>
        <sz val="9"/>
        <color theme="1"/>
        <rFont val="Calibri"/>
        <family val="2"/>
        <scheme val="minor"/>
      </rPr>
      <t>:</t>
    </r>
  </si>
  <si>
    <t>Telecommunications network charges</t>
  </si>
  <si>
    <t>Loss/(gain) on disposal of PP&amp;A and intangible assets</t>
  </si>
  <si>
    <t>Sales, commissions and sales promotion expenses</t>
  </si>
  <si>
    <t>Personnel expenses</t>
  </si>
  <si>
    <t>CoGS + SG&amp;A ex. Yahoo, Line &amp; Financial segment</t>
  </si>
  <si>
    <t>CoGS + SG&amp;A</t>
  </si>
  <si>
    <r>
      <t xml:space="preserve">Yahoo &amp; Line opex </t>
    </r>
    <r>
      <rPr>
        <sz val="9"/>
        <color rgb="FF0070C0"/>
        <rFont val="Calibri"/>
        <family val="2"/>
        <scheme val="minor"/>
      </rPr>
      <t>= Media &amp; EC segment</t>
    </r>
  </si>
  <si>
    <t>Financial segment opex</t>
  </si>
  <si>
    <t>Total opex ex. D&amp;A and extraordinary items</t>
  </si>
  <si>
    <t>Total CoGS + SG&amp;A</t>
  </si>
  <si>
    <r>
      <t>Adjusted EBITDA</t>
    </r>
    <r>
      <rPr>
        <sz val="9"/>
        <color theme="1"/>
        <rFont val="Calibri"/>
        <family val="2"/>
        <scheme val="minor"/>
      </rPr>
      <t>:</t>
    </r>
  </si>
  <si>
    <t>Total adjusted EBITDA</t>
  </si>
  <si>
    <r>
      <t>% share of EBITDA</t>
    </r>
    <r>
      <rPr>
        <sz val="9"/>
        <color theme="1"/>
        <rFont val="Calibri"/>
        <family val="2"/>
        <scheme val="minor"/>
      </rPr>
      <t>:</t>
    </r>
  </si>
  <si>
    <t>Traditional "telcos" EBITDA exposure</t>
  </si>
  <si>
    <r>
      <t>SoftBank Corp. vs. LY Corp. EBITDA breakdown</t>
    </r>
    <r>
      <rPr>
        <sz val="9"/>
        <color theme="1"/>
        <rFont val="Calibri"/>
        <family val="2"/>
        <scheme val="minor"/>
      </rPr>
      <t>:</t>
    </r>
  </si>
  <si>
    <t>Total EBITDA</t>
  </si>
  <si>
    <r>
      <t>% EBITDA margins</t>
    </r>
    <r>
      <rPr>
        <sz val="9"/>
        <color theme="1"/>
        <rFont val="Calibri"/>
        <family val="2"/>
        <scheme val="minor"/>
      </rPr>
      <t>:</t>
    </r>
  </si>
  <si>
    <t>% LY Corp. EBITDA</t>
  </si>
  <si>
    <r>
      <t>% EBITDA split</t>
    </r>
    <r>
      <rPr>
        <sz val="9"/>
        <color theme="1"/>
        <rFont val="Calibri"/>
        <family val="2"/>
        <scheme val="minor"/>
      </rPr>
      <t>:</t>
    </r>
  </si>
  <si>
    <t>Total adjusted EBITDAaL</t>
  </si>
  <si>
    <r>
      <t>SoftBank Corp. vs. LY Corp. EBITDAaL breakdown</t>
    </r>
    <r>
      <rPr>
        <sz val="9"/>
        <color theme="1"/>
        <rFont val="Calibri"/>
        <family val="2"/>
        <scheme val="minor"/>
      </rPr>
      <t>:</t>
    </r>
  </si>
  <si>
    <t>Total EBITDAaL</t>
  </si>
  <si>
    <r>
      <t>% EBITDAaL margins</t>
    </r>
    <r>
      <rPr>
        <sz val="9"/>
        <color theme="1"/>
        <rFont val="Calibri"/>
        <family val="2"/>
        <scheme val="minor"/>
      </rPr>
      <t>:</t>
    </r>
  </si>
  <si>
    <r>
      <t>% EBITDAaL split</t>
    </r>
    <r>
      <rPr>
        <sz val="9"/>
        <color theme="1"/>
        <rFont val="Calibri"/>
        <family val="2"/>
        <scheme val="minor"/>
      </rPr>
      <t>:</t>
    </r>
  </si>
  <si>
    <r>
      <t>D&amp;A</t>
    </r>
    <r>
      <rPr>
        <sz val="9"/>
        <color theme="1"/>
        <rFont val="Calibri"/>
        <family val="2"/>
        <scheme val="minor"/>
      </rPr>
      <t>:</t>
    </r>
  </si>
  <si>
    <r>
      <t xml:space="preserve">of which Lease D&amp;A impact </t>
    </r>
    <r>
      <rPr>
        <sz val="9"/>
        <color rgb="FF0070C0"/>
        <rFont val="Calibri"/>
        <family val="2"/>
        <scheme val="minor"/>
      </rPr>
      <t>= IFRS 16</t>
    </r>
  </si>
  <si>
    <r>
      <t>SoftBank Corp. vs. LY Corp. D&amp;A breakdown</t>
    </r>
    <r>
      <rPr>
        <sz val="9"/>
        <color theme="1"/>
        <rFont val="Calibri"/>
        <family val="2"/>
        <scheme val="minor"/>
      </rPr>
      <t>:</t>
    </r>
  </si>
  <si>
    <t>% LY Corp. D&amp;A</t>
  </si>
  <si>
    <t>Other operating income</t>
  </si>
  <si>
    <t>Other operating loss</t>
  </si>
  <si>
    <r>
      <t>SoftBank Corp. vs. LY Corp. capex breakdown</t>
    </r>
    <r>
      <rPr>
        <sz val="9"/>
        <color theme="1"/>
        <rFont val="Calibri"/>
        <family val="2"/>
        <scheme val="minor"/>
      </rPr>
      <t>:</t>
    </r>
  </si>
  <si>
    <t>Total capex</t>
  </si>
  <si>
    <r>
      <t>% capital intensity</t>
    </r>
    <r>
      <rPr>
        <sz val="9"/>
        <color theme="1"/>
        <rFont val="Calibri"/>
        <family val="2"/>
        <scheme val="minor"/>
      </rPr>
      <t>:</t>
    </r>
  </si>
  <si>
    <t>% opFCF margin</t>
  </si>
  <si>
    <r>
      <t>SoftBank Corp. vs. LY Corp. opFCF breakdown</t>
    </r>
    <r>
      <rPr>
        <sz val="9"/>
        <color theme="1"/>
        <rFont val="Calibri"/>
        <family val="2"/>
        <scheme val="minor"/>
      </rPr>
      <t>:</t>
    </r>
  </si>
  <si>
    <t>Total opFCF</t>
  </si>
  <si>
    <r>
      <t>% opFCF margins</t>
    </r>
    <r>
      <rPr>
        <sz val="9"/>
        <color theme="1"/>
        <rFont val="Calibri"/>
        <family val="2"/>
        <scheme val="minor"/>
      </rPr>
      <t>:</t>
    </r>
  </si>
  <si>
    <t>% opFCFaL margin</t>
  </si>
  <si>
    <t>Mobile service revenues</t>
  </si>
  <si>
    <t>Broadband</t>
  </si>
  <si>
    <r>
      <t xml:space="preserve">Electricity </t>
    </r>
    <r>
      <rPr>
        <sz val="9"/>
        <color rgb="FFFF0000"/>
        <rFont val="Calibri"/>
        <family val="2"/>
        <scheme val="minor"/>
      </rPr>
      <t>= SoftBank Power Corp. established in August '12: Fukushima response</t>
    </r>
  </si>
  <si>
    <t>Service revenues</t>
  </si>
  <si>
    <t>of which "telcos"</t>
  </si>
  <si>
    <t>Revenues from sales of goods and others</t>
  </si>
  <si>
    <t>Total Consumer revenues</t>
  </si>
  <si>
    <t>Electricity</t>
  </si>
  <si>
    <r>
      <t>Arete CoGS ests</t>
    </r>
    <r>
      <rPr>
        <sz val="9"/>
        <color theme="1"/>
        <rFont val="Calibri"/>
        <family val="2"/>
        <scheme val="minor"/>
      </rPr>
      <t>:</t>
    </r>
  </si>
  <si>
    <t>Mobile services</t>
  </si>
  <si>
    <t>Total Arete CoGS est.</t>
  </si>
  <si>
    <t>% sales</t>
  </si>
  <si>
    <r>
      <t>Arete % gross margin ests</t>
    </r>
    <r>
      <rPr>
        <sz val="9"/>
        <color theme="1"/>
        <rFont val="Calibri"/>
        <family val="2"/>
        <scheme val="minor"/>
      </rPr>
      <t>:</t>
    </r>
  </si>
  <si>
    <r>
      <t xml:space="preserve">Mobile </t>
    </r>
    <r>
      <rPr>
        <sz val="9"/>
        <color rgb="FFFF0000"/>
        <rFont val="Calibri"/>
        <family val="2"/>
        <scheme val="minor"/>
      </rPr>
      <t>= 85% gross margin</t>
    </r>
  </si>
  <si>
    <r>
      <t xml:space="preserve">Broadband </t>
    </r>
    <r>
      <rPr>
        <sz val="9"/>
        <color rgb="FFFF0000"/>
        <rFont val="Calibri"/>
        <family val="2"/>
        <scheme val="minor"/>
      </rPr>
      <t>= 30% gross margin: wholesale via NTT</t>
    </r>
  </si>
  <si>
    <r>
      <t xml:space="preserve">Electricity </t>
    </r>
    <r>
      <rPr>
        <sz val="9"/>
        <color rgb="FFFF0000"/>
        <rFont val="Calibri"/>
        <family val="2"/>
        <scheme val="minor"/>
      </rPr>
      <t>= based on SSE/Centrica comps from UK</t>
    </r>
  </si>
  <si>
    <r>
      <t xml:space="preserve">Other </t>
    </r>
    <r>
      <rPr>
        <sz val="9"/>
        <color rgb="FFFF0000"/>
        <rFont val="Calibri"/>
        <family val="2"/>
        <scheme val="minor"/>
      </rPr>
      <t>= 5% mobile handset margin</t>
    </r>
  </si>
  <si>
    <t>Arete est. CoGS</t>
  </si>
  <si>
    <t>implied SG&amp;A and Other</t>
  </si>
  <si>
    <t>CoGS, SG&amp;A and Other operating expense/income</t>
  </si>
  <si>
    <t>Net operating expenses</t>
  </si>
  <si>
    <t>SG&amp;A and Other % sales</t>
  </si>
  <si>
    <r>
      <t xml:space="preserve">yoy delta </t>
    </r>
    <r>
      <rPr>
        <sz val="9"/>
        <color rgb="FF0070C0"/>
        <rFont val="Calibri"/>
        <family val="2"/>
        <scheme val="minor"/>
      </rPr>
      <t>= seems like there is 4Q seasonality here e.g., restructurings?</t>
    </r>
  </si>
  <si>
    <t>D&amp;A % sales</t>
  </si>
  <si>
    <t>yoy delta</t>
  </si>
  <si>
    <t>Consumer EBITDA</t>
  </si>
  <si>
    <t>Consumer Operating income</t>
  </si>
  <si>
    <t>Electricity KPIs</t>
  </si>
  <si>
    <t>Electricity customers = "cumulative subscribers" (thousands)</t>
  </si>
  <si>
    <t>¥k per customer/month</t>
  </si>
  <si>
    <t>$ per customer/month</t>
  </si>
  <si>
    <t>Mobile</t>
  </si>
  <si>
    <t>Fixed-line</t>
  </si>
  <si>
    <t>Business solutions and others</t>
  </si>
  <si>
    <t>Total Enterprise revenues</t>
  </si>
  <si>
    <t>CoGS, SG&amp;A and Other operating expense/income % sales</t>
  </si>
  <si>
    <t>Enterprise EBITDA</t>
  </si>
  <si>
    <t>Enterprise Operating income</t>
  </si>
  <si>
    <t>Distribution EBITDA</t>
  </si>
  <si>
    <t>Distribution Operating income</t>
  </si>
  <si>
    <t>Z Holdings/Yahoo Japan merged with LINE Corporation on 1 March '21.</t>
  </si>
  <si>
    <r>
      <t>% sales</t>
    </r>
    <r>
      <rPr>
        <sz val="9"/>
        <color theme="1"/>
        <rFont val="Calibri"/>
        <family val="2"/>
        <scheme val="minor"/>
      </rPr>
      <t>:</t>
    </r>
  </si>
  <si>
    <t>Media &amp; EC EBITDA</t>
  </si>
  <si>
    <t>Media &amp; EC Operating income</t>
  </si>
  <si>
    <r>
      <t xml:space="preserve">PayPay Corporation </t>
    </r>
    <r>
      <rPr>
        <sz val="9"/>
        <color rgb="FFFF0000"/>
        <rFont val="Calibri"/>
        <family val="2"/>
        <scheme val="minor"/>
      </rPr>
      <t>= PayPay Card revs included from F4Q22</t>
    </r>
  </si>
  <si>
    <t>Other = "old" Yahoo financial services (e.g., bank, insurance, securities) + SoftBank Payment Services</t>
  </si>
  <si>
    <t>Total PayPay banking assets</t>
  </si>
  <si>
    <t>PayPay revenue as % banking assets</t>
  </si>
  <si>
    <r>
      <t>% sales</t>
    </r>
    <r>
      <rPr>
        <sz val="9"/>
        <color theme="0" tint="-0.499984740745262"/>
        <rFont val="Calibri"/>
        <family val="2"/>
        <scheme val="minor"/>
      </rPr>
      <t>:</t>
    </r>
  </si>
  <si>
    <r>
      <t>% yoy growth</t>
    </r>
    <r>
      <rPr>
        <sz val="9"/>
        <color theme="0" tint="-0.499984740745262"/>
        <rFont val="Calibri"/>
        <family val="2"/>
        <scheme val="minor"/>
      </rPr>
      <t>:</t>
    </r>
  </si>
  <si>
    <t>Financial EBITDA</t>
  </si>
  <si>
    <t>Financial Operating income</t>
  </si>
  <si>
    <r>
      <t xml:space="preserve">Financial EBITDA </t>
    </r>
    <r>
      <rPr>
        <sz val="9"/>
        <color rgb="FF0070C0"/>
        <rFont val="Calibri"/>
        <family val="2"/>
        <scheme val="minor"/>
      </rPr>
      <t>= alternative method</t>
    </r>
  </si>
  <si>
    <r>
      <t xml:space="preserve">Financial Operating income </t>
    </r>
    <r>
      <rPr>
        <sz val="9"/>
        <color rgb="FF0070C0"/>
        <rFont val="Calibri"/>
        <family val="2"/>
        <scheme val="minor"/>
      </rPr>
      <t>= alternative method</t>
    </r>
  </si>
  <si>
    <t>"old" Yahoo financial services Operating income</t>
  </si>
  <si>
    <t>Other = "old" Yahoo financial services % operating margin</t>
  </si>
  <si>
    <t>PayPay Corporation Operating income</t>
  </si>
  <si>
    <t>est. PayPay Corporation % operating margin</t>
  </si>
  <si>
    <r>
      <t>Arete est. PayPay "bank" Balance sheet</t>
    </r>
    <r>
      <rPr>
        <sz val="9"/>
        <color theme="1"/>
        <rFont val="Calibri"/>
        <family val="2"/>
        <scheme val="minor"/>
      </rPr>
      <t>:</t>
    </r>
  </si>
  <si>
    <t>Less: deposits for banking business</t>
  </si>
  <si>
    <r>
      <t xml:space="preserve">Total PayPay banking "equity" </t>
    </r>
    <r>
      <rPr>
        <sz val="9"/>
        <color rgb="FFFF0000"/>
        <rFont val="Calibri"/>
        <family val="2"/>
        <scheme val="minor"/>
      </rPr>
      <t>= Arete est.</t>
    </r>
  </si>
  <si>
    <r>
      <t xml:space="preserve">% RoE </t>
    </r>
    <r>
      <rPr>
        <sz val="9"/>
        <color rgb="FFFF0000"/>
        <rFont val="Calibri"/>
        <family val="2"/>
        <scheme val="minor"/>
      </rPr>
      <t>= very basic/back of envelope</t>
    </r>
  </si>
  <si>
    <t>PayPay financial leverage</t>
  </si>
  <si>
    <t>Other EBITDA</t>
  </si>
  <si>
    <t>Other Operating income before extraordinary items</t>
  </si>
  <si>
    <t>Other Operating income</t>
  </si>
  <si>
    <t>Rakuten switches on 4G LTE network in April '20 as #4 MNO in Japan.</t>
  </si>
  <si>
    <t>Consumer MSR</t>
  </si>
  <si>
    <t>Enterprise MSR</t>
  </si>
  <si>
    <t>Total mobile service revenues ¥bn</t>
  </si>
  <si>
    <t>Total mobile service revenues $bn</t>
  </si>
  <si>
    <t>Total mobile service revenues</t>
  </si>
  <si>
    <r>
      <t>Consumer vs. Enterprise</t>
    </r>
    <r>
      <rPr>
        <sz val="9"/>
        <color theme="1"/>
        <rFont val="Calibri"/>
        <family val="2"/>
        <scheme val="minor"/>
      </rPr>
      <t>:</t>
    </r>
  </si>
  <si>
    <t>Consumer + Enterprise</t>
  </si>
  <si>
    <t>MSR from Main subscribers</t>
  </si>
  <si>
    <r>
      <t>Mobile KPIs</t>
    </r>
    <r>
      <rPr>
        <sz val="9"/>
        <color theme="1"/>
        <rFont val="Calibri"/>
        <family val="2"/>
        <scheme val="minor"/>
      </rPr>
      <t xml:space="preserve"> = Consumer + Enterprise</t>
    </r>
  </si>
  <si>
    <r>
      <t>Mobile subscribers (thousands)</t>
    </r>
    <r>
      <rPr>
        <sz val="9"/>
        <color theme="1"/>
        <rFont val="Calibri"/>
        <family val="2"/>
        <scheme val="minor"/>
      </rPr>
      <t>:</t>
    </r>
  </si>
  <si>
    <t>Smartphones</t>
  </si>
  <si>
    <r>
      <t xml:space="preserve">Wireless home phone </t>
    </r>
    <r>
      <rPr>
        <sz val="9"/>
        <color rgb="FFFF0000"/>
        <rFont val="Calibri"/>
        <family val="2"/>
        <scheme val="minor"/>
      </rPr>
      <t>= Fixed Wireless Access?</t>
    </r>
  </si>
  <si>
    <t>Main subscribers</t>
  </si>
  <si>
    <r>
      <t xml:space="preserve">Communication modules and others </t>
    </r>
    <r>
      <rPr>
        <sz val="9"/>
        <color rgb="FF0070C0"/>
        <rFont val="Calibri"/>
        <family val="2"/>
        <scheme val="minor"/>
      </rPr>
      <t>= includes prepaid + Mimamori phones</t>
    </r>
  </si>
  <si>
    <t>PHS</t>
  </si>
  <si>
    <t>Total wireless subscribers</t>
  </si>
  <si>
    <t>% smartphone penetration</t>
  </si>
  <si>
    <r>
      <rPr>
        <u/>
        <sz val="9"/>
        <color theme="1"/>
        <rFont val="Calibri"/>
        <family val="2"/>
        <scheme val="minor"/>
      </rPr>
      <t>Net adds (thousands)</t>
    </r>
    <r>
      <rPr>
        <sz val="9"/>
        <color theme="1"/>
        <rFont val="Calibri"/>
        <family val="2"/>
        <scheme val="minor"/>
      </rPr>
      <t>:</t>
    </r>
  </si>
  <si>
    <r>
      <t>Churn</t>
    </r>
    <r>
      <rPr>
        <sz val="9"/>
        <color theme="1"/>
        <rFont val="Calibri"/>
        <family val="2"/>
        <scheme val="minor"/>
      </rPr>
      <t>:</t>
    </r>
  </si>
  <si>
    <t>Smartphone churn</t>
  </si>
  <si>
    <t>Total mobile churn</t>
  </si>
  <si>
    <r>
      <t>Smartphone subscribers</t>
    </r>
    <r>
      <rPr>
        <sz val="9"/>
        <color theme="1"/>
        <rFont val="Calibri"/>
        <family val="2"/>
        <scheme val="minor"/>
      </rPr>
      <t>:</t>
    </r>
  </si>
  <si>
    <t>Gross adds</t>
  </si>
  <si>
    <t>Smartphone losses</t>
  </si>
  <si>
    <t>Smartphone net adds</t>
  </si>
  <si>
    <r>
      <t xml:space="preserve">ARPU </t>
    </r>
    <r>
      <rPr>
        <u/>
        <sz val="9"/>
        <color theme="1"/>
        <rFont val="Calibri"/>
        <family val="2"/>
      </rPr>
      <t>¥</t>
    </r>
    <r>
      <rPr>
        <sz val="8.1"/>
        <color theme="1"/>
        <rFont val="Calibri"/>
        <family val="2"/>
      </rPr>
      <t>:</t>
    </r>
  </si>
  <si>
    <t>Gross ARPU</t>
  </si>
  <si>
    <r>
      <t xml:space="preserve">Less: discount </t>
    </r>
    <r>
      <rPr>
        <sz val="9"/>
        <color rgb="FF0070C0"/>
        <rFont val="Calibri"/>
        <family val="2"/>
        <scheme val="minor"/>
      </rPr>
      <t>= monthly discount + converged/broadband service discount allocation</t>
    </r>
  </si>
  <si>
    <t>Net ARPU</t>
  </si>
  <si>
    <r>
      <t>% yoy ARU growth</t>
    </r>
    <r>
      <rPr>
        <sz val="9"/>
        <color theme="1"/>
        <rFont val="Calibri"/>
        <family val="2"/>
        <scheme val="minor"/>
      </rPr>
      <t>:</t>
    </r>
  </si>
  <si>
    <r>
      <t xml:space="preserve">ARPU </t>
    </r>
    <r>
      <rPr>
        <u/>
        <sz val="9"/>
        <color theme="1"/>
        <rFont val="Calibri"/>
        <family val="2"/>
      </rPr>
      <t>$</t>
    </r>
    <r>
      <rPr>
        <sz val="8.1"/>
        <color theme="1"/>
        <rFont val="Calibri"/>
        <family val="2"/>
      </rPr>
      <t>:</t>
    </r>
  </si>
  <si>
    <t>SoftBank Hikari</t>
  </si>
  <si>
    <t>Yahoo! BB</t>
  </si>
  <si>
    <t>Yahoo! BB ADSL</t>
  </si>
  <si>
    <t>Adjustment</t>
  </si>
  <si>
    <t>Total Consumer broadband revenues ¥bn</t>
  </si>
  <si>
    <t>Total Consumer broadband revenues $bn</t>
  </si>
  <si>
    <t>Total Consumer broadband revenues</t>
  </si>
  <si>
    <t>Broadband KPIs</t>
  </si>
  <si>
    <r>
      <t>Broadband subscribers (thousands)</t>
    </r>
    <r>
      <rPr>
        <sz val="9"/>
        <color theme="1"/>
        <rFont val="Calibri"/>
        <family val="2"/>
        <scheme val="minor"/>
      </rPr>
      <t>:</t>
    </r>
  </si>
  <si>
    <t>Total broadband subscribers</t>
  </si>
  <si>
    <r>
      <t>Net adds (thousands)</t>
    </r>
    <r>
      <rPr>
        <sz val="9"/>
        <color theme="1"/>
        <rFont val="Calibri"/>
        <family val="2"/>
        <scheme val="minor"/>
      </rPr>
      <t>:</t>
    </r>
  </si>
  <si>
    <t>Average broadband ARPU</t>
  </si>
  <si>
    <t>of which Media</t>
  </si>
  <si>
    <t>of which Commerce</t>
  </si>
  <si>
    <t>of which Strategy</t>
  </si>
  <si>
    <t>Media &amp; EC total revenues</t>
  </si>
  <si>
    <t>Media &amp; EC KPIs</t>
  </si>
  <si>
    <r>
      <t>e-commerce transaction value</t>
    </r>
    <r>
      <rPr>
        <sz val="9"/>
        <color theme="1"/>
        <rFont val="Calibri"/>
        <family val="2"/>
        <scheme val="minor"/>
      </rPr>
      <t>:</t>
    </r>
  </si>
  <si>
    <t>of which Domestic</t>
  </si>
  <si>
    <t>of which Overseas</t>
  </si>
  <si>
    <r>
      <t xml:space="preserve">e-commerce transaction value </t>
    </r>
    <r>
      <rPr>
        <sz val="9"/>
        <color rgb="FF0070C0"/>
        <rFont val="Calibri"/>
        <family val="2"/>
        <scheme val="minor"/>
      </rPr>
      <t>= new reporting including "Overseas transaction value"</t>
    </r>
  </si>
  <si>
    <r>
      <t xml:space="preserve">e-commerce transaction value </t>
    </r>
    <r>
      <rPr>
        <sz val="9"/>
        <color rgb="FF0070C0"/>
        <rFont val="Calibri"/>
        <family val="2"/>
        <scheme val="minor"/>
      </rPr>
      <t>= old reporting i.e., Domestic market only</t>
    </r>
  </si>
  <si>
    <t>e-commerce transaction value</t>
  </si>
  <si>
    <r>
      <t>% share Domestic vs. Overseas</t>
    </r>
    <r>
      <rPr>
        <sz val="9"/>
        <color theme="1"/>
        <rFont val="Calibri"/>
        <family val="2"/>
        <scheme val="minor"/>
      </rPr>
      <t>:</t>
    </r>
  </si>
  <si>
    <t>Domestic</t>
  </si>
  <si>
    <t>Overseas</t>
  </si>
  <si>
    <t>e-commerce "take rate"</t>
  </si>
  <si>
    <r>
      <t>Group total advertising revenue</t>
    </r>
    <r>
      <rPr>
        <sz val="9"/>
        <color theme="1"/>
        <rFont val="Calibri"/>
        <family val="2"/>
        <scheme val="minor"/>
      </rPr>
      <t>:</t>
    </r>
  </si>
  <si>
    <t>= increase in Group total advertising revenues due to LINE merger in March '21.</t>
  </si>
  <si>
    <t>Group total advertising revenue</t>
  </si>
  <si>
    <r>
      <t>Media revenues</t>
    </r>
    <r>
      <rPr>
        <sz val="9"/>
        <color theme="1"/>
        <rFont val="Calibri"/>
        <family val="2"/>
        <scheme val="minor"/>
      </rPr>
      <t>:</t>
    </r>
  </si>
  <si>
    <t>Total media revenues</t>
  </si>
  <si>
    <t>LY Corporation KPIs</t>
  </si>
  <si>
    <r>
      <t>Advertising</t>
    </r>
    <r>
      <rPr>
        <sz val="9"/>
        <color theme="1"/>
        <rFont val="Calibri"/>
        <family val="2"/>
        <scheme val="minor"/>
      </rPr>
      <t>:</t>
    </r>
  </si>
  <si>
    <r>
      <t xml:space="preserve">Yahoo Japan </t>
    </r>
    <r>
      <rPr>
        <sz val="9"/>
        <color rgb="FFFF0000"/>
        <rFont val="Calibri"/>
        <family val="2"/>
        <scheme val="minor"/>
      </rPr>
      <t>= now excludes Yahoo Display advertising revenue</t>
    </r>
  </si>
  <si>
    <r>
      <t xml:space="preserve">LINE </t>
    </r>
    <r>
      <rPr>
        <sz val="9"/>
        <color theme="4"/>
        <rFont val="Calibri"/>
        <family val="2"/>
        <scheme val="minor"/>
      </rPr>
      <t>= now includes Yahoo Display advertising revenue</t>
    </r>
  </si>
  <si>
    <r>
      <t xml:space="preserve">Other </t>
    </r>
    <r>
      <rPr>
        <sz val="9"/>
        <color rgb="FFFF0000"/>
        <rFont val="Calibri"/>
        <family val="2"/>
        <scheme val="minor"/>
      </rPr>
      <t>= "old" reporting</t>
    </r>
  </si>
  <si>
    <t>Group total advertising revenue = Yahoo Japan + LINE</t>
  </si>
  <si>
    <r>
      <t>LY Corp. "new" reporting structure</t>
    </r>
    <r>
      <rPr>
        <sz val="9"/>
        <color theme="1"/>
        <rFont val="Calibri"/>
        <family val="2"/>
        <scheme val="minor"/>
      </rPr>
      <t>:</t>
    </r>
  </si>
  <si>
    <r>
      <t xml:space="preserve">Display advertising revenue </t>
    </r>
    <r>
      <rPr>
        <sz val="9"/>
        <color rgb="FFFF0000"/>
        <rFont val="Calibri"/>
        <family val="2"/>
        <scheme val="minor"/>
      </rPr>
      <t>= "old" LINE Display advertising revenue + "old" Yahoo advertising revenue</t>
    </r>
  </si>
  <si>
    <r>
      <t xml:space="preserve">Display advertising revenue </t>
    </r>
    <r>
      <rPr>
        <sz val="9"/>
        <color theme="4"/>
        <rFont val="Calibri"/>
        <family val="2"/>
        <scheme val="minor"/>
      </rPr>
      <t>= "new" reporting</t>
    </r>
  </si>
  <si>
    <r>
      <t xml:space="preserve">Account advertising revenue </t>
    </r>
    <r>
      <rPr>
        <sz val="9"/>
        <color rgb="FFFF0000"/>
        <rFont val="Calibri"/>
        <family val="2"/>
        <scheme val="minor"/>
      </rPr>
      <t>= "old" reporting</t>
    </r>
  </si>
  <si>
    <r>
      <t xml:space="preserve">Account advertising revenue </t>
    </r>
    <r>
      <rPr>
        <sz val="9"/>
        <color theme="4"/>
        <rFont val="Calibri"/>
        <family val="2"/>
        <scheme val="minor"/>
      </rPr>
      <t>= "new" reporting</t>
    </r>
  </si>
  <si>
    <r>
      <t xml:space="preserve">Other advertising revenue </t>
    </r>
    <r>
      <rPr>
        <sz val="9"/>
        <color rgb="FF0070C0"/>
        <rFont val="Calibri"/>
        <family val="2"/>
        <scheme val="minor"/>
      </rPr>
      <t>= "new" reporting</t>
    </r>
  </si>
  <si>
    <t>LINE total advertising revenue</t>
  </si>
  <si>
    <r>
      <t>LINE</t>
    </r>
    <r>
      <rPr>
        <sz val="9"/>
        <color theme="1"/>
        <rFont val="Calibri"/>
        <family val="2"/>
        <scheme val="minor"/>
      </rPr>
      <t>:</t>
    </r>
  </si>
  <si>
    <t>= grey shaded text is "old" reporting structure pre-3Q23.</t>
  </si>
  <si>
    <t>= using estimated/assumed LINE/Yahoo split based on "old" reporting structure.</t>
  </si>
  <si>
    <t>Display advertising revenue</t>
  </si>
  <si>
    <t>Account advertising revenue</t>
  </si>
  <si>
    <t>Other/adjustment</t>
  </si>
  <si>
    <t>Total LINE advertising revenue</t>
  </si>
  <si>
    <t>Daily active users = Japan (millions)</t>
  </si>
  <si>
    <t>Monthly active users = Japan (millions)</t>
  </si>
  <si>
    <t>% of MAUs = DAUs</t>
  </si>
  <si>
    <t>Daily active users = Indonesia, Japan, Taiwan and Thailand (millions)</t>
  </si>
  <si>
    <t>Monthly active users = Indonesia, Japan, Taiwan and Thailand (millions)</t>
  </si>
  <si>
    <t>Display advertising revenue per MAU/month ¥</t>
  </si>
  <si>
    <t>Display advertising revenue per MAU/month $</t>
  </si>
  <si>
    <t>Number of LINE "official" accounts (thousands)</t>
  </si>
  <si>
    <t>Account advertising revenue per "official" account/month ¥k</t>
  </si>
  <si>
    <r>
      <t>Yahoo Japan</t>
    </r>
    <r>
      <rPr>
        <sz val="9"/>
        <color theme="1"/>
        <rFont val="Calibri"/>
        <family val="2"/>
        <scheme val="minor"/>
      </rPr>
      <t>:</t>
    </r>
  </si>
  <si>
    <t>Programmatic advertising revenue</t>
  </si>
  <si>
    <t>Reservation advertising</t>
  </si>
  <si>
    <t>Search advertising revenue</t>
  </si>
  <si>
    <t>Total Yahoo Japan advertising revenue</t>
  </si>
  <si>
    <t>Monthly logged-in user IDs (millions)</t>
  </si>
  <si>
    <t>Time spent by logged-in users (billions of hours)</t>
  </si>
  <si>
    <t>Number of Yahoo Japan premium member IDs (millions)</t>
  </si>
  <si>
    <t>PayPay Corporation consolidated from F3Q22.</t>
  </si>
  <si>
    <t>Up to F3Q22: PayPay Corporation vs. Other is just workings.</t>
  </si>
  <si>
    <t>= new reporting: PayPay Card switches to PayPay Corporation.</t>
  </si>
  <si>
    <t>Revenue ¥bn</t>
  </si>
  <si>
    <t>= make sure to cross-check vs. 3Q numbers: seems wrong!</t>
  </si>
  <si>
    <t>Other = "old" Yahoo financial services (e.g., bank, insurance, asset management, securities)</t>
  </si>
  <si>
    <t>= as part of PayPay consolidation: PayPay Card transferred from Yahoo/LY Corporation to PayPay Corporation, but always consolidated.</t>
  </si>
  <si>
    <r>
      <t xml:space="preserve">est. PayPay Corporation revenue ¥bn </t>
    </r>
    <r>
      <rPr>
        <sz val="9"/>
        <color rgb="FFFF0000"/>
        <rFont val="Calibri"/>
        <family val="2"/>
        <scheme val="minor"/>
      </rPr>
      <t>= consolidated from 1 October '22</t>
    </r>
  </si>
  <si>
    <t>% take rate on GMV</t>
  </si>
  <si>
    <t>PayPay Card interchange/merchant fees ¥bn</t>
  </si>
  <si>
    <t>est. % interchange/merchant fee on PayPay Card</t>
  </si>
  <si>
    <r>
      <t xml:space="preserve">Yahoo "old" financial services </t>
    </r>
    <r>
      <rPr>
        <sz val="9"/>
        <color rgb="FFFF0000"/>
        <rFont val="Calibri"/>
        <family val="2"/>
        <scheme val="minor"/>
      </rPr>
      <t>= now operating under PayPay brand!</t>
    </r>
  </si>
  <si>
    <t>Financial KPIs</t>
  </si>
  <si>
    <r>
      <t>PayPay GMV vs. transaction value</t>
    </r>
    <r>
      <rPr>
        <sz val="9"/>
        <color theme="1"/>
        <rFont val="Calibri"/>
        <family val="2"/>
        <scheme val="minor"/>
      </rPr>
      <t>:</t>
    </r>
  </si>
  <si>
    <t>PayPay consolidated GMV ¥tn = includes PayPay Card Corporation</t>
  </si>
  <si>
    <t>PayPay credit card branded in November '21: SoftBank started reporting KPIs in 1Q22.</t>
  </si>
  <si>
    <t>implied PayPay Card Corporation GMV ¥tn</t>
  </si>
  <si>
    <t>= any fees from PayPay standalone GMV not consolidated until F3Q22.</t>
  </si>
  <si>
    <t>PayPay standalone GMV ¥tn</t>
  </si>
  <si>
    <t>PayPay standalone GMV ¥bn</t>
  </si>
  <si>
    <t>PayPay standalone number of payments (millions)</t>
  </si>
  <si>
    <t>Average transaction value ¥</t>
  </si>
  <si>
    <t>Average transaction value $</t>
  </si>
  <si>
    <r>
      <t>PayPay registered users</t>
    </r>
    <r>
      <rPr>
        <sz val="9"/>
        <color theme="1"/>
        <rFont val="Calibri"/>
        <family val="2"/>
        <scheme val="minor"/>
      </rPr>
      <t>:</t>
    </r>
  </si>
  <si>
    <t>PayPay Corporation established in '18 as a joint venture between SoftBank and Z Holdings/Yahoo Japan i.e., comes from Yahoo not LINE Corporation.</t>
  </si>
  <si>
    <t>PayPay standalone registered users (millions)</t>
  </si>
  <si>
    <r>
      <t xml:space="preserve">PayPay standalone MTUs (millions) </t>
    </r>
    <r>
      <rPr>
        <sz val="9"/>
        <color rgb="FF0000FF"/>
        <rFont val="Calibri"/>
        <family val="2"/>
        <scheme val="minor"/>
      </rPr>
      <t>= "monthly transaction users"</t>
    </r>
  </si>
  <si>
    <t>% registered to active user penetration</t>
  </si>
  <si>
    <r>
      <t>SoftBank Payment Service Corp</t>
    </r>
    <r>
      <rPr>
        <sz val="9"/>
        <color theme="1"/>
        <rFont val="Calibri"/>
        <family val="2"/>
        <scheme val="minor"/>
      </rPr>
      <t>:</t>
    </r>
  </si>
  <si>
    <t>SoftBank Payment Service Corp. GMV ¥bn</t>
  </si>
  <si>
    <r>
      <t>Credit Card Business</t>
    </r>
    <r>
      <rPr>
        <sz val="9"/>
        <color theme="1"/>
        <rFont val="Calibri"/>
        <family val="2"/>
        <scheme val="minor"/>
      </rPr>
      <t>:</t>
    </r>
  </si>
  <si>
    <t>PayPay valid credit card holders (millions)</t>
  </si>
  <si>
    <t>PayPay credit card transaction volume ¥bn</t>
  </si>
  <si>
    <t>PayPay credit card revolving balance ¥bn</t>
  </si>
  <si>
    <r>
      <t>Bank Business</t>
    </r>
    <r>
      <rPr>
        <sz val="9"/>
        <color theme="1"/>
        <rFont val="Calibri"/>
        <family val="2"/>
        <scheme val="minor"/>
      </rPr>
      <t>:</t>
    </r>
  </si>
  <si>
    <t>PayPay valid bank accounts (millions)</t>
  </si>
  <si>
    <t>PayPay bank deposit balance ¥bn</t>
  </si>
  <si>
    <t>PayPay bank loan balance ¥bn</t>
  </si>
  <si>
    <t>Arm P&amp;L $m</t>
  </si>
  <si>
    <t>Arm P&amp;L ¥m</t>
  </si>
  <si>
    <r>
      <t xml:space="preserve">Arm revenue </t>
    </r>
    <r>
      <rPr>
        <sz val="9"/>
        <color rgb="FF0000FF"/>
        <rFont val="Calibri"/>
        <family val="2"/>
        <scheme val="minor"/>
      </rPr>
      <t>= as reported by SBG</t>
    </r>
  </si>
  <si>
    <t>Royalty revenue</t>
  </si>
  <si>
    <t>Licence and Other revenue</t>
  </si>
  <si>
    <t>delta vs. Arete Arm model</t>
  </si>
  <si>
    <t>SBG reporting</t>
  </si>
  <si>
    <t>Arete Arm model</t>
  </si>
  <si>
    <t>% share of revenue</t>
  </si>
  <si>
    <t>Gross profit GAAP</t>
  </si>
  <si>
    <t>% gross profit margin GAAP</t>
  </si>
  <si>
    <t>Gross profit non-GAAP</t>
  </si>
  <si>
    <t>% gross profit margin non-GAAP</t>
  </si>
  <si>
    <t>Less: CoGS excluding SBC</t>
  </si>
  <si>
    <t>Less: CoGS including SBC</t>
  </si>
  <si>
    <r>
      <t>CoGS</t>
    </r>
    <r>
      <rPr>
        <sz val="9"/>
        <color theme="1"/>
        <rFont val="Calibri"/>
        <family val="2"/>
        <scheme val="minor"/>
      </rPr>
      <t>:</t>
    </r>
  </si>
  <si>
    <t>Total CoGS</t>
  </si>
  <si>
    <r>
      <t>Gross profit</t>
    </r>
    <r>
      <rPr>
        <sz val="9"/>
        <color theme="1"/>
        <rFont val="Calibri"/>
        <family val="2"/>
        <scheme val="minor"/>
      </rPr>
      <t>:</t>
    </r>
  </si>
  <si>
    <t>Total Gross profit</t>
  </si>
  <si>
    <t>= check with Janco why historics incomplete.</t>
  </si>
  <si>
    <t>= need to check historic Arm reporting with Janco vs. SBG reporting.</t>
  </si>
  <si>
    <t>% share of gross profit</t>
  </si>
  <si>
    <t>Total gross profit</t>
  </si>
  <si>
    <r>
      <t>SG&amp;A</t>
    </r>
    <r>
      <rPr>
        <sz val="9"/>
        <color theme="1"/>
        <rFont val="Calibri"/>
        <family val="2"/>
        <scheme val="minor"/>
      </rPr>
      <t>:</t>
    </r>
  </si>
  <si>
    <t>of which SVF segment</t>
  </si>
  <si>
    <t>R&amp;D</t>
  </si>
  <si>
    <t>Other opex</t>
  </si>
  <si>
    <t>Operating costs GAAP</t>
  </si>
  <si>
    <t>Operating costs non-GAAP</t>
  </si>
  <si>
    <t>Total operating costs</t>
  </si>
  <si>
    <t>Income/(loss) from equity investments</t>
  </si>
  <si>
    <t>Other non-operating income/(loss)</t>
  </si>
  <si>
    <t>Interest income/(expense) (net)</t>
  </si>
  <si>
    <t>Below the line items GAAP</t>
  </si>
  <si>
    <r>
      <t xml:space="preserve">Below the line items non-GAAP </t>
    </r>
    <r>
      <rPr>
        <sz val="9"/>
        <color rgb="FFFF0000"/>
        <rFont val="Calibri"/>
        <family val="2"/>
        <scheme val="minor"/>
      </rPr>
      <t>= check with Janco/Brett about Arm equity investments &amp; accounting method.</t>
    </r>
  </si>
  <si>
    <t>EBIT GAAP</t>
  </si>
  <si>
    <t>EBIT non-GAAP</t>
  </si>
  <si>
    <t>% EBIT margin GAAP</t>
  </si>
  <si>
    <t>Total operating costs GAAP</t>
  </si>
  <si>
    <t>Total operating costs non-GAAP</t>
  </si>
  <si>
    <t>Arm share price $</t>
  </si>
  <si>
    <t>Arm shares outstanding (m)</t>
  </si>
  <si>
    <t>Arm market cap. $bn</t>
  </si>
  <si>
    <t>% future dilution at current share price</t>
  </si>
  <si>
    <t>= cumulative equity dilution to March '30</t>
  </si>
  <si>
    <r>
      <t xml:space="preserve">CoGS + R&amp;D + SG&amp;A delta GAAP vs. non-GAAP </t>
    </r>
    <r>
      <rPr>
        <sz val="9"/>
        <color rgb="FF0000FF"/>
        <rFont val="Calibri"/>
        <family val="2"/>
        <scheme val="minor"/>
      </rPr>
      <t>= SBC</t>
    </r>
    <r>
      <rPr>
        <sz val="9"/>
        <color theme="1"/>
        <rFont val="Calibri"/>
        <family val="2"/>
        <scheme val="minor"/>
      </rPr>
      <t>.</t>
    </r>
  </si>
  <si>
    <r>
      <t xml:space="preserve">implied Other opex </t>
    </r>
    <r>
      <rPr>
        <sz val="9"/>
        <color rgb="FF0000FF"/>
        <rFont val="Calibri"/>
        <family val="2"/>
        <scheme val="minor"/>
      </rPr>
      <t>= includes Impairment of long-lived assets.</t>
    </r>
  </si>
  <si>
    <r>
      <t>P&amp;L GAAP</t>
    </r>
    <r>
      <rPr>
        <sz val="9"/>
        <color theme="1"/>
        <rFont val="Calibri"/>
        <family val="2"/>
        <scheme val="minor"/>
      </rPr>
      <t>:</t>
    </r>
  </si>
  <si>
    <r>
      <t>P&amp;L non-GAAP</t>
    </r>
    <r>
      <rPr>
        <sz val="9"/>
        <color theme="1"/>
        <rFont val="Calibri"/>
        <family val="2"/>
        <scheme val="minor"/>
      </rPr>
      <t>:</t>
    </r>
  </si>
  <si>
    <r>
      <t>P&amp;L non-GAAP $m</t>
    </r>
    <r>
      <rPr>
        <sz val="9"/>
        <color theme="1"/>
        <rFont val="Calibri"/>
        <family val="2"/>
        <scheme val="minor"/>
      </rPr>
      <t>:</t>
    </r>
  </si>
  <si>
    <r>
      <t>P&amp;L GAAP $m</t>
    </r>
    <r>
      <rPr>
        <sz val="9"/>
        <color theme="1"/>
        <rFont val="Calibri"/>
        <family val="2"/>
        <scheme val="minor"/>
      </rPr>
      <t>:</t>
    </r>
  </si>
  <si>
    <r>
      <t xml:space="preserve">of which Other </t>
    </r>
    <r>
      <rPr>
        <sz val="9"/>
        <color rgb="FF0000FF"/>
        <rFont val="Calibri"/>
        <family val="2"/>
        <scheme val="minor"/>
      </rPr>
      <t>= includes central costs at SBG HoldCo.</t>
    </r>
  </si>
  <si>
    <t>Total SG&amp;A</t>
  </si>
  <si>
    <t>SBG EoP gross Deutsche Telekom position $m</t>
  </si>
  <si>
    <t>Shares repurchased by DT during period</t>
  </si>
  <si>
    <t>= for "Shares repurchased during period" use the "Share buyback programme" tab on DT IR page: link is in the comment.</t>
  </si>
  <si>
    <r>
      <t xml:space="preserve">Buyback amount during period €m </t>
    </r>
    <r>
      <rPr>
        <sz val="9"/>
        <color rgb="FF0000FF"/>
        <rFont val="Calibri"/>
        <family val="2"/>
        <scheme val="minor"/>
      </rPr>
      <t>= €2bn buyback programme in calendar '24.</t>
    </r>
  </si>
  <si>
    <t>= Deutsche Telekom share price CAGR.</t>
  </si>
  <si>
    <t>= current Arete target price €.</t>
  </si>
  <si>
    <t>$/€</t>
  </si>
  <si>
    <t>Deutsche Telekom EoP share price €</t>
  </si>
  <si>
    <t>= quarterly.</t>
  </si>
  <si>
    <r>
      <t>Other workings</t>
    </r>
    <r>
      <rPr>
        <sz val="9"/>
        <color theme="1"/>
        <rFont val="Calibri"/>
        <family val="2"/>
        <scheme val="minor"/>
      </rPr>
      <t>:</t>
    </r>
  </si>
  <si>
    <t>Number of shares pledged to prepaid forward contracts (millions)</t>
  </si>
  <si>
    <t>= implied T-Mobile strike price per share $</t>
  </si>
  <si>
    <t>vs. EoP T-Mobile strike price $</t>
  </si>
  <si>
    <r>
      <t>Prepaid forward contracts</t>
    </r>
    <r>
      <rPr>
        <sz val="9"/>
        <color theme="1"/>
        <rFont val="Calibri"/>
        <family val="2"/>
        <scheme val="minor"/>
      </rPr>
      <t>:</t>
    </r>
  </si>
  <si>
    <t>Prepaid forward contracts liability $m</t>
  </si>
  <si>
    <t>Collar transactions using Deutsche Telekom shares $m</t>
  </si>
  <si>
    <t>vs. $ share price return</t>
  </si>
  <si>
    <t>Derivative financial liability for shares subject to DT call option $m</t>
  </si>
  <si>
    <t>= rough correlation confirms DT call option liability subject to variable strike price.</t>
  </si>
  <si>
    <t>= T-Mobile share price CAGR.</t>
  </si>
  <si>
    <t>SBG EoP net Alibaba position $m</t>
  </si>
  <si>
    <t>SBG reported Alibaba position $m</t>
  </si>
  <si>
    <t>Gain relating to settlement of prepaid forward contracts using Alibaba shares</t>
  </si>
  <si>
    <t>Gain relating to sale of T-Mobile shares</t>
  </si>
  <si>
    <t>Realised gain/(loss) on investments at asset management subsidiaries</t>
  </si>
  <si>
    <t>Unrealised gain/(loss) on valuation of investments at asset management subsidiaries</t>
  </si>
  <si>
    <t>Derivative gain/(loss) on investments at asset management subsidiaries</t>
  </si>
  <si>
    <t>Realised gain/(loss) on investments</t>
  </si>
  <si>
    <t>Unrealised gain/(loss) on valuation of investments</t>
  </si>
  <si>
    <t>Reclassified to realised gain/(loss) recorded in the past fiscal years</t>
  </si>
  <si>
    <t>Financial results P&amp;L $m</t>
  </si>
  <si>
    <t>Derivative gain on investments</t>
  </si>
  <si>
    <t>Effect of foreign exchange translation</t>
  </si>
  <si>
    <r>
      <t xml:space="preserve">Derivative gain/(loss) </t>
    </r>
    <r>
      <rPr>
        <sz val="9"/>
        <color rgb="FFFF0000"/>
        <rFont val="Calibri"/>
        <family val="2"/>
        <scheme val="minor"/>
      </rPr>
      <t>= predominantly relates to Alibaba prepaid forward contracts.</t>
    </r>
  </si>
  <si>
    <t>= impossible to know how to model moving forwards without any disclosures on holdings.</t>
  </si>
  <si>
    <r>
      <t xml:space="preserve">Unrealised gain/(loss) on valuation of investments </t>
    </r>
    <r>
      <rPr>
        <sz val="9"/>
        <color rgb="FF0000FF"/>
        <rFont val="Calibri"/>
        <family val="2"/>
        <scheme val="minor"/>
      </rPr>
      <t>= T-Mobile and Deutsche Telekom positions.</t>
    </r>
  </si>
  <si>
    <t>= remaining DT call option is subject to trailing VWAP i.e., still true "economic" exposure to T-Mobile shares.</t>
  </si>
  <si>
    <r>
      <t>Unrealised gain/(loss) on "gross" EoP T-Mobile/DT positions</t>
    </r>
    <r>
      <rPr>
        <sz val="9"/>
        <color theme="1"/>
        <rFont val="Calibri"/>
        <family val="2"/>
        <scheme val="minor"/>
      </rPr>
      <t>:</t>
    </r>
  </si>
  <si>
    <t>Unrealised gain/(loss) on "gross" T-Mobile position $m</t>
  </si>
  <si>
    <t>Unrealised gain/(loss) on "gross" Deutsche Telekom position $m</t>
  </si>
  <si>
    <t>Total unrealised gain/(loss) on investments</t>
  </si>
  <si>
    <t>= manual adjustment for sale of 45.4m T-Mobile shares.</t>
  </si>
  <si>
    <t>Unrealised gain/(loss) on "gross" Alibaba position $m</t>
  </si>
  <si>
    <t>Source: latest S&amp;P Capital IQ disclosures.</t>
  </si>
  <si>
    <t>= need to check with SBG IR about this modelling: doesn't make sense to me!</t>
  </si>
  <si>
    <r>
      <t xml:space="preserve">Gain/(loss) on investments at Investment Business of Holding Companies </t>
    </r>
    <r>
      <rPr>
        <sz val="9"/>
        <color rgb="FFFF0000"/>
        <rFont val="Calibri"/>
        <family val="2"/>
        <scheme val="minor"/>
      </rPr>
      <t>= struggling to model this unit!</t>
    </r>
  </si>
  <si>
    <t>Arm Balance sheet $m</t>
  </si>
  <si>
    <t>Arm Cashflow statement $m</t>
  </si>
  <si>
    <t>of which Investment Business of Holding Companies</t>
  </si>
  <si>
    <t>Gain/(loss) on investments at LatAm Funds = combined with SVF segment from FY22 onwards.</t>
  </si>
  <si>
    <t>Short-term investments</t>
  </si>
  <si>
    <t>Arm Other workings $m</t>
  </si>
  <si>
    <t>Interest income</t>
  </si>
  <si>
    <t>% interest earned on cash/short-term investments</t>
  </si>
  <si>
    <t>Cash + short-term investments</t>
  </si>
  <si>
    <t>PBT GAAP</t>
  </si>
  <si>
    <t>PBT non-GAAP</t>
  </si>
  <si>
    <t>% PBT margin GAAP</t>
  </si>
  <si>
    <t>Income tax expense GAAP</t>
  </si>
  <si>
    <t>% PBT margin non-GAAP</t>
  </si>
  <si>
    <t>Income tax GAAP/actual</t>
  </si>
  <si>
    <t>Income tax non-GAAP/adjusted</t>
  </si>
  <si>
    <t>Net income GAAP</t>
  </si>
  <si>
    <t>% net profit margin GAAP</t>
  </si>
  <si>
    <t>Net income non-GAAP</t>
  </si>
  <si>
    <t>Adjusted net income non-GAAP</t>
  </si>
  <si>
    <t>% adjusted net profit margin</t>
  </si>
  <si>
    <t>Balance sheet $m</t>
  </si>
  <si>
    <r>
      <t>Cash and cash equivalents by entity</t>
    </r>
    <r>
      <rPr>
        <sz val="9"/>
        <color theme="1"/>
        <rFont val="Calibri"/>
        <family val="2"/>
        <scheme val="minor"/>
      </rPr>
      <t>:</t>
    </r>
  </si>
  <si>
    <t>= Ctrl + F "Cash and cash equivalents by entity".</t>
  </si>
  <si>
    <t>SBG and wholly owned subsidiaries conducting fund procurement</t>
  </si>
  <si>
    <t>SBG</t>
  </si>
  <si>
    <t>Wholly owned subsidiaries conducting fund procurement</t>
  </si>
  <si>
    <t>SoftBank Vision Funds segment</t>
  </si>
  <si>
    <t>SBIA, SBGA and SBLA Advisors Corp.</t>
  </si>
  <si>
    <t>SoftBank Corp. HoldCo</t>
  </si>
  <si>
    <t>PayPay Corporation and PayPay Bank</t>
  </si>
  <si>
    <t>vs. Arete model</t>
  </si>
  <si>
    <t>Yahoo Japan Corporation</t>
  </si>
  <si>
    <t>vs. SBG reported Cash and cash equivalents</t>
  </si>
  <si>
    <t>of which Arm</t>
  </si>
  <si>
    <r>
      <t xml:space="preserve">of which </t>
    </r>
    <r>
      <rPr>
        <i/>
        <sz val="9"/>
        <color theme="1"/>
        <rFont val="Calibri"/>
        <family val="2"/>
        <scheme val="minor"/>
      </rPr>
      <t>other</t>
    </r>
    <r>
      <rPr>
        <sz val="9"/>
        <color theme="1"/>
        <rFont val="Calibri"/>
        <family val="2"/>
        <scheme val="minor"/>
      </rPr>
      <t xml:space="preserve"> Other</t>
    </r>
  </si>
  <si>
    <t>Interest-bearing debt by entity:</t>
  </si>
  <si>
    <t>Borrowings</t>
  </si>
  <si>
    <t>Corporate bonds</t>
  </si>
  <si>
    <r>
      <t xml:space="preserve">Wholly owned subsidiaries conducting fund procurement </t>
    </r>
    <r>
      <rPr>
        <sz val="9"/>
        <color rgb="FF0000FF"/>
        <rFont val="Calibri"/>
        <family val="2"/>
        <scheme val="minor"/>
      </rPr>
      <t>= "borrowings" non-recourse to SBG.</t>
    </r>
  </si>
  <si>
    <t>Financial liabilities relating to sale of shares by prepaid forward contracts</t>
  </si>
  <si>
    <t>Total SoftBank Corp. segment</t>
  </si>
  <si>
    <t>Other SoftBank Corp. segments</t>
  </si>
  <si>
    <t>Other interest-bearing debt</t>
  </si>
  <si>
    <t>Total SBG gross debt</t>
  </si>
  <si>
    <t>SBG and wholly owned subsidiaries conducting procurement</t>
  </si>
  <si>
    <r>
      <t xml:space="preserve">SBIA, SBLA Advisors Corp. </t>
    </r>
    <r>
      <rPr>
        <sz val="9"/>
        <color rgb="FFFF0000"/>
        <rFont val="Calibri"/>
        <family val="2"/>
        <scheme val="minor"/>
      </rPr>
      <t>= lease liabilities.</t>
    </r>
  </si>
  <si>
    <r>
      <t xml:space="preserve">Interest-bearing debt </t>
    </r>
    <r>
      <rPr>
        <u/>
        <sz val="9"/>
        <color theme="1"/>
        <rFont val="Calibri"/>
        <family val="2"/>
      </rPr>
      <t>$</t>
    </r>
    <r>
      <rPr>
        <u/>
        <sz val="9"/>
        <color theme="1"/>
        <rFont val="Calibri"/>
        <family val="2"/>
        <scheme val="minor"/>
      </rPr>
      <t>m</t>
    </r>
  </si>
  <si>
    <r>
      <t xml:space="preserve">Cash and cash equivalents breakdown </t>
    </r>
    <r>
      <rPr>
        <u/>
        <sz val="9"/>
        <color theme="1"/>
        <rFont val="Calibri"/>
        <family val="2"/>
      </rPr>
      <t>¥m</t>
    </r>
    <r>
      <rPr>
        <sz val="9"/>
        <color theme="1"/>
        <rFont val="Calibri"/>
        <family val="2"/>
        <scheme val="minor"/>
      </rPr>
      <t xml:space="preserve"> </t>
    </r>
    <r>
      <rPr>
        <sz val="9"/>
        <color rgb="FF0000FF"/>
        <rFont val="Calibri"/>
        <family val="2"/>
        <scheme val="minor"/>
      </rPr>
      <t>= consolidated Cash and cash equivalents</t>
    </r>
  </si>
  <si>
    <r>
      <t>Wholly owned subsidiaries conducting fund procurement reconciliation</t>
    </r>
    <r>
      <rPr>
        <sz val="9"/>
        <color theme="1"/>
        <rFont val="Calibri"/>
        <family val="2"/>
        <scheme val="minor"/>
      </rPr>
      <t>:</t>
    </r>
  </si>
  <si>
    <t>Prepaid forward contracts using Alibaba shares (floor contracts, collar contracts and forward contracts)</t>
  </si>
  <si>
    <t>Borrowings using SoftBank Corp. shares (margin loan)</t>
  </si>
  <si>
    <t>Prepaid forward contracts using T-Mobile shares (collar contracts)</t>
  </si>
  <si>
    <t>Collar transactions using Deutsche Telekom shares</t>
  </si>
  <si>
    <t>Borrowings using Arm shares (asset-backed finance)</t>
  </si>
  <si>
    <t>of which Borrowings</t>
  </si>
  <si>
    <t>of which Financial liabilities relating to sale of shares by prepaid forward contracts</t>
  </si>
  <si>
    <t>Less: Financial liabilities relating to sale of shares by prepaid forward contracts</t>
  </si>
  <si>
    <t>SBG and wholly owned subsidiaries interest-bearing borrowings</t>
  </si>
  <si>
    <t>Less: cash and cash equivalents at SBG and wholly owned subsidiaries</t>
  </si>
  <si>
    <t>Net interest-bearing debt of SBG and wholly owned subsidiaries</t>
  </si>
  <si>
    <t>Finance cost (net)</t>
  </si>
  <si>
    <t>Maturity Date</t>
  </si>
  <si>
    <t>Interest Rate
(%, year)</t>
  </si>
  <si>
    <t>JPY</t>
    <phoneticPr fontId="1"/>
  </si>
  <si>
    <t xml:space="preserve">                      -</t>
  </si>
  <si>
    <t>49th series Unsecured Straight Bond</t>
  </si>
  <si>
    <t>USD-denominated Senior Notes due April 2023</t>
  </si>
  <si>
    <t>USD</t>
    <phoneticPr fontId="1"/>
  </si>
  <si>
    <t>EUR-denominated Senior Notes due April 2023</t>
  </si>
  <si>
    <t>EUR</t>
    <phoneticPr fontId="1"/>
  </si>
  <si>
    <t>52nd series Unsecured Straight Bond</t>
  </si>
  <si>
    <t>51st series Unsecured Straight Bond (Fukuoka SoftBank HAWKS Bond)</t>
  </si>
  <si>
    <t>54th series Unsecured Straight Bond</t>
  </si>
  <si>
    <t>53rd series Unsecured Straight Bond (Fukuoka SoftBank HAWKS Bond)</t>
  </si>
  <si>
    <t>EUR-denominated Senior Notes due July 2024</t>
    <phoneticPr fontId="1"/>
  </si>
  <si>
    <t>EUR</t>
  </si>
  <si>
    <t>USD-denominated Senior Notes due September 2024</t>
  </si>
  <si>
    <t>USD-denominated Senior Notes due January 2025</t>
  </si>
  <si>
    <t>USD</t>
  </si>
  <si>
    <t xml:space="preserve">USD-denominated Senior Notes due April 2025 </t>
  </si>
  <si>
    <t>EUR-denominated Senior Notes due April 2025</t>
  </si>
  <si>
    <t>55th series Unsecured Straight Bond (Fukuoka SoftBank HAWKS Bond)</t>
  </si>
  <si>
    <t>USD-denominated Senior Notes due July 2025</t>
  </si>
  <si>
    <t>EUR-denominated Senior Notes due July 2025</t>
  </si>
  <si>
    <t>EUR-denominated Senior Notes due September 2025</t>
  </si>
  <si>
    <t>50th series Unsecured Straight Bond</t>
  </si>
  <si>
    <t>USD-denominated Senior Notes due July 2026</t>
  </si>
  <si>
    <t>57th series Unsecured Straight Bond</t>
  </si>
  <si>
    <t>56th series Unsecured Straight Bond (Fukuoka SoftBank HAWKS Bond)</t>
  </si>
  <si>
    <t>EUR-denominated Senior Notes due January 2027</t>
  </si>
  <si>
    <t>EUR-denominated Senior Notes due July 2027</t>
  </si>
  <si>
    <t>USD-denominated Senior Notes due September 2027</t>
  </si>
  <si>
    <t>USD-denominated Senior Notes due April 2028</t>
  </si>
  <si>
    <t>EUR-denominated Senior Notes due April 2028</t>
  </si>
  <si>
    <t>USD-denominated Senior Notes due July 2028</t>
  </si>
  <si>
    <t>EUR-denominated Senior Notes due July 2029</t>
  </si>
  <si>
    <t>EUR-denominated Senior Notes due September 2029</t>
  </si>
  <si>
    <t>58th series Unsecured Straight Bond (Fukuoka SoftBank HAWKS Bond)</t>
    <phoneticPr fontId="1"/>
  </si>
  <si>
    <t>USD-denominated Senior Notes due July 2031</t>
  </si>
  <si>
    <t>EUR-denominated Senior Notes due July 2032</t>
  </si>
  <si>
    <t>4th series Unsecured Subordinated Bond</t>
    <phoneticPr fontId="1"/>
  </si>
  <si>
    <t>3rd series Unsecured Subordinated Bond</t>
    <phoneticPr fontId="1"/>
  </si>
  <si>
    <t>5th series Unsecured Subordinated Bond</t>
    <phoneticPr fontId="1"/>
  </si>
  <si>
    <t>2nd Unsecured Subordinated Bonds with interest deferrable clause and early redeemable option
(with a subordination provision) (Hybrid Bonds)</t>
    <phoneticPr fontId="1"/>
  </si>
  <si>
    <t>4th Unsecured Subordinated Bonds with interest deferrable clause and early redeemable option
(with a subordination provision) (Hybrid Bonds)</t>
    <phoneticPr fontId="1"/>
  </si>
  <si>
    <t>JPY</t>
  </si>
  <si>
    <t>5th Unsecured Subordinated Bonds with interest deferrable clause and early redeemable option
(with a subordination provision) (Hybrid Bonds)</t>
  </si>
  <si>
    <t>6th Unsecured Subordinated Bonds with interest deferrable clause and early redeemable option
(with a subordination provision) (Hybrid Bonds)</t>
    <phoneticPr fontId="1"/>
  </si>
  <si>
    <t>N/A</t>
    <phoneticPr fontId="1"/>
  </si>
  <si>
    <r>
      <t xml:space="preserve">   Undated Subordinated NC6 Resettable Notes</t>
    </r>
    <r>
      <rPr>
        <vertAlign val="superscript"/>
        <sz val="9"/>
        <rFont val="Calibri"/>
        <family val="2"/>
        <scheme val="minor"/>
      </rPr>
      <t>*2</t>
    </r>
  </si>
  <si>
    <r>
      <t xml:space="preserve">   Undated Subordinated NC10 Resettable Notes</t>
    </r>
    <r>
      <rPr>
        <vertAlign val="superscript"/>
        <sz val="9"/>
        <rFont val="Calibri"/>
        <family val="2"/>
        <scheme val="minor"/>
      </rPr>
      <t>*2</t>
    </r>
  </si>
  <si>
    <t>Item</t>
  </si>
  <si>
    <t>Currency</t>
  </si>
  <si>
    <t>Mar 31, 2023
Outstanding Balance</t>
  </si>
  <si>
    <t>Dec 31, 2023
Outstanding Balance</t>
  </si>
  <si>
    <t>(Reference) *Accounted for as equity (other equity instruments) under IFRSs</t>
  </si>
  <si>
    <t>Japanese yen denominated</t>
  </si>
  <si>
    <t>US$ denominated</t>
  </si>
  <si>
    <t>implied FX</t>
  </si>
  <si>
    <t>€ denominated</t>
  </si>
  <si>
    <t>% of SBG HoldCo debt</t>
  </si>
  <si>
    <t>Total excluding $-based undated subordinated</t>
  </si>
  <si>
    <t>Local FX Xm</t>
  </si>
  <si>
    <t>excluding $-based undated subordinated</t>
  </si>
  <si>
    <t>including $-based undated subordinated</t>
  </si>
  <si>
    <r>
      <t>Ownership</t>
    </r>
    <r>
      <rPr>
        <sz val="9"/>
        <color theme="0" tint="-0.499984740745262"/>
        <rFont val="Calibri"/>
        <family val="2"/>
        <scheme val="minor"/>
      </rPr>
      <t>:</t>
    </r>
  </si>
  <si>
    <r>
      <t>SBG economic exposure</t>
    </r>
    <r>
      <rPr>
        <sz val="9"/>
        <color theme="0" tint="-0.499984740745262"/>
        <rFont val="Calibri"/>
        <family val="2"/>
        <scheme val="minor"/>
      </rPr>
      <t>:</t>
    </r>
  </si>
  <si>
    <t>Less: SBG asset-backed financing relating to Alibaba shares</t>
  </si>
  <si>
    <t>= Alibaba share price CAGR.</t>
  </si>
  <si>
    <r>
      <t>Net finance costs</t>
    </r>
    <r>
      <rPr>
        <sz val="9"/>
        <color theme="1"/>
        <rFont val="Calibri"/>
        <family val="2"/>
        <scheme val="minor"/>
      </rPr>
      <t>:</t>
    </r>
  </si>
  <si>
    <r>
      <t xml:space="preserve">year end March </t>
    </r>
    <r>
      <rPr>
        <sz val="9"/>
        <color theme="1"/>
        <rFont val="Calibri"/>
        <family val="2"/>
      </rPr>
      <t>¥</t>
    </r>
    <r>
      <rPr>
        <sz val="9"/>
        <color theme="1"/>
        <rFont val="Calibri"/>
        <family val="2"/>
        <scheme val="minor"/>
      </rPr>
      <t>m</t>
    </r>
  </si>
  <si>
    <t>Finance cost workings ¥m</t>
  </si>
  <si>
    <r>
      <t xml:space="preserve">% denomination split </t>
    </r>
    <r>
      <rPr>
        <sz val="9"/>
        <color rgb="FF0000FF"/>
        <rFont val="Calibri"/>
        <family val="2"/>
        <scheme val="minor"/>
      </rPr>
      <t>= see SBG Corporate Bonds tab.</t>
    </r>
  </si>
  <si>
    <t>Japanese yen</t>
  </si>
  <si>
    <t>US $</t>
  </si>
  <si>
    <t>€</t>
  </si>
  <si>
    <t>% qoq appreciation/(depreciation)</t>
  </si>
  <si>
    <t>% qoq EoP appreciation/(depreciation)</t>
  </si>
  <si>
    <t>= modelling delta for FX reasons.</t>
  </si>
  <si>
    <t>= assume Wholly owned subsidiaries financing/fund procurement fully $-denominated except SoftBank Corp.</t>
  </si>
  <si>
    <t>= need to check trailing VWAP call option expiry with IR.</t>
  </si>
  <si>
    <t>of which Other/adjustment</t>
  </si>
  <si>
    <t>Total finance costs (net)</t>
  </si>
  <si>
    <t>Add: remaining Arm receivable to be paid to SVF1</t>
  </si>
  <si>
    <t>Add: Arm asset-backed finance</t>
  </si>
  <si>
    <t>Total implied outlay for 90% of Arm $bn</t>
  </si>
  <si>
    <t>SBG market cap. $bn</t>
  </si>
  <si>
    <t>per share $</t>
  </si>
  <si>
    <r>
      <t>FX gain/(loss)</t>
    </r>
    <r>
      <rPr>
        <sz val="9"/>
        <color theme="1"/>
        <rFont val="Calibri"/>
        <family val="2"/>
        <scheme val="minor"/>
      </rPr>
      <t>:</t>
    </r>
  </si>
  <si>
    <t>Total FX gain/(loss)</t>
  </si>
  <si>
    <t>Average JPY/USD during period</t>
  </si>
  <si>
    <t>= check with IR about FX denomination of cash balances: doesn't seem like our FX "swing" is big enough on FX moves.</t>
  </si>
  <si>
    <r>
      <t xml:space="preserve">Income/(loss) on equity method investments </t>
    </r>
    <r>
      <rPr>
        <sz val="9"/>
        <color rgb="FFFF0000"/>
        <rFont val="Calibri"/>
        <family val="2"/>
        <scheme val="minor"/>
      </rPr>
      <t>= question for IR.</t>
    </r>
  </si>
  <si>
    <r>
      <t>Derivative gain/(oss)</t>
    </r>
    <r>
      <rPr>
        <sz val="9"/>
        <color theme="1"/>
        <rFont val="Calibri"/>
        <family val="2"/>
        <scheme val="minor"/>
      </rPr>
      <t>:</t>
    </r>
  </si>
  <si>
    <t>Total derivative gain/(loss)</t>
  </si>
  <si>
    <r>
      <t xml:space="preserve">= predominantly offsetting "gross" gain on Alibaba shares: "net" Alibaba position effectively </t>
    </r>
    <r>
      <rPr>
        <i/>
        <sz val="9"/>
        <color rgb="FFFF0000"/>
        <rFont val="Calibri"/>
        <family val="2"/>
        <scheme val="minor"/>
      </rPr>
      <t>zero</t>
    </r>
    <r>
      <rPr>
        <sz val="9"/>
        <color rgb="FFFF0000"/>
        <rFont val="Calibri"/>
        <family val="2"/>
        <scheme val="minor"/>
      </rPr>
      <t>.</t>
    </r>
  </si>
  <si>
    <r>
      <t>Income before income tax</t>
    </r>
    <r>
      <rPr>
        <sz val="9"/>
        <color theme="1"/>
        <rFont val="Calibri"/>
        <family val="2"/>
        <scheme val="minor"/>
      </rPr>
      <t>:</t>
    </r>
  </si>
  <si>
    <t>Total Income before income tax</t>
  </si>
  <si>
    <t>= note: Arm results are GAAP results translated to Japanese yen.</t>
  </si>
  <si>
    <r>
      <t>Income taxes</t>
    </r>
    <r>
      <rPr>
        <sz val="9"/>
        <color theme="1"/>
        <rFont val="Calibri"/>
        <family val="2"/>
        <scheme val="minor"/>
      </rPr>
      <t>:</t>
    </r>
  </si>
  <si>
    <t>Total income taxes</t>
  </si>
  <si>
    <t>SoftBank Corp. Net income attributable to the Owners of the Parent i.e., SoftBank KK</t>
  </si>
  <si>
    <t>SoftBank Corp. minority % =</t>
  </si>
  <si>
    <t>Arm minority % =</t>
  </si>
  <si>
    <t>Attributable to minority interests</t>
  </si>
  <si>
    <t>Arm Net income</t>
  </si>
  <si>
    <r>
      <t>Non-controlling interests workings</t>
    </r>
    <r>
      <rPr>
        <sz val="9"/>
        <color theme="0" tint="-0.499984740745262"/>
        <rFont val="Calibri"/>
        <family val="2"/>
        <scheme val="minor"/>
      </rPr>
      <t>:</t>
    </r>
  </si>
  <si>
    <t>Non-controlling interests = as reported by SBG</t>
  </si>
  <si>
    <t>% share of Net income</t>
  </si>
  <si>
    <t>= have not considered Masa share of SB Northstar profits as unit is essentially "unmodellable": no disclosures on equity holdings etc etc.</t>
  </si>
  <si>
    <t>Finance cost workings $m</t>
  </si>
  <si>
    <t>SBG reported SVF1 NAV</t>
  </si>
  <si>
    <r>
      <t>Net asset value &amp; LTV ¥tn</t>
    </r>
    <r>
      <rPr>
        <sz val="9"/>
        <color rgb="FFFF0000"/>
        <rFont val="Calibri"/>
        <family val="2"/>
        <scheme val="minor"/>
      </rPr>
      <t xml:space="preserve"> = as reported by SBG.</t>
    </r>
  </si>
  <si>
    <r>
      <t>Net asset value &amp; LTV $bn</t>
    </r>
    <r>
      <rPr>
        <sz val="9"/>
        <color rgb="FFFF0000"/>
        <rFont val="Calibri"/>
        <family val="2"/>
        <scheme val="minor"/>
      </rPr>
      <t xml:space="preserve"> = as reported by SBG.</t>
    </r>
  </si>
  <si>
    <t>= this analysis excludes "variable" prepaid forward contracts e.g., mainly Alibaba, but some T-Mobile as for these both the "asset" i.e., gross ownership position in the company and the "liability" i.e., variable prepaid forward contracts move in tandem so "net equity" position is the same.</t>
  </si>
  <si>
    <t>SoftBank Corp. shares outstanding (m)</t>
  </si>
  <si>
    <t>SoftBank Corp. market cap. ¥bn</t>
  </si>
  <si>
    <t>Publicly held assets %</t>
  </si>
  <si>
    <t>Privately held assets %</t>
  </si>
  <si>
    <t>SVF workings = Public vs. Private</t>
  </si>
  <si>
    <r>
      <t>Asset-backed financing and other obligations excluding "variable" prepaid forward contracts $bn</t>
    </r>
    <r>
      <rPr>
        <sz val="9"/>
        <color rgb="FFFF0000"/>
        <rFont val="Calibri"/>
        <family val="2"/>
        <scheme val="minor"/>
      </rPr>
      <t xml:space="preserve"> = as implied by SBG reporting.</t>
    </r>
  </si>
  <si>
    <r>
      <t>Gross asset exposure $bn</t>
    </r>
    <r>
      <rPr>
        <sz val="9"/>
        <color theme="1"/>
        <rFont val="Calibri"/>
        <family val="2"/>
        <scheme val="minor"/>
      </rPr>
      <t xml:space="preserve"> </t>
    </r>
    <r>
      <rPr>
        <sz val="9"/>
        <color rgb="FFFF0000"/>
        <rFont val="Calibri"/>
        <family val="2"/>
        <scheme val="minor"/>
      </rPr>
      <t>= as implied by SBG reporting.</t>
    </r>
  </si>
  <si>
    <t>SVF1 publicly listed</t>
  </si>
  <si>
    <t>SVF2 publicly listed</t>
  </si>
  <si>
    <t>SVF2 privately held</t>
  </si>
  <si>
    <t>Privately held assets % ex. Byte Dance</t>
  </si>
  <si>
    <t>SVF1 privately held ex. ByteDance</t>
  </si>
  <si>
    <r>
      <t>Gross asset exposure $bn</t>
    </r>
    <r>
      <rPr>
        <sz val="9"/>
        <color theme="1"/>
        <rFont val="Calibri"/>
        <family val="2"/>
        <scheme val="minor"/>
      </rPr>
      <t xml:space="preserve"> </t>
    </r>
    <r>
      <rPr>
        <sz val="9"/>
        <color rgb="FF0000FF"/>
        <rFont val="Calibri"/>
        <family val="2"/>
        <scheme val="minor"/>
      </rPr>
      <t>= Arete Research ests.</t>
    </r>
  </si>
  <si>
    <t>SoftBank Corp. % ownership</t>
  </si>
  <si>
    <t>SoftBank Corp. stake. ¥bn</t>
  </si>
  <si>
    <t>SoftBank Corp. stake. $m</t>
  </si>
  <si>
    <r>
      <t>Discounts to NAV &amp; reasoning</t>
    </r>
    <r>
      <rPr>
        <sz val="9"/>
        <color theme="1"/>
        <rFont val="Calibri"/>
        <family val="2"/>
        <scheme val="minor"/>
      </rPr>
      <t>:</t>
    </r>
  </si>
  <si>
    <t>SVF1 privately listed ex. ByteDance</t>
  </si>
  <si>
    <r>
      <t xml:space="preserve">= highly skeptical of </t>
    </r>
    <r>
      <rPr>
        <i/>
        <sz val="9"/>
        <rFont val="Calibri"/>
        <family val="2"/>
        <scheme val="minor"/>
      </rPr>
      <t>under the bonnet</t>
    </r>
    <r>
      <rPr>
        <sz val="9"/>
        <rFont val="Calibri"/>
        <family val="2"/>
        <scheme val="minor"/>
      </rPr>
      <t xml:space="preserve"> SVF valuations given investment track record.</t>
    </r>
  </si>
  <si>
    <t>SVF2 private held</t>
  </si>
  <si>
    <t>= poor visibility on investments plus significant EM risk etc etc.</t>
  </si>
  <si>
    <r>
      <t xml:space="preserve">= Arete have xx% upside on T-Mobile US </t>
    </r>
    <r>
      <rPr>
        <i/>
        <sz val="9"/>
        <color theme="1"/>
        <rFont val="Calibri"/>
        <family val="2"/>
        <scheme val="minor"/>
      </rPr>
      <t>and</t>
    </r>
    <r>
      <rPr>
        <sz val="9"/>
        <color theme="1"/>
        <rFont val="Calibri"/>
        <family val="2"/>
        <scheme val="minor"/>
      </rPr>
      <t xml:space="preserve"> non-core + easily monetisable e.g., buyback participation.</t>
    </r>
  </si>
  <si>
    <r>
      <t xml:space="preserve">= Arete have xx% upside on DT </t>
    </r>
    <r>
      <rPr>
        <i/>
        <sz val="9"/>
        <color theme="1"/>
        <rFont val="Calibri"/>
        <family val="2"/>
        <scheme val="minor"/>
      </rPr>
      <t>and</t>
    </r>
    <r>
      <rPr>
        <sz val="9"/>
        <color theme="1"/>
        <rFont val="Calibri"/>
        <family val="2"/>
        <scheme val="minor"/>
      </rPr>
      <t xml:space="preserve"> non-core + easily monetisable e.g., buyback participation.</t>
    </r>
  </si>
  <si>
    <t>Arm target market cap. $bn</t>
  </si>
  <si>
    <t>= Arete target price.</t>
  </si>
  <si>
    <t>% discount to SBG reported/implied Gross asset value</t>
  </si>
  <si>
    <t>= core asset of SBG and unlikely to be further monetised in medium-term.</t>
  </si>
  <si>
    <r>
      <t>SoftBank Group NAV &amp; LTV $bn</t>
    </r>
    <r>
      <rPr>
        <sz val="9"/>
        <color theme="1"/>
        <rFont val="Calibri"/>
        <family val="2"/>
        <scheme val="minor"/>
      </rPr>
      <t xml:space="preserve"> </t>
    </r>
    <r>
      <rPr>
        <sz val="9"/>
        <color rgb="FF0000FF"/>
        <rFont val="Calibri"/>
        <family val="2"/>
        <scheme val="minor"/>
      </rPr>
      <t>= Arete Research ests.</t>
    </r>
  </si>
  <si>
    <t>% discount to SBG reported NAV</t>
  </si>
  <si>
    <r>
      <t xml:space="preserve">SBG Gross asset value </t>
    </r>
    <r>
      <rPr>
        <sz val="9"/>
        <color rgb="FF0000FF"/>
        <rFont val="Calibri"/>
        <family val="2"/>
        <scheme val="minor"/>
      </rPr>
      <t>= Arete Research ests.</t>
    </r>
  </si>
  <si>
    <r>
      <t xml:space="preserve">SBG total value of equity holdings net of asset-backed finance </t>
    </r>
    <r>
      <rPr>
        <sz val="9"/>
        <color rgb="FF0000FF"/>
        <rFont val="Calibri"/>
        <family val="2"/>
        <scheme val="minor"/>
      </rPr>
      <t>= Arete Research ests.</t>
    </r>
  </si>
  <si>
    <t>Post-Covid era % discount to NAV</t>
  </si>
  <si>
    <t>Post-Covid era % discount to NAV ex-telcos assets</t>
  </si>
  <si>
    <t>% discount to NAV trading range</t>
  </si>
  <si>
    <t>% discount to NAV trading range ex. telcos assets</t>
  </si>
  <si>
    <r>
      <t xml:space="preserve">Net asset value $bn </t>
    </r>
    <r>
      <rPr>
        <sz val="9"/>
        <color rgb="FF0000FF"/>
        <rFont val="Calibri"/>
        <family val="2"/>
        <scheme val="minor"/>
      </rPr>
      <t>= Arete Research ests.</t>
    </r>
  </si>
  <si>
    <t>Net asset value ¥tn</t>
  </si>
  <si>
    <t>SBG ADRs outstanding (millions)</t>
  </si>
  <si>
    <t>SoftBank KK % equity return p.a.</t>
  </si>
  <si>
    <t>= per quarter.</t>
  </si>
  <si>
    <t>Arete target price ¥</t>
  </si>
  <si>
    <t>Arete target price $</t>
  </si>
  <si>
    <r>
      <t xml:space="preserve">Net asset value ex-Arm Holdings </t>
    </r>
    <r>
      <rPr>
        <sz val="9"/>
        <color rgb="FF0000FF"/>
        <rFont val="Calibri"/>
        <family val="2"/>
        <scheme val="minor"/>
      </rPr>
      <t>= Arete Research ests.</t>
    </r>
  </si>
  <si>
    <t>SBG NAV $bn</t>
  </si>
  <si>
    <t>= excludes variable Prepaid forward contracts where both asset and liability move in tandem i.e., "net" equity remains fixed.</t>
  </si>
  <si>
    <t>Asset-backed financing $bn</t>
  </si>
  <si>
    <t>Gross exposure $bn</t>
  </si>
  <si>
    <t>Arete % gross discount</t>
  </si>
  <si>
    <t>A</t>
  </si>
  <si>
    <t>B</t>
  </si>
  <si>
    <t>D</t>
  </si>
  <si>
    <t>Arete Gross exposure $bn</t>
  </si>
  <si>
    <t>E = C x (1 - D)</t>
  </si>
  <si>
    <t>F = E - B</t>
  </si>
  <si>
    <t>Comments</t>
  </si>
  <si>
    <t>SVF1 Publicly listed</t>
  </si>
  <si>
    <t>SVF1 Privately held ex. ByteDance</t>
  </si>
  <si>
    <t>SVF2 Publicly listed</t>
  </si>
  <si>
    <t>Less: TopCo standalone net interest-bearing debt</t>
  </si>
  <si>
    <t>Arete est. NAV $bn</t>
  </si>
  <si>
    <t>SBG NAV ¥tn</t>
  </si>
  <si>
    <t>Outstanding shares (millions)</t>
  </si>
  <si>
    <t>Target price ¥</t>
  </si>
  <si>
    <t>Check</t>
  </si>
  <si>
    <t>= uses Arete FYXX $xx target price for 90% Arm gross exposure and applies 10% holding discount.</t>
  </si>
  <si>
    <t>= minimal exposure (due to variable prepaid forward contracts) and subject to near-term monetisation.</t>
  </si>
  <si>
    <t>= seen as SBG's core telcos asset i.e., no further monetisation of 40.5% holding.</t>
  </si>
  <si>
    <t>= see SVF1 explanation: additional discount due to peak tech valuation "vintage".</t>
  </si>
  <si>
    <r>
      <t xml:space="preserve">= monetisation timeline less obvious albeit </t>
    </r>
    <r>
      <rPr>
        <i/>
        <sz val="9"/>
        <color theme="1"/>
        <rFont val="Calibri"/>
        <family val="2"/>
        <scheme val="minor"/>
      </rPr>
      <t>marked-to-market</t>
    </r>
    <r>
      <rPr>
        <sz val="9"/>
        <color theme="1"/>
        <rFont val="Calibri"/>
        <family val="2"/>
        <scheme val="minor"/>
      </rPr>
      <t xml:space="preserve"> by SBG.</t>
    </r>
  </si>
  <si>
    <r>
      <t xml:space="preserve">= to be monetised in near future &amp; already </t>
    </r>
    <r>
      <rPr>
        <i/>
        <sz val="9"/>
        <color theme="1"/>
        <rFont val="Calibri"/>
        <family val="2"/>
        <scheme val="minor"/>
      </rPr>
      <t>marked-to-market</t>
    </r>
    <r>
      <rPr>
        <sz val="9"/>
        <color theme="1"/>
        <rFont val="Calibri"/>
        <family val="2"/>
        <scheme val="minor"/>
      </rPr>
      <t xml:space="preserve"> by SBG.</t>
    </r>
  </si>
  <si>
    <t>= value separately: think SBG carrying value conservative and already marked down 20% for potential US ban.</t>
  </si>
  <si>
    <t>Add: 10% minorities</t>
  </si>
  <si>
    <t>implied Arm Holdings within SBG $bn</t>
  </si>
  <si>
    <t>A + B = C</t>
  </si>
  <si>
    <t>Group EBIT</t>
  </si>
  <si>
    <r>
      <t>Operating income</t>
    </r>
    <r>
      <rPr>
        <sz val="9"/>
        <color theme="1"/>
        <rFont val="Calibri"/>
        <family val="2"/>
        <scheme val="minor"/>
      </rPr>
      <t>:</t>
    </r>
  </si>
  <si>
    <t>Total Operating income</t>
  </si>
  <si>
    <t>= model sustained period of "Business solutions and others" Enterprise spending towards end of decade i.e., assume SBG distributes GenAI Microsoft/OpenAI partnership via SoftBank KK.</t>
  </si>
  <si>
    <t>= anticipate AI accelerates messenger app Advertising revenue e.g., think MetaAI, travel advertisements in chats etc etc.</t>
  </si>
  <si>
    <t>SoftBank Corp. net debt ¥bn</t>
  </si>
  <si>
    <t>T-Mobile US net debt $bn</t>
  </si>
  <si>
    <t>DT net debt €m</t>
  </si>
  <si>
    <t>JPY/EUR</t>
  </si>
  <si>
    <t>JPY/GBP</t>
  </si>
  <si>
    <t>= one quarter out set to current FX rate for average and EoP.</t>
  </si>
  <si>
    <t>SoftBank Corp. net debt $bn</t>
  </si>
  <si>
    <t>DT net debt $bn</t>
  </si>
  <si>
    <t>= T-Mobile/DT taken from reports or Arete model.</t>
  </si>
  <si>
    <t>DT</t>
  </si>
  <si>
    <t>Net debt (excluding lease liabilities) held at telcos units:</t>
  </si>
  <si>
    <t>Proportionate net debt of telcos units:</t>
  </si>
  <si>
    <t>Arm net cash $bn</t>
  </si>
  <si>
    <t>Arm proportionate net cash $bn</t>
  </si>
  <si>
    <t>Arm % ownership</t>
  </si>
  <si>
    <r>
      <t>Asset-backed financing including proportionate net debt at Telcos assets</t>
    </r>
    <r>
      <rPr>
        <sz val="9"/>
        <color theme="0" tint="-0.499984740745262"/>
        <rFont val="Calibri"/>
        <family val="2"/>
        <scheme val="minor"/>
      </rPr>
      <t>:</t>
    </r>
  </si>
  <si>
    <t>SoftBank Group equity value of holdings = as reported by SBG in quarterly Data sheets.</t>
  </si>
  <si>
    <r>
      <t>Net debt at telcos assets</t>
    </r>
    <r>
      <rPr>
        <sz val="9"/>
        <color theme="0" tint="-0.499984740745262"/>
        <rFont val="Calibri"/>
        <family val="2"/>
        <scheme val="minor"/>
      </rPr>
      <t>:</t>
    </r>
  </si>
  <si>
    <r>
      <t xml:space="preserve">= net debt </t>
    </r>
    <r>
      <rPr>
        <i/>
        <sz val="9"/>
        <color theme="0" tint="-0.499984740745262"/>
        <rFont val="Calibri"/>
        <family val="2"/>
        <scheme val="minor"/>
      </rPr>
      <t>within</t>
    </r>
    <r>
      <rPr>
        <sz val="9"/>
        <color theme="0" tint="-0.499984740745262"/>
        <rFont val="Calibri"/>
        <family val="2"/>
        <scheme val="minor"/>
      </rPr>
      <t xml:space="preserve"> businesses i.e., </t>
    </r>
    <r>
      <rPr>
        <i/>
        <sz val="9"/>
        <color theme="0" tint="-0.499984740745262"/>
        <rFont val="Calibri"/>
        <family val="2"/>
        <scheme val="minor"/>
      </rPr>
      <t>not</t>
    </r>
    <r>
      <rPr>
        <sz val="9"/>
        <color theme="0" tint="-0.499984740745262"/>
        <rFont val="Calibri"/>
        <family val="2"/>
        <scheme val="minor"/>
      </rPr>
      <t xml:space="preserve"> asset-backed finance of SBG subsidiaries.</t>
    </r>
  </si>
  <si>
    <r>
      <t xml:space="preserve">Real economic exposure to telcos units: = excludes "variable" prepaid forward contracts where true economic exposure is </t>
    </r>
    <r>
      <rPr>
        <i/>
        <sz val="9"/>
        <color theme="0" tint="-0.499984740745262"/>
        <rFont val="Calibri"/>
        <family val="2"/>
        <scheme val="minor"/>
      </rPr>
      <t>zero</t>
    </r>
    <r>
      <rPr>
        <sz val="9"/>
        <color theme="0" tint="-0.499984740745262"/>
        <rFont val="Calibri"/>
        <family val="2"/>
        <scheme val="minor"/>
      </rPr>
      <t>.</t>
    </r>
  </si>
  <si>
    <r>
      <t>SBG NAV mix vs. discount to NAV</t>
    </r>
    <r>
      <rPr>
        <sz val="9"/>
        <color theme="1"/>
        <rFont val="Calibri"/>
        <family val="2"/>
        <scheme val="minor"/>
      </rPr>
      <t>:</t>
    </r>
  </si>
  <si>
    <t>Today:</t>
  </si>
  <si>
    <t>SBG 5-10yrs:</t>
  </si>
  <si>
    <t>= using Arm end December '23 share price.</t>
  </si>
  <si>
    <t>vs. SBG market cap. $bn</t>
  </si>
  <si>
    <t>%</t>
  </si>
  <si>
    <t>Less: SBG TopCo net debt</t>
  </si>
  <si>
    <t>SBG NAV as reported</t>
  </si>
  <si>
    <t>SBG equity holdings net of asset-backed financing</t>
  </si>
  <si>
    <t>LTV</t>
  </si>
  <si>
    <t>= SBG calls out an average LTV of 14.5% over last 4-5yrs.</t>
  </si>
  <si>
    <t>= initial fund life to November '29.</t>
  </si>
  <si>
    <t>Arm % upside/(downside) to March '26</t>
  </si>
  <si>
    <t>= using 5.5yrs of SoftBank KK expected return on equity.</t>
  </si>
  <si>
    <t>= initial fund life to October '32.</t>
  </si>
  <si>
    <t>= using SVF2 equivalent timeline.</t>
  </si>
  <si>
    <t>= assume exposure more than halved by end of decade: non-core telcos assets.</t>
  </si>
  <si>
    <t>Robotics + Japanese LLM</t>
  </si>
  <si>
    <t>Capital returns to shareholders</t>
  </si>
  <si>
    <r>
      <t>Assets monetised by end of decade</t>
    </r>
    <r>
      <rPr>
        <sz val="9"/>
        <color theme="1"/>
        <rFont val="Calibri"/>
        <family val="2"/>
        <scheme val="minor"/>
      </rPr>
      <t>:</t>
    </r>
  </si>
  <si>
    <t>% equity return:</t>
  </si>
  <si>
    <t>Total value of monetised assets at 2030 =</t>
  </si>
  <si>
    <t>Total value of Others at 2030 =</t>
  </si>
  <si>
    <t>= using 3.75yrs of Arm expected return on equity from March '26 share price + $15bn Arm accelerator investment.</t>
  </si>
  <si>
    <t>= assumes SVF + non-core telcos sales reinvested in Robotics + Japanese LLM at 5% equity return: less $10bn capital returns and $10bn Arm accelerator investment.</t>
  </si>
  <si>
    <t>= assumes 7% equity return on Other assets: less $10bn capital returns.</t>
  </si>
  <si>
    <t>SoftBank Corp. towers liabs. ¥bn</t>
  </si>
  <si>
    <t>SoftBank Corp. towers liabs. $bn</t>
  </si>
  <si>
    <r>
      <t xml:space="preserve">Net debt </t>
    </r>
    <r>
      <rPr>
        <u/>
        <sz val="9"/>
        <color theme="1"/>
        <rFont val="Calibri"/>
        <family val="2"/>
      </rPr>
      <t>¥</t>
    </r>
    <r>
      <rPr>
        <u/>
        <sz val="9"/>
        <color theme="1"/>
        <rFont val="Calibri"/>
        <family val="2"/>
        <scheme val="minor"/>
      </rPr>
      <t>m</t>
    </r>
  </si>
  <si>
    <r>
      <t xml:space="preserve">Net debt </t>
    </r>
    <r>
      <rPr>
        <u/>
        <sz val="9"/>
        <color theme="1"/>
        <rFont val="Calibri"/>
        <family val="2"/>
      </rPr>
      <t>$</t>
    </r>
    <r>
      <rPr>
        <u/>
        <sz val="9"/>
        <color theme="1"/>
        <rFont val="Calibri"/>
        <family val="2"/>
        <scheme val="minor"/>
      </rPr>
      <t>m</t>
    </r>
  </si>
  <si>
    <t>= need to check FX here: what is denomination of each tranche of debt?</t>
  </si>
  <si>
    <r>
      <t>Net debt by entity</t>
    </r>
    <r>
      <rPr>
        <sz val="9"/>
        <color theme="1"/>
        <rFont val="Calibri"/>
        <family val="2"/>
        <scheme val="minor"/>
      </rPr>
      <t>:</t>
    </r>
  </si>
  <si>
    <t>= need to check FX here: what is denomination of each tranche of cash?</t>
  </si>
  <si>
    <r>
      <t xml:space="preserve">Others </t>
    </r>
    <r>
      <rPr>
        <sz val="9"/>
        <color rgb="FF0000FF"/>
        <rFont val="Calibri"/>
        <family val="2"/>
        <scheme val="minor"/>
      </rPr>
      <t>= includes Yahoo Japan Corporation up to Yahoo consolidation into LY Corp.</t>
    </r>
  </si>
  <si>
    <t>Mar. '20</t>
  </si>
  <si>
    <t>Mar. '21</t>
  </si>
  <si>
    <t>Mar. '22</t>
  </si>
  <si>
    <t>Mar. '23</t>
  </si>
  <si>
    <t>Gross debt $bn</t>
  </si>
  <si>
    <t>Cash $bn</t>
  </si>
  <si>
    <t>Net debt $bn</t>
  </si>
  <si>
    <t>LTV %</t>
  </si>
  <si>
    <t>SBG total asset-backed finance i.e., collateralised by equity holdings</t>
  </si>
  <si>
    <r>
      <t xml:space="preserve">LTV </t>
    </r>
    <r>
      <rPr>
        <sz val="9"/>
        <color rgb="FFFF0000"/>
        <rFont val="Calibri"/>
        <family val="2"/>
        <scheme val="minor"/>
      </rPr>
      <t>= using Arete gross asset value vs. TopCo net debt including margin loans</t>
    </r>
  </si>
  <si>
    <r>
      <t xml:space="preserve">Net debt at TopCo + asset-backed finance at Wholly-owned subsidiaries </t>
    </r>
    <r>
      <rPr>
        <sz val="9"/>
        <color rgb="FF0000FF"/>
        <rFont val="Calibri"/>
        <family val="2"/>
        <scheme val="minor"/>
      </rPr>
      <t>= excluding variable prepaid forward contracts</t>
    </r>
  </si>
  <si>
    <t>Gross asset value = net asset value + asset-backed finance excluding variable prepaid forward contracts</t>
  </si>
  <si>
    <t>TopCo gross cash</t>
  </si>
  <si>
    <t>Add:</t>
  </si>
  <si>
    <t>2yrs telcos divis</t>
  </si>
  <si>
    <t>SVF distributions</t>
  </si>
  <si>
    <t>Less:</t>
  </si>
  <si>
    <t>Arm payment to SVF1 (net)</t>
  </si>
  <si>
    <t>Bond maturities</t>
  </si>
  <si>
    <t>Equals:</t>
  </si>
  <si>
    <t>GreenBox JV commitment</t>
  </si>
  <si>
    <t>Wayve investment</t>
  </si>
  <si>
    <t>TopCo firepower</t>
  </si>
  <si>
    <t>= based on current equity holdings adjusted for 35m T-Mobile shares being called away by DT in June '24.</t>
  </si>
  <si>
    <t>= Arete SVF modelling.</t>
  </si>
  <si>
    <t>= third-party 45% ordinary equity share of remaining $12bn Arm distribution.</t>
  </si>
  <si>
    <t>= 1,900bn yen debt maturities within 2yrs converted to US$bn.</t>
  </si>
  <si>
    <t>= per FT article May '24: see comment.</t>
  </si>
  <si>
    <t>= per IR commentary.</t>
  </si>
  <si>
    <t>DT exercise of T-Mobile call options</t>
  </si>
  <si>
    <t>T-Mobile US $</t>
  </si>
  <si>
    <t>DT €</t>
  </si>
  <si>
    <t>SBG market cap. today</t>
  </si>
  <si>
    <t>June '24 NAV</t>
  </si>
  <si>
    <t>'30E NAV</t>
  </si>
  <si>
    <t>SBG market cap. '30E</t>
  </si>
  <si>
    <t>June '24 net equity holdings</t>
  </si>
  <si>
    <t>'30E net equity holdings</t>
  </si>
  <si>
    <t>SVF1 IR</t>
  </si>
  <si>
    <t>SVF1 AC</t>
  </si>
  <si>
    <t>SVF2 IR</t>
  </si>
  <si>
    <t>SVF2 AC</t>
  </si>
  <si>
    <t>LatAm IR</t>
  </si>
  <si>
    <t>LatAm AC</t>
  </si>
  <si>
    <t>Adj. SV1 IR</t>
  </si>
  <si>
    <t>SVF1 FV</t>
  </si>
  <si>
    <t>SVF1 SBG</t>
  </si>
  <si>
    <t>SVF2 FV</t>
  </si>
  <si>
    <t>SVF2 SBG</t>
  </si>
  <si>
    <t>LatAm FV</t>
  </si>
  <si>
    <t>LatAM SBG</t>
  </si>
  <si>
    <r>
      <t>SBG TopCo de-grossing post-Covid</t>
    </r>
    <r>
      <rPr>
        <sz val="9"/>
        <color theme="1"/>
        <rFont val="Calibri"/>
        <family val="2"/>
        <scheme val="minor"/>
      </rPr>
      <t>:</t>
    </r>
  </si>
  <si>
    <r>
      <t>SoftBank Vision Funds Cumulative Investment Return vs. Acquisition Cost</t>
    </r>
    <r>
      <rPr>
        <sz val="9"/>
        <color theme="1"/>
        <rFont val="Calibri"/>
        <family val="2"/>
        <scheme val="minor"/>
      </rPr>
      <t>:</t>
    </r>
  </si>
  <si>
    <r>
      <t>SoftBank Vision Funds Fair Values vs. SoftBank Group Exposure</t>
    </r>
    <r>
      <rPr>
        <sz val="9"/>
        <color theme="1"/>
        <rFont val="Calibri"/>
        <family val="2"/>
        <scheme val="minor"/>
      </rPr>
      <t>:</t>
    </r>
  </si>
  <si>
    <r>
      <t>SoftBank KK Revenue and EBITDA exposure</t>
    </r>
    <r>
      <rPr>
        <sz val="9"/>
        <color theme="1"/>
        <rFont val="Calibri"/>
        <family val="2"/>
        <scheme val="minor"/>
      </rPr>
      <t>:</t>
    </r>
  </si>
  <si>
    <t>International telcos</t>
  </si>
  <si>
    <t>Domestic telcos</t>
  </si>
  <si>
    <t>Vision Funds</t>
  </si>
  <si>
    <t>Robotics</t>
  </si>
  <si>
    <t>Domestic telcos + Japanese LLM</t>
  </si>
  <si>
    <t>Arm + AI infrastructure</t>
  </si>
  <si>
    <t>Today</t>
  </si>
  <si>
    <t>Thomson</t>
  </si>
  <si>
    <t>Reuters VC</t>
  </si>
  <si>
    <t>SVF1 debt facility $bn</t>
  </si>
  <si>
    <t>SVF1 debt facility % assets</t>
  </si>
  <si>
    <t>SVF2 debt facility $bn</t>
  </si>
  <si>
    <t>SVF2 debt facility % assets</t>
  </si>
  <si>
    <r>
      <t>SVF1 capital structure evolution over time</t>
    </r>
    <r>
      <rPr>
        <sz val="9"/>
        <color theme="1"/>
        <rFont val="Calibri"/>
        <family val="2"/>
        <scheme val="minor"/>
      </rPr>
      <t>:</t>
    </r>
  </si>
  <si>
    <r>
      <t>SVF1 ordinary equity % of high watermark</t>
    </r>
    <r>
      <rPr>
        <sz val="9"/>
        <color theme="1"/>
        <rFont val="Calibri"/>
        <family val="2"/>
        <scheme val="minor"/>
      </rPr>
      <t>:</t>
    </r>
  </si>
  <si>
    <r>
      <t>Asset exposure</t>
    </r>
    <r>
      <rPr>
        <sz val="9"/>
        <color theme="1"/>
        <rFont val="Calibri"/>
        <family val="2"/>
        <scheme val="minor"/>
      </rPr>
      <t>:</t>
    </r>
  </si>
  <si>
    <t>Autonomous</t>
  </si>
  <si>
    <t>Other publicly listed</t>
  </si>
  <si>
    <t>Other privately listed</t>
  </si>
  <si>
    <t>FV</t>
  </si>
  <si>
    <t>AC</t>
  </si>
  <si>
    <r>
      <t>Publicly listed assets above/under water</t>
    </r>
    <r>
      <rPr>
        <sz val="9"/>
        <color theme="1"/>
        <rFont val="Calibri"/>
        <family val="2"/>
        <scheme val="minor"/>
      </rPr>
      <t>:</t>
    </r>
  </si>
  <si>
    <t>Coupang</t>
  </si>
  <si>
    <t>DiDi Global</t>
  </si>
  <si>
    <t>Grab Holdings</t>
  </si>
  <si>
    <t>Full Truck Alliance</t>
  </si>
  <si>
    <t>Roivant Sciences</t>
  </si>
  <si>
    <t>PT GoTo Gojek Tokopedia</t>
  </si>
  <si>
    <t>Ride-hailing + delivery</t>
  </si>
  <si>
    <t>Yanolja Group</t>
  </si>
  <si>
    <t>Revolut Ltd.</t>
  </si>
  <si>
    <t>Swiggy Priv. Ltd.</t>
  </si>
  <si>
    <t>Lenskart Solutions Priv. Ltd.</t>
  </si>
  <si>
    <t>SVF2 Privately held</t>
  </si>
  <si>
    <r>
      <t>SVF2 current vs. future MOIC vs. 1.3x hurdle rate for MgmtCo distributions</t>
    </r>
    <r>
      <rPr>
        <sz val="9"/>
        <color theme="1"/>
        <rFont val="Calibri"/>
        <family val="2"/>
        <scheme val="minor"/>
      </rPr>
      <t>:</t>
    </r>
  </si>
  <si>
    <t>MOIC today</t>
  </si>
  <si>
    <t>End of Fund life MOIC</t>
  </si>
  <si>
    <t>MgmtCo hurdle rate</t>
  </si>
  <si>
    <r>
      <t>Arm valuation implied</t>
    </r>
    <r>
      <rPr>
        <sz val="9"/>
        <color theme="1"/>
        <rFont val="Calibri"/>
        <family val="2"/>
        <scheme val="minor"/>
      </rPr>
      <t xml:space="preserve"> </t>
    </r>
    <r>
      <rPr>
        <sz val="9"/>
        <color rgb="FF0000FF"/>
        <rFont val="Calibri"/>
        <family val="2"/>
        <scheme val="minor"/>
      </rPr>
      <t>= Arete Research ests.</t>
    </r>
  </si>
  <si>
    <r>
      <t>NAV evolution over time</t>
    </r>
    <r>
      <rPr>
        <sz val="9"/>
        <color theme="1"/>
        <rFont val="Calibri"/>
        <family val="2"/>
        <scheme val="minor"/>
      </rPr>
      <t xml:space="preserve">: </t>
    </r>
    <r>
      <rPr>
        <sz val="9"/>
        <color rgb="FFFF0000"/>
        <rFont val="Calibri"/>
        <family val="2"/>
        <scheme val="minor"/>
      </rPr>
      <t>= as reported by SBG.</t>
    </r>
  </si>
  <si>
    <r>
      <t>Arm valuation implied</t>
    </r>
    <r>
      <rPr>
        <sz val="9"/>
        <color theme="1"/>
        <rFont val="Calibri"/>
        <family val="2"/>
        <scheme val="minor"/>
      </rPr>
      <t xml:space="preserve">: </t>
    </r>
    <r>
      <rPr>
        <sz val="9"/>
        <color rgb="FFFF0000"/>
        <rFont val="Calibri"/>
        <family val="2"/>
        <scheme val="minor"/>
      </rPr>
      <t>= as reported by SBG.</t>
    </r>
  </si>
  <si>
    <r>
      <t xml:space="preserve">implied Arm market cap. within SBG $bn </t>
    </r>
    <r>
      <rPr>
        <sz val="9"/>
        <color rgb="FF0000FF"/>
        <rFont val="Calibri"/>
        <family val="2"/>
        <scheme val="minor"/>
      </rPr>
      <t>= Arete Research ests.</t>
    </r>
  </si>
  <si>
    <r>
      <t xml:space="preserve">implied Arm market cap. within SBG $bn </t>
    </r>
    <r>
      <rPr>
        <sz val="9"/>
        <color rgb="FFFF0000"/>
        <rFont val="Calibri"/>
        <family val="2"/>
        <scheme val="minor"/>
      </rPr>
      <t>= as reported by SBG.</t>
    </r>
  </si>
  <si>
    <t>Arete discount $bn</t>
  </si>
  <si>
    <t>Arete gross exposure $bn</t>
  </si>
  <si>
    <t>SBG-reported NAV $bn</t>
  </si>
  <si>
    <t>TopCo net debt $bn</t>
  </si>
  <si>
    <t>ABF $bn</t>
  </si>
  <si>
    <t>SBG gross exposure $bn</t>
  </si>
  <si>
    <r>
      <t xml:space="preserve">Borrowings using Arm shares (asset-backed finance) </t>
    </r>
    <r>
      <rPr>
        <sz val="9"/>
        <color rgb="FFFF0000"/>
        <rFont val="Calibri"/>
        <family val="2"/>
        <scheme val="minor"/>
      </rPr>
      <t>= $-denominated margin loan</t>
    </r>
  </si>
  <si>
    <r>
      <t xml:space="preserve">Borrowings using SoftBank Corp. shares (margin loan) </t>
    </r>
    <r>
      <rPr>
        <sz val="9"/>
        <color rgb="FF0070C0"/>
        <rFont val="Calibri"/>
        <family val="2"/>
        <scheme val="minor"/>
      </rPr>
      <t xml:space="preserve">= </t>
    </r>
    <r>
      <rPr>
        <sz val="9"/>
        <color rgb="FF0070C0"/>
        <rFont val="Calibri"/>
        <family val="2"/>
      </rPr>
      <t>¥</t>
    </r>
    <r>
      <rPr>
        <sz val="9"/>
        <color rgb="FF0070C0"/>
        <rFont val="Calibri"/>
        <family val="2"/>
        <scheme val="minor"/>
      </rPr>
      <t>-denominated margin loan</t>
    </r>
  </si>
  <si>
    <r>
      <t xml:space="preserve">Prepaid forward contracts using T-Mobile shares (collar contracts) </t>
    </r>
    <r>
      <rPr>
        <sz val="9"/>
        <color rgb="FFFF0000"/>
        <rFont val="Calibri"/>
        <family val="2"/>
        <scheme val="minor"/>
      </rPr>
      <t>= $-denominated financing</t>
    </r>
  </si>
  <si>
    <r>
      <t xml:space="preserve">Collar transactions using Deutsche Telekom shares </t>
    </r>
    <r>
      <rPr>
        <sz val="9"/>
        <color rgb="FFFF0000"/>
        <rFont val="Calibri"/>
        <family val="2"/>
        <scheme val="minor"/>
      </rPr>
      <t>= $-denominated financing</t>
    </r>
  </si>
  <si>
    <t>= Arm Holdings gross cash position now separated in reporting.</t>
  </si>
  <si>
    <t>Mar. '24</t>
  </si>
  <si>
    <t>Total in $m</t>
  </si>
  <si>
    <t>Dec 31, 2023
B/S Balance ¥m</t>
  </si>
  <si>
    <t>Dec 31, 2023
B/S Balance $m</t>
  </si>
  <si>
    <t>Filter</t>
  </si>
  <si>
    <t>Interest cost p.a. $m</t>
  </si>
  <si>
    <t>2030+</t>
  </si>
  <si>
    <t>Paper</t>
  </si>
  <si>
    <t>% vs. SBG reported value of equity holdings net of asset-backed finance</t>
  </si>
  <si>
    <t>% vs. to SBG reported NAV</t>
  </si>
  <si>
    <t>= SoftBank seemed to sell Grab Holdings shares without making any Form 144 disclosure?</t>
  </si>
  <si>
    <t>= difficult to track SBIA ownership due to Hong Kong listing.</t>
  </si>
  <si>
    <t>= selling at $3.66 per share.</t>
  </si>
  <si>
    <t>= selling at $4.30 per share.</t>
  </si>
  <si>
    <t>= SVF selling during May '24.</t>
  </si>
  <si>
    <t>= now reported as $0m position in SoftBank quarterly spreadsheet i.e., assume full exit.</t>
  </si>
  <si>
    <t>= copied as value.</t>
  </si>
  <si>
    <t>= stock prices using Google Finance.</t>
  </si>
  <si>
    <t>4/30/2024</t>
  </si>
  <si>
    <t>5/31/2024</t>
  </si>
  <si>
    <t>6/28/2024</t>
  </si>
  <si>
    <t>7/31/2024</t>
  </si>
  <si>
    <t>8/31/2024</t>
  </si>
  <si>
    <t>9/30/2024</t>
  </si>
  <si>
    <r>
      <t xml:space="preserve">= Thomson Reuters VC index renamed FTSE VC index but is the </t>
    </r>
    <r>
      <rPr>
        <i/>
        <sz val="9"/>
        <color rgb="FF0070C0"/>
        <rFont val="Calibri"/>
        <family val="2"/>
        <scheme val="minor"/>
      </rPr>
      <t>same</t>
    </r>
    <r>
      <rPr>
        <sz val="9"/>
        <color rgb="FF0070C0"/>
        <rFont val="Calibri"/>
        <family val="2"/>
        <scheme val="minor"/>
      </rPr>
      <t>.</t>
    </r>
  </si>
  <si>
    <t>= need to discuss latest OYO valuation with SoftBank IR post-2Q24 earnings.</t>
  </si>
  <si>
    <t>= adjusted for likely increase in Lenskart mark given 11% valuation uplift to $5bn in Temasek/Fidelity funding round.</t>
  </si>
  <si>
    <t>= Ctrl + F "Investments and disposals by SVF1 and SVF2" in quarterly financial reports.</t>
  </si>
  <si>
    <t>= update for March '24 Financial Report numbers when available.</t>
  </si>
  <si>
    <r>
      <t xml:space="preserve">of which DT "variable" call options </t>
    </r>
    <r>
      <rPr>
        <sz val="9"/>
        <color rgb="FF0070C0"/>
        <rFont val="Calibri"/>
        <family val="2"/>
        <scheme val="minor"/>
      </rPr>
      <t>= "true" economic exposure to T-Mobile US</t>
    </r>
  </si>
  <si>
    <t>of which DT "fixed" call options</t>
  </si>
  <si>
    <r>
      <rPr>
        <sz val="9"/>
        <color theme="0" tint="-0.499984740745262"/>
        <rFont val="Calibri"/>
        <family val="2"/>
        <scheme val="minor"/>
      </rPr>
      <t>SBG EoP T-Mobile shares including specified shares amount</t>
    </r>
    <r>
      <rPr>
        <sz val="9"/>
        <color theme="1"/>
        <rFont val="Calibri"/>
        <family val="2"/>
        <scheme val="minor"/>
      </rPr>
      <t xml:space="preserve"> </t>
    </r>
    <r>
      <rPr>
        <sz val="9"/>
        <color rgb="FF0000FF"/>
        <rFont val="Calibri"/>
        <family val="2"/>
        <scheme val="minor"/>
      </rPr>
      <t>= contingent consideration based on 45-day trailing VWAP &gt;$150.</t>
    </r>
  </si>
  <si>
    <r>
      <t>SoftBank Other</t>
    </r>
    <r>
      <rPr>
        <sz val="9"/>
        <color theme="1"/>
        <rFont val="Calibri"/>
        <family val="2"/>
        <scheme val="minor"/>
      </rPr>
      <t>:</t>
    </r>
  </si>
  <si>
    <t>Symbotic</t>
  </si>
  <si>
    <t>NVIDIA</t>
  </si>
  <si>
    <t>= use SoftBank Group Corp. 13F filings with SEC -&gt; https://www.sec.gov/edgar/browse/?CIK=0001065521</t>
  </si>
  <si>
    <t>Eutelsat</t>
  </si>
  <si>
    <r>
      <t xml:space="preserve">Number of shares held by SoftBank Group </t>
    </r>
    <r>
      <rPr>
        <sz val="9"/>
        <color rgb="FFFF0000"/>
        <rFont val="Calibri"/>
        <family val="2"/>
        <scheme val="minor"/>
      </rPr>
      <t>(excluding Vision Fund holdings)</t>
    </r>
    <r>
      <rPr>
        <sz val="9"/>
        <color theme="1"/>
        <rFont val="Calibri"/>
        <family val="2"/>
        <scheme val="minor"/>
      </rPr>
      <t xml:space="preserve"> at quarter end/during quarter = millions</t>
    </r>
  </si>
  <si>
    <t>Shares sold by SoftBank Group during quarter (millions)</t>
  </si>
  <si>
    <t>NVIDIA shares outstanding (millions)</t>
  </si>
  <si>
    <t>Cash generated via sales $m</t>
  </si>
  <si>
    <t>Eutelsat Communications SA</t>
  </si>
  <si>
    <r>
      <t xml:space="preserve">"Other" SoftBank Group holdings </t>
    </r>
    <r>
      <rPr>
        <sz val="9"/>
        <color rgb="FF0070C0"/>
        <rFont val="Calibri"/>
        <family val="2"/>
        <scheme val="minor"/>
      </rPr>
      <t>= public + private</t>
    </r>
  </si>
  <si>
    <t>Total Other NAV $m</t>
  </si>
  <si>
    <t>= NVDIA positions adjusted for 10-for-1 stock split.</t>
  </si>
  <si>
    <t>= taken from NVIDIA 10-Q's and 10-K's.</t>
  </si>
  <si>
    <t>Symbotic shares outstanding (millions)</t>
  </si>
  <si>
    <t>Eutelsat Communications shares outstanding (millions)</t>
  </si>
  <si>
    <t>Total Other NAV $bn</t>
  </si>
  <si>
    <t>Lemonade</t>
  </si>
  <si>
    <t>Source: Form 13F as published by the SEC.</t>
  </si>
  <si>
    <t>= taken from Lemonade 10-Q's and 10-K's.</t>
  </si>
  <si>
    <t>Lemonade Inc</t>
  </si>
  <si>
    <t>Lemonade Inc shares outstanding (millions)</t>
  </si>
  <si>
    <t>"Known" publicly listed "Other" TopCo holdings</t>
  </si>
  <si>
    <t>= update from T-Mobile US and DT models.</t>
  </si>
  <si>
    <t>Prior Q SoftBank Corp. share price ¥</t>
  </si>
  <si>
    <r>
      <t>Arete ByteDance discount</t>
    </r>
    <r>
      <rPr>
        <sz val="9"/>
        <color theme="1"/>
        <rFont val="Calibri"/>
        <family val="2"/>
        <scheme val="minor"/>
      </rPr>
      <t>:</t>
    </r>
  </si>
  <si>
    <t>Arete ByteDance fair value $m</t>
  </si>
  <si>
    <t>SoftBank ByteDance "mark" per SBIA $m</t>
  </si>
  <si>
    <t>est. ByteDance writedown for TikTok US/International</t>
  </si>
  <si>
    <t>= legislation passed in US in April '24 which potentially bans TikTok US by January '25 i.e., we writedown our ByteDance valuation est.</t>
  </si>
  <si>
    <t>SoftBank % ordinary equity ownership of SVF1</t>
  </si>
  <si>
    <r>
      <t xml:space="preserve">ByteDance adjustment for SoftBank Group NAV </t>
    </r>
    <r>
      <rPr>
        <sz val="9"/>
        <color rgb="FFFF0000"/>
        <rFont val="Calibri"/>
        <family val="2"/>
        <scheme val="minor"/>
      </rPr>
      <t>= deduct from SBIA "reported" share of SVF1 NAV.</t>
    </r>
  </si>
  <si>
    <r>
      <t xml:space="preserve">ByteDance adjustment </t>
    </r>
    <r>
      <rPr>
        <sz val="9"/>
        <color rgb="FF0070C0"/>
        <rFont val="Calibri"/>
        <family val="2"/>
        <scheme val="minor"/>
      </rPr>
      <t>= Arete TikTok US writedown vs. SBIA "mark".</t>
    </r>
  </si>
  <si>
    <t>= est. of SVF1 "reported" NAV different to "total of public + private + ByteDance" due to ByteDance adjustment.</t>
  </si>
  <si>
    <t>Prior Q Arm share price $</t>
  </si>
  <si>
    <r>
      <t xml:space="preserve">Arm target price $ </t>
    </r>
    <r>
      <rPr>
        <sz val="9"/>
        <color rgb="FF0070C0"/>
        <rFont val="Calibri"/>
        <family val="2"/>
        <scheme val="minor"/>
      </rPr>
      <t>= Arete historic record.</t>
    </r>
  </si>
  <si>
    <t>vs. Arm closing share price $</t>
  </si>
  <si>
    <t>= Arm asset-backed finance and obligations adjusted for remaining $12bn Arm receivable payment.</t>
  </si>
  <si>
    <t>SoftBank TopCo "Back of the Envelope" Cash Interest calculations $m</t>
  </si>
  <si>
    <t>TopCo gross debt $m</t>
  </si>
  <si>
    <r>
      <t xml:space="preserve">% coupon rate </t>
    </r>
    <r>
      <rPr>
        <sz val="9"/>
        <color rgb="FF0070C0"/>
        <rFont val="Calibri"/>
        <family val="2"/>
        <scheme val="minor"/>
      </rPr>
      <t>= use SBG Corporate Bonds tab.</t>
    </r>
  </si>
  <si>
    <t>% fixed</t>
  </si>
  <si>
    <t>TopCo gross cash interest paid $m</t>
  </si>
  <si>
    <t>= taken from SoftBank Group quarterly earnings presentations.</t>
  </si>
  <si>
    <t>= Arete est. "blended" % gross cost of debt</t>
  </si>
  <si>
    <t>Federal Reserve base rate</t>
  </si>
  <si>
    <t>BoJ base rate</t>
  </si>
  <si>
    <t>SB Northstar gross cash $m</t>
  </si>
  <si>
    <t>TopCo gross cash excluding SB Northstar $m</t>
  </si>
  <si>
    <t>Total TopCo gross cash including SB Northstar $m</t>
  </si>
  <si>
    <t>= Arete est. "blended" % deposit rate</t>
  </si>
  <si>
    <t>TopCo gross cash interest received $m</t>
  </si>
  <si>
    <t>TopCo BoP net debt $m</t>
  </si>
  <si>
    <t>Add: cash dividends received from SoftBank KK $m</t>
  </si>
  <si>
    <t>Add: cash dividends received from T-Mobile US $m</t>
  </si>
  <si>
    <t>Add: cash dividends received from Deutsche Telekom US $m</t>
  </si>
  <si>
    <t>Add: cash dividends received from Telcos units $m</t>
  </si>
  <si>
    <t>Less: cash dividends paid out by SBG Parent $m</t>
  </si>
  <si>
    <t>TopCo EoP net debt $m</t>
  </si>
  <si>
    <t>delta $m</t>
  </si>
  <si>
    <t>SBG TopCo net debt waterfall $m</t>
  </si>
  <si>
    <t>Less: cash dividends received from SoftBank KK $m</t>
  </si>
  <si>
    <t>Less: cash dividends received from T-Mobile US $m</t>
  </si>
  <si>
    <t>Less: cash dividends received from Deutsche Telekom US $m</t>
  </si>
  <si>
    <t>Less: cash dividends received from Telcos units $m</t>
  </si>
  <si>
    <t>Add: cash dividends paid out by SBG Parent $m</t>
  </si>
  <si>
    <t>SoftBank Group dividend calculations $m</t>
  </si>
  <si>
    <r>
      <t xml:space="preserve">Cash dividend received </t>
    </r>
    <r>
      <rPr>
        <sz val="9"/>
        <color theme="1"/>
        <rFont val="Aptos Narrow"/>
        <family val="2"/>
      </rPr>
      <t>¥</t>
    </r>
    <r>
      <rPr>
        <sz val="9"/>
        <color theme="1"/>
        <rFont val="Calibri"/>
        <family val="2"/>
        <scheme val="minor"/>
      </rPr>
      <t>bn</t>
    </r>
  </si>
  <si>
    <t>Average FX during Q</t>
  </si>
  <si>
    <t>Cash dividend received $m</t>
  </si>
  <si>
    <t>EoP FX</t>
  </si>
  <si>
    <t>TopCo EoP net debt ¥bn</t>
  </si>
  <si>
    <r>
      <t xml:space="preserve">$ per </t>
    </r>
    <r>
      <rPr>
        <sz val="9"/>
        <color theme="1"/>
        <rFont val="Aptos Narrow"/>
        <family val="2"/>
      </rPr>
      <t>¥</t>
    </r>
  </si>
  <si>
    <r>
      <t xml:space="preserve">% qoq change </t>
    </r>
    <r>
      <rPr>
        <sz val="9"/>
        <color rgb="FFFF0000"/>
        <rFont val="Calibri"/>
        <family val="2"/>
        <scheme val="minor"/>
      </rPr>
      <t>= impact on US$ reported net debt.</t>
    </r>
  </si>
  <si>
    <t>FX adjustment $m</t>
  </si>
  <si>
    <r>
      <t xml:space="preserve">% TopCo gross cash </t>
    </r>
    <r>
      <rPr>
        <sz val="9"/>
        <color theme="1"/>
        <rFont val="Aptos Narrow"/>
        <family val="2"/>
      </rPr>
      <t>¥</t>
    </r>
    <r>
      <rPr>
        <sz val="9"/>
        <color theme="1"/>
        <rFont val="Calibri"/>
        <family val="2"/>
        <scheme val="minor"/>
      </rPr>
      <t>-denominated</t>
    </r>
  </si>
  <si>
    <t>TopCo BoP gross cash $m</t>
  </si>
  <si>
    <r>
      <t xml:space="preserve">Increase/(decrease) in gross debt due to FX </t>
    </r>
    <r>
      <rPr>
        <sz val="9"/>
        <color rgb="FF0070C0"/>
        <rFont val="Calibri"/>
        <family val="2"/>
        <scheme val="minor"/>
      </rPr>
      <t xml:space="preserve">= weaker ¥ </t>
    </r>
    <r>
      <rPr>
        <i/>
        <sz val="9"/>
        <color rgb="FF0070C0"/>
        <rFont val="Calibri"/>
        <family val="2"/>
        <scheme val="minor"/>
      </rPr>
      <t>decreases</t>
    </r>
    <r>
      <rPr>
        <sz val="9"/>
        <color rgb="FF0070C0"/>
        <rFont val="Calibri"/>
        <family val="2"/>
        <scheme val="minor"/>
      </rPr>
      <t xml:space="preserve"> gross debt </t>
    </r>
    <r>
      <rPr>
        <i/>
        <sz val="9"/>
        <color rgb="FF0070C0"/>
        <rFont val="Calibri"/>
        <family val="2"/>
        <scheme val="minor"/>
      </rPr>
      <t>and</t>
    </r>
    <r>
      <rPr>
        <sz val="9"/>
        <color rgb="FF0070C0"/>
        <rFont val="Calibri"/>
        <family val="2"/>
        <scheme val="minor"/>
      </rPr>
      <t xml:space="preserve"> net debt in $m</t>
    </r>
    <r>
      <rPr>
        <sz val="9"/>
        <color theme="1"/>
        <rFont val="Calibri"/>
        <family val="2"/>
        <scheme val="minor"/>
      </rPr>
      <t>.</t>
    </r>
  </si>
  <si>
    <r>
      <t xml:space="preserve">Increase/(decrease) in gross cash due to FX </t>
    </r>
    <r>
      <rPr>
        <sz val="9"/>
        <color rgb="FFFF0000"/>
        <rFont val="Calibri"/>
        <family val="2"/>
        <scheme val="minor"/>
      </rPr>
      <t xml:space="preserve">= weaker ¥ </t>
    </r>
    <r>
      <rPr>
        <i/>
        <sz val="9"/>
        <color rgb="FFFF0000"/>
        <rFont val="Calibri"/>
        <family val="2"/>
        <scheme val="minor"/>
      </rPr>
      <t>decreases</t>
    </r>
    <r>
      <rPr>
        <sz val="9"/>
        <color rgb="FFFF0000"/>
        <rFont val="Calibri"/>
        <family val="2"/>
        <scheme val="minor"/>
      </rPr>
      <t xml:space="preserve"> gross cash and </t>
    </r>
    <r>
      <rPr>
        <i/>
        <sz val="9"/>
        <color rgb="FFFF0000"/>
        <rFont val="Calibri"/>
        <family val="2"/>
        <scheme val="minor"/>
      </rPr>
      <t>increases</t>
    </r>
    <r>
      <rPr>
        <sz val="9"/>
        <color rgb="FFFF0000"/>
        <rFont val="Calibri"/>
        <family val="2"/>
        <scheme val="minor"/>
      </rPr>
      <t xml:space="preserve"> net debt in $m.</t>
    </r>
  </si>
  <si>
    <r>
      <t xml:space="preserve">= Arete est. "blended" % deposit rate on TopCo </t>
    </r>
    <r>
      <rPr>
        <i/>
        <sz val="9"/>
        <color theme="1"/>
        <rFont val="Calibri"/>
        <family val="2"/>
        <scheme val="minor"/>
      </rPr>
      <t>only</t>
    </r>
    <r>
      <rPr>
        <sz val="9"/>
        <color theme="1"/>
        <rFont val="Calibri"/>
        <family val="2"/>
        <scheme val="minor"/>
      </rPr>
      <t xml:space="preserve"> gross cash</t>
    </r>
  </si>
  <si>
    <r>
      <t>Adjustments to exclude SB Northstar</t>
    </r>
    <r>
      <rPr>
        <sz val="9"/>
        <color theme="1"/>
        <rFont val="Calibri"/>
        <family val="2"/>
        <scheme val="minor"/>
      </rPr>
      <t>:</t>
    </r>
  </si>
  <si>
    <t>= assumes all SB Northstar cash/deposits $-denominated.</t>
  </si>
  <si>
    <t>% TopCo gross cash at SB Northstar</t>
  </si>
  <si>
    <t>% floating $-denominated</t>
  </si>
  <si>
    <t>% floating ¥-denominated</t>
  </si>
  <si>
    <r>
      <t xml:space="preserve">¥-denominated </t>
    </r>
    <r>
      <rPr>
        <sz val="9"/>
        <color theme="1"/>
        <rFont val="Aptos Narrow"/>
        <family val="2"/>
      </rPr>
      <t>¥</t>
    </r>
    <r>
      <rPr>
        <sz val="9"/>
        <color theme="1"/>
        <rFont val="Calibri"/>
        <family val="2"/>
        <scheme val="minor"/>
      </rPr>
      <t>tn</t>
    </r>
  </si>
  <si>
    <t>$-denominated ¥tn</t>
  </si>
  <si>
    <t>% ¥-denominated</t>
  </si>
  <si>
    <t>¥-denominated % deposit rate</t>
  </si>
  <si>
    <t>$-denominated % deposit rate</t>
  </si>
  <si>
    <t>% ¥-denominated excluding SB Northstar</t>
  </si>
  <si>
    <t>% $-denominated excluding SB Northstar</t>
  </si>
  <si>
    <t>TopCo gross cash interest received excluding SB Northstar $m</t>
  </si>
  <si>
    <t>= includes temporary $1.25bn bridge loan facility.</t>
  </si>
  <si>
    <t>= had previously assumed that Prepaid forward contracts on T-Mobile US shares (note: excludes DT call options etc.) were "fixed" price i.e., variable/increasing liability with share price but referred to in SBG quarterly reports as "collar contracts" &amp; US$ liability increases mechanically by 0.3% each Q i.e., implies variable number of shares to be given away or "fixed" liability.</t>
  </si>
  <si>
    <t>= final tranche of "fixed price" DT call option T-Mobile US shares transferred/settled to DT in June '24 (see comment).</t>
  </si>
  <si>
    <r>
      <t>T-Mobile US dividend calculations</t>
    </r>
    <r>
      <rPr>
        <sz val="9"/>
        <color theme="1"/>
        <rFont val="Calibri"/>
        <family val="2"/>
        <scheme val="minor"/>
      </rPr>
      <t>:</t>
    </r>
  </si>
  <si>
    <t>= use T-Mobile "Capital Return Programme" website page.</t>
  </si>
  <si>
    <t>Cash dividends paid out during quarter $m</t>
  </si>
  <si>
    <t>= SoftBank's F4Q23 is T-Mobile's 1Q24.</t>
  </si>
  <si>
    <t>SoftBank T-Mobile US dividend received $m</t>
  </si>
  <si>
    <t>% share of dividend</t>
  </si>
  <si>
    <r>
      <t>SoftBank KK</t>
    </r>
    <r>
      <rPr>
        <sz val="9"/>
        <color theme="1"/>
        <rFont val="Calibri"/>
        <family val="2"/>
        <scheme val="minor"/>
      </rPr>
      <t>:</t>
    </r>
  </si>
  <si>
    <r>
      <t>T-Mobile US</t>
    </r>
    <r>
      <rPr>
        <sz val="9"/>
        <color theme="1"/>
        <rFont val="Calibri"/>
        <family val="2"/>
        <scheme val="minor"/>
      </rPr>
      <t>:</t>
    </r>
  </si>
  <si>
    <r>
      <t>Deutsche Telekom dividend calculations</t>
    </r>
    <r>
      <rPr>
        <sz val="9"/>
        <color theme="1"/>
        <rFont val="Calibri"/>
        <family val="2"/>
        <scheme val="minor"/>
      </rPr>
      <t>:</t>
    </r>
  </si>
  <si>
    <t>SoftBank Deutsche Telekom dividend received $m</t>
  </si>
  <si>
    <t>per share €</t>
  </si>
  <si>
    <t>= FY23 € per share dividend paid in April '24.</t>
  </si>
  <si>
    <t>= FY24 € per share dividend paid in April '25.</t>
  </si>
  <si>
    <t>= based on sell-side analyst dividend consensus: see Deutsche Telekom "Dividend" website page in comment.</t>
  </si>
  <si>
    <r>
      <t>SoftBank Group Parent dividends</t>
    </r>
    <r>
      <rPr>
        <sz val="9"/>
        <color theme="1"/>
        <rFont val="Calibri"/>
        <family val="2"/>
        <scheme val="minor"/>
      </rPr>
      <t>:</t>
    </r>
  </si>
  <si>
    <t>SoftBank Group Parent dividend per share ¥</t>
  </si>
  <si>
    <t>= implied SBG cash dividend paid out ¥m</t>
  </si>
  <si>
    <t>SoftBank Group Parent cash dividend paid out ¥m</t>
  </si>
  <si>
    <r>
      <t xml:space="preserve">Number of SBG shares outstanding (millions) </t>
    </r>
    <r>
      <rPr>
        <sz val="9"/>
        <color rgb="FFFF0000"/>
        <rFont val="Calibri"/>
        <family val="2"/>
        <scheme val="minor"/>
      </rPr>
      <t>= check vs. SBG quarterly earnings report.</t>
    </r>
  </si>
  <si>
    <t>SBG TopCo gross cash waterfall $m</t>
  </si>
  <si>
    <t>Add: SBG TopCo bond &amp; loan issuance $m</t>
  </si>
  <si>
    <t>Less: repayment of maturing bonds &amp; loans $m</t>
  </si>
  <si>
    <t>qoq change in TopCo net debt $m</t>
  </si>
  <si>
    <t>qoq change in TopCo net debt ¥bn</t>
  </si>
  <si>
    <t>TopCo EoP gross cash $m</t>
  </si>
  <si>
    <t>qoq change in TopCo gross cash $m</t>
  </si>
  <si>
    <r>
      <t>SoftBank TopCo issuance &amp; retirement of debt</t>
    </r>
    <r>
      <rPr>
        <sz val="9"/>
        <color theme="1"/>
        <rFont val="Calibri"/>
        <family val="2"/>
        <scheme val="minor"/>
      </rPr>
      <t>:</t>
    </r>
  </si>
  <si>
    <t>Issue of Unsecured Corporate Bonds ¥bn</t>
  </si>
  <si>
    <t>Issue of Fukuoka SoftBank HAWKS Bond ¥bn</t>
  </si>
  <si>
    <t>Total bond &amp; loan issuance during quarter ¥bn</t>
  </si>
  <si>
    <t>Redemption of bonds &amp; loans during quarter ¥bn</t>
  </si>
  <si>
    <t>Net issuance of bonds &amp; loans during quarter ¥bn</t>
  </si>
  <si>
    <t>Less: net cash interest paid on TopCo standalone net debt excluding SB Northstar $m</t>
  </si>
  <si>
    <t>= Arete est. TopCo net cash interest paid during quarter $m</t>
  </si>
  <si>
    <r>
      <t xml:space="preserve">% TopCo gross cash </t>
    </r>
    <r>
      <rPr>
        <sz val="9"/>
        <color theme="1"/>
        <rFont val="Aptos Narrow"/>
        <family val="2"/>
      </rPr>
      <t>¥</t>
    </r>
    <r>
      <rPr>
        <sz val="9"/>
        <color theme="1"/>
        <rFont val="Calibri"/>
        <family val="2"/>
        <scheme val="minor"/>
      </rPr>
      <t>-denominated excluding SB Northstar</t>
    </r>
  </si>
  <si>
    <t>TopCo EoP gross debt $m</t>
  </si>
  <si>
    <t>TopCo EoP gross cash excluding SB Northstar $m</t>
  </si>
  <si>
    <t>TopCo EoP net debt excluding SB Northstar $m</t>
  </si>
  <si>
    <t>Add: net cash interest paid on TopCo standalone net debt excluding SB Northstar $m</t>
  </si>
  <si>
    <r>
      <t xml:space="preserve">TopCo EoP gross debt $m </t>
    </r>
    <r>
      <rPr>
        <sz val="9"/>
        <color rgb="FF0070C0"/>
        <rFont val="Calibri"/>
        <family val="2"/>
        <scheme val="minor"/>
      </rPr>
      <t>= based on Arete est. issuance</t>
    </r>
    <r>
      <rPr>
        <sz val="9"/>
        <color theme="1"/>
        <rFont val="Calibri"/>
        <family val="2"/>
        <scheme val="minor"/>
      </rPr>
      <t>.</t>
    </r>
  </si>
  <si>
    <r>
      <t xml:space="preserve">Add: "net" payment of Arm receivable to SVF1 $m </t>
    </r>
    <r>
      <rPr>
        <sz val="9"/>
        <color rgb="FFFF0000"/>
        <rFont val="Calibri"/>
        <family val="2"/>
        <scheme val="minor"/>
      </rPr>
      <t>= effective Third-party ordinary equity share of Arm receivable.</t>
    </r>
  </si>
  <si>
    <t>Less: SVF1 distributions excluding Arm receivable $m</t>
  </si>
  <si>
    <t>Less: SVF2 distributions $m</t>
  </si>
  <si>
    <t>Less: LatAm distributions $m</t>
  </si>
  <si>
    <t>Less: SVF distributions $m</t>
  </si>
  <si>
    <t>Net asset value $m</t>
  </si>
  <si>
    <t>Inter &amp; Co Inc</t>
  </si>
  <si>
    <t>Number of shares held by LatAm Funds at quarter end/during quarter = millions</t>
  </si>
  <si>
    <t>Source: SoftBank Group 13F filed quarterly with SEC.</t>
  </si>
  <si>
    <t>Net asset value at end of quarter $m</t>
  </si>
  <si>
    <t>= for forward looking use S&amp;P Capital IQ.</t>
  </si>
  <si>
    <t>Source: Inter &amp; Co IFRS quarterly filings.</t>
  </si>
  <si>
    <t>Nu Holdings Ltd</t>
  </si>
  <si>
    <t>Nu Holdings Ltd shares outstanding (millions)</t>
  </si>
  <si>
    <t>Source: Nu Holdings IFRS quarterly filings.</t>
  </si>
  <si>
    <t>VTEX</t>
  </si>
  <si>
    <t>Source: VTEX IFRS quarterly filings.</t>
  </si>
  <si>
    <t>VTEX shares outstanding (millions)</t>
  </si>
  <si>
    <t>Inter &amp; Co Inc shares outstanding (millions)</t>
  </si>
  <si>
    <t>Afya Ltd</t>
  </si>
  <si>
    <t>Afya Ltd shares outstanding (millions)</t>
  </si>
  <si>
    <t>ESS Tech Inc</t>
  </si>
  <si>
    <t>ESS Tech Inc shares outstanding (millions)</t>
  </si>
  <si>
    <t>Source: Afya Ltd IFRS quarterly filings.</t>
  </si>
  <si>
    <t>Source: ESS Tech Inc IFRS quarterly filings.</t>
  </si>
  <si>
    <r>
      <t xml:space="preserve">Total public assets </t>
    </r>
    <r>
      <rPr>
        <sz val="9"/>
        <color rgb="FF0070C0"/>
        <rFont val="Calibri"/>
        <family val="2"/>
        <scheme val="minor"/>
      </rPr>
      <t>= known per 13F filings with SEC i.e., US-listed LatAm companies only.</t>
    </r>
  </si>
  <si>
    <r>
      <t xml:space="preserve">Total private assets </t>
    </r>
    <r>
      <rPr>
        <sz val="9"/>
        <color rgb="FF0070C0"/>
        <rFont val="Calibri"/>
        <family val="2"/>
        <scheme val="minor"/>
      </rPr>
      <t xml:space="preserve">= includes publicly listed assets </t>
    </r>
    <r>
      <rPr>
        <i/>
        <sz val="9"/>
        <color rgb="FF0070C0"/>
        <rFont val="Calibri"/>
        <family val="2"/>
        <scheme val="minor"/>
      </rPr>
      <t>not</t>
    </r>
    <r>
      <rPr>
        <sz val="9"/>
        <color rgb="FF0070C0"/>
        <rFont val="Calibri"/>
        <family val="2"/>
        <scheme val="minor"/>
      </rPr>
      <t xml:space="preserve"> listed in the US.</t>
    </r>
  </si>
  <si>
    <r>
      <rPr>
        <u/>
        <sz val="9"/>
        <color theme="1"/>
        <rFont val="Calibri"/>
        <family val="2"/>
        <scheme val="minor"/>
      </rPr>
      <t>% qoq returns</t>
    </r>
    <r>
      <rPr>
        <sz val="9"/>
        <color theme="1"/>
        <rFont val="Calibri"/>
        <family val="2"/>
        <scheme val="minor"/>
      </rPr>
      <t>:</t>
    </r>
  </si>
  <si>
    <t>= Arete est. TopCo net cash interest paid during quarter excluding SB Northstar $m</t>
  </si>
  <si>
    <r>
      <t xml:space="preserve">Less: "net" payment of Arm receivable to SVF1 $m </t>
    </r>
    <r>
      <rPr>
        <sz val="9"/>
        <color rgb="FFFF0000"/>
        <rFont val="Calibri"/>
        <family val="2"/>
        <scheme val="minor"/>
      </rPr>
      <t>= effective Third-party ordinary equity share of Arm receivable.</t>
    </r>
  </si>
  <si>
    <t>Add: SVF1 distributions excluding Arm receivable $m</t>
  </si>
  <si>
    <t>Add: SVF2 distributions $m</t>
  </si>
  <si>
    <t>Add: LatAm distributions $m</t>
  </si>
  <si>
    <t>Add: SVF distributions $m</t>
  </si>
  <si>
    <t>Less: monetisation of T-Mobile/DT equity stakes $m</t>
  </si>
  <si>
    <t>Add: monetisation of T-Mobile/DT equity stakes $m</t>
  </si>
  <si>
    <t>Issue of Unsecured Corporate Bonds $m</t>
  </si>
  <si>
    <t>Issue of Fukuoka SoftBank HAWKS Bond $m</t>
  </si>
  <si>
    <t>Total bond &amp; loan issuance during quarter $m</t>
  </si>
  <si>
    <t>Redemption of bonds &amp; loans during quarter $m</t>
  </si>
  <si>
    <t>Net issuance of bonds &amp; loans during quarter $m</t>
  </si>
  <si>
    <t>Issue of Foreign Currency Denominated Senior Notes $m</t>
  </si>
  <si>
    <t>qoq change $bn</t>
  </si>
  <si>
    <r>
      <t>SoftBank quarterly update comps</t>
    </r>
    <r>
      <rPr>
        <sz val="9"/>
        <color theme="1"/>
        <rFont val="Calibri"/>
        <family val="2"/>
        <scheme val="minor"/>
      </rPr>
      <t>:</t>
    </r>
  </si>
  <si>
    <t>$m gain/(loss) qoq</t>
  </si>
  <si>
    <t>= notional impact to SBG NAV</t>
  </si>
  <si>
    <r>
      <t>Asset exposure charts</t>
    </r>
    <r>
      <rPr>
        <sz val="9"/>
        <color theme="1"/>
        <rFont val="Calibri"/>
        <family val="2"/>
        <scheme val="minor"/>
      </rPr>
      <t>:</t>
    </r>
  </si>
  <si>
    <t>= need to incorporate FX headwinds/tailwinds into Total private assets returns modelling.</t>
  </si>
  <si>
    <t>Add: cumulative distributions $m</t>
  </si>
  <si>
    <r>
      <t xml:space="preserve">Cumulative investment return $m </t>
    </r>
    <r>
      <rPr>
        <sz val="9"/>
        <color rgb="FF0000FF"/>
        <rFont val="Calibri"/>
        <family val="2"/>
        <scheme val="minor"/>
      </rPr>
      <t>= unrealised LatAm Funds fair value plus distributions</t>
    </r>
  </si>
  <si>
    <t>Cumulative investment return $m</t>
  </si>
  <si>
    <t>SBG total value of equity holdings net of asset-backed finance = A</t>
  </si>
  <si>
    <t>Less: SBG TopCo standalone net interest-bearing debt = B</t>
  </si>
  <si>
    <t>Loan-to-value = B/A</t>
  </si>
  <si>
    <t>Net asset value = A - B</t>
  </si>
  <si>
    <t>% qoq increase/(decrease)</t>
  </si>
  <si>
    <t>Add: SBG TopCo bond &amp; loan issuance</t>
  </si>
  <si>
    <t>Less: repayment of maturing bonds &amp; loans</t>
  </si>
  <si>
    <t>Less: cash dividends paid out by SBG Parent</t>
  </si>
  <si>
    <t>FX adjustment</t>
  </si>
  <si>
    <t>per share ¥</t>
  </si>
  <si>
    <t>Arm target price $ FY27E</t>
  </si>
  <si>
    <r>
      <t xml:space="preserve">Arm target price $ </t>
    </r>
    <r>
      <rPr>
        <sz val="9"/>
        <color rgb="FF0070C0"/>
        <rFont val="Calibri"/>
        <family val="2"/>
        <scheme val="minor"/>
      </rPr>
      <t>= discounted.</t>
    </r>
  </si>
  <si>
    <t>NAV per share ¥</t>
  </si>
  <si>
    <t>% discount</t>
  </si>
  <si>
    <t>of which "reclassified as unrealised loss" during quarter $m = i.e., recorded as unrealised gain during past quarters</t>
  </si>
  <si>
    <t>Fair value of exited investments at exit date $m = effectively periodic delta on Distributions</t>
  </si>
  <si>
    <t>MOIC on exited investments during period = multiple on invested capital</t>
  </si>
  <si>
    <t>= SenseTime Group position fully exited in F1Q24.</t>
  </si>
  <si>
    <t>= WeWork exited Chapter 11 in F1Q24 so now considered a fully exited investment.</t>
  </si>
  <si>
    <r>
      <t xml:space="preserve">View, Inc. </t>
    </r>
    <r>
      <rPr>
        <sz val="9"/>
        <color rgb="FFFF0000"/>
        <rFont val="Calibri"/>
        <family val="2"/>
        <scheme val="minor"/>
      </rPr>
      <t>= entered Chapter 11 bankruptcy in April '24.</t>
    </r>
  </si>
  <si>
    <t>= 12.5% increase on ByteDance mark just sufficient to imply writedown of "Other" portfolio companies.</t>
  </si>
  <si>
    <t>= check ByteDance mark with SoftBank IR.</t>
  </si>
  <si>
    <t>QuantumPharm Inc. (XtalPi)</t>
  </si>
  <si>
    <t>Change in third-party interests in LatAm Funds</t>
  </si>
  <si>
    <t>= use FP of Coupang 10-Q's for share count.</t>
  </si>
  <si>
    <t>= four American Depositary Shares for every ordinary Class A DiDi Global share.</t>
  </si>
  <si>
    <t>= use FP of DoorDash 10-Q's for share count.</t>
  </si>
  <si>
    <r>
      <t>Roivant Sciences Ltd.</t>
    </r>
    <r>
      <rPr>
        <sz val="9"/>
        <color theme="1"/>
        <rFont val="Calibri"/>
        <family val="2"/>
        <scheme val="minor"/>
      </rPr>
      <t xml:space="preserve"> </t>
    </r>
    <r>
      <rPr>
        <sz val="9"/>
        <color rgb="FFF97303"/>
        <rFont val="Calibri"/>
        <family val="2"/>
        <scheme val="minor"/>
      </rPr>
      <t>= now listed on NASDAQ as ROIV.</t>
    </r>
  </si>
  <si>
    <t>= use FP of Roivant 10-Q's for share count.</t>
  </si>
  <si>
    <t>= use FP of Compass 10-Q's for share count.</t>
  </si>
  <si>
    <t>= use FP of Relay Therapeutics 10-Q's for share count.</t>
  </si>
  <si>
    <t>= Ginkgo Bioworks Holdings, Inc. re-based share price during Sep. '24 quarter.</t>
  </si>
  <si>
    <t>= use AutoStore Holdings quarterly reports.</t>
  </si>
  <si>
    <r>
      <t xml:space="preserve">QuantumPharm Inc. (XtalPi) </t>
    </r>
    <r>
      <rPr>
        <sz val="9"/>
        <color rgb="FF0000FF"/>
        <rFont val="Calibri"/>
        <family val="2"/>
        <scheme val="minor"/>
      </rPr>
      <t>= share price in HK$.</t>
    </r>
  </si>
  <si>
    <t>= pg.1 of NVIDIA 10-Q's gives shares outstanding in billions.</t>
  </si>
  <si>
    <t>= Ctrl + F "ordinary shares" in Eutelsat quarterly reports.</t>
  </si>
  <si>
    <r>
      <t xml:space="preserve">SoftBank Corp. share price </t>
    </r>
    <r>
      <rPr>
        <sz val="9"/>
        <color rgb="FFF97303"/>
        <rFont val="Calibri"/>
        <family val="2"/>
      </rPr>
      <t>¥</t>
    </r>
  </si>
  <si>
    <t>= 10-for-1 stock split to SoftBank KK shares executed on 30th September -&gt; need to adjust model.</t>
  </si>
  <si>
    <t>= copied across as values from Arete T-Mobile model.</t>
  </si>
  <si>
    <t>= SoftBank chose to settle 24.8m T-Mobile prepaid forward contracts for cash across F1Q24 and F2Q24 i.e., net buyer of T-Mobile shares in F1H24.</t>
  </si>
  <si>
    <t>= Prepaid forward contracts liability for T-Mobile shares goes to $0m after final cash payment for 4.8m shares on 1 July '24.</t>
  </si>
  <si>
    <t>T-Mobile $bn</t>
  </si>
  <si>
    <t>Deutsche Telekom $bn</t>
  </si>
  <si>
    <t>= per '24 Capital Markets Day DT intends to buyback up to €2bn of shares in FY25.</t>
  </si>
  <si>
    <t>Arm lease liabilities</t>
  </si>
  <si>
    <t>= note formula change due to Arm inclusion.</t>
  </si>
  <si>
    <t>= T-Mobile prepaid forward contracts fully settled from 1 July '24 i.e., no netting off of position from here onwards.</t>
  </si>
  <si>
    <t>= Arete Research ests. based on SoftBank commentary &amp; presentations.</t>
  </si>
  <si>
    <t>= use Trading Economics for base rates.</t>
  </si>
  <si>
    <t>= data not provided for F1Q presentation.</t>
  </si>
  <si>
    <t>= Ctrl + F "Breakdown of cash position" in quarterly Finance presentation.</t>
  </si>
  <si>
    <t>= Ctrl + F "Fixed/Floating Ratio" in quarterly Finance presentation.</t>
  </si>
  <si>
    <t>= exclude Subsidiaries.</t>
  </si>
  <si>
    <t>Add: share repurchases</t>
  </si>
  <si>
    <t>Less: share repurchases</t>
  </si>
  <si>
    <t>= delta likely due to requiring an FX adjustment on SoftBank gross debt.</t>
  </si>
  <si>
    <t>SoftBank Group share repurchase calculations $m</t>
  </si>
  <si>
    <t>Share repurchase authorisation</t>
  </si>
  <si>
    <t>= all share counts in millions.</t>
  </si>
  <si>
    <t>BoP share count</t>
  </si>
  <si>
    <t>Less: shares repurchased during period</t>
  </si>
  <si>
    <t>EoP share count</t>
  </si>
  <si>
    <t>= share repurchase announced at F1Q24 earnings results in Aug. '24.</t>
  </si>
  <si>
    <t>% of total number of shares issued excl. Treasury shares</t>
  </si>
  <si>
    <t>of which Treasury shares</t>
  </si>
  <si>
    <t>Shares repurchased during period</t>
  </si>
  <si>
    <t>Average share price ¥</t>
  </si>
  <si>
    <t>Average share price $</t>
  </si>
  <si>
    <r>
      <t xml:space="preserve">SoftBank reported NAV per share ¥ </t>
    </r>
    <r>
      <rPr>
        <sz val="9"/>
        <color rgb="FF0070C0"/>
        <rFont val="Calibri"/>
        <family val="2"/>
        <scheme val="minor"/>
      </rPr>
      <t>= Arete ests.</t>
    </r>
  </si>
  <si>
    <t>Total amount repurchased ¥m</t>
  </si>
  <si>
    <t>Total amount repurchased $m</t>
  </si>
  <si>
    <t>= cumulative  ¥m</t>
  </si>
  <si>
    <t>= remaining Share repurchase authorisation ¥m</t>
  </si>
  <si>
    <t>SoftBank Group share count (millions)</t>
  </si>
  <si>
    <t>= share count reflects Arete est. SoftBank Group share repurchase model.</t>
  </si>
  <si>
    <r>
      <t xml:space="preserve">SoftBank buyback participation </t>
    </r>
    <r>
      <rPr>
        <sz val="9"/>
        <color rgb="FFFF00FF"/>
        <rFont val="Calibri"/>
        <family val="2"/>
        <scheme val="minor"/>
      </rPr>
      <t>= cumulative number of shares disposed to T-Mobile.</t>
    </r>
  </si>
  <si>
    <t>= SoftBank elects to hold % ownership of T-Mobile at x%.</t>
  </si>
  <si>
    <t>= quarterly disposals of T-Mobile shares.</t>
  </si>
  <si>
    <t>= cash raised during period from buyback participation $m</t>
  </si>
  <si>
    <t>= formula adapted for WeWork exiting Chapter 11 in F1Q i.e., removed from IPO'd companies acquisition cost.</t>
  </si>
  <si>
    <t>firstcry.com</t>
  </si>
  <si>
    <t>OpenAI</t>
  </si>
  <si>
    <t>= update quarterly figures by adjusting column refs from Valuation &amp; SBG NAV and delta columns update automatically.</t>
  </si>
  <si>
    <t>% of outstanding shares repurchased under 6.8% authorisation</t>
  </si>
  <si>
    <r>
      <t xml:space="preserve">SoftBank buyback participation </t>
    </r>
    <r>
      <rPr>
        <sz val="9"/>
        <color rgb="FFFF00FF"/>
        <rFont val="Calibri"/>
        <family val="2"/>
        <scheme val="minor"/>
      </rPr>
      <t>= cumulative number of shares disposed to Deutsche Telekom.</t>
    </r>
  </si>
  <si>
    <t>= SoftBank elects to hold % ownership of Deutsche Telekom at x%.</t>
  </si>
  <si>
    <t>Brainbees Solutions Limited (FirstCry)</t>
  </si>
  <si>
    <t>Brainbees Solutions Ltd.</t>
  </si>
  <si>
    <t>Brainbees Solutions Ltd. shares outstanding (millions)</t>
  </si>
  <si>
    <t>Ola Electric Mobility Limited</t>
  </si>
  <si>
    <r>
      <t xml:space="preserve">Total SVF2 Privately held companies </t>
    </r>
    <r>
      <rPr>
        <sz val="9"/>
        <color rgb="FF0070C0"/>
        <rFont val="Calibri"/>
        <family val="2"/>
        <scheme val="minor"/>
      </rPr>
      <t>= fair value at quarter end.</t>
    </r>
  </si>
  <si>
    <t>= SBG expected to lead another funding round for OpenAI at $300bn valuation.</t>
  </si>
  <si>
    <t>Ola Electric Mobility Limited shares outstanding (millions)</t>
  </si>
  <si>
    <r>
      <t xml:space="preserve">Exscientia PLC </t>
    </r>
    <r>
      <rPr>
        <sz val="9"/>
        <color rgb="FF0070C0"/>
        <rFont val="Calibri"/>
        <family val="2"/>
        <scheme val="minor"/>
      </rPr>
      <t>= merged with Recursion Pharmaceuticals Inc. in Nov. '24.</t>
    </r>
  </si>
  <si>
    <t>= switched to Recursion Pharmaceuticals Inc. share price.</t>
  </si>
  <si>
    <t>10/31/2024</t>
  </si>
  <si>
    <t>11/29/2024</t>
  </si>
  <si>
    <t>12/30/2024</t>
  </si>
  <si>
    <t>Issue of Foreign Currency Denominated Senior Notes ¥bn</t>
  </si>
  <si>
    <t>Issue of Hybrid Loan ¥bn</t>
  </si>
  <si>
    <t>Issue of Hybrid Loan $m</t>
  </si>
  <si>
    <t>Add: Project Stargate capital contribution $m</t>
  </si>
  <si>
    <t>Less: Project Stargate capital contribution $m</t>
  </si>
  <si>
    <t>= Arete Research est. capital requirement $m</t>
  </si>
  <si>
    <r>
      <t>January '25 charts</t>
    </r>
    <r>
      <rPr>
        <sz val="9"/>
        <color theme="1"/>
        <rFont val="Calibri"/>
        <family val="2"/>
        <scheme val="minor"/>
      </rPr>
      <t>:</t>
    </r>
  </si>
  <si>
    <t>Stargate</t>
  </si>
  <si>
    <t>SVF dist.</t>
  </si>
  <si>
    <t>Northstar</t>
  </si>
  <si>
    <t>KK divi.</t>
  </si>
  <si>
    <t>Deficit</t>
  </si>
  <si>
    <t>CY'24 cash</t>
  </si>
  <si>
    <t>CY'25 cash</t>
  </si>
  <si>
    <t>F2Q24</t>
  </si>
  <si>
    <t>% QoQ return</t>
  </si>
  <si>
    <r>
      <t>OpenAI revenues</t>
    </r>
    <r>
      <rPr>
        <sz val="9"/>
        <color theme="1"/>
        <rFont val="Calibri"/>
        <family val="2"/>
        <scheme val="minor"/>
      </rPr>
      <t>:</t>
    </r>
  </si>
  <si>
    <t>2024E</t>
  </si>
  <si>
    <t>2025E</t>
  </si>
  <si>
    <r>
      <t>Software Co.'s comps.</t>
    </r>
    <r>
      <rPr>
        <sz val="9"/>
        <color theme="1"/>
        <rFont val="Calibri"/>
        <family val="2"/>
        <scheme val="minor"/>
      </rPr>
      <t>:</t>
    </r>
  </si>
  <si>
    <t>Microsoft</t>
  </si>
  <si>
    <t>Y1</t>
  </si>
  <si>
    <t>Y2</t>
  </si>
  <si>
    <t>Y3</t>
  </si>
  <si>
    <t>% 3yr CAGR</t>
  </si>
  <si>
    <t>Oracle</t>
  </si>
  <si>
    <t>Salesforce</t>
  </si>
  <si>
    <t>SAP</t>
  </si>
  <si>
    <t>Adobe</t>
  </si>
  <si>
    <t>Intuit</t>
  </si>
  <si>
    <t>IBM</t>
  </si>
  <si>
    <t>Palantir</t>
  </si>
  <si>
    <t>ServiceNow</t>
  </si>
  <si>
    <t>Snowflake</t>
  </si>
  <si>
    <t>Crowdstrike</t>
  </si>
  <si>
    <t>1-year P/S</t>
  </si>
  <si>
    <t>Y0</t>
  </si>
  <si>
    <t>2-year P/S</t>
  </si>
  <si>
    <t>PLTR</t>
  </si>
  <si>
    <t>CRWD</t>
  </si>
  <si>
    <t>NOW</t>
  </si>
  <si>
    <t>SNOW</t>
  </si>
  <si>
    <t>INTU</t>
  </si>
  <si>
    <t>MSFT</t>
  </si>
  <si>
    <t>ORCL</t>
  </si>
  <si>
    <t>ADBE</t>
  </si>
  <si>
    <t>CRM</t>
  </si>
  <si>
    <t>2-year P/S/growth</t>
  </si>
  <si>
    <r>
      <t>Stargate financing</t>
    </r>
    <r>
      <rPr>
        <sz val="9"/>
        <color theme="1"/>
        <rFont val="Calibri"/>
        <family val="2"/>
        <scheme val="minor"/>
      </rPr>
      <t>:</t>
    </r>
  </si>
  <si>
    <t>Oracle + MGX</t>
  </si>
  <si>
    <t>GPs + Project Financing</t>
  </si>
  <si>
    <t>12/31/2024</t>
  </si>
  <si>
    <t>ABF</t>
  </si>
  <si>
    <r>
      <t xml:space="preserve">Add: Mizuho Bank Ltd. financing facilities $m </t>
    </r>
    <r>
      <rPr>
        <sz val="9"/>
        <color rgb="FF2EB2A5"/>
        <rFont val="Calibri"/>
        <family val="2"/>
        <scheme val="minor"/>
      </rPr>
      <t>= Ampere + OpenAI acquisitions.</t>
    </r>
  </si>
  <si>
    <t>= not clear whether Mizuho Bank Ltd. has provided financing for later $30bn OpenAI tranche.</t>
  </si>
  <si>
    <t>Add: Ampere Computing Holdings LLC acquisition $m</t>
  </si>
  <si>
    <t>Less: Ampere Computing Holdings LLC acquisition $m</t>
  </si>
  <si>
    <t>Ampere Computing Holdings LLC</t>
  </si>
  <si>
    <r>
      <t xml:space="preserve">Add: increase in Arm margin loan $m </t>
    </r>
    <r>
      <rPr>
        <sz val="9"/>
        <color rgb="FF0070C0"/>
        <rFont val="Calibri"/>
        <family val="2"/>
        <scheme val="minor"/>
      </rPr>
      <t>= effectively free cash at TopCo.</t>
    </r>
  </si>
  <si>
    <r>
      <t xml:space="preserve">Less: increase in Arm margin loan $m </t>
    </r>
    <r>
      <rPr>
        <sz val="9"/>
        <color rgb="FF0070C0"/>
        <rFont val="Calibri"/>
        <family val="2"/>
        <scheme val="minor"/>
      </rPr>
      <t>= effectively free cash at TopCo.</t>
    </r>
  </si>
  <si>
    <t>= check historic target prices with Janco.</t>
  </si>
  <si>
    <t>Arete alternative equity value exposure</t>
  </si>
  <si>
    <t>Arm + other semis*</t>
  </si>
  <si>
    <t>Telcos</t>
  </si>
  <si>
    <t>OpenAI**</t>
  </si>
  <si>
    <t>Stargate Project</t>
  </si>
  <si>
    <t>Less: Project Stargate capital contribution</t>
  </si>
  <si>
    <t>Others (incl. OpenAI + Stargate + Ampere + Graphcore)</t>
  </si>
  <si>
    <t>= DT formula adjustment for $1bn delta vs. SBG reporting built up in 2Q and 3Q24 -&gt; seems like DT share price now above "short call strike price" of collar.</t>
  </si>
  <si>
    <t>F1Q24</t>
  </si>
  <si>
    <t>F3Q24</t>
  </si>
  <si>
    <t>F2Q25E</t>
  </si>
  <si>
    <t>F3Q25E</t>
  </si>
  <si>
    <t>F4Q25E</t>
  </si>
  <si>
    <r>
      <t xml:space="preserve">NAV/share </t>
    </r>
    <r>
      <rPr>
        <sz val="9"/>
        <color theme="1"/>
        <rFont val="Aptos Narrow"/>
        <family val="2"/>
      </rPr>
      <t>¥</t>
    </r>
  </si>
  <si>
    <t>% LTV</t>
  </si>
  <si>
    <t>= check with IR whether WeWork investment re-classification led to the $5.3bn change in acquisition cost?</t>
  </si>
  <si>
    <t>= taken from DiDi Global's Form 20-F published annually.</t>
  </si>
  <si>
    <t>Source: GoTo Gojek Financial Statements -&gt; Ctrl + F "basic and diluted".</t>
  </si>
  <si>
    <t>Swiggy Limited</t>
  </si>
  <si>
    <r>
      <t xml:space="preserve">Exscientia PLC </t>
    </r>
    <r>
      <rPr>
        <sz val="9"/>
        <color rgb="FF0070C0"/>
        <rFont val="Calibri"/>
        <family val="2"/>
        <scheme val="minor"/>
      </rPr>
      <t>= merged into Recursion Pharmaceuticals, Inc. in Nov. '24.</t>
    </r>
  </si>
  <si>
    <t>Perplexity</t>
  </si>
  <si>
    <r>
      <t xml:space="preserve">Total SVF2 Privately held companies </t>
    </r>
    <r>
      <rPr>
        <sz val="9"/>
        <color rgb="FF0070C0"/>
        <rFont val="Calibri"/>
        <family val="2"/>
        <scheme val="minor"/>
      </rPr>
      <t>= acquisition cost at quarter end.</t>
    </r>
  </si>
  <si>
    <t>Revolut</t>
  </si>
  <si>
    <t>Source: Capital IQ.</t>
  </si>
  <si>
    <t>= 1-for-15 reverse stock split in Feb. '25.</t>
  </si>
  <si>
    <r>
      <t>SVF2 potential near-term IPO candidates</t>
    </r>
    <r>
      <rPr>
        <sz val="9"/>
        <color theme="0" tint="-0.499984740745262"/>
        <rFont val="Calibri"/>
        <family val="2"/>
        <scheme val="minor"/>
      </rPr>
      <t>:</t>
    </r>
  </si>
  <si>
    <t>Perplexity AI</t>
  </si>
  <si>
    <t>= Ctrl + F "share capital".</t>
  </si>
  <si>
    <t>= Ctrl + F "shares authorized and fully issued".</t>
  </si>
  <si>
    <t>Tempus AI Inc</t>
  </si>
  <si>
    <t>Tempus AI Inc shares outstanding (millions)</t>
  </si>
  <si>
    <t>% SBG gross asset value</t>
  </si>
  <si>
    <t>% SBG net asset value</t>
  </si>
  <si>
    <t>SBG total gross value of equity holdings (incl. ABF)</t>
  </si>
  <si>
    <t>% of market cap.</t>
  </si>
  <si>
    <t>OpenAI $bn</t>
  </si>
  <si>
    <t>= $85m adjustment for Mar. '25 Wiz acquisition by Alphabet.</t>
  </si>
  <si>
    <r>
      <t>Asset exposure</t>
    </r>
    <r>
      <rPr>
        <sz val="9"/>
        <rFont val="Calibri"/>
        <family val="2"/>
        <scheme val="minor"/>
      </rPr>
      <t>:</t>
    </r>
  </si>
  <si>
    <t>Indian IPO's*</t>
  </si>
  <si>
    <t>Indian publicly-listed**</t>
  </si>
  <si>
    <t>= taken from Tempus AI 10-Q's and 10-K's.</t>
  </si>
  <si>
    <t>Phase 1</t>
  </si>
  <si>
    <t>SoftBank</t>
  </si>
  <si>
    <t>Oracle/MGX</t>
  </si>
  <si>
    <t>Preferreds</t>
  </si>
  <si>
    <t>F4Q24</t>
  </si>
  <si>
    <r>
      <t xml:space="preserve">SBG "Standalone" cash position </t>
    </r>
    <r>
      <rPr>
        <sz val="9"/>
        <color rgb="FF0070C0"/>
        <rFont val="Calibri"/>
        <family val="2"/>
        <scheme val="minor"/>
      </rPr>
      <t>= as reported in SBG quarterly presentations.</t>
    </r>
  </si>
  <si>
    <t>Total SBG gross borrowing</t>
  </si>
  <si>
    <r>
      <t>OpenAI + Ampere + Stargate sources of cash</t>
    </r>
    <r>
      <rPr>
        <sz val="9"/>
        <color theme="1"/>
        <rFont val="Calibri"/>
        <family val="2"/>
        <scheme val="minor"/>
      </rPr>
      <t>:</t>
    </r>
  </si>
  <si>
    <t>Ampere</t>
  </si>
  <si>
    <t>Arm receivable to SVF1 (net)</t>
  </si>
  <si>
    <t>Total AI commitments</t>
  </si>
  <si>
    <t>TMUS monetisation</t>
  </si>
  <si>
    <t>SoftBank KK margin loan</t>
  </si>
  <si>
    <t>Commitment line</t>
  </si>
  <si>
    <t>Total capital raised commitments</t>
  </si>
  <si>
    <t>% of AI commitments</t>
  </si>
  <si>
    <t>TopCo debt</t>
  </si>
  <si>
    <t>Asset-backed finance</t>
  </si>
  <si>
    <t>DT monetisation</t>
  </si>
  <si>
    <t>Vision Fund monetisations</t>
  </si>
  <si>
    <t>= on a "net" basis.</t>
  </si>
  <si>
    <t>Arm margin loan (undrawn)</t>
  </si>
  <si>
    <t>GreenBox JV (Symbotic)</t>
  </si>
  <si>
    <t>Monetisations ("non-core telco")</t>
  </si>
  <si>
    <t>Monetisations ("Vision Funds")</t>
  </si>
  <si>
    <t>Monetisations ("Other incl. Northstar")</t>
  </si>
  <si>
    <t>= based on end 1Q25 Arm and SoftBank KK share prices.</t>
  </si>
  <si>
    <t>Add: increase in SoftBank K.K. margin loan $m</t>
  </si>
  <si>
    <t>Less: increase in SoftBank K.K. margin loan $m</t>
  </si>
  <si>
    <t>3/31/2025</t>
  </si>
  <si>
    <t>6/30/2025</t>
  </si>
  <si>
    <t>= taken from S&amp;P Capital IQ.</t>
  </si>
  <si>
    <t>9/30/2025</t>
  </si>
  <si>
    <t>Other private % return during period</t>
  </si>
  <si>
    <t>vs. Thomson Reuters Venture Capital Index</t>
  </si>
  <si>
    <t>= we have reset our model to assume that SVF1 Preferred equity is paid down by end of FY26 or March '27 given accelerated pay-down schedule which we have seen since initiating coverage.</t>
  </si>
  <si>
    <t>Metsera, Inc.</t>
  </si>
  <si>
    <t>= update share count every December.</t>
  </si>
  <si>
    <t>= can use Arete model for Symbotic shares outstanding and copy "as values".</t>
  </si>
  <si>
    <t>Taiwan Semiconductor</t>
  </si>
  <si>
    <t>TSMC</t>
  </si>
  <si>
    <t>TSMC shares outstanding (millions)</t>
  </si>
  <si>
    <t>Oracle shares outstanding (millions)</t>
  </si>
  <si>
    <t>Cipher Mining Inc</t>
  </si>
  <si>
    <t>Cipher Mining Inc shares outstanding (millions)</t>
  </si>
  <si>
    <t>Derivative gain/(loss) on investments</t>
  </si>
  <si>
    <t>2/28/2025</t>
  </si>
  <si>
    <t>1/31/2025</t>
  </si>
  <si>
    <t>4/30/2025</t>
  </si>
  <si>
    <t>5/30/2025</t>
  </si>
  <si>
    <t>= new link for DT's 2025 Share repurchase programme.</t>
  </si>
  <si>
    <t>qoq change in SBG's gross DT position $m</t>
  </si>
  <si>
    <t>vs. qoq change in SBG's net DT position $m</t>
  </si>
  <si>
    <t>SBG EoP gross Deutsche Telekom position €m</t>
  </si>
  <si>
    <t>qoq change in SBG's gross DT position €m</t>
  </si>
  <si>
    <t>vs. qoq change in SBG's net DT position €m</t>
  </si>
  <si>
    <t>SBG reported Deutsche Telekom position €m</t>
  </si>
  <si>
    <t>% feed-through</t>
  </si>
  <si>
    <t>https://www.telekom.com/en/investor-relations/share/dividend</t>
  </si>
  <si>
    <t>= model DT on the basis of "net" position due to inconsistent reporting on collar transaction.</t>
  </si>
  <si>
    <r>
      <t>TopCo + Northstar Stargate ecosystem AI investments</t>
    </r>
    <r>
      <rPr>
        <sz val="9"/>
        <color theme="1"/>
        <rFont val="Calibri"/>
        <family val="2"/>
        <scheme val="minor"/>
      </rPr>
      <t>:</t>
    </r>
  </si>
  <si>
    <t>Pro-forma</t>
  </si>
  <si>
    <t>Lower</t>
  </si>
  <si>
    <t>Upper</t>
  </si>
  <si>
    <t>Profit lower</t>
  </si>
  <si>
    <t>Profit upper</t>
  </si>
  <si>
    <t>unrealised profit/(loss) during period</t>
  </si>
  <si>
    <t>コマーシャルペーパー
Commercial paper</t>
  </si>
  <si>
    <t xml:space="preserve">2025年4月満期ドル建普通社債
USD-denominated Senior Notes due April 2025 </t>
  </si>
  <si>
    <t>2025年4月満期ユーロ建普通社債
EUR-denominated Senior Notes due April 2025</t>
  </si>
  <si>
    <t>第55回無担保普通社債 (福岡ソフトバンクホークスボンド)
55th series Unsecured Straight Bond (Fukuoka SoftBank HAWKS Bond)</t>
  </si>
  <si>
    <t>2025年7月満期ドル建普通社債
USD-denominated Senior Notes due July 2025</t>
  </si>
  <si>
    <t>2025年7月満期ユーロ建普通社債
EUR-denominated Senior Notes due July 2025</t>
  </si>
  <si>
    <t>2025年9月満期ユーロ建普通社債
EUR-denominated Senior Notes due September 2025</t>
  </si>
  <si>
    <t>第50回無担保普通社債
50th series Unsecured Straight Bond</t>
  </si>
  <si>
    <t>2026年7月満期ドル建普通社債
USD-denominated Senior Notes due July 2026</t>
  </si>
  <si>
    <t>第57回無担保普通社債
57th series Unsecured Straight Bond</t>
  </si>
  <si>
    <t>第56回無担保普通社債 (福岡ソフトバンクホークスボンド)
56th series Unsecured Straight Bond (Fukuoka SoftBank HAWKS Bond)</t>
  </si>
  <si>
    <t>2027年1月満期ユーロ建普通社債
EUR-denominated Senior Notes due January 2027</t>
  </si>
  <si>
    <t>第60回無担保普通社債
60th series Unsecured Straight Bond</t>
  </si>
  <si>
    <t>2027年7月満期ユーロ建普通社債
EUR-denominated Senior Notes due July 2027</t>
  </si>
  <si>
    <t>2027年9月満期ドル建普通社債
USD-denominated Senior Notes due September 2027</t>
  </si>
  <si>
    <t>2028年4月満期ドル建普通社債
USD-denominated Senior Notes due April 2028</t>
  </si>
  <si>
    <t>2028年4月満期ユーロ建普通社債
EUR-denominated Senior Notes due April 2028</t>
  </si>
  <si>
    <t>2028年7月満期ドル建普通社債
USD-denominated Senior Notes due July 2028</t>
  </si>
  <si>
    <t>2029年1月満期ユーロ建普通社債
EUR-denominated Senior Notes due January 2029</t>
  </si>
  <si>
    <t>第61回無担保普通社債
61st series Unsecured Straight Bond</t>
  </si>
  <si>
    <t>2029年7月満期ユーロ建普通社債
EUR-denominated Senior Notes due July 2029</t>
  </si>
  <si>
    <t>2029年7月満期ドル建普通社債
USD-denominated Senior Notes due July 2029</t>
  </si>
  <si>
    <t>2029年9月満期ユーロ建普通社債
EUR-denominated Senior Notes due September 2029</t>
  </si>
  <si>
    <t>第58回無担保普通社債 (福岡ソフトバンクホークスボンド)
58th series Unsecured Straight Bond (Fukuoka SoftBank HAWKS Bond)</t>
  </si>
  <si>
    <t>第59回無担保普通社債 (福岡ソフトバンクホークスボンド)
59th series Unsecured Straight Bond (Fukuoka SoftBank HAWKS Bond)</t>
  </si>
  <si>
    <t>第62回無担保普通社債
62nd series Unsecured Straight Bond</t>
  </si>
  <si>
    <t>第63回無担保普通社債 (福岡ソフトバンクホークスボンド)
63rd series Unsecured Straight Bond (Fukuoka SoftBank HAWKS Bond)</t>
  </si>
  <si>
    <t>2031年7月満期ドル建普通社債
USD-denominated Senior Notes due July 2031</t>
  </si>
  <si>
    <t>第64回無担保普通社債 (福岡ソフトバンクホークスボンド)
64th series Unsecured Straight Bond (Fukuoka SoftBank HAWKS Bond)</t>
  </si>
  <si>
    <t>2032年7月満期ユーロ建普通社債
EUR-denominated Senior Notes due July 2032</t>
  </si>
  <si>
    <t>第4回劣後特約付無担保社債
4th series Unsecured Subordinated Bond</t>
  </si>
  <si>
    <t>第3回劣後特約付無担保社債
3rd series Unsecured Subordinated Bond</t>
  </si>
  <si>
    <t>第5回劣後特約付無担保社債
5th series Unsecured Subordinated Bond</t>
  </si>
  <si>
    <t>第4回利払繰延条項・期限前償還条項付無担保社債（劣後特約付）（ハイブリッド債）*2
4th Unsecured Subordinated Bonds with interest deferrable clause and early redeemable option (with a subordination provision) (Hybrid Bonds)*2</t>
  </si>
  <si>
    <t>第5回利払繰延条項・期限前償還条項付無担保社債（劣後特約付）（ハイブリッド債）*3
5th Unsecured Subordinated Bonds with interest deferrable clause and early redeemable option (with a subordination provision) (Hybrid Bonds)*3</t>
  </si>
  <si>
    <t>第6回利払繰延条項・期限前償還条項付無担保社債（劣後特約付）（ハイブリッド債）*4
6th Unsecured Subordinated Bonds with interest deferrable clause and early redeemable option (with a subordination provision) (Hybrid Bonds)*4</t>
  </si>
  <si>
    <t>ｰ</t>
  </si>
  <si>
    <t>Mar 31, 2025
Outstanding Balance</t>
  </si>
  <si>
    <t>米ドル建ノンコール10年永久劣後特約付社債（利払繰延条項付）*5
Undated Subordinated NC10 Resettable Notes*5</t>
  </si>
  <si>
    <t>なし | N/A</t>
  </si>
  <si>
    <r>
      <t xml:space="preserve">SBG 5yr credit spread </t>
    </r>
    <r>
      <rPr>
        <sz val="9"/>
        <color rgb="FFFF0000"/>
        <rFont val="Calibri"/>
        <family val="2"/>
        <scheme val="minor"/>
      </rPr>
      <t>= rounded to nearest 25bps "average" per SoftBank quarterly earnings presentations</t>
    </r>
    <r>
      <rPr>
        <sz val="9"/>
        <color theme="1"/>
        <rFont val="Calibri"/>
        <family val="2"/>
        <scheme val="minor"/>
      </rPr>
      <t>.</t>
    </r>
  </si>
  <si>
    <t>Add: OpenAI investments $m</t>
  </si>
  <si>
    <t>Add: other consolidated AI investments $m</t>
  </si>
  <si>
    <t>Add: Arm and SoftBank K.K. margin loan interest $m</t>
  </si>
  <si>
    <t>Less: Arm and SoftBank K.K. margin loan interest $m</t>
  </si>
  <si>
    <t>Less: OpenAI investments $m</t>
  </si>
  <si>
    <t>Less: other consolidated AI investments $m</t>
  </si>
  <si>
    <t>F1Q23</t>
  </si>
  <si>
    <t>F2Q23</t>
  </si>
  <si>
    <t>F3Q23</t>
  </si>
  <si>
    <t>F4Q23</t>
  </si>
  <si>
    <t>SVF2 excl. OpenAI</t>
  </si>
  <si>
    <t>OpenAI Global LLC</t>
  </si>
  <si>
    <t>Publicly held assets excl. OpenAI %</t>
  </si>
  <si>
    <t>Privately held assets excl. OpenAI %</t>
  </si>
  <si>
    <t>= OpenAI is a core investment + investors likely to use SoftBank shares to gain synthetic OpenAI exposure for future IPO.</t>
  </si>
  <si>
    <t>= change of formula for OpenAI.</t>
  </si>
  <si>
    <t>SVF2 privately held excl. OpenAI</t>
  </si>
  <si>
    <t>Other "blended"</t>
  </si>
  <si>
    <t>= change of formula for Ampere Computing Holdings LLC acquisition.</t>
  </si>
  <si>
    <t>= 95% discount for Ampere Computing Holdings LLC (basically $6.5bn of Goodwill).</t>
  </si>
  <si>
    <t>SoftBank net market cap.</t>
  </si>
  <si>
    <t>SoftBank market cap.</t>
  </si>
  <si>
    <t>Less: publicly listed SVF stakes</t>
  </si>
  <si>
    <t>SVF2 = 100%</t>
  </si>
  <si>
    <t>LatAm = 100%</t>
  </si>
  <si>
    <t>Total large cap. AI stocks</t>
  </si>
  <si>
    <t>Less: other publicly listed stakes</t>
  </si>
  <si>
    <t>Total SVF excl. OpenAI, ByteDance and Revolut</t>
  </si>
  <si>
    <t>Privately held assets by Vision Funds</t>
  </si>
  <si>
    <t>Company</t>
  </si>
  <si>
    <t>% stake</t>
  </si>
  <si>
    <t>All-in value $bn</t>
  </si>
  <si>
    <t>Arm*</t>
  </si>
  <si>
    <t>* Arm position net of $13.5bn margin loan.</t>
  </si>
  <si>
    <t>Public vs. private</t>
  </si>
  <si>
    <t>Public</t>
  </si>
  <si>
    <t>SBG value $bn</t>
  </si>
  <si>
    <t>Private</t>
  </si>
  <si>
    <t>Total AI "winners"</t>
  </si>
  <si>
    <t>n/m</t>
  </si>
  <si>
    <t>Less: SVF privately held at $50c on the $1</t>
  </si>
  <si>
    <t>SoftBank March '31 or "end of decade" valuation -&gt;</t>
  </si>
  <si>
    <t>SoftBank March '26 valuation -&gt;</t>
  </si>
  <si>
    <t>SoftBank net enterprise value</t>
  </si>
  <si>
    <t>cents on the $</t>
  </si>
  <si>
    <t>SoftBank AI "winners"</t>
  </si>
  <si>
    <t>multiple vs. net market cap. today</t>
  </si>
  <si>
    <t>Less: TopCo net debt</t>
  </si>
  <si>
    <t>Target share price</t>
  </si>
  <si>
    <t>Mar. '26E = discounted at 12.5% cost of equity</t>
  </si>
  <si>
    <t>SVF1 private mark which excludes potential TikTok US value.</t>
  </si>
  <si>
    <t>Market value.</t>
  </si>
  <si>
    <t>FT reported $65bn funding round.</t>
  </si>
  <si>
    <t>$18bn funding round.</t>
  </si>
  <si>
    <t>TikTok International (incl. US) based on Facebook/Instagram MAUs and ARPU comp., Douyin at 8% p.a. revenue growth to FY30E, 40% EBITDA margin.</t>
  </si>
  <si>
    <t>8x FY30E ByteDance EBITDA assuming 50% EBITDA margin vs. Meta &gt;60% EBITDA margin today.</t>
  </si>
  <si>
    <t>Largest European bank market cap. + 10% p.a. return for Revolut through 2030.</t>
  </si>
  <si>
    <t>% p.a. compound return</t>
  </si>
  <si>
    <t>Loan-to-value</t>
  </si>
  <si>
    <t>= 15% discount for other assets (e.g., NVIDIA, TSMC, Oracle equity stakes).</t>
  </si>
  <si>
    <t>= TikTok International optionality post-"Trump brokered" deal.</t>
  </si>
  <si>
    <t>OpenAI all-in valuation $bn</t>
  </si>
  <si>
    <t>vs. PF SBG reported NAV $m</t>
  </si>
  <si>
    <t>% discount/(premium)</t>
  </si>
  <si>
    <t>#2 Dec. '25 investment tranche SBG $bn</t>
  </si>
  <si>
    <t>#2 Dec. '25 syndicate $bn</t>
  </si>
  <si>
    <t>Total #2 syndicate $bn</t>
  </si>
  <si>
    <t>Arete target market cap. $bn</t>
  </si>
  <si>
    <t>Intel</t>
  </si>
  <si>
    <t>Add: TopCo net debt</t>
  </si>
  <si>
    <t>Boston Dynamics</t>
  </si>
  <si>
    <t>Less: International telcos net of ABF</t>
  </si>
  <si>
    <t>Ampere Computing</t>
  </si>
  <si>
    <t>Graphcore</t>
  </si>
  <si>
    <t>SoftBank "in-house" semis franchise</t>
  </si>
  <si>
    <t>"Other" semis holdings</t>
  </si>
  <si>
    <t>Wayve</t>
  </si>
  <si>
    <t>SoftBank's 90% share of Arm's $162bn market cap. less $13.5bn margin loan.</t>
  </si>
  <si>
    <t>All-in SoftBank acquisition value.</t>
  </si>
  <si>
    <t>Est. all-in SoftBank acquisition value.</t>
  </si>
  <si>
    <t>Dec. '20 agreed transaction value of 80% of Boston Dynamics Inc. to Hyundai Motor Group.</t>
  </si>
  <si>
    <t>SVF1 = 55%</t>
  </si>
  <si>
    <t>% SBG market cap. today</t>
  </si>
  <si>
    <t>Enterprise value with SVF private fully-valued</t>
  </si>
  <si>
    <t>Valuation methodology today</t>
  </si>
  <si>
    <t>2030 valuation methodology</t>
  </si>
  <si>
    <t>Arete 2030 estimated value (40x $Y.Y adjusted Mar. '31 EPS) less $13.5bn margin loan.</t>
  </si>
  <si>
    <t>Arete 2030 estimated value of SoftBank/Arm "in-house" CPU chip business.</t>
  </si>
  <si>
    <t>Too early at this stage to ascribe value to SoftBank's "in-house" accelerator chip efforts.</t>
  </si>
  <si>
    <t>???</t>
  </si>
  <si>
    <t>25% p.a. return less dilution from $500m NVIDIA investment.</t>
  </si>
  <si>
    <t>50% of Figure AI's Sep. '25 Series C funding round valuation.</t>
  </si>
  <si>
    <t>Assumes half the value creation growth vs. OpenAI from Perplexity's Sep. '25 $20bn valuation.</t>
  </si>
  <si>
    <t>Autonomous Warehouses</t>
  </si>
  <si>
    <t>AutoStore</t>
  </si>
  <si>
    <t>GreenBox JV</t>
  </si>
  <si>
    <t>Arete est. of SoftBank's contribution (est. $250m) to $1.05bn Series C funding round vs. Ocado Group reported Wayve mark.</t>
  </si>
  <si>
    <t>Arete Research est. FY30E valuation based on DCF (WACC x%, PGR y%).</t>
  </si>
  <si>
    <t>10% p.a. growth.</t>
  </si>
  <si>
    <t>0% p.a. growth.</t>
  </si>
  <si>
    <t>$500bn Sep. '25 employee share sale valuation.</t>
  </si>
  <si>
    <t>17.5x OpenAI's est. FY30E sales based on large-cap. Software comps adj. for $xxbn SoftBank anti-dilution commitments.</t>
  </si>
  <si>
    <t>Market value of 40.25% less $5bn+ K.K. margin loan.</t>
  </si>
  <si>
    <t>10% p.a. share price growth less $5bn+ K.K. margin loan.</t>
  </si>
  <si>
    <t>2030 AI assets</t>
  </si>
  <si>
    <t>10% discount</t>
  </si>
  <si>
    <t>Market value</t>
  </si>
  <si>
    <t>TopCo net debt</t>
  </si>
  <si>
    <t>2030 market cap. $bn</t>
  </si>
  <si>
    <t>$20bn funding round.</t>
  </si>
  <si>
    <t>SoftBank "in-house" semis franchise (A)</t>
  </si>
  <si>
    <t>SoftBank "core" AI assets (B)</t>
  </si>
  <si>
    <t>SoftBank core semis + AI gross asset value = (A+B)</t>
  </si>
  <si>
    <t>All-in $6.5bn acquisition value.</t>
  </si>
  <si>
    <t>Est. all-in acquisition value.</t>
  </si>
  <si>
    <t>SoftBank core semis + AI equity value (C)</t>
  </si>
  <si>
    <t>Autonomous and Robotics (D)</t>
  </si>
  <si>
    <t>Publicly-listed semis + AI stakes (E)</t>
  </si>
  <si>
    <t>Other AI stakes (F)</t>
  </si>
  <si>
    <t>SoftBank Corp. (G)</t>
  </si>
  <si>
    <t>Total SoftBank "core" equity (C+D+E+F)</t>
  </si>
  <si>
    <t>SoftBank "non-core"</t>
  </si>
  <si>
    <t>Publicly-listed SVF assets</t>
  </si>
  <si>
    <t>Other non-core publicly listed stakes</t>
  </si>
  <si>
    <t>Total SoftBank "non-core" equity</t>
  </si>
  <si>
    <t>Privately held SVF assets**</t>
  </si>
  <si>
    <t>Market value net of ABF.</t>
  </si>
  <si>
    <t>Private marks.</t>
  </si>
  <si>
    <t>SVF1 mark which excl. TikTok U.S. value.</t>
  </si>
  <si>
    <t>Arete ests.</t>
  </si>
  <si>
    <t>Hyundai Motor Group Dec. '20 transaction value.</t>
  </si>
  <si>
    <t>Discount-to-NAV</t>
  </si>
  <si>
    <t>All-in value today $bn</t>
  </si>
  <si>
    <t>Optionality on "in-house" accelerator.</t>
  </si>
  <si>
    <t>Arete DCF.</t>
  </si>
  <si>
    <t>50% discount on Figure AI $39bn mark.</t>
  </si>
  <si>
    <t>8x FY30E EBITDA on 50% EBITDA margin.</t>
  </si>
  <si>
    <t>Half value creation of OpenAI.</t>
  </si>
  <si>
    <t>= TikTok International revenue assumption based on 35% discount to Facebook/Instagram $30 ARPU and 1.5bn ex. China users.</t>
  </si>
  <si>
    <t>5% p.a. growth for "non-core".</t>
  </si>
  <si>
    <t>Target 2030 equity value</t>
  </si>
  <si>
    <t>2030 target price</t>
  </si>
  <si>
    <t>All-in value 2030 $bn</t>
  </si>
  <si>
    <t>SBG value 2030 $bn</t>
  </si>
  <si>
    <t>90% of Arm's $xxxbn market cap. less $13.5bn margin loan.</t>
  </si>
  <si>
    <t>30x P/E in Mar. '31E on "in-house" CPU chip unit.</t>
  </si>
  <si>
    <t>% equity return p.a.</t>
  </si>
  <si>
    <t>F1Q25</t>
  </si>
  <si>
    <t>March '31E target price</t>
  </si>
  <si>
    <t>= uses Arm Valuation tab Method 4: 38x peer group EV/EBIT multiple -&gt; $265 per Arm share in Mar. '31E.</t>
  </si>
  <si>
    <t>SBG "standalone"</t>
  </si>
  <si>
    <t>12/31/2025</t>
  </si>
  <si>
    <r>
      <t xml:space="preserve">= once hurdle rate CAGR is achieved: can assume clawback ends and cumulative drawback starts to </t>
    </r>
    <r>
      <rPr>
        <i/>
        <sz val="9"/>
        <color rgb="FF0070C0"/>
        <rFont val="Calibri"/>
        <family val="2"/>
        <scheme val="minor"/>
      </rPr>
      <t>Decrease</t>
    </r>
    <r>
      <rPr>
        <sz val="9"/>
        <color rgb="FF0070C0"/>
        <rFont val="Calibri"/>
        <family val="2"/>
        <scheme val="minor"/>
      </rPr>
      <t xml:space="preserve"> i.e., set Management fee taper to &gt;100% and match green "Yes" and green "Decreasing" in top and bottom rows.</t>
    </r>
  </si>
  <si>
    <t>eToro Group Ltd.</t>
  </si>
  <si>
    <t>= 40% AutoStore position transferred to RoboHD = 41.3% SVF2 ownership.</t>
  </si>
  <si>
    <t>Chime Financial, Inc.</t>
  </si>
  <si>
    <t>Chime Financial, Inc. shares outstanding (millions)</t>
  </si>
  <si>
    <r>
      <t xml:space="preserve">of which Other OpenAI investments </t>
    </r>
    <r>
      <rPr>
        <sz val="9"/>
        <color rgb="FFF97303"/>
        <rFont val="Calibri"/>
        <family val="2"/>
        <scheme val="minor"/>
      </rPr>
      <t>= e.g., original autumn '24 + employee share buyouts</t>
    </r>
  </si>
  <si>
    <r>
      <t xml:space="preserve">of which $30-40bn CY25 funding round </t>
    </r>
    <r>
      <rPr>
        <sz val="9"/>
        <color rgb="FFF97303"/>
        <rFont val="Calibri"/>
        <family val="2"/>
        <scheme val="minor"/>
      </rPr>
      <t>= $7.5bn + $22.5bn @ $300bn all-in valuation</t>
    </r>
  </si>
  <si>
    <t>= SVF2 proportionate ownership in RoboHD (e.g., includes SBG 40% AutoStore investment, etc.).</t>
  </si>
  <si>
    <t>SVF2 share of 40% AutoStore investment via RoboHD</t>
  </si>
  <si>
    <t>= change of methodology for AutoStore transfer to RoboHD.</t>
  </si>
  <si>
    <t>Databricks</t>
  </si>
  <si>
    <t>= Ctrl + F "issued and outstanding".</t>
  </si>
  <si>
    <t>Total OpenAI investment incl. SVF2 $m = now shown within SVF2.</t>
  </si>
  <si>
    <t>= adjusted for $2bn Intel investment made during F2Q.</t>
  </si>
  <si>
    <t>= have rolled PF values forward by one additional quarter to calculate OpenAI impact.</t>
  </si>
  <si>
    <t>= assumes SVF2 IPO's 20% of its 34% equity stake in PayPay Corporation at $17.5bn+ valuation vs. Reuters reports of $20bn+ valuation.</t>
  </si>
  <si>
    <t>vs. "as reported" within SoftBank NAV</t>
  </si>
  <si>
    <t>= Hybrid + other adjustments e.g., hybrids = 50/50 debt/equity component within NAV</t>
  </si>
  <si>
    <r>
      <t xml:space="preserve">TopCo EoP gross cash $m </t>
    </r>
    <r>
      <rPr>
        <sz val="9"/>
        <color rgb="FF0070C0"/>
        <rFont val="Calibri"/>
        <family val="2"/>
        <scheme val="minor"/>
      </rPr>
      <t>= as reported in SoftBank quarterly presentations.*</t>
    </r>
  </si>
  <si>
    <r>
      <t xml:space="preserve">* Cash and cash equivs. + short-term investments recorded as current assets + bond investments but </t>
    </r>
    <r>
      <rPr>
        <i/>
        <sz val="9"/>
        <color rgb="FF0070C0"/>
        <rFont val="Calibri"/>
        <family val="2"/>
        <scheme val="minor"/>
      </rPr>
      <t>excluding</t>
    </r>
    <r>
      <rPr>
        <sz val="9"/>
        <color rgb="FF0070C0"/>
        <rFont val="Calibri"/>
        <family val="2"/>
        <scheme val="minor"/>
      </rPr>
      <t xml:space="preserve"> "undrawn" borrowing capacity (e.g., $5bn Arm margin loan)</t>
    </r>
  </si>
  <si>
    <t>= we have updated Project Stargate assumptions based on Oracle, OpenAI, etc. compute announcements.</t>
  </si>
  <si>
    <r>
      <t xml:space="preserve">% TopCo gross debt </t>
    </r>
    <r>
      <rPr>
        <sz val="9"/>
        <color theme="1"/>
        <rFont val="Aptos Narrow"/>
        <family val="2"/>
      </rPr>
      <t>¥</t>
    </r>
    <r>
      <rPr>
        <sz val="9"/>
        <color theme="1"/>
        <rFont val="Calibri"/>
        <family val="2"/>
        <scheme val="minor"/>
      </rPr>
      <t xml:space="preserve">-denominated </t>
    </r>
    <r>
      <rPr>
        <sz val="9"/>
        <color rgb="FFFF0000"/>
        <rFont val="Calibri"/>
        <family val="2"/>
        <scheme val="minor"/>
      </rPr>
      <t>= SBG standalone interest-bearing debt.</t>
    </r>
  </si>
  <si>
    <t>第66回無担保普通社債 
66th series Unsecured Straight Bond</t>
  </si>
  <si>
    <t>第65回無担保普通社債 (福岡ソフトバンクホークスボンド)
65th series Unsecured Straight Bond (Fukuoka SoftBank HAWKS Bond)</t>
  </si>
  <si>
    <t>Jun 30, 2025
Outstanding Balance</t>
  </si>
  <si>
    <t>Jun 30, 2025
B/S Balance</t>
  </si>
  <si>
    <t>Jun 30, 2025
B/S Balance $m</t>
  </si>
  <si>
    <t>= lifted from prior model "Corporate bond" tabs.</t>
  </si>
  <si>
    <t>= SoftBank fully settled DT collar transactions in August '25 with "early unwind".</t>
  </si>
  <si>
    <t>= need to include 13F positions e.g., NVIDIA, Intel, etc.</t>
  </si>
  <si>
    <t>= per SoftBank press releases, zero share buybacks in July + August and we assume programme ends given narrowing of discount to NAV, capital requirements, etc.</t>
  </si>
  <si>
    <t>= we assume an option to "bridge loan" 33% of $22.5bn syndicate contribution financed with new Mizuho bridge loan.</t>
  </si>
  <si>
    <t>7/31/2025</t>
  </si>
  <si>
    <t>8/29/2025</t>
  </si>
  <si>
    <t>10/31/2025</t>
  </si>
  <si>
    <t>29 Oct.</t>
  </si>
  <si>
    <t>Nuro</t>
  </si>
  <si>
    <t>= Arete est. TikTok US revenues.</t>
  </si>
  <si>
    <r>
      <t>November '25 charts</t>
    </r>
    <r>
      <rPr>
        <sz val="9"/>
        <color theme="1"/>
        <rFont val="Calibri"/>
        <family val="2"/>
        <scheme val="minor"/>
      </rPr>
      <t>:</t>
    </r>
  </si>
  <si>
    <t>ByteDance China</t>
  </si>
  <si>
    <t>TikTok U.S.</t>
  </si>
  <si>
    <t>TikTok Int.</t>
  </si>
  <si>
    <t>EBITDA multiples for ByteDance peers</t>
  </si>
  <si>
    <t>Meta</t>
  </si>
  <si>
    <t>Tencent</t>
  </si>
  <si>
    <t>Kuaishou Technology</t>
  </si>
  <si>
    <t>Indian publicly-listed*</t>
  </si>
  <si>
    <t>Indian IPO's**</t>
  </si>
  <si>
    <t>Wayve est. valuation</t>
  </si>
  <si>
    <t>May '24</t>
  </si>
  <si>
    <t>Oct. '25</t>
  </si>
  <si>
    <t>"All-in"</t>
  </si>
  <si>
    <t>25% p.a. from $8bn Oct. '25 valuation.</t>
  </si>
  <si>
    <t>= need to update all-in values "today" every time before publication..!</t>
  </si>
  <si>
    <t>Pro Forma</t>
  </si>
  <si>
    <t>= impact on SoftBank NAV per share.</t>
  </si>
  <si>
    <t>TopCo financing bridge waterfall</t>
  </si>
  <si>
    <t>Mar. '26</t>
  </si>
  <si>
    <t>Mizuho</t>
  </si>
  <si>
    <t>TMUS + DT</t>
  </si>
  <si>
    <t>ABB Robotics</t>
  </si>
  <si>
    <t>Cash</t>
  </si>
  <si>
    <t>2yrs bonds</t>
  </si>
  <si>
    <t>ABB</t>
  </si>
  <si>
    <t>Excess</t>
  </si>
  <si>
    <t>Grey market IPO value (IG) + 10% p.a.</t>
  </si>
  <si>
    <t>Total SoftBank "core" + "non-core" equity</t>
  </si>
  <si>
    <t>Other "non-core"</t>
  </si>
  <si>
    <t>SoftBank transaction value.</t>
  </si>
  <si>
    <t>20% p.a. from $5.4bn transaction value.</t>
  </si>
  <si>
    <t>= check with IR re. ByteDance internal valuation -&gt; referencing Alibaba + Tencent share price perf. in Vision Fund presentation.</t>
  </si>
  <si>
    <t>Klarna Group plc</t>
  </si>
  <si>
    <r>
      <t xml:space="preserve">% $-denominated </t>
    </r>
    <r>
      <rPr>
        <sz val="9"/>
        <color rgb="FF0070C0"/>
        <rFont val="Calibri"/>
        <family val="2"/>
        <scheme val="minor"/>
      </rPr>
      <t>= includes € and other ex-JPY currencies.</t>
    </r>
  </si>
  <si>
    <t>-</t>
  </si>
  <si>
    <t>2029年4月満期ドル建普通社債
USD-denominated Senior Notes due April 2029</t>
  </si>
  <si>
    <t>2029年10月満期ユーロ建普通社債
EUR-denominated Senior Notes due October 2029</t>
  </si>
  <si>
    <t>2031年1月満期ドル建普通社債
USD-denominated Senior Notes due January 2031</t>
  </si>
  <si>
    <t>2031年7月満期ユーロ建普通社債
EUR-denominated Senior Notes due July 2031</t>
  </si>
  <si>
    <t>2032年7月満期ドル建普通社債
USD-denominated Senior Notes due July 2032</t>
  </si>
  <si>
    <t>2033年7月満期ユーロ建普通社債
EUR-denominated Senior Notes due July 2033</t>
  </si>
  <si>
    <t>2035年7月満期ドル建普通社債
USD-denominated Senior Notes due July 2035</t>
  </si>
  <si>
    <t>第7回利払繰延条項・期限前償還条項付無担保社債（劣後特約付）（ハイブリッド債）*5
7th Unsecured Subordinated Bonds with interest deferrable clause and early redeemable option (with a subordination provision) (Hybrid Bonds)*5</t>
  </si>
  <si>
    <t>Sep 30, 2025
Outstanding Balance</t>
  </si>
  <si>
    <t>Sep 30, 2025
B/S Balance</t>
  </si>
  <si>
    <t>Sep 30, 2025
B/S Balance $m</t>
  </si>
  <si>
    <t>= add 10bps of cash interest drag from Sep. '25 issuance.</t>
  </si>
  <si>
    <r>
      <t xml:space="preserve">SVF2 LLC Preferred equity = SoftBank Group </t>
    </r>
    <r>
      <rPr>
        <sz val="9"/>
        <color rgb="FF92D050"/>
        <rFont val="Calibri"/>
        <family val="2"/>
        <scheme val="minor"/>
      </rPr>
      <t>= 8% p.a. fixed return over "xx"yr fund lifetime</t>
    </r>
  </si>
  <si>
    <t>SVF2 LLC Ordinary equity = SoftBank Group</t>
  </si>
  <si>
    <t>SVF2 LLC Ordinary equity = MgmtCo</t>
  </si>
  <si>
    <t>= adjustment made for derivative cost &amp; fair value of "OpenAI Forward Contract".</t>
  </si>
  <si>
    <t>"OpenAI Forward Contract"</t>
  </si>
  <si>
    <t>= need to check SVF2 cost of financing with IR -&gt; reported Vision Fund  Finance costs imply 30%+ interest rate.</t>
  </si>
  <si>
    <t>= per pg.24 of F2Q SBG earnings report, "OpenAI Forward Contract" is valued at $7.9bn within SVF2 NAV.</t>
  </si>
  <si>
    <t>= SoftBank Group selling price based on F2Q quarterly earnings disclosure.</t>
  </si>
  <si>
    <t>Intel shares outstanding (millions)</t>
  </si>
  <si>
    <t>= pg.1 of Intel 10-Q's gives shares outstanding in billions.</t>
  </si>
  <si>
    <t>= Arete est. of SoftBank Group selling price during F2Q.</t>
  </si>
  <si>
    <t>RoboHD</t>
  </si>
  <si>
    <t>Other RoboHD investments</t>
  </si>
  <si>
    <t>Cost $bn</t>
  </si>
  <si>
    <t>Pre-money $bn</t>
  </si>
  <si>
    <t>All-in valuation $bn</t>
  </si>
  <si>
    <t>F2Q $bn</t>
  </si>
  <si>
    <t>Autumn '24</t>
  </si>
  <si>
    <t>C1Q</t>
  </si>
  <si>
    <t>#1 tranche</t>
  </si>
  <si>
    <t>August</t>
  </si>
  <si>
    <t>"net profit" on OpenAI investment $bn</t>
  </si>
  <si>
    <t>OpenAI all-in valuation at F2Q $bn</t>
  </si>
  <si>
    <t>= $6.6bn Oct. '25 employee share sale -&gt; $1.45bn participation by SVF2.</t>
  </si>
  <si>
    <t>% uplift vs. prior $300bn all-in mark</t>
  </si>
  <si>
    <t>= % discount to publicly reported "mark-to-market".</t>
  </si>
  <si>
    <t>OpenAI all-in valuation at FY24 $bn</t>
  </si>
  <si>
    <t>= $40bn CY25 funding round.</t>
  </si>
  <si>
    <r>
      <t xml:space="preserve">of which "OpenAI Forward Contract" </t>
    </r>
    <r>
      <rPr>
        <sz val="9"/>
        <color rgb="FFF97303"/>
        <rFont val="Calibri"/>
        <family val="2"/>
        <scheme val="minor"/>
      </rPr>
      <t>= $22.5bn tranche #2 of $40bn CY25 funding round.</t>
    </r>
  </si>
  <si>
    <t>= see pgs.4-5 of F2Q "Accounting" slides for SoftBank's F2Q OpenAI private mark.</t>
  </si>
  <si>
    <t>of which Other OpenAI investments = e.g., original autumn '24 + employee share buyouts</t>
  </si>
  <si>
    <t>of which $30-40bn CY25 funding round = $7.5bn + $22.5bn @ $300bn all-in valuation</t>
  </si>
  <si>
    <t>of which "OpenAI Forward Contract" = $22.5bn tranche #2 of $40bn CY25 funding round.</t>
  </si>
  <si>
    <t>OpenAI "discount" carried by SVF2</t>
  </si>
  <si>
    <t>OpenAI all-in valuation within SVF2 $bn</t>
  </si>
  <si>
    <t>October</t>
  </si>
  <si>
    <t>#2 tranche</t>
  </si>
  <si>
    <t>Post-dilution %</t>
  </si>
  <si>
    <t>Quarter $bn</t>
  </si>
  <si>
    <t>FY24 $bn</t>
  </si>
  <si>
    <t>F3Q $bn</t>
  </si>
  <si>
    <r>
      <t xml:space="preserve">* $437.5bn estimate of OpenAI all-in valuation for </t>
    </r>
    <r>
      <rPr>
        <i/>
        <sz val="9"/>
        <color rgb="FFFF0000"/>
        <rFont val="Calibri"/>
        <family val="2"/>
      </rPr>
      <t>existing</t>
    </r>
    <r>
      <rPr>
        <sz val="9"/>
        <color rgb="FFFF0000"/>
        <rFont val="Calibri"/>
        <family val="2"/>
      </rPr>
      <t xml:space="preserve"> stakes at F2Q (i.e., $10.8bn cumulative investments up to August '25) differs from valuation implied by "OpenAI Forward Contract" -&gt; $8bn net profit on $22.5bn "notional" for #2 tranche = 35.5% implied uplift to $406.7bn -&gt; IR guidance is that there is some level of "uncertainty" over $22.5bn Dec. '25 tranche (e.g., via options pricing) written into 30 Sep./F2Q mark, hence the implied all-in mark is </t>
    </r>
    <r>
      <rPr>
        <i/>
        <sz val="9"/>
        <color rgb="FFFF0000"/>
        <rFont val="Calibri"/>
        <family val="2"/>
      </rPr>
      <t>different</t>
    </r>
    <r>
      <rPr>
        <sz val="9"/>
        <color rgb="FFFF0000"/>
        <rFont val="Calibri"/>
        <family val="2"/>
      </rPr>
      <t xml:space="preserve"> to existing investments.</t>
    </r>
  </si>
  <si>
    <t>= adjust PayPay est. return below to keep "delta" at approximately $550m per last reported all-in valuation of $7bn at 3Q23.</t>
  </si>
  <si>
    <t>= implied PayPay all-in valuation $bn.</t>
  </si>
  <si>
    <r>
      <t xml:space="preserve">= $48.7bn figure </t>
    </r>
    <r>
      <rPr>
        <i/>
        <sz val="9"/>
        <rFont val="Calibri"/>
        <family val="2"/>
        <scheme val="minor"/>
      </rPr>
      <t>excludes</t>
    </r>
    <r>
      <rPr>
        <sz val="9"/>
        <rFont val="Calibri"/>
        <family val="2"/>
        <scheme val="minor"/>
      </rPr>
      <t xml:space="preserve"> "OpenAI Forward Contract" fair value of $8bn to SVF2 -&gt; recorded as "</t>
    </r>
    <r>
      <rPr>
        <i/>
        <sz val="9"/>
        <rFont val="Calibri"/>
        <family val="2"/>
        <scheme val="minor"/>
      </rPr>
      <t>Derivative financial assets (current)</t>
    </r>
    <r>
      <rPr>
        <sz val="9"/>
        <rFont val="Calibri"/>
        <family val="2"/>
        <scheme val="minor"/>
      </rPr>
      <t>".</t>
    </r>
  </si>
  <si>
    <t>= implied PayPay "all-in" valuation seems too high -&gt; check with IR.</t>
  </si>
  <si>
    <t>= rough guidance from IR that at some point Nuro marked-down from $8.6bn "peak" valuation at Nov. '21 Series D funding round -&gt; we assume by 50% vs. $8.6bn "peak".</t>
  </si>
  <si>
    <t>F2Q25</t>
  </si>
  <si>
    <t>= SBG disclosed that it granted a "variable" call option to DT for 10m TMUS shares in Oct. '25.</t>
  </si>
  <si>
    <r>
      <t xml:space="preserve">= Arm margin loan capacity increased from $8.5bn to $13.5bn in Dec. '24 and from $13.5bn to $20bn in Nov. '25 -&gt; $11.5bn remains </t>
    </r>
    <r>
      <rPr>
        <i/>
        <sz val="9"/>
        <color rgb="FF0070C0"/>
        <rFont val="Calibri"/>
        <family val="2"/>
        <scheme val="minor"/>
      </rPr>
      <t>undrawn</t>
    </r>
    <r>
      <rPr>
        <sz val="9"/>
        <color rgb="FF0070C0"/>
        <rFont val="Calibri"/>
        <family val="2"/>
        <scheme val="minor"/>
      </rPr>
      <t xml:space="preserve"> at 11 Nov. '25.</t>
    </r>
  </si>
  <si>
    <t>= remaining Arm margin loan capacity.</t>
  </si>
  <si>
    <r>
      <t xml:space="preserve">= $11.5bn </t>
    </r>
    <r>
      <rPr>
        <i/>
        <sz val="9"/>
        <color rgb="FFFF0000"/>
        <rFont val="Calibri"/>
        <family val="2"/>
        <scheme val="minor"/>
      </rPr>
      <t>undrawn</t>
    </r>
    <r>
      <rPr>
        <sz val="9"/>
        <color rgb="FFFF0000"/>
        <rFont val="Calibri"/>
        <family val="2"/>
        <scheme val="minor"/>
      </rPr>
      <t xml:space="preserve"> capacity at 11 Nov. '25 -&gt; i.e., we assume another $3bn drawn down in F3QE to assist with OpenAI, Ampere, etc. financing.</t>
    </r>
  </si>
  <si>
    <r>
      <t xml:space="preserve">= Other includes Project Stargate + Ampere but </t>
    </r>
    <r>
      <rPr>
        <i/>
        <sz val="9"/>
        <color rgb="FF2EB2A5"/>
        <rFont val="Calibri"/>
        <family val="2"/>
        <scheme val="minor"/>
      </rPr>
      <t>excludes</t>
    </r>
    <r>
      <rPr>
        <sz val="9"/>
        <color rgb="FF2EB2A5"/>
        <rFont val="Calibri"/>
        <family val="2"/>
        <scheme val="minor"/>
      </rPr>
      <t xml:space="preserve"> OpenAI -&gt; reported within SVF2 segment.</t>
    </r>
  </si>
  <si>
    <t>= reset delta to $500m -&gt; F2Q delta of $8bn due to "OpenAI Forward Contract" which has settled by end F3QE.</t>
  </si>
  <si>
    <t>$6bn Series E funding round valuation.</t>
  </si>
  <si>
    <t>5% p.a. growth.</t>
  </si>
  <si>
    <t>Other adjustments</t>
  </si>
  <si>
    <t>Less: RoboHD</t>
  </si>
  <si>
    <t>SVF2 PayPay % ownership</t>
  </si>
  <si>
    <t>= SVF2 exercised SARs from Paytm for $280m in F1Q25 -&gt;increased ownership from 30.2% to 34%.</t>
  </si>
  <si>
    <t>PayPay Corporation = Arete est.</t>
  </si>
  <si>
    <t>= we assume SoftBank IPO's 20% of SVF2's 34% PayPay Corporation stake in F4Q25 at $17.5bn all-in equity valuation.</t>
  </si>
  <si>
    <t>Source: CapitalIQ.</t>
  </si>
  <si>
    <t>= TikTok US optionality.</t>
  </si>
  <si>
    <t>4Q25E*</t>
  </si>
  <si>
    <t>Klarna Group PLC</t>
  </si>
  <si>
    <t>= Metsera, Inc. acquired by Pfizer for $65.60/share in cash.</t>
  </si>
  <si>
    <t>SVF2 "gain" on OpenAI investment in F3QE -&gt;</t>
  </si>
  <si>
    <r>
      <t xml:space="preserve">SVF2 </t>
    </r>
    <r>
      <rPr>
        <i/>
        <sz val="9"/>
        <color theme="1"/>
        <rFont val="Calibri"/>
        <family val="2"/>
      </rPr>
      <t>existing</t>
    </r>
    <r>
      <rPr>
        <sz val="9"/>
        <color theme="1"/>
        <rFont val="Calibri"/>
        <family val="2"/>
      </rPr>
      <t xml:space="preserve"> investments</t>
    </r>
  </si>
  <si>
    <t>$22.5bn Dec. '25 investment</t>
  </si>
  <si>
    <t>-&gt; $8bn net profit already recognised = $6.2bn at SVF2 and $1.8bn at "TopCo" or "SBG".</t>
  </si>
  <si>
    <t>Gain/(loss) on publicly-listed assets</t>
  </si>
  <si>
    <t>Gain/(loss) on OpenAI private assets</t>
  </si>
  <si>
    <t>Total SVF2 gain on OpenAI investment in F3Q $m</t>
  </si>
  <si>
    <t>Effective SVF2 gain/(loss) in F3Q $m</t>
  </si>
  <si>
    <t>% effective gain/(loss)</t>
  </si>
  <si>
    <t>SVF2 "gain" on OpenAI investment in F3QE assuming OpenAI to $500bn all-in valuation -&gt;</t>
  </si>
  <si>
    <t>OpenAI all-in valuation at F3Q $bn</t>
  </si>
  <si>
    <t>-&gt; check</t>
  </si>
  <si>
    <t>F3QE $bn</t>
  </si>
  <si>
    <t>Forward contract</t>
  </si>
  <si>
    <t>Post-money $bn</t>
  </si>
  <si>
    <t>Diluted %</t>
  </si>
  <si>
    <t>OpenAI "all-in"</t>
  </si>
  <si>
    <t>= implied "all-in" valuation for Forward contract</t>
  </si>
  <si>
    <t>Total P.F.</t>
  </si>
  <si>
    <t>Net gain</t>
  </si>
  <si>
    <t>OpenAI $500bn all-in valuation</t>
  </si>
  <si>
    <t>11/28/2025</t>
  </si>
  <si>
    <t>SVF2 OpenAI distribution waterfall -&gt;</t>
  </si>
  <si>
    <t>SVF2 LLC "joint investments" capital structure -&gt;</t>
  </si>
  <si>
    <t>Preferred equity</t>
  </si>
  <si>
    <t>Ordinary equity</t>
  </si>
  <si>
    <t>OpenAI investment cost</t>
  </si>
  <si>
    <t>Add: 11.8% contribution to $100bn raise</t>
  </si>
  <si>
    <t>Total invested capital in OpenAI Global LLC</t>
  </si>
  <si>
    <t>Add: $1.8bn paid to TopCo for "OpenAI Forward Contract"</t>
  </si>
  <si>
    <t>SVF2 LLC Ordinary equity OpenAI</t>
  </si>
  <si>
    <t>Equity returns above "hurdle rate"</t>
  </si>
  <si>
    <t>25% management performance fee</t>
  </si>
  <si>
    <t>OpenAI all-in valuation at Mar. '31E ("2030 Vision") $tn</t>
  </si>
  <si>
    <t>11.8% OpenAI Global LLC @ Mar. '31E</t>
  </si>
  <si>
    <t>SoftBank Group @ Mar. '31E</t>
  </si>
  <si>
    <t>$7.5bn intercompany loan</t>
  </si>
  <si>
    <t>% share of 11.8% OpenAI</t>
  </si>
  <si>
    <t>25 Nov.</t>
  </si>
  <si>
    <r>
      <t xml:space="preserve">SoftBank Group share count (millions) </t>
    </r>
    <r>
      <rPr>
        <sz val="9"/>
        <color rgb="FF0070C0"/>
        <rFont val="Calibri"/>
        <family val="2"/>
        <scheme val="minor"/>
      </rPr>
      <t>= 4-for-1 share split closed 31 Dec. '25.</t>
    </r>
  </si>
  <si>
    <r>
      <t xml:space="preserve">Share price </t>
    </r>
    <r>
      <rPr>
        <sz val="9"/>
        <color theme="0" tint="-0.499984740745262"/>
        <rFont val="Calibri"/>
        <family val="2"/>
      </rPr>
      <t>¥</t>
    </r>
  </si>
  <si>
    <r>
      <t xml:space="preserve">Market cap. </t>
    </r>
    <r>
      <rPr>
        <sz val="9"/>
        <color theme="0" tint="-0.499984740745262"/>
        <rFont val="Calibri"/>
        <family val="2"/>
      </rPr>
      <t>¥</t>
    </r>
    <r>
      <rPr>
        <sz val="9"/>
        <color theme="0" tint="-0.499984740745262"/>
        <rFont val="Calibri"/>
        <family val="2"/>
        <scheme val="minor"/>
      </rPr>
      <t>bn</t>
    </r>
  </si>
  <si>
    <r>
      <t xml:space="preserve">NAV/share </t>
    </r>
    <r>
      <rPr>
        <sz val="9"/>
        <color theme="0" tint="-0.499984740745262"/>
        <rFont val="Aptos Narrow"/>
        <family val="2"/>
      </rPr>
      <t>¥</t>
    </r>
  </si>
  <si>
    <t>= using OLD share count (pre- 4-for-1 share split on 31 Dec. '25).</t>
  </si>
  <si>
    <t>= using NEW share count (pre- 4-for-1 share split on 31 Dec. '25).</t>
  </si>
  <si>
    <t>82.75% SoftBank Group equity</t>
  </si>
  <si>
    <t>Masayoshi Son @ Mar. '31E</t>
  </si>
  <si>
    <t>% share of SVF2 LLC ordinary equity</t>
  </si>
  <si>
    <t>Preferred equity invested (= 80%)</t>
  </si>
  <si>
    <t>Ordinary equity invested (= 20%)</t>
  </si>
  <si>
    <t>Less: $7.5bn intercompany loan @4%</t>
  </si>
  <si>
    <t>Less: 5 years CAGR on Preferred equity @ 8%</t>
  </si>
  <si>
    <t>NAV implication of taking OpenAI valuation from $450bn -&gt; $500bn all-in (1)</t>
  </si>
  <si>
    <t>NAV implication of taking OpenAI valuation from $450bn -&gt; $500bn all-in (2) -&gt;</t>
  </si>
  <si>
    <t>OpenAI PBC % equity</t>
  </si>
  <si>
    <t># of SoftBank Group shares</t>
  </si>
  <si>
    <t>NAV/share impact</t>
  </si>
  <si>
    <t>$100bn incremental equity value $bn</t>
  </si>
  <si>
    <t>PF impact %</t>
  </si>
  <si>
    <t>Increase in OpenAI valuation -&gt;</t>
  </si>
  <si>
    <t>= scaled to $100bn.</t>
  </si>
  <si>
    <t>impact on PF % NAV discount</t>
  </si>
  <si>
    <t>SBG total value of equity holdings net of asset-backed finance post-International telcos sale</t>
  </si>
  <si>
    <r>
      <t>OpenAI asset exposure</t>
    </r>
    <r>
      <rPr>
        <sz val="9"/>
        <color theme="1"/>
        <rFont val="Calibri"/>
        <family val="2"/>
        <scheme val="minor"/>
      </rPr>
      <t>:</t>
    </r>
  </si>
  <si>
    <t>OpenAI stake</t>
  </si>
  <si>
    <t>SoftBank gross asset exposure</t>
  </si>
  <si>
    <t>SoftBank net asset exposure</t>
  </si>
  <si>
    <t>OpenAI % asset exposure</t>
  </si>
  <si>
    <t>% of gross assets</t>
  </si>
  <si>
    <t>% of net assets</t>
  </si>
  <si>
    <t>PF $500bn</t>
  </si>
  <si>
    <t>Funding</t>
  </si>
  <si>
    <t>PF $450bn</t>
  </si>
  <si>
    <t>Less: 15% p.a. "hurdle rate"</t>
  </si>
  <si>
    <r>
      <t xml:space="preserve">SoftBank PF NAV/share </t>
    </r>
    <r>
      <rPr>
        <sz val="9"/>
        <color theme="1"/>
        <rFont val="Aptos Narrow"/>
        <family val="2"/>
      </rPr>
      <t>¥</t>
    </r>
  </si>
  <si>
    <t>11.8% OpenAI @ $450bn</t>
  </si>
  <si>
    <t>¥ vs. US$</t>
  </si>
  <si>
    <t>OpenAI NAV/share ¥</t>
  </si>
  <si>
    <t># of SoftBank shares (millions)</t>
  </si>
  <si>
    <t>% of SoftBank NAV</t>
  </si>
  <si>
    <t>11.8% OpenAI @ $830bn</t>
  </si>
  <si>
    <t>Less: 11.8% share of $100bn commit.</t>
  </si>
  <si>
    <t>Less: 10% haircut on SBG "mark"</t>
  </si>
  <si>
    <t>OpenAI stake carrying value $bn</t>
  </si>
  <si>
    <t>SoftBank $100bn Funding participation..?</t>
  </si>
  <si>
    <t>Increase in carrying value</t>
  </si>
  <si>
    <t>Increase in SoftBank NAV</t>
  </si>
  <si>
    <t>Increase in PF NAV/share ¥</t>
  </si>
  <si>
    <t>SoftBank PF NAV/share ¥</t>
  </si>
  <si>
    <t>DigitalBridge</t>
  </si>
  <si>
    <t>Arm margin loan</t>
  </si>
  <si>
    <r>
      <t xml:space="preserve">vs. SoftBank share price today </t>
    </r>
    <r>
      <rPr>
        <sz val="9"/>
        <color theme="1"/>
        <rFont val="Aptos Narrow"/>
        <family val="2"/>
      </rPr>
      <t>¥</t>
    </r>
  </si>
  <si>
    <r>
      <t xml:space="preserve">* Stargate assumptions -&gt; $7bn colocation commitment = $3bn Lordstown, Ohio development + $3bn at Milam County, Texas (County filings) + $1bn at Borden County, Texas (County filings) -&gt; </t>
    </r>
    <r>
      <rPr>
        <sz val="9"/>
        <color rgb="FF0070C0"/>
        <rFont val="Calibri"/>
        <family val="2"/>
        <scheme val="minor"/>
      </rPr>
      <t>financed 50% equity vs. 50% debt after deducting FY25 commitments of $2.75bn.</t>
    </r>
  </si>
  <si>
    <t>10% p.a. from $2.9bn transaction value.</t>
  </si>
  <si>
    <t>Increase in stake</t>
  </si>
  <si>
    <t>Total stake</t>
  </si>
  <si>
    <t>$30bn at $830bn workings -&gt;</t>
  </si>
  <si>
    <t>P.F. value</t>
  </si>
  <si>
    <t>@ 10% discount</t>
  </si>
  <si>
    <t>delta vs. $450bn P.F.</t>
  </si>
  <si>
    <t>delta vs. $500bn P.F.</t>
  </si>
  <si>
    <r>
      <t xml:space="preserve">per share </t>
    </r>
    <r>
      <rPr>
        <sz val="9"/>
        <color theme="1"/>
        <rFont val="Aptos Narrow"/>
        <family val="2"/>
      </rPr>
      <t>¥</t>
    </r>
  </si>
  <si>
    <t>= check with IR on mark-up of private portfolio excl. ByteDance -&gt; seems significant, which companies, etc.?</t>
  </si>
  <si>
    <r>
      <t xml:space="preserve">Metsera, Inc. </t>
    </r>
    <r>
      <rPr>
        <sz val="9"/>
        <color rgb="FF00B050"/>
        <rFont val="Calibri"/>
        <family val="2"/>
        <scheme val="minor"/>
      </rPr>
      <t>= acquired by Pfizer in Nov. '25.</t>
    </r>
  </si>
  <si>
    <t>Lenskart Solutions Limited</t>
  </si>
  <si>
    <t>Meesho Limited</t>
  </si>
  <si>
    <t>= check with SoftBank IR -&gt; first time they include value of "zero-rated" ($400m).</t>
  </si>
  <si>
    <t>= check with SoftBank IR -&gt; first time they include value of "zero-rated" ($200m).</t>
  </si>
  <si>
    <t>Skild AI</t>
  </si>
  <si>
    <r>
      <t xml:space="preserve">Skild AI </t>
    </r>
    <r>
      <rPr>
        <sz val="9"/>
        <color rgb="FF2EB2A5"/>
        <rFont val="Calibri"/>
        <family val="2"/>
        <scheme val="minor"/>
      </rPr>
      <t>= pre-transfer to RoboHD.</t>
    </r>
  </si>
  <si>
    <t>= need to review Skild AI funding rounds with SoftBank IR.</t>
  </si>
  <si>
    <t>= check with IR -&gt; S&amp;P Capital IQ showing holdings in 1) 253m shares at SBIA (UK) Limited and 2) 228m shares at SVF II Lightbulb (Cayman) Ltd.</t>
  </si>
  <si>
    <t>Lenskart Solutions Limited shares outstanding (millions)</t>
  </si>
  <si>
    <t>Swiggy Limited shares outstanding (millions)</t>
  </si>
  <si>
    <t>Meesho Limited shares outstanding (millions)</t>
  </si>
  <si>
    <t>LatAm</t>
  </si>
  <si>
    <t>Other investments</t>
  </si>
  <si>
    <t>Gain (loss) on investments</t>
  </si>
  <si>
    <t>= new Vision Fund segment reporting from Dec. '25.</t>
  </si>
  <si>
    <t>Gain (loss) YTD</t>
  </si>
  <si>
    <t>= 9M reporting -&gt; need to go back and amend as quarterly results published.</t>
  </si>
  <si>
    <t>(Gain) loss on SVF's investments in shares of the Company's subsidiaries/associates</t>
  </si>
  <si>
    <t>= check change in "cumulative investment cost" with IR -&gt; doesn't make sense!</t>
  </si>
  <si>
    <t>Other AI computing debt</t>
  </si>
  <si>
    <r>
      <t xml:space="preserve">delta </t>
    </r>
    <r>
      <rPr>
        <sz val="9"/>
        <color rgb="FFF97303"/>
        <rFont val="Calibri"/>
        <family val="2"/>
        <scheme val="minor"/>
      </rPr>
      <t>= short-term investments recorded as current assets</t>
    </r>
  </si>
  <si>
    <t>Other AI computing cash</t>
  </si>
  <si>
    <t>= check SVF2 QoQ distributions with IR -&gt; doesn't make sense but likely due to OpenAI Forward Contract reporting.</t>
  </si>
  <si>
    <r>
      <t xml:space="preserve">SBG reported EoP LatAm Third-party interest </t>
    </r>
    <r>
      <rPr>
        <sz val="9"/>
        <color rgb="FFFF0000"/>
        <rFont val="Calibri"/>
        <family val="2"/>
        <scheme val="minor"/>
      </rPr>
      <t>= MgmtCo interest</t>
    </r>
  </si>
  <si>
    <t>SBG reported LatAm NAV</t>
  </si>
  <si>
    <t>= per F3Q NAV spreadsheet -&gt; Deutsche Telekom position fully exited by end F3Q.</t>
  </si>
  <si>
    <t>= new and simplified "Investment Business of HoldCo" reporting from F3Q.</t>
  </si>
  <si>
    <t>= need to run through Project Stargate investment capital contribution assumptions with IR.</t>
  </si>
  <si>
    <t>= feels like we are "under modelling" Project Stargate contributions in F3Q given $4bn+ jump in "Other" SoftBank holdings.</t>
  </si>
  <si>
    <t>https://www.softbank.jp/en/corp/ir/stock/performance/</t>
  </si>
  <si>
    <t>-&gt; use to check SoftBank K.K. dividend declared; has been flat since YE Mar. '21.</t>
  </si>
  <si>
    <r>
      <t>Deutsche Telekom</t>
    </r>
    <r>
      <rPr>
        <sz val="9"/>
        <color theme="0" tint="-0.499984740745262"/>
        <rFont val="Calibri"/>
        <family val="2"/>
        <scheme val="minor"/>
      </rPr>
      <t>:</t>
    </r>
  </si>
  <si>
    <r>
      <t xml:space="preserve">Cash dividend received </t>
    </r>
    <r>
      <rPr>
        <sz val="9"/>
        <color theme="0" tint="-0.499984740745262"/>
        <rFont val="Aptos Narrow"/>
        <family val="2"/>
      </rPr>
      <t>¥</t>
    </r>
    <r>
      <rPr>
        <sz val="9"/>
        <color theme="0" tint="-0.499984740745262"/>
        <rFont val="Calibri"/>
        <family val="2"/>
        <scheme val="minor"/>
      </rPr>
      <t>bn</t>
    </r>
  </si>
  <si>
    <t>= need to link back to "TopCo Net debt waterfall" tab.</t>
  </si>
  <si>
    <t>Dec 30, 2025
B/S Balance $m</t>
  </si>
  <si>
    <t>Dec 30, 2025
Outstanding Balance</t>
  </si>
  <si>
    <t>Dec 30, 2025
B/S Balance</t>
  </si>
  <si>
    <t>$669mn</t>
  </si>
  <si>
    <t>€437mn</t>
  </si>
  <si>
    <t>€211mn</t>
  </si>
  <si>
    <t>$1,657mn</t>
  </si>
  <si>
    <t>$466mn</t>
  </si>
  <si>
    <t>€1,054mn</t>
  </si>
  <si>
    <t>$773mn</t>
  </si>
  <si>
    <t>€450mn</t>
  </si>
  <si>
    <t>$500mn</t>
  </si>
  <si>
    <t>€473mn</t>
  </si>
  <si>
    <t>$400mn</t>
  </si>
  <si>
    <t>€575mn</t>
  </si>
  <si>
    <t>€600mn</t>
  </si>
  <si>
    <t>$600mn</t>
  </si>
  <si>
    <t>$1,305mn</t>
  </si>
  <si>
    <t>€425mn</t>
  </si>
  <si>
    <t>第67回無担保普通社債 (福岡ソフトバンクホークスボンド)
67th series Unsecured Straight Bond (Fukuoka SoftBank HAWKS Bond)</t>
  </si>
  <si>
    <t>€500mn</t>
  </si>
  <si>
    <t>第4回利払繰延条項・期限前償還条項付無担保社債（劣後特約付）（ハイブリッド債）
4th Unsecured Subordinated Bonds with interest deferrable clause and early redeemable option (with a subordination provision) (Hybrid Bonds)*2</t>
  </si>
  <si>
    <t>第5回利払繰延条項・期限前償還条項付無担保社債（劣後特約付）（ハイブリッド債）
5th Unsecured Subordinated Bonds with interest deferrable clause and early redeemable option (with a subordination provision) (Hybrid Bonds)*3</t>
  </si>
  <si>
    <t>第6回利払繰延条項・期限前償還条項付無担保社債（劣後特約付）（ハイブリッド債）
6th Unsecured Subordinated Bonds with interest deferrable clause and early redeemable option (with a subordination provision) (Hybrid Bonds)*4</t>
  </si>
  <si>
    <t>第7回利払繰延条項・期限前償還条項付無担保社債（劣後特約付）（ハイブリッド債）
7th Unsecured Subordinated Bonds with interest deferrable clause and early redeemable option (with a subordination provision) (Hybrid Bonds)*5</t>
  </si>
  <si>
    <t>2061年満期米ドル建ハイブリッド社債
USD-denominated Hybrid Notes Due 2061*6</t>
  </si>
  <si>
    <t>$900mn</t>
  </si>
  <si>
    <t>2062年満期ユーロ建ハイブリッド社債
EUR-denominated Hybrid Notes Due 2062*7</t>
  </si>
  <si>
    <t>€750mn</t>
  </si>
  <si>
    <t>2065年満期米ドル建ハイブリッド社債
USD-denominated Hybrid Notes Due 2065*8</t>
  </si>
  <si>
    <t>$1,100mn</t>
  </si>
  <si>
    <t>= need to run through Project Stargate numbers with SoftBank IR.</t>
  </si>
  <si>
    <t>= Source: ChatGPT scraping "private placement" + "rights issue" filings.</t>
  </si>
  <si>
    <t>AI computing reporting unit = Arm + Graphcore + Ampere.</t>
  </si>
  <si>
    <r>
      <t xml:space="preserve">Project Stargate </t>
    </r>
    <r>
      <rPr>
        <sz val="9"/>
        <color rgb="FFF97303"/>
        <rFont val="Calibri"/>
        <family val="2"/>
        <scheme val="minor"/>
      </rPr>
      <t>= via SB Energy.</t>
    </r>
  </si>
  <si>
    <t>Less: repayment of Mizuho bridge loans $m</t>
  </si>
  <si>
    <t>Mizuho bridge loans</t>
  </si>
  <si>
    <t>= F4Q includes drawdown of $5.465bn commitment line.</t>
  </si>
  <si>
    <r>
      <t>SoftBank TopCo commitment line</t>
    </r>
    <r>
      <rPr>
        <sz val="9"/>
        <color theme="1"/>
        <rFont val="Calibri"/>
        <family val="2"/>
        <scheme val="minor"/>
      </rPr>
      <t>:</t>
    </r>
  </si>
  <si>
    <t>Drawdown during period $m</t>
  </si>
  <si>
    <t>Repayment during period $m</t>
  </si>
  <si>
    <t>= use "Accounting" slides on Cashflow statement to monitor "commitment lines".</t>
  </si>
  <si>
    <t>"Net" commitment line drawndown (repaid) during period $m</t>
  </si>
  <si>
    <t>= check with IR that there are no commitment lines outstanding.</t>
  </si>
  <si>
    <t>= $5.375bn ABB Robotics + $16/share take-out of DigitalBridge.</t>
  </si>
  <si>
    <t>= we assume a final exit of remaining 16m T-Mobile US shares in F1Q26 to help finance further OpenAI investments.</t>
  </si>
  <si>
    <t>SVF2 cash raised from PayPay</t>
  </si>
  <si>
    <t>OpenAI PBC dilution from all-equity acquisitions + third-party investments (e.g., Disney) -&gt;</t>
  </si>
  <si>
    <t>io</t>
  </si>
  <si>
    <t>Transaction</t>
  </si>
  <si>
    <t>Valuation</t>
  </si>
  <si>
    <t>OAI all-in</t>
  </si>
  <si>
    <t>% dilution</t>
  </si>
  <si>
    <t>May '25</t>
  </si>
  <si>
    <t>Acquired</t>
  </si>
  <si>
    <t>Comments -&gt;</t>
  </si>
  <si>
    <t>Statsig</t>
  </si>
  <si>
    <t>Neptune.ai</t>
  </si>
  <si>
    <t>Disney</t>
  </si>
  <si>
    <t>Investor</t>
  </si>
  <si>
    <t>Total dilution</t>
  </si>
  <si>
    <t>SBC</t>
  </si>
  <si>
    <t>= Wall Street Journal reported OpenAI paying $1.5m SBC per employee -&gt; given 4k employees in '25 this implies $6bn in SBC.</t>
  </si>
  <si>
    <t>OpenAI as % of SVF2</t>
  </si>
  <si>
    <t>OpenAI CY26 funding round assumptions -&gt;</t>
  </si>
  <si>
    <t>+ Funding round amount $bn</t>
  </si>
  <si>
    <t>Pre-money valuation $bn</t>
  </si>
  <si>
    <t>Post-money valuation $bn</t>
  </si>
  <si>
    <t>SVF2 tranche #1 $bn</t>
  </si>
  <si>
    <t>Tranche #2</t>
  </si>
  <si>
    <t>Tranche #3</t>
  </si>
  <si>
    <t>https://www.theinformation.com/articles/openai-finalizing-first-commitments-100-billion-mega-round?rc=oyp3ga</t>
  </si>
  <si>
    <t>= we assume two additional $10bn tranches by SoftBank of which 25% syndicated.</t>
  </si>
  <si>
    <t>= tranche #1 in CY26 assumes SoftBank puts up proportionate ownership (i.e., 11.5%) in OpenAI PBC.</t>
  </si>
  <si>
    <t>SoftBank % ownership of OpenAI PBC</t>
  </si>
  <si>
    <t>= different methodology from four quarters out.</t>
  </si>
  <si>
    <t>Klarna Group PLC shares outstanding (millions)</t>
  </si>
  <si>
    <t>= cum. exits in FY26E.</t>
  </si>
  <si>
    <t>= reset FY26E formulae for OpenAI investments + SVF2 cash raising.</t>
  </si>
  <si>
    <t>SoftBank Group share of distributions $m</t>
  </si>
  <si>
    <t>= new SVF1 distributions to TopCo modelling line for CY26 OpenAI funding round + cash raising analysis.</t>
  </si>
  <si>
    <r>
      <t>Alternative LTV</t>
    </r>
    <r>
      <rPr>
        <sz val="9"/>
        <color theme="0" tint="-0.499984740745262"/>
        <rFont val="Calibri"/>
        <family val="2"/>
        <scheme val="minor"/>
      </rPr>
      <t>: = assumes OpenAI debt reported as ABF within SVF2 given intercompany loan from TopCo to SVF2.</t>
    </r>
  </si>
  <si>
    <t>Increase/(decrease) in debt at SVF2</t>
  </si>
  <si>
    <t>= for TopCo net debt waterfall model.</t>
  </si>
  <si>
    <t>Public vs. private equities analysis</t>
  </si>
  <si>
    <t>Public equities</t>
  </si>
  <si>
    <t>SoftBank K.K.</t>
  </si>
  <si>
    <r>
      <t xml:space="preserve">Other </t>
    </r>
    <r>
      <rPr>
        <sz val="9"/>
        <color rgb="FF0070C0"/>
        <rFont val="Calibri"/>
        <family val="2"/>
        <scheme val="minor"/>
      </rPr>
      <t>= TopCo + Northstar.</t>
    </r>
  </si>
  <si>
    <t>Total publicly-listed equities</t>
  </si>
  <si>
    <t>of which Telcos</t>
  </si>
  <si>
    <t>Total debt incl. ABF</t>
  </si>
  <si>
    <t>TopCo "standalone" net debt</t>
  </si>
  <si>
    <t>Arm + Telcos ABF</t>
  </si>
  <si>
    <t>Vision Fund debt</t>
  </si>
  <si>
    <t>% of publicly-listed equities</t>
  </si>
  <si>
    <t>Publicly-listed equities</t>
  </si>
  <si>
    <t>Privately-held assets</t>
  </si>
  <si>
    <t>Total SoftBank Group gross assets</t>
  </si>
  <si>
    <t>= includes AutoStore holding in RoboHD previously held in SVF2.</t>
  </si>
  <si>
    <t>= incorporates assumed PayPay IPO in C1Q26.</t>
  </si>
  <si>
    <t>% SVF2 stake in OpenAI pre-funding round</t>
  </si>
  <si>
    <t>F1Q26E</t>
  </si>
  <si>
    <t>F2Q26E</t>
  </si>
  <si>
    <t>F3Q26E</t>
  </si>
  <si>
    <t>F4Q26E</t>
  </si>
  <si>
    <t>Add: increase in debt held at Vision Funds $m</t>
  </si>
  <si>
    <t>Less: increase in debt held at Vision Funds $m</t>
  </si>
  <si>
    <t>Webtoon Entertainment Inc</t>
  </si>
  <si>
    <t>Webtoon Entertainment Inc shares outstanding (millions)</t>
  </si>
  <si>
    <t>Arm + SoftBank K.K. margin loans LTV -&gt;</t>
  </si>
  <si>
    <t>= assumes $4.5bn of "Hybrid" bond issuance carrying 50% equity component in LTV.</t>
  </si>
  <si>
    <t>Less: SoftBank Group licenses</t>
  </si>
  <si>
    <t>Total revenues from 3rd parties (incl. Arm China)</t>
  </si>
  <si>
    <r>
      <t xml:space="preserve">Arm quarterly revenues $m </t>
    </r>
    <r>
      <rPr>
        <sz val="9"/>
        <color rgb="FFF97303"/>
        <rFont val="Calibri"/>
        <family val="2"/>
        <scheme val="minor"/>
      </rPr>
      <t>= using Arm quarterly reporting.</t>
    </r>
  </si>
  <si>
    <t>Year-to-date revenues</t>
  </si>
  <si>
    <t>AI Computing revenues ¥bn</t>
  </si>
  <si>
    <t>FX year-to-date</t>
  </si>
  <si>
    <t>Net sales ¥bn</t>
  </si>
  <si>
    <t>Net sales $m</t>
  </si>
  <si>
    <t>Ampere + Graphcore revenues $m</t>
  </si>
  <si>
    <r>
      <t>February '26 charts</t>
    </r>
    <r>
      <rPr>
        <sz val="9"/>
        <color theme="1"/>
        <rFont val="Calibri"/>
        <family val="2"/>
        <scheme val="minor"/>
      </rPr>
      <t>:</t>
    </r>
  </si>
  <si>
    <t>Mar. '25</t>
  </si>
  <si>
    <t>Mar. '26E</t>
  </si>
  <si>
    <t>Jun. '26E</t>
  </si>
  <si>
    <t>Sep. '26E</t>
  </si>
  <si>
    <t>Dec. '26E</t>
  </si>
  <si>
    <t>SoftBank Group gross assets</t>
  </si>
  <si>
    <t>Arm stake</t>
  </si>
  <si>
    <r>
      <t xml:space="preserve">% of SoftBank Group gross assets </t>
    </r>
    <r>
      <rPr>
        <sz val="9"/>
        <color rgb="FFF97303"/>
        <rFont val="Calibri"/>
        <family val="2"/>
        <scheme val="minor"/>
      </rPr>
      <t>= credit rating agency LTV.</t>
    </r>
  </si>
  <si>
    <t>= adj. downwards by $1.8bn as SVF2 effectively paid TopCo $1.8bn for OpenAI Forward Contract.</t>
  </si>
  <si>
    <t>OpenAI stake value $bn</t>
  </si>
  <si>
    <t>Acquisition cost $bn</t>
  </si>
  <si>
    <t>OpenAI PBC existing stake $bn</t>
  </si>
  <si>
    <t>Publicly-listed equities $bn</t>
  </si>
  <si>
    <t>Privately-held assets $bn</t>
  </si>
  <si>
    <t>Arm % of assets</t>
  </si>
  <si>
    <t>OpenAI % of assets</t>
  </si>
  <si>
    <t>est. CY26 tranches $bn</t>
  </si>
  <si>
    <t>Less: OpenAI investments</t>
  </si>
  <si>
    <t>Less: other consolidated AI investments</t>
  </si>
  <si>
    <t>Less: margin loan interest</t>
  </si>
  <si>
    <t>= Arete est. bond issuance requirement.</t>
  </si>
  <si>
    <t>Less: cash interest paid on TopCo debt</t>
  </si>
  <si>
    <t>Less: "net" Arm receivable to SVF1</t>
  </si>
  <si>
    <t>Add: Mizuho bridge loans</t>
  </si>
  <si>
    <t>Add: ABF at Vision Funds</t>
  </si>
  <si>
    <t>Less: bridge loan repayment</t>
  </si>
  <si>
    <t>Add: cash dividends received from Telcos</t>
  </si>
  <si>
    <t>Add: monetisation of T-Mobile/DT stakes</t>
  </si>
  <si>
    <t>Less: Ampere Computing acquisition</t>
  </si>
  <si>
    <t>Add: SoftBank K.K. margin loan</t>
  </si>
  <si>
    <t>Add: Arm margin loan</t>
  </si>
  <si>
    <t>Add: SVF1 distributions</t>
  </si>
  <si>
    <t>Add: SVF2 distributions</t>
  </si>
  <si>
    <t>Add: LatAm distributions</t>
  </si>
  <si>
    <t>= note: SoftBank Group holds 9.1m more Symbotic shares than previously thought, via "SVF Sponsor III (DE) LLC".</t>
  </si>
  <si>
    <t>= SVF Sponsor II (DE) LLC sold 3.5m Class A shares in Dec. '25 at $55/share.</t>
  </si>
  <si>
    <t>-&gt; assumptions = Amazon $15bn (+$35bn "when certain conditions are met"), NVIDIA $30bn, SoftBank Group $30bn, Middle East + VCs $10bn.</t>
  </si>
  <si>
    <t>= total dilution to existing OpenAI shareholders incl. full Amazon $50bn investment.</t>
  </si>
  <si>
    <t>Vision Fund 1</t>
  </si>
  <si>
    <t>Vision Fund 2</t>
  </si>
  <si>
    <t>SVF2 debt excl. intercompany loan</t>
  </si>
  <si>
    <t>F3Q cash</t>
  </si>
  <si>
    <t>TMUS</t>
  </si>
  <si>
    <t>VF exits</t>
  </si>
  <si>
    <t>Bridge loan</t>
  </si>
  <si>
    <t>VF debt</t>
  </si>
  <si>
    <t>PayPay IPO</t>
  </si>
  <si>
    <t>Other AI</t>
  </si>
  <si>
    <t>Commit. line</t>
  </si>
  <si>
    <t>Net bonds</t>
  </si>
  <si>
    <t>D.B.</t>
  </si>
  <si>
    <t>Mar. '27E</t>
  </si>
  <si>
    <t>Asset sales</t>
  </si>
  <si>
    <t>Conventional debt</t>
  </si>
  <si>
    <t>LTV with 25% Arm decline</t>
  </si>
  <si>
    <t>F3Q25</t>
  </si>
  <si>
    <t>P.F. value today $bn</t>
  </si>
  <si>
    <t>12.5x EV/Sales in FY30E less MgmtCo 17.25%.</t>
  </si>
  <si>
    <t>$35bn F-O</t>
  </si>
  <si>
    <t>$1bn SoftBank &amp; OpenAI equity to SB Energy.</t>
  </si>
  <si>
    <t>Tranche 1 = $15bn Amazon + $10bn SoftBank + $10bn NVIDIA but excludes $10bn Middle East &amp; Venture Capital.</t>
  </si>
  <si>
    <t>= % calculation is subject to OpenAI PBC "mark" at F3Q -&gt; est. $475-500bn; if $475bn used at base level would imply ownership at 13.5% -&gt; average is 13.25%.</t>
  </si>
  <si>
    <r>
      <t xml:space="preserve">= adjusted for 13% P.F. share of capital contributions to cover remaining </t>
    </r>
    <r>
      <rPr>
        <sz val="9"/>
        <color rgb="FFFF0000"/>
        <rFont val="Calibri"/>
        <family val="2"/>
        <scheme val="minor"/>
      </rPr>
      <t>$76bn</t>
    </r>
    <r>
      <rPr>
        <sz val="9"/>
        <color rgb="FFF97303"/>
        <rFont val="Calibri"/>
        <family val="2"/>
        <scheme val="minor"/>
      </rPr>
      <t xml:space="preserve"> of $218bn '26E-'30E cash burn not covered by CY25 ($41bn) or CY26 ($110bn) funding rounds; less MgmtCo 17.25% share.</t>
    </r>
  </si>
  <si>
    <r>
      <t xml:space="preserve">Add: 13.25% contribution to remaining </t>
    </r>
    <r>
      <rPr>
        <sz val="9"/>
        <color rgb="FFFF0000"/>
        <rFont val="Calibri"/>
        <family val="2"/>
      </rPr>
      <t>$76bn</t>
    </r>
    <r>
      <rPr>
        <sz val="9"/>
        <color theme="1"/>
        <rFont val="Calibri"/>
        <family val="2"/>
      </rPr>
      <t xml:space="preserve"> cash burn</t>
    </r>
  </si>
  <si>
    <t>13.25% OpenAI Global LLC @ Mar. '31E</t>
  </si>
  <si>
    <t>Less: 5 years CAGR on Preferred equity @ 8-9%</t>
  </si>
  <si>
    <t>= n.b., new SVF2 "Preferred equity" issued to TopCo is being issued @ 9%.</t>
  </si>
  <si>
    <t>8% p.a. growth.</t>
  </si>
  <si>
    <t>= must update formula at each note/publication.</t>
  </si>
  <si>
    <t>% CAGR</t>
  </si>
  <si>
    <t>Mar. '27E target price -&gt;</t>
  </si>
  <si>
    <t>= reset for additional SVF2 capital contributions in form of Preferred equity to cover further investments in OpenAI PBC.</t>
  </si>
  <si>
    <t>= $6.2bn additional preferred equity issued to TopCo in F4Q -&gt; basically a "switch" of intercompany loan to 9% preferred equity.</t>
  </si>
  <si>
    <t>= see SVF2 % of Preferred equity excl. "outside scope of co-investment".</t>
  </si>
  <si>
    <t>Preferred equity invested (= 90%)</t>
  </si>
  <si>
    <t>Ordinary equity invested (= 10%)</t>
  </si>
  <si>
    <t>Less: 12.5% p.a. "hurdle rate"</t>
  </si>
  <si>
    <t>20x EV/EBIT in FY30E less debt, preferreds, etc.</t>
  </si>
  <si>
    <t>= shifted from "neocloud" to "colocation" valuation approach -&gt; assume OpenAI PBC buys and owns chips at SB Energy data centers.</t>
  </si>
  <si>
    <t>Ares $800m "preferreds" in '30E -&gt;</t>
  </si>
  <si>
    <t>OpenAI PBC minority equity in '30E -&gt;</t>
  </si>
  <si>
    <t>delta vs. previous</t>
  </si>
  <si>
    <t>= upgrade est. returns on lower Coupang starting price.</t>
  </si>
  <si>
    <t>= faster pace of PayPay monetisation to fund OpenAI PBC transaction.</t>
  </si>
  <si>
    <t>= additional margin loan.</t>
  </si>
  <si>
    <t>+ 3 years of $2bn p.a. equity contribution by SoftBank TopCo.</t>
  </si>
  <si>
    <t>38x EV/EBIT in Mar. '31E less ABF.</t>
  </si>
  <si>
    <t>12.5% p.a. from $8bn Oct. '25 valuation.</t>
  </si>
  <si>
    <t>25% p.a. from $6bn Aug. '25 valuation.</t>
  </si>
  <si>
    <t>Fully exited.</t>
  </si>
  <si>
    <t>10% p.a. less K.K. ABF.</t>
  </si>
  <si>
    <t>Market value of 40% less $5bn+ K.K. margin loan.</t>
  </si>
  <si>
    <t>$730bn pre-money CY26 valuation.</t>
  </si>
  <si>
    <t>$16/share transaction value.</t>
  </si>
  <si>
    <t>1H21</t>
  </si>
  <si>
    <t>2H21</t>
  </si>
  <si>
    <t>1H22</t>
  </si>
  <si>
    <t>2H22</t>
  </si>
  <si>
    <t>1H24</t>
  </si>
  <si>
    <t>1H23</t>
  </si>
  <si>
    <t>2H23</t>
  </si>
  <si>
    <t>2H24</t>
  </si>
  <si>
    <t>1H25</t>
  </si>
  <si>
    <t>2H25E</t>
  </si>
  <si>
    <t>1H26E</t>
  </si>
  <si>
    <t>2H26E</t>
  </si>
  <si>
    <t>= assumes debt immediately raised against newly-listed PayPay stake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</si>
</sst>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4">
    <numFmt numFmtId="43" formatCode="_-* #,##0.00_-;\-* #,##0.00_-;_-* &quot;-&quot;??_-;_-@_-"/>
    <numFmt numFmtId="164" formatCode="_-* #,##0.0_-;\-* #,##0.0_-;_-* &quot;-&quot;??_-;_-@_-"/>
    <numFmt numFmtId="165" formatCode="_-* #,##0_-;\-* #,##0_-;_-* &quot;-&quot;??_-;_-@_-"/>
    <numFmt numFmtId="166" formatCode="0.0%"/>
    <numFmt numFmtId="167" formatCode="0.0"/>
    <numFmt numFmtId="168" formatCode="#,##0;\(#,##0\)"/>
    <numFmt numFmtId="169" formatCode="#,##0.00;\(#,##0.00\)"/>
    <numFmt numFmtId="170" formatCode="0.0\x"/>
    <numFmt numFmtId="171" formatCode="#,##0.0;\(#,##0.0\)"/>
    <numFmt numFmtId="172" formatCode="0.0000"/>
    <numFmt numFmtId="173" formatCode="mm/dd/yy;@"/>
    <numFmt numFmtId="174" formatCode="0.000"/>
    <numFmt numFmtId="175" formatCode="#,##0;\(#,##0\);0"/>
    <numFmt numFmtId="176" formatCode="#,##0.0;\(#,##0.0\);0.0"/>
    <numFmt numFmtId="177" formatCode="#,##0.0"/>
    <numFmt numFmtId="178" formatCode="#,##0.00;\(#,##0.00\);0.00"/>
    <numFmt numFmtId="179" formatCode="[$-409]mmmm\ d\,\ yyyy;@"/>
    <numFmt numFmtId="180" formatCode="[$-409]mmm\ d\,\ yyyy;@"/>
    <numFmt numFmtId="181" formatCode="0.000_);[Red]\(0.000\)"/>
    <numFmt numFmtId="182" formatCode="&quot;€&quot;#,##0&quot;mn&quot;"/>
    <numFmt numFmtId="183" formatCode="#,##0_ ;[Red]\-#,##0\ "/>
    <numFmt numFmtId="184" formatCode="[$-F800]dddd\,\ mmmm\ dd\,\ yyyy"/>
    <numFmt numFmtId="185" formatCode="\$0.0&quot;bn&quot;"/>
    <numFmt numFmtId="186" formatCode="[$¥-411]#,##0.00&quot;tn&quot;"/>
    <numFmt numFmtId="187" formatCode="\$0&quot;bn&quot;"/>
    <numFmt numFmtId="188" formatCode="&quot;¥&quot;#,##0&quot;m&quot;"/>
    <numFmt numFmtId="189" formatCode="&quot;$&quot;#,##0&quot;m&quot;"/>
    <numFmt numFmtId="190" formatCode="&quot;€&quot;#,##0&quot;m&quot;"/>
    <numFmt numFmtId="191" formatCode="#,##0.000;\(#,##0.000\)"/>
    <numFmt numFmtId="192" formatCode="0.00000"/>
    <numFmt numFmtId="193" formatCode="\$0.00&quot;bn&quot;"/>
    <numFmt numFmtId="194" formatCode="\$#,##0&quot;bn&quot;;\-#,##0&quot;bn&quot;"/>
    <numFmt numFmtId="195" formatCode="\$#,##0.0&quot;bn&quot;;\-#,##0.0&quot;bn&quot;"/>
    <numFmt numFmtId="196" formatCode="\$0&quot;c&quot;"/>
    <numFmt numFmtId="197" formatCode="\$#,##0.0&quot;bn&quot;;\-\$#,##0.0&quot;bn&quot;"/>
    <numFmt numFmtId="198" formatCode="\$#,##0.00&quot;bn&quot;;\-#,##0.00&quot;bn&quot;"/>
    <numFmt numFmtId="199" formatCode="&quot;$&quot;#,##0&quot;mn&quot;"/>
    <numFmt numFmtId="200" formatCode="#,###;\-#,###;\-"/>
    <numFmt numFmtId="201" formatCode="0&quot;E&quot;"/>
    <numFmt numFmtId="202" formatCode="_-* #,##0.0_-;\-* #,##0.0_-;_-* &quot;-&quot;?_-;_-@_-"/>
    <numFmt numFmtId="203" formatCode="0.00\x"/>
    <numFmt numFmtId="204" formatCode="0.000%"/>
    <numFmt numFmtId="205" formatCode="#,##0.0;\-#,##0.0"/>
    <numFmt numFmtId="206" formatCode="#,##0.0_ ;\-#,##0.0\ "/>
  </numFmts>
  <fonts count="50">
    <font>
      <sz val="11"/>
      <color theme="1"/>
      <name val="Calibri"/>
      <family val="2"/>
      <scheme val="minor"/>
    </font>
    <font>
      <sz val="11"/>
      <color theme="1"/>
      <name val="Calibri"/>
      <family val="2"/>
      <scheme val="minor"/>
    </font>
    <font>
      <sz val="9"/>
      <color theme="1"/>
      <name val="Calibri"/>
      <family val="2"/>
      <scheme val="minor"/>
    </font>
    <font>
      <u/>
      <sz val="9"/>
      <color theme="1"/>
      <name val="Calibri"/>
      <family val="2"/>
      <scheme val="minor"/>
    </font>
    <font>
      <sz val="9"/>
      <color rgb="FF0000FF"/>
      <name val="Calibri"/>
      <family val="2"/>
      <scheme val="minor"/>
    </font>
    <font>
      <sz val="9"/>
      <color rgb="FFFF0000"/>
      <name val="Calibri"/>
      <family val="2"/>
      <scheme val="minor"/>
    </font>
    <font>
      <sz val="9"/>
      <color rgb="FF0070C0"/>
      <name val="Calibri"/>
      <family val="2"/>
      <scheme val="minor"/>
    </font>
    <font>
      <sz val="9"/>
      <name val="Calibri"/>
      <family val="2"/>
      <scheme val="minor"/>
    </font>
    <font>
      <sz val="9"/>
      <color theme="0" tint="-0.499984740745262"/>
      <name val="Calibri"/>
      <family val="2"/>
      <scheme val="minor"/>
    </font>
    <font>
      <sz val="9"/>
      <color rgb="FF0437FF"/>
      <name val="Calibri"/>
      <family val="2"/>
      <scheme val="minor"/>
    </font>
    <font>
      <sz val="9"/>
      <color rgb="FF92D050"/>
      <name val="Calibri"/>
      <family val="2"/>
      <scheme val="minor"/>
    </font>
    <font>
      <u/>
      <sz val="9"/>
      <color theme="1"/>
      <name val="Calibri"/>
      <family val="2"/>
    </font>
    <font>
      <sz val="9"/>
      <color theme="1"/>
      <name val="Calibri"/>
      <family val="2"/>
    </font>
    <font>
      <sz val="9"/>
      <color rgb="FFFF0000"/>
      <name val="Calibri"/>
      <family val="2"/>
    </font>
    <font>
      <u/>
      <sz val="9"/>
      <color theme="0" tint="-0.499984740745262"/>
      <name val="Calibri"/>
      <family val="2"/>
      <scheme val="minor"/>
    </font>
    <font>
      <sz val="9"/>
      <color rgb="FF000000"/>
      <name val="Calibri"/>
      <family val="2"/>
      <scheme val="minor"/>
    </font>
    <font>
      <sz val="9"/>
      <color rgb="FF9D9D9C"/>
      <name val="Calibri"/>
      <family val="2"/>
      <scheme val="minor"/>
    </font>
    <font>
      <i/>
      <sz val="9"/>
      <color rgb="FFFF0000"/>
      <name val="Calibri"/>
      <family val="2"/>
      <scheme val="minor"/>
    </font>
    <font>
      <u/>
      <sz val="9"/>
      <name val="Calibri"/>
      <family val="2"/>
      <scheme val="minor"/>
    </font>
    <font>
      <sz val="8.1"/>
      <color theme="1"/>
      <name val="Calibri"/>
      <family val="2"/>
    </font>
    <font>
      <sz val="9"/>
      <color theme="4"/>
      <name val="Calibri"/>
      <family val="2"/>
      <scheme val="minor"/>
    </font>
    <font>
      <sz val="10"/>
      <name val="Verdana"/>
      <family val="2"/>
    </font>
    <font>
      <i/>
      <sz val="9"/>
      <color theme="1"/>
      <name val="Calibri"/>
      <family val="2"/>
      <scheme val="minor"/>
    </font>
    <font>
      <sz val="11"/>
      <name val="ＭＳ Ｐゴシック"/>
      <family val="3"/>
      <charset val="128"/>
    </font>
    <font>
      <sz val="11"/>
      <color theme="1"/>
      <name val="Calibri"/>
      <family val="2"/>
      <charset val="128"/>
      <scheme val="minor"/>
    </font>
    <font>
      <b/>
      <sz val="9"/>
      <name val="Calibri"/>
      <family val="2"/>
      <scheme val="minor"/>
    </font>
    <font>
      <vertAlign val="superscript"/>
      <sz val="9"/>
      <name val="Calibri"/>
      <family val="2"/>
      <scheme val="minor"/>
    </font>
    <font>
      <i/>
      <sz val="9"/>
      <name val="Calibri"/>
      <family val="2"/>
      <scheme val="minor"/>
    </font>
    <font>
      <i/>
      <sz val="9"/>
      <color theme="0" tint="-0.499984740745262"/>
      <name val="Calibri"/>
      <family val="2"/>
      <scheme val="minor"/>
    </font>
    <font>
      <sz val="9"/>
      <color rgb="FF0070C0"/>
      <name val="Calibri"/>
      <family val="2"/>
    </font>
    <font>
      <sz val="8"/>
      <name val="Calibri"/>
      <family val="2"/>
      <scheme val="minor"/>
    </font>
    <font>
      <i/>
      <sz val="9"/>
      <color rgb="FF0070C0"/>
      <name val="Calibri"/>
      <family val="2"/>
      <scheme val="minor"/>
    </font>
    <font>
      <sz val="9"/>
      <color rgb="FF00B050"/>
      <name val="Calibri"/>
      <family val="2"/>
      <scheme val="minor"/>
    </font>
    <font>
      <sz val="9"/>
      <color theme="1"/>
      <name val="Aptos Narrow"/>
      <family val="2"/>
    </font>
    <font>
      <sz val="9"/>
      <color rgb="FFF97303"/>
      <name val="Calibri"/>
      <family val="2"/>
      <scheme val="minor"/>
    </font>
    <font>
      <sz val="9"/>
      <color rgb="FFF97303"/>
      <name val="Calibri"/>
      <family val="2"/>
    </font>
    <font>
      <sz val="9"/>
      <color rgb="FFFF00FF"/>
      <name val="Calibri"/>
      <family val="2"/>
      <scheme val="minor"/>
    </font>
    <font>
      <sz val="9"/>
      <color rgb="FF2EB2A5"/>
      <name val="Calibri"/>
      <family val="2"/>
      <scheme val="minor"/>
    </font>
    <font>
      <sz val="9"/>
      <color theme="5"/>
      <name val="Calibri"/>
      <family val="2"/>
      <scheme val="minor"/>
    </font>
    <font>
      <sz val="9"/>
      <name val="Calibri"/>
      <family val="2"/>
    </font>
    <font>
      <sz val="9"/>
      <color theme="5"/>
      <name val="Calibri"/>
      <family val="2"/>
    </font>
    <font>
      <sz val="9"/>
      <color rgb="FF00B050"/>
      <name val="Calibri"/>
      <family val="2"/>
    </font>
    <font>
      <i/>
      <sz val="9"/>
      <color rgb="FFFF0000"/>
      <name val="Calibri"/>
      <family val="2"/>
    </font>
    <font>
      <i/>
      <sz val="9"/>
      <color rgb="FF2EB2A5"/>
      <name val="Calibri"/>
      <family val="2"/>
      <scheme val="minor"/>
    </font>
    <font>
      <i/>
      <sz val="9"/>
      <color theme="1"/>
      <name val="Calibri"/>
      <family val="2"/>
    </font>
    <font>
      <sz val="9"/>
      <color theme="0" tint="-0.499984740745262"/>
      <name val="Calibri"/>
      <family val="2"/>
    </font>
    <font>
      <sz val="9"/>
      <color theme="0" tint="-0.499984740745262"/>
      <name val="Aptos Narrow"/>
      <family val="2"/>
    </font>
    <font>
      <u/>
      <sz val="11"/>
      <color theme="10"/>
      <name val="Calibri"/>
      <family val="2"/>
      <scheme val="minor"/>
    </font>
    <font>
      <u/>
      <sz val="9"/>
      <color rgb="FF0070C0"/>
      <name val="Calibri"/>
      <family val="2"/>
      <scheme val="minor"/>
    </font>
    <font>
      <sz val="9"/>
      <color rgb="FF00206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EECFB"/>
        <bgColor indexed="64"/>
      </patternFill>
    </fill>
    <fill>
      <patternFill patternType="solid">
        <fgColor theme="6" tint="0.79998168889431442"/>
        <bgColor indexed="64"/>
      </patternFill>
    </fill>
    <fill>
      <patternFill patternType="solid">
        <fgColor indexed="9"/>
        <bgColor indexed="64"/>
      </patternFill>
    </fill>
    <fill>
      <patternFill patternType="solid">
        <fgColor theme="8" tint="0.79998168889431442"/>
        <bgColor indexed="64"/>
      </patternFill>
    </fill>
    <fill>
      <patternFill patternType="solid">
        <fgColor theme="0" tint="-4.9989318521683403E-2"/>
        <bgColor indexed="64"/>
      </patternFill>
    </fill>
  </fills>
  <borders count="15">
    <border>
      <left/>
      <right/>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dotted">
        <color indexed="64"/>
      </bottom>
      <diagonal/>
    </border>
    <border>
      <left/>
      <right/>
      <top/>
      <bottom style="dotted">
        <color indexed="64"/>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21" fillId="0" borderId="0"/>
    <xf numFmtId="0" fontId="23" fillId="0" borderId="0"/>
    <xf numFmtId="0" fontId="24" fillId="0" borderId="0">
      <alignment vertical="center"/>
    </xf>
    <xf numFmtId="0" fontId="23" fillId="0" borderId="0">
      <alignment vertical="center"/>
    </xf>
    <xf numFmtId="38" fontId="24" fillId="0" borderId="0" applyFont="0" applyFill="0" applyBorder="0" applyAlignment="0" applyProtection="0">
      <alignment vertical="center"/>
    </xf>
    <xf numFmtId="0" fontId="47" fillId="0" borderId="0" applyNumberFormat="0" applyFill="0" applyBorder="0" applyAlignment="0" applyProtection="0"/>
  </cellStyleXfs>
  <cellXfs count="1193">
    <xf numFmtId="0" fontId="0" fillId="0" borderId="0" xfId="0"/>
    <xf numFmtId="0" fontId="2" fillId="2" borderId="0" xfId="0" applyFont="1" applyFill="1" applyAlignment="1">
      <alignment vertical="center"/>
    </xf>
    <xf numFmtId="0" fontId="2" fillId="3" borderId="0" xfId="0" applyFont="1" applyFill="1" applyAlignment="1">
      <alignment vertical="center"/>
    </xf>
    <xf numFmtId="0" fontId="3" fillId="2" borderId="0" xfId="0" applyFont="1" applyFill="1" applyAlignment="1">
      <alignment vertical="center"/>
    </xf>
    <xf numFmtId="0" fontId="3" fillId="3" borderId="0" xfId="0" applyFont="1" applyFill="1" applyAlignment="1">
      <alignment vertical="center"/>
    </xf>
    <xf numFmtId="0" fontId="2" fillId="2" borderId="0" xfId="0" applyFont="1" applyFill="1" applyAlignment="1">
      <alignment horizontal="left" vertical="center" indent="1"/>
    </xf>
    <xf numFmtId="0" fontId="2" fillId="3" borderId="0" xfId="0" applyFont="1" applyFill="1" applyAlignment="1">
      <alignment horizontal="center" vertical="center"/>
    </xf>
    <xf numFmtId="165" fontId="2" fillId="3" borderId="0" xfId="1" applyNumberFormat="1" applyFont="1" applyFill="1" applyAlignment="1">
      <alignment vertical="center"/>
    </xf>
    <xf numFmtId="165" fontId="2" fillId="2" borderId="0" xfId="0" applyNumberFormat="1" applyFont="1" applyFill="1" applyAlignment="1">
      <alignment vertical="center"/>
    </xf>
    <xf numFmtId="0" fontId="2" fillId="2" borderId="1" xfId="0" applyFont="1" applyFill="1" applyBorder="1" applyAlignment="1">
      <alignment vertical="center"/>
    </xf>
    <xf numFmtId="165" fontId="2" fillId="2" borderId="1" xfId="0" applyNumberFormat="1" applyFont="1" applyFill="1" applyBorder="1" applyAlignment="1">
      <alignment vertical="center"/>
    </xf>
    <xf numFmtId="165" fontId="2" fillId="2" borderId="0" xfId="1" applyNumberFormat="1" applyFont="1" applyFill="1" applyAlignment="1">
      <alignment vertical="center"/>
    </xf>
    <xf numFmtId="0" fontId="2" fillId="5" borderId="0" xfId="0" applyFont="1" applyFill="1" applyAlignment="1">
      <alignment vertical="center"/>
    </xf>
    <xf numFmtId="0" fontId="3" fillId="5" borderId="0" xfId="0" applyFont="1" applyFill="1" applyAlignment="1">
      <alignment vertical="center"/>
    </xf>
    <xf numFmtId="164" fontId="2" fillId="2" borderId="0" xfId="1" applyNumberFormat="1" applyFont="1" applyFill="1" applyAlignment="1">
      <alignment vertical="center"/>
    </xf>
    <xf numFmtId="164" fontId="2" fillId="2" borderId="1" xfId="0" applyNumberFormat="1" applyFont="1" applyFill="1" applyBorder="1" applyAlignment="1">
      <alignment vertical="center"/>
    </xf>
    <xf numFmtId="166" fontId="2" fillId="2" borderId="0" xfId="2" applyNumberFormat="1" applyFont="1" applyFill="1" applyAlignment="1">
      <alignment vertical="center"/>
    </xf>
    <xf numFmtId="166" fontId="2" fillId="2" borderId="1" xfId="2" applyNumberFormat="1" applyFont="1" applyFill="1" applyBorder="1" applyAlignment="1">
      <alignment vertical="center"/>
    </xf>
    <xf numFmtId="0" fontId="5" fillId="3" borderId="0" xfId="0" quotePrefix="1" applyFont="1" applyFill="1" applyAlignment="1">
      <alignment horizontal="right" vertical="center"/>
    </xf>
    <xf numFmtId="0" fontId="6" fillId="4" borderId="0" xfId="0" applyFont="1" applyFill="1" applyAlignment="1">
      <alignment vertical="center"/>
    </xf>
    <xf numFmtId="0" fontId="2" fillId="2" borderId="2" xfId="0" applyFont="1" applyFill="1" applyBorder="1" applyAlignment="1">
      <alignment horizontal="center" vertical="center" wrapText="1"/>
    </xf>
    <xf numFmtId="9" fontId="2" fillId="2" borderId="0" xfId="2" applyFont="1" applyFill="1" applyAlignment="1">
      <alignment vertical="center"/>
    </xf>
    <xf numFmtId="0" fontId="4" fillId="2" borderId="0" xfId="0" quotePrefix="1" applyFont="1" applyFill="1" applyAlignment="1">
      <alignment vertical="center"/>
    </xf>
    <xf numFmtId="165" fontId="4" fillId="4" borderId="0" xfId="1" applyNumberFormat="1" applyFont="1" applyFill="1" applyAlignment="1">
      <alignment vertical="center"/>
    </xf>
    <xf numFmtId="2" fontId="2" fillId="2" borderId="0" xfId="0" applyNumberFormat="1" applyFont="1" applyFill="1" applyAlignment="1">
      <alignment vertical="center"/>
    </xf>
    <xf numFmtId="0" fontId="5" fillId="2" borderId="0" xfId="0" quotePrefix="1" applyFont="1" applyFill="1" applyAlignment="1">
      <alignment vertical="center"/>
    </xf>
    <xf numFmtId="0" fontId="8" fillId="2" borderId="0" xfId="0" applyFont="1" applyFill="1" applyAlignment="1">
      <alignment vertical="center"/>
    </xf>
    <xf numFmtId="0" fontId="8" fillId="4" borderId="0" xfId="0" applyFont="1" applyFill="1" applyAlignment="1">
      <alignment vertical="center"/>
    </xf>
    <xf numFmtId="0" fontId="2" fillId="2" borderId="0" xfId="0" applyFont="1" applyFill="1" applyAlignment="1">
      <alignment horizontal="left" vertical="center"/>
    </xf>
    <xf numFmtId="0" fontId="8" fillId="2" borderId="0" xfId="0" applyFont="1" applyFill="1" applyAlignment="1">
      <alignment horizontal="left" vertical="center" indent="1"/>
    </xf>
    <xf numFmtId="2" fontId="2" fillId="2" borderId="1" xfId="0" applyNumberFormat="1" applyFont="1" applyFill="1" applyBorder="1" applyAlignment="1">
      <alignment vertical="center"/>
    </xf>
    <xf numFmtId="165" fontId="2" fillId="3" borderId="0" xfId="0" applyNumberFormat="1" applyFont="1" applyFill="1" applyAlignment="1">
      <alignment vertical="center"/>
    </xf>
    <xf numFmtId="9" fontId="2" fillId="2" borderId="1" xfId="2" applyFont="1" applyFill="1" applyBorder="1" applyAlignment="1">
      <alignment vertical="center"/>
    </xf>
    <xf numFmtId="0" fontId="2" fillId="2" borderId="1" xfId="0" applyFont="1" applyFill="1" applyBorder="1" applyAlignment="1">
      <alignment horizontal="left" vertical="center" indent="1"/>
    </xf>
    <xf numFmtId="0" fontId="2" fillId="2" borderId="0" xfId="0" applyFont="1" applyFill="1" applyAlignment="1">
      <alignment horizontal="left" vertical="center" indent="2"/>
    </xf>
    <xf numFmtId="0" fontId="2" fillId="2" borderId="0" xfId="0" applyFont="1" applyFill="1" applyAlignment="1">
      <alignment horizontal="left" vertical="center" indent="3"/>
    </xf>
    <xf numFmtId="168" fontId="2" fillId="2" borderId="0" xfId="0" applyNumberFormat="1" applyFont="1" applyFill="1" applyAlignment="1">
      <alignment vertical="center"/>
    </xf>
    <xf numFmtId="168" fontId="2" fillId="3" borderId="0" xfId="1" applyNumberFormat="1" applyFont="1" applyFill="1" applyAlignment="1">
      <alignment vertical="center"/>
    </xf>
    <xf numFmtId="168" fontId="2" fillId="2" borderId="0" xfId="1" applyNumberFormat="1" applyFont="1" applyFill="1" applyAlignment="1">
      <alignment vertical="center"/>
    </xf>
    <xf numFmtId="168" fontId="2" fillId="2" borderId="1" xfId="0" applyNumberFormat="1" applyFont="1" applyFill="1" applyBorder="1" applyAlignment="1">
      <alignment vertical="center"/>
    </xf>
    <xf numFmtId="169" fontId="2" fillId="3" borderId="0" xfId="1" applyNumberFormat="1" applyFont="1" applyFill="1" applyAlignment="1">
      <alignment vertical="center"/>
    </xf>
    <xf numFmtId="169" fontId="2" fillId="2" borderId="0" xfId="0" applyNumberFormat="1" applyFont="1" applyFill="1" applyAlignment="1">
      <alignment vertical="center"/>
    </xf>
    <xf numFmtId="0" fontId="4" fillId="2" borderId="0" xfId="0" applyFont="1" applyFill="1" applyAlignment="1">
      <alignment vertical="center"/>
    </xf>
    <xf numFmtId="0" fontId="9" fillId="3" borderId="0" xfId="0" applyFont="1" applyFill="1" applyAlignment="1">
      <alignment horizontal="center" vertical="center"/>
    </xf>
    <xf numFmtId="0" fontId="2" fillId="7" borderId="0" xfId="0" applyFont="1" applyFill="1" applyAlignment="1">
      <alignment vertical="center"/>
    </xf>
    <xf numFmtId="169" fontId="2" fillId="2" borderId="0" xfId="1" applyNumberFormat="1" applyFont="1" applyFill="1" applyAlignment="1">
      <alignment vertical="center"/>
    </xf>
    <xf numFmtId="0" fontId="2" fillId="6" borderId="0" xfId="0" applyFont="1" applyFill="1" applyAlignment="1">
      <alignment vertical="center"/>
    </xf>
    <xf numFmtId="0" fontId="3" fillId="6" borderId="0" xfId="0" applyFont="1" applyFill="1" applyAlignment="1">
      <alignment vertical="center"/>
    </xf>
    <xf numFmtId="168" fontId="2" fillId="2" borderId="1" xfId="1" applyNumberFormat="1" applyFont="1" applyFill="1" applyBorder="1" applyAlignment="1">
      <alignment vertical="center"/>
    </xf>
    <xf numFmtId="0" fontId="3" fillId="7" borderId="0" xfId="0" applyFont="1" applyFill="1" applyAlignment="1">
      <alignment vertical="center"/>
    </xf>
    <xf numFmtId="10" fontId="2" fillId="3" borderId="0" xfId="2" applyNumberFormat="1" applyFont="1" applyFill="1" applyAlignment="1">
      <alignment vertical="center"/>
    </xf>
    <xf numFmtId="10" fontId="2" fillId="2" borderId="0" xfId="0" applyNumberFormat="1" applyFont="1" applyFill="1" applyAlignment="1">
      <alignment vertical="center"/>
    </xf>
    <xf numFmtId="0" fontId="5" fillId="7" borderId="0" xfId="0" applyFont="1" applyFill="1" applyAlignment="1">
      <alignment vertical="center"/>
    </xf>
    <xf numFmtId="0" fontId="5" fillId="7" borderId="0" xfId="0" quotePrefix="1" applyFont="1" applyFill="1" applyAlignment="1">
      <alignment vertical="center"/>
    </xf>
    <xf numFmtId="169" fontId="4" fillId="4" borderId="0" xfId="0" applyNumberFormat="1" applyFont="1" applyFill="1" applyAlignment="1">
      <alignment vertical="center"/>
    </xf>
    <xf numFmtId="168" fontId="4" fillId="4" borderId="0" xfId="1" applyNumberFormat="1" applyFont="1" applyFill="1" applyAlignment="1">
      <alignment vertical="center"/>
    </xf>
    <xf numFmtId="168" fontId="4" fillId="4" borderId="0" xfId="0" applyNumberFormat="1" applyFont="1" applyFill="1" applyAlignment="1">
      <alignment vertical="center"/>
    </xf>
    <xf numFmtId="0" fontId="5" fillId="2" borderId="0" xfId="0" applyFont="1" applyFill="1" applyAlignment="1">
      <alignment vertical="center"/>
    </xf>
    <xf numFmtId="168" fontId="4" fillId="4" borderId="1" xfId="0" applyNumberFormat="1" applyFont="1" applyFill="1" applyBorder="1" applyAlignment="1">
      <alignment vertical="center"/>
    </xf>
    <xf numFmtId="168" fontId="7" fillId="2" borderId="0" xfId="0" applyNumberFormat="1" applyFont="1" applyFill="1" applyAlignment="1">
      <alignment vertical="center"/>
    </xf>
    <xf numFmtId="168" fontId="4" fillId="6" borderId="0" xfId="0" applyNumberFormat="1" applyFont="1" applyFill="1" applyAlignment="1">
      <alignment vertical="center"/>
    </xf>
    <xf numFmtId="168" fontId="8" fillId="2" borderId="0" xfId="0" applyNumberFormat="1" applyFont="1" applyFill="1" applyAlignment="1">
      <alignment vertical="center"/>
    </xf>
    <xf numFmtId="165" fontId="6" fillId="4" borderId="0" xfId="1" applyNumberFormat="1" applyFont="1" applyFill="1" applyAlignment="1">
      <alignment vertical="center"/>
    </xf>
    <xf numFmtId="165" fontId="7" fillId="2" borderId="1" xfId="1" applyNumberFormat="1" applyFont="1" applyFill="1" applyBorder="1" applyAlignment="1">
      <alignment vertical="center"/>
    </xf>
    <xf numFmtId="0" fontId="2" fillId="2" borderId="2" xfId="0" applyFont="1" applyFill="1" applyBorder="1" applyAlignment="1">
      <alignment vertical="center"/>
    </xf>
    <xf numFmtId="168" fontId="2" fillId="2" borderId="0" xfId="1" applyNumberFormat="1" applyFont="1" applyFill="1" applyBorder="1" applyAlignment="1">
      <alignment vertical="center"/>
    </xf>
    <xf numFmtId="0" fontId="4" fillId="6" borderId="0" xfId="0" quotePrefix="1" applyFont="1" applyFill="1" applyAlignment="1">
      <alignment vertical="center"/>
    </xf>
    <xf numFmtId="168" fontId="2" fillId="3" borderId="1" xfId="0" applyNumberFormat="1" applyFont="1" applyFill="1" applyBorder="1" applyAlignment="1">
      <alignment vertical="center"/>
    </xf>
    <xf numFmtId="0" fontId="5" fillId="3" borderId="0" xfId="0" applyFont="1" applyFill="1" applyAlignment="1">
      <alignment vertical="center"/>
    </xf>
    <xf numFmtId="0" fontId="5" fillId="5" borderId="0" xfId="0" applyFont="1" applyFill="1" applyAlignment="1">
      <alignment vertical="center"/>
    </xf>
    <xf numFmtId="168" fontId="4" fillId="8" borderId="0" xfId="1" applyNumberFormat="1" applyFont="1" applyFill="1" applyAlignment="1">
      <alignment vertical="center"/>
    </xf>
    <xf numFmtId="0" fontId="2" fillId="8" borderId="0" xfId="0" applyFont="1" applyFill="1" applyAlignment="1">
      <alignment vertical="center"/>
    </xf>
    <xf numFmtId="0" fontId="4" fillId="8" borderId="0" xfId="0" applyFont="1" applyFill="1" applyAlignment="1">
      <alignment vertical="center"/>
    </xf>
    <xf numFmtId="168" fontId="4" fillId="4" borderId="0" xfId="1" applyNumberFormat="1" applyFont="1" applyFill="1" applyBorder="1" applyAlignment="1">
      <alignment vertical="center"/>
    </xf>
    <xf numFmtId="166" fontId="7" fillId="3" borderId="0" xfId="2" applyNumberFormat="1" applyFont="1" applyFill="1" applyAlignment="1">
      <alignment vertical="center"/>
    </xf>
    <xf numFmtId="168" fontId="2" fillId="3" borderId="1" xfId="1" applyNumberFormat="1" applyFont="1" applyFill="1" applyBorder="1" applyAlignment="1">
      <alignment vertical="center"/>
    </xf>
    <xf numFmtId="168" fontId="2" fillId="3" borderId="0" xfId="1" applyNumberFormat="1" applyFont="1" applyFill="1" applyBorder="1" applyAlignment="1">
      <alignment vertical="center"/>
    </xf>
    <xf numFmtId="166" fontId="2" fillId="7" borderId="0" xfId="2" applyNumberFormat="1" applyFont="1" applyFill="1" applyAlignment="1">
      <alignment vertical="center"/>
    </xf>
    <xf numFmtId="166" fontId="2" fillId="6" borderId="0" xfId="2" applyNumberFormat="1" applyFont="1" applyFill="1" applyAlignment="1">
      <alignment vertical="center"/>
    </xf>
    <xf numFmtId="0" fontId="7" fillId="2" borderId="0" xfId="0" applyFont="1" applyFill="1" applyAlignment="1">
      <alignment vertical="center"/>
    </xf>
    <xf numFmtId="168" fontId="7" fillId="2" borderId="0" xfId="1" applyNumberFormat="1" applyFont="1" applyFill="1" applyAlignment="1">
      <alignment vertical="center"/>
    </xf>
    <xf numFmtId="168" fontId="7" fillId="2" borderId="1" xfId="0" applyNumberFormat="1" applyFont="1" applyFill="1" applyBorder="1" applyAlignment="1">
      <alignment vertical="center"/>
    </xf>
    <xf numFmtId="0" fontId="7" fillId="2" borderId="0" xfId="0" quotePrefix="1" applyFont="1" applyFill="1" applyAlignment="1">
      <alignment vertical="center"/>
    </xf>
    <xf numFmtId="168" fontId="7" fillId="2" borderId="0" xfId="1" applyNumberFormat="1" applyFont="1" applyFill="1" applyBorder="1" applyAlignment="1">
      <alignment vertical="center"/>
    </xf>
    <xf numFmtId="0" fontId="4" fillId="4" borderId="0" xfId="0" applyFont="1" applyFill="1" applyAlignment="1">
      <alignment vertical="center"/>
    </xf>
    <xf numFmtId="166" fontId="2" fillId="2" borderId="0" xfId="0" applyNumberFormat="1" applyFont="1" applyFill="1" applyAlignment="1">
      <alignment vertical="center"/>
    </xf>
    <xf numFmtId="171" fontId="2" fillId="3" borderId="0" xfId="1" applyNumberFormat="1" applyFont="1" applyFill="1" applyAlignment="1">
      <alignment vertical="center"/>
    </xf>
    <xf numFmtId="171" fontId="2" fillId="2" borderId="0" xfId="1" applyNumberFormat="1" applyFont="1" applyFill="1" applyAlignment="1">
      <alignment vertical="center"/>
    </xf>
    <xf numFmtId="171" fontId="2" fillId="2" borderId="0" xfId="0" applyNumberFormat="1" applyFont="1" applyFill="1" applyAlignment="1">
      <alignment vertical="center"/>
    </xf>
    <xf numFmtId="9" fontId="2" fillId="2" borderId="0" xfId="2" applyFont="1" applyFill="1" applyBorder="1" applyAlignment="1">
      <alignment vertical="center"/>
    </xf>
    <xf numFmtId="168" fontId="5" fillId="2" borderId="0" xfId="0" quotePrefix="1" applyNumberFormat="1" applyFont="1" applyFill="1" applyAlignment="1">
      <alignment vertical="center"/>
    </xf>
    <xf numFmtId="168" fontId="5" fillId="2" borderId="0" xfId="1" applyNumberFormat="1" applyFont="1" applyFill="1" applyBorder="1" applyAlignment="1">
      <alignment vertical="center"/>
    </xf>
    <xf numFmtId="168" fontId="5" fillId="2" borderId="0" xfId="0" applyNumberFormat="1" applyFont="1" applyFill="1" applyAlignment="1">
      <alignment vertical="center"/>
    </xf>
    <xf numFmtId="168" fontId="5" fillId="3" borderId="0" xfId="1" applyNumberFormat="1" applyFont="1" applyFill="1" applyBorder="1" applyAlignment="1">
      <alignment vertical="center"/>
    </xf>
    <xf numFmtId="0" fontId="5" fillId="2" borderId="1" xfId="0" applyFont="1" applyFill="1" applyBorder="1" applyAlignment="1">
      <alignment vertical="center"/>
    </xf>
    <xf numFmtId="168" fontId="5" fillId="2" borderId="0" xfId="1" applyNumberFormat="1" applyFont="1" applyFill="1" applyAlignment="1">
      <alignment vertical="center"/>
    </xf>
    <xf numFmtId="168" fontId="5" fillId="2" borderId="1" xfId="1" applyNumberFormat="1" applyFont="1" applyFill="1" applyBorder="1" applyAlignment="1">
      <alignment vertical="center"/>
    </xf>
    <xf numFmtId="168" fontId="4" fillId="8" borderId="1" xfId="0" applyNumberFormat="1" applyFont="1" applyFill="1" applyBorder="1" applyAlignment="1">
      <alignment vertical="center"/>
    </xf>
    <xf numFmtId="0" fontId="4" fillId="8" borderId="0" xfId="0" quotePrefix="1" applyFont="1" applyFill="1" applyAlignment="1">
      <alignment vertical="center"/>
    </xf>
    <xf numFmtId="168" fontId="5" fillId="3" borderId="0" xfId="1" applyNumberFormat="1" applyFont="1" applyFill="1" applyAlignment="1">
      <alignment vertical="center"/>
    </xf>
    <xf numFmtId="0" fontId="5" fillId="3" borderId="0" xfId="0" quotePrefix="1" applyFont="1" applyFill="1" applyAlignment="1">
      <alignment vertical="center"/>
    </xf>
    <xf numFmtId="168" fontId="7" fillId="3" borderId="0" xfId="1" applyNumberFormat="1" applyFont="1" applyFill="1" applyAlignment="1">
      <alignment vertical="center"/>
    </xf>
    <xf numFmtId="0" fontId="5" fillId="2" borderId="0" xfId="0" applyFont="1" applyFill="1" applyAlignment="1">
      <alignment horizontal="left" vertical="center" indent="1"/>
    </xf>
    <xf numFmtId="167" fontId="2" fillId="2" borderId="0" xfId="0" applyNumberFormat="1" applyFont="1" applyFill="1" applyAlignment="1">
      <alignment vertical="center"/>
    </xf>
    <xf numFmtId="9" fontId="2" fillId="2" borderId="0" xfId="0" applyNumberFormat="1" applyFont="1" applyFill="1" applyAlignment="1">
      <alignment vertical="center"/>
    </xf>
    <xf numFmtId="166" fontId="2" fillId="2" borderId="1" xfId="0" applyNumberFormat="1" applyFont="1" applyFill="1" applyBorder="1" applyAlignment="1">
      <alignment vertical="center"/>
    </xf>
    <xf numFmtId="9" fontId="4" fillId="8" borderId="0" xfId="2" applyFont="1" applyFill="1" applyAlignment="1">
      <alignment vertical="center"/>
    </xf>
    <xf numFmtId="168" fontId="4" fillId="8" borderId="0" xfId="0" applyNumberFormat="1" applyFont="1" applyFill="1" applyAlignment="1">
      <alignment vertical="center"/>
    </xf>
    <xf numFmtId="168" fontId="4" fillId="8" borderId="0" xfId="1" applyNumberFormat="1" applyFont="1" applyFill="1" applyBorder="1" applyAlignment="1">
      <alignment vertical="center"/>
    </xf>
    <xf numFmtId="168" fontId="4" fillId="6" borderId="0" xfId="0" quotePrefix="1" applyNumberFormat="1" applyFont="1" applyFill="1" applyAlignment="1">
      <alignment vertical="center"/>
    </xf>
    <xf numFmtId="168" fontId="4" fillId="6" borderId="0" xfId="1" applyNumberFormat="1" applyFont="1" applyFill="1" applyBorder="1" applyAlignment="1">
      <alignment vertical="center"/>
    </xf>
    <xf numFmtId="168" fontId="2" fillId="6" borderId="0" xfId="0" applyNumberFormat="1" applyFont="1" applyFill="1" applyAlignment="1">
      <alignment vertical="center"/>
    </xf>
    <xf numFmtId="168" fontId="2" fillId="8" borderId="0" xfId="0" applyNumberFormat="1" applyFont="1" applyFill="1" applyAlignment="1">
      <alignment vertical="center"/>
    </xf>
    <xf numFmtId="0" fontId="4" fillId="3" borderId="0" xfId="0" quotePrefix="1" applyFont="1" applyFill="1" applyAlignment="1">
      <alignment vertical="center"/>
    </xf>
    <xf numFmtId="9" fontId="7" fillId="2" borderId="0" xfId="2" applyFont="1" applyFill="1" applyAlignment="1">
      <alignment vertical="center"/>
    </xf>
    <xf numFmtId="0" fontId="2" fillId="4" borderId="0" xfId="0" applyFont="1" applyFill="1" applyAlignment="1">
      <alignment vertical="center"/>
    </xf>
    <xf numFmtId="0" fontId="4" fillId="4" borderId="0" xfId="0" quotePrefix="1" applyFont="1" applyFill="1" applyAlignment="1">
      <alignment vertical="center"/>
    </xf>
    <xf numFmtId="9" fontId="4" fillId="4" borderId="0" xfId="2" applyFont="1" applyFill="1" applyAlignment="1">
      <alignment vertical="center"/>
    </xf>
    <xf numFmtId="0" fontId="4" fillId="2" borderId="0" xfId="0" applyFont="1" applyFill="1" applyAlignment="1">
      <alignment horizontal="left" vertical="center" indent="1"/>
    </xf>
    <xf numFmtId="166" fontId="7" fillId="2" borderId="0" xfId="2" applyNumberFormat="1" applyFont="1" applyFill="1" applyAlignment="1">
      <alignment vertical="center"/>
    </xf>
    <xf numFmtId="168" fontId="2" fillId="6" borderId="0" xfId="1" applyNumberFormat="1" applyFont="1" applyFill="1" applyAlignment="1">
      <alignment vertical="center"/>
    </xf>
    <xf numFmtId="168" fontId="4" fillId="6" borderId="0" xfId="1" applyNumberFormat="1" applyFont="1" applyFill="1" applyAlignment="1">
      <alignment vertical="center"/>
    </xf>
    <xf numFmtId="168" fontId="4" fillId="5" borderId="0" xfId="0" quotePrefix="1" applyNumberFormat="1" applyFont="1" applyFill="1" applyAlignment="1">
      <alignment vertical="center"/>
    </xf>
    <xf numFmtId="0" fontId="4" fillId="5" borderId="0" xfId="0" quotePrefix="1" applyFont="1" applyFill="1" applyAlignment="1">
      <alignment vertical="center"/>
    </xf>
    <xf numFmtId="0" fontId="4" fillId="5" borderId="0" xfId="0" applyFont="1" applyFill="1" applyAlignment="1">
      <alignment vertical="center"/>
    </xf>
    <xf numFmtId="168" fontId="4" fillId="5" borderId="0" xfId="0" applyNumberFormat="1" applyFont="1" applyFill="1" applyAlignment="1">
      <alignment vertical="center"/>
    </xf>
    <xf numFmtId="168" fontId="4" fillId="8" borderId="1" xfId="1" applyNumberFormat="1" applyFont="1" applyFill="1" applyBorder="1" applyAlignment="1">
      <alignment vertical="center"/>
    </xf>
    <xf numFmtId="168" fontId="7" fillId="2" borderId="1" xfId="1" applyNumberFormat="1" applyFont="1" applyFill="1" applyBorder="1" applyAlignment="1">
      <alignment vertical="center"/>
    </xf>
    <xf numFmtId="0" fontId="4" fillId="2" borderId="1" xfId="0" applyFont="1" applyFill="1" applyBorder="1" applyAlignment="1">
      <alignment vertical="center"/>
    </xf>
    <xf numFmtId="168" fontId="2" fillId="4" borderId="0" xfId="0" applyNumberFormat="1" applyFont="1" applyFill="1" applyAlignment="1">
      <alignment vertical="center"/>
    </xf>
    <xf numFmtId="168" fontId="4" fillId="6" borderId="1" xfId="0" applyNumberFormat="1" applyFont="1" applyFill="1" applyBorder="1" applyAlignment="1">
      <alignment vertical="center"/>
    </xf>
    <xf numFmtId="168" fontId="4" fillId="6" borderId="1" xfId="1" applyNumberFormat="1" applyFont="1" applyFill="1" applyBorder="1" applyAlignment="1">
      <alignment vertical="center"/>
    </xf>
    <xf numFmtId="0" fontId="5" fillId="2" borderId="2" xfId="0" quotePrefix="1" applyFont="1" applyFill="1" applyBorder="1" applyAlignment="1">
      <alignment vertical="center"/>
    </xf>
    <xf numFmtId="0" fontId="4" fillId="8" borderId="0" xfId="0" quotePrefix="1" applyFont="1" applyFill="1" applyAlignment="1">
      <alignment horizontal="right" vertical="center"/>
    </xf>
    <xf numFmtId="168" fontId="2" fillId="8" borderId="0" xfId="1" applyNumberFormat="1" applyFont="1" applyFill="1" applyBorder="1" applyAlignment="1">
      <alignment vertical="center"/>
    </xf>
    <xf numFmtId="0" fontId="2" fillId="2" borderId="0" xfId="0" quotePrefix="1" applyFont="1" applyFill="1" applyAlignment="1">
      <alignment vertical="center"/>
    </xf>
    <xf numFmtId="168" fontId="2" fillId="3" borderId="0" xfId="0" applyNumberFormat="1" applyFont="1" applyFill="1" applyAlignment="1">
      <alignment vertical="center"/>
    </xf>
    <xf numFmtId="0" fontId="5" fillId="2" borderId="1" xfId="0" quotePrefix="1" applyFont="1" applyFill="1" applyBorder="1" applyAlignment="1">
      <alignment vertical="center"/>
    </xf>
    <xf numFmtId="168" fontId="7" fillId="2" borderId="0" xfId="0" quotePrefix="1" applyNumberFormat="1" applyFont="1" applyFill="1" applyAlignment="1">
      <alignment vertical="center"/>
    </xf>
    <xf numFmtId="0" fontId="5" fillId="4" borderId="0" xfId="0" quotePrefix="1" applyFont="1" applyFill="1" applyAlignment="1">
      <alignment vertical="center"/>
    </xf>
    <xf numFmtId="168" fontId="2" fillId="4" borderId="0" xfId="1" applyNumberFormat="1" applyFont="1" applyFill="1" applyBorder="1" applyAlignment="1">
      <alignment vertical="center"/>
    </xf>
    <xf numFmtId="168" fontId="4" fillId="5" borderId="0" xfId="1" applyNumberFormat="1" applyFont="1" applyFill="1" applyAlignment="1">
      <alignment vertical="center"/>
    </xf>
    <xf numFmtId="168" fontId="4" fillId="2" borderId="0" xfId="0" quotePrefix="1" applyNumberFormat="1" applyFont="1" applyFill="1" applyAlignment="1">
      <alignment horizontal="right" vertical="center"/>
    </xf>
    <xf numFmtId="168" fontId="2" fillId="7" borderId="0" xfId="1" applyNumberFormat="1" applyFont="1" applyFill="1" applyAlignment="1">
      <alignment vertical="center"/>
    </xf>
    <xf numFmtId="0" fontId="5" fillId="6" borderId="0" xfId="0" quotePrefix="1" applyFont="1" applyFill="1" applyAlignment="1">
      <alignment vertical="center"/>
    </xf>
    <xf numFmtId="166" fontId="4" fillId="8" borderId="0" xfId="2" applyNumberFormat="1" applyFont="1" applyFill="1" applyAlignment="1">
      <alignment vertical="center"/>
    </xf>
    <xf numFmtId="168" fontId="5" fillId="6" borderId="0" xfId="0" applyNumberFormat="1" applyFont="1" applyFill="1" applyAlignment="1">
      <alignment vertical="center"/>
    </xf>
    <xf numFmtId="9" fontId="5" fillId="6" borderId="0" xfId="2" applyFont="1" applyFill="1" applyAlignment="1">
      <alignment vertical="center"/>
    </xf>
    <xf numFmtId="168" fontId="5" fillId="6" borderId="0" xfId="1" applyNumberFormat="1" applyFont="1" applyFill="1" applyAlignment="1">
      <alignment vertical="center"/>
    </xf>
    <xf numFmtId="168" fontId="4" fillId="2" borderId="1" xfId="0" quotePrefix="1" applyNumberFormat="1" applyFont="1" applyFill="1" applyBorder="1" applyAlignment="1">
      <alignment horizontal="right" vertical="center"/>
    </xf>
    <xf numFmtId="0" fontId="5" fillId="2" borderId="0" xfId="0" quotePrefix="1" applyFont="1" applyFill="1" applyAlignment="1">
      <alignment horizontal="right" vertical="center"/>
    </xf>
    <xf numFmtId="168" fontId="2" fillId="5" borderId="0" xfId="1" applyNumberFormat="1" applyFont="1" applyFill="1" applyAlignment="1">
      <alignment vertical="center"/>
    </xf>
    <xf numFmtId="0" fontId="7" fillId="5" borderId="0" xfId="0" applyFont="1" applyFill="1" applyAlignment="1">
      <alignment vertical="center"/>
    </xf>
    <xf numFmtId="0" fontId="7" fillId="5" borderId="0" xfId="0" quotePrefix="1" applyFont="1" applyFill="1" applyAlignment="1">
      <alignment horizontal="right" vertical="center"/>
    </xf>
    <xf numFmtId="0" fontId="4" fillId="6" borderId="0" xfId="0" applyFont="1" applyFill="1" applyAlignment="1">
      <alignment vertical="center"/>
    </xf>
    <xf numFmtId="0" fontId="4" fillId="6" borderId="0" xfId="0" quotePrefix="1" applyFont="1" applyFill="1" applyAlignment="1">
      <alignment horizontal="right" vertical="center"/>
    </xf>
    <xf numFmtId="168" fontId="7" fillId="3" borderId="1" xfId="1" applyNumberFormat="1" applyFont="1" applyFill="1" applyBorder="1" applyAlignment="1">
      <alignment vertical="center"/>
    </xf>
    <xf numFmtId="168" fontId="4" fillId="2" borderId="0" xfId="1" applyNumberFormat="1" applyFont="1" applyFill="1" applyBorder="1" applyAlignment="1">
      <alignment vertical="center"/>
    </xf>
    <xf numFmtId="0" fontId="4" fillId="2" borderId="0" xfId="0" quotePrefix="1" applyFont="1" applyFill="1" applyAlignment="1">
      <alignment horizontal="right" vertical="center"/>
    </xf>
    <xf numFmtId="168" fontId="4" fillId="7" borderId="0" xfId="1" applyNumberFormat="1" applyFont="1" applyFill="1" applyAlignment="1">
      <alignment vertical="center"/>
    </xf>
    <xf numFmtId="0" fontId="4" fillId="7" borderId="0" xfId="0" quotePrefix="1" applyFont="1" applyFill="1" applyAlignment="1">
      <alignment vertical="center"/>
    </xf>
    <xf numFmtId="168" fontId="7" fillId="3" borderId="1" xfId="0" applyNumberFormat="1" applyFont="1" applyFill="1" applyBorder="1" applyAlignment="1">
      <alignment vertical="center"/>
    </xf>
    <xf numFmtId="168" fontId="4" fillId="7" borderId="1" xfId="0" applyNumberFormat="1" applyFont="1" applyFill="1" applyBorder="1" applyAlignment="1">
      <alignment vertical="center"/>
    </xf>
    <xf numFmtId="0" fontId="4" fillId="7" borderId="0" xfId="0" applyFont="1" applyFill="1" applyAlignment="1">
      <alignment vertical="center"/>
    </xf>
    <xf numFmtId="0" fontId="4" fillId="7" borderId="0" xfId="0" quotePrefix="1" applyFont="1" applyFill="1" applyAlignment="1">
      <alignment horizontal="right" vertical="center"/>
    </xf>
    <xf numFmtId="0" fontId="7" fillId="2" borderId="0" xfId="0" applyFont="1" applyFill="1" applyAlignment="1">
      <alignment horizontal="left" vertical="center" indent="1"/>
    </xf>
    <xf numFmtId="0" fontId="4" fillId="5" borderId="0" xfId="0" quotePrefix="1" applyFont="1" applyFill="1" applyAlignment="1">
      <alignment horizontal="right" vertical="center"/>
    </xf>
    <xf numFmtId="170" fontId="2" fillId="2" borderId="0" xfId="0" applyNumberFormat="1" applyFont="1" applyFill="1" applyAlignment="1">
      <alignment vertical="center"/>
    </xf>
    <xf numFmtId="0" fontId="5" fillId="4" borderId="0" xfId="0" applyFont="1" applyFill="1" applyAlignment="1">
      <alignment vertical="center"/>
    </xf>
    <xf numFmtId="10" fontId="4" fillId="8" borderId="0" xfId="2" applyNumberFormat="1" applyFont="1" applyFill="1" applyAlignment="1">
      <alignment vertical="center"/>
    </xf>
    <xf numFmtId="168" fontId="4" fillId="7" borderId="0" xfId="0" applyNumberFormat="1" applyFont="1" applyFill="1" applyAlignment="1">
      <alignment vertical="center"/>
    </xf>
    <xf numFmtId="0" fontId="5" fillId="6" borderId="0" xfId="0" applyFont="1" applyFill="1" applyAlignment="1">
      <alignment vertical="center"/>
    </xf>
    <xf numFmtId="0" fontId="5" fillId="5" borderId="0" xfId="0" quotePrefix="1" applyFont="1" applyFill="1" applyAlignment="1">
      <alignment vertical="center"/>
    </xf>
    <xf numFmtId="168" fontId="8" fillId="2" borderId="1" xfId="0" applyNumberFormat="1" applyFont="1" applyFill="1" applyBorder="1" applyAlignment="1">
      <alignment vertical="center"/>
    </xf>
    <xf numFmtId="0" fontId="8" fillId="2" borderId="1" xfId="0" applyFont="1" applyFill="1" applyBorder="1" applyAlignment="1">
      <alignment vertical="center"/>
    </xf>
    <xf numFmtId="168" fontId="5" fillId="7" borderId="0" xfId="1" applyNumberFormat="1" applyFont="1" applyFill="1" applyAlignment="1">
      <alignment vertical="center"/>
    </xf>
    <xf numFmtId="168" fontId="5" fillId="7" borderId="0" xfId="0" applyNumberFormat="1" applyFont="1" applyFill="1" applyAlignment="1">
      <alignment vertical="center"/>
    </xf>
    <xf numFmtId="168" fontId="7" fillId="2" borderId="1" xfId="0" quotePrefix="1" applyNumberFormat="1" applyFont="1" applyFill="1" applyBorder="1" applyAlignment="1">
      <alignment vertical="center"/>
    </xf>
    <xf numFmtId="0" fontId="3" fillId="9" borderId="0" xfId="0" applyFont="1" applyFill="1" applyAlignment="1">
      <alignment vertical="center"/>
    </xf>
    <xf numFmtId="0" fontId="2" fillId="9" borderId="0" xfId="0" applyFont="1" applyFill="1" applyAlignment="1">
      <alignment vertical="center"/>
    </xf>
    <xf numFmtId="168" fontId="2" fillId="9" borderId="0" xfId="1" applyNumberFormat="1" applyFont="1" applyFill="1" applyAlignment="1">
      <alignment vertical="center"/>
    </xf>
    <xf numFmtId="168" fontId="8" fillId="5" borderId="0" xfId="0" applyNumberFormat="1" applyFont="1" applyFill="1" applyAlignment="1">
      <alignment vertical="center"/>
    </xf>
    <xf numFmtId="168" fontId="5" fillId="2" borderId="0" xfId="0" quotePrefix="1" applyNumberFormat="1" applyFont="1" applyFill="1" applyAlignment="1">
      <alignment horizontal="right" vertical="center"/>
    </xf>
    <xf numFmtId="0" fontId="7" fillId="8" borderId="0" xfId="0" applyFont="1" applyFill="1" applyAlignment="1">
      <alignment vertical="center"/>
    </xf>
    <xf numFmtId="168" fontId="4" fillId="6" borderId="0" xfId="1" quotePrefix="1" applyNumberFormat="1" applyFont="1" applyFill="1" applyBorder="1" applyAlignment="1">
      <alignment vertical="center"/>
    </xf>
    <xf numFmtId="168" fontId="2" fillId="6" borderId="0" xfId="1" applyNumberFormat="1" applyFont="1" applyFill="1" applyBorder="1" applyAlignment="1">
      <alignment vertical="center"/>
    </xf>
    <xf numFmtId="166" fontId="5" fillId="2" borderId="1" xfId="2" applyNumberFormat="1" applyFont="1" applyFill="1" applyBorder="1" applyAlignment="1">
      <alignment vertical="center"/>
    </xf>
    <xf numFmtId="166" fontId="5" fillId="4" borderId="1" xfId="2" applyNumberFormat="1" applyFont="1" applyFill="1" applyBorder="1" applyAlignment="1">
      <alignment vertical="center"/>
    </xf>
    <xf numFmtId="166" fontId="5" fillId="3" borderId="1" xfId="2" applyNumberFormat="1" applyFont="1" applyFill="1" applyBorder="1" applyAlignment="1">
      <alignment vertical="center"/>
    </xf>
    <xf numFmtId="0" fontId="14" fillId="2" borderId="0" xfId="0" applyFont="1" applyFill="1" applyAlignment="1">
      <alignment vertical="center"/>
    </xf>
    <xf numFmtId="168" fontId="8" fillId="2" borderId="0" xfId="1" applyNumberFormat="1" applyFont="1" applyFill="1" applyBorder="1" applyAlignment="1">
      <alignment vertical="center"/>
    </xf>
    <xf numFmtId="0" fontId="8" fillId="8" borderId="0" xfId="0" quotePrefix="1" applyFont="1" applyFill="1" applyAlignment="1">
      <alignment vertical="center"/>
    </xf>
    <xf numFmtId="0" fontId="8" fillId="8" borderId="0" xfId="0" applyFont="1" applyFill="1" applyAlignment="1">
      <alignment vertical="center"/>
    </xf>
    <xf numFmtId="168" fontId="8" fillId="3" borderId="0" xfId="1" applyNumberFormat="1" applyFont="1" applyFill="1" applyBorder="1" applyAlignment="1">
      <alignment vertical="center"/>
    </xf>
    <xf numFmtId="168" fontId="8" fillId="2" borderId="1" xfId="1" applyNumberFormat="1" applyFont="1" applyFill="1" applyBorder="1" applyAlignment="1">
      <alignment vertical="center"/>
    </xf>
    <xf numFmtId="166" fontId="8" fillId="2" borderId="0" xfId="2" applyNumberFormat="1" applyFont="1" applyFill="1" applyBorder="1" applyAlignment="1">
      <alignment vertical="center"/>
    </xf>
    <xf numFmtId="168" fontId="8" fillId="2" borderId="0" xfId="1" quotePrefix="1" applyNumberFormat="1" applyFont="1" applyFill="1" applyBorder="1" applyAlignment="1">
      <alignment vertical="center"/>
    </xf>
    <xf numFmtId="171" fontId="8" fillId="3" borderId="0" xfId="1" applyNumberFormat="1" applyFont="1" applyFill="1" applyBorder="1" applyAlignment="1">
      <alignment vertical="center"/>
    </xf>
    <xf numFmtId="167" fontId="8" fillId="2" borderId="0" xfId="0" applyNumberFormat="1" applyFont="1" applyFill="1" applyAlignment="1">
      <alignment vertical="center"/>
    </xf>
    <xf numFmtId="171" fontId="8" fillId="2" borderId="0" xfId="1" applyNumberFormat="1" applyFont="1" applyFill="1" applyBorder="1" applyAlignment="1">
      <alignment vertical="center"/>
    </xf>
    <xf numFmtId="9" fontId="8" fillId="2" borderId="0" xfId="2" applyFont="1" applyFill="1" applyBorder="1" applyAlignment="1">
      <alignment vertical="center"/>
    </xf>
    <xf numFmtId="168" fontId="4" fillId="2" borderId="0" xfId="0" applyNumberFormat="1" applyFont="1" applyFill="1" applyAlignment="1">
      <alignment vertical="center"/>
    </xf>
    <xf numFmtId="171" fontId="8" fillId="3" borderId="0" xfId="1" applyNumberFormat="1" applyFont="1" applyFill="1" applyAlignment="1">
      <alignment vertical="center"/>
    </xf>
    <xf numFmtId="171" fontId="8" fillId="4" borderId="0" xfId="1" applyNumberFormat="1" applyFont="1" applyFill="1" applyAlignment="1">
      <alignment vertical="center"/>
    </xf>
    <xf numFmtId="171" fontId="8" fillId="2" borderId="0" xfId="1" applyNumberFormat="1" applyFont="1" applyFill="1" applyAlignment="1">
      <alignment vertical="center"/>
    </xf>
    <xf numFmtId="171" fontId="8" fillId="8" borderId="0" xfId="1" applyNumberFormat="1" applyFont="1" applyFill="1" applyAlignment="1">
      <alignment vertical="center"/>
    </xf>
    <xf numFmtId="171" fontId="8" fillId="2" borderId="0" xfId="0" applyNumberFormat="1" applyFont="1" applyFill="1" applyAlignment="1">
      <alignment vertical="center"/>
    </xf>
    <xf numFmtId="0" fontId="8" fillId="4" borderId="0" xfId="0" quotePrefix="1" applyFont="1" applyFill="1" applyAlignment="1">
      <alignment horizontal="right" vertical="center"/>
    </xf>
    <xf numFmtId="166" fontId="8" fillId="2" borderId="0" xfId="2" applyNumberFormat="1" applyFont="1" applyFill="1" applyAlignment="1">
      <alignment vertical="center"/>
    </xf>
    <xf numFmtId="166" fontId="4" fillId="4" borderId="0" xfId="2" applyNumberFormat="1" applyFont="1" applyFill="1" applyAlignment="1">
      <alignment vertical="center"/>
    </xf>
    <xf numFmtId="168" fontId="7" fillId="3" borderId="0" xfId="0" applyNumberFormat="1" applyFont="1" applyFill="1" applyAlignment="1">
      <alignment vertical="center"/>
    </xf>
    <xf numFmtId="168" fontId="4" fillId="9" borderId="0" xfId="1" applyNumberFormat="1" applyFont="1" applyFill="1" applyBorder="1" applyAlignment="1">
      <alignment vertical="center"/>
    </xf>
    <xf numFmtId="0" fontId="4" fillId="9" borderId="0" xfId="0" quotePrefix="1" applyFont="1" applyFill="1" applyAlignment="1">
      <alignment vertical="center"/>
    </xf>
    <xf numFmtId="171" fontId="8" fillId="4" borderId="0" xfId="0" applyNumberFormat="1" applyFont="1" applyFill="1" applyAlignment="1">
      <alignment vertical="center"/>
    </xf>
    <xf numFmtId="168" fontId="4" fillId="7" borderId="0" xfId="1" applyNumberFormat="1" applyFont="1" applyFill="1" applyBorder="1" applyAlignment="1">
      <alignment vertical="center"/>
    </xf>
    <xf numFmtId="9" fontId="7" fillId="2" borderId="0" xfId="2" applyFont="1" applyFill="1" applyBorder="1" applyAlignment="1">
      <alignment vertical="center"/>
    </xf>
    <xf numFmtId="9" fontId="4" fillId="8" borderId="0" xfId="2" applyFont="1" applyFill="1" applyBorder="1" applyAlignment="1">
      <alignment vertical="center"/>
    </xf>
    <xf numFmtId="0" fontId="3" fillId="8" borderId="0" xfId="0" applyFont="1" applyFill="1" applyAlignment="1">
      <alignment vertical="center"/>
    </xf>
    <xf numFmtId="0" fontId="2" fillId="5" borderId="0" xfId="0" quotePrefix="1" applyFont="1" applyFill="1" applyAlignment="1">
      <alignment vertical="center"/>
    </xf>
    <xf numFmtId="0" fontId="6" fillId="2" borderId="0" xfId="0" applyFont="1" applyFill="1" applyAlignment="1">
      <alignment vertical="center"/>
    </xf>
    <xf numFmtId="172" fontId="2" fillId="2" borderId="0" xfId="0" applyNumberFormat="1" applyFont="1" applyFill="1" applyAlignment="1">
      <alignment vertical="center"/>
    </xf>
    <xf numFmtId="2" fontId="6" fillId="4" borderId="0" xfId="0" applyNumberFormat="1" applyFont="1" applyFill="1" applyAlignment="1">
      <alignment vertical="center"/>
    </xf>
    <xf numFmtId="0" fontId="2" fillId="2" borderId="0" xfId="0" quotePrefix="1" applyFont="1" applyFill="1" applyAlignment="1">
      <alignment horizontal="left" vertical="center" indent="1"/>
    </xf>
    <xf numFmtId="2" fontId="2" fillId="5" borderId="0" xfId="0" applyNumberFormat="1" applyFont="1" applyFill="1" applyAlignment="1">
      <alignment vertical="center"/>
    </xf>
    <xf numFmtId="2" fontId="7" fillId="2" borderId="0" xfId="0" applyNumberFormat="1" applyFont="1" applyFill="1" applyAlignment="1">
      <alignment vertical="center"/>
    </xf>
    <xf numFmtId="0" fontId="2" fillId="9" borderId="0" xfId="0" applyFont="1" applyFill="1" applyAlignment="1">
      <alignment horizontal="left" vertical="center" indent="1"/>
    </xf>
    <xf numFmtId="168" fontId="7" fillId="9" borderId="0" xfId="1" applyNumberFormat="1" applyFont="1" applyFill="1" applyAlignment="1">
      <alignment vertical="center"/>
    </xf>
    <xf numFmtId="0" fontId="6" fillId="5" borderId="0" xfId="0" applyFont="1" applyFill="1" applyAlignment="1">
      <alignment vertical="center"/>
    </xf>
    <xf numFmtId="168" fontId="6" fillId="4" borderId="0" xfId="1" applyNumberFormat="1" applyFont="1" applyFill="1" applyAlignment="1">
      <alignment vertical="center"/>
    </xf>
    <xf numFmtId="0" fontId="2" fillId="2" borderId="0" xfId="0" applyFont="1" applyFill="1"/>
    <xf numFmtId="0" fontId="2" fillId="3" borderId="0" xfId="0" applyFont="1" applyFill="1"/>
    <xf numFmtId="14" fontId="15" fillId="2" borderId="0" xfId="0" applyNumberFormat="1" applyFont="1" applyFill="1" applyAlignment="1">
      <alignment horizontal="center"/>
    </xf>
    <xf numFmtId="165" fontId="15" fillId="2" borderId="0" xfId="1" applyNumberFormat="1" applyFont="1" applyFill="1"/>
    <xf numFmtId="0" fontId="2" fillId="2" borderId="0" xfId="0" applyFont="1" applyFill="1" applyAlignment="1">
      <alignment horizontal="center"/>
    </xf>
    <xf numFmtId="2" fontId="2" fillId="2" borderId="0" xfId="0" applyNumberFormat="1" applyFont="1" applyFill="1"/>
    <xf numFmtId="0" fontId="2" fillId="5" borderId="0" xfId="0" applyFont="1" applyFill="1"/>
    <xf numFmtId="0" fontId="2" fillId="2" borderId="0" xfId="0" applyFont="1" applyFill="1" applyAlignment="1">
      <alignment horizontal="left"/>
    </xf>
    <xf numFmtId="167" fontId="2" fillId="5" borderId="0" xfId="0" applyNumberFormat="1" applyFont="1" applyFill="1"/>
    <xf numFmtId="0" fontId="2" fillId="5" borderId="0" xfId="0" applyFont="1" applyFill="1" applyAlignment="1">
      <alignment horizontal="center" vertical="center" wrapText="1"/>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2" fillId="6" borderId="0" xfId="0" applyFont="1" applyFill="1" applyAlignment="1">
      <alignment horizontal="center" vertical="center"/>
    </xf>
    <xf numFmtId="0" fontId="2" fillId="6" borderId="0" xfId="0" applyFont="1" applyFill="1" applyAlignment="1">
      <alignment horizontal="center" vertical="center" wrapText="1"/>
    </xf>
    <xf numFmtId="167" fontId="2" fillId="6" borderId="0" xfId="0" applyNumberFormat="1" applyFont="1" applyFill="1"/>
    <xf numFmtId="0" fontId="2" fillId="7" borderId="0" xfId="0" applyFont="1" applyFill="1" applyAlignment="1">
      <alignment horizontal="center" vertical="center"/>
    </xf>
    <xf numFmtId="0" fontId="2" fillId="7" borderId="0" xfId="0" applyFont="1" applyFill="1" applyAlignment="1">
      <alignment horizontal="center" vertical="center" wrapText="1"/>
    </xf>
    <xf numFmtId="167" fontId="2" fillId="7" borderId="0" xfId="0" applyNumberFormat="1" applyFont="1" applyFill="1"/>
    <xf numFmtId="0" fontId="2" fillId="7" borderId="0" xfId="0" applyFont="1" applyFill="1" applyAlignment="1">
      <alignment horizontal="center"/>
    </xf>
    <xf numFmtId="2" fontId="2" fillId="7" borderId="0" xfId="0" applyNumberFormat="1" applyFont="1" applyFill="1"/>
    <xf numFmtId="0" fontId="2" fillId="7" borderId="0" xfId="0" applyFont="1" applyFill="1"/>
    <xf numFmtId="0" fontId="2" fillId="6" borderId="0" xfId="0" applyFont="1" applyFill="1" applyAlignment="1">
      <alignment horizontal="center"/>
    </xf>
    <xf numFmtId="2" fontId="2" fillId="6" borderId="0" xfId="0" applyNumberFormat="1" applyFont="1" applyFill="1"/>
    <xf numFmtId="0" fontId="2" fillId="6" borderId="0" xfId="0" applyFont="1" applyFill="1"/>
    <xf numFmtId="2" fontId="2" fillId="3" borderId="0" xfId="0" applyNumberFormat="1" applyFont="1" applyFill="1" applyAlignment="1">
      <alignment vertical="center"/>
    </xf>
    <xf numFmtId="2" fontId="2" fillId="6" borderId="0" xfId="0" applyNumberFormat="1" applyFont="1" applyFill="1" applyAlignment="1">
      <alignment vertical="center"/>
    </xf>
    <xf numFmtId="166" fontId="2" fillId="9" borderId="0" xfId="2" applyNumberFormat="1" applyFont="1" applyFill="1" applyAlignment="1">
      <alignment vertical="center"/>
    </xf>
    <xf numFmtId="173" fontId="2" fillId="2" borderId="0" xfId="0" applyNumberFormat="1" applyFont="1" applyFill="1" applyAlignment="1">
      <alignment vertical="center"/>
    </xf>
    <xf numFmtId="2" fontId="2" fillId="2" borderId="0" xfId="1" applyNumberFormat="1" applyFont="1" applyFill="1" applyAlignment="1">
      <alignment vertical="center"/>
    </xf>
    <xf numFmtId="0" fontId="8" fillId="3" borderId="0" xfId="0" applyFont="1" applyFill="1" applyAlignment="1">
      <alignment vertical="center"/>
    </xf>
    <xf numFmtId="0" fontId="8" fillId="2" borderId="0" xfId="0" applyFont="1" applyFill="1" applyAlignment="1">
      <alignment horizontal="center" vertical="center" wrapText="1"/>
    </xf>
    <xf numFmtId="9" fontId="8" fillId="2" borderId="0" xfId="2" applyFont="1" applyFill="1" applyAlignment="1">
      <alignment vertical="center"/>
    </xf>
    <xf numFmtId="9" fontId="6" fillId="4" borderId="0" xfId="2" applyFont="1" applyFill="1" applyAlignment="1">
      <alignment vertical="center"/>
    </xf>
    <xf numFmtId="0" fontId="6" fillId="2" borderId="0" xfId="0" quotePrefix="1" applyFont="1" applyFill="1" applyAlignment="1">
      <alignment vertical="center"/>
    </xf>
    <xf numFmtId="0" fontId="6" fillId="2" borderId="0" xfId="0" quotePrefix="1" applyFont="1" applyFill="1" applyAlignment="1">
      <alignment horizontal="right" vertical="center"/>
    </xf>
    <xf numFmtId="14" fontId="2" fillId="2" borderId="0" xfId="0" applyNumberFormat="1" applyFont="1" applyFill="1"/>
    <xf numFmtId="0" fontId="2" fillId="5" borderId="0" xfId="0" applyFont="1" applyFill="1" applyAlignment="1">
      <alignment horizontal="center" wrapText="1"/>
    </xf>
    <xf numFmtId="9" fontId="2" fillId="5" borderId="0" xfId="2" applyFont="1" applyFill="1"/>
    <xf numFmtId="164" fontId="2" fillId="3" borderId="0" xfId="1" applyNumberFormat="1" applyFont="1" applyFill="1" applyAlignment="1">
      <alignment vertical="center"/>
    </xf>
    <xf numFmtId="10" fontId="2" fillId="2" borderId="0" xfId="2" applyNumberFormat="1" applyFont="1" applyFill="1" applyAlignment="1">
      <alignment vertical="center"/>
    </xf>
    <xf numFmtId="164" fontId="2" fillId="2" borderId="0" xfId="0" applyNumberFormat="1" applyFont="1" applyFill="1" applyAlignment="1">
      <alignment vertical="center"/>
    </xf>
    <xf numFmtId="165" fontId="2" fillId="3" borderId="1" xfId="1" applyNumberFormat="1" applyFont="1" applyFill="1" applyBorder="1" applyAlignment="1">
      <alignment vertical="center"/>
    </xf>
    <xf numFmtId="165" fontId="2" fillId="2" borderId="1" xfId="1" applyNumberFormat="1" applyFont="1" applyFill="1" applyBorder="1" applyAlignment="1">
      <alignment vertical="center"/>
    </xf>
    <xf numFmtId="165" fontId="2" fillId="3" borderId="0" xfId="1" applyNumberFormat="1" applyFont="1" applyFill="1" applyBorder="1" applyAlignment="1">
      <alignment vertical="center"/>
    </xf>
    <xf numFmtId="166" fontId="2" fillId="2" borderId="0" xfId="2" applyNumberFormat="1" applyFont="1" applyFill="1" applyBorder="1" applyAlignment="1">
      <alignment vertical="center"/>
    </xf>
    <xf numFmtId="164" fontId="2" fillId="3" borderId="0" xfId="1" applyNumberFormat="1" applyFont="1" applyFill="1" applyBorder="1" applyAlignment="1">
      <alignment vertical="center"/>
    </xf>
    <xf numFmtId="164" fontId="2" fillId="2" borderId="1" xfId="1" applyNumberFormat="1" applyFont="1" applyFill="1" applyBorder="1" applyAlignment="1">
      <alignment vertical="center"/>
    </xf>
    <xf numFmtId="164" fontId="2" fillId="3" borderId="1" xfId="1" applyNumberFormat="1" applyFont="1" applyFill="1" applyBorder="1" applyAlignment="1">
      <alignment vertical="center"/>
    </xf>
    <xf numFmtId="165" fontId="2" fillId="3" borderId="1" xfId="0" applyNumberFormat="1" applyFont="1" applyFill="1" applyBorder="1" applyAlignment="1">
      <alignment vertical="center"/>
    </xf>
    <xf numFmtId="165" fontId="4" fillId="8" borderId="1" xfId="0" applyNumberFormat="1" applyFont="1" applyFill="1" applyBorder="1" applyAlignment="1">
      <alignment vertical="center"/>
    </xf>
    <xf numFmtId="164" fontId="2" fillId="2" borderId="0" xfId="1" applyNumberFormat="1" applyFont="1" applyFill="1" applyBorder="1" applyAlignment="1">
      <alignment vertical="center"/>
    </xf>
    <xf numFmtId="165" fontId="2" fillId="8" borderId="0" xfId="0" applyNumberFormat="1" applyFont="1" applyFill="1" applyAlignment="1">
      <alignment vertical="center"/>
    </xf>
    <xf numFmtId="165" fontId="4" fillId="8" borderId="0" xfId="0" applyNumberFormat="1" applyFont="1" applyFill="1" applyAlignment="1">
      <alignment vertical="center"/>
    </xf>
    <xf numFmtId="168" fontId="8" fillId="5" borderId="0" xfId="1" applyNumberFormat="1" applyFont="1" applyFill="1" applyAlignment="1">
      <alignment vertical="center"/>
    </xf>
    <xf numFmtId="168" fontId="8" fillId="2" borderId="0" xfId="1" applyNumberFormat="1" applyFont="1" applyFill="1" applyAlignment="1">
      <alignment vertical="center"/>
    </xf>
    <xf numFmtId="2" fontId="8" fillId="5" borderId="0" xfId="0" applyNumberFormat="1" applyFont="1" applyFill="1" applyAlignment="1">
      <alignment vertical="center"/>
    </xf>
    <xf numFmtId="2" fontId="8" fillId="4" borderId="0" xfId="0" applyNumberFormat="1" applyFont="1" applyFill="1" applyAlignment="1">
      <alignment vertical="center"/>
    </xf>
    <xf numFmtId="168" fontId="8" fillId="4" borderId="0" xfId="1" applyNumberFormat="1" applyFont="1" applyFill="1" applyAlignment="1">
      <alignment vertical="center"/>
    </xf>
    <xf numFmtId="2" fontId="8" fillId="2" borderId="0" xfId="0" applyNumberFormat="1" applyFont="1" applyFill="1" applyAlignment="1">
      <alignment vertical="center"/>
    </xf>
    <xf numFmtId="0" fontId="2" fillId="2" borderId="1" xfId="0" applyFont="1" applyFill="1" applyBorder="1" applyAlignment="1">
      <alignment horizontal="left" vertical="center"/>
    </xf>
    <xf numFmtId="168" fontId="7" fillId="5" borderId="1" xfId="1" applyNumberFormat="1" applyFont="1" applyFill="1" applyBorder="1" applyAlignment="1">
      <alignment vertical="center"/>
    </xf>
    <xf numFmtId="168" fontId="8" fillId="8" borderId="0" xfId="1" applyNumberFormat="1" applyFont="1" applyFill="1" applyAlignment="1">
      <alignment vertical="center"/>
    </xf>
    <xf numFmtId="0" fontId="16" fillId="2" borderId="0" xfId="0" applyFont="1" applyFill="1" applyAlignment="1">
      <alignment vertical="center"/>
    </xf>
    <xf numFmtId="0" fontId="16" fillId="2" borderId="0" xfId="0" quotePrefix="1" applyFont="1" applyFill="1" applyAlignment="1">
      <alignment vertical="center"/>
    </xf>
    <xf numFmtId="168" fontId="16" fillId="2" borderId="0" xfId="0" applyNumberFormat="1" applyFont="1" applyFill="1" applyAlignment="1">
      <alignment vertical="center"/>
    </xf>
    <xf numFmtId="170" fontId="16" fillId="2" borderId="0" xfId="0" applyNumberFormat="1" applyFont="1" applyFill="1" applyAlignment="1">
      <alignment vertical="center"/>
    </xf>
    <xf numFmtId="166" fontId="4" fillId="7" borderId="0" xfId="2" applyNumberFormat="1" applyFont="1" applyFill="1" applyAlignment="1">
      <alignment vertical="center"/>
    </xf>
    <xf numFmtId="2" fontId="4" fillId="4" borderId="0" xfId="0" applyNumberFormat="1" applyFont="1" applyFill="1" applyAlignment="1">
      <alignment vertical="center"/>
    </xf>
    <xf numFmtId="0" fontId="6" fillId="2" borderId="2" xfId="0" applyFont="1" applyFill="1" applyBorder="1" applyAlignment="1">
      <alignment horizontal="center" vertical="center"/>
    </xf>
    <xf numFmtId="167" fontId="2" fillId="3" borderId="1" xfId="0" applyNumberFormat="1" applyFont="1" applyFill="1" applyBorder="1" applyAlignment="1">
      <alignment vertical="center"/>
    </xf>
    <xf numFmtId="167" fontId="2" fillId="3" borderId="0" xfId="0" applyNumberFormat="1" applyFont="1" applyFill="1" applyAlignment="1">
      <alignment vertical="center"/>
    </xf>
    <xf numFmtId="167" fontId="2" fillId="2" borderId="1" xfId="0" applyNumberFormat="1" applyFont="1" applyFill="1" applyBorder="1" applyAlignment="1">
      <alignment vertical="center"/>
    </xf>
    <xf numFmtId="167" fontId="6" fillId="4" borderId="0" xfId="0" applyNumberFormat="1" applyFont="1" applyFill="1" applyAlignment="1">
      <alignment vertical="center"/>
    </xf>
    <xf numFmtId="167" fontId="6" fillId="4" borderId="1" xfId="0" applyNumberFormat="1" applyFont="1" applyFill="1" applyBorder="1" applyAlignment="1">
      <alignment vertical="center"/>
    </xf>
    <xf numFmtId="166" fontId="6" fillId="4" borderId="0" xfId="2" applyNumberFormat="1" applyFont="1" applyFill="1" applyAlignment="1">
      <alignment vertical="center"/>
    </xf>
    <xf numFmtId="167" fontId="7" fillId="2" borderId="1" xfId="0" applyNumberFormat="1" applyFont="1" applyFill="1" applyBorder="1" applyAlignment="1">
      <alignment vertical="center"/>
    </xf>
    <xf numFmtId="174" fontId="6" fillId="4" borderId="0" xfId="0" applyNumberFormat="1" applyFont="1" applyFill="1" applyAlignment="1">
      <alignment vertical="center"/>
    </xf>
    <xf numFmtId="170" fontId="6" fillId="4" borderId="0" xfId="0" applyNumberFormat="1" applyFont="1" applyFill="1" applyAlignment="1">
      <alignment vertical="center"/>
    </xf>
    <xf numFmtId="170" fontId="7" fillId="2" borderId="0" xfId="0" applyNumberFormat="1" applyFont="1" applyFill="1" applyAlignment="1">
      <alignment vertical="center"/>
    </xf>
    <xf numFmtId="167" fontId="7" fillId="2" borderId="0" xfId="0" applyNumberFormat="1" applyFont="1" applyFill="1" applyAlignment="1">
      <alignment vertical="center"/>
    </xf>
    <xf numFmtId="167" fontId="2" fillId="7" borderId="0" xfId="0" applyNumberFormat="1" applyFont="1" applyFill="1" applyAlignment="1">
      <alignment vertical="center"/>
    </xf>
    <xf numFmtId="167" fontId="2" fillId="7" borderId="1" xfId="0" applyNumberFormat="1" applyFont="1" applyFill="1" applyBorder="1" applyAlignment="1">
      <alignment vertical="center"/>
    </xf>
    <xf numFmtId="0" fontId="6" fillId="7" borderId="0" xfId="0" quotePrefix="1" applyFont="1" applyFill="1" applyAlignment="1">
      <alignment horizontal="right" vertical="center"/>
    </xf>
    <xf numFmtId="0" fontId="2" fillId="6" borderId="0" xfId="0" applyFont="1" applyFill="1" applyAlignment="1">
      <alignment horizontal="left" vertical="center" indent="1"/>
    </xf>
    <xf numFmtId="167" fontId="2" fillId="6" borderId="0" xfId="0" applyNumberFormat="1" applyFont="1" applyFill="1" applyAlignment="1">
      <alignment vertical="center"/>
    </xf>
    <xf numFmtId="0" fontId="7" fillId="2" borderId="1" xfId="0" applyFont="1" applyFill="1" applyBorder="1" applyAlignment="1">
      <alignment vertical="center"/>
    </xf>
    <xf numFmtId="166" fontId="7" fillId="2" borderId="1" xfId="2" applyNumberFormat="1" applyFont="1" applyFill="1" applyBorder="1" applyAlignment="1">
      <alignment vertical="center"/>
    </xf>
    <xf numFmtId="0" fontId="7" fillId="6" borderId="0" xfId="0" applyFont="1" applyFill="1" applyAlignment="1">
      <alignment vertical="center"/>
    </xf>
    <xf numFmtId="167" fontId="7" fillId="6" borderId="0" xfId="0" applyNumberFormat="1" applyFont="1" applyFill="1" applyAlignment="1">
      <alignment vertical="center"/>
    </xf>
    <xf numFmtId="0" fontId="6" fillId="7" borderId="0" xfId="0" quotePrefix="1" applyFont="1" applyFill="1" applyAlignment="1">
      <alignment vertical="center"/>
    </xf>
    <xf numFmtId="0" fontId="6" fillId="2" borderId="2" xfId="0" quotePrefix="1" applyFont="1" applyFill="1" applyBorder="1" applyAlignment="1">
      <alignment horizontal="center" vertical="center"/>
    </xf>
    <xf numFmtId="168" fontId="4" fillId="2" borderId="0" xfId="0" quotePrefix="1" applyNumberFormat="1" applyFont="1" applyFill="1" applyAlignment="1">
      <alignment vertical="center"/>
    </xf>
    <xf numFmtId="171" fontId="4" fillId="2" borderId="0" xfId="0" applyNumberFormat="1" applyFont="1" applyFill="1" applyAlignment="1">
      <alignment vertical="center"/>
    </xf>
    <xf numFmtId="169" fontId="4" fillId="2" borderId="0" xfId="0" applyNumberFormat="1" applyFont="1" applyFill="1" applyAlignment="1">
      <alignment vertical="center"/>
    </xf>
    <xf numFmtId="168" fontId="2" fillId="7" borderId="0" xfId="0" applyNumberFormat="1" applyFont="1" applyFill="1" applyAlignment="1">
      <alignment vertical="center"/>
    </xf>
    <xf numFmtId="168" fontId="4" fillId="7" borderId="0" xfId="0" quotePrefix="1" applyNumberFormat="1" applyFont="1" applyFill="1" applyAlignment="1">
      <alignment vertical="center"/>
    </xf>
    <xf numFmtId="168" fontId="4" fillId="7" borderId="0" xfId="0" quotePrefix="1" applyNumberFormat="1" applyFont="1" applyFill="1" applyAlignment="1">
      <alignment horizontal="right" vertical="center"/>
    </xf>
    <xf numFmtId="0" fontId="4" fillId="2" borderId="0" xfId="0" applyFont="1" applyFill="1" applyAlignment="1">
      <alignment horizontal="right" vertical="center"/>
    </xf>
    <xf numFmtId="0" fontId="9" fillId="6" borderId="0" xfId="0" applyFont="1" applyFill="1" applyAlignment="1">
      <alignment horizontal="center" vertical="center"/>
    </xf>
    <xf numFmtId="0" fontId="8" fillId="6" borderId="0" xfId="0" applyFont="1" applyFill="1" applyAlignment="1">
      <alignment vertical="center"/>
    </xf>
    <xf numFmtId="0" fontId="5" fillId="6" borderId="0" xfId="0" quotePrefix="1" applyFont="1" applyFill="1" applyAlignment="1">
      <alignment horizontal="right" vertical="center"/>
    </xf>
    <xf numFmtId="166" fontId="4" fillId="2" borderId="0" xfId="2" applyNumberFormat="1" applyFont="1" applyFill="1" applyAlignment="1">
      <alignment vertical="center"/>
    </xf>
    <xf numFmtId="168" fontId="2" fillId="6" borderId="1" xfId="0" applyNumberFormat="1" applyFont="1" applyFill="1" applyBorder="1" applyAlignment="1">
      <alignment vertical="center"/>
    </xf>
    <xf numFmtId="2" fontId="4" fillId="2" borderId="0" xfId="0" applyNumberFormat="1" applyFont="1" applyFill="1" applyAlignment="1">
      <alignment vertical="center"/>
    </xf>
    <xf numFmtId="170" fontId="2" fillId="6" borderId="0" xfId="0" applyNumberFormat="1" applyFont="1" applyFill="1" applyAlignment="1">
      <alignment vertical="center"/>
    </xf>
    <xf numFmtId="0" fontId="5" fillId="2" borderId="0" xfId="0" quotePrefix="1" applyFont="1" applyFill="1" applyAlignment="1">
      <alignment horizontal="left"/>
    </xf>
    <xf numFmtId="0" fontId="8" fillId="6" borderId="0" xfId="0" quotePrefix="1" applyFont="1" applyFill="1" applyAlignment="1">
      <alignment vertical="center"/>
    </xf>
    <xf numFmtId="168" fontId="8" fillId="6" borderId="0" xfId="1" applyNumberFormat="1" applyFont="1" applyFill="1" applyAlignment="1">
      <alignment vertical="center"/>
    </xf>
    <xf numFmtId="168" fontId="8" fillId="6" borderId="0" xfId="0" applyNumberFormat="1" applyFont="1" applyFill="1" applyAlignment="1">
      <alignment vertical="center"/>
    </xf>
    <xf numFmtId="168" fontId="7" fillId="6" borderId="0" xfId="0" applyNumberFormat="1" applyFont="1" applyFill="1" applyAlignment="1">
      <alignment vertical="center"/>
    </xf>
    <xf numFmtId="170" fontId="8" fillId="2" borderId="0" xfId="0" applyNumberFormat="1" applyFont="1" applyFill="1" applyAlignment="1">
      <alignment vertical="center"/>
    </xf>
    <xf numFmtId="170" fontId="8" fillId="6" borderId="0" xfId="0" applyNumberFormat="1" applyFont="1" applyFill="1" applyAlignment="1">
      <alignment vertical="center"/>
    </xf>
    <xf numFmtId="9" fontId="2" fillId="6" borderId="0" xfId="2" applyFont="1" applyFill="1" applyAlignment="1">
      <alignment vertical="center"/>
    </xf>
    <xf numFmtId="168" fontId="7" fillId="5" borderId="0" xfId="1" applyNumberFormat="1" applyFont="1" applyFill="1" applyBorder="1" applyAlignment="1">
      <alignment vertical="center"/>
    </xf>
    <xf numFmtId="0" fontId="18" fillId="2" borderId="0" xfId="0" applyFont="1" applyFill="1" applyAlignment="1">
      <alignment vertical="center"/>
    </xf>
    <xf numFmtId="0" fontId="16" fillId="6" borderId="0" xfId="0" applyFont="1" applyFill="1" applyAlignment="1">
      <alignment vertical="center"/>
    </xf>
    <xf numFmtId="0" fontId="16" fillId="6" borderId="0" xfId="0" quotePrefix="1" applyFont="1" applyFill="1" applyAlignment="1">
      <alignment vertical="center"/>
    </xf>
    <xf numFmtId="9" fontId="4" fillId="7" borderId="0" xfId="2" applyFont="1" applyFill="1" applyAlignment="1">
      <alignment vertical="center"/>
    </xf>
    <xf numFmtId="9" fontId="4" fillId="7" borderId="1" xfId="2" applyFont="1" applyFill="1" applyBorder="1" applyAlignment="1">
      <alignment vertical="center"/>
    </xf>
    <xf numFmtId="2" fontId="5" fillId="8" borderId="0" xfId="0" applyNumberFormat="1" applyFont="1" applyFill="1" applyAlignment="1">
      <alignment vertical="center"/>
    </xf>
    <xf numFmtId="0" fontId="5" fillId="8" borderId="0" xfId="0" quotePrefix="1" applyFont="1" applyFill="1" applyAlignment="1">
      <alignment vertical="center"/>
    </xf>
    <xf numFmtId="0" fontId="5" fillId="8" borderId="0" xfId="0" applyFont="1" applyFill="1" applyAlignment="1">
      <alignment vertical="center"/>
    </xf>
    <xf numFmtId="9" fontId="16" fillId="2" borderId="0" xfId="0" applyNumberFormat="1" applyFont="1" applyFill="1" applyAlignment="1">
      <alignment vertical="center"/>
    </xf>
    <xf numFmtId="10" fontId="4" fillId="7" borderId="0" xfId="0" applyNumberFormat="1" applyFont="1" applyFill="1" applyAlignment="1">
      <alignment vertical="center"/>
    </xf>
    <xf numFmtId="0" fontId="16" fillId="2" borderId="0" xfId="0" applyFont="1" applyFill="1" applyAlignment="1">
      <alignment horizontal="left" vertical="center" indent="1"/>
    </xf>
    <xf numFmtId="0" fontId="16" fillId="2" borderId="1" xfId="0" applyFont="1" applyFill="1" applyBorder="1" applyAlignment="1">
      <alignment vertical="center"/>
    </xf>
    <xf numFmtId="168" fontId="16" fillId="2" borderId="1" xfId="0" applyNumberFormat="1" applyFont="1" applyFill="1" applyBorder="1" applyAlignment="1">
      <alignment vertical="center"/>
    </xf>
    <xf numFmtId="1" fontId="4" fillId="4" borderId="0" xfId="0" applyNumberFormat="1" applyFont="1" applyFill="1" applyAlignment="1">
      <alignment vertical="center"/>
    </xf>
    <xf numFmtId="0" fontId="2" fillId="6" borderId="1" xfId="0" applyFont="1" applyFill="1" applyBorder="1" applyAlignment="1">
      <alignment vertical="center"/>
    </xf>
    <xf numFmtId="0" fontId="2" fillId="7" borderId="1" xfId="0" applyFont="1" applyFill="1" applyBorder="1" applyAlignment="1">
      <alignment vertical="center"/>
    </xf>
    <xf numFmtId="168" fontId="2" fillId="7" borderId="1" xfId="0" applyNumberFormat="1" applyFont="1" applyFill="1" applyBorder="1" applyAlignment="1">
      <alignment vertical="center"/>
    </xf>
    <xf numFmtId="168" fontId="4" fillId="9" borderId="0" xfId="0" applyNumberFormat="1" applyFont="1" applyFill="1" applyAlignment="1">
      <alignment vertical="center"/>
    </xf>
    <xf numFmtId="0" fontId="2" fillId="9" borderId="1" xfId="0" applyFont="1" applyFill="1" applyBorder="1" applyAlignment="1">
      <alignment vertical="center"/>
    </xf>
    <xf numFmtId="168" fontId="2" fillId="9" borderId="1" xfId="0" applyNumberFormat="1" applyFont="1" applyFill="1" applyBorder="1" applyAlignment="1">
      <alignment vertical="center"/>
    </xf>
    <xf numFmtId="4" fontId="6" fillId="4" borderId="0" xfId="0" applyNumberFormat="1" applyFont="1" applyFill="1" applyAlignment="1">
      <alignment vertical="center"/>
    </xf>
    <xf numFmtId="3" fontId="7" fillId="2" borderId="0" xfId="0" applyNumberFormat="1" applyFont="1" applyFill="1" applyAlignment="1">
      <alignment vertical="center"/>
    </xf>
    <xf numFmtId="0" fontId="2" fillId="2" borderId="2" xfId="0" applyFont="1" applyFill="1" applyBorder="1" applyAlignment="1">
      <alignment horizontal="center" vertical="center"/>
    </xf>
    <xf numFmtId="175" fontId="2" fillId="2" borderId="0" xfId="0" applyNumberFormat="1" applyFont="1" applyFill="1" applyAlignment="1">
      <alignment horizontal="center" vertical="center"/>
    </xf>
    <xf numFmtId="170" fontId="2" fillId="2" borderId="0" xfId="0" applyNumberFormat="1" applyFont="1" applyFill="1" applyAlignment="1">
      <alignment horizontal="center" vertical="center"/>
    </xf>
    <xf numFmtId="166" fontId="2" fillId="2" borderId="0" xfId="2" applyNumberFormat="1" applyFont="1" applyFill="1" applyAlignment="1">
      <alignment horizontal="center" vertical="center"/>
    </xf>
    <xf numFmtId="175" fontId="2" fillId="2" borderId="0" xfId="0" applyNumberFormat="1" applyFont="1" applyFill="1" applyAlignment="1">
      <alignment vertical="center"/>
    </xf>
    <xf numFmtId="9" fontId="2" fillId="7" borderId="0" xfId="2" applyFont="1" applyFill="1" applyAlignment="1">
      <alignment vertical="center"/>
    </xf>
    <xf numFmtId="10" fontId="6" fillId="4" borderId="0" xfId="2" applyNumberFormat="1" applyFont="1" applyFill="1" applyAlignment="1">
      <alignment vertical="center"/>
    </xf>
    <xf numFmtId="9" fontId="2" fillId="7" borderId="0" xfId="0" applyNumberFormat="1" applyFont="1" applyFill="1" applyAlignment="1">
      <alignment vertical="center"/>
    </xf>
    <xf numFmtId="175" fontId="2" fillId="2" borderId="0" xfId="0" applyNumberFormat="1" applyFont="1" applyFill="1" applyAlignment="1">
      <alignment horizontal="right" vertical="center"/>
    </xf>
    <xf numFmtId="175" fontId="2" fillId="2" borderId="1" xfId="0" applyNumberFormat="1" applyFont="1" applyFill="1" applyBorder="1" applyAlignment="1">
      <alignment vertical="center"/>
    </xf>
    <xf numFmtId="176" fontId="2" fillId="2" borderId="0" xfId="0" applyNumberFormat="1" applyFont="1" applyFill="1" applyAlignment="1">
      <alignment vertical="center"/>
    </xf>
    <xf numFmtId="176" fontId="2" fillId="3" borderId="0" xfId="0" applyNumberFormat="1" applyFont="1" applyFill="1" applyAlignment="1">
      <alignment vertical="center"/>
    </xf>
    <xf numFmtId="176" fontId="6" fillId="4" borderId="0" xfId="0" applyNumberFormat="1" applyFont="1" applyFill="1" applyAlignment="1">
      <alignment vertical="center"/>
    </xf>
    <xf numFmtId="176" fontId="2" fillId="2" borderId="1" xfId="0" applyNumberFormat="1" applyFont="1" applyFill="1" applyBorder="1" applyAlignment="1">
      <alignment vertical="center"/>
    </xf>
    <xf numFmtId="176" fontId="7" fillId="2" borderId="0" xfId="0" applyNumberFormat="1" applyFont="1" applyFill="1" applyAlignment="1">
      <alignment vertical="center"/>
    </xf>
    <xf numFmtId="166" fontId="6" fillId="7" borderId="0" xfId="2" applyNumberFormat="1" applyFont="1" applyFill="1" applyAlignment="1">
      <alignment vertical="center"/>
    </xf>
    <xf numFmtId="177" fontId="2" fillId="2" borderId="1" xfId="0" applyNumberFormat="1" applyFont="1" applyFill="1" applyBorder="1" applyAlignment="1">
      <alignment vertical="center"/>
    </xf>
    <xf numFmtId="9" fontId="6" fillId="7" borderId="0" xfId="2" applyFont="1" applyFill="1" applyAlignment="1">
      <alignment vertical="center"/>
    </xf>
    <xf numFmtId="175" fontId="2" fillId="3" borderId="0" xfId="0" applyNumberFormat="1" applyFont="1" applyFill="1" applyAlignment="1">
      <alignment vertical="center"/>
    </xf>
    <xf numFmtId="175" fontId="6" fillId="4" borderId="0" xfId="0" applyNumberFormat="1" applyFont="1" applyFill="1" applyAlignment="1">
      <alignment vertical="center"/>
    </xf>
    <xf numFmtId="170" fontId="2" fillId="5" borderId="0" xfId="0" applyNumberFormat="1" applyFont="1" applyFill="1" applyAlignment="1">
      <alignment vertical="center"/>
    </xf>
    <xf numFmtId="176" fontId="8" fillId="2" borderId="0" xfId="0" applyNumberFormat="1" applyFont="1" applyFill="1" applyAlignment="1">
      <alignment vertical="center"/>
    </xf>
    <xf numFmtId="0" fontId="18" fillId="2" borderId="0" xfId="0" quotePrefix="1" applyFont="1" applyFill="1" applyAlignment="1">
      <alignment vertical="center"/>
    </xf>
    <xf numFmtId="176" fontId="8" fillId="2" borderId="1" xfId="0" applyNumberFormat="1" applyFont="1" applyFill="1" applyBorder="1" applyAlignment="1">
      <alignment vertical="center"/>
    </xf>
    <xf numFmtId="177" fontId="8" fillId="2" borderId="1" xfId="0" applyNumberFormat="1" applyFont="1" applyFill="1" applyBorder="1" applyAlignment="1">
      <alignment vertical="center"/>
    </xf>
    <xf numFmtId="176" fontId="8" fillId="3" borderId="0" xfId="0" applyNumberFormat="1" applyFont="1" applyFill="1" applyAlignment="1">
      <alignment vertical="center"/>
    </xf>
    <xf numFmtId="177" fontId="6" fillId="4" borderId="1" xfId="0" applyNumberFormat="1" applyFont="1" applyFill="1" applyBorder="1" applyAlignment="1">
      <alignment vertical="center"/>
    </xf>
    <xf numFmtId="9" fontId="8" fillId="4" borderId="0" xfId="2" applyFont="1" applyFill="1" applyAlignment="1">
      <alignment vertical="center"/>
    </xf>
    <xf numFmtId="176" fontId="2" fillId="6" borderId="0" xfId="0" applyNumberFormat="1" applyFont="1" applyFill="1" applyAlignment="1">
      <alignment vertical="center"/>
    </xf>
    <xf numFmtId="170" fontId="7" fillId="6" borderId="0" xfId="0" applyNumberFormat="1" applyFont="1" applyFill="1" applyAlignment="1">
      <alignment vertical="center"/>
    </xf>
    <xf numFmtId="176" fontId="2" fillId="3" borderId="1" xfId="0" applyNumberFormat="1" applyFont="1" applyFill="1" applyBorder="1" applyAlignment="1">
      <alignment vertical="center"/>
    </xf>
    <xf numFmtId="175" fontId="6" fillId="6" borderId="0" xfId="0" applyNumberFormat="1" applyFont="1" applyFill="1" applyAlignment="1">
      <alignment vertical="center"/>
    </xf>
    <xf numFmtId="9" fontId="2" fillId="2" borderId="1" xfId="0" applyNumberFormat="1" applyFont="1" applyFill="1" applyBorder="1" applyAlignment="1">
      <alignment vertical="center"/>
    </xf>
    <xf numFmtId="177" fontId="2" fillId="2" borderId="0" xfId="0" applyNumberFormat="1" applyFont="1" applyFill="1" applyAlignment="1">
      <alignment vertical="center"/>
    </xf>
    <xf numFmtId="164" fontId="7" fillId="2" borderId="0" xfId="0" applyNumberFormat="1" applyFont="1" applyFill="1" applyAlignment="1">
      <alignment vertical="center"/>
    </xf>
    <xf numFmtId="176" fontId="6" fillId="6" borderId="0" xfId="0" applyNumberFormat="1" applyFont="1" applyFill="1" applyAlignment="1">
      <alignment vertical="center"/>
    </xf>
    <xf numFmtId="166" fontId="6" fillId="4" borderId="0" xfId="0" applyNumberFormat="1" applyFont="1" applyFill="1" applyAlignment="1">
      <alignment vertical="center"/>
    </xf>
    <xf numFmtId="0" fontId="7" fillId="2" borderId="1" xfId="0" applyFont="1" applyFill="1" applyBorder="1" applyAlignment="1">
      <alignment horizontal="left" vertical="center"/>
    </xf>
    <xf numFmtId="176" fontId="7" fillId="2" borderId="1" xfId="0" applyNumberFormat="1" applyFont="1" applyFill="1" applyBorder="1" applyAlignment="1">
      <alignment vertical="center"/>
    </xf>
    <xf numFmtId="176" fontId="5" fillId="2" borderId="0" xfId="0" applyNumberFormat="1" applyFont="1" applyFill="1" applyAlignment="1">
      <alignment vertical="center"/>
    </xf>
    <xf numFmtId="166" fontId="8" fillId="4" borderId="0" xfId="2" applyNumberFormat="1" applyFont="1" applyFill="1" applyAlignment="1">
      <alignment vertical="center"/>
    </xf>
    <xf numFmtId="0" fontId="8" fillId="2" borderId="1" xfId="0" applyFont="1" applyFill="1" applyBorder="1" applyAlignment="1">
      <alignment horizontal="left" vertical="center"/>
    </xf>
    <xf numFmtId="9" fontId="8" fillId="2" borderId="1" xfId="2" applyFont="1" applyFill="1" applyBorder="1" applyAlignment="1">
      <alignment vertical="center"/>
    </xf>
    <xf numFmtId="166" fontId="8" fillId="2" borderId="1" xfId="2" applyNumberFormat="1" applyFont="1" applyFill="1" applyBorder="1" applyAlignment="1">
      <alignment vertical="center"/>
    </xf>
    <xf numFmtId="164" fontId="2" fillId="3" borderId="0" xfId="0" applyNumberFormat="1" applyFont="1" applyFill="1" applyAlignment="1">
      <alignment vertical="center"/>
    </xf>
    <xf numFmtId="43" fontId="2" fillId="2" borderId="0" xfId="0" applyNumberFormat="1" applyFont="1" applyFill="1" applyAlignment="1">
      <alignment vertical="center"/>
    </xf>
    <xf numFmtId="175" fontId="2" fillId="3" borderId="1" xfId="0" applyNumberFormat="1" applyFont="1" applyFill="1" applyBorder="1" applyAlignment="1">
      <alignment vertical="center"/>
    </xf>
    <xf numFmtId="10" fontId="2" fillId="3" borderId="0" xfId="0" applyNumberFormat="1" applyFont="1" applyFill="1" applyAlignment="1">
      <alignment vertical="center"/>
    </xf>
    <xf numFmtId="164" fontId="6" fillId="4" borderId="0" xfId="0" applyNumberFormat="1" applyFont="1" applyFill="1" applyAlignment="1">
      <alignment vertical="center"/>
    </xf>
    <xf numFmtId="164" fontId="2" fillId="3" borderId="1" xfId="0" applyNumberFormat="1" applyFont="1" applyFill="1" applyBorder="1" applyAlignment="1">
      <alignment vertical="center"/>
    </xf>
    <xf numFmtId="177" fontId="8" fillId="2" borderId="0" xfId="0" applyNumberFormat="1" applyFont="1" applyFill="1" applyAlignment="1">
      <alignment vertical="center"/>
    </xf>
    <xf numFmtId="176" fontId="2" fillId="7" borderId="1" xfId="0" applyNumberFormat="1" applyFont="1" applyFill="1" applyBorder="1" applyAlignment="1">
      <alignment vertical="center"/>
    </xf>
    <xf numFmtId="176" fontId="2" fillId="7" borderId="0" xfId="0" applyNumberFormat="1" applyFont="1" applyFill="1" applyAlignment="1">
      <alignment vertical="center"/>
    </xf>
    <xf numFmtId="177" fontId="6" fillId="4" borderId="0" xfId="0" applyNumberFormat="1" applyFont="1" applyFill="1" applyAlignment="1">
      <alignment vertical="center"/>
    </xf>
    <xf numFmtId="0" fontId="8" fillId="4" borderId="0" xfId="0" quotePrefix="1" applyFont="1" applyFill="1" applyAlignment="1">
      <alignment vertical="center"/>
    </xf>
    <xf numFmtId="176" fontId="8" fillId="7" borderId="0" xfId="0" applyNumberFormat="1" applyFont="1" applyFill="1" applyAlignment="1">
      <alignment vertical="center"/>
    </xf>
    <xf numFmtId="176" fontId="8" fillId="4" borderId="0" xfId="0" applyNumberFormat="1" applyFont="1" applyFill="1" applyAlignment="1">
      <alignment vertical="center"/>
    </xf>
    <xf numFmtId="175" fontId="2" fillId="7" borderId="0" xfId="0" applyNumberFormat="1" applyFont="1" applyFill="1" applyAlignment="1">
      <alignment vertical="center"/>
    </xf>
    <xf numFmtId="0" fontId="8" fillId="2" borderId="0" xfId="0" applyFont="1" applyFill="1" applyAlignment="1">
      <alignment horizontal="left" vertical="center" indent="2"/>
    </xf>
    <xf numFmtId="176" fontId="8" fillId="7" borderId="1" xfId="0" applyNumberFormat="1" applyFont="1" applyFill="1" applyBorder="1" applyAlignment="1">
      <alignment vertical="center"/>
    </xf>
    <xf numFmtId="0" fontId="8" fillId="7" borderId="0" xfId="0" quotePrefix="1" applyFont="1" applyFill="1" applyAlignment="1">
      <alignment vertical="center"/>
    </xf>
    <xf numFmtId="176" fontId="8" fillId="6" borderId="0" xfId="0" applyNumberFormat="1" applyFont="1" applyFill="1" applyAlignment="1">
      <alignment vertical="center"/>
    </xf>
    <xf numFmtId="167" fontId="8" fillId="6" borderId="0" xfId="0" applyNumberFormat="1" applyFont="1" applyFill="1" applyAlignment="1">
      <alignment vertical="center"/>
    </xf>
    <xf numFmtId="177" fontId="2" fillId="7" borderId="0" xfId="0" applyNumberFormat="1" applyFont="1" applyFill="1" applyAlignment="1">
      <alignment vertical="center"/>
    </xf>
    <xf numFmtId="177" fontId="6" fillId="6" borderId="0" xfId="0" applyNumberFormat="1" applyFont="1" applyFill="1" applyAlignment="1">
      <alignment vertical="center"/>
    </xf>
    <xf numFmtId="0" fontId="6" fillId="6" borderId="0" xfId="0" quotePrefix="1" applyFont="1" applyFill="1" applyAlignment="1">
      <alignment vertical="center"/>
    </xf>
    <xf numFmtId="176" fontId="5" fillId="6" borderId="0" xfId="0" applyNumberFormat="1" applyFont="1" applyFill="1" applyAlignment="1">
      <alignment vertical="center"/>
    </xf>
    <xf numFmtId="10" fontId="5" fillId="6" borderId="0" xfId="2" applyNumberFormat="1" applyFont="1" applyFill="1" applyAlignment="1">
      <alignment vertical="center"/>
    </xf>
    <xf numFmtId="166" fontId="6" fillId="6" borderId="0" xfId="2" applyNumberFormat="1" applyFont="1" applyFill="1" applyAlignment="1">
      <alignment vertical="center"/>
    </xf>
    <xf numFmtId="178" fontId="2" fillId="2" borderId="0" xfId="0" applyNumberFormat="1" applyFont="1" applyFill="1" applyAlignment="1">
      <alignment vertical="center"/>
    </xf>
    <xf numFmtId="9" fontId="7" fillId="2" borderId="1" xfId="2" applyFont="1" applyFill="1" applyBorder="1" applyAlignment="1">
      <alignment vertical="center"/>
    </xf>
    <xf numFmtId="0" fontId="7" fillId="10" borderId="0" xfId="3" applyFont="1" applyFill="1"/>
    <xf numFmtId="166" fontId="4" fillId="9" borderId="0" xfId="0" applyNumberFormat="1" applyFont="1" applyFill="1" applyAlignment="1">
      <alignment vertical="center"/>
    </xf>
    <xf numFmtId="166" fontId="4" fillId="9" borderId="0" xfId="2" applyNumberFormat="1" applyFont="1" applyFill="1" applyAlignment="1">
      <alignment vertical="center"/>
    </xf>
    <xf numFmtId="0" fontId="7" fillId="2" borderId="0" xfId="3" applyFont="1" applyFill="1"/>
    <xf numFmtId="0" fontId="4" fillId="9" borderId="0" xfId="0" quotePrefix="1" applyFont="1" applyFill="1" applyAlignment="1">
      <alignment horizontal="right" vertical="center"/>
    </xf>
    <xf numFmtId="164" fontId="6" fillId="4" borderId="0" xfId="1" applyNumberFormat="1" applyFont="1" applyFill="1" applyAlignment="1">
      <alignment vertical="center"/>
    </xf>
    <xf numFmtId="166" fontId="4" fillId="2" borderId="0" xfId="0" applyNumberFormat="1" applyFont="1" applyFill="1" applyAlignment="1">
      <alignment vertical="center"/>
    </xf>
    <xf numFmtId="0" fontId="8" fillId="2" borderId="0" xfId="0" quotePrefix="1" applyFont="1" applyFill="1" applyAlignment="1">
      <alignment vertical="center"/>
    </xf>
    <xf numFmtId="166" fontId="8" fillId="7" borderId="0" xfId="2" applyNumberFormat="1" applyFont="1" applyFill="1" applyAlignment="1">
      <alignment vertical="center"/>
    </xf>
    <xf numFmtId="165" fontId="7" fillId="2" borderId="1" xfId="0" applyNumberFormat="1" applyFont="1" applyFill="1" applyBorder="1" applyAlignment="1">
      <alignment vertical="center"/>
    </xf>
    <xf numFmtId="168" fontId="8" fillId="3" borderId="0" xfId="0" applyNumberFormat="1" applyFont="1" applyFill="1" applyAlignment="1">
      <alignment vertical="center"/>
    </xf>
    <xf numFmtId="0" fontId="7" fillId="2" borderId="0" xfId="6" applyFont="1" applyFill="1" applyAlignment="1">
      <alignment horizontal="left" vertical="center"/>
    </xf>
    <xf numFmtId="180" fontId="7" fillId="2" borderId="0" xfId="6" applyNumberFormat="1" applyFont="1" applyFill="1" applyAlignment="1">
      <alignment horizontal="right" vertical="center" wrapText="1"/>
    </xf>
    <xf numFmtId="181" fontId="7" fillId="2" borderId="0" xfId="6" applyNumberFormat="1" applyFont="1" applyFill="1" applyAlignment="1">
      <alignment horizontal="right" vertical="center" wrapText="1"/>
    </xf>
    <xf numFmtId="0" fontId="7" fillId="2" borderId="0" xfId="6" applyFont="1" applyFill="1" applyAlignment="1">
      <alignment vertical="center" wrapText="1"/>
    </xf>
    <xf numFmtId="182" fontId="7" fillId="2" borderId="0" xfId="6" applyNumberFormat="1" applyFont="1" applyFill="1" applyAlignment="1">
      <alignment horizontal="right" vertical="center" wrapText="1"/>
    </xf>
    <xf numFmtId="183" fontId="7" fillId="2" borderId="0" xfId="4" applyNumberFormat="1" applyFont="1" applyFill="1" applyAlignment="1" applyProtection="1">
      <alignment vertical="center"/>
      <protection locked="0"/>
    </xf>
    <xf numFmtId="179" fontId="7" fillId="2" borderId="0" xfId="6" applyNumberFormat="1" applyFont="1" applyFill="1" applyAlignment="1">
      <alignment horizontal="left" vertical="center" wrapText="1"/>
    </xf>
    <xf numFmtId="3" fontId="25" fillId="2" borderId="0" xfId="6" applyNumberFormat="1" applyFont="1" applyFill="1" applyAlignment="1">
      <alignment horizontal="right" vertical="center" wrapText="1"/>
    </xf>
    <xf numFmtId="184" fontId="7" fillId="2" borderId="0" xfId="6" applyNumberFormat="1" applyFont="1" applyFill="1" applyAlignment="1">
      <alignment horizontal="left" vertical="center" wrapText="1"/>
    </xf>
    <xf numFmtId="0" fontId="7" fillId="2" borderId="0" xfId="4" applyFont="1" applyFill="1" applyAlignment="1">
      <alignment horizontal="left" vertical="center"/>
    </xf>
    <xf numFmtId="184" fontId="7" fillId="2" borderId="0" xfId="6" applyNumberFormat="1" applyFont="1" applyFill="1" applyAlignment="1">
      <alignment horizontal="right" vertical="center" wrapText="1"/>
    </xf>
    <xf numFmtId="3" fontId="7" fillId="2" borderId="0" xfId="6" applyNumberFormat="1" applyFont="1" applyFill="1" applyAlignment="1">
      <alignment horizontal="right" vertical="center" wrapText="1"/>
    </xf>
    <xf numFmtId="0" fontId="7" fillId="2" borderId="1" xfId="4" applyFont="1" applyFill="1" applyBorder="1" applyAlignment="1">
      <alignment horizontal="left" vertical="center"/>
    </xf>
    <xf numFmtId="179" fontId="7" fillId="2" borderId="1" xfId="6" applyNumberFormat="1" applyFont="1" applyFill="1" applyBorder="1" applyAlignment="1">
      <alignment horizontal="left" vertical="center" wrapText="1"/>
    </xf>
    <xf numFmtId="181" fontId="7" fillId="2" borderId="1" xfId="6" applyNumberFormat="1" applyFont="1" applyFill="1" applyBorder="1" applyAlignment="1">
      <alignment horizontal="right" vertical="center" wrapText="1"/>
    </xf>
    <xf numFmtId="182" fontId="7" fillId="2" borderId="1" xfId="6" applyNumberFormat="1" applyFont="1" applyFill="1" applyBorder="1" applyAlignment="1">
      <alignment horizontal="right" vertical="center" wrapText="1"/>
    </xf>
    <xf numFmtId="0" fontId="7" fillId="2" borderId="0" xfId="0" applyFont="1" applyFill="1" applyAlignment="1">
      <alignment horizontal="center" vertical="center"/>
    </xf>
    <xf numFmtId="0" fontId="7" fillId="2" borderId="1" xfId="0" applyFont="1" applyFill="1" applyBorder="1" applyAlignment="1">
      <alignment horizontal="center" vertical="center"/>
    </xf>
    <xf numFmtId="0" fontId="25" fillId="2" borderId="0" xfId="0" applyFont="1" applyFill="1" applyAlignment="1">
      <alignment horizontal="center" vertical="center"/>
    </xf>
    <xf numFmtId="0" fontId="2" fillId="2" borderId="0" xfId="0" applyFont="1" applyFill="1" applyAlignment="1">
      <alignment vertical="center" wrapText="1"/>
    </xf>
    <xf numFmtId="0" fontId="2" fillId="2" borderId="2" xfId="0" applyFont="1" applyFill="1" applyBorder="1" applyAlignment="1">
      <alignment vertical="center" wrapText="1"/>
    </xf>
    <xf numFmtId="0" fontId="2" fillId="5" borderId="1" xfId="0" applyFont="1" applyFill="1" applyBorder="1" applyAlignment="1">
      <alignment vertical="center"/>
    </xf>
    <xf numFmtId="0" fontId="14" fillId="6" borderId="0" xfId="0" applyFont="1" applyFill="1" applyAlignment="1">
      <alignment vertical="center"/>
    </xf>
    <xf numFmtId="165" fontId="8" fillId="2" borderId="0" xfId="0" applyNumberFormat="1" applyFont="1" applyFill="1" applyAlignment="1">
      <alignment vertical="center"/>
    </xf>
    <xf numFmtId="168" fontId="8" fillId="4" borderId="0" xfId="0" applyNumberFormat="1" applyFont="1" applyFill="1" applyAlignment="1">
      <alignment vertical="center"/>
    </xf>
    <xf numFmtId="2" fontId="2" fillId="7" borderId="1" xfId="0" applyNumberFormat="1" applyFont="1" applyFill="1" applyBorder="1" applyAlignment="1">
      <alignment vertical="center"/>
    </xf>
    <xf numFmtId="169" fontId="8" fillId="2" borderId="0" xfId="1" applyNumberFormat="1" applyFont="1" applyFill="1" applyAlignment="1">
      <alignment vertical="center"/>
    </xf>
    <xf numFmtId="169" fontId="8" fillId="2" borderId="0" xfId="0" applyNumberFormat="1" applyFont="1" applyFill="1" applyAlignment="1">
      <alignment vertical="center"/>
    </xf>
    <xf numFmtId="0" fontId="8" fillId="2" borderId="0" xfId="0" applyFont="1" applyFill="1" applyAlignment="1">
      <alignment horizontal="right" vertical="center"/>
    </xf>
    <xf numFmtId="2" fontId="6" fillId="4" borderId="1" xfId="0" applyNumberFormat="1" applyFont="1" applyFill="1" applyBorder="1" applyAlignment="1">
      <alignment vertical="center"/>
    </xf>
    <xf numFmtId="43" fontId="6" fillId="4" borderId="0" xfId="1" applyFont="1" applyFill="1" applyAlignment="1">
      <alignment vertical="center"/>
    </xf>
    <xf numFmtId="43" fontId="6" fillId="2" borderId="0" xfId="0" applyNumberFormat="1" applyFont="1" applyFill="1" applyAlignment="1">
      <alignment vertical="center"/>
    </xf>
    <xf numFmtId="0" fontId="4" fillId="2" borderId="0" xfId="0" applyFont="1" applyFill="1"/>
    <xf numFmtId="9" fontId="4" fillId="2" borderId="0" xfId="2" applyFont="1" applyFill="1"/>
    <xf numFmtId="0" fontId="2" fillId="3" borderId="1" xfId="0" applyFont="1" applyFill="1" applyBorder="1" applyAlignment="1">
      <alignment vertical="center"/>
    </xf>
    <xf numFmtId="2" fontId="2" fillId="3" borderId="1" xfId="0" applyNumberFormat="1" applyFont="1" applyFill="1" applyBorder="1" applyAlignment="1">
      <alignment vertical="center"/>
    </xf>
    <xf numFmtId="9" fontId="2" fillId="3" borderId="0" xfId="2" applyFont="1" applyFill="1" applyAlignment="1">
      <alignment vertical="center"/>
    </xf>
    <xf numFmtId="0" fontId="2" fillId="2" borderId="0" xfId="0" quotePrefix="1" applyFont="1" applyFill="1" applyAlignment="1">
      <alignment horizontal="right" vertical="center"/>
    </xf>
    <xf numFmtId="165" fontId="7" fillId="3" borderId="0" xfId="1" applyNumberFormat="1" applyFont="1" applyFill="1" applyBorder="1" applyAlignment="1">
      <alignment vertical="center"/>
    </xf>
    <xf numFmtId="165" fontId="7" fillId="2" borderId="0" xfId="1" applyNumberFormat="1" applyFont="1" applyFill="1" applyAlignment="1">
      <alignment vertical="center"/>
    </xf>
    <xf numFmtId="165" fontId="7" fillId="5" borderId="0" xfId="1" applyNumberFormat="1" applyFont="1" applyFill="1" applyBorder="1" applyAlignment="1">
      <alignment vertical="center"/>
    </xf>
    <xf numFmtId="0" fontId="2" fillId="7" borderId="3" xfId="0" applyFont="1" applyFill="1" applyBorder="1" applyAlignment="1">
      <alignment vertical="center"/>
    </xf>
    <xf numFmtId="165" fontId="7" fillId="7" borderId="4" xfId="1" applyNumberFormat="1" applyFont="1" applyFill="1" applyBorder="1" applyAlignment="1">
      <alignment vertical="center"/>
    </xf>
    <xf numFmtId="0" fontId="2" fillId="7" borderId="5" xfId="0" applyFont="1" applyFill="1" applyBorder="1" applyAlignment="1">
      <alignment vertical="center"/>
    </xf>
    <xf numFmtId="0" fontId="2" fillId="7" borderId="2" xfId="0" applyFont="1" applyFill="1" applyBorder="1" applyAlignment="1">
      <alignment vertical="center"/>
    </xf>
    <xf numFmtId="9" fontId="2" fillId="7" borderId="6" xfId="2" applyFont="1" applyFill="1" applyBorder="1" applyAlignment="1">
      <alignment vertical="center"/>
    </xf>
    <xf numFmtId="1" fontId="2" fillId="7" borderId="0" xfId="0" applyNumberFormat="1" applyFont="1" applyFill="1" applyAlignment="1">
      <alignment vertical="center"/>
    </xf>
    <xf numFmtId="0" fontId="2" fillId="2" borderId="7" xfId="0" applyFont="1" applyFill="1" applyBorder="1" applyAlignment="1">
      <alignment horizontal="left" vertical="center" indent="1"/>
    </xf>
    <xf numFmtId="0" fontId="5" fillId="2" borderId="0" xfId="0" applyFont="1" applyFill="1" applyAlignment="1">
      <alignment horizontal="center" vertical="center"/>
    </xf>
    <xf numFmtId="0" fontId="5" fillId="2" borderId="2" xfId="0" applyFont="1" applyFill="1" applyBorder="1" applyAlignment="1">
      <alignment horizontal="center" vertical="center" wrapText="1"/>
    </xf>
    <xf numFmtId="0" fontId="2" fillId="7" borderId="7" xfId="0" applyFont="1" applyFill="1" applyBorder="1" applyAlignment="1">
      <alignment vertical="center"/>
    </xf>
    <xf numFmtId="9" fontId="5" fillId="2" borderId="0" xfId="2" applyFont="1" applyFill="1" applyAlignment="1">
      <alignment vertical="center"/>
    </xf>
    <xf numFmtId="9" fontId="5" fillId="2" borderId="7" xfId="2" applyFont="1" applyFill="1" applyBorder="1" applyAlignment="1">
      <alignment vertical="center"/>
    </xf>
    <xf numFmtId="9" fontId="7" fillId="2" borderId="7" xfId="2" applyFont="1" applyFill="1" applyBorder="1" applyAlignment="1">
      <alignment horizontal="center" vertical="center"/>
    </xf>
    <xf numFmtId="0" fontId="2" fillId="2" borderId="7" xfId="0" applyFont="1" applyFill="1" applyBorder="1" applyAlignment="1">
      <alignment horizontal="center" vertical="center"/>
    </xf>
    <xf numFmtId="0" fontId="2" fillId="9" borderId="1" xfId="0" applyFont="1" applyFill="1" applyBorder="1" applyAlignment="1">
      <alignment horizontal="left" vertical="center" indent="2"/>
    </xf>
    <xf numFmtId="9" fontId="5" fillId="9" borderId="1" xfId="2" applyFont="1" applyFill="1" applyBorder="1" applyAlignment="1">
      <alignment vertical="center"/>
    </xf>
    <xf numFmtId="0" fontId="2" fillId="9" borderId="1" xfId="0" applyFont="1" applyFill="1" applyBorder="1" applyAlignment="1">
      <alignment horizontal="center" vertical="center"/>
    </xf>
    <xf numFmtId="0" fontId="2" fillId="9" borderId="0" xfId="0" applyFont="1" applyFill="1" applyAlignment="1">
      <alignment horizontal="left" vertical="center" indent="2"/>
    </xf>
    <xf numFmtId="9" fontId="5" fillId="9" borderId="0" xfId="2" applyFont="1" applyFill="1" applyBorder="1" applyAlignment="1">
      <alignment vertical="center"/>
    </xf>
    <xf numFmtId="0" fontId="2" fillId="9" borderId="0" xfId="0" applyFont="1" applyFill="1" applyAlignment="1">
      <alignment horizontal="center" vertical="center"/>
    </xf>
    <xf numFmtId="9" fontId="5" fillId="7" borderId="7" xfId="2" applyFont="1" applyFill="1" applyBorder="1" applyAlignment="1">
      <alignment vertical="center"/>
    </xf>
    <xf numFmtId="0" fontId="2" fillId="6" borderId="7" xfId="0" applyFont="1" applyFill="1" applyBorder="1" applyAlignment="1">
      <alignment vertical="center"/>
    </xf>
    <xf numFmtId="9" fontId="5" fillId="6" borderId="7" xfId="2" applyFont="1" applyFill="1" applyBorder="1" applyAlignment="1">
      <alignment vertical="center"/>
    </xf>
    <xf numFmtId="0" fontId="2" fillId="9" borderId="7" xfId="0" applyFont="1" applyFill="1" applyBorder="1" applyAlignment="1">
      <alignment vertical="center"/>
    </xf>
    <xf numFmtId="9" fontId="5" fillId="9" borderId="7" xfId="2" applyFont="1" applyFill="1" applyBorder="1" applyAlignment="1">
      <alignment vertical="center"/>
    </xf>
    <xf numFmtId="0" fontId="2" fillId="9" borderId="7" xfId="0" applyFont="1" applyFill="1" applyBorder="1" applyAlignment="1">
      <alignment horizontal="center" vertical="center"/>
    </xf>
    <xf numFmtId="0" fontId="4" fillId="11" borderId="7" xfId="0" applyFont="1" applyFill="1" applyBorder="1" applyAlignment="1">
      <alignment horizontal="left" vertical="center" indent="1"/>
    </xf>
    <xf numFmtId="9" fontId="4" fillId="11" borderId="7" xfId="2" applyFont="1" applyFill="1" applyBorder="1" applyAlignment="1">
      <alignment vertical="center"/>
    </xf>
    <xf numFmtId="0" fontId="4" fillId="11" borderId="7" xfId="0" quotePrefix="1" applyFont="1" applyFill="1" applyBorder="1" applyAlignment="1">
      <alignment horizontal="center" vertical="center"/>
    </xf>
    <xf numFmtId="0" fontId="2" fillId="5" borderId="7" xfId="0" applyFont="1" applyFill="1" applyBorder="1" applyAlignment="1">
      <alignment horizontal="left" vertical="center" indent="1"/>
    </xf>
    <xf numFmtId="0" fontId="2" fillId="5" borderId="7" xfId="0" applyFont="1" applyFill="1" applyBorder="1" applyAlignment="1">
      <alignment vertical="center"/>
    </xf>
    <xf numFmtId="165" fontId="2" fillId="7" borderId="1" xfId="0" applyNumberFormat="1" applyFont="1" applyFill="1" applyBorder="1" applyAlignment="1">
      <alignment vertical="center"/>
    </xf>
    <xf numFmtId="9" fontId="2" fillId="7" borderId="0" xfId="2" applyFont="1" applyFill="1" applyBorder="1" applyAlignment="1">
      <alignment vertical="center"/>
    </xf>
    <xf numFmtId="166" fontId="6" fillId="8" borderId="0" xfId="2" applyNumberFormat="1" applyFont="1" applyFill="1" applyAlignment="1">
      <alignment vertical="center"/>
    </xf>
    <xf numFmtId="0" fontId="6" fillId="8" borderId="0" xfId="0" quotePrefix="1" applyFont="1" applyFill="1" applyAlignment="1">
      <alignment vertical="center"/>
    </xf>
    <xf numFmtId="2" fontId="8" fillId="2" borderId="1" xfId="0" applyNumberFormat="1" applyFont="1" applyFill="1" applyBorder="1" applyAlignment="1">
      <alignment vertical="center"/>
    </xf>
    <xf numFmtId="0" fontId="2" fillId="11" borderId="0" xfId="0" applyFont="1" applyFill="1" applyAlignment="1">
      <alignment vertical="center"/>
    </xf>
    <xf numFmtId="0" fontId="4" fillId="11" borderId="0" xfId="0" quotePrefix="1" applyFont="1" applyFill="1" applyAlignment="1">
      <alignment vertical="center"/>
    </xf>
    <xf numFmtId="9" fontId="6" fillId="5" borderId="0" xfId="2" applyFont="1" applyFill="1" applyAlignment="1">
      <alignment vertical="center"/>
    </xf>
    <xf numFmtId="166" fontId="6" fillId="5" borderId="0" xfId="2" applyNumberFormat="1" applyFont="1" applyFill="1" applyAlignment="1">
      <alignment vertical="center"/>
    </xf>
    <xf numFmtId="0" fontId="2" fillId="3" borderId="2" xfId="0" applyFont="1" applyFill="1" applyBorder="1" applyAlignment="1">
      <alignment horizontal="left" vertical="center"/>
    </xf>
    <xf numFmtId="0" fontId="2" fillId="3" borderId="2" xfId="0" applyFont="1" applyFill="1" applyBorder="1" applyAlignment="1">
      <alignment vertical="center" wrapText="1"/>
    </xf>
    <xf numFmtId="0" fontId="2" fillId="3" borderId="2"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2" fillId="3" borderId="0" xfId="0" applyFont="1" applyFill="1" applyAlignment="1">
      <alignment horizontal="left" vertical="center"/>
    </xf>
    <xf numFmtId="38" fontId="2" fillId="3" borderId="0" xfId="0" applyNumberFormat="1" applyFont="1" applyFill="1" applyAlignment="1">
      <alignment vertical="center"/>
    </xf>
    <xf numFmtId="9" fontId="2" fillId="3" borderId="0" xfId="2" applyFont="1" applyFill="1" applyBorder="1" applyAlignment="1">
      <alignment vertical="center"/>
    </xf>
    <xf numFmtId="0" fontId="2" fillId="3" borderId="1" xfId="0" applyFont="1" applyFill="1" applyBorder="1" applyAlignment="1">
      <alignment horizontal="left" vertical="center"/>
    </xf>
    <xf numFmtId="38" fontId="2" fillId="3" borderId="1" xfId="0" applyNumberFormat="1" applyFont="1" applyFill="1" applyBorder="1" applyAlignment="1">
      <alignment vertical="center"/>
    </xf>
    <xf numFmtId="0" fontId="4" fillId="3" borderId="0" xfId="0" applyFont="1" applyFill="1" applyAlignment="1">
      <alignment horizontal="left" vertical="center"/>
    </xf>
    <xf numFmtId="0" fontId="4" fillId="3" borderId="0" xfId="0" applyFont="1" applyFill="1" applyAlignment="1">
      <alignment vertical="center"/>
    </xf>
    <xf numFmtId="38" fontId="4" fillId="3" borderId="0" xfId="0" applyNumberFormat="1" applyFont="1" applyFill="1" applyAlignment="1">
      <alignment vertical="center"/>
    </xf>
    <xf numFmtId="0" fontId="8" fillId="5" borderId="0" xfId="0" applyFont="1" applyFill="1" applyAlignment="1">
      <alignment vertical="center"/>
    </xf>
    <xf numFmtId="185" fontId="2" fillId="2" borderId="0" xfId="0" applyNumberFormat="1" applyFont="1" applyFill="1" applyAlignment="1">
      <alignment vertical="center"/>
    </xf>
    <xf numFmtId="0" fontId="4" fillId="2" borderId="1" xfId="0" quotePrefix="1" applyFont="1" applyFill="1" applyBorder="1" applyAlignment="1">
      <alignment vertical="center"/>
    </xf>
    <xf numFmtId="185" fontId="6" fillId="4" borderId="0" xfId="0" applyNumberFormat="1" applyFont="1" applyFill="1" applyAlignment="1">
      <alignment vertical="center"/>
    </xf>
    <xf numFmtId="0" fontId="2" fillId="2" borderId="0" xfId="0" quotePrefix="1" applyFont="1" applyFill="1" applyAlignment="1">
      <alignment horizontal="center" vertical="center"/>
    </xf>
    <xf numFmtId="185" fontId="2" fillId="2" borderId="1" xfId="0" applyNumberFormat="1" applyFont="1" applyFill="1" applyBorder="1" applyAlignment="1">
      <alignment vertical="center"/>
    </xf>
    <xf numFmtId="185" fontId="6" fillId="5" borderId="0" xfId="0" applyNumberFormat="1" applyFont="1" applyFill="1" applyAlignment="1">
      <alignment vertical="center"/>
    </xf>
    <xf numFmtId="185" fontId="8" fillId="5" borderId="0" xfId="0" applyNumberFormat="1" applyFont="1" applyFill="1" applyAlignment="1">
      <alignment vertical="center"/>
    </xf>
    <xf numFmtId="185" fontId="2" fillId="7" borderId="1" xfId="0" applyNumberFormat="1" applyFont="1" applyFill="1" applyBorder="1" applyAlignment="1">
      <alignment vertical="center"/>
    </xf>
    <xf numFmtId="185" fontId="8" fillId="2" borderId="0" xfId="0" applyNumberFormat="1" applyFont="1" applyFill="1" applyAlignment="1">
      <alignment vertical="center"/>
    </xf>
    <xf numFmtId="9" fontId="2" fillId="7" borderId="0" xfId="2" applyFont="1" applyFill="1"/>
    <xf numFmtId="185" fontId="2" fillId="7" borderId="0" xfId="0" applyNumberFormat="1" applyFont="1" applyFill="1"/>
    <xf numFmtId="185" fontId="2" fillId="6" borderId="0" xfId="0" applyNumberFormat="1" applyFont="1" applyFill="1"/>
    <xf numFmtId="9" fontId="2" fillId="6" borderId="0" xfId="2" applyFont="1" applyFill="1"/>
    <xf numFmtId="9" fontId="2" fillId="2" borderId="0" xfId="2" applyFont="1" applyFill="1" applyAlignment="1">
      <alignment horizontal="center" vertical="center"/>
    </xf>
    <xf numFmtId="185" fontId="2" fillId="2" borderId="7" xfId="0" applyNumberFormat="1" applyFont="1" applyFill="1" applyBorder="1" applyAlignment="1">
      <alignment vertical="center"/>
    </xf>
    <xf numFmtId="185" fontId="2" fillId="9" borderId="1" xfId="0" applyNumberFormat="1" applyFont="1" applyFill="1" applyBorder="1" applyAlignment="1">
      <alignment vertical="center"/>
    </xf>
    <xf numFmtId="185" fontId="2" fillId="9" borderId="0" xfId="0" applyNumberFormat="1" applyFont="1" applyFill="1" applyAlignment="1">
      <alignment vertical="center"/>
    </xf>
    <xf numFmtId="185" fontId="4" fillId="11" borderId="7" xfId="0" applyNumberFormat="1" applyFont="1" applyFill="1" applyBorder="1" applyAlignment="1">
      <alignment vertical="center"/>
    </xf>
    <xf numFmtId="185" fontId="2" fillId="5" borderId="7" xfId="0" applyNumberFormat="1" applyFont="1" applyFill="1" applyBorder="1" applyAlignment="1">
      <alignment vertical="center"/>
    </xf>
    <xf numFmtId="185" fontId="5" fillId="2" borderId="0" xfId="0" applyNumberFormat="1" applyFont="1" applyFill="1" applyAlignment="1">
      <alignment vertical="center"/>
    </xf>
    <xf numFmtId="185" fontId="2" fillId="5" borderId="1" xfId="0" applyNumberFormat="1" applyFont="1" applyFill="1" applyBorder="1" applyAlignment="1">
      <alignment vertical="center"/>
    </xf>
    <xf numFmtId="185" fontId="2" fillId="7" borderId="7" xfId="0" applyNumberFormat="1" applyFont="1" applyFill="1" applyBorder="1" applyAlignment="1">
      <alignment vertical="center"/>
    </xf>
    <xf numFmtId="185" fontId="2" fillId="6" borderId="7" xfId="0" applyNumberFormat="1" applyFont="1" applyFill="1" applyBorder="1" applyAlignment="1">
      <alignment vertical="center"/>
    </xf>
    <xf numFmtId="185" fontId="2" fillId="9" borderId="7" xfId="0" applyNumberFormat="1" applyFont="1" applyFill="1" applyBorder="1" applyAlignment="1">
      <alignment vertical="center"/>
    </xf>
    <xf numFmtId="186" fontId="2" fillId="2" borderId="1" xfId="0" applyNumberFormat="1" applyFont="1" applyFill="1" applyBorder="1" applyAlignment="1">
      <alignment vertical="center"/>
    </xf>
    <xf numFmtId="187" fontId="2" fillId="2" borderId="0" xfId="0" applyNumberFormat="1" applyFont="1" applyFill="1" applyAlignment="1">
      <alignment vertical="center"/>
    </xf>
    <xf numFmtId="0" fontId="2" fillId="5" borderId="0" xfId="0" applyFont="1" applyFill="1" applyAlignment="1">
      <alignment horizontal="left" vertical="center"/>
    </xf>
    <xf numFmtId="188" fontId="7" fillId="2" borderId="0" xfId="0" applyNumberFormat="1" applyFont="1" applyFill="1" applyAlignment="1">
      <alignment horizontal="right" vertical="center"/>
    </xf>
    <xf numFmtId="188" fontId="7" fillId="2" borderId="0" xfId="7" applyNumberFormat="1" applyFont="1" applyFill="1" applyBorder="1">
      <alignment vertical="center"/>
    </xf>
    <xf numFmtId="188" fontId="7" fillId="2" borderId="0" xfId="6" applyNumberFormat="1" applyFont="1" applyFill="1" applyAlignment="1">
      <alignment horizontal="right" vertical="center" wrapText="1"/>
    </xf>
    <xf numFmtId="188" fontId="7" fillId="2" borderId="0" xfId="0" applyNumberFormat="1" applyFont="1" applyFill="1" applyAlignment="1">
      <alignment vertical="center"/>
    </xf>
    <xf numFmtId="188" fontId="7" fillId="2" borderId="1" xfId="6" applyNumberFormat="1" applyFont="1" applyFill="1" applyBorder="1" applyAlignment="1">
      <alignment horizontal="right" vertical="center" wrapText="1"/>
    </xf>
    <xf numFmtId="188" fontId="7" fillId="2" borderId="0" xfId="7" applyNumberFormat="1" applyFont="1" applyFill="1" applyBorder="1" applyAlignment="1">
      <alignment horizontal="right" vertical="center" wrapText="1"/>
    </xf>
    <xf numFmtId="189" fontId="7" fillId="2" borderId="0" xfId="6" applyNumberFormat="1" applyFont="1" applyFill="1" applyAlignment="1">
      <alignment horizontal="right" vertical="center" wrapText="1"/>
    </xf>
    <xf numFmtId="189" fontId="7" fillId="2" borderId="0" xfId="7" applyNumberFormat="1" applyFont="1" applyFill="1" applyBorder="1">
      <alignment vertical="center"/>
    </xf>
    <xf numFmtId="189" fontId="7" fillId="2" borderId="1" xfId="6" applyNumberFormat="1" applyFont="1" applyFill="1" applyBorder="1" applyAlignment="1">
      <alignment horizontal="right" vertical="center" wrapText="1"/>
    </xf>
    <xf numFmtId="189" fontId="7" fillId="5" borderId="0" xfId="6" applyNumberFormat="1" applyFont="1" applyFill="1" applyAlignment="1">
      <alignment horizontal="right" vertical="center" wrapText="1"/>
    </xf>
    <xf numFmtId="0" fontId="6" fillId="2" borderId="2" xfId="0" applyFont="1" applyFill="1" applyBorder="1" applyAlignment="1">
      <alignment horizontal="center" vertical="center" wrapText="1"/>
    </xf>
    <xf numFmtId="189" fontId="6" fillId="2" borderId="0" xfId="6" applyNumberFormat="1" applyFont="1" applyFill="1" applyAlignment="1">
      <alignment horizontal="right" vertical="center" wrapText="1"/>
    </xf>
    <xf numFmtId="189" fontId="6" fillId="2" borderId="1" xfId="6" applyNumberFormat="1" applyFont="1" applyFill="1" applyBorder="1" applyAlignment="1">
      <alignment horizontal="right" vertical="center" wrapText="1"/>
    </xf>
    <xf numFmtId="181" fontId="6" fillId="4" borderId="0" xfId="6" applyNumberFormat="1" applyFont="1" applyFill="1" applyAlignment="1">
      <alignment horizontal="right" vertical="center" wrapText="1"/>
    </xf>
    <xf numFmtId="166" fontId="6" fillId="2" borderId="0" xfId="2" applyNumberFormat="1" applyFont="1" applyFill="1" applyAlignment="1">
      <alignment vertical="center"/>
    </xf>
    <xf numFmtId="0" fontId="7" fillId="2" borderId="2" xfId="6" applyFont="1" applyFill="1" applyBorder="1" applyAlignment="1">
      <alignment vertical="center" wrapText="1"/>
    </xf>
    <xf numFmtId="0" fontId="7" fillId="2" borderId="2" xfId="0" applyFont="1" applyFill="1" applyBorder="1" applyAlignment="1">
      <alignment horizontal="center" vertical="center"/>
    </xf>
    <xf numFmtId="180" fontId="7" fillId="2" borderId="2" xfId="6" applyNumberFormat="1" applyFont="1" applyFill="1" applyBorder="1" applyAlignment="1">
      <alignment horizontal="right" vertical="center" wrapText="1"/>
    </xf>
    <xf numFmtId="181" fontId="7" fillId="2" borderId="2" xfId="6" applyNumberFormat="1" applyFont="1" applyFill="1" applyBorder="1" applyAlignment="1">
      <alignment horizontal="right" vertical="center" wrapText="1"/>
    </xf>
    <xf numFmtId="190" fontId="7" fillId="2" borderId="2" xfId="6" applyNumberFormat="1" applyFont="1" applyFill="1" applyBorder="1" applyAlignment="1">
      <alignment horizontal="right" vertical="center" wrapText="1"/>
    </xf>
    <xf numFmtId="190" fontId="7" fillId="2" borderId="2" xfId="7" applyNumberFormat="1" applyFont="1" applyFill="1" applyBorder="1">
      <alignment vertical="center"/>
    </xf>
    <xf numFmtId="189" fontId="6" fillId="2" borderId="2" xfId="6" applyNumberFormat="1" applyFont="1" applyFill="1" applyBorder="1" applyAlignment="1">
      <alignment horizontal="right" vertical="center" wrapText="1"/>
    </xf>
    <xf numFmtId="0" fontId="7" fillId="2" borderId="1" xfId="6" applyFont="1" applyFill="1" applyBorder="1" applyAlignment="1">
      <alignment vertical="center" wrapText="1"/>
    </xf>
    <xf numFmtId="180" fontId="7" fillId="2" borderId="1" xfId="6" applyNumberFormat="1" applyFont="1" applyFill="1" applyBorder="1" applyAlignment="1">
      <alignment horizontal="right" vertical="center" wrapText="1"/>
    </xf>
    <xf numFmtId="188" fontId="7" fillId="2" borderId="1" xfId="0" applyNumberFormat="1" applyFont="1" applyFill="1" applyBorder="1" applyAlignment="1">
      <alignment vertical="center"/>
    </xf>
    <xf numFmtId="188" fontId="7" fillId="2" borderId="1" xfId="0" applyNumberFormat="1" applyFont="1" applyFill="1" applyBorder="1" applyAlignment="1">
      <alignment horizontal="right" vertical="center"/>
    </xf>
    <xf numFmtId="190" fontId="7" fillId="2" borderId="0" xfId="6" applyNumberFormat="1" applyFont="1" applyFill="1" applyAlignment="1">
      <alignment horizontal="right" vertical="center" wrapText="1"/>
    </xf>
    <xf numFmtId="189" fontId="7" fillId="2" borderId="2" xfId="6" applyNumberFormat="1" applyFont="1" applyFill="1" applyBorder="1" applyAlignment="1">
      <alignment horizontal="right" vertical="center" wrapText="1"/>
    </xf>
    <xf numFmtId="188" fontId="7" fillId="2" borderId="2" xfId="0" applyNumberFormat="1" applyFont="1" applyFill="1" applyBorder="1" applyAlignment="1">
      <alignment vertical="center"/>
    </xf>
    <xf numFmtId="188" fontId="7" fillId="2" borderId="2" xfId="0" applyNumberFormat="1" applyFont="1" applyFill="1" applyBorder="1" applyAlignment="1">
      <alignment horizontal="right" vertical="center"/>
    </xf>
    <xf numFmtId="188" fontId="7" fillId="2" borderId="2" xfId="6" applyNumberFormat="1" applyFont="1" applyFill="1" applyBorder="1" applyAlignment="1">
      <alignment horizontal="right" vertical="center" wrapText="1"/>
    </xf>
    <xf numFmtId="190" fontId="7" fillId="2" borderId="1" xfId="6" applyNumberFormat="1" applyFont="1" applyFill="1" applyBorder="1" applyAlignment="1">
      <alignment horizontal="right" vertical="center" wrapText="1"/>
    </xf>
    <xf numFmtId="0" fontId="7" fillId="2" borderId="0" xfId="4" applyFont="1" applyFill="1" applyAlignment="1">
      <alignment vertical="center" wrapText="1"/>
    </xf>
    <xf numFmtId="0" fontId="7" fillId="2" borderId="1" xfId="4" applyFont="1" applyFill="1" applyBorder="1" applyAlignment="1">
      <alignment vertical="center" wrapText="1"/>
    </xf>
    <xf numFmtId="0" fontId="7" fillId="2" borderId="2" xfId="4" applyFont="1" applyFill="1" applyBorder="1" applyAlignment="1">
      <alignment vertical="center" wrapText="1"/>
    </xf>
    <xf numFmtId="0" fontId="6" fillId="2" borderId="0" xfId="0" applyFont="1" applyFill="1" applyAlignment="1">
      <alignment horizontal="right" vertical="center"/>
    </xf>
    <xf numFmtId="188" fontId="7" fillId="2" borderId="2" xfId="7" applyNumberFormat="1" applyFont="1" applyFill="1" applyBorder="1">
      <alignment vertical="center"/>
    </xf>
    <xf numFmtId="189" fontId="6" fillId="2" borderId="0" xfId="0" applyNumberFormat="1" applyFont="1" applyFill="1" applyAlignment="1">
      <alignment vertical="center"/>
    </xf>
    <xf numFmtId="185" fontId="6" fillId="2" borderId="0" xfId="0" applyNumberFormat="1" applyFont="1" applyFill="1" applyAlignment="1">
      <alignment vertical="center"/>
    </xf>
    <xf numFmtId="168" fontId="8" fillId="3" borderId="0" xfId="1" applyNumberFormat="1" applyFont="1" applyFill="1" applyAlignment="1">
      <alignment vertical="center"/>
    </xf>
    <xf numFmtId="2" fontId="7" fillId="3" borderId="0" xfId="0" applyNumberFormat="1" applyFont="1" applyFill="1" applyAlignment="1">
      <alignment vertical="center"/>
    </xf>
    <xf numFmtId="169" fontId="6" fillId="4" borderId="0" xfId="1" applyNumberFormat="1" applyFont="1" applyFill="1" applyAlignment="1">
      <alignment vertical="center"/>
    </xf>
    <xf numFmtId="2" fontId="8" fillId="3" borderId="0" xfId="0" applyNumberFormat="1" applyFont="1" applyFill="1" applyAlignment="1">
      <alignment vertical="center"/>
    </xf>
    <xf numFmtId="2" fontId="8" fillId="8" borderId="0" xfId="0" applyNumberFormat="1" applyFont="1" applyFill="1" applyAlignment="1">
      <alignment vertical="center"/>
    </xf>
    <xf numFmtId="168" fontId="6" fillId="8" borderId="0" xfId="1" applyNumberFormat="1" applyFont="1" applyFill="1" applyAlignment="1">
      <alignment vertical="center"/>
    </xf>
    <xf numFmtId="168" fontId="6" fillId="8" borderId="0" xfId="0" applyNumberFormat="1" applyFont="1" applyFill="1" applyAlignment="1">
      <alignment vertical="center"/>
    </xf>
    <xf numFmtId="168" fontId="4" fillId="12" borderId="0" xfId="0" applyNumberFormat="1" applyFont="1" applyFill="1" applyAlignment="1">
      <alignment vertical="center"/>
    </xf>
    <xf numFmtId="9" fontId="7" fillId="12" borderId="0" xfId="2" applyFont="1" applyFill="1" applyAlignment="1">
      <alignment vertical="center"/>
    </xf>
    <xf numFmtId="2" fontId="6" fillId="9" borderId="0" xfId="0" applyNumberFormat="1" applyFont="1" applyFill="1" applyAlignment="1">
      <alignment vertical="center"/>
    </xf>
    <xf numFmtId="43" fontId="2" fillId="3" borderId="0" xfId="0" applyNumberFormat="1" applyFont="1" applyFill="1" applyAlignment="1">
      <alignment vertical="center"/>
    </xf>
    <xf numFmtId="0" fontId="2" fillId="12" borderId="0" xfId="0" applyFont="1" applyFill="1" applyAlignment="1">
      <alignment vertical="center"/>
    </xf>
    <xf numFmtId="0" fontId="2" fillId="12" borderId="0" xfId="0" applyFont="1" applyFill="1" applyAlignment="1">
      <alignment horizontal="left" vertical="center" indent="1"/>
    </xf>
    <xf numFmtId="191" fontId="2" fillId="3" borderId="0" xfId="1" applyNumberFormat="1" applyFont="1" applyFill="1" applyAlignment="1">
      <alignment vertical="center"/>
    </xf>
    <xf numFmtId="191" fontId="6" fillId="4" borderId="0" xfId="1" applyNumberFormat="1" applyFont="1" applyFill="1" applyAlignment="1">
      <alignment vertical="center"/>
    </xf>
    <xf numFmtId="168" fontId="6" fillId="4" borderId="0" xfId="0" applyNumberFormat="1" applyFont="1" applyFill="1" applyAlignment="1">
      <alignment vertical="center"/>
    </xf>
    <xf numFmtId="0" fontId="32" fillId="2" borderId="0" xfId="0" applyFont="1" applyFill="1" applyAlignment="1">
      <alignment vertical="center"/>
    </xf>
    <xf numFmtId="168" fontId="2" fillId="12" borderId="0" xfId="0" applyNumberFormat="1" applyFont="1" applyFill="1" applyAlignment="1">
      <alignment vertical="center"/>
    </xf>
    <xf numFmtId="165" fontId="6" fillId="9" borderId="0" xfId="1" applyNumberFormat="1" applyFont="1" applyFill="1" applyAlignment="1">
      <alignment vertical="center"/>
    </xf>
    <xf numFmtId="0" fontId="6" fillId="9" borderId="0" xfId="0" quotePrefix="1" applyFont="1" applyFill="1" applyAlignment="1">
      <alignment vertical="center"/>
    </xf>
    <xf numFmtId="165" fontId="6" fillId="8" borderId="0" xfId="1" applyNumberFormat="1" applyFont="1" applyFill="1" applyAlignment="1">
      <alignment vertical="center"/>
    </xf>
    <xf numFmtId="2" fontId="6" fillId="8" borderId="0" xfId="0" applyNumberFormat="1" applyFont="1" applyFill="1" applyAlignment="1">
      <alignment vertical="center"/>
    </xf>
    <xf numFmtId="168" fontId="6" fillId="2" borderId="0" xfId="1" applyNumberFormat="1" applyFont="1" applyFill="1" applyAlignment="1">
      <alignment vertical="center"/>
    </xf>
    <xf numFmtId="9" fontId="8" fillId="2" borderId="0" xfId="0" applyNumberFormat="1" applyFont="1" applyFill="1" applyAlignment="1">
      <alignment vertical="center"/>
    </xf>
    <xf numFmtId="2" fontId="2" fillId="9" borderId="0" xfId="0" applyNumberFormat="1" applyFont="1" applyFill="1" applyAlignment="1">
      <alignment vertical="center"/>
    </xf>
    <xf numFmtId="2" fontId="5" fillId="6" borderId="1" xfId="0" applyNumberFormat="1" applyFont="1" applyFill="1" applyBorder="1" applyAlignment="1">
      <alignment vertical="center"/>
    </xf>
    <xf numFmtId="43" fontId="6" fillId="8" borderId="0" xfId="1" applyFont="1" applyFill="1" applyAlignment="1">
      <alignment vertical="center"/>
    </xf>
    <xf numFmtId="43" fontId="6" fillId="9" borderId="0" xfId="1" applyFont="1" applyFill="1" applyAlignment="1">
      <alignment vertical="center"/>
    </xf>
    <xf numFmtId="43" fontId="7" fillId="2" borderId="0" xfId="1" applyFont="1" applyFill="1" applyAlignment="1">
      <alignment vertical="center"/>
    </xf>
    <xf numFmtId="2" fontId="6" fillId="12" borderId="0" xfId="0" applyNumberFormat="1" applyFont="1" applyFill="1" applyAlignment="1">
      <alignment vertical="center"/>
    </xf>
    <xf numFmtId="166" fontId="6" fillId="9" borderId="0" xfId="2" applyNumberFormat="1" applyFont="1" applyFill="1" applyAlignment="1">
      <alignment vertical="center"/>
    </xf>
    <xf numFmtId="10" fontId="6" fillId="9" borderId="0" xfId="2" applyNumberFormat="1" applyFont="1" applyFill="1" applyAlignment="1">
      <alignment vertical="center"/>
    </xf>
    <xf numFmtId="166" fontId="5" fillId="2" borderId="0" xfId="2" applyNumberFormat="1" applyFont="1" applyFill="1" applyAlignment="1">
      <alignment vertical="center"/>
    </xf>
    <xf numFmtId="0" fontId="2" fillId="8" borderId="1" xfId="0" quotePrefix="1" applyFont="1" applyFill="1" applyBorder="1" applyAlignment="1">
      <alignment vertical="center"/>
    </xf>
    <xf numFmtId="0" fontId="2" fillId="8" borderId="1" xfId="0" applyFont="1" applyFill="1" applyBorder="1" applyAlignment="1">
      <alignment vertical="center"/>
    </xf>
    <xf numFmtId="192" fontId="2" fillId="2" borderId="0" xfId="0" applyNumberFormat="1" applyFont="1" applyFill="1" applyAlignment="1">
      <alignment vertical="center"/>
    </xf>
    <xf numFmtId="2" fontId="6" fillId="2" borderId="0" xfId="0" applyNumberFormat="1" applyFont="1" applyFill="1" applyAlignment="1">
      <alignment horizontal="center" vertical="center"/>
    </xf>
    <xf numFmtId="168" fontId="2" fillId="8" borderId="1" xfId="0" applyNumberFormat="1" applyFont="1" applyFill="1" applyBorder="1" applyAlignment="1">
      <alignment vertical="center"/>
    </xf>
    <xf numFmtId="0" fontId="4" fillId="12" borderId="0" xfId="0" quotePrefix="1" applyFont="1" applyFill="1" applyAlignment="1">
      <alignment vertical="center"/>
    </xf>
    <xf numFmtId="168" fontId="2" fillId="12" borderId="1" xfId="0" applyNumberFormat="1" applyFont="1" applyFill="1" applyBorder="1" applyAlignment="1">
      <alignment vertical="center"/>
    </xf>
    <xf numFmtId="0" fontId="6" fillId="8" borderId="0" xfId="0" applyFont="1" applyFill="1" applyAlignment="1">
      <alignment vertical="center"/>
    </xf>
    <xf numFmtId="168" fontId="6" fillId="12" borderId="0" xfId="0" applyNumberFormat="1" applyFont="1" applyFill="1" applyAlignment="1">
      <alignment vertical="center"/>
    </xf>
    <xf numFmtId="168" fontId="6" fillId="2" borderId="0" xfId="0" applyNumberFormat="1" applyFont="1" applyFill="1" applyAlignment="1">
      <alignment vertical="center"/>
    </xf>
    <xf numFmtId="2" fontId="5" fillId="2" borderId="0" xfId="0" applyNumberFormat="1" applyFont="1" applyFill="1" applyAlignment="1">
      <alignment horizontal="center" vertical="center"/>
    </xf>
    <xf numFmtId="168" fontId="6" fillId="7" borderId="0" xfId="0" applyNumberFormat="1" applyFont="1" applyFill="1" applyAlignment="1">
      <alignment vertical="center"/>
    </xf>
    <xf numFmtId="166" fontId="2" fillId="7" borderId="0" xfId="2" applyNumberFormat="1" applyFont="1" applyFill="1"/>
    <xf numFmtId="166" fontId="2" fillId="6" borderId="0" xfId="2" applyNumberFormat="1" applyFont="1" applyFill="1"/>
    <xf numFmtId="2" fontId="2" fillId="6" borderId="1" xfId="0" applyNumberFormat="1" applyFont="1" applyFill="1" applyBorder="1" applyAlignment="1">
      <alignment vertical="center"/>
    </xf>
    <xf numFmtId="2" fontId="2" fillId="11" borderId="0" xfId="0" applyNumberFormat="1" applyFont="1" applyFill="1" applyAlignment="1">
      <alignment vertical="center"/>
    </xf>
    <xf numFmtId="2" fontId="2" fillId="11" borderId="1" xfId="0" applyNumberFormat="1" applyFont="1" applyFill="1" applyBorder="1" applyAlignment="1">
      <alignment vertical="center"/>
    </xf>
    <xf numFmtId="0" fontId="2" fillId="11" borderId="0" xfId="0" applyFont="1" applyFill="1" applyAlignment="1">
      <alignment horizontal="center" vertical="center"/>
    </xf>
    <xf numFmtId="0" fontId="2" fillId="6" borderId="2" xfId="0" applyFont="1" applyFill="1" applyBorder="1" applyAlignment="1">
      <alignment vertical="center"/>
    </xf>
    <xf numFmtId="0" fontId="2" fillId="11" borderId="2" xfId="0" applyFont="1" applyFill="1" applyBorder="1" applyAlignment="1">
      <alignment vertical="center"/>
    </xf>
    <xf numFmtId="9" fontId="2" fillId="6" borderId="2" xfId="2" applyFont="1" applyFill="1" applyBorder="1" applyAlignment="1">
      <alignment vertical="center"/>
    </xf>
    <xf numFmtId="9" fontId="2" fillId="11" borderId="2" xfId="2" applyFont="1" applyFill="1" applyBorder="1" applyAlignment="1">
      <alignment vertical="center"/>
    </xf>
    <xf numFmtId="165" fontId="2" fillId="6" borderId="0" xfId="1" applyNumberFormat="1" applyFont="1" applyFill="1" applyBorder="1" applyAlignment="1">
      <alignment vertical="center"/>
    </xf>
    <xf numFmtId="185" fontId="6" fillId="12" borderId="0" xfId="0" applyNumberFormat="1" applyFont="1" applyFill="1" applyAlignment="1">
      <alignment vertical="center"/>
    </xf>
    <xf numFmtId="165" fontId="6" fillId="2" borderId="0" xfId="1" applyNumberFormat="1" applyFont="1" applyFill="1" applyAlignment="1">
      <alignment vertical="center"/>
    </xf>
    <xf numFmtId="0" fontId="7" fillId="6" borderId="0" xfId="0" quotePrefix="1" applyFont="1" applyFill="1" applyAlignment="1">
      <alignment vertical="center"/>
    </xf>
    <xf numFmtId="9" fontId="8" fillId="2" borderId="0" xfId="2" applyFont="1" applyFill="1" applyAlignment="1">
      <alignment horizontal="center" vertical="center"/>
    </xf>
    <xf numFmtId="0" fontId="8" fillId="2" borderId="0" xfId="0" applyFont="1" applyFill="1" applyAlignment="1">
      <alignment horizontal="left" vertical="center"/>
    </xf>
    <xf numFmtId="0" fontId="14" fillId="5" borderId="0" xfId="0" applyFont="1" applyFill="1" applyAlignment="1">
      <alignment vertical="center"/>
    </xf>
    <xf numFmtId="0" fontId="8" fillId="2" borderId="0" xfId="0" quotePrefix="1" applyFont="1" applyFill="1" applyAlignment="1">
      <alignment horizontal="left" vertical="center" indent="1"/>
    </xf>
    <xf numFmtId="0" fontId="8" fillId="9" borderId="0" xfId="0" applyFont="1" applyFill="1" applyAlignment="1">
      <alignment horizontal="left" vertical="center" indent="1"/>
    </xf>
    <xf numFmtId="0" fontId="8" fillId="9" borderId="0" xfId="0" applyFont="1" applyFill="1" applyAlignment="1">
      <alignment vertical="center"/>
    </xf>
    <xf numFmtId="168" fontId="8" fillId="9" borderId="0" xfId="1" applyNumberFormat="1" applyFont="1" applyFill="1" applyAlignment="1">
      <alignment vertical="center"/>
    </xf>
    <xf numFmtId="0" fontId="2" fillId="8" borderId="0" xfId="0" quotePrefix="1" applyFont="1" applyFill="1" applyAlignment="1">
      <alignment vertical="center"/>
    </xf>
    <xf numFmtId="168" fontId="7" fillId="8" borderId="0" xfId="1" applyNumberFormat="1" applyFont="1" applyFill="1" applyAlignment="1">
      <alignment vertical="center"/>
    </xf>
    <xf numFmtId="168" fontId="6" fillId="7" borderId="0" xfId="1" applyNumberFormat="1" applyFont="1" applyFill="1" applyAlignment="1">
      <alignment vertical="center"/>
    </xf>
    <xf numFmtId="0" fontId="6" fillId="7" borderId="0" xfId="0" applyFont="1" applyFill="1" applyAlignment="1">
      <alignment vertical="center"/>
    </xf>
    <xf numFmtId="168" fontId="7" fillId="12" borderId="0" xfId="1" applyNumberFormat="1" applyFont="1" applyFill="1" applyAlignment="1">
      <alignment vertical="center"/>
    </xf>
    <xf numFmtId="0" fontId="34" fillId="2" borderId="0" xfId="0" quotePrefix="1" applyFont="1" applyFill="1" applyAlignment="1">
      <alignment vertical="center"/>
    </xf>
    <xf numFmtId="168" fontId="34" fillId="12" borderId="0" xfId="0" applyNumberFormat="1" applyFont="1" applyFill="1" applyAlignment="1">
      <alignment vertical="center"/>
    </xf>
    <xf numFmtId="168" fontId="34" fillId="2" borderId="0" xfId="1" applyNumberFormat="1" applyFont="1" applyFill="1" applyAlignment="1">
      <alignment vertical="center"/>
    </xf>
    <xf numFmtId="168" fontId="34" fillId="12" borderId="0" xfId="1" applyNumberFormat="1" applyFont="1" applyFill="1" applyAlignment="1">
      <alignment vertical="center"/>
    </xf>
    <xf numFmtId="169" fontId="34" fillId="12" borderId="0" xfId="0" applyNumberFormat="1" applyFont="1" applyFill="1" applyAlignment="1">
      <alignment vertical="center"/>
    </xf>
    <xf numFmtId="9" fontId="34" fillId="12" borderId="0" xfId="2" applyFont="1" applyFill="1" applyAlignment="1">
      <alignment vertical="center"/>
    </xf>
    <xf numFmtId="0" fontId="34" fillId="12" borderId="0" xfId="0" applyFont="1" applyFill="1" applyAlignment="1">
      <alignment vertical="center"/>
    </xf>
    <xf numFmtId="0" fontId="34" fillId="12" borderId="0" xfId="0" quotePrefix="1" applyFont="1" applyFill="1" applyAlignment="1">
      <alignment vertical="center"/>
    </xf>
    <xf numFmtId="165" fontId="34" fillId="12" borderId="0" xfId="1" applyNumberFormat="1" applyFont="1" applyFill="1" applyAlignment="1">
      <alignment vertical="center"/>
    </xf>
    <xf numFmtId="2" fontId="34" fillId="12" borderId="0" xfId="0" applyNumberFormat="1" applyFont="1" applyFill="1"/>
    <xf numFmtId="2" fontId="34" fillId="12" borderId="0" xfId="0" applyNumberFormat="1" applyFont="1" applyFill="1" applyAlignment="1">
      <alignment vertical="center"/>
    </xf>
    <xf numFmtId="3" fontId="34" fillId="12" borderId="0" xfId="0" applyNumberFormat="1" applyFont="1" applyFill="1" applyAlignment="1">
      <alignment vertical="center"/>
    </xf>
    <xf numFmtId="3" fontId="6" fillId="9" borderId="0" xfId="0" applyNumberFormat="1" applyFont="1" applyFill="1" applyAlignment="1">
      <alignment vertical="center"/>
    </xf>
    <xf numFmtId="165" fontId="6" fillId="2" borderId="0" xfId="0" applyNumberFormat="1" applyFont="1" applyFill="1" applyAlignment="1">
      <alignment vertical="center"/>
    </xf>
    <xf numFmtId="3" fontId="6" fillId="4" borderId="0" xfId="0" applyNumberFormat="1" applyFont="1" applyFill="1" applyAlignment="1">
      <alignment vertical="center"/>
    </xf>
    <xf numFmtId="165" fontId="34" fillId="12" borderId="0" xfId="0" applyNumberFormat="1" applyFont="1" applyFill="1" applyAlignment="1">
      <alignment vertical="center"/>
    </xf>
    <xf numFmtId="43" fontId="34" fillId="12" borderId="0" xfId="0" applyNumberFormat="1" applyFont="1" applyFill="1" applyAlignment="1">
      <alignment vertical="center"/>
    </xf>
    <xf numFmtId="168" fontId="34" fillId="2" borderId="0" xfId="0" applyNumberFormat="1" applyFont="1" applyFill="1" applyAlignment="1">
      <alignment vertical="center"/>
    </xf>
    <xf numFmtId="165" fontId="6" fillId="12" borderId="0" xfId="1" applyNumberFormat="1" applyFont="1" applyFill="1" applyAlignment="1">
      <alignment vertical="center"/>
    </xf>
    <xf numFmtId="167" fontId="2" fillId="2" borderId="0" xfId="1" applyNumberFormat="1" applyFont="1" applyFill="1" applyAlignment="1">
      <alignment vertical="center"/>
    </xf>
    <xf numFmtId="0" fontId="6" fillId="3" borderId="0" xfId="0" applyFont="1" applyFill="1" applyAlignment="1">
      <alignment vertical="center"/>
    </xf>
    <xf numFmtId="0" fontId="6" fillId="2" borderId="0" xfId="0" applyFont="1" applyFill="1" applyAlignment="1">
      <alignment horizontal="center" vertical="center" wrapText="1"/>
    </xf>
    <xf numFmtId="2" fontId="6" fillId="2" borderId="0" xfId="1" applyNumberFormat="1" applyFont="1" applyFill="1" applyAlignment="1">
      <alignment vertical="center"/>
    </xf>
    <xf numFmtId="167" fontId="6" fillId="2" borderId="0" xfId="1" applyNumberFormat="1" applyFont="1" applyFill="1" applyAlignment="1">
      <alignment vertical="center"/>
    </xf>
    <xf numFmtId="168" fontId="34" fillId="12" borderId="1" xfId="0" applyNumberFormat="1" applyFont="1" applyFill="1" applyBorder="1" applyAlignment="1">
      <alignment vertical="center"/>
    </xf>
    <xf numFmtId="168" fontId="34" fillId="12" borderId="0" xfId="0" quotePrefix="1" applyNumberFormat="1" applyFont="1" applyFill="1" applyAlignment="1">
      <alignment vertical="center"/>
    </xf>
    <xf numFmtId="0" fontId="6" fillId="2" borderId="0" xfId="0" applyFont="1" applyFill="1" applyAlignment="1">
      <alignment horizontal="left" vertical="center" indent="1"/>
    </xf>
    <xf numFmtId="0" fontId="6" fillId="6" borderId="0" xfId="0" applyFont="1" applyFill="1" applyAlignment="1">
      <alignment vertical="center"/>
    </xf>
    <xf numFmtId="0" fontId="34" fillId="2" borderId="0" xfId="0" applyFont="1" applyFill="1" applyAlignment="1">
      <alignment vertical="center"/>
    </xf>
    <xf numFmtId="9" fontId="34" fillId="9" borderId="0" xfId="2" applyFont="1" applyFill="1" applyAlignment="1">
      <alignment vertical="center"/>
    </xf>
    <xf numFmtId="0" fontId="34" fillId="9" borderId="0" xfId="0" quotePrefix="1" applyFont="1" applyFill="1" applyAlignment="1">
      <alignment vertical="center"/>
    </xf>
    <xf numFmtId="0" fontId="34" fillId="2" borderId="0" xfId="0" applyFont="1" applyFill="1" applyAlignment="1">
      <alignment horizontal="left" vertical="center" indent="1"/>
    </xf>
    <xf numFmtId="0" fontId="34" fillId="6" borderId="0" xfId="0" applyFont="1" applyFill="1" applyAlignment="1">
      <alignment vertical="center"/>
    </xf>
    <xf numFmtId="0" fontId="34" fillId="2" borderId="0" xfId="0" applyFont="1" applyFill="1" applyAlignment="1">
      <alignment horizontal="left" vertical="center" indent="2"/>
    </xf>
    <xf numFmtId="168" fontId="7" fillId="7" borderId="0" xfId="0" applyNumberFormat="1" applyFont="1" applyFill="1" applyAlignment="1">
      <alignment vertical="center"/>
    </xf>
    <xf numFmtId="0" fontId="36" fillId="2" borderId="0" xfId="0" quotePrefix="1" applyFont="1" applyFill="1" applyAlignment="1">
      <alignment vertical="center"/>
    </xf>
    <xf numFmtId="10" fontId="36" fillId="12" borderId="0" xfId="2" applyNumberFormat="1" applyFont="1" applyFill="1" applyAlignment="1">
      <alignment vertical="center"/>
    </xf>
    <xf numFmtId="164" fontId="36" fillId="12" borderId="0" xfId="0" applyNumberFormat="1" applyFont="1" applyFill="1" applyAlignment="1">
      <alignment vertical="center"/>
    </xf>
    <xf numFmtId="168" fontId="34" fillId="7" borderId="0" xfId="0" applyNumberFormat="1" applyFont="1" applyFill="1" applyAlignment="1">
      <alignment vertical="center"/>
    </xf>
    <xf numFmtId="0" fontId="36" fillId="3" borderId="0" xfId="0" applyFont="1" applyFill="1" applyAlignment="1">
      <alignment horizontal="center" vertical="center"/>
    </xf>
    <xf numFmtId="171" fontId="34" fillId="12" borderId="0" xfId="0" applyNumberFormat="1" applyFont="1" applyFill="1" applyAlignment="1">
      <alignment vertical="center"/>
    </xf>
    <xf numFmtId="169" fontId="6" fillId="12" borderId="0" xfId="0" applyNumberFormat="1" applyFont="1" applyFill="1" applyAlignment="1">
      <alignment vertical="center"/>
    </xf>
    <xf numFmtId="164" fontId="6" fillId="12" borderId="0" xfId="1" applyNumberFormat="1" applyFont="1" applyFill="1"/>
    <xf numFmtId="168" fontId="6" fillId="6" borderId="0" xfId="0" applyNumberFormat="1" applyFont="1" applyFill="1" applyAlignment="1">
      <alignment vertical="center"/>
    </xf>
    <xf numFmtId="2" fontId="6" fillId="2" borderId="0" xfId="0" applyNumberFormat="1" applyFont="1" applyFill="1" applyAlignment="1">
      <alignment vertical="center"/>
    </xf>
    <xf numFmtId="2" fontId="6" fillId="6" borderId="0" xfId="0" applyNumberFormat="1" applyFont="1" applyFill="1" applyAlignment="1">
      <alignment vertical="center"/>
    </xf>
    <xf numFmtId="2" fontId="8" fillId="12" borderId="0" xfId="0" applyNumberFormat="1" applyFont="1" applyFill="1" applyAlignment="1">
      <alignment vertical="center"/>
    </xf>
    <xf numFmtId="9" fontId="34" fillId="2" borderId="0" xfId="0" applyNumberFormat="1" applyFont="1" applyFill="1" applyAlignment="1">
      <alignment vertical="center"/>
    </xf>
    <xf numFmtId="171" fontId="7" fillId="2" borderId="0" xfId="0" applyNumberFormat="1" applyFont="1" applyFill="1" applyAlignment="1">
      <alignment vertical="center"/>
    </xf>
    <xf numFmtId="0" fontId="34" fillId="2" borderId="0" xfId="0" quotePrefix="1" applyFont="1" applyFill="1" applyAlignment="1">
      <alignment horizontal="left" vertical="center" indent="1"/>
    </xf>
    <xf numFmtId="166" fontId="6" fillId="2" borderId="0" xfId="2" applyNumberFormat="1" applyFont="1" applyFill="1" applyBorder="1" applyAlignment="1">
      <alignment vertical="center"/>
    </xf>
    <xf numFmtId="0" fontId="34" fillId="2" borderId="0" xfId="0" applyFont="1" applyFill="1" applyAlignment="1">
      <alignment horizontal="center" vertical="center"/>
    </xf>
    <xf numFmtId="187" fontId="6" fillId="2" borderId="0" xfId="0" applyNumberFormat="1" applyFont="1" applyFill="1" applyAlignment="1">
      <alignment vertical="center"/>
    </xf>
    <xf numFmtId="187" fontId="6" fillId="2" borderId="1" xfId="0" applyNumberFormat="1" applyFont="1" applyFill="1" applyBorder="1" applyAlignment="1">
      <alignment vertical="center"/>
    </xf>
    <xf numFmtId="0" fontId="6" fillId="2" borderId="0" xfId="0" applyFont="1" applyFill="1" applyAlignment="1">
      <alignment horizontal="center" vertical="center"/>
    </xf>
    <xf numFmtId="193" fontId="6" fillId="2" borderId="0" xfId="0" applyNumberFormat="1" applyFont="1" applyFill="1" applyAlignment="1">
      <alignment vertical="center"/>
    </xf>
    <xf numFmtId="0" fontId="7" fillId="2" borderId="2" xfId="0" applyFont="1" applyFill="1" applyBorder="1" applyAlignment="1">
      <alignment vertical="center"/>
    </xf>
    <xf numFmtId="0" fontId="7" fillId="2" borderId="2" xfId="0" applyFont="1" applyFill="1" applyBorder="1" applyAlignment="1">
      <alignment horizontal="center" vertical="center" wrapText="1"/>
    </xf>
    <xf numFmtId="187" fontId="7" fillId="2" borderId="0" xfId="0" applyNumberFormat="1" applyFont="1" applyFill="1" applyAlignment="1">
      <alignment vertical="center"/>
    </xf>
    <xf numFmtId="185" fontId="6" fillId="2" borderId="1" xfId="0" applyNumberFormat="1" applyFont="1" applyFill="1" applyBorder="1" applyAlignment="1">
      <alignment vertical="center"/>
    </xf>
    <xf numFmtId="10" fontId="4" fillId="2" borderId="0" xfId="0" applyNumberFormat="1" applyFont="1" applyFill="1" applyAlignment="1">
      <alignment vertical="center"/>
    </xf>
    <xf numFmtId="10" fontId="6" fillId="4" borderId="0" xfId="0" applyNumberFormat="1" applyFont="1" applyFill="1" applyAlignment="1">
      <alignment vertical="center"/>
    </xf>
    <xf numFmtId="10" fontId="8" fillId="2" borderId="0" xfId="2" applyNumberFormat="1" applyFont="1" applyFill="1" applyAlignment="1">
      <alignment vertical="center"/>
    </xf>
    <xf numFmtId="2" fontId="20" fillId="4" borderId="0" xfId="0" applyNumberFormat="1" applyFont="1" applyFill="1" applyAlignment="1">
      <alignment vertical="center"/>
    </xf>
    <xf numFmtId="2" fontId="37" fillId="2" borderId="0" xfId="0" applyNumberFormat="1" applyFont="1" applyFill="1" applyAlignment="1">
      <alignment vertical="center"/>
    </xf>
    <xf numFmtId="9" fontId="37" fillId="4" borderId="0" xfId="2" applyFont="1" applyFill="1" applyAlignment="1">
      <alignment vertical="center"/>
    </xf>
    <xf numFmtId="10" fontId="6" fillId="12" borderId="0" xfId="2" applyNumberFormat="1" applyFont="1" applyFill="1" applyAlignment="1">
      <alignment vertical="center"/>
    </xf>
    <xf numFmtId="0" fontId="6" fillId="12" borderId="0" xfId="0" applyFont="1" applyFill="1" applyAlignment="1">
      <alignment vertical="center"/>
    </xf>
    <xf numFmtId="9" fontId="6" fillId="12" borderId="0" xfId="2" applyFont="1" applyFill="1" applyAlignment="1">
      <alignment vertical="center"/>
    </xf>
    <xf numFmtId="168" fontId="37" fillId="12" borderId="0" xfId="0" applyNumberFormat="1" applyFont="1" applyFill="1" applyAlignment="1">
      <alignment vertical="center"/>
    </xf>
    <xf numFmtId="0" fontId="37" fillId="12" borderId="0" xfId="0" quotePrefix="1" applyFont="1" applyFill="1" applyAlignment="1">
      <alignment vertical="center"/>
    </xf>
    <xf numFmtId="168" fontId="37" fillId="8" borderId="0" xfId="0" applyNumberFormat="1" applyFont="1" applyFill="1" applyAlignment="1">
      <alignment vertical="center"/>
    </xf>
    <xf numFmtId="0" fontId="37" fillId="2" borderId="0" xfId="0" quotePrefix="1" applyFont="1" applyFill="1" applyAlignment="1">
      <alignment vertical="center"/>
    </xf>
    <xf numFmtId="168" fontId="38" fillId="7" borderId="0" xfId="0" applyNumberFormat="1" applyFont="1" applyFill="1" applyAlignment="1">
      <alignment vertical="center"/>
    </xf>
    <xf numFmtId="9" fontId="6" fillId="6" borderId="0" xfId="2" applyFont="1" applyFill="1" applyAlignment="1">
      <alignment vertical="center"/>
    </xf>
    <xf numFmtId="165" fontId="37" fillId="9" borderId="0" xfId="1" applyNumberFormat="1" applyFont="1" applyFill="1" applyAlignment="1">
      <alignment vertical="center"/>
    </xf>
    <xf numFmtId="168" fontId="8" fillId="12" borderId="0" xfId="0" applyNumberFormat="1" applyFont="1" applyFill="1" applyAlignment="1">
      <alignment vertical="center"/>
    </xf>
    <xf numFmtId="0" fontId="2" fillId="5" borderId="0" xfId="0" applyFont="1" applyFill="1" applyAlignment="1">
      <alignment horizontal="center" vertical="center"/>
    </xf>
    <xf numFmtId="0" fontId="2" fillId="5" borderId="2" xfId="0" applyFont="1" applyFill="1" applyBorder="1" applyAlignment="1">
      <alignment horizontal="center" vertical="center" wrapText="1"/>
    </xf>
    <xf numFmtId="0" fontId="2" fillId="5" borderId="2" xfId="0" applyFont="1" applyFill="1" applyBorder="1" applyAlignment="1">
      <alignment horizontal="center" vertical="center"/>
    </xf>
    <xf numFmtId="9" fontId="2" fillId="5" borderId="0" xfId="2" applyFont="1" applyFill="1" applyAlignment="1">
      <alignment vertical="center"/>
    </xf>
    <xf numFmtId="166" fontId="2" fillId="5" borderId="0" xfId="2" applyNumberFormat="1" applyFont="1" applyFill="1" applyAlignment="1">
      <alignment vertical="center"/>
    </xf>
    <xf numFmtId="169" fontId="6" fillId="4" borderId="0" xfId="0" applyNumberFormat="1" applyFont="1" applyFill="1" applyAlignment="1">
      <alignment vertical="center"/>
    </xf>
    <xf numFmtId="2" fontId="6" fillId="5" borderId="0" xfId="0" applyNumberFormat="1" applyFont="1" applyFill="1" applyAlignment="1">
      <alignment vertical="center"/>
    </xf>
    <xf numFmtId="168" fontId="8" fillId="12" borderId="0" xfId="1" applyNumberFormat="1" applyFont="1" applyFill="1" applyAlignment="1">
      <alignment vertical="center"/>
    </xf>
    <xf numFmtId="168" fontId="7" fillId="12" borderId="0" xfId="0" applyNumberFormat="1" applyFont="1" applyFill="1" applyAlignment="1">
      <alignment vertical="center"/>
    </xf>
    <xf numFmtId="0" fontId="8" fillId="2" borderId="2" xfId="0" applyFont="1" applyFill="1" applyBorder="1" applyAlignment="1">
      <alignment horizontal="center" vertical="center"/>
    </xf>
    <xf numFmtId="185" fontId="8" fillId="4" borderId="0" xfId="0" applyNumberFormat="1" applyFont="1" applyFill="1" applyAlignment="1">
      <alignment vertical="center"/>
    </xf>
    <xf numFmtId="185" fontId="4" fillId="8" borderId="0" xfId="0" applyNumberFormat="1" applyFont="1" applyFill="1" applyAlignment="1">
      <alignment vertical="center"/>
    </xf>
    <xf numFmtId="9" fontId="6" fillId="2" borderId="0" xfId="2" applyFont="1" applyFill="1" applyAlignment="1">
      <alignment vertical="center"/>
    </xf>
    <xf numFmtId="2" fontId="8" fillId="2" borderId="0" xfId="1" applyNumberFormat="1" applyFont="1" applyFill="1" applyAlignment="1">
      <alignment vertical="center"/>
    </xf>
    <xf numFmtId="9" fontId="7" fillId="2" borderId="0" xfId="2" applyFont="1" applyFill="1" applyAlignment="1">
      <alignment horizontal="center" vertical="center"/>
    </xf>
    <xf numFmtId="185" fontId="34" fillId="12" borderId="0" xfId="0" applyNumberFormat="1" applyFont="1" applyFill="1" applyAlignment="1">
      <alignment vertical="center"/>
    </xf>
    <xf numFmtId="170" fontId="6" fillId="12" borderId="0" xfId="0" applyNumberFormat="1" applyFont="1" applyFill="1" applyAlignment="1">
      <alignment vertical="center"/>
    </xf>
    <xf numFmtId="169" fontId="34" fillId="12" borderId="0" xfId="1" applyNumberFormat="1" applyFont="1" applyFill="1" applyAlignment="1">
      <alignment vertical="center"/>
    </xf>
    <xf numFmtId="164" fontId="6" fillId="4" borderId="0" xfId="1" applyNumberFormat="1" applyFont="1" applyFill="1"/>
    <xf numFmtId="165" fontId="6" fillId="4" borderId="0" xfId="1" applyNumberFormat="1" applyFont="1" applyFill="1"/>
    <xf numFmtId="166" fontId="2" fillId="12" borderId="0" xfId="2" applyNumberFormat="1" applyFont="1" applyFill="1" applyAlignment="1">
      <alignment vertical="center"/>
    </xf>
    <xf numFmtId="0" fontId="6" fillId="8" borderId="0" xfId="0" quotePrefix="1" applyFont="1" applyFill="1" applyAlignment="1">
      <alignment horizontal="right" vertical="center"/>
    </xf>
    <xf numFmtId="171" fontId="7" fillId="2" borderId="0" xfId="1" applyNumberFormat="1" applyFont="1" applyFill="1" applyAlignment="1">
      <alignment vertical="center"/>
    </xf>
    <xf numFmtId="171" fontId="7" fillId="12" borderId="0" xfId="1" applyNumberFormat="1" applyFont="1" applyFill="1" applyAlignment="1">
      <alignment vertical="center"/>
    </xf>
    <xf numFmtId="171" fontId="7" fillId="12" borderId="0" xfId="0" applyNumberFormat="1" applyFont="1" applyFill="1" applyAlignment="1">
      <alignment vertical="center"/>
    </xf>
    <xf numFmtId="171" fontId="7" fillId="12" borderId="1" xfId="1" applyNumberFormat="1" applyFont="1" applyFill="1" applyBorder="1" applyAlignment="1">
      <alignment vertical="center"/>
    </xf>
    <xf numFmtId="171" fontId="7" fillId="2" borderId="1" xfId="1" applyNumberFormat="1" applyFont="1" applyFill="1" applyBorder="1" applyAlignment="1">
      <alignment vertical="center"/>
    </xf>
    <xf numFmtId="0" fontId="6" fillId="12" borderId="0" xfId="0" quotePrefix="1" applyFont="1" applyFill="1" applyAlignment="1">
      <alignment vertical="center"/>
    </xf>
    <xf numFmtId="0" fontId="32" fillId="2" borderId="0" xfId="0" quotePrefix="1" applyFont="1" applyFill="1" applyAlignment="1">
      <alignment vertical="center"/>
    </xf>
    <xf numFmtId="171" fontId="32" fillId="12" borderId="0" xfId="1" applyNumberFormat="1" applyFont="1" applyFill="1" applyAlignment="1">
      <alignment vertical="center"/>
    </xf>
    <xf numFmtId="171" fontId="6" fillId="4" borderId="0" xfId="1" applyNumberFormat="1" applyFont="1" applyFill="1" applyAlignment="1">
      <alignment vertical="center"/>
    </xf>
    <xf numFmtId="191" fontId="7" fillId="3" borderId="0" xfId="1" applyNumberFormat="1" applyFont="1" applyFill="1" applyAlignment="1">
      <alignment vertical="center"/>
    </xf>
    <xf numFmtId="168" fontId="8" fillId="7" borderId="0" xfId="0" applyNumberFormat="1" applyFont="1" applyFill="1" applyAlignment="1">
      <alignment vertical="center"/>
    </xf>
    <xf numFmtId="165" fontId="6" fillId="7" borderId="0" xfId="0" applyNumberFormat="1" applyFont="1" applyFill="1" applyAlignment="1">
      <alignment vertical="center"/>
    </xf>
    <xf numFmtId="167" fontId="6" fillId="7" borderId="0" xfId="0" applyNumberFormat="1" applyFont="1" applyFill="1" applyAlignment="1">
      <alignment vertical="center"/>
    </xf>
    <xf numFmtId="2" fontId="6" fillId="7" borderId="0" xfId="0" applyNumberFormat="1" applyFont="1" applyFill="1" applyAlignment="1">
      <alignment vertical="center"/>
    </xf>
    <xf numFmtId="0" fontId="8" fillId="7" borderId="0" xfId="0" applyFont="1" applyFill="1" applyAlignment="1">
      <alignment vertical="center"/>
    </xf>
    <xf numFmtId="166" fontId="34" fillId="2" borderId="0" xfId="2" applyNumberFormat="1" applyFont="1" applyFill="1" applyAlignment="1">
      <alignment vertical="center"/>
    </xf>
    <xf numFmtId="166" fontId="34" fillId="12" borderId="0" xfId="2" applyNumberFormat="1" applyFont="1" applyFill="1" applyAlignment="1">
      <alignment vertical="center"/>
    </xf>
    <xf numFmtId="185" fontId="7" fillId="2" borderId="0" xfId="0" applyNumberFormat="1" applyFont="1" applyFill="1" applyAlignment="1">
      <alignment vertical="center"/>
    </xf>
    <xf numFmtId="185" fontId="7" fillId="2" borderId="1" xfId="0" applyNumberFormat="1" applyFont="1" applyFill="1" applyBorder="1" applyAlignment="1">
      <alignment vertical="center"/>
    </xf>
    <xf numFmtId="185" fontId="34" fillId="2" borderId="0" xfId="0" applyNumberFormat="1" applyFont="1" applyFill="1" applyAlignment="1">
      <alignment vertical="center"/>
    </xf>
    <xf numFmtId="185" fontId="34" fillId="2" borderId="1" xfId="0" applyNumberFormat="1" applyFont="1" applyFill="1" applyBorder="1" applyAlignment="1">
      <alignment vertical="center"/>
    </xf>
    <xf numFmtId="0" fontId="37" fillId="2" borderId="0" xfId="0" applyFont="1" applyFill="1" applyAlignment="1">
      <alignment horizontal="center" vertical="center"/>
    </xf>
    <xf numFmtId="185" fontId="37" fillId="2" borderId="0" xfId="0" applyNumberFormat="1" applyFont="1" applyFill="1" applyAlignment="1">
      <alignment vertical="center"/>
    </xf>
    <xf numFmtId="185" fontId="37" fillId="2" borderId="1" xfId="0" applyNumberFormat="1" applyFont="1" applyFill="1" applyBorder="1" applyAlignment="1">
      <alignment vertical="center"/>
    </xf>
    <xf numFmtId="168" fontId="6" fillId="5" borderId="0" xfId="0" applyNumberFormat="1" applyFont="1" applyFill="1" applyAlignment="1">
      <alignment vertical="center"/>
    </xf>
    <xf numFmtId="10" fontId="6" fillId="5" borderId="0" xfId="2" applyNumberFormat="1" applyFont="1" applyFill="1" applyAlignment="1">
      <alignment vertical="center"/>
    </xf>
    <xf numFmtId="0" fontId="6" fillId="5" borderId="0" xfId="0" quotePrefix="1" applyFont="1" applyFill="1" applyAlignment="1">
      <alignment vertical="center"/>
    </xf>
    <xf numFmtId="189" fontId="6" fillId="6" borderId="0" xfId="6" applyNumberFormat="1" applyFont="1" applyFill="1" applyAlignment="1">
      <alignment horizontal="right" vertical="center" wrapText="1"/>
    </xf>
    <xf numFmtId="9" fontId="6" fillId="4" borderId="0" xfId="0" applyNumberFormat="1" applyFont="1" applyFill="1" applyAlignment="1">
      <alignment vertical="center"/>
    </xf>
    <xf numFmtId="0" fontId="8" fillId="2" borderId="0" xfId="0" applyFont="1" applyFill="1" applyAlignment="1">
      <alignment horizontal="left" vertical="center" indent="3"/>
    </xf>
    <xf numFmtId="2" fontId="2" fillId="12" borderId="1" xfId="0" applyNumberFormat="1" applyFont="1" applyFill="1" applyBorder="1" applyAlignment="1">
      <alignment vertical="center"/>
    </xf>
    <xf numFmtId="9" fontId="2" fillId="12" borderId="0" xfId="0" applyNumberFormat="1" applyFont="1" applyFill="1" applyAlignment="1">
      <alignment vertical="center"/>
    </xf>
    <xf numFmtId="0" fontId="2" fillId="12" borderId="0" xfId="0" quotePrefix="1" applyFont="1" applyFill="1" applyAlignment="1">
      <alignment vertical="center"/>
    </xf>
    <xf numFmtId="9" fontId="6" fillId="2" borderId="1" xfId="2" applyFont="1" applyFill="1" applyBorder="1" applyAlignment="1">
      <alignment vertical="center"/>
    </xf>
    <xf numFmtId="189" fontId="7" fillId="2" borderId="0" xfId="1" applyNumberFormat="1" applyFont="1" applyFill="1" applyBorder="1" applyAlignment="1">
      <alignment vertical="center"/>
    </xf>
    <xf numFmtId="189" fontId="2" fillId="2" borderId="1" xfId="0" applyNumberFormat="1" applyFont="1" applyFill="1" applyBorder="1" applyAlignment="1">
      <alignment vertical="center"/>
    </xf>
    <xf numFmtId="189" fontId="8" fillId="2" borderId="0" xfId="1" applyNumberFormat="1" applyFont="1" applyFill="1" applyBorder="1" applyAlignment="1">
      <alignment vertical="center"/>
    </xf>
    <xf numFmtId="0" fontId="6" fillId="2" borderId="2" xfId="0" applyFont="1" applyFill="1" applyBorder="1" applyAlignment="1">
      <alignment vertical="center"/>
    </xf>
    <xf numFmtId="9" fontId="6" fillId="2" borderId="0" xfId="2" applyFont="1" applyFill="1" applyAlignment="1">
      <alignment horizontal="center" vertical="center"/>
    </xf>
    <xf numFmtId="10" fontId="6" fillId="2" borderId="0" xfId="2" applyNumberFormat="1" applyFont="1" applyFill="1" applyAlignment="1">
      <alignment horizontal="center" vertical="center"/>
    </xf>
    <xf numFmtId="166" fontId="6" fillId="2" borderId="0" xfId="2" applyNumberFormat="1" applyFont="1" applyFill="1" applyAlignment="1">
      <alignment horizontal="center" vertical="center"/>
    </xf>
    <xf numFmtId="189" fontId="7" fillId="2" borderId="1" xfId="1" applyNumberFormat="1" applyFont="1" applyFill="1" applyBorder="1" applyAlignment="1">
      <alignment vertical="center"/>
    </xf>
    <xf numFmtId="189" fontId="8" fillId="2" borderId="1" xfId="1" applyNumberFormat="1" applyFont="1" applyFill="1" applyBorder="1" applyAlignment="1">
      <alignment vertical="center"/>
    </xf>
    <xf numFmtId="185" fontId="8" fillId="2" borderId="1" xfId="0" applyNumberFormat="1" applyFont="1" applyFill="1" applyBorder="1" applyAlignment="1">
      <alignment vertical="center"/>
    </xf>
    <xf numFmtId="0" fontId="6" fillId="2" borderId="2" xfId="0" applyFont="1" applyFill="1" applyBorder="1" applyAlignment="1">
      <alignment horizontal="left" vertical="center"/>
    </xf>
    <xf numFmtId="10" fontId="7" fillId="2" borderId="0" xfId="2" applyNumberFormat="1" applyFont="1" applyFill="1" applyAlignment="1">
      <alignment horizontal="center" vertical="center"/>
    </xf>
    <xf numFmtId="166" fontId="7" fillId="2" borderId="0" xfId="2" applyNumberFormat="1" applyFont="1" applyFill="1" applyAlignment="1">
      <alignment horizontal="center" vertical="center"/>
    </xf>
    <xf numFmtId="194" fontId="6" fillId="2" borderId="0" xfId="0" applyNumberFormat="1" applyFont="1" applyFill="1" applyAlignment="1">
      <alignment horizontal="center" vertical="center"/>
    </xf>
    <xf numFmtId="194" fontId="7" fillId="2" borderId="0" xfId="0" applyNumberFormat="1" applyFont="1" applyFill="1" applyAlignment="1">
      <alignment horizontal="center" vertical="center"/>
    </xf>
    <xf numFmtId="195" fontId="2" fillId="2" borderId="0" xfId="0" applyNumberFormat="1" applyFont="1" applyFill="1" applyAlignment="1">
      <alignment horizontal="center" vertical="center"/>
    </xf>
    <xf numFmtId="195" fontId="2" fillId="2" borderId="1" xfId="0" applyNumberFormat="1" applyFont="1" applyFill="1" applyBorder="1" applyAlignment="1">
      <alignment horizontal="center" vertical="center"/>
    </xf>
    <xf numFmtId="195" fontId="6" fillId="2" borderId="0" xfId="0" applyNumberFormat="1" applyFont="1" applyFill="1" applyAlignment="1">
      <alignment horizontal="center" vertical="center"/>
    </xf>
    <xf numFmtId="196" fontId="2" fillId="2" borderId="0" xfId="0" applyNumberFormat="1" applyFont="1" applyFill="1" applyAlignment="1">
      <alignment horizontal="center" vertical="center"/>
    </xf>
    <xf numFmtId="197" fontId="2" fillId="2" borderId="0" xfId="0" applyNumberFormat="1" applyFont="1" applyFill="1" applyAlignment="1">
      <alignment horizontal="center" vertical="center"/>
    </xf>
    <xf numFmtId="197" fontId="2" fillId="2" borderId="1" xfId="0" applyNumberFormat="1" applyFont="1" applyFill="1" applyBorder="1" applyAlignment="1">
      <alignment horizontal="center" vertical="center"/>
    </xf>
    <xf numFmtId="165" fontId="7" fillId="2" borderId="0" xfId="1" applyNumberFormat="1" applyFont="1" applyFill="1" applyAlignment="1">
      <alignment horizontal="center" vertical="center"/>
    </xf>
    <xf numFmtId="165" fontId="7" fillId="2" borderId="1" xfId="1" applyNumberFormat="1" applyFont="1" applyFill="1" applyBorder="1" applyAlignment="1">
      <alignment horizontal="center" vertical="center"/>
    </xf>
    <xf numFmtId="0" fontId="7" fillId="2" borderId="0" xfId="0" applyFont="1" applyFill="1" applyAlignment="1">
      <alignment horizontal="left" vertical="center" indent="3"/>
    </xf>
    <xf numFmtId="2" fontId="7" fillId="6" borderId="0" xfId="0" applyNumberFormat="1" applyFont="1" applyFill="1" applyAlignment="1">
      <alignment vertical="center"/>
    </xf>
    <xf numFmtId="2" fontId="7" fillId="11" borderId="0" xfId="0" applyNumberFormat="1" applyFont="1" applyFill="1" applyAlignment="1">
      <alignment vertical="center"/>
    </xf>
    <xf numFmtId="166" fontId="6" fillId="5" borderId="1" xfId="2" applyNumberFormat="1" applyFont="1" applyFill="1" applyBorder="1" applyAlignment="1">
      <alignment vertical="center"/>
    </xf>
    <xf numFmtId="0" fontId="2" fillId="9" borderId="0" xfId="0" applyFont="1" applyFill="1" applyAlignment="1">
      <alignment horizontal="left" vertical="center" indent="3"/>
    </xf>
    <xf numFmtId="0" fontId="2" fillId="11" borderId="0" xfId="0" applyFont="1" applyFill="1" applyAlignment="1">
      <alignment horizontal="left" vertical="center" indent="3"/>
    </xf>
    <xf numFmtId="185" fontId="2" fillId="11" borderId="0" xfId="0" applyNumberFormat="1" applyFont="1" applyFill="1" applyAlignment="1">
      <alignment vertical="center"/>
    </xf>
    <xf numFmtId="9" fontId="5" fillId="11" borderId="0" xfId="2" applyFont="1" applyFill="1" applyBorder="1" applyAlignment="1">
      <alignment vertical="center"/>
    </xf>
    <xf numFmtId="0" fontId="7" fillId="9" borderId="0" xfId="0" quotePrefix="1" applyFont="1" applyFill="1" applyAlignment="1">
      <alignment vertical="center"/>
    </xf>
    <xf numFmtId="9" fontId="5" fillId="5" borderId="7" xfId="2" applyFont="1" applyFill="1" applyBorder="1" applyAlignment="1">
      <alignment vertical="center"/>
    </xf>
    <xf numFmtId="9" fontId="6" fillId="5" borderId="0" xfId="2" applyFont="1" applyFill="1"/>
    <xf numFmtId="0" fontId="6" fillId="9" borderId="0" xfId="0" applyFont="1" applyFill="1" applyAlignment="1">
      <alignment vertical="center"/>
    </xf>
    <xf numFmtId="0" fontId="2" fillId="11" borderId="1" xfId="0" applyFont="1" applyFill="1" applyBorder="1" applyAlignment="1">
      <alignment vertical="center"/>
    </xf>
    <xf numFmtId="165" fontId="7" fillId="11" borderId="1" xfId="1" applyNumberFormat="1" applyFont="1" applyFill="1" applyBorder="1" applyAlignment="1">
      <alignment vertical="center"/>
    </xf>
    <xf numFmtId="165" fontId="7" fillId="11" borderId="0" xfId="1" applyNumberFormat="1" applyFont="1" applyFill="1" applyBorder="1" applyAlignment="1">
      <alignment vertical="center"/>
    </xf>
    <xf numFmtId="9" fontId="2" fillId="11" borderId="0" xfId="2" applyFont="1" applyFill="1" applyAlignment="1">
      <alignment vertical="center"/>
    </xf>
    <xf numFmtId="0" fontId="2" fillId="7" borderId="8" xfId="0" applyFont="1" applyFill="1" applyBorder="1" applyAlignment="1">
      <alignment vertical="center"/>
    </xf>
    <xf numFmtId="164" fontId="7" fillId="7" borderId="9" xfId="1" applyNumberFormat="1" applyFont="1" applyFill="1" applyBorder="1" applyAlignment="1">
      <alignment vertical="center"/>
    </xf>
    <xf numFmtId="0" fontId="2" fillId="2" borderId="1" xfId="0" applyFont="1" applyFill="1" applyBorder="1" applyAlignment="1">
      <alignment horizontal="center" vertical="center"/>
    </xf>
    <xf numFmtId="9" fontId="2" fillId="2" borderId="0" xfId="2" applyFont="1" applyFill="1" applyBorder="1" applyAlignment="1">
      <alignment horizontal="center" vertical="center"/>
    </xf>
    <xf numFmtId="166" fontId="2" fillId="2" borderId="1" xfId="2" applyNumberFormat="1" applyFont="1" applyFill="1" applyBorder="1" applyAlignment="1">
      <alignment horizontal="center" vertical="center"/>
    </xf>
    <xf numFmtId="189" fontId="2" fillId="2" borderId="0" xfId="0" applyNumberFormat="1" applyFont="1" applyFill="1" applyAlignment="1">
      <alignment vertical="center"/>
    </xf>
    <xf numFmtId="9" fontId="7" fillId="2" borderId="0" xfId="2" applyFont="1" applyFill="1" applyAlignment="1">
      <alignment horizontal="right" vertical="center"/>
    </xf>
    <xf numFmtId="198" fontId="6" fillId="2" borderId="0" xfId="0" applyNumberFormat="1" applyFont="1" applyFill="1" applyAlignment="1">
      <alignment horizontal="center" vertical="center"/>
    </xf>
    <xf numFmtId="9" fontId="2" fillId="2" borderId="1" xfId="2" applyFont="1" applyFill="1" applyBorder="1" applyAlignment="1">
      <alignment horizontal="center" vertical="center"/>
    </xf>
    <xf numFmtId="0" fontId="2" fillId="2" borderId="7" xfId="0" applyFont="1" applyFill="1" applyBorder="1" applyAlignment="1">
      <alignment vertical="center"/>
    </xf>
    <xf numFmtId="9" fontId="6" fillId="2" borderId="7" xfId="2" applyFont="1" applyFill="1" applyBorder="1" applyAlignment="1">
      <alignment horizontal="center" vertical="center"/>
    </xf>
    <xf numFmtId="194" fontId="6" fillId="2" borderId="7" xfId="0" applyNumberFormat="1" applyFont="1" applyFill="1" applyBorder="1" applyAlignment="1">
      <alignment horizontal="center" vertical="center"/>
    </xf>
    <xf numFmtId="195" fontId="2" fillId="2" borderId="7" xfId="0" applyNumberFormat="1" applyFont="1" applyFill="1" applyBorder="1" applyAlignment="1">
      <alignment horizontal="center" vertical="center"/>
    </xf>
    <xf numFmtId="9" fontId="2" fillId="2" borderId="7" xfId="2" applyFont="1" applyFill="1" applyBorder="1" applyAlignment="1">
      <alignment horizontal="center" vertical="center"/>
    </xf>
    <xf numFmtId="166" fontId="2" fillId="2" borderId="7" xfId="2" applyNumberFormat="1" applyFont="1" applyFill="1" applyBorder="1" applyAlignment="1">
      <alignment horizontal="center" vertical="center"/>
    </xf>
    <xf numFmtId="166" fontId="6" fillId="2" borderId="1" xfId="2" applyNumberFormat="1" applyFont="1" applyFill="1" applyBorder="1" applyAlignment="1">
      <alignment horizontal="center" vertical="center"/>
    </xf>
    <xf numFmtId="194" fontId="7" fillId="2" borderId="1" xfId="0" applyNumberFormat="1" applyFont="1" applyFill="1" applyBorder="1" applyAlignment="1">
      <alignment horizontal="center" vertical="center"/>
    </xf>
    <xf numFmtId="10" fontId="2" fillId="2" borderId="0" xfId="2" applyNumberFormat="1" applyFont="1" applyFill="1" applyAlignment="1">
      <alignment horizontal="center" vertical="center"/>
    </xf>
    <xf numFmtId="0" fontId="6" fillId="2" borderId="0" xfId="0" applyFont="1" applyFill="1" applyAlignment="1">
      <alignment horizontal="left" vertical="center"/>
    </xf>
    <xf numFmtId="166" fontId="7" fillId="2" borderId="1" xfId="2" applyNumberFormat="1" applyFont="1" applyFill="1" applyBorder="1" applyAlignment="1">
      <alignment horizontal="center" vertical="center"/>
    </xf>
    <xf numFmtId="10" fontId="6" fillId="2" borderId="7" xfId="2" applyNumberFormat="1" applyFont="1" applyFill="1" applyBorder="1" applyAlignment="1">
      <alignment horizontal="center" vertical="center"/>
    </xf>
    <xf numFmtId="187" fontId="2" fillId="2" borderId="0" xfId="0" applyNumberFormat="1" applyFont="1" applyFill="1" applyAlignment="1">
      <alignment horizontal="right" vertical="center"/>
    </xf>
    <xf numFmtId="187" fontId="2" fillId="2" borderId="1" xfId="0" applyNumberFormat="1" applyFont="1" applyFill="1" applyBorder="1" applyAlignment="1">
      <alignment horizontal="right" vertical="center"/>
    </xf>
    <xf numFmtId="9" fontId="6" fillId="2" borderId="0" xfId="2" applyFont="1" applyFill="1" applyBorder="1" applyAlignment="1">
      <alignment horizontal="center" vertical="center"/>
    </xf>
    <xf numFmtId="185" fontId="2" fillId="2" borderId="0" xfId="0" applyNumberFormat="1" applyFont="1" applyFill="1" applyAlignment="1">
      <alignment horizontal="center" vertical="center"/>
    </xf>
    <xf numFmtId="195" fontId="6" fillId="4" borderId="0" xfId="0" applyNumberFormat="1" applyFont="1" applyFill="1" applyAlignment="1">
      <alignment horizontal="center" vertical="center"/>
    </xf>
    <xf numFmtId="194" fontId="6" fillId="4" borderId="0" xfId="0" applyNumberFormat="1" applyFont="1" applyFill="1" applyAlignment="1">
      <alignment horizontal="center" vertical="center"/>
    </xf>
    <xf numFmtId="168" fontId="6" fillId="12" borderId="0" xfId="1" applyNumberFormat="1" applyFont="1" applyFill="1" applyAlignment="1">
      <alignment vertical="center"/>
    </xf>
    <xf numFmtId="9" fontId="6" fillId="8" borderId="0" xfId="2" applyFont="1" applyFill="1" applyAlignment="1">
      <alignment vertical="center"/>
    </xf>
    <xf numFmtId="191" fontId="2" fillId="2" borderId="0" xfId="1" applyNumberFormat="1" applyFont="1" applyFill="1" applyAlignment="1">
      <alignment vertical="center"/>
    </xf>
    <xf numFmtId="0" fontId="34" fillId="8" borderId="0" xfId="0" quotePrefix="1" applyFont="1" applyFill="1" applyAlignment="1">
      <alignment horizontal="right" vertical="center"/>
    </xf>
    <xf numFmtId="185" fontId="8" fillId="11" borderId="0" xfId="0" applyNumberFormat="1" applyFont="1" applyFill="1" applyAlignment="1">
      <alignment vertical="center"/>
    </xf>
    <xf numFmtId="0" fontId="8" fillId="11" borderId="0" xfId="0" quotePrefix="1" applyFont="1" applyFill="1" applyAlignment="1">
      <alignment vertical="center"/>
    </xf>
    <xf numFmtId="165" fontId="8" fillId="12" borderId="0" xfId="0" applyNumberFormat="1" applyFont="1" applyFill="1" applyAlignment="1">
      <alignment vertical="center"/>
    </xf>
    <xf numFmtId="165" fontId="8" fillId="4" borderId="0" xfId="0" applyNumberFormat="1" applyFont="1" applyFill="1" applyAlignment="1">
      <alignment vertical="center"/>
    </xf>
    <xf numFmtId="0" fontId="8" fillId="2" borderId="0" xfId="0" quotePrefix="1" applyFont="1" applyFill="1" applyAlignment="1">
      <alignment horizontal="right" vertical="center"/>
    </xf>
    <xf numFmtId="0" fontId="2" fillId="11" borderId="0" xfId="0" quotePrefix="1" applyFont="1" applyFill="1" applyAlignment="1">
      <alignment vertical="center"/>
    </xf>
    <xf numFmtId="0" fontId="6" fillId="2" borderId="1" xfId="0" applyFont="1" applyFill="1" applyBorder="1" applyAlignment="1">
      <alignment vertical="center"/>
    </xf>
    <xf numFmtId="168" fontId="6" fillId="2" borderId="1" xfId="0" applyNumberFormat="1" applyFont="1" applyFill="1" applyBorder="1" applyAlignment="1">
      <alignment vertical="center"/>
    </xf>
    <xf numFmtId="189" fontId="6" fillId="6" borderId="2" xfId="6" applyNumberFormat="1" applyFont="1" applyFill="1" applyBorder="1" applyAlignment="1">
      <alignment horizontal="right" vertical="center" wrapText="1"/>
    </xf>
    <xf numFmtId="183" fontId="7" fillId="2" borderId="2" xfId="4" applyNumberFormat="1" applyFont="1" applyFill="1" applyBorder="1" applyAlignment="1" applyProtection="1">
      <alignment vertical="center"/>
      <protection locked="0"/>
    </xf>
    <xf numFmtId="3" fontId="7" fillId="2" borderId="0" xfId="0" applyNumberFormat="1" applyFont="1" applyFill="1" applyAlignment="1">
      <alignment horizontal="right" vertical="center"/>
    </xf>
    <xf numFmtId="199" fontId="7" fillId="2" borderId="0" xfId="6" applyNumberFormat="1" applyFont="1" applyFill="1" applyAlignment="1">
      <alignment horizontal="right" vertical="center" wrapText="1"/>
    </xf>
    <xf numFmtId="200" fontId="7" fillId="2" borderId="0" xfId="7" applyNumberFormat="1" applyFont="1" applyFill="1" applyBorder="1">
      <alignment vertical="center"/>
    </xf>
    <xf numFmtId="3" fontId="7" fillId="2" borderId="2" xfId="0" applyNumberFormat="1" applyFont="1" applyFill="1" applyBorder="1" applyAlignment="1">
      <alignment horizontal="right" vertical="center"/>
    </xf>
    <xf numFmtId="182" fontId="7" fillId="2" borderId="2" xfId="6" applyNumberFormat="1" applyFont="1" applyFill="1" applyBorder="1" applyAlignment="1">
      <alignment horizontal="right" vertical="center" wrapText="1"/>
    </xf>
    <xf numFmtId="200" fontId="7" fillId="2" borderId="2" xfId="7" applyNumberFormat="1" applyFont="1" applyFill="1" applyBorder="1">
      <alignment vertical="center"/>
    </xf>
    <xf numFmtId="199" fontId="7" fillId="2" borderId="2" xfId="6" applyNumberFormat="1" applyFont="1" applyFill="1" applyBorder="1" applyAlignment="1">
      <alignment horizontal="right" vertical="center" wrapText="1"/>
    </xf>
    <xf numFmtId="189" fontId="34" fillId="2" borderId="0" xfId="0" applyNumberFormat="1" applyFont="1" applyFill="1" applyAlignment="1">
      <alignment vertical="center"/>
    </xf>
    <xf numFmtId="0" fontId="7" fillId="2" borderId="2" xfId="6" applyFont="1" applyFill="1" applyBorder="1" applyAlignment="1">
      <alignment horizontal="left" vertical="center"/>
    </xf>
    <xf numFmtId="181" fontId="6" fillId="4" borderId="2" xfId="6" applyNumberFormat="1" applyFont="1" applyFill="1" applyBorder="1" applyAlignment="1">
      <alignment horizontal="right" vertical="center" wrapText="1"/>
    </xf>
    <xf numFmtId="164" fontId="6" fillId="7" borderId="0" xfId="0" applyNumberFormat="1" applyFont="1" applyFill="1" applyAlignment="1">
      <alignment vertical="center"/>
    </xf>
    <xf numFmtId="171" fontId="6" fillId="12" borderId="0" xfId="0" applyNumberFormat="1" applyFont="1" applyFill="1" applyAlignment="1">
      <alignment vertical="center"/>
    </xf>
    <xf numFmtId="9" fontId="5" fillId="5" borderId="0" xfId="2" applyFont="1" applyFill="1"/>
    <xf numFmtId="9" fontId="34" fillId="2" borderId="0" xfId="2" applyFont="1" applyFill="1"/>
    <xf numFmtId="167" fontId="37" fillId="12" borderId="0" xfId="0" applyNumberFormat="1" applyFont="1" applyFill="1" applyAlignment="1">
      <alignment vertical="center"/>
    </xf>
    <xf numFmtId="166" fontId="6" fillId="4" borderId="1" xfId="2" applyNumberFormat="1" applyFont="1" applyFill="1" applyBorder="1" applyAlignment="1">
      <alignment vertical="center"/>
    </xf>
    <xf numFmtId="201" fontId="6" fillId="2" borderId="2" xfId="0" applyNumberFormat="1" applyFont="1" applyFill="1" applyBorder="1" applyAlignment="1">
      <alignment horizontal="center" vertical="center"/>
    </xf>
    <xf numFmtId="166" fontId="37" fillId="12" borderId="0" xfId="2" applyNumberFormat="1" applyFont="1" applyFill="1" applyAlignment="1">
      <alignment vertical="center"/>
    </xf>
    <xf numFmtId="195" fontId="2" fillId="7" borderId="10" xfId="0" applyNumberFormat="1" applyFont="1" applyFill="1" applyBorder="1" applyAlignment="1">
      <alignment horizontal="center" vertical="center"/>
    </xf>
    <xf numFmtId="165" fontId="7" fillId="7" borderId="11" xfId="1" applyNumberFormat="1" applyFont="1" applyFill="1" applyBorder="1" applyAlignment="1">
      <alignment horizontal="center" vertical="center"/>
    </xf>
    <xf numFmtId="9" fontId="2" fillId="7" borderId="11" xfId="2" applyFont="1" applyFill="1" applyBorder="1" applyAlignment="1">
      <alignment vertical="center"/>
    </xf>
    <xf numFmtId="9" fontId="2" fillId="7" borderId="12" xfId="2" applyFont="1" applyFill="1" applyBorder="1" applyAlignment="1">
      <alignment vertical="center"/>
    </xf>
    <xf numFmtId="0" fontId="2" fillId="5" borderId="7" xfId="0" applyFont="1" applyFill="1" applyBorder="1" applyAlignment="1">
      <alignment horizontal="center" vertical="center"/>
    </xf>
    <xf numFmtId="9" fontId="6" fillId="5" borderId="7" xfId="2" applyFont="1" applyFill="1" applyBorder="1" applyAlignment="1">
      <alignment horizontal="center" vertical="center"/>
    </xf>
    <xf numFmtId="194" fontId="6" fillId="5" borderId="7" xfId="0" applyNumberFormat="1" applyFont="1" applyFill="1" applyBorder="1" applyAlignment="1">
      <alignment horizontal="center" vertical="center"/>
    </xf>
    <xf numFmtId="195" fontId="2" fillId="5" borderId="7" xfId="0" applyNumberFormat="1" applyFont="1" applyFill="1" applyBorder="1" applyAlignment="1">
      <alignment horizontal="center" vertical="center"/>
    </xf>
    <xf numFmtId="9" fontId="2" fillId="5" borderId="7" xfId="2" applyFont="1" applyFill="1" applyBorder="1" applyAlignment="1">
      <alignment horizontal="center" vertical="center"/>
    </xf>
    <xf numFmtId="195" fontId="2" fillId="7" borderId="0" xfId="0" applyNumberFormat="1" applyFont="1" applyFill="1" applyAlignment="1">
      <alignment horizontal="center" vertical="center"/>
    </xf>
    <xf numFmtId="9" fontId="2" fillId="7" borderId="0" xfId="2" applyFont="1" applyFill="1" applyAlignment="1">
      <alignment horizontal="center" vertical="center"/>
    </xf>
    <xf numFmtId="0" fontId="2" fillId="11" borderId="7" xfId="0" applyFont="1" applyFill="1" applyBorder="1" applyAlignment="1">
      <alignment vertical="center"/>
    </xf>
    <xf numFmtId="0" fontId="2" fillId="11" borderId="7" xfId="0" applyFont="1" applyFill="1" applyBorder="1" applyAlignment="1">
      <alignment horizontal="center" vertical="center"/>
    </xf>
    <xf numFmtId="9" fontId="6" fillId="11" borderId="7" xfId="2" applyFont="1" applyFill="1" applyBorder="1" applyAlignment="1">
      <alignment horizontal="center" vertical="center"/>
    </xf>
    <xf numFmtId="194" fontId="6" fillId="11" borderId="7" xfId="0" applyNumberFormat="1" applyFont="1" applyFill="1" applyBorder="1" applyAlignment="1">
      <alignment horizontal="center" vertical="center"/>
    </xf>
    <xf numFmtId="195" fontId="2" fillId="11" borderId="7" xfId="0" applyNumberFormat="1" applyFont="1" applyFill="1" applyBorder="1" applyAlignment="1">
      <alignment horizontal="center" vertical="center"/>
    </xf>
    <xf numFmtId="9" fontId="2" fillId="11" borderId="7" xfId="2" applyFont="1" applyFill="1" applyBorder="1" applyAlignment="1">
      <alignment horizontal="center" vertical="center"/>
    </xf>
    <xf numFmtId="197" fontId="2" fillId="11" borderId="7" xfId="0" applyNumberFormat="1" applyFont="1" applyFill="1" applyBorder="1" applyAlignment="1">
      <alignment horizontal="center" vertical="center"/>
    </xf>
    <xf numFmtId="10" fontId="6" fillId="11" borderId="7" xfId="2" applyNumberFormat="1" applyFont="1" applyFill="1" applyBorder="1" applyAlignment="1">
      <alignment horizontal="center" vertical="center"/>
    </xf>
    <xf numFmtId="166" fontId="2" fillId="11" borderId="7" xfId="2" applyNumberFormat="1" applyFont="1" applyFill="1" applyBorder="1" applyAlignment="1">
      <alignment horizontal="center" vertical="center"/>
    </xf>
    <xf numFmtId="195" fontId="2" fillId="11" borderId="0" xfId="0" applyNumberFormat="1" applyFont="1" applyFill="1" applyAlignment="1">
      <alignment horizontal="center" vertical="center"/>
    </xf>
    <xf numFmtId="9" fontId="2" fillId="11" borderId="0" xfId="2" applyFont="1" applyFill="1" applyAlignment="1">
      <alignment horizontal="center" vertical="center"/>
    </xf>
    <xf numFmtId="194" fontId="7" fillId="11" borderId="0" xfId="0" applyNumberFormat="1" applyFont="1" applyFill="1" applyAlignment="1">
      <alignment horizontal="center" vertical="center"/>
    </xf>
    <xf numFmtId="197" fontId="2" fillId="11" borderId="0" xfId="0" applyNumberFormat="1" applyFont="1" applyFill="1" applyAlignment="1">
      <alignment horizontal="center" vertical="center"/>
    </xf>
    <xf numFmtId="0" fontId="6" fillId="7" borderId="7" xfId="0" applyFont="1" applyFill="1" applyBorder="1" applyAlignment="1">
      <alignment vertical="center"/>
    </xf>
    <xf numFmtId="0" fontId="6" fillId="7" borderId="7" xfId="0" applyFont="1" applyFill="1" applyBorder="1" applyAlignment="1">
      <alignment horizontal="center" vertical="center" wrapText="1"/>
    </xf>
    <xf numFmtId="0" fontId="6" fillId="7" borderId="7" xfId="0" applyFont="1" applyFill="1" applyBorder="1" applyAlignment="1">
      <alignment horizontal="center" vertical="center"/>
    </xf>
    <xf numFmtId="0" fontId="6" fillId="7" borderId="7" xfId="0" applyFont="1" applyFill="1" applyBorder="1" applyAlignment="1">
      <alignment horizontal="left" vertical="center"/>
    </xf>
    <xf numFmtId="0" fontId="34" fillId="7" borderId="0" xfId="0" quotePrefix="1" applyFont="1" applyFill="1" applyAlignment="1">
      <alignment vertical="center"/>
    </xf>
    <xf numFmtId="168" fontId="34" fillId="7" borderId="0" xfId="1" applyNumberFormat="1" applyFont="1" applyFill="1" applyAlignment="1">
      <alignment vertical="center"/>
    </xf>
    <xf numFmtId="0" fontId="34" fillId="7" borderId="0" xfId="0" applyFont="1" applyFill="1" applyAlignment="1">
      <alignment vertical="center"/>
    </xf>
    <xf numFmtId="168" fontId="6" fillId="6" borderId="0" xfId="1" applyNumberFormat="1" applyFont="1" applyFill="1" applyAlignment="1">
      <alignment vertical="center"/>
    </xf>
    <xf numFmtId="9" fontId="6" fillId="6" borderId="0" xfId="0" applyNumberFormat="1" applyFont="1" applyFill="1" applyAlignment="1">
      <alignment vertical="center"/>
    </xf>
    <xf numFmtId="167" fontId="6" fillId="6" borderId="0" xfId="0" applyNumberFormat="1" applyFont="1" applyFill="1" applyAlignment="1">
      <alignment vertical="center"/>
    </xf>
    <xf numFmtId="170" fontId="7" fillId="12" borderId="0" xfId="0" applyNumberFormat="1" applyFont="1" applyFill="1" applyAlignment="1">
      <alignment vertical="center"/>
    </xf>
    <xf numFmtId="0" fontId="7" fillId="12" borderId="0" xfId="0" quotePrefix="1" applyFont="1" applyFill="1" applyAlignment="1">
      <alignment vertical="center"/>
    </xf>
    <xf numFmtId="168" fontId="7" fillId="12" borderId="1" xfId="0" applyNumberFormat="1" applyFont="1" applyFill="1" applyBorder="1" applyAlignment="1">
      <alignment vertical="center"/>
    </xf>
    <xf numFmtId="170" fontId="2" fillId="12" borderId="0" xfId="0" applyNumberFormat="1" applyFont="1" applyFill="1" applyAlignment="1">
      <alignment vertical="center"/>
    </xf>
    <xf numFmtId="168" fontId="2" fillId="12" borderId="0" xfId="0" quotePrefix="1" applyNumberFormat="1" applyFont="1" applyFill="1" applyAlignment="1">
      <alignment vertical="center"/>
    </xf>
    <xf numFmtId="166" fontId="6" fillId="12" borderId="0" xfId="2" applyNumberFormat="1" applyFont="1" applyFill="1" applyAlignment="1">
      <alignment vertical="center"/>
    </xf>
    <xf numFmtId="2" fontId="6" fillId="6" borderId="0" xfId="0" quotePrefix="1" applyNumberFormat="1" applyFont="1" applyFill="1" applyAlignment="1">
      <alignment vertical="center"/>
    </xf>
    <xf numFmtId="0" fontId="12" fillId="0" borderId="0" xfId="0" applyFont="1" applyAlignment="1">
      <alignment vertical="center"/>
    </xf>
    <xf numFmtId="0" fontId="12" fillId="0" borderId="0" xfId="0" applyFont="1" applyAlignment="1">
      <alignment horizontal="center" vertical="center"/>
    </xf>
    <xf numFmtId="0" fontId="12" fillId="0" borderId="0" xfId="0" applyFont="1" applyAlignment="1">
      <alignment horizontal="center" vertical="center" wrapText="1"/>
    </xf>
    <xf numFmtId="0" fontId="29" fillId="0" borderId="0" xfId="0" applyFont="1" applyAlignment="1">
      <alignment horizontal="center" vertical="center"/>
    </xf>
    <xf numFmtId="167" fontId="29" fillId="0" borderId="0" xfId="0" applyNumberFormat="1" applyFont="1" applyAlignment="1">
      <alignment horizontal="center" vertical="center"/>
    </xf>
    <xf numFmtId="167" fontId="39" fillId="0" borderId="0" xfId="0" applyNumberFormat="1" applyFont="1" applyAlignment="1">
      <alignment horizontal="center" vertical="center"/>
    </xf>
    <xf numFmtId="167" fontId="40" fillId="0" borderId="0" xfId="0" applyNumberFormat="1" applyFont="1" applyAlignment="1">
      <alignment horizontal="center" vertical="center"/>
    </xf>
    <xf numFmtId="0" fontId="12" fillId="0" borderId="1" xfId="0" applyFont="1" applyBorder="1" applyAlignment="1">
      <alignment vertical="center"/>
    </xf>
    <xf numFmtId="0" fontId="12" fillId="0" borderId="1" xfId="0" applyFont="1" applyBorder="1" applyAlignment="1">
      <alignment horizontal="center" vertical="center"/>
    </xf>
    <xf numFmtId="167" fontId="12" fillId="0" borderId="1" xfId="0" applyNumberFormat="1" applyFont="1" applyBorder="1" applyAlignment="1">
      <alignment horizontal="center" vertical="center"/>
    </xf>
    <xf numFmtId="167" fontId="12" fillId="0" borderId="0" xfId="0" applyNumberFormat="1" applyFont="1" applyAlignment="1">
      <alignment horizontal="center" vertical="center"/>
    </xf>
    <xf numFmtId="167" fontId="41" fillId="0" borderId="0" xfId="0" applyNumberFormat="1" applyFont="1" applyAlignment="1">
      <alignment horizontal="center" vertical="center"/>
    </xf>
    <xf numFmtId="0" fontId="41" fillId="0" borderId="0" xfId="0" quotePrefix="1" applyFont="1" applyAlignment="1">
      <alignment vertical="center"/>
    </xf>
    <xf numFmtId="9" fontId="12" fillId="0" borderId="0" xfId="2" applyFont="1" applyAlignment="1">
      <alignment horizontal="center" vertical="center"/>
    </xf>
    <xf numFmtId="9" fontId="13" fillId="0" borderId="0" xfId="2" applyFont="1" applyAlignment="1">
      <alignment horizontal="center" vertical="center"/>
    </xf>
    <xf numFmtId="0" fontId="13" fillId="0" borderId="0" xfId="0" quotePrefix="1" applyFont="1" applyAlignment="1">
      <alignment vertical="center"/>
    </xf>
    <xf numFmtId="167" fontId="29" fillId="4" borderId="0" xfId="0" applyNumberFormat="1" applyFont="1" applyFill="1" applyAlignment="1">
      <alignment horizontal="center" vertical="center"/>
    </xf>
    <xf numFmtId="165" fontId="6" fillId="4" borderId="0" xfId="0" applyNumberFormat="1" applyFont="1" applyFill="1" applyAlignment="1">
      <alignment vertical="center"/>
    </xf>
    <xf numFmtId="165" fontId="6" fillId="12" borderId="0" xfId="0" applyNumberFormat="1" applyFont="1" applyFill="1" applyAlignment="1">
      <alignment vertical="center"/>
    </xf>
    <xf numFmtId="0" fontId="7" fillId="2" borderId="0" xfId="0" applyFont="1" applyFill="1" applyAlignment="1">
      <alignment horizontal="left" vertical="center" indent="2"/>
    </xf>
    <xf numFmtId="168" fontId="7" fillId="5" borderId="0" xfId="0" applyNumberFormat="1" applyFont="1" applyFill="1" applyAlignment="1">
      <alignment vertical="center"/>
    </xf>
    <xf numFmtId="0" fontId="7" fillId="5" borderId="0" xfId="0" quotePrefix="1" applyFont="1" applyFill="1" applyAlignment="1">
      <alignment vertical="center"/>
    </xf>
    <xf numFmtId="0" fontId="8" fillId="2" borderId="1" xfId="0" applyFont="1" applyFill="1" applyBorder="1" applyAlignment="1">
      <alignment horizontal="left" vertical="center" indent="1"/>
    </xf>
    <xf numFmtId="0" fontId="8" fillId="2" borderId="1" xfId="0" applyFont="1" applyFill="1" applyBorder="1" applyAlignment="1">
      <alignment horizontal="center" vertical="center"/>
    </xf>
    <xf numFmtId="166" fontId="8" fillId="2" borderId="1" xfId="2" applyNumberFormat="1" applyFont="1" applyFill="1" applyBorder="1" applyAlignment="1">
      <alignment horizontal="center" vertical="center"/>
    </xf>
    <xf numFmtId="194" fontId="8" fillId="2" borderId="1" xfId="0" applyNumberFormat="1" applyFont="1" applyFill="1" applyBorder="1" applyAlignment="1">
      <alignment horizontal="center" vertical="center"/>
    </xf>
    <xf numFmtId="0" fontId="8" fillId="2" borderId="0" xfId="0" applyFont="1" applyFill="1" applyAlignment="1">
      <alignment horizontal="center" vertical="center"/>
    </xf>
    <xf numFmtId="166" fontId="8" fillId="2" borderId="0" xfId="2" applyNumberFormat="1" applyFont="1" applyFill="1" applyAlignment="1">
      <alignment horizontal="center" vertical="center"/>
    </xf>
    <xf numFmtId="194" fontId="8" fillId="2" borderId="0" xfId="0" applyNumberFormat="1" applyFont="1" applyFill="1" applyAlignment="1">
      <alignment horizontal="center" vertical="center"/>
    </xf>
    <xf numFmtId="197" fontId="8" fillId="2" borderId="0" xfId="0" applyNumberFormat="1" applyFont="1" applyFill="1" applyAlignment="1">
      <alignment horizontal="center" vertical="center"/>
    </xf>
    <xf numFmtId="194" fontId="2" fillId="11" borderId="0" xfId="0" applyNumberFormat="1" applyFont="1" applyFill="1" applyAlignment="1">
      <alignment horizontal="center" vertical="center"/>
    </xf>
    <xf numFmtId="168" fontId="34" fillId="5" borderId="0" xfId="0" applyNumberFormat="1" applyFont="1" applyFill="1" applyAlignment="1">
      <alignment vertical="center"/>
    </xf>
    <xf numFmtId="171" fontId="6" fillId="4" borderId="0" xfId="0" applyNumberFormat="1" applyFont="1" applyFill="1" applyAlignment="1">
      <alignment vertical="center"/>
    </xf>
    <xf numFmtId="167" fontId="12" fillId="0" borderId="0" xfId="0" applyNumberFormat="1" applyFont="1" applyAlignment="1">
      <alignment vertical="center"/>
    </xf>
    <xf numFmtId="0" fontId="29" fillId="0" borderId="0" xfId="0" quotePrefix="1" applyFont="1" applyAlignment="1">
      <alignment vertical="center"/>
    </xf>
    <xf numFmtId="167" fontId="12" fillId="0" borderId="1" xfId="0" applyNumberFormat="1" applyFont="1" applyBorder="1" applyAlignment="1">
      <alignment vertical="center"/>
    </xf>
    <xf numFmtId="168" fontId="7" fillId="0" borderId="0" xfId="0" applyNumberFormat="1" applyFont="1" applyAlignment="1">
      <alignment vertical="center"/>
    </xf>
    <xf numFmtId="168" fontId="7" fillId="0" borderId="1" xfId="0" applyNumberFormat="1" applyFont="1" applyBorder="1" applyAlignment="1">
      <alignment vertical="center"/>
    </xf>
    <xf numFmtId="168" fontId="6" fillId="0" borderId="0" xfId="0" applyNumberFormat="1" applyFont="1" applyAlignment="1">
      <alignment vertical="center"/>
    </xf>
    <xf numFmtId="9" fontId="12" fillId="0" borderId="0" xfId="2" applyFont="1" applyAlignment="1">
      <alignment vertical="center"/>
    </xf>
    <xf numFmtId="166" fontId="12" fillId="0" borderId="0" xfId="2" applyNumberFormat="1" applyFont="1" applyAlignment="1">
      <alignment vertical="center"/>
    </xf>
    <xf numFmtId="168" fontId="12" fillId="0" borderId="0" xfId="0" applyNumberFormat="1" applyFont="1" applyAlignment="1">
      <alignment vertical="center"/>
    </xf>
    <xf numFmtId="0" fontId="35" fillId="0" borderId="0" xfId="0" quotePrefix="1" applyFont="1" applyAlignment="1">
      <alignment vertical="center"/>
    </xf>
    <xf numFmtId="0" fontId="35" fillId="0" borderId="0" xfId="0" applyFont="1" applyAlignment="1">
      <alignment vertical="center"/>
    </xf>
    <xf numFmtId="168" fontId="35" fillId="0" borderId="0" xfId="0" applyNumberFormat="1" applyFont="1" applyAlignment="1">
      <alignment vertical="center"/>
    </xf>
    <xf numFmtId="0" fontId="12" fillId="11" borderId="7" xfId="0" applyFont="1" applyFill="1" applyBorder="1" applyAlignment="1">
      <alignment vertical="center"/>
    </xf>
    <xf numFmtId="0" fontId="12" fillId="11" borderId="7" xfId="0" applyFont="1" applyFill="1" applyBorder="1" applyAlignment="1">
      <alignment horizontal="center" vertical="center"/>
    </xf>
    <xf numFmtId="0" fontId="12" fillId="11" borderId="7" xfId="0" applyFont="1" applyFill="1" applyBorder="1" applyAlignment="1">
      <alignment horizontal="center" vertical="center" wrapText="1"/>
    </xf>
    <xf numFmtId="0" fontId="12" fillId="0" borderId="2" xfId="0" applyFont="1" applyBorder="1" applyAlignment="1">
      <alignment vertical="center"/>
    </xf>
    <xf numFmtId="0" fontId="12" fillId="12" borderId="1" xfId="0" applyFont="1" applyFill="1" applyBorder="1" applyAlignment="1">
      <alignment vertical="center"/>
    </xf>
    <xf numFmtId="167" fontId="12" fillId="12" borderId="1" xfId="0" applyNumberFormat="1" applyFont="1" applyFill="1" applyBorder="1" applyAlignment="1">
      <alignment horizontal="center" vertical="center"/>
    </xf>
    <xf numFmtId="0" fontId="12" fillId="12" borderId="2" xfId="0" applyFont="1" applyFill="1" applyBorder="1" applyAlignment="1">
      <alignment vertical="center"/>
    </xf>
    <xf numFmtId="167" fontId="12" fillId="12" borderId="2" xfId="0" applyNumberFormat="1" applyFont="1" applyFill="1" applyBorder="1" applyAlignment="1">
      <alignment horizontal="center" vertical="center"/>
    </xf>
    <xf numFmtId="167" fontId="12" fillId="12" borderId="1" xfId="0" applyNumberFormat="1" applyFont="1" applyFill="1" applyBorder="1" applyAlignment="1">
      <alignment vertical="center"/>
    </xf>
    <xf numFmtId="167" fontId="12" fillId="12" borderId="2" xfId="0" applyNumberFormat="1" applyFont="1" applyFill="1" applyBorder="1" applyAlignment="1">
      <alignment vertical="center"/>
    </xf>
    <xf numFmtId="0" fontId="29" fillId="0" borderId="0" xfId="0" applyFont="1" applyAlignment="1">
      <alignment vertical="center"/>
    </xf>
    <xf numFmtId="167" fontId="29" fillId="0" borderId="1" xfId="0" applyNumberFormat="1" applyFont="1" applyBorder="1" applyAlignment="1">
      <alignment horizontal="center" vertical="center"/>
    </xf>
    <xf numFmtId="0" fontId="29" fillId="0" borderId="1" xfId="0" applyFont="1" applyBorder="1" applyAlignment="1">
      <alignment horizontal="center" vertical="center"/>
    </xf>
    <xf numFmtId="0" fontId="12" fillId="12" borderId="0" xfId="0" applyFont="1" applyFill="1" applyAlignment="1">
      <alignment vertical="center"/>
    </xf>
    <xf numFmtId="0" fontId="29" fillId="0" borderId="1" xfId="0" applyFont="1" applyBorder="1" applyAlignment="1">
      <alignment vertical="center"/>
    </xf>
    <xf numFmtId="0" fontId="12" fillId="7" borderId="0" xfId="0" applyFont="1" applyFill="1" applyAlignment="1">
      <alignment vertical="center"/>
    </xf>
    <xf numFmtId="167" fontId="12" fillId="7" borderId="0" xfId="0" applyNumberFormat="1" applyFont="1" applyFill="1" applyAlignment="1">
      <alignment vertical="center"/>
    </xf>
    <xf numFmtId="167" fontId="12" fillId="7" borderId="0" xfId="0" applyNumberFormat="1" applyFont="1" applyFill="1" applyAlignment="1">
      <alignment horizontal="center" vertical="center"/>
    </xf>
    <xf numFmtId="0" fontId="12" fillId="7" borderId="2" xfId="0" applyFont="1" applyFill="1" applyBorder="1" applyAlignment="1">
      <alignment vertical="center"/>
    </xf>
    <xf numFmtId="167" fontId="12" fillId="7" borderId="2" xfId="0" applyNumberFormat="1" applyFont="1" applyFill="1" applyBorder="1" applyAlignment="1">
      <alignment vertical="center"/>
    </xf>
    <xf numFmtId="167" fontId="12" fillId="7" borderId="2" xfId="0" applyNumberFormat="1" applyFont="1" applyFill="1" applyBorder="1" applyAlignment="1">
      <alignment horizontal="center" vertical="center"/>
    </xf>
    <xf numFmtId="203" fontId="12" fillId="7" borderId="2" xfId="0" applyNumberFormat="1" applyFont="1" applyFill="1" applyBorder="1" applyAlignment="1">
      <alignment horizontal="center" vertical="center"/>
    </xf>
    <xf numFmtId="167" fontId="29" fillId="12" borderId="2" xfId="0" applyNumberFormat="1" applyFont="1" applyFill="1" applyBorder="1" applyAlignment="1">
      <alignment horizontal="center" vertical="center"/>
    </xf>
    <xf numFmtId="167" fontId="29" fillId="0" borderId="0" xfId="0" applyNumberFormat="1" applyFont="1" applyAlignment="1">
      <alignment vertical="center"/>
    </xf>
    <xf numFmtId="1" fontId="12" fillId="0" borderId="0" xfId="0" applyNumberFormat="1" applyFont="1" applyAlignment="1">
      <alignment vertical="center"/>
    </xf>
    <xf numFmtId="165" fontId="8" fillId="4" borderId="0" xfId="1" applyNumberFormat="1" applyFont="1" applyFill="1" applyAlignment="1">
      <alignment vertical="center"/>
    </xf>
    <xf numFmtId="165" fontId="8" fillId="2" borderId="1" xfId="1" applyNumberFormat="1" applyFont="1" applyFill="1" applyBorder="1" applyAlignment="1">
      <alignment vertical="center"/>
    </xf>
    <xf numFmtId="0" fontId="8" fillId="5" borderId="0" xfId="0" applyFont="1" applyFill="1" applyAlignment="1">
      <alignment horizontal="center" vertical="center"/>
    </xf>
    <xf numFmtId="0" fontId="8" fillId="5" borderId="2" xfId="0" applyFont="1" applyFill="1" applyBorder="1" applyAlignment="1">
      <alignment horizontal="center" vertical="center" wrapText="1"/>
    </xf>
    <xf numFmtId="0" fontId="8" fillId="5" borderId="2" xfId="0" applyFont="1" applyFill="1" applyBorder="1" applyAlignment="1">
      <alignment horizontal="center" vertical="center"/>
    </xf>
    <xf numFmtId="165" fontId="8" fillId="5" borderId="0" xfId="1" applyNumberFormat="1" applyFont="1" applyFill="1" applyBorder="1" applyAlignment="1">
      <alignment vertical="center"/>
    </xf>
    <xf numFmtId="9" fontId="8" fillId="5" borderId="0" xfId="2" applyFont="1" applyFill="1" applyAlignment="1">
      <alignment vertical="center"/>
    </xf>
    <xf numFmtId="166" fontId="8" fillId="5" borderId="0" xfId="2" applyNumberFormat="1" applyFont="1" applyFill="1" applyAlignment="1">
      <alignment vertical="center"/>
    </xf>
    <xf numFmtId="9" fontId="8" fillId="5" borderId="0" xfId="0" applyNumberFormat="1" applyFont="1" applyFill="1" applyAlignment="1">
      <alignment vertical="center"/>
    </xf>
    <xf numFmtId="0" fontId="34" fillId="2" borderId="0" xfId="0" quotePrefix="1" applyFont="1" applyFill="1" applyAlignment="1">
      <alignment horizontal="left" vertical="center"/>
    </xf>
    <xf numFmtId="0" fontId="6" fillId="2" borderId="0" xfId="0" quotePrefix="1" applyFont="1" applyFill="1" applyAlignment="1">
      <alignment horizontal="left" vertical="center"/>
    </xf>
    <xf numFmtId="165" fontId="7" fillId="9" borderId="1" xfId="1" applyNumberFormat="1" applyFont="1" applyFill="1" applyBorder="1" applyAlignment="1">
      <alignment vertical="center"/>
    </xf>
    <xf numFmtId="166" fontId="2" fillId="9" borderId="1" xfId="2" applyNumberFormat="1" applyFont="1" applyFill="1" applyBorder="1" applyAlignment="1">
      <alignment vertical="center"/>
    </xf>
    <xf numFmtId="165" fontId="7" fillId="9" borderId="0" xfId="1" applyNumberFormat="1" applyFont="1" applyFill="1" applyBorder="1" applyAlignment="1">
      <alignment vertical="center"/>
    </xf>
    <xf numFmtId="9" fontId="8" fillId="7" borderId="0" xfId="2" applyFont="1" applyFill="1" applyAlignment="1">
      <alignment vertical="center"/>
    </xf>
    <xf numFmtId="9" fontId="6" fillId="9" borderId="0" xfId="2" applyFont="1" applyFill="1" applyAlignment="1">
      <alignment vertical="center"/>
    </xf>
    <xf numFmtId="9" fontId="12" fillId="0" borderId="2" xfId="2" applyFont="1" applyBorder="1" applyAlignment="1">
      <alignment vertical="center"/>
    </xf>
    <xf numFmtId="167" fontId="29" fillId="11" borderId="7" xfId="0" applyNumberFormat="1" applyFont="1" applyFill="1" applyBorder="1" applyAlignment="1">
      <alignment vertical="center"/>
    </xf>
    <xf numFmtId="2" fontId="29" fillId="11" borderId="7" xfId="0" applyNumberFormat="1" applyFont="1" applyFill="1" applyBorder="1" applyAlignment="1">
      <alignment vertical="center"/>
    </xf>
    <xf numFmtId="0" fontId="12" fillId="5" borderId="0" xfId="0" applyFont="1" applyFill="1" applyAlignment="1">
      <alignment vertical="center"/>
    </xf>
    <xf numFmtId="0" fontId="12" fillId="5" borderId="2" xfId="0" applyFont="1" applyFill="1" applyBorder="1" applyAlignment="1">
      <alignment vertical="center"/>
    </xf>
    <xf numFmtId="9" fontId="12" fillId="5" borderId="2" xfId="2" applyFont="1" applyFill="1" applyBorder="1" applyAlignment="1">
      <alignment vertical="center"/>
    </xf>
    <xf numFmtId="9" fontId="12" fillId="5" borderId="0" xfId="2" applyFont="1" applyFill="1" applyBorder="1" applyAlignment="1">
      <alignment vertical="center"/>
    </xf>
    <xf numFmtId="9" fontId="12" fillId="12" borderId="0" xfId="2" applyFont="1" applyFill="1" applyBorder="1" applyAlignment="1">
      <alignment vertical="center"/>
    </xf>
    <xf numFmtId="167" fontId="12" fillId="5" borderId="0" xfId="0" applyNumberFormat="1" applyFont="1" applyFill="1" applyAlignment="1">
      <alignment vertical="center"/>
    </xf>
    <xf numFmtId="9" fontId="12" fillId="12" borderId="2" xfId="2" applyFont="1" applyFill="1" applyBorder="1" applyAlignment="1">
      <alignment vertical="center"/>
    </xf>
    <xf numFmtId="0" fontId="12" fillId="7" borderId="1" xfId="0" applyFont="1" applyFill="1" applyBorder="1" applyAlignment="1">
      <alignment vertical="center"/>
    </xf>
    <xf numFmtId="167" fontId="12" fillId="7" borderId="1" xfId="0" applyNumberFormat="1" applyFont="1" applyFill="1" applyBorder="1" applyAlignment="1">
      <alignment vertical="center"/>
    </xf>
    <xf numFmtId="168" fontId="7" fillId="3" borderId="0" xfId="0" quotePrefix="1" applyNumberFormat="1" applyFont="1" applyFill="1" applyAlignment="1">
      <alignment vertical="center"/>
    </xf>
    <xf numFmtId="168" fontId="6" fillId="4" borderId="0" xfId="0" quotePrefix="1" applyNumberFormat="1" applyFont="1" applyFill="1" applyAlignment="1">
      <alignment vertical="center"/>
    </xf>
    <xf numFmtId="167" fontId="29" fillId="4" borderId="0" xfId="0" applyNumberFormat="1" applyFont="1" applyFill="1" applyAlignment="1">
      <alignment vertical="center"/>
    </xf>
    <xf numFmtId="9" fontId="29" fillId="0" borderId="0" xfId="2" applyFont="1" applyAlignment="1">
      <alignment vertical="center"/>
    </xf>
    <xf numFmtId="9" fontId="12" fillId="0" borderId="0" xfId="0" applyNumberFormat="1" applyFont="1" applyAlignment="1">
      <alignment vertical="center"/>
    </xf>
    <xf numFmtId="167" fontId="6" fillId="2" borderId="0" xfId="0" applyNumberFormat="1" applyFont="1" applyFill="1" applyAlignment="1">
      <alignment vertical="center"/>
    </xf>
    <xf numFmtId="0" fontId="2" fillId="5" borderId="0" xfId="0" applyFont="1" applyFill="1" applyAlignment="1">
      <alignment horizontal="right" vertical="center"/>
    </xf>
    <xf numFmtId="168" fontId="12" fillId="7" borderId="1" xfId="0" applyNumberFormat="1" applyFont="1" applyFill="1" applyBorder="1" applyAlignment="1">
      <alignment vertical="center"/>
    </xf>
    <xf numFmtId="168" fontId="7" fillId="7" borderId="2" xfId="0" applyNumberFormat="1" applyFont="1" applyFill="1" applyBorder="1" applyAlignment="1">
      <alignment vertical="center"/>
    </xf>
    <xf numFmtId="195" fontId="8" fillId="2" borderId="0" xfId="0" applyNumberFormat="1" applyFont="1" applyFill="1" applyAlignment="1">
      <alignment horizontal="center" vertical="center"/>
    </xf>
    <xf numFmtId="9" fontId="8" fillId="2" borderId="1" xfId="2" applyFont="1" applyFill="1" applyBorder="1" applyAlignment="1">
      <alignment horizontal="center" vertical="center"/>
    </xf>
    <xf numFmtId="0" fontId="7" fillId="2" borderId="1" xfId="0" applyFont="1" applyFill="1" applyBorder="1" applyAlignment="1">
      <alignment horizontal="left" vertical="center" indent="1"/>
    </xf>
    <xf numFmtId="0" fontId="2" fillId="12" borderId="3" xfId="0" applyFont="1" applyFill="1" applyBorder="1" applyAlignment="1">
      <alignment vertical="center"/>
    </xf>
    <xf numFmtId="0" fontId="2" fillId="12" borderId="1" xfId="0" applyFont="1" applyFill="1" applyBorder="1" applyAlignment="1">
      <alignment vertical="center"/>
    </xf>
    <xf numFmtId="0" fontId="2" fillId="12" borderId="4" xfId="0" applyFont="1" applyFill="1" applyBorder="1" applyAlignment="1">
      <alignment vertical="center"/>
    </xf>
    <xf numFmtId="0" fontId="2" fillId="12" borderId="8" xfId="0" applyFont="1" applyFill="1" applyBorder="1" applyAlignment="1">
      <alignment vertical="center"/>
    </xf>
    <xf numFmtId="166" fontId="2" fillId="12" borderId="9" xfId="2" applyNumberFormat="1" applyFont="1" applyFill="1" applyBorder="1" applyAlignment="1">
      <alignment vertical="center"/>
    </xf>
    <xf numFmtId="0" fontId="2" fillId="12" borderId="5" xfId="0" applyFont="1" applyFill="1" applyBorder="1" applyAlignment="1">
      <alignment vertical="center"/>
    </xf>
    <xf numFmtId="0" fontId="2" fillId="12" borderId="2" xfId="0" applyFont="1" applyFill="1" applyBorder="1" applyAlignment="1">
      <alignment vertical="center"/>
    </xf>
    <xf numFmtId="167" fontId="2" fillId="12" borderId="9" xfId="0" applyNumberFormat="1" applyFont="1" applyFill="1" applyBorder="1" applyAlignment="1">
      <alignment vertical="center"/>
    </xf>
    <xf numFmtId="0" fontId="2" fillId="12" borderId="8" xfId="0" quotePrefix="1" applyFont="1" applyFill="1" applyBorder="1" applyAlignment="1">
      <alignment vertical="center"/>
    </xf>
    <xf numFmtId="0" fontId="2" fillId="12" borderId="9" xfId="0" applyFont="1" applyFill="1" applyBorder="1" applyAlignment="1">
      <alignment vertical="center"/>
    </xf>
    <xf numFmtId="0" fontId="2" fillId="12" borderId="6" xfId="0" applyFont="1" applyFill="1" applyBorder="1" applyAlignment="1">
      <alignment vertical="center"/>
    </xf>
    <xf numFmtId="2" fontId="7" fillId="2" borderId="1" xfId="0" applyNumberFormat="1" applyFont="1" applyFill="1" applyBorder="1" applyAlignment="1">
      <alignment vertical="center"/>
    </xf>
    <xf numFmtId="165" fontId="6" fillId="7" borderId="0" xfId="1" applyNumberFormat="1" applyFont="1" applyFill="1" applyAlignment="1">
      <alignment vertical="center"/>
    </xf>
    <xf numFmtId="167" fontId="35" fillId="0" borderId="0" xfId="0" applyNumberFormat="1" applyFont="1" applyAlignment="1">
      <alignment vertical="center"/>
    </xf>
    <xf numFmtId="168" fontId="32" fillId="12" borderId="1" xfId="0" applyNumberFormat="1" applyFont="1" applyFill="1" applyBorder="1" applyAlignment="1">
      <alignment vertical="center"/>
    </xf>
    <xf numFmtId="0" fontId="34" fillId="5" borderId="0" xfId="0" applyFont="1" applyFill="1" applyAlignment="1">
      <alignment vertical="center"/>
    </xf>
    <xf numFmtId="0" fontId="34" fillId="2" borderId="0" xfId="0" quotePrefix="1" applyFont="1" applyFill="1" applyAlignment="1">
      <alignment horizontal="right" vertical="center"/>
    </xf>
    <xf numFmtId="167" fontId="34" fillId="5" borderId="0" xfId="0" applyNumberFormat="1" applyFont="1" applyFill="1" applyAlignment="1">
      <alignment vertical="center"/>
    </xf>
    <xf numFmtId="171" fontId="34" fillId="5" borderId="0" xfId="0" applyNumberFormat="1" applyFont="1" applyFill="1" applyAlignment="1">
      <alignment vertical="center"/>
    </xf>
    <xf numFmtId="171" fontId="34" fillId="2" borderId="0" xfId="0" applyNumberFormat="1" applyFont="1" applyFill="1" applyAlignment="1">
      <alignment vertical="center"/>
    </xf>
    <xf numFmtId="168" fontId="34" fillId="6" borderId="0" xfId="1" applyNumberFormat="1" applyFont="1" applyFill="1" applyAlignment="1">
      <alignment vertical="center"/>
    </xf>
    <xf numFmtId="0" fontId="34" fillId="6" borderId="0" xfId="0" quotePrefix="1" applyFont="1" applyFill="1" applyAlignment="1">
      <alignment vertical="center"/>
    </xf>
    <xf numFmtId="168" fontId="34" fillId="6" borderId="1" xfId="0" applyNumberFormat="1" applyFont="1" applyFill="1" applyBorder="1" applyAlignment="1">
      <alignment vertical="center"/>
    </xf>
    <xf numFmtId="168" fontId="34" fillId="6" borderId="0" xfId="0" applyNumberFormat="1" applyFont="1" applyFill="1" applyAlignment="1">
      <alignment vertical="center"/>
    </xf>
    <xf numFmtId="170" fontId="34" fillId="6" borderId="0" xfId="0" applyNumberFormat="1" applyFont="1" applyFill="1" applyAlignment="1">
      <alignment vertical="center"/>
    </xf>
    <xf numFmtId="2" fontId="2" fillId="7" borderId="0" xfId="0" applyNumberFormat="1" applyFont="1" applyFill="1" applyAlignment="1">
      <alignment vertical="center"/>
    </xf>
    <xf numFmtId="185" fontId="2" fillId="7" borderId="0" xfId="0" applyNumberFormat="1" applyFont="1" applyFill="1" applyAlignment="1">
      <alignment vertical="center"/>
    </xf>
    <xf numFmtId="167" fontId="34" fillId="6" borderId="0" xfId="0" applyNumberFormat="1" applyFont="1" applyFill="1" applyAlignment="1">
      <alignment vertical="center"/>
    </xf>
    <xf numFmtId="0" fontId="8" fillId="12" borderId="0" xfId="0" applyFont="1" applyFill="1" applyAlignment="1">
      <alignment vertical="center"/>
    </xf>
    <xf numFmtId="165" fontId="8" fillId="2" borderId="0" xfId="1" applyNumberFormat="1" applyFont="1" applyFill="1" applyAlignment="1">
      <alignment vertical="center"/>
    </xf>
    <xf numFmtId="165" fontId="8" fillId="12" borderId="0" xfId="1" applyNumberFormat="1" applyFont="1" applyFill="1" applyAlignment="1">
      <alignment vertical="center"/>
    </xf>
    <xf numFmtId="164" fontId="8" fillId="2" borderId="0" xfId="0" applyNumberFormat="1" applyFont="1" applyFill="1" applyAlignment="1">
      <alignment vertical="center"/>
    </xf>
    <xf numFmtId="164" fontId="8" fillId="12" borderId="0" xfId="0" applyNumberFormat="1" applyFont="1" applyFill="1" applyAlignment="1">
      <alignment vertical="center"/>
    </xf>
    <xf numFmtId="2" fontId="8" fillId="7" borderId="0" xfId="0" applyNumberFormat="1" applyFont="1" applyFill="1" applyAlignment="1">
      <alignment vertical="center"/>
    </xf>
    <xf numFmtId="0" fontId="32" fillId="6" borderId="0" xfId="0" applyFont="1" applyFill="1" applyAlignment="1">
      <alignment vertical="center"/>
    </xf>
    <xf numFmtId="0" fontId="48" fillId="2" borderId="0" xfId="8" applyFont="1" applyFill="1" applyAlignment="1">
      <alignment vertical="center"/>
    </xf>
    <xf numFmtId="10" fontId="34" fillId="6" borderId="0" xfId="2" applyNumberFormat="1" applyFont="1" applyFill="1" applyAlignment="1">
      <alignment vertical="center"/>
    </xf>
    <xf numFmtId="204" fontId="6" fillId="5" borderId="0" xfId="2" applyNumberFormat="1" applyFont="1" applyFill="1" applyAlignment="1">
      <alignment vertical="center"/>
    </xf>
    <xf numFmtId="204" fontId="34" fillId="6" borderId="0" xfId="2" applyNumberFormat="1" applyFont="1" applyFill="1" applyAlignment="1">
      <alignment vertical="center"/>
    </xf>
    <xf numFmtId="2" fontId="34" fillId="6" borderId="0" xfId="0" applyNumberFormat="1" applyFont="1" applyFill="1" applyAlignment="1">
      <alignment vertical="center"/>
    </xf>
    <xf numFmtId="168" fontId="6" fillId="4" borderId="1" xfId="0" applyNumberFormat="1" applyFont="1" applyFill="1" applyBorder="1" applyAlignment="1">
      <alignment vertical="center"/>
    </xf>
    <xf numFmtId="168" fontId="37" fillId="2" borderId="0" xfId="0" applyNumberFormat="1" applyFont="1" applyFill="1" applyAlignment="1">
      <alignment vertical="center"/>
    </xf>
    <xf numFmtId="183" fontId="7" fillId="2" borderId="0" xfId="4" applyNumberFormat="1" applyFont="1" applyFill="1" applyAlignment="1" applyProtection="1">
      <alignment vertical="center" wrapText="1"/>
      <protection locked="0"/>
    </xf>
    <xf numFmtId="0" fontId="7" fillId="2" borderId="7" xfId="6" applyFont="1" applyFill="1" applyBorder="1" applyAlignment="1">
      <alignment horizontal="left" vertical="center" wrapText="1"/>
    </xf>
    <xf numFmtId="0" fontId="7" fillId="2" borderId="7" xfId="0" applyFont="1" applyFill="1" applyBorder="1" applyAlignment="1">
      <alignment horizontal="center" vertical="center"/>
    </xf>
    <xf numFmtId="180" fontId="7" fillId="2" borderId="7" xfId="6" applyNumberFormat="1" applyFont="1" applyFill="1" applyBorder="1" applyAlignment="1">
      <alignment horizontal="right" vertical="center" wrapText="1"/>
    </xf>
    <xf numFmtId="181" fontId="6" fillId="4" borderId="7" xfId="6" applyNumberFormat="1" applyFont="1" applyFill="1" applyBorder="1" applyAlignment="1">
      <alignment horizontal="right" vertical="center" wrapText="1"/>
    </xf>
    <xf numFmtId="3" fontId="7" fillId="2" borderId="7" xfId="0" applyNumberFormat="1" applyFont="1" applyFill="1" applyBorder="1" applyAlignment="1">
      <alignment horizontal="right" vertical="center"/>
    </xf>
    <xf numFmtId="188" fontId="7" fillId="2" borderId="7" xfId="0" applyNumberFormat="1" applyFont="1" applyFill="1" applyBorder="1" applyAlignment="1">
      <alignment horizontal="right" vertical="center"/>
    </xf>
    <xf numFmtId="199" fontId="7" fillId="2" borderId="1" xfId="6" applyNumberFormat="1" applyFont="1" applyFill="1" applyBorder="1" applyAlignment="1">
      <alignment horizontal="right" vertical="center" wrapText="1"/>
    </xf>
    <xf numFmtId="188" fontId="7" fillId="2" borderId="1" xfId="7" applyNumberFormat="1" applyFont="1" applyFill="1" applyBorder="1">
      <alignment vertical="center"/>
    </xf>
    <xf numFmtId="189" fontId="34" fillId="2" borderId="7" xfId="6" applyNumberFormat="1" applyFont="1" applyFill="1" applyBorder="1" applyAlignment="1">
      <alignment horizontal="right" vertical="center" wrapText="1"/>
    </xf>
    <xf numFmtId="200" fontId="7" fillId="2" borderId="1" xfId="7" applyNumberFormat="1" applyFont="1" applyFill="1" applyBorder="1">
      <alignment vertical="center"/>
    </xf>
    <xf numFmtId="10" fontId="7" fillId="2" borderId="1" xfId="2" applyNumberFormat="1" applyFont="1" applyFill="1" applyBorder="1" applyAlignment="1">
      <alignment horizontal="right" vertical="center" wrapText="1"/>
    </xf>
    <xf numFmtId="10" fontId="7" fillId="2" borderId="0" xfId="2" applyNumberFormat="1" applyFont="1" applyFill="1" applyBorder="1" applyAlignment="1">
      <alignment horizontal="right" vertical="center" wrapText="1"/>
    </xf>
    <xf numFmtId="10" fontId="7" fillId="2" borderId="2" xfId="2" applyNumberFormat="1" applyFont="1" applyFill="1" applyBorder="1" applyAlignment="1">
      <alignment horizontal="right" vertical="center" wrapText="1"/>
    </xf>
    <xf numFmtId="10" fontId="7" fillId="2" borderId="0" xfId="2" applyNumberFormat="1" applyFont="1" applyFill="1" applyAlignment="1">
      <alignment horizontal="right" vertical="center" wrapText="1"/>
    </xf>
    <xf numFmtId="189" fontId="34" fillId="2" borderId="0" xfId="6" applyNumberFormat="1" applyFont="1" applyFill="1" applyAlignment="1">
      <alignment horizontal="right" vertical="center" wrapText="1"/>
    </xf>
    <xf numFmtId="168" fontId="6" fillId="11" borderId="0" xfId="0" applyNumberFormat="1" applyFont="1" applyFill="1" applyAlignment="1">
      <alignment vertical="center"/>
    </xf>
    <xf numFmtId="0" fontId="6" fillId="11" borderId="0" xfId="0" applyFont="1" applyFill="1" applyAlignment="1">
      <alignment vertical="center"/>
    </xf>
    <xf numFmtId="0" fontId="32" fillId="2" borderId="0" xfId="0" applyFont="1" applyFill="1" applyAlignment="1">
      <alignment horizontal="left" vertical="center" indent="1"/>
    </xf>
    <xf numFmtId="168" fontId="32" fillId="2" borderId="0" xfId="0" applyNumberFormat="1" applyFont="1" applyFill="1" applyAlignment="1">
      <alignment vertical="center"/>
    </xf>
    <xf numFmtId="165" fontId="6" fillId="8" borderId="0" xfId="0" applyNumberFormat="1" applyFont="1" applyFill="1" applyAlignment="1">
      <alignment vertical="center"/>
    </xf>
    <xf numFmtId="168" fontId="8" fillId="11" borderId="0" xfId="0" applyNumberFormat="1" applyFont="1" applyFill="1" applyAlignment="1">
      <alignment vertical="center"/>
    </xf>
    <xf numFmtId="0" fontId="12" fillId="5" borderId="7" xfId="0" applyFont="1" applyFill="1" applyBorder="1" applyAlignment="1">
      <alignment horizontal="center" vertical="center"/>
    </xf>
    <xf numFmtId="166" fontId="12" fillId="0" borderId="0" xfId="2" applyNumberFormat="1" applyFont="1" applyAlignment="1">
      <alignment horizontal="center" vertical="center"/>
    </xf>
    <xf numFmtId="0" fontId="39" fillId="12" borderId="7" xfId="0" applyFont="1" applyFill="1" applyBorder="1" applyAlignment="1">
      <alignment horizontal="left" vertical="center"/>
    </xf>
    <xf numFmtId="0" fontId="39" fillId="12" borderId="7" xfId="0" applyFont="1" applyFill="1" applyBorder="1" applyAlignment="1">
      <alignment horizontal="center" vertical="center"/>
    </xf>
    <xf numFmtId="167" fontId="39" fillId="12" borderId="7" xfId="0" applyNumberFormat="1" applyFont="1" applyFill="1" applyBorder="1" applyAlignment="1">
      <alignment horizontal="center" vertical="center"/>
    </xf>
    <xf numFmtId="166" fontId="39" fillId="12" borderId="7" xfId="2" applyNumberFormat="1" applyFont="1" applyFill="1" applyBorder="1" applyAlignment="1">
      <alignment horizontal="center" vertical="center"/>
    </xf>
    <xf numFmtId="0" fontId="39" fillId="0" borderId="0" xfId="0" applyFont="1" applyAlignment="1">
      <alignment horizontal="center" vertical="center"/>
    </xf>
    <xf numFmtId="166" fontId="39" fillId="0" borderId="0" xfId="2" applyNumberFormat="1" applyFont="1" applyBorder="1" applyAlignment="1">
      <alignment horizontal="center" vertical="center"/>
    </xf>
    <xf numFmtId="164" fontId="6" fillId="2" borderId="1" xfId="0" applyNumberFormat="1" applyFont="1" applyFill="1" applyBorder="1" applyAlignment="1">
      <alignment vertical="center"/>
    </xf>
    <xf numFmtId="183" fontId="7" fillId="2" borderId="2" xfId="4" applyNumberFormat="1" applyFont="1" applyFill="1" applyBorder="1" applyAlignment="1" applyProtection="1">
      <alignment vertical="center" wrapText="1"/>
      <protection locked="0"/>
    </xf>
    <xf numFmtId="0" fontId="2" fillId="2" borderId="13" xfId="0" applyFont="1" applyFill="1" applyBorder="1" applyAlignment="1">
      <alignment horizontal="left" vertical="center" indent="1"/>
    </xf>
    <xf numFmtId="0" fontId="2" fillId="2" borderId="13" xfId="0" applyFont="1" applyFill="1" applyBorder="1" applyAlignment="1">
      <alignment vertical="center"/>
    </xf>
    <xf numFmtId="0" fontId="8" fillId="2" borderId="14" xfId="0" applyFont="1" applyFill="1" applyBorder="1" applyAlignment="1">
      <alignment horizontal="left" vertical="center" indent="1"/>
    </xf>
    <xf numFmtId="0" fontId="8" fillId="2" borderId="14" xfId="0" applyFont="1" applyFill="1" applyBorder="1" applyAlignment="1">
      <alignment vertical="center"/>
    </xf>
    <xf numFmtId="168" fontId="2" fillId="2" borderId="13" xfId="0" applyNumberFormat="1" applyFont="1" applyFill="1" applyBorder="1" applyAlignment="1">
      <alignment vertical="center"/>
    </xf>
    <xf numFmtId="168" fontId="2" fillId="3" borderId="13" xfId="0" applyNumberFormat="1" applyFont="1" applyFill="1" applyBorder="1" applyAlignment="1">
      <alignment vertical="center"/>
    </xf>
    <xf numFmtId="168" fontId="6" fillId="9" borderId="13" xfId="0" applyNumberFormat="1" applyFont="1" applyFill="1" applyBorder="1" applyAlignment="1">
      <alignment vertical="center"/>
    </xf>
    <xf numFmtId="166" fontId="8" fillId="2" borderId="14" xfId="2" applyNumberFormat="1" applyFont="1" applyFill="1" applyBorder="1" applyAlignment="1">
      <alignment vertical="center"/>
    </xf>
    <xf numFmtId="168" fontId="32" fillId="12" borderId="0" xfId="1" applyNumberFormat="1" applyFont="1" applyFill="1" applyAlignment="1">
      <alignment vertical="center"/>
    </xf>
    <xf numFmtId="168" fontId="49" fillId="12" borderId="0" xfId="0" applyNumberFormat="1" applyFont="1" applyFill="1" applyAlignment="1">
      <alignment vertical="center"/>
    </xf>
    <xf numFmtId="9" fontId="49" fillId="12" borderId="0" xfId="2" applyFont="1" applyFill="1" applyAlignment="1">
      <alignment vertical="center"/>
    </xf>
    <xf numFmtId="0" fontId="49" fillId="2" borderId="0" xfId="0" quotePrefix="1" applyFont="1" applyFill="1" applyAlignment="1">
      <alignment horizontal="right" vertical="center"/>
    </xf>
    <xf numFmtId="0" fontId="49" fillId="2" borderId="0" xfId="0" quotePrefix="1" applyFont="1" applyFill="1" applyAlignment="1">
      <alignment vertical="center"/>
    </xf>
    <xf numFmtId="168" fontId="2" fillId="8" borderId="1" xfId="1" applyNumberFormat="1" applyFont="1" applyFill="1" applyBorder="1" applyAlignment="1">
      <alignment vertical="center"/>
    </xf>
    <xf numFmtId="183" fontId="7" fillId="2" borderId="1" xfId="4" applyNumberFormat="1" applyFont="1" applyFill="1" applyBorder="1" applyAlignment="1" applyProtection="1">
      <alignment vertical="center" wrapText="1"/>
      <protection locked="0"/>
    </xf>
    <xf numFmtId="168" fontId="49" fillId="12" borderId="1" xfId="0" applyNumberFormat="1" applyFont="1" applyFill="1" applyBorder="1" applyAlignment="1">
      <alignment vertical="center"/>
    </xf>
    <xf numFmtId="166" fontId="37" fillId="4" borderId="0" xfId="2" applyNumberFormat="1" applyFont="1" applyFill="1" applyAlignment="1">
      <alignment vertical="center"/>
    </xf>
    <xf numFmtId="171" fontId="6" fillId="2" borderId="0" xfId="0" applyNumberFormat="1" applyFont="1" applyFill="1" applyAlignment="1">
      <alignment vertical="center"/>
    </xf>
    <xf numFmtId="171" fontId="2" fillId="2" borderId="1" xfId="0" applyNumberFormat="1" applyFont="1" applyFill="1" applyBorder="1" applyAlignment="1">
      <alignment vertical="center"/>
    </xf>
    <xf numFmtId="171" fontId="2" fillId="2" borderId="2" xfId="0" applyNumberFormat="1" applyFont="1" applyFill="1" applyBorder="1" applyAlignment="1">
      <alignment vertical="center"/>
    </xf>
    <xf numFmtId="0" fontId="2" fillId="2" borderId="2" xfId="0" applyFont="1" applyFill="1" applyBorder="1" applyAlignment="1">
      <alignment horizontal="left" vertical="center" indent="1"/>
    </xf>
    <xf numFmtId="171" fontId="5" fillId="6" borderId="0" xfId="0" applyNumberFormat="1" applyFont="1" applyFill="1" applyAlignment="1">
      <alignment vertical="center"/>
    </xf>
    <xf numFmtId="166" fontId="49" fillId="12" borderId="0" xfId="2" applyNumberFormat="1" applyFont="1" applyFill="1" applyAlignment="1">
      <alignment vertical="center"/>
    </xf>
    <xf numFmtId="2" fontId="38" fillId="12" borderId="1" xfId="0" applyNumberFormat="1" applyFont="1" applyFill="1" applyBorder="1" applyAlignment="1">
      <alignment vertical="center"/>
    </xf>
    <xf numFmtId="0" fontId="38" fillId="2" borderId="0" xfId="0" quotePrefix="1" applyFont="1" applyFill="1" applyAlignment="1">
      <alignment vertical="center"/>
    </xf>
    <xf numFmtId="205" fontId="2" fillId="2" borderId="0" xfId="0" applyNumberFormat="1" applyFont="1" applyFill="1" applyAlignment="1">
      <alignment vertical="center"/>
    </xf>
    <xf numFmtId="205" fontId="2" fillId="2" borderId="1" xfId="0" applyNumberFormat="1" applyFont="1" applyFill="1" applyBorder="1" applyAlignment="1">
      <alignment vertical="center"/>
    </xf>
    <xf numFmtId="205" fontId="2" fillId="3" borderId="0" xfId="0" applyNumberFormat="1" applyFont="1" applyFill="1" applyAlignment="1">
      <alignment vertical="center"/>
    </xf>
    <xf numFmtId="167" fontId="34" fillId="2" borderId="0" xfId="0" applyNumberFormat="1" applyFont="1" applyFill="1" applyAlignment="1">
      <alignment vertical="center"/>
    </xf>
    <xf numFmtId="43" fontId="8" fillId="4" borderId="0" xfId="1" applyFont="1" applyFill="1" applyAlignment="1">
      <alignment vertical="center"/>
    </xf>
    <xf numFmtId="0" fontId="8" fillId="9" borderId="0" xfId="0" quotePrefix="1" applyFont="1" applyFill="1" applyAlignment="1">
      <alignment vertical="center"/>
    </xf>
    <xf numFmtId="2" fontId="8" fillId="9" borderId="0" xfId="0" applyNumberFormat="1" applyFont="1" applyFill="1" applyAlignment="1">
      <alignment vertical="center"/>
    </xf>
    <xf numFmtId="164" fontId="8" fillId="12" borderId="0" xfId="1" applyNumberFormat="1" applyFont="1" applyFill="1" applyAlignment="1">
      <alignment vertical="center"/>
    </xf>
    <xf numFmtId="0" fontId="8" fillId="12" borderId="1" xfId="0" applyFont="1" applyFill="1" applyBorder="1" applyAlignment="1">
      <alignment vertical="center"/>
    </xf>
    <xf numFmtId="164" fontId="8" fillId="12" borderId="1" xfId="0" applyNumberFormat="1" applyFont="1" applyFill="1" applyBorder="1" applyAlignment="1">
      <alignment vertical="center"/>
    </xf>
    <xf numFmtId="164" fontId="34" fillId="11" borderId="0" xfId="1" applyNumberFormat="1" applyFont="1" applyFill="1" applyAlignment="1">
      <alignment vertical="center"/>
    </xf>
    <xf numFmtId="0" fontId="34" fillId="11" borderId="0" xfId="0" applyFont="1" applyFill="1" applyAlignment="1">
      <alignment horizontal="center" vertical="center"/>
    </xf>
    <xf numFmtId="164" fontId="6" fillId="5" borderId="0" xfId="1" applyNumberFormat="1" applyFont="1" applyFill="1" applyAlignment="1">
      <alignment vertical="center"/>
    </xf>
    <xf numFmtId="202" fontId="8" fillId="2" borderId="0" xfId="0" applyNumberFormat="1" applyFont="1" applyFill="1" applyAlignment="1">
      <alignment vertical="center"/>
    </xf>
    <xf numFmtId="166" fontId="8" fillId="12" borderId="14" xfId="2" applyNumberFormat="1" applyFont="1" applyFill="1" applyBorder="1" applyAlignment="1">
      <alignment vertical="center"/>
    </xf>
    <xf numFmtId="0" fontId="8" fillId="12" borderId="0" xfId="0" quotePrefix="1" applyFont="1" applyFill="1" applyAlignment="1">
      <alignment vertical="center"/>
    </xf>
    <xf numFmtId="167" fontId="29" fillId="0" borderId="1" xfId="0" applyNumberFormat="1" applyFont="1" applyBorder="1" applyAlignment="1">
      <alignment vertical="center"/>
    </xf>
    <xf numFmtId="189" fontId="34" fillId="2" borderId="0" xfId="1" applyNumberFormat="1" applyFont="1" applyFill="1" applyBorder="1" applyAlignment="1">
      <alignment vertical="center"/>
    </xf>
    <xf numFmtId="0" fontId="6" fillId="12" borderId="2" xfId="0" applyFont="1" applyFill="1" applyBorder="1" applyAlignment="1">
      <alignment horizontal="center" vertical="center"/>
    </xf>
    <xf numFmtId="166" fontId="2" fillId="12" borderId="0" xfId="0" applyNumberFormat="1" applyFont="1" applyFill="1" applyAlignment="1">
      <alignment horizontal="right" vertical="center"/>
    </xf>
    <xf numFmtId="165" fontId="7" fillId="12" borderId="0" xfId="1" applyNumberFormat="1" applyFont="1" applyFill="1" applyBorder="1" applyAlignment="1">
      <alignment horizontal="right" vertical="center"/>
    </xf>
    <xf numFmtId="166" fontId="2" fillId="12" borderId="0" xfId="0" applyNumberFormat="1" applyFont="1" applyFill="1" applyAlignment="1">
      <alignment vertical="center"/>
    </xf>
    <xf numFmtId="9" fontId="35" fillId="0" borderId="0" xfId="2" applyFont="1" applyAlignment="1">
      <alignment vertical="center"/>
    </xf>
    <xf numFmtId="167" fontId="5" fillId="2" borderId="0" xfId="0" applyNumberFormat="1" applyFont="1" applyFill="1" applyAlignment="1">
      <alignment vertical="center"/>
    </xf>
    <xf numFmtId="206" fontId="8" fillId="2" borderId="0" xfId="0" applyNumberFormat="1" applyFont="1" applyFill="1" applyAlignment="1">
      <alignment vertical="center"/>
    </xf>
    <xf numFmtId="2" fontId="2" fillId="2" borderId="1" xfId="0" applyNumberFormat="1" applyFont="1" applyFill="1" applyBorder="1" applyAlignment="1">
      <alignment horizontal="center" vertical="center"/>
    </xf>
    <xf numFmtId="0" fontId="2" fillId="2" borderId="0" xfId="0" applyFont="1" applyFill="1" applyAlignment="1">
      <alignment horizontal="center" vertical="center"/>
    </xf>
    <xf numFmtId="0" fontId="2" fillId="2" borderId="2" xfId="0" applyFont="1" applyFill="1" applyBorder="1" applyAlignment="1">
      <alignment horizontal="center" vertical="center"/>
    </xf>
    <xf numFmtId="9" fontId="2" fillId="2" borderId="2" xfId="2" applyFont="1" applyFill="1" applyBorder="1" applyAlignment="1">
      <alignment horizontal="center" vertical="center"/>
    </xf>
    <xf numFmtId="9" fontId="2" fillId="2" borderId="0" xfId="2" applyFont="1" applyFill="1" applyBorder="1" applyAlignment="1">
      <alignment horizontal="center" vertical="center"/>
    </xf>
    <xf numFmtId="166" fontId="2" fillId="2" borderId="1" xfId="2" applyNumberFormat="1" applyFont="1" applyFill="1" applyBorder="1" applyAlignment="1">
      <alignment horizontal="center" vertical="center"/>
    </xf>
    <xf numFmtId="166" fontId="2" fillId="2" borderId="0" xfId="2" applyNumberFormat="1" applyFont="1" applyFill="1" applyBorder="1" applyAlignment="1">
      <alignment horizontal="center" vertical="center"/>
    </xf>
    <xf numFmtId="0" fontId="2" fillId="2" borderId="1" xfId="0" applyFont="1" applyFill="1" applyBorder="1" applyAlignment="1">
      <alignment horizontal="center" vertical="center"/>
    </xf>
    <xf numFmtId="0" fontId="13" fillId="0" borderId="0" xfId="0" applyFont="1" applyAlignment="1">
      <alignment horizontal="left" vertical="center" wrapText="1"/>
    </xf>
  </cellXfs>
  <cellStyles count="9">
    <cellStyle name="Comma" xfId="1" builtinId="3"/>
    <cellStyle name="Comma [0] 2" xfId="7" xr:uid="{B2418A9A-2FC7-48A2-B50E-6AE1151CB40B}"/>
    <cellStyle name="Hyperlink" xfId="8" builtinId="8"/>
    <cellStyle name="Normal" xfId="0" builtinId="0"/>
    <cellStyle name="Normal 2" xfId="5" xr:uid="{75EDBBD4-089E-4CA9-AFA7-86CD70EC4ADF}"/>
    <cellStyle name="Normal_Clear_ARM" xfId="3" xr:uid="{CD49BAAE-C437-47C0-B0AB-BFF1C0F65F88}"/>
    <cellStyle name="Percent" xfId="2" builtinId="5"/>
    <cellStyle name="標準 2" xfId="4" xr:uid="{CDC7F0CF-D4A5-4A4B-95BA-2A68E1B522C7}"/>
    <cellStyle name="標準_財務編 Q1 (社債一覧)" xfId="6" xr:uid="{31E55E78-8A32-4C52-A2DD-B45608D5E4B2}"/>
  </cellStyles>
  <dxfs count="0"/>
  <tableStyles count="0" defaultTableStyle="TableStyleMedium2" defaultPivotStyle="PivotStyleLight16"/>
  <colors>
    <mruColors>
      <color rgb="FFF97303"/>
      <color rgb="FF023D67"/>
      <color rgb="FF2EB2A5"/>
      <color rgb="FF9D9D9C"/>
      <color rgb="FFFF00FF"/>
      <color rgb="FFFEECFB"/>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customXml" Target="../customXml/item3.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4.xml"/><Relationship Id="rId63" Type="http://schemas.openxmlformats.org/officeDocument/2006/relationships/externalLink" Target="externalLinks/externalLink20.xml"/><Relationship Id="rId68" Type="http://schemas.openxmlformats.org/officeDocument/2006/relationships/externalLink" Target="externalLinks/externalLink25.xml"/><Relationship Id="rId84" Type="http://schemas.openxmlformats.org/officeDocument/2006/relationships/externalLink" Target="externalLinks/externalLink41.xml"/><Relationship Id="rId89" Type="http://schemas.openxmlformats.org/officeDocument/2006/relationships/externalLink" Target="externalLinks/externalLink46.xml"/><Relationship Id="rId112" Type="http://schemas.openxmlformats.org/officeDocument/2006/relationships/sheetMetadata" Target="metadata.xml"/><Relationship Id="rId16" Type="http://schemas.openxmlformats.org/officeDocument/2006/relationships/worksheet" Target="worksheets/sheet16.xml"/><Relationship Id="rId107" Type="http://schemas.openxmlformats.org/officeDocument/2006/relationships/externalLink" Target="externalLinks/externalLink64.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0.xml"/><Relationship Id="rId58" Type="http://schemas.openxmlformats.org/officeDocument/2006/relationships/externalLink" Target="externalLinks/externalLink15.xml"/><Relationship Id="rId74" Type="http://schemas.openxmlformats.org/officeDocument/2006/relationships/externalLink" Target="externalLinks/externalLink31.xml"/><Relationship Id="rId79" Type="http://schemas.openxmlformats.org/officeDocument/2006/relationships/externalLink" Target="externalLinks/externalLink36.xml"/><Relationship Id="rId102" Type="http://schemas.openxmlformats.org/officeDocument/2006/relationships/externalLink" Target="externalLinks/externalLink59.xml"/><Relationship Id="rId5" Type="http://schemas.openxmlformats.org/officeDocument/2006/relationships/worksheet" Target="worksheets/sheet5.xml"/><Relationship Id="rId90" Type="http://schemas.openxmlformats.org/officeDocument/2006/relationships/externalLink" Target="externalLinks/externalLink47.xml"/><Relationship Id="rId95" Type="http://schemas.openxmlformats.org/officeDocument/2006/relationships/externalLink" Target="externalLinks/externalLink52.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externalLink" Target="externalLinks/externalLink5.xml"/><Relationship Id="rId64" Type="http://schemas.openxmlformats.org/officeDocument/2006/relationships/externalLink" Target="externalLinks/externalLink21.xml"/><Relationship Id="rId69" Type="http://schemas.openxmlformats.org/officeDocument/2006/relationships/externalLink" Target="externalLinks/externalLink26.xml"/><Relationship Id="rId113" Type="http://schemas.microsoft.com/office/2017/10/relationships/person" Target="persons/person.xml"/><Relationship Id="rId80" Type="http://schemas.openxmlformats.org/officeDocument/2006/relationships/externalLink" Target="externalLinks/externalLink37.xml"/><Relationship Id="rId85" Type="http://schemas.openxmlformats.org/officeDocument/2006/relationships/externalLink" Target="externalLinks/externalLink42.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16.xml"/><Relationship Id="rId103" Type="http://schemas.openxmlformats.org/officeDocument/2006/relationships/externalLink" Target="externalLinks/externalLink60.xml"/><Relationship Id="rId108" Type="http://schemas.openxmlformats.org/officeDocument/2006/relationships/externalLink" Target="externalLinks/externalLink65.xml"/><Relationship Id="rId54" Type="http://schemas.openxmlformats.org/officeDocument/2006/relationships/externalLink" Target="externalLinks/externalLink11.xml"/><Relationship Id="rId70" Type="http://schemas.openxmlformats.org/officeDocument/2006/relationships/externalLink" Target="externalLinks/externalLink27.xml"/><Relationship Id="rId75" Type="http://schemas.openxmlformats.org/officeDocument/2006/relationships/externalLink" Target="externalLinks/externalLink32.xml"/><Relationship Id="rId91" Type="http://schemas.openxmlformats.org/officeDocument/2006/relationships/externalLink" Target="externalLinks/externalLink48.xml"/><Relationship Id="rId96" Type="http://schemas.openxmlformats.org/officeDocument/2006/relationships/externalLink" Target="externalLinks/externalLink5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externalLink" Target="externalLinks/externalLink6.xml"/><Relationship Id="rId114"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xml"/><Relationship Id="rId52" Type="http://schemas.openxmlformats.org/officeDocument/2006/relationships/externalLink" Target="externalLinks/externalLink9.xml"/><Relationship Id="rId60" Type="http://schemas.openxmlformats.org/officeDocument/2006/relationships/externalLink" Target="externalLinks/externalLink17.xml"/><Relationship Id="rId65" Type="http://schemas.openxmlformats.org/officeDocument/2006/relationships/externalLink" Target="externalLinks/externalLink22.xml"/><Relationship Id="rId73" Type="http://schemas.openxmlformats.org/officeDocument/2006/relationships/externalLink" Target="externalLinks/externalLink30.xml"/><Relationship Id="rId78" Type="http://schemas.openxmlformats.org/officeDocument/2006/relationships/externalLink" Target="externalLinks/externalLink35.xml"/><Relationship Id="rId81" Type="http://schemas.openxmlformats.org/officeDocument/2006/relationships/externalLink" Target="externalLinks/externalLink38.xml"/><Relationship Id="rId86" Type="http://schemas.openxmlformats.org/officeDocument/2006/relationships/externalLink" Target="externalLinks/externalLink43.xml"/><Relationship Id="rId94" Type="http://schemas.openxmlformats.org/officeDocument/2006/relationships/externalLink" Target="externalLinks/externalLink51.xml"/><Relationship Id="rId99" Type="http://schemas.openxmlformats.org/officeDocument/2006/relationships/externalLink" Target="externalLinks/externalLink56.xml"/><Relationship Id="rId101" Type="http://schemas.openxmlformats.org/officeDocument/2006/relationships/externalLink" Target="externalLinks/externalLink5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theme" Target="theme/theme1.xml"/><Relationship Id="rId34" Type="http://schemas.openxmlformats.org/officeDocument/2006/relationships/worksheet" Target="worksheets/sheet34.xml"/><Relationship Id="rId50" Type="http://schemas.openxmlformats.org/officeDocument/2006/relationships/externalLink" Target="externalLinks/externalLink7.xml"/><Relationship Id="rId55" Type="http://schemas.openxmlformats.org/officeDocument/2006/relationships/externalLink" Target="externalLinks/externalLink12.xml"/><Relationship Id="rId76" Type="http://schemas.openxmlformats.org/officeDocument/2006/relationships/externalLink" Target="externalLinks/externalLink33.xml"/><Relationship Id="rId97" Type="http://schemas.openxmlformats.org/officeDocument/2006/relationships/externalLink" Target="externalLinks/externalLink54.xml"/><Relationship Id="rId104" Type="http://schemas.openxmlformats.org/officeDocument/2006/relationships/externalLink" Target="externalLinks/externalLink61.xml"/><Relationship Id="rId7" Type="http://schemas.openxmlformats.org/officeDocument/2006/relationships/worksheet" Target="worksheets/sheet7.xml"/><Relationship Id="rId71" Type="http://schemas.openxmlformats.org/officeDocument/2006/relationships/externalLink" Target="externalLinks/externalLink28.xml"/><Relationship Id="rId92" Type="http://schemas.openxmlformats.org/officeDocument/2006/relationships/externalLink" Target="externalLinks/externalLink4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2.xml"/><Relationship Id="rId66" Type="http://schemas.openxmlformats.org/officeDocument/2006/relationships/externalLink" Target="externalLinks/externalLink23.xml"/><Relationship Id="rId87" Type="http://schemas.openxmlformats.org/officeDocument/2006/relationships/externalLink" Target="externalLinks/externalLink44.xml"/><Relationship Id="rId110" Type="http://schemas.openxmlformats.org/officeDocument/2006/relationships/styles" Target="styles.xml"/><Relationship Id="rId115" Type="http://schemas.openxmlformats.org/officeDocument/2006/relationships/customXml" Target="../customXml/item1.xml"/><Relationship Id="rId61" Type="http://schemas.openxmlformats.org/officeDocument/2006/relationships/externalLink" Target="externalLinks/externalLink18.xml"/><Relationship Id="rId82"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13.xml"/><Relationship Id="rId77" Type="http://schemas.openxmlformats.org/officeDocument/2006/relationships/externalLink" Target="externalLinks/externalLink34.xml"/><Relationship Id="rId100" Type="http://schemas.openxmlformats.org/officeDocument/2006/relationships/externalLink" Target="externalLinks/externalLink57.xml"/><Relationship Id="rId105" Type="http://schemas.openxmlformats.org/officeDocument/2006/relationships/externalLink" Target="externalLinks/externalLink62.xml"/><Relationship Id="rId8" Type="http://schemas.openxmlformats.org/officeDocument/2006/relationships/worksheet" Target="worksheets/sheet8.xml"/><Relationship Id="rId51" Type="http://schemas.openxmlformats.org/officeDocument/2006/relationships/externalLink" Target="externalLinks/externalLink8.xml"/><Relationship Id="rId72" Type="http://schemas.openxmlformats.org/officeDocument/2006/relationships/externalLink" Target="externalLinks/externalLink29.xml"/><Relationship Id="rId93" Type="http://schemas.openxmlformats.org/officeDocument/2006/relationships/externalLink" Target="externalLinks/externalLink50.xml"/><Relationship Id="rId98" Type="http://schemas.openxmlformats.org/officeDocument/2006/relationships/externalLink" Target="externalLinks/externalLink55.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externalLink" Target="externalLinks/externalLink3.xml"/><Relationship Id="rId67" Type="http://schemas.openxmlformats.org/officeDocument/2006/relationships/externalLink" Target="externalLinks/externalLink24.xml"/><Relationship Id="rId11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19.xml"/><Relationship Id="rId83" Type="http://schemas.openxmlformats.org/officeDocument/2006/relationships/externalLink" Target="externalLinks/externalLink40.xml"/><Relationship Id="rId88" Type="http://schemas.openxmlformats.org/officeDocument/2006/relationships/externalLink" Target="externalLinks/externalLink45.xml"/><Relationship Id="rId111"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4.xml"/><Relationship Id="rId106" Type="http://schemas.openxmlformats.org/officeDocument/2006/relationships/externalLink" Target="externalLinks/externalLink6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5.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6.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7.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8.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29.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0.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1.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2.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3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34.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35.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36.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37.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38.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39.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0.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41.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42.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43.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44.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45.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46.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47.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48.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49.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5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5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5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5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5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5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5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5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5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6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6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6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6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6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6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66.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67.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68.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69.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4.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Ex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Ex8.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Ex9.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Ex10.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023D67"/>
            </a:solidFill>
            <a:ln>
              <a:noFill/>
            </a:ln>
            <a:effectLst/>
          </c:spPr>
          <c:invertIfNegative val="0"/>
          <c:val>
            <c:numRef>
              <c:f>Charts!$N$7</c:f>
              <c:numCache>
                <c:formatCode>\$0.0"bn"</c:formatCode>
                <c:ptCount val="1"/>
                <c:pt idx="0">
                  <c:v>130.5</c:v>
                </c:pt>
              </c:numCache>
            </c:numRef>
          </c:val>
          <c:extLst>
            <c:ext xmlns:c16="http://schemas.microsoft.com/office/drawing/2014/chart" uri="{C3380CC4-5D6E-409C-BE32-E72D297353CC}">
              <c16:uniqueId val="{00000000-13F9-4530-BD18-39F08DCA8156}"/>
            </c:ext>
          </c:extLst>
        </c:ser>
        <c:ser>
          <c:idx val="1"/>
          <c:order val="1"/>
          <c:spPr>
            <a:solidFill>
              <a:srgbClr val="F97303"/>
            </a:solidFill>
            <a:ln>
              <a:noFill/>
            </a:ln>
            <a:effectLst/>
          </c:spPr>
          <c:invertIfNegative val="0"/>
          <c:val>
            <c:numRef>
              <c:f>Charts!$N$8</c:f>
              <c:numCache>
                <c:formatCode>\$0.0"bn"</c:formatCode>
                <c:ptCount val="1"/>
                <c:pt idx="0">
                  <c:v>24.1</c:v>
                </c:pt>
              </c:numCache>
            </c:numRef>
          </c:val>
          <c:extLst>
            <c:ext xmlns:c16="http://schemas.microsoft.com/office/drawing/2014/chart" uri="{C3380CC4-5D6E-409C-BE32-E72D297353CC}">
              <c16:uniqueId val="{00000001-13F9-4530-BD18-39F08DCA8156}"/>
            </c:ext>
          </c:extLst>
        </c:ser>
        <c:ser>
          <c:idx val="2"/>
          <c:order val="2"/>
          <c:spPr>
            <a:solidFill>
              <a:srgbClr val="F97303"/>
            </a:solidFill>
            <a:ln>
              <a:noFill/>
            </a:ln>
            <a:effectLst/>
          </c:spPr>
          <c:invertIfNegative val="0"/>
          <c:val>
            <c:numRef>
              <c:f>Charts!$N$9</c:f>
              <c:numCache>
                <c:formatCode>\$0.0"bn"</c:formatCode>
                <c:ptCount val="1"/>
                <c:pt idx="0">
                  <c:v>26.950000000000003</c:v>
                </c:pt>
              </c:numCache>
            </c:numRef>
          </c:val>
          <c:extLst>
            <c:ext xmlns:c16="http://schemas.microsoft.com/office/drawing/2014/chart" uri="{C3380CC4-5D6E-409C-BE32-E72D297353CC}">
              <c16:uniqueId val="{00000002-13F9-4530-BD18-39F08DCA8156}"/>
            </c:ext>
          </c:extLst>
        </c:ser>
        <c:ser>
          <c:idx val="3"/>
          <c:order val="3"/>
          <c:spPr>
            <a:solidFill>
              <a:srgbClr val="F97303"/>
            </a:solidFill>
            <a:ln>
              <a:noFill/>
            </a:ln>
            <a:effectLst/>
          </c:spPr>
          <c:invertIfNegative val="0"/>
          <c:val>
            <c:numRef>
              <c:f>Charts!$N$10</c:f>
              <c:numCache>
                <c:formatCode>\$0.0"bn"</c:formatCode>
                <c:ptCount val="1"/>
                <c:pt idx="0">
                  <c:v>6.3500000000000005</c:v>
                </c:pt>
              </c:numCache>
            </c:numRef>
          </c:val>
          <c:extLst>
            <c:ext xmlns:c16="http://schemas.microsoft.com/office/drawing/2014/chart" uri="{C3380CC4-5D6E-409C-BE32-E72D297353CC}">
              <c16:uniqueId val="{00000003-13F9-4530-BD18-39F08DCA8156}"/>
            </c:ext>
          </c:extLst>
        </c:ser>
        <c:ser>
          <c:idx val="4"/>
          <c:order val="4"/>
          <c:spPr>
            <a:solidFill>
              <a:srgbClr val="9D9D9C"/>
            </a:solidFill>
            <a:ln>
              <a:noFill/>
            </a:ln>
            <a:effectLst/>
          </c:spPr>
          <c:invertIfNegative val="0"/>
          <c:val>
            <c:numRef>
              <c:f>Charts!$N$11</c:f>
              <c:numCache>
                <c:formatCode>\$0.0"bn"</c:formatCode>
                <c:ptCount val="1"/>
                <c:pt idx="0">
                  <c:v>19.850000000000001</c:v>
                </c:pt>
              </c:numCache>
            </c:numRef>
          </c:val>
          <c:extLst>
            <c:ext xmlns:c16="http://schemas.microsoft.com/office/drawing/2014/chart" uri="{C3380CC4-5D6E-409C-BE32-E72D297353CC}">
              <c16:uniqueId val="{00000004-13F9-4530-BD18-39F08DCA8156}"/>
            </c:ext>
          </c:extLst>
        </c:ser>
        <c:ser>
          <c:idx val="5"/>
          <c:order val="5"/>
          <c:spPr>
            <a:solidFill>
              <a:srgbClr val="FF00FF"/>
            </a:solidFill>
            <a:ln>
              <a:noFill/>
            </a:ln>
            <a:effectLst/>
          </c:spPr>
          <c:invertIfNegative val="0"/>
          <c:val>
            <c:numRef>
              <c:f>Charts!$N$12</c:f>
              <c:numCache>
                <c:formatCode>\$0.0"bn"</c:formatCode>
                <c:ptCount val="1"/>
                <c:pt idx="0">
                  <c:v>15</c:v>
                </c:pt>
              </c:numCache>
            </c:numRef>
          </c:val>
          <c:extLst>
            <c:ext xmlns:c16="http://schemas.microsoft.com/office/drawing/2014/chart" uri="{C3380CC4-5D6E-409C-BE32-E72D297353CC}">
              <c16:uniqueId val="{00000005-13F9-4530-BD18-39F08DCA8156}"/>
            </c:ext>
          </c:extLst>
        </c:ser>
        <c:ser>
          <c:idx val="6"/>
          <c:order val="6"/>
          <c:spPr>
            <a:solidFill>
              <a:srgbClr val="FF00FF"/>
            </a:solidFill>
            <a:ln>
              <a:noFill/>
            </a:ln>
            <a:effectLst/>
          </c:spPr>
          <c:invertIfNegative val="0"/>
          <c:val>
            <c:numRef>
              <c:f>Charts!$N$13</c:f>
              <c:numCache>
                <c:formatCode>\$0.0"bn"</c:formatCode>
                <c:ptCount val="1"/>
                <c:pt idx="0">
                  <c:v>2.3000000000000003</c:v>
                </c:pt>
              </c:numCache>
            </c:numRef>
          </c:val>
          <c:extLst>
            <c:ext xmlns:c16="http://schemas.microsoft.com/office/drawing/2014/chart" uri="{C3380CC4-5D6E-409C-BE32-E72D297353CC}">
              <c16:uniqueId val="{00000006-13F9-4530-BD18-39F08DCA8156}"/>
            </c:ext>
          </c:extLst>
        </c:ser>
        <c:ser>
          <c:idx val="7"/>
          <c:order val="7"/>
          <c:spPr>
            <a:solidFill>
              <a:srgbClr val="F97303"/>
            </a:solidFill>
            <a:ln>
              <a:noFill/>
            </a:ln>
            <a:effectLst/>
          </c:spPr>
          <c:invertIfNegative val="0"/>
          <c:val>
            <c:numRef>
              <c:f>Charts!$N$14</c:f>
              <c:numCache>
                <c:formatCode>\$0.0"bn"</c:formatCode>
                <c:ptCount val="1"/>
                <c:pt idx="0">
                  <c:v>0.05</c:v>
                </c:pt>
              </c:numCache>
            </c:numRef>
          </c:val>
          <c:extLst>
            <c:ext xmlns:c16="http://schemas.microsoft.com/office/drawing/2014/chart" uri="{C3380CC4-5D6E-409C-BE32-E72D297353CC}">
              <c16:uniqueId val="{00000007-13F9-4530-BD18-39F08DCA8156}"/>
            </c:ext>
          </c:extLst>
        </c:ser>
        <c:ser>
          <c:idx val="8"/>
          <c:order val="8"/>
          <c:spPr>
            <a:solidFill>
              <a:srgbClr val="FFC000"/>
            </a:solidFill>
            <a:ln>
              <a:noFill/>
            </a:ln>
            <a:effectLst/>
          </c:spPr>
          <c:invertIfNegative val="0"/>
          <c:val>
            <c:numRef>
              <c:f>Charts!$N$15</c:f>
              <c:numCache>
                <c:formatCode>\$0.0"bn"</c:formatCode>
                <c:ptCount val="1"/>
                <c:pt idx="0">
                  <c:v>12.4</c:v>
                </c:pt>
              </c:numCache>
            </c:numRef>
          </c:val>
          <c:extLst>
            <c:ext xmlns:c16="http://schemas.microsoft.com/office/drawing/2014/chart" uri="{C3380CC4-5D6E-409C-BE32-E72D297353CC}">
              <c16:uniqueId val="{00000008-13F9-4530-BD18-39F08DCA8156}"/>
            </c:ext>
          </c:extLst>
        </c:ser>
        <c:dLbls>
          <c:showLegendKey val="0"/>
          <c:showVal val="0"/>
          <c:showCatName val="0"/>
          <c:showSerName val="0"/>
          <c:showPercent val="0"/>
          <c:showBubbleSize val="0"/>
        </c:dLbls>
        <c:gapWidth val="150"/>
        <c:overlap val="100"/>
        <c:axId val="259665296"/>
        <c:axId val="259680656"/>
      </c:barChart>
      <c:catAx>
        <c:axId val="259665296"/>
        <c:scaling>
          <c:orientation val="minMax"/>
        </c:scaling>
        <c:delete val="1"/>
        <c:axPos val="b"/>
        <c:numFmt formatCode="General" sourceLinked="1"/>
        <c:majorTickMark val="none"/>
        <c:minorTickMark val="none"/>
        <c:tickLblPos val="nextTo"/>
        <c:crossAx val="259680656"/>
        <c:crosses val="autoZero"/>
        <c:auto val="1"/>
        <c:lblAlgn val="ctr"/>
        <c:lblOffset val="100"/>
        <c:noMultiLvlLbl val="0"/>
      </c:catAx>
      <c:valAx>
        <c:axId val="259680656"/>
        <c:scaling>
          <c:orientation val="minMax"/>
          <c:max val="300"/>
          <c:min val="0"/>
        </c:scaling>
        <c:delete val="0"/>
        <c:axPos val="l"/>
        <c:numFmt formatCode="\$0&quot;bn&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25966529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023D67"/>
            </a:solidFill>
            <a:ln>
              <a:noFill/>
            </a:ln>
            <a:effectLst/>
          </c:spPr>
          <c:invertIfNegative val="0"/>
          <c:val>
            <c:numRef>
              <c:f>Charts!$W$7</c:f>
              <c:numCache>
                <c:formatCode>\$0.0"bn"</c:formatCode>
                <c:ptCount val="1"/>
                <c:pt idx="0">
                  <c:v>198.35000000000002</c:v>
                </c:pt>
              </c:numCache>
            </c:numRef>
          </c:val>
          <c:extLst>
            <c:ext xmlns:c16="http://schemas.microsoft.com/office/drawing/2014/chart" uri="{C3380CC4-5D6E-409C-BE32-E72D297353CC}">
              <c16:uniqueId val="{00000000-3474-4777-BC87-AE2D4C219F36}"/>
            </c:ext>
          </c:extLst>
        </c:ser>
        <c:ser>
          <c:idx val="1"/>
          <c:order val="1"/>
          <c:spPr>
            <a:solidFill>
              <a:schemeClr val="accent2"/>
            </a:solidFill>
            <a:ln>
              <a:noFill/>
            </a:ln>
            <a:effectLst/>
          </c:spPr>
          <c:invertIfNegative val="0"/>
          <c:val>
            <c:numRef>
              <c:f>Charts!$W$8</c:f>
              <c:numCache>
                <c:formatCode>\$0.0"bn"</c:formatCode>
                <c:ptCount val="1"/>
                <c:pt idx="0">
                  <c:v>0</c:v>
                </c:pt>
              </c:numCache>
            </c:numRef>
          </c:val>
          <c:extLst>
            <c:ext xmlns:c16="http://schemas.microsoft.com/office/drawing/2014/chart" uri="{C3380CC4-5D6E-409C-BE32-E72D297353CC}">
              <c16:uniqueId val="{00000001-3474-4777-BC87-AE2D4C219F36}"/>
            </c:ext>
          </c:extLst>
        </c:ser>
        <c:ser>
          <c:idx val="2"/>
          <c:order val="2"/>
          <c:spPr>
            <a:solidFill>
              <a:srgbClr val="F97303"/>
            </a:solidFill>
            <a:ln>
              <a:noFill/>
            </a:ln>
            <a:effectLst/>
          </c:spPr>
          <c:invertIfNegative val="0"/>
          <c:val>
            <c:numRef>
              <c:f>Charts!$W$9</c:f>
              <c:numCache>
                <c:formatCode>\$0.0"bn"</c:formatCode>
                <c:ptCount val="1"/>
                <c:pt idx="0">
                  <c:v>65.05</c:v>
                </c:pt>
              </c:numCache>
            </c:numRef>
          </c:val>
          <c:extLst>
            <c:ext xmlns:c16="http://schemas.microsoft.com/office/drawing/2014/chart" uri="{C3380CC4-5D6E-409C-BE32-E72D297353CC}">
              <c16:uniqueId val="{00000002-3474-4777-BC87-AE2D4C219F36}"/>
            </c:ext>
          </c:extLst>
        </c:ser>
        <c:ser>
          <c:idx val="3"/>
          <c:order val="3"/>
          <c:spPr>
            <a:solidFill>
              <a:srgbClr val="F97303"/>
            </a:solidFill>
            <a:ln>
              <a:noFill/>
            </a:ln>
            <a:effectLst/>
          </c:spPr>
          <c:invertIfNegative val="0"/>
          <c:val>
            <c:numRef>
              <c:f>Charts!$W$10</c:f>
              <c:numCache>
                <c:formatCode>\$0.0"bn"</c:formatCode>
                <c:ptCount val="1"/>
                <c:pt idx="0">
                  <c:v>15.350000000000001</c:v>
                </c:pt>
              </c:numCache>
            </c:numRef>
          </c:val>
          <c:extLst>
            <c:ext xmlns:c16="http://schemas.microsoft.com/office/drawing/2014/chart" uri="{C3380CC4-5D6E-409C-BE32-E72D297353CC}">
              <c16:uniqueId val="{00000003-3474-4777-BC87-AE2D4C219F36}"/>
            </c:ext>
          </c:extLst>
        </c:ser>
        <c:ser>
          <c:idx val="4"/>
          <c:order val="4"/>
          <c:spPr>
            <a:solidFill>
              <a:srgbClr val="9D9D9C"/>
            </a:solidFill>
            <a:ln>
              <a:noFill/>
            </a:ln>
            <a:effectLst/>
          </c:spPr>
          <c:invertIfNegative val="0"/>
          <c:val>
            <c:numRef>
              <c:f>Charts!$W$11</c:f>
              <c:numCache>
                <c:formatCode>\$0.0"bn"</c:formatCode>
                <c:ptCount val="1"/>
                <c:pt idx="0">
                  <c:v>26.650000000000002</c:v>
                </c:pt>
              </c:numCache>
            </c:numRef>
          </c:val>
          <c:extLst>
            <c:ext xmlns:c16="http://schemas.microsoft.com/office/drawing/2014/chart" uri="{C3380CC4-5D6E-409C-BE32-E72D297353CC}">
              <c16:uniqueId val="{00000004-3474-4777-BC87-AE2D4C219F36}"/>
            </c:ext>
          </c:extLst>
        </c:ser>
        <c:ser>
          <c:idx val="5"/>
          <c:order val="5"/>
          <c:spPr>
            <a:solidFill>
              <a:srgbClr val="FF00FF"/>
            </a:solidFill>
            <a:ln>
              <a:noFill/>
            </a:ln>
            <a:effectLst/>
          </c:spPr>
          <c:invertIfNegative val="0"/>
          <c:val>
            <c:numRef>
              <c:f>Charts!$W$12</c:f>
              <c:numCache>
                <c:formatCode>\$0.0"bn"</c:formatCode>
                <c:ptCount val="1"/>
                <c:pt idx="0">
                  <c:v>4.95</c:v>
                </c:pt>
              </c:numCache>
            </c:numRef>
          </c:val>
          <c:extLst>
            <c:ext xmlns:c16="http://schemas.microsoft.com/office/drawing/2014/chart" uri="{C3380CC4-5D6E-409C-BE32-E72D297353CC}">
              <c16:uniqueId val="{00000005-3474-4777-BC87-AE2D4C219F36}"/>
            </c:ext>
          </c:extLst>
        </c:ser>
        <c:ser>
          <c:idx val="6"/>
          <c:order val="6"/>
          <c:spPr>
            <a:solidFill>
              <a:srgbClr val="FF00FF"/>
            </a:solidFill>
            <a:ln>
              <a:noFill/>
            </a:ln>
            <a:effectLst/>
          </c:spPr>
          <c:invertIfNegative val="0"/>
          <c:val>
            <c:numRef>
              <c:f>Charts!$W$13</c:f>
              <c:numCache>
                <c:formatCode>\$0.0"bn"</c:formatCode>
                <c:ptCount val="1"/>
                <c:pt idx="0">
                  <c:v>1.1500000000000001</c:v>
                </c:pt>
              </c:numCache>
            </c:numRef>
          </c:val>
          <c:extLst>
            <c:ext xmlns:c16="http://schemas.microsoft.com/office/drawing/2014/chart" uri="{C3380CC4-5D6E-409C-BE32-E72D297353CC}">
              <c16:uniqueId val="{00000006-3474-4777-BC87-AE2D4C219F36}"/>
            </c:ext>
          </c:extLst>
        </c:ser>
        <c:ser>
          <c:idx val="7"/>
          <c:order val="7"/>
          <c:spPr>
            <a:solidFill>
              <a:srgbClr val="2EB2A5"/>
            </a:solidFill>
            <a:ln>
              <a:noFill/>
            </a:ln>
            <a:effectLst/>
          </c:spPr>
          <c:invertIfNegative val="0"/>
          <c:val>
            <c:numRef>
              <c:f>Charts!$W$14</c:f>
              <c:numCache>
                <c:formatCode>\$0.0"bn"</c:formatCode>
                <c:ptCount val="1"/>
                <c:pt idx="0">
                  <c:v>0</c:v>
                </c:pt>
              </c:numCache>
            </c:numRef>
          </c:val>
          <c:extLst>
            <c:ext xmlns:c16="http://schemas.microsoft.com/office/drawing/2014/chart" uri="{C3380CC4-5D6E-409C-BE32-E72D297353CC}">
              <c16:uniqueId val="{00000007-3474-4777-BC87-AE2D4C219F36}"/>
            </c:ext>
          </c:extLst>
        </c:ser>
        <c:ser>
          <c:idx val="8"/>
          <c:order val="8"/>
          <c:spPr>
            <a:solidFill>
              <a:srgbClr val="FFC000"/>
            </a:solidFill>
            <a:ln>
              <a:noFill/>
            </a:ln>
            <a:effectLst/>
          </c:spPr>
          <c:invertIfNegative val="0"/>
          <c:val>
            <c:numRef>
              <c:f>Charts!$W$15</c:f>
              <c:numCache>
                <c:formatCode>\$0.0"bn"</c:formatCode>
                <c:ptCount val="1"/>
                <c:pt idx="0">
                  <c:v>18</c:v>
                </c:pt>
              </c:numCache>
            </c:numRef>
          </c:val>
          <c:extLst>
            <c:ext xmlns:c16="http://schemas.microsoft.com/office/drawing/2014/chart" uri="{C3380CC4-5D6E-409C-BE32-E72D297353CC}">
              <c16:uniqueId val="{00000008-3474-4777-BC87-AE2D4C219F36}"/>
            </c:ext>
          </c:extLst>
        </c:ser>
        <c:ser>
          <c:idx val="9"/>
          <c:order val="9"/>
          <c:spPr>
            <a:solidFill>
              <a:schemeClr val="bg1"/>
            </a:solidFill>
            <a:ln w="19050">
              <a:solidFill>
                <a:sysClr val="windowText" lastClr="000000"/>
              </a:solidFill>
            </a:ln>
            <a:effectLst/>
          </c:spPr>
          <c:invertIfNegative val="0"/>
          <c:val>
            <c:numRef>
              <c:f>Charts!$W$16</c:f>
              <c:numCache>
                <c:formatCode>\$0.0"bn"</c:formatCode>
                <c:ptCount val="1"/>
                <c:pt idx="0">
                  <c:v>0</c:v>
                </c:pt>
              </c:numCache>
            </c:numRef>
          </c:val>
          <c:extLst>
            <c:ext xmlns:c16="http://schemas.microsoft.com/office/drawing/2014/chart" uri="{C3380CC4-5D6E-409C-BE32-E72D297353CC}">
              <c16:uniqueId val="{00000009-3474-4777-BC87-AE2D4C219F36}"/>
            </c:ext>
          </c:extLst>
        </c:ser>
        <c:dLbls>
          <c:showLegendKey val="0"/>
          <c:showVal val="0"/>
          <c:showCatName val="0"/>
          <c:showSerName val="0"/>
          <c:showPercent val="0"/>
          <c:showBubbleSize val="0"/>
        </c:dLbls>
        <c:gapWidth val="150"/>
        <c:overlap val="100"/>
        <c:axId val="259665296"/>
        <c:axId val="259680656"/>
      </c:barChart>
      <c:catAx>
        <c:axId val="259665296"/>
        <c:scaling>
          <c:orientation val="minMax"/>
        </c:scaling>
        <c:delete val="1"/>
        <c:axPos val="b"/>
        <c:numFmt formatCode="General" sourceLinked="1"/>
        <c:majorTickMark val="none"/>
        <c:minorTickMark val="none"/>
        <c:tickLblPos val="nextTo"/>
        <c:crossAx val="259680656"/>
        <c:crosses val="autoZero"/>
        <c:auto val="1"/>
        <c:lblAlgn val="ctr"/>
        <c:lblOffset val="100"/>
        <c:noMultiLvlLbl val="0"/>
      </c:catAx>
      <c:valAx>
        <c:axId val="259680656"/>
        <c:scaling>
          <c:orientation val="minMax"/>
          <c:max val="300"/>
          <c:min val="0"/>
        </c:scaling>
        <c:delete val="1"/>
        <c:axPos val="l"/>
        <c:numFmt formatCode="\$0&quot;bn&quot;" sourceLinked="0"/>
        <c:majorTickMark val="out"/>
        <c:minorTickMark val="none"/>
        <c:tickLblPos val="nextTo"/>
        <c:crossAx val="25966529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02060"/>
            </a:solidFill>
            <a:ln>
              <a:noFill/>
            </a:ln>
            <a:effectLst/>
          </c:spPr>
          <c:invertIfNegative val="0"/>
          <c:val>
            <c:numRef>
              <c:f>Charts!$N$81:$R$81</c:f>
              <c:numCache>
                <c:formatCode>\$0"bn"</c:formatCode>
                <c:ptCount val="5"/>
                <c:pt idx="0">
                  <c:v>59.990204906735279</c:v>
                </c:pt>
                <c:pt idx="1">
                  <c:v>55.625959714569603</c:v>
                </c:pt>
                <c:pt idx="2">
                  <c:v>60.807557807010376</c:v>
                </c:pt>
                <c:pt idx="3">
                  <c:v>47.229761102373999</c:v>
                </c:pt>
                <c:pt idx="4">
                  <c:v>44.887431477445347</c:v>
                </c:pt>
              </c:numCache>
            </c:numRef>
          </c:val>
          <c:extLst>
            <c:ext xmlns:c16="http://schemas.microsoft.com/office/drawing/2014/chart" uri="{C3380CC4-5D6E-409C-BE32-E72D297353CC}">
              <c16:uniqueId val="{00000000-C289-4F5D-B4B2-BF0268F8BBEE}"/>
            </c:ext>
          </c:extLst>
        </c:ser>
        <c:ser>
          <c:idx val="1"/>
          <c:order val="1"/>
          <c:spPr>
            <a:solidFill>
              <a:srgbClr val="2EB2A5"/>
            </a:solidFill>
            <a:ln>
              <a:noFill/>
            </a:ln>
            <a:effectLst/>
          </c:spPr>
          <c:invertIfNegative val="0"/>
          <c:val>
            <c:numRef>
              <c:f>Charts!$N$82:$R$82</c:f>
              <c:numCache>
                <c:formatCode>\$0"bn"</c:formatCode>
                <c:ptCount val="5"/>
                <c:pt idx="0">
                  <c:v>13.373012955986402</c:v>
                </c:pt>
                <c:pt idx="1">
                  <c:v>17.597118598139286</c:v>
                </c:pt>
                <c:pt idx="2">
                  <c:v>20.44796143475774</c:v>
                </c:pt>
                <c:pt idx="3">
                  <c:v>25.870396165655656</c:v>
                </c:pt>
                <c:pt idx="4">
                  <c:v>14.522614094181362</c:v>
                </c:pt>
              </c:numCache>
            </c:numRef>
          </c:val>
          <c:extLst>
            <c:ext xmlns:c16="http://schemas.microsoft.com/office/drawing/2014/chart" uri="{C3380CC4-5D6E-409C-BE32-E72D297353CC}">
              <c16:uniqueId val="{00000001-C289-4F5D-B4B2-BF0268F8BBEE}"/>
            </c:ext>
          </c:extLst>
        </c:ser>
        <c:ser>
          <c:idx val="2"/>
          <c:order val="2"/>
          <c:spPr>
            <a:solidFill>
              <a:srgbClr val="F97303"/>
            </a:solidFill>
            <a:ln>
              <a:noFill/>
            </a:ln>
            <a:effectLst/>
          </c:spPr>
          <c:invertIfNegative val="0"/>
          <c:val>
            <c:numRef>
              <c:f>Charts!$N$83:$R$83</c:f>
              <c:numCache>
                <c:formatCode>\$0"bn"</c:formatCode>
                <c:ptCount val="5"/>
                <c:pt idx="0">
                  <c:v>46.617191950748875</c:v>
                </c:pt>
                <c:pt idx="1">
                  <c:v>38.028841116430321</c:v>
                </c:pt>
                <c:pt idx="2">
                  <c:v>40.359596372252639</c:v>
                </c:pt>
                <c:pt idx="3">
                  <c:v>21.35936493671834</c:v>
                </c:pt>
                <c:pt idx="4">
                  <c:v>30.364817383263983</c:v>
                </c:pt>
              </c:numCache>
            </c:numRef>
          </c:val>
          <c:extLst>
            <c:ext xmlns:c16="http://schemas.microsoft.com/office/drawing/2014/chart" uri="{C3380CC4-5D6E-409C-BE32-E72D297353CC}">
              <c16:uniqueId val="{00000002-C289-4F5D-B4B2-BF0268F8BBEE}"/>
            </c:ext>
          </c:extLst>
        </c:ser>
        <c:dLbls>
          <c:showLegendKey val="0"/>
          <c:showVal val="0"/>
          <c:showCatName val="0"/>
          <c:showSerName val="0"/>
          <c:showPercent val="0"/>
          <c:showBubbleSize val="0"/>
        </c:dLbls>
        <c:gapWidth val="219"/>
        <c:overlap val="-27"/>
        <c:axId val="830699183"/>
        <c:axId val="830709263"/>
      </c:barChart>
      <c:catAx>
        <c:axId val="8306991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830709263"/>
        <c:crosses val="autoZero"/>
        <c:auto val="1"/>
        <c:lblAlgn val="ctr"/>
        <c:lblOffset val="100"/>
        <c:noMultiLvlLbl val="0"/>
      </c:catAx>
      <c:valAx>
        <c:axId val="830709263"/>
        <c:scaling>
          <c:orientation val="minMax"/>
        </c:scaling>
        <c:delete val="0"/>
        <c:axPos val="l"/>
        <c:majorGridlines>
          <c:spPr>
            <a:ln w="9525" cap="flat" cmpd="sng" algn="ctr">
              <a:solidFill>
                <a:schemeClr val="tx1">
                  <a:lumMod val="15000"/>
                  <a:lumOff val="85000"/>
                </a:schemeClr>
              </a:solidFill>
              <a:round/>
            </a:ln>
            <a:effectLst/>
          </c:spPr>
        </c:majorGridlines>
        <c:numFmt formatCode="\$0&quot;bn&quot;"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830699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Gross debt</c:v>
          </c:tx>
          <c:spPr>
            <a:solidFill>
              <a:srgbClr val="9D9D9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Charts!$N$79:$R$79</c:f>
              <c:strCache>
                <c:ptCount val="5"/>
                <c:pt idx="0">
                  <c:v>Mar. '20</c:v>
                </c:pt>
                <c:pt idx="1">
                  <c:v>Mar. '21</c:v>
                </c:pt>
                <c:pt idx="2">
                  <c:v>Mar. '22</c:v>
                </c:pt>
                <c:pt idx="3">
                  <c:v>Mar. '23</c:v>
                </c:pt>
                <c:pt idx="4">
                  <c:v>Mar. '24</c:v>
                </c:pt>
              </c:strCache>
            </c:strRef>
          </c:cat>
          <c:val>
            <c:numRef>
              <c:f>Charts!$N$81:$R$81</c:f>
              <c:numCache>
                <c:formatCode>\$0"bn"</c:formatCode>
                <c:ptCount val="5"/>
                <c:pt idx="0">
                  <c:v>59.990204906735279</c:v>
                </c:pt>
                <c:pt idx="1">
                  <c:v>55.625959714569603</c:v>
                </c:pt>
                <c:pt idx="2">
                  <c:v>60.807557807010376</c:v>
                </c:pt>
                <c:pt idx="3">
                  <c:v>47.229761102373999</c:v>
                </c:pt>
                <c:pt idx="4">
                  <c:v>44.887431477445347</c:v>
                </c:pt>
              </c:numCache>
            </c:numRef>
          </c:val>
          <c:extLst>
            <c:ext xmlns:c16="http://schemas.microsoft.com/office/drawing/2014/chart" uri="{C3380CC4-5D6E-409C-BE32-E72D297353CC}">
              <c16:uniqueId val="{00000000-F3F1-4131-81AF-809051301F24}"/>
            </c:ext>
          </c:extLst>
        </c:ser>
        <c:ser>
          <c:idx val="1"/>
          <c:order val="1"/>
          <c:tx>
            <c:v>Cash</c:v>
          </c:tx>
          <c:spPr>
            <a:solidFill>
              <a:srgbClr val="2EB2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Charts!$N$79:$R$79</c:f>
              <c:strCache>
                <c:ptCount val="5"/>
                <c:pt idx="0">
                  <c:v>Mar. '20</c:v>
                </c:pt>
                <c:pt idx="1">
                  <c:v>Mar. '21</c:v>
                </c:pt>
                <c:pt idx="2">
                  <c:v>Mar. '22</c:v>
                </c:pt>
                <c:pt idx="3">
                  <c:v>Mar. '23</c:v>
                </c:pt>
                <c:pt idx="4">
                  <c:v>Mar. '24</c:v>
                </c:pt>
              </c:strCache>
            </c:strRef>
          </c:cat>
          <c:val>
            <c:numRef>
              <c:f>Charts!$N$82:$R$82</c:f>
              <c:numCache>
                <c:formatCode>\$0"bn"</c:formatCode>
                <c:ptCount val="5"/>
                <c:pt idx="0">
                  <c:v>13.373012955986402</c:v>
                </c:pt>
                <c:pt idx="1">
                  <c:v>17.597118598139286</c:v>
                </c:pt>
                <c:pt idx="2">
                  <c:v>20.44796143475774</c:v>
                </c:pt>
                <c:pt idx="3">
                  <c:v>25.870396165655656</c:v>
                </c:pt>
                <c:pt idx="4">
                  <c:v>14.522614094181362</c:v>
                </c:pt>
              </c:numCache>
            </c:numRef>
          </c:val>
          <c:extLst>
            <c:ext xmlns:c16="http://schemas.microsoft.com/office/drawing/2014/chart" uri="{C3380CC4-5D6E-409C-BE32-E72D297353CC}">
              <c16:uniqueId val="{00000001-F3F1-4131-81AF-809051301F24}"/>
            </c:ext>
          </c:extLst>
        </c:ser>
        <c:ser>
          <c:idx val="2"/>
          <c:order val="2"/>
          <c:tx>
            <c:v>Net debt</c:v>
          </c:tx>
          <c:spPr>
            <a:solidFill>
              <a:srgbClr val="F9730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Charts!$N$79:$R$79</c:f>
              <c:strCache>
                <c:ptCount val="5"/>
                <c:pt idx="0">
                  <c:v>Mar. '20</c:v>
                </c:pt>
                <c:pt idx="1">
                  <c:v>Mar. '21</c:v>
                </c:pt>
                <c:pt idx="2">
                  <c:v>Mar. '22</c:v>
                </c:pt>
                <c:pt idx="3">
                  <c:v>Mar. '23</c:v>
                </c:pt>
                <c:pt idx="4">
                  <c:v>Mar. '24</c:v>
                </c:pt>
              </c:strCache>
            </c:strRef>
          </c:cat>
          <c:val>
            <c:numRef>
              <c:f>Charts!$N$83:$R$83</c:f>
              <c:numCache>
                <c:formatCode>\$0"bn"</c:formatCode>
                <c:ptCount val="5"/>
                <c:pt idx="0">
                  <c:v>46.617191950748875</c:v>
                </c:pt>
                <c:pt idx="1">
                  <c:v>38.028841116430321</c:v>
                </c:pt>
                <c:pt idx="2">
                  <c:v>40.359596372252639</c:v>
                </c:pt>
                <c:pt idx="3">
                  <c:v>21.35936493671834</c:v>
                </c:pt>
                <c:pt idx="4">
                  <c:v>30.364817383263983</c:v>
                </c:pt>
              </c:numCache>
            </c:numRef>
          </c:val>
          <c:extLst>
            <c:ext xmlns:c16="http://schemas.microsoft.com/office/drawing/2014/chart" uri="{C3380CC4-5D6E-409C-BE32-E72D297353CC}">
              <c16:uniqueId val="{00000002-F3F1-4131-81AF-809051301F24}"/>
            </c:ext>
          </c:extLst>
        </c:ser>
        <c:dLbls>
          <c:showLegendKey val="0"/>
          <c:showVal val="0"/>
          <c:showCatName val="0"/>
          <c:showSerName val="0"/>
          <c:showPercent val="0"/>
          <c:showBubbleSize val="0"/>
        </c:dLbls>
        <c:gapWidth val="219"/>
        <c:overlap val="-30"/>
        <c:axId val="1757177567"/>
        <c:axId val="1757190047"/>
      </c:barChart>
      <c:lineChart>
        <c:grouping val="standard"/>
        <c:varyColors val="0"/>
        <c:ser>
          <c:idx val="3"/>
          <c:order val="3"/>
          <c:tx>
            <c:v>LTV</c:v>
          </c:tx>
          <c:spPr>
            <a:ln w="19050" cap="rnd">
              <a:solidFill>
                <a:srgbClr val="023D67"/>
              </a:solidFill>
              <a:round/>
            </a:ln>
            <a:effectLst/>
          </c:spPr>
          <c:marker>
            <c:symbol val="square"/>
            <c:size val="3"/>
            <c:spPr>
              <a:solidFill>
                <a:srgbClr val="023D67"/>
              </a:solidFill>
              <a:ln w="19050">
                <a:solidFill>
                  <a:srgbClr val="023D67"/>
                </a:solidFill>
              </a:ln>
              <a:effectLst/>
            </c:spPr>
          </c:marker>
          <c:dLbls>
            <c:dLbl>
              <c:idx val="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6-40B1-ADEB-7E23A0B28485}"/>
                </c:ext>
              </c:extLst>
            </c:dLbl>
            <c:dLbl>
              <c:idx val="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F1-4131-81AF-809051301F24}"/>
                </c:ext>
              </c:extLst>
            </c:dLbl>
            <c:dLbl>
              <c:idx val="4"/>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F1-4131-81AF-809051301F2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Charts!$N$79:$R$79</c:f>
              <c:strCache>
                <c:ptCount val="5"/>
                <c:pt idx="0">
                  <c:v>Mar. '20</c:v>
                </c:pt>
                <c:pt idx="1">
                  <c:v>Mar. '21</c:v>
                </c:pt>
                <c:pt idx="2">
                  <c:v>Mar. '22</c:v>
                </c:pt>
                <c:pt idx="3">
                  <c:v>Mar. '23</c:v>
                </c:pt>
                <c:pt idx="4">
                  <c:v>Mar. '24</c:v>
                </c:pt>
              </c:strCache>
            </c:strRef>
          </c:cat>
          <c:val>
            <c:numRef>
              <c:f>Charts!$N$85:$R$85</c:f>
              <c:numCache>
                <c:formatCode>0.0%</c:formatCode>
                <c:ptCount val="5"/>
                <c:pt idx="0">
                  <c:v>0.14183835182250393</c:v>
                </c:pt>
                <c:pt idx="1">
                  <c:v>0.12203947368421049</c:v>
                </c:pt>
                <c:pt idx="2">
                  <c:v>0.20362381363244189</c:v>
                </c:pt>
                <c:pt idx="3">
                  <c:v>0.11027095148078139</c:v>
                </c:pt>
                <c:pt idx="4">
                  <c:v>8.4377059986816133E-2</c:v>
                </c:pt>
              </c:numCache>
            </c:numRef>
          </c:val>
          <c:smooth val="0"/>
          <c:extLst>
            <c:ext xmlns:c16="http://schemas.microsoft.com/office/drawing/2014/chart" uri="{C3380CC4-5D6E-409C-BE32-E72D297353CC}">
              <c16:uniqueId val="{00000003-F3F1-4131-81AF-809051301F24}"/>
            </c:ext>
          </c:extLst>
        </c:ser>
        <c:dLbls>
          <c:showLegendKey val="0"/>
          <c:showVal val="0"/>
          <c:showCatName val="0"/>
          <c:showSerName val="0"/>
          <c:showPercent val="0"/>
          <c:showBubbleSize val="0"/>
        </c:dLbls>
        <c:marker val="1"/>
        <c:smooth val="0"/>
        <c:axId val="1233802591"/>
        <c:axId val="1233792031"/>
      </c:lineChart>
      <c:catAx>
        <c:axId val="175717756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757190047"/>
        <c:crosses val="autoZero"/>
        <c:auto val="1"/>
        <c:lblAlgn val="ctr"/>
        <c:lblOffset val="100"/>
        <c:noMultiLvlLbl val="0"/>
      </c:catAx>
      <c:valAx>
        <c:axId val="1757190047"/>
        <c:scaling>
          <c:orientation val="minMax"/>
        </c:scaling>
        <c:delete val="0"/>
        <c:axPos val="l"/>
        <c:majorGridlines>
          <c:spPr>
            <a:ln w="9525" cap="flat" cmpd="sng" algn="ctr">
              <a:solidFill>
                <a:schemeClr val="tx1">
                  <a:lumMod val="15000"/>
                  <a:lumOff val="85000"/>
                </a:schemeClr>
              </a:solidFill>
              <a:round/>
            </a:ln>
            <a:effectLst/>
          </c:spPr>
        </c:majorGridlines>
        <c:numFmt formatCode="\$0&quot;bn&quot;"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757177567"/>
        <c:crosses val="autoZero"/>
        <c:crossBetween val="between"/>
      </c:valAx>
      <c:valAx>
        <c:axId val="1233792031"/>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233802591"/>
        <c:crosses val="max"/>
        <c:crossBetween val="between"/>
      </c:valAx>
      <c:catAx>
        <c:axId val="1233802591"/>
        <c:scaling>
          <c:orientation val="minMax"/>
        </c:scaling>
        <c:delete val="1"/>
        <c:axPos val="b"/>
        <c:numFmt formatCode="General" sourceLinked="1"/>
        <c:majorTickMark val="out"/>
        <c:minorTickMark val="none"/>
        <c:tickLblPos val="nextTo"/>
        <c:crossAx val="12337920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Charts!$J$7</c:f>
              <c:strCache>
                <c:ptCount val="1"/>
                <c:pt idx="0">
                  <c:v>Arm</c:v>
                </c:pt>
              </c:strCache>
            </c:strRef>
          </c:tx>
          <c:spPr>
            <a:solidFill>
              <a:srgbClr val="023D67"/>
            </a:solidFill>
            <a:ln>
              <a:noFill/>
            </a:ln>
            <a:effectLst/>
          </c:spPr>
          <c:invertIfNegative val="0"/>
          <c:dPt>
            <c:idx val="1"/>
            <c:invertIfNegative val="0"/>
            <c:bubble3D val="0"/>
            <c:spPr>
              <a:solidFill>
                <a:srgbClr val="9D9D9C"/>
              </a:solidFill>
              <a:ln>
                <a:noFill/>
              </a:ln>
              <a:effectLst/>
            </c:spPr>
            <c:extLst>
              <c:ext xmlns:c16="http://schemas.microsoft.com/office/drawing/2014/chart" uri="{C3380CC4-5D6E-409C-BE32-E72D297353CC}">
                <c16:uniqueId val="{0000000A-5745-4E03-BBA9-396160067556}"/>
              </c:ext>
            </c:extLst>
          </c:dPt>
          <c:dPt>
            <c:idx val="2"/>
            <c:invertIfNegative val="0"/>
            <c:bubble3D val="0"/>
            <c:spPr>
              <a:solidFill>
                <a:srgbClr val="9D9D9C"/>
              </a:solidFill>
              <a:ln>
                <a:noFill/>
              </a:ln>
              <a:effectLst/>
            </c:spPr>
            <c:extLst>
              <c:ext xmlns:c16="http://schemas.microsoft.com/office/drawing/2014/chart" uri="{C3380CC4-5D6E-409C-BE32-E72D297353CC}">
                <c16:uniqueId val="{0000000B-5745-4E03-BBA9-396160067556}"/>
              </c:ext>
            </c:extLst>
          </c:dPt>
          <c:cat>
            <c:strRef>
              <c:f>(Charts!$N$6,Charts!$P$6:$Q$6)</c:f>
              <c:strCache>
                <c:ptCount val="3"/>
                <c:pt idx="0">
                  <c:v>June '24 net equity holdings</c:v>
                </c:pt>
                <c:pt idx="1">
                  <c:v>June '24 NAV</c:v>
                </c:pt>
                <c:pt idx="2">
                  <c:v>SBG market cap. today</c:v>
                </c:pt>
              </c:strCache>
            </c:strRef>
          </c:cat>
          <c:val>
            <c:numRef>
              <c:f>(Charts!$N$7,Charts!$P$7,Charts!$Q$7)</c:f>
              <c:numCache>
                <c:formatCode>\$0.0"bn"</c:formatCode>
                <c:ptCount val="3"/>
                <c:pt idx="0">
                  <c:v>130.5</c:v>
                </c:pt>
                <c:pt idx="1">
                  <c:v>218.95000000000002</c:v>
                </c:pt>
                <c:pt idx="2">
                  <c:v>149</c:v>
                </c:pt>
              </c:numCache>
            </c:numRef>
          </c:val>
          <c:extLst>
            <c:ext xmlns:c16="http://schemas.microsoft.com/office/drawing/2014/chart" uri="{C3380CC4-5D6E-409C-BE32-E72D297353CC}">
              <c16:uniqueId val="{00000000-5745-4E03-BBA9-396160067556}"/>
            </c:ext>
          </c:extLst>
        </c:ser>
        <c:ser>
          <c:idx val="1"/>
          <c:order val="1"/>
          <c:tx>
            <c:strRef>
              <c:f>Charts!$J$8</c:f>
              <c:strCache>
                <c:ptCount val="1"/>
                <c:pt idx="0">
                  <c:v>SVF1</c:v>
                </c:pt>
              </c:strCache>
            </c:strRef>
          </c:tx>
          <c:spPr>
            <a:solidFill>
              <a:srgbClr val="F97303"/>
            </a:solidFill>
            <a:ln>
              <a:noFill/>
            </a:ln>
            <a:effectLst/>
          </c:spPr>
          <c:invertIfNegative val="0"/>
          <c:cat>
            <c:strRef>
              <c:f>(Charts!$N$6,Charts!$P$6:$Q$6)</c:f>
              <c:strCache>
                <c:ptCount val="3"/>
                <c:pt idx="0">
                  <c:v>June '24 net equity holdings</c:v>
                </c:pt>
                <c:pt idx="1">
                  <c:v>June '24 NAV</c:v>
                </c:pt>
                <c:pt idx="2">
                  <c:v>SBG market cap. today</c:v>
                </c:pt>
              </c:strCache>
            </c:strRef>
          </c:cat>
          <c:val>
            <c:numRef>
              <c:f>(Charts!$N$8,Charts!$P$8,Charts!$Q$8)</c:f>
              <c:numCache>
                <c:formatCode>0%</c:formatCode>
                <c:ptCount val="3"/>
                <c:pt idx="0" formatCode="\$0.0&quot;bn&quot;">
                  <c:v>24.1</c:v>
                </c:pt>
              </c:numCache>
            </c:numRef>
          </c:val>
          <c:extLst>
            <c:ext xmlns:c16="http://schemas.microsoft.com/office/drawing/2014/chart" uri="{C3380CC4-5D6E-409C-BE32-E72D297353CC}">
              <c16:uniqueId val="{00000001-5745-4E03-BBA9-396160067556}"/>
            </c:ext>
          </c:extLst>
        </c:ser>
        <c:ser>
          <c:idx val="2"/>
          <c:order val="2"/>
          <c:tx>
            <c:strRef>
              <c:f>Charts!$J$9</c:f>
              <c:strCache>
                <c:ptCount val="1"/>
                <c:pt idx="0">
                  <c:v>SVF2</c:v>
                </c:pt>
              </c:strCache>
            </c:strRef>
          </c:tx>
          <c:spPr>
            <a:solidFill>
              <a:srgbClr val="FFC000"/>
            </a:solidFill>
            <a:ln>
              <a:noFill/>
            </a:ln>
            <a:effectLst/>
          </c:spPr>
          <c:invertIfNegative val="0"/>
          <c:cat>
            <c:strRef>
              <c:f>(Charts!$N$6,Charts!$P$6:$Q$6)</c:f>
              <c:strCache>
                <c:ptCount val="3"/>
                <c:pt idx="0">
                  <c:v>June '24 net equity holdings</c:v>
                </c:pt>
                <c:pt idx="1">
                  <c:v>June '24 NAV</c:v>
                </c:pt>
                <c:pt idx="2">
                  <c:v>SBG market cap. today</c:v>
                </c:pt>
              </c:strCache>
            </c:strRef>
          </c:cat>
          <c:val>
            <c:numRef>
              <c:f>(Charts!$N$9,Charts!$P$9,Charts!$Q$9)</c:f>
              <c:numCache>
                <c:formatCode>0%</c:formatCode>
                <c:ptCount val="3"/>
                <c:pt idx="0" formatCode="\$0.0&quot;bn&quot;">
                  <c:v>26.950000000000003</c:v>
                </c:pt>
              </c:numCache>
            </c:numRef>
          </c:val>
          <c:extLst>
            <c:ext xmlns:c16="http://schemas.microsoft.com/office/drawing/2014/chart" uri="{C3380CC4-5D6E-409C-BE32-E72D297353CC}">
              <c16:uniqueId val="{00000002-5745-4E03-BBA9-396160067556}"/>
            </c:ext>
          </c:extLst>
        </c:ser>
        <c:ser>
          <c:idx val="3"/>
          <c:order val="3"/>
          <c:tx>
            <c:strRef>
              <c:f>Charts!$J$10</c:f>
              <c:strCache>
                <c:ptCount val="1"/>
                <c:pt idx="0">
                  <c:v>LatAm Funds</c:v>
                </c:pt>
              </c:strCache>
            </c:strRef>
          </c:tx>
          <c:spPr>
            <a:solidFill>
              <a:srgbClr val="2EB2A5"/>
            </a:solidFill>
            <a:ln>
              <a:noFill/>
            </a:ln>
            <a:effectLst/>
          </c:spPr>
          <c:invertIfNegative val="0"/>
          <c:cat>
            <c:strRef>
              <c:f>(Charts!$N$6,Charts!$P$6:$Q$6)</c:f>
              <c:strCache>
                <c:ptCount val="3"/>
                <c:pt idx="0">
                  <c:v>June '24 net equity holdings</c:v>
                </c:pt>
                <c:pt idx="1">
                  <c:v>June '24 NAV</c:v>
                </c:pt>
                <c:pt idx="2">
                  <c:v>SBG market cap. today</c:v>
                </c:pt>
              </c:strCache>
            </c:strRef>
          </c:cat>
          <c:val>
            <c:numRef>
              <c:f>(Charts!$N$10,Charts!$P$10,Charts!$Q$10)</c:f>
              <c:numCache>
                <c:formatCode>0%</c:formatCode>
                <c:ptCount val="3"/>
                <c:pt idx="0" formatCode="\$0.0&quot;bn&quot;">
                  <c:v>6.3500000000000005</c:v>
                </c:pt>
              </c:numCache>
            </c:numRef>
          </c:val>
          <c:extLst>
            <c:ext xmlns:c16="http://schemas.microsoft.com/office/drawing/2014/chart" uri="{C3380CC4-5D6E-409C-BE32-E72D297353CC}">
              <c16:uniqueId val="{00000003-5745-4E03-BBA9-396160067556}"/>
            </c:ext>
          </c:extLst>
        </c:ser>
        <c:ser>
          <c:idx val="4"/>
          <c:order val="4"/>
          <c:tx>
            <c:strRef>
              <c:f>Charts!$J$11</c:f>
              <c:strCache>
                <c:ptCount val="1"/>
                <c:pt idx="0">
                  <c:v>SoftBank Corp.</c:v>
                </c:pt>
              </c:strCache>
            </c:strRef>
          </c:tx>
          <c:spPr>
            <a:solidFill>
              <a:srgbClr val="9D9D9C"/>
            </a:solidFill>
            <a:ln>
              <a:noFill/>
            </a:ln>
            <a:effectLst/>
          </c:spPr>
          <c:invertIfNegative val="0"/>
          <c:cat>
            <c:strRef>
              <c:f>(Charts!$N$6,Charts!$P$6:$Q$6)</c:f>
              <c:strCache>
                <c:ptCount val="3"/>
                <c:pt idx="0">
                  <c:v>June '24 net equity holdings</c:v>
                </c:pt>
                <c:pt idx="1">
                  <c:v>June '24 NAV</c:v>
                </c:pt>
                <c:pt idx="2">
                  <c:v>SBG market cap. today</c:v>
                </c:pt>
              </c:strCache>
            </c:strRef>
          </c:cat>
          <c:val>
            <c:numRef>
              <c:f>(Charts!$N$11,Charts!$P$11,Charts!$Q$11)</c:f>
              <c:numCache>
                <c:formatCode>0%</c:formatCode>
                <c:ptCount val="3"/>
                <c:pt idx="0" formatCode="\$0.0&quot;bn&quot;">
                  <c:v>19.850000000000001</c:v>
                </c:pt>
              </c:numCache>
            </c:numRef>
          </c:val>
          <c:extLst>
            <c:ext xmlns:c16="http://schemas.microsoft.com/office/drawing/2014/chart" uri="{C3380CC4-5D6E-409C-BE32-E72D297353CC}">
              <c16:uniqueId val="{00000004-5745-4E03-BBA9-396160067556}"/>
            </c:ext>
          </c:extLst>
        </c:ser>
        <c:ser>
          <c:idx val="5"/>
          <c:order val="5"/>
          <c:tx>
            <c:strRef>
              <c:f>Charts!$J$12</c:f>
              <c:strCache>
                <c:ptCount val="1"/>
                <c:pt idx="0">
                  <c:v>T-Mobile US</c:v>
                </c:pt>
              </c:strCache>
            </c:strRef>
          </c:tx>
          <c:spPr>
            <a:solidFill>
              <a:srgbClr val="FF00FF"/>
            </a:solidFill>
            <a:ln>
              <a:noFill/>
            </a:ln>
            <a:effectLst/>
          </c:spPr>
          <c:invertIfNegative val="0"/>
          <c:cat>
            <c:strRef>
              <c:f>(Charts!$N$6,Charts!$P$6:$Q$6)</c:f>
              <c:strCache>
                <c:ptCount val="3"/>
                <c:pt idx="0">
                  <c:v>June '24 net equity holdings</c:v>
                </c:pt>
                <c:pt idx="1">
                  <c:v>June '24 NAV</c:v>
                </c:pt>
                <c:pt idx="2">
                  <c:v>SBG market cap. today</c:v>
                </c:pt>
              </c:strCache>
            </c:strRef>
          </c:cat>
          <c:val>
            <c:numRef>
              <c:f>(Charts!$N$12,Charts!$P$12,Charts!$Q$12)</c:f>
              <c:numCache>
                <c:formatCode>0%</c:formatCode>
                <c:ptCount val="3"/>
                <c:pt idx="0" formatCode="\$0.0&quot;bn&quot;">
                  <c:v>15</c:v>
                </c:pt>
              </c:numCache>
            </c:numRef>
          </c:val>
          <c:extLst>
            <c:ext xmlns:c16="http://schemas.microsoft.com/office/drawing/2014/chart" uri="{C3380CC4-5D6E-409C-BE32-E72D297353CC}">
              <c16:uniqueId val="{00000005-5745-4E03-BBA9-396160067556}"/>
            </c:ext>
          </c:extLst>
        </c:ser>
        <c:ser>
          <c:idx val="6"/>
          <c:order val="6"/>
          <c:tx>
            <c:strRef>
              <c:f>Charts!$J$13</c:f>
              <c:strCache>
                <c:ptCount val="1"/>
                <c:pt idx="0">
                  <c:v>Deutsche Telekom</c:v>
                </c:pt>
              </c:strCache>
            </c:strRef>
          </c:tx>
          <c:spPr>
            <a:solidFill>
              <a:srgbClr val="FEECFB"/>
            </a:solidFill>
            <a:ln>
              <a:noFill/>
            </a:ln>
            <a:effectLst/>
          </c:spPr>
          <c:invertIfNegative val="0"/>
          <c:cat>
            <c:strRef>
              <c:f>(Charts!$N$6,Charts!$P$6:$Q$6)</c:f>
              <c:strCache>
                <c:ptCount val="3"/>
                <c:pt idx="0">
                  <c:v>June '24 net equity holdings</c:v>
                </c:pt>
                <c:pt idx="1">
                  <c:v>June '24 NAV</c:v>
                </c:pt>
                <c:pt idx="2">
                  <c:v>SBG market cap. today</c:v>
                </c:pt>
              </c:strCache>
            </c:strRef>
          </c:cat>
          <c:val>
            <c:numRef>
              <c:f>(Charts!$N$13,Charts!$P$13,Charts!$Q$13)</c:f>
              <c:numCache>
                <c:formatCode>0%</c:formatCode>
                <c:ptCount val="3"/>
                <c:pt idx="0" formatCode="\$0.0&quot;bn&quot;">
                  <c:v>2.3000000000000003</c:v>
                </c:pt>
              </c:numCache>
            </c:numRef>
          </c:val>
          <c:extLst>
            <c:ext xmlns:c16="http://schemas.microsoft.com/office/drawing/2014/chart" uri="{C3380CC4-5D6E-409C-BE32-E72D297353CC}">
              <c16:uniqueId val="{00000006-5745-4E03-BBA9-396160067556}"/>
            </c:ext>
          </c:extLst>
        </c:ser>
        <c:ser>
          <c:idx val="7"/>
          <c:order val="7"/>
          <c:tx>
            <c:strRef>
              <c:f>Charts!$J$14</c:f>
              <c:strCache>
                <c:ptCount val="1"/>
                <c:pt idx="0">
                  <c:v>Alibaba</c:v>
                </c:pt>
              </c:strCache>
            </c:strRef>
          </c:tx>
          <c:spPr>
            <a:solidFill>
              <a:srgbClr val="F97303"/>
            </a:solidFill>
            <a:ln>
              <a:noFill/>
            </a:ln>
            <a:effectLst/>
          </c:spPr>
          <c:invertIfNegative val="0"/>
          <c:cat>
            <c:strRef>
              <c:f>(Charts!$N$6,Charts!$P$6:$Q$6)</c:f>
              <c:strCache>
                <c:ptCount val="3"/>
                <c:pt idx="0">
                  <c:v>June '24 net equity holdings</c:v>
                </c:pt>
                <c:pt idx="1">
                  <c:v>June '24 NAV</c:v>
                </c:pt>
                <c:pt idx="2">
                  <c:v>SBG market cap. today</c:v>
                </c:pt>
              </c:strCache>
            </c:strRef>
          </c:cat>
          <c:val>
            <c:numRef>
              <c:f>(Charts!$N$14,Charts!$P$14,Charts!$Q$14)</c:f>
              <c:numCache>
                <c:formatCode>0%</c:formatCode>
                <c:ptCount val="3"/>
                <c:pt idx="0" formatCode="\$0.0&quot;bn&quot;">
                  <c:v>0.05</c:v>
                </c:pt>
              </c:numCache>
            </c:numRef>
          </c:val>
          <c:extLst>
            <c:ext xmlns:c16="http://schemas.microsoft.com/office/drawing/2014/chart" uri="{C3380CC4-5D6E-409C-BE32-E72D297353CC}">
              <c16:uniqueId val="{00000007-5745-4E03-BBA9-396160067556}"/>
            </c:ext>
          </c:extLst>
        </c:ser>
        <c:ser>
          <c:idx val="8"/>
          <c:order val="8"/>
          <c:tx>
            <c:strRef>
              <c:f>Charts!$J$15</c:f>
              <c:strCache>
                <c:ptCount val="1"/>
                <c:pt idx="0">
                  <c:v>Others</c:v>
                </c:pt>
              </c:strCache>
            </c:strRef>
          </c:tx>
          <c:spPr>
            <a:solidFill>
              <a:srgbClr val="2EB2A5"/>
            </a:solidFill>
            <a:ln>
              <a:noFill/>
            </a:ln>
            <a:effectLst/>
          </c:spPr>
          <c:invertIfNegative val="0"/>
          <c:cat>
            <c:strRef>
              <c:f>(Charts!$N$6,Charts!$P$6:$Q$6)</c:f>
              <c:strCache>
                <c:ptCount val="3"/>
                <c:pt idx="0">
                  <c:v>June '24 net equity holdings</c:v>
                </c:pt>
                <c:pt idx="1">
                  <c:v>June '24 NAV</c:v>
                </c:pt>
                <c:pt idx="2">
                  <c:v>SBG market cap. today</c:v>
                </c:pt>
              </c:strCache>
            </c:strRef>
          </c:cat>
          <c:val>
            <c:numRef>
              <c:f>(Charts!$N$15,Charts!$P$15,Charts!$Q$15)</c:f>
              <c:numCache>
                <c:formatCode>0%</c:formatCode>
                <c:ptCount val="3"/>
                <c:pt idx="0" formatCode="\$0.0&quot;bn&quot;">
                  <c:v>12.4</c:v>
                </c:pt>
              </c:numCache>
            </c:numRef>
          </c:val>
          <c:extLst>
            <c:ext xmlns:c16="http://schemas.microsoft.com/office/drawing/2014/chart" uri="{C3380CC4-5D6E-409C-BE32-E72D297353CC}">
              <c16:uniqueId val="{00000008-5745-4E03-BBA9-396160067556}"/>
            </c:ext>
          </c:extLst>
        </c:ser>
        <c:dLbls>
          <c:showLegendKey val="0"/>
          <c:showVal val="0"/>
          <c:showCatName val="0"/>
          <c:showSerName val="0"/>
          <c:showPercent val="0"/>
          <c:showBubbleSize val="0"/>
        </c:dLbls>
        <c:gapWidth val="150"/>
        <c:overlap val="100"/>
        <c:axId val="2018767839"/>
        <c:axId val="2018767359"/>
        <c:extLst>
          <c:ext xmlns:c15="http://schemas.microsoft.com/office/drawing/2012/chart" uri="{02D57815-91ED-43cb-92C2-25804820EDAC}">
            <c15:filteredBarSeries>
              <c15:ser>
                <c:idx val="9"/>
                <c:order val="9"/>
                <c:spPr>
                  <a:solidFill>
                    <a:schemeClr val="accent4">
                      <a:lumMod val="60000"/>
                    </a:schemeClr>
                  </a:solidFill>
                  <a:ln>
                    <a:noFill/>
                  </a:ln>
                  <a:effectLst/>
                </c:spPr>
                <c:invertIfNegative val="0"/>
                <c:cat>
                  <c:strRef>
                    <c:extLst>
                      <c:ext uri="{02D57815-91ED-43cb-92C2-25804820EDAC}">
                        <c15:formulaRef>
                          <c15:sqref>(Charts!$N$6,Charts!$P$6:$Q$6)</c15:sqref>
                        </c15:formulaRef>
                      </c:ext>
                    </c:extLst>
                    <c:strCache>
                      <c:ptCount val="3"/>
                      <c:pt idx="0">
                        <c:v>June '24 net equity holdings</c:v>
                      </c:pt>
                      <c:pt idx="1">
                        <c:v>June '24 NAV</c:v>
                      </c:pt>
                      <c:pt idx="2">
                        <c:v>SBG market cap. today</c:v>
                      </c:pt>
                    </c:strCache>
                  </c:strRef>
                </c:cat>
                <c:val>
                  <c:numRef>
                    <c:extLst>
                      <c:ext uri="{02D57815-91ED-43cb-92C2-25804820EDAC}">
                        <c15:formulaRef>
                          <c15:sqref>(Charts!$N$16,Charts!$P$16,Charts!$Q$16)</c15:sqref>
                        </c15:formulaRef>
                      </c:ext>
                    </c:extLst>
                    <c:numCache>
                      <c:formatCode>0%</c:formatCode>
                      <c:ptCount val="3"/>
                    </c:numCache>
                  </c:numRef>
                </c:val>
                <c:extLst>
                  <c:ext xmlns:c16="http://schemas.microsoft.com/office/drawing/2014/chart" uri="{C3380CC4-5D6E-409C-BE32-E72D297353CC}">
                    <c16:uniqueId val="{00000009-5745-4E03-BBA9-396160067556}"/>
                  </c:ext>
                </c:extLst>
              </c15:ser>
            </c15:filteredBarSeries>
          </c:ext>
        </c:extLst>
      </c:barChart>
      <c:catAx>
        <c:axId val="201876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2018767359"/>
        <c:crosses val="autoZero"/>
        <c:auto val="1"/>
        <c:lblAlgn val="ctr"/>
        <c:lblOffset val="100"/>
        <c:noMultiLvlLbl val="0"/>
      </c:catAx>
      <c:valAx>
        <c:axId val="2018767359"/>
        <c:scaling>
          <c:orientation val="minMax"/>
          <c:max val="350"/>
        </c:scaling>
        <c:delete val="0"/>
        <c:axPos val="l"/>
        <c:majorGridlines>
          <c:spPr>
            <a:ln w="9525" cap="flat" cmpd="sng" algn="ctr">
              <a:solidFill>
                <a:schemeClr val="tx1">
                  <a:lumMod val="15000"/>
                  <a:lumOff val="85000"/>
                </a:schemeClr>
              </a:solidFill>
              <a:round/>
            </a:ln>
            <a:effectLst/>
          </c:spPr>
        </c:majorGridlines>
        <c:numFmt formatCode="\$0&quot;bn&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2018767839"/>
        <c:crosses val="autoZero"/>
        <c:crossBetween val="between"/>
      </c:valAx>
      <c:spPr>
        <a:noFill/>
        <a:ln>
          <a:noFill/>
        </a:ln>
        <a:effectLst/>
      </c:spPr>
    </c:plotArea>
    <c:legend>
      <c:legendPos val="b"/>
      <c:layout>
        <c:manualLayout>
          <c:xMode val="edge"/>
          <c:yMode val="edge"/>
          <c:x val="3.5644000000000016E-2"/>
          <c:y val="0.90004166666666663"/>
          <c:w val="0.93153399999999997"/>
          <c:h val="8.5847222222222228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9977777777777"/>
          <c:y val="2.587037037037037E-2"/>
          <c:w val="0.86015577777777774"/>
          <c:h val="0.78634609053497939"/>
        </c:manualLayout>
      </c:layout>
      <c:barChart>
        <c:barDir val="col"/>
        <c:grouping val="stacked"/>
        <c:varyColors val="0"/>
        <c:ser>
          <c:idx val="0"/>
          <c:order val="0"/>
          <c:tx>
            <c:strRef>
              <c:f>Charts!$S$7</c:f>
              <c:strCache>
                <c:ptCount val="1"/>
                <c:pt idx="0">
                  <c:v>Arm</c:v>
                </c:pt>
              </c:strCache>
            </c:strRef>
          </c:tx>
          <c:spPr>
            <a:solidFill>
              <a:srgbClr val="023D67"/>
            </a:solidFill>
            <a:ln>
              <a:noFill/>
            </a:ln>
            <a:effectLst/>
          </c:spPr>
          <c:invertIfNegative val="0"/>
          <c:dPt>
            <c:idx val="1"/>
            <c:invertIfNegative val="0"/>
            <c:bubble3D val="0"/>
            <c:spPr>
              <a:solidFill>
                <a:srgbClr val="9D9D9C"/>
              </a:solidFill>
              <a:ln>
                <a:noFill/>
              </a:ln>
              <a:effectLst/>
            </c:spPr>
            <c:extLst>
              <c:ext xmlns:c16="http://schemas.microsoft.com/office/drawing/2014/chart" uri="{C3380CC4-5D6E-409C-BE32-E72D297353CC}">
                <c16:uniqueId val="{0000000A-7F2D-4B6B-933D-DAECA677AC32}"/>
              </c:ext>
            </c:extLst>
          </c:dPt>
          <c:dPt>
            <c:idx val="2"/>
            <c:invertIfNegative val="0"/>
            <c:bubble3D val="0"/>
            <c:spPr>
              <a:solidFill>
                <a:srgbClr val="9D9D9C"/>
              </a:solidFill>
              <a:ln>
                <a:noFill/>
              </a:ln>
              <a:effectLst/>
            </c:spPr>
            <c:extLst>
              <c:ext xmlns:c16="http://schemas.microsoft.com/office/drawing/2014/chart" uri="{C3380CC4-5D6E-409C-BE32-E72D297353CC}">
                <c16:uniqueId val="{0000000B-7F2D-4B6B-933D-DAECA677AC32}"/>
              </c:ext>
            </c:extLst>
          </c:dPt>
          <c:cat>
            <c:strRef>
              <c:f>(Charts!$W$6,Charts!$Y$6:$Z$6)</c:f>
              <c:strCache>
                <c:ptCount val="3"/>
                <c:pt idx="0">
                  <c:v>'30E net equity holdings</c:v>
                </c:pt>
                <c:pt idx="1">
                  <c:v>'30E NAV</c:v>
                </c:pt>
                <c:pt idx="2">
                  <c:v>SBG market cap. '30E</c:v>
                </c:pt>
              </c:strCache>
            </c:strRef>
          </c:cat>
          <c:val>
            <c:numRef>
              <c:f>(Charts!$W$7,Charts!$Y$7,Charts!$Z$7)</c:f>
              <c:numCache>
                <c:formatCode>\$0.0"bn"</c:formatCode>
                <c:ptCount val="3"/>
                <c:pt idx="0">
                  <c:v>198.35000000000002</c:v>
                </c:pt>
                <c:pt idx="1">
                  <c:v>0</c:v>
                </c:pt>
                <c:pt idx="2">
                  <c:v>0</c:v>
                </c:pt>
              </c:numCache>
            </c:numRef>
          </c:val>
          <c:extLst>
            <c:ext xmlns:c16="http://schemas.microsoft.com/office/drawing/2014/chart" uri="{C3380CC4-5D6E-409C-BE32-E72D297353CC}">
              <c16:uniqueId val="{00000000-7F2D-4B6B-933D-DAECA677AC32}"/>
            </c:ext>
          </c:extLst>
        </c:ser>
        <c:ser>
          <c:idx val="1"/>
          <c:order val="1"/>
          <c:tx>
            <c:strRef>
              <c:f>Charts!$S$8</c:f>
              <c:strCache>
                <c:ptCount val="1"/>
                <c:pt idx="0">
                  <c:v>SVF1</c:v>
                </c:pt>
              </c:strCache>
            </c:strRef>
          </c:tx>
          <c:spPr>
            <a:solidFill>
              <a:srgbClr val="F97303"/>
            </a:solidFill>
            <a:ln>
              <a:noFill/>
            </a:ln>
            <a:effectLst/>
          </c:spPr>
          <c:invertIfNegative val="0"/>
          <c:cat>
            <c:strRef>
              <c:f>(Charts!$W$6,Charts!$Y$6:$Z$6)</c:f>
              <c:strCache>
                <c:ptCount val="3"/>
                <c:pt idx="0">
                  <c:v>'30E net equity holdings</c:v>
                </c:pt>
                <c:pt idx="1">
                  <c:v>'30E NAV</c:v>
                </c:pt>
                <c:pt idx="2">
                  <c:v>SBG market cap. '30E</c:v>
                </c:pt>
              </c:strCache>
            </c:strRef>
          </c:cat>
          <c:val>
            <c:numRef>
              <c:f>(Charts!$W$8,Charts!$Y$8,Charts!$Z$8)</c:f>
              <c:numCache>
                <c:formatCode>0%</c:formatCode>
                <c:ptCount val="3"/>
                <c:pt idx="0" formatCode="\$0.0&quot;bn&quot;">
                  <c:v>0</c:v>
                </c:pt>
              </c:numCache>
            </c:numRef>
          </c:val>
          <c:extLst>
            <c:ext xmlns:c16="http://schemas.microsoft.com/office/drawing/2014/chart" uri="{C3380CC4-5D6E-409C-BE32-E72D297353CC}">
              <c16:uniqueId val="{00000001-7F2D-4B6B-933D-DAECA677AC32}"/>
            </c:ext>
          </c:extLst>
        </c:ser>
        <c:ser>
          <c:idx val="2"/>
          <c:order val="2"/>
          <c:tx>
            <c:strRef>
              <c:f>Charts!$S$9</c:f>
              <c:strCache>
                <c:ptCount val="1"/>
                <c:pt idx="0">
                  <c:v>SVF2</c:v>
                </c:pt>
              </c:strCache>
            </c:strRef>
          </c:tx>
          <c:spPr>
            <a:solidFill>
              <a:srgbClr val="FFC000"/>
            </a:solidFill>
            <a:ln>
              <a:noFill/>
            </a:ln>
            <a:effectLst/>
          </c:spPr>
          <c:invertIfNegative val="0"/>
          <c:cat>
            <c:strRef>
              <c:f>(Charts!$W$6,Charts!$Y$6:$Z$6)</c:f>
              <c:strCache>
                <c:ptCount val="3"/>
                <c:pt idx="0">
                  <c:v>'30E net equity holdings</c:v>
                </c:pt>
                <c:pt idx="1">
                  <c:v>'30E NAV</c:v>
                </c:pt>
                <c:pt idx="2">
                  <c:v>SBG market cap. '30E</c:v>
                </c:pt>
              </c:strCache>
            </c:strRef>
          </c:cat>
          <c:val>
            <c:numRef>
              <c:f>(Charts!$W$9,Charts!$Y$9,Charts!$Z$9)</c:f>
              <c:numCache>
                <c:formatCode>0%</c:formatCode>
                <c:ptCount val="3"/>
                <c:pt idx="0" formatCode="\$0.0&quot;bn&quot;">
                  <c:v>65.05</c:v>
                </c:pt>
              </c:numCache>
            </c:numRef>
          </c:val>
          <c:extLst>
            <c:ext xmlns:c16="http://schemas.microsoft.com/office/drawing/2014/chart" uri="{C3380CC4-5D6E-409C-BE32-E72D297353CC}">
              <c16:uniqueId val="{00000002-7F2D-4B6B-933D-DAECA677AC32}"/>
            </c:ext>
          </c:extLst>
        </c:ser>
        <c:ser>
          <c:idx val="3"/>
          <c:order val="3"/>
          <c:tx>
            <c:strRef>
              <c:f>Charts!$S$10</c:f>
              <c:strCache>
                <c:ptCount val="1"/>
                <c:pt idx="0">
                  <c:v>LatAm Funds</c:v>
                </c:pt>
              </c:strCache>
            </c:strRef>
          </c:tx>
          <c:spPr>
            <a:solidFill>
              <a:srgbClr val="2EB2A5"/>
            </a:solidFill>
            <a:ln>
              <a:noFill/>
            </a:ln>
            <a:effectLst/>
          </c:spPr>
          <c:invertIfNegative val="0"/>
          <c:cat>
            <c:strRef>
              <c:f>(Charts!$W$6,Charts!$Y$6:$Z$6)</c:f>
              <c:strCache>
                <c:ptCount val="3"/>
                <c:pt idx="0">
                  <c:v>'30E net equity holdings</c:v>
                </c:pt>
                <c:pt idx="1">
                  <c:v>'30E NAV</c:v>
                </c:pt>
                <c:pt idx="2">
                  <c:v>SBG market cap. '30E</c:v>
                </c:pt>
              </c:strCache>
            </c:strRef>
          </c:cat>
          <c:val>
            <c:numRef>
              <c:f>(Charts!$W$10,Charts!$Y$10,Charts!$Z$10)</c:f>
              <c:numCache>
                <c:formatCode>0%</c:formatCode>
                <c:ptCount val="3"/>
                <c:pt idx="0" formatCode="\$0.0&quot;bn&quot;">
                  <c:v>15.350000000000001</c:v>
                </c:pt>
              </c:numCache>
            </c:numRef>
          </c:val>
          <c:extLst>
            <c:ext xmlns:c16="http://schemas.microsoft.com/office/drawing/2014/chart" uri="{C3380CC4-5D6E-409C-BE32-E72D297353CC}">
              <c16:uniqueId val="{00000003-7F2D-4B6B-933D-DAECA677AC32}"/>
            </c:ext>
          </c:extLst>
        </c:ser>
        <c:ser>
          <c:idx val="4"/>
          <c:order val="4"/>
          <c:tx>
            <c:strRef>
              <c:f>Charts!$S$11</c:f>
              <c:strCache>
                <c:ptCount val="1"/>
                <c:pt idx="0">
                  <c:v>SoftBank Corp.</c:v>
                </c:pt>
              </c:strCache>
            </c:strRef>
          </c:tx>
          <c:spPr>
            <a:solidFill>
              <a:srgbClr val="9D9D9C"/>
            </a:solidFill>
            <a:ln>
              <a:noFill/>
            </a:ln>
            <a:effectLst/>
          </c:spPr>
          <c:invertIfNegative val="0"/>
          <c:cat>
            <c:strRef>
              <c:f>(Charts!$W$6,Charts!$Y$6:$Z$6)</c:f>
              <c:strCache>
                <c:ptCount val="3"/>
                <c:pt idx="0">
                  <c:v>'30E net equity holdings</c:v>
                </c:pt>
                <c:pt idx="1">
                  <c:v>'30E NAV</c:v>
                </c:pt>
                <c:pt idx="2">
                  <c:v>SBG market cap. '30E</c:v>
                </c:pt>
              </c:strCache>
            </c:strRef>
          </c:cat>
          <c:val>
            <c:numRef>
              <c:f>(Charts!$W$11,Charts!$Y$11,Charts!$Z$11)</c:f>
              <c:numCache>
                <c:formatCode>0%</c:formatCode>
                <c:ptCount val="3"/>
                <c:pt idx="0" formatCode="\$0.0&quot;bn&quot;">
                  <c:v>26.650000000000002</c:v>
                </c:pt>
              </c:numCache>
            </c:numRef>
          </c:val>
          <c:extLst>
            <c:ext xmlns:c16="http://schemas.microsoft.com/office/drawing/2014/chart" uri="{C3380CC4-5D6E-409C-BE32-E72D297353CC}">
              <c16:uniqueId val="{00000004-7F2D-4B6B-933D-DAECA677AC32}"/>
            </c:ext>
          </c:extLst>
        </c:ser>
        <c:ser>
          <c:idx val="5"/>
          <c:order val="5"/>
          <c:tx>
            <c:strRef>
              <c:f>Charts!$S$12</c:f>
              <c:strCache>
                <c:ptCount val="1"/>
                <c:pt idx="0">
                  <c:v>T-Mobile US</c:v>
                </c:pt>
              </c:strCache>
            </c:strRef>
          </c:tx>
          <c:spPr>
            <a:solidFill>
              <a:srgbClr val="FF00FF"/>
            </a:solidFill>
            <a:ln>
              <a:noFill/>
            </a:ln>
            <a:effectLst/>
          </c:spPr>
          <c:invertIfNegative val="0"/>
          <c:cat>
            <c:strRef>
              <c:f>(Charts!$W$6,Charts!$Y$6:$Z$6)</c:f>
              <c:strCache>
                <c:ptCount val="3"/>
                <c:pt idx="0">
                  <c:v>'30E net equity holdings</c:v>
                </c:pt>
                <c:pt idx="1">
                  <c:v>'30E NAV</c:v>
                </c:pt>
                <c:pt idx="2">
                  <c:v>SBG market cap. '30E</c:v>
                </c:pt>
              </c:strCache>
            </c:strRef>
          </c:cat>
          <c:val>
            <c:numRef>
              <c:f>(Charts!$W$12,Charts!$Y$12,Charts!$Z$12)</c:f>
              <c:numCache>
                <c:formatCode>0%</c:formatCode>
                <c:ptCount val="3"/>
                <c:pt idx="0" formatCode="\$0.0&quot;bn&quot;">
                  <c:v>4.95</c:v>
                </c:pt>
              </c:numCache>
            </c:numRef>
          </c:val>
          <c:extLst>
            <c:ext xmlns:c16="http://schemas.microsoft.com/office/drawing/2014/chart" uri="{C3380CC4-5D6E-409C-BE32-E72D297353CC}">
              <c16:uniqueId val="{00000005-7F2D-4B6B-933D-DAECA677AC32}"/>
            </c:ext>
          </c:extLst>
        </c:ser>
        <c:ser>
          <c:idx val="6"/>
          <c:order val="6"/>
          <c:tx>
            <c:strRef>
              <c:f>Charts!$S$13</c:f>
              <c:strCache>
                <c:ptCount val="1"/>
                <c:pt idx="0">
                  <c:v>Deutsche Telekom</c:v>
                </c:pt>
              </c:strCache>
            </c:strRef>
          </c:tx>
          <c:spPr>
            <a:solidFill>
              <a:srgbClr val="FEECFB"/>
            </a:solidFill>
            <a:ln>
              <a:noFill/>
            </a:ln>
            <a:effectLst/>
          </c:spPr>
          <c:invertIfNegative val="0"/>
          <c:cat>
            <c:strRef>
              <c:f>(Charts!$W$6,Charts!$Y$6:$Z$6)</c:f>
              <c:strCache>
                <c:ptCount val="3"/>
                <c:pt idx="0">
                  <c:v>'30E net equity holdings</c:v>
                </c:pt>
                <c:pt idx="1">
                  <c:v>'30E NAV</c:v>
                </c:pt>
                <c:pt idx="2">
                  <c:v>SBG market cap. '30E</c:v>
                </c:pt>
              </c:strCache>
            </c:strRef>
          </c:cat>
          <c:val>
            <c:numRef>
              <c:f>(Charts!$W$13,Charts!$Y$13,Charts!$Z$13)</c:f>
              <c:numCache>
                <c:formatCode>0%</c:formatCode>
                <c:ptCount val="3"/>
                <c:pt idx="0" formatCode="\$0.0&quot;bn&quot;">
                  <c:v>1.1500000000000001</c:v>
                </c:pt>
              </c:numCache>
            </c:numRef>
          </c:val>
          <c:extLst>
            <c:ext xmlns:c16="http://schemas.microsoft.com/office/drawing/2014/chart" uri="{C3380CC4-5D6E-409C-BE32-E72D297353CC}">
              <c16:uniqueId val="{00000006-7F2D-4B6B-933D-DAECA677AC32}"/>
            </c:ext>
          </c:extLst>
        </c:ser>
        <c:ser>
          <c:idx val="7"/>
          <c:order val="7"/>
          <c:tx>
            <c:strRef>
              <c:f>Charts!$S$14</c:f>
              <c:strCache>
                <c:ptCount val="1"/>
                <c:pt idx="0">
                  <c:v>Robotics + Japanese LLM</c:v>
                </c:pt>
              </c:strCache>
            </c:strRef>
          </c:tx>
          <c:spPr>
            <a:solidFill>
              <a:srgbClr val="F97303"/>
            </a:solidFill>
            <a:ln>
              <a:noFill/>
            </a:ln>
            <a:effectLst/>
          </c:spPr>
          <c:invertIfNegative val="0"/>
          <c:cat>
            <c:strRef>
              <c:f>(Charts!$W$6,Charts!$Y$6:$Z$6)</c:f>
              <c:strCache>
                <c:ptCount val="3"/>
                <c:pt idx="0">
                  <c:v>'30E net equity holdings</c:v>
                </c:pt>
                <c:pt idx="1">
                  <c:v>'30E NAV</c:v>
                </c:pt>
                <c:pt idx="2">
                  <c:v>SBG market cap. '30E</c:v>
                </c:pt>
              </c:strCache>
            </c:strRef>
          </c:cat>
          <c:val>
            <c:numRef>
              <c:f>(Charts!$W$14,Charts!$Y$14,Charts!$Z$14)</c:f>
              <c:numCache>
                <c:formatCode>0%</c:formatCode>
                <c:ptCount val="3"/>
                <c:pt idx="0" formatCode="\$0.0&quot;bn&quot;">
                  <c:v>0</c:v>
                </c:pt>
              </c:numCache>
            </c:numRef>
          </c:val>
          <c:extLst>
            <c:ext xmlns:c16="http://schemas.microsoft.com/office/drawing/2014/chart" uri="{C3380CC4-5D6E-409C-BE32-E72D297353CC}">
              <c16:uniqueId val="{00000007-7F2D-4B6B-933D-DAECA677AC32}"/>
            </c:ext>
          </c:extLst>
        </c:ser>
        <c:ser>
          <c:idx val="8"/>
          <c:order val="8"/>
          <c:tx>
            <c:strRef>
              <c:f>Charts!$S$15</c:f>
              <c:strCache>
                <c:ptCount val="1"/>
                <c:pt idx="0">
                  <c:v>Others</c:v>
                </c:pt>
              </c:strCache>
            </c:strRef>
          </c:tx>
          <c:spPr>
            <a:solidFill>
              <a:srgbClr val="2EB2A5"/>
            </a:solidFill>
            <a:ln>
              <a:noFill/>
            </a:ln>
            <a:effectLst/>
          </c:spPr>
          <c:invertIfNegative val="0"/>
          <c:cat>
            <c:strRef>
              <c:f>(Charts!$W$6,Charts!$Y$6:$Z$6)</c:f>
              <c:strCache>
                <c:ptCount val="3"/>
                <c:pt idx="0">
                  <c:v>'30E net equity holdings</c:v>
                </c:pt>
                <c:pt idx="1">
                  <c:v>'30E NAV</c:v>
                </c:pt>
                <c:pt idx="2">
                  <c:v>SBG market cap. '30E</c:v>
                </c:pt>
              </c:strCache>
            </c:strRef>
          </c:cat>
          <c:val>
            <c:numRef>
              <c:f>(Charts!$W$15,Charts!$Y$15,Charts!$Z$15)</c:f>
              <c:numCache>
                <c:formatCode>0%</c:formatCode>
                <c:ptCount val="3"/>
                <c:pt idx="0" formatCode="\$0.0&quot;bn&quot;">
                  <c:v>18</c:v>
                </c:pt>
              </c:numCache>
            </c:numRef>
          </c:val>
          <c:extLst>
            <c:ext xmlns:c16="http://schemas.microsoft.com/office/drawing/2014/chart" uri="{C3380CC4-5D6E-409C-BE32-E72D297353CC}">
              <c16:uniqueId val="{00000008-7F2D-4B6B-933D-DAECA677AC32}"/>
            </c:ext>
          </c:extLst>
        </c:ser>
        <c:ser>
          <c:idx val="9"/>
          <c:order val="9"/>
          <c:tx>
            <c:strRef>
              <c:f>Charts!$S$16</c:f>
              <c:strCache>
                <c:ptCount val="1"/>
                <c:pt idx="0">
                  <c:v>Capital returns to shareholders</c:v>
                </c:pt>
              </c:strCache>
            </c:strRef>
          </c:tx>
          <c:spPr>
            <a:solidFill>
              <a:schemeClr val="bg1"/>
            </a:solidFill>
            <a:ln w="19050">
              <a:solidFill>
                <a:sysClr val="windowText" lastClr="000000"/>
              </a:solidFill>
              <a:prstDash val="dash"/>
            </a:ln>
            <a:effectLst/>
          </c:spPr>
          <c:invertIfNegative val="0"/>
          <c:cat>
            <c:strRef>
              <c:f>(Charts!$W$6,Charts!$Y$6:$Z$6)</c:f>
              <c:strCache>
                <c:ptCount val="3"/>
                <c:pt idx="0">
                  <c:v>'30E net equity holdings</c:v>
                </c:pt>
                <c:pt idx="1">
                  <c:v>'30E NAV</c:v>
                </c:pt>
                <c:pt idx="2">
                  <c:v>SBG market cap. '30E</c:v>
                </c:pt>
              </c:strCache>
            </c:strRef>
          </c:cat>
          <c:val>
            <c:numRef>
              <c:f>(Charts!$W$16,Charts!$Y$16,Charts!$Z$16)</c:f>
              <c:numCache>
                <c:formatCode>0%</c:formatCode>
                <c:ptCount val="3"/>
                <c:pt idx="0" formatCode="\$0.0&quot;bn&quot;">
                  <c:v>0</c:v>
                </c:pt>
                <c:pt idx="2" formatCode="\$0.0&quot;bn&quot;">
                  <c:v>0</c:v>
                </c:pt>
              </c:numCache>
            </c:numRef>
          </c:val>
          <c:extLst>
            <c:ext xmlns:c16="http://schemas.microsoft.com/office/drawing/2014/chart" uri="{C3380CC4-5D6E-409C-BE32-E72D297353CC}">
              <c16:uniqueId val="{00000009-7F2D-4B6B-933D-DAECA677AC32}"/>
            </c:ext>
          </c:extLst>
        </c:ser>
        <c:dLbls>
          <c:showLegendKey val="0"/>
          <c:showVal val="0"/>
          <c:showCatName val="0"/>
          <c:showSerName val="0"/>
          <c:showPercent val="0"/>
          <c:showBubbleSize val="0"/>
        </c:dLbls>
        <c:gapWidth val="150"/>
        <c:overlap val="100"/>
        <c:axId val="310562480"/>
        <c:axId val="310562960"/>
      </c:barChart>
      <c:catAx>
        <c:axId val="31056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310562960"/>
        <c:crosses val="autoZero"/>
        <c:auto val="1"/>
        <c:lblAlgn val="ctr"/>
        <c:lblOffset val="100"/>
        <c:noMultiLvlLbl val="0"/>
      </c:catAx>
      <c:valAx>
        <c:axId val="310562960"/>
        <c:scaling>
          <c:orientation val="minMax"/>
        </c:scaling>
        <c:delete val="0"/>
        <c:axPos val="l"/>
        <c:majorGridlines>
          <c:spPr>
            <a:ln w="9525" cap="flat" cmpd="sng" algn="ctr">
              <a:solidFill>
                <a:schemeClr val="tx1">
                  <a:lumMod val="15000"/>
                  <a:lumOff val="85000"/>
                </a:schemeClr>
              </a:solidFill>
              <a:round/>
            </a:ln>
            <a:effectLst/>
          </c:spPr>
        </c:majorGridlines>
        <c:numFmt formatCode="\$0&quot;bn&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310562480"/>
        <c:crosses val="autoZero"/>
        <c:crossBetween val="between"/>
      </c:valAx>
      <c:spPr>
        <a:noFill/>
        <a:ln>
          <a:noFill/>
        </a:ln>
        <a:effectLst/>
      </c:spPr>
    </c:plotArea>
    <c:legend>
      <c:legendPos val="b"/>
      <c:layout>
        <c:manualLayout>
          <c:xMode val="edge"/>
          <c:yMode val="edge"/>
          <c:x val="2.6772888888888909E-2"/>
          <c:y val="0.88984722222222223"/>
          <c:w val="0.94363200000000003"/>
          <c:h val="9.6041666666666678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3D67"/>
            </a:solidFill>
            <a:ln>
              <a:noFill/>
            </a:ln>
            <a:effectLst/>
          </c:spPr>
          <c:invertIfNegative val="0"/>
          <c:dPt>
            <c:idx val="0"/>
            <c:invertIfNegative val="0"/>
            <c:bubble3D val="0"/>
            <c:spPr>
              <a:solidFill>
                <a:srgbClr val="F97303"/>
              </a:solidFill>
              <a:ln>
                <a:noFill/>
              </a:ln>
              <a:effectLst/>
            </c:spPr>
            <c:extLst>
              <c:ext xmlns:c16="http://schemas.microsoft.com/office/drawing/2014/chart" uri="{C3380CC4-5D6E-409C-BE32-E72D297353CC}">
                <c16:uniqueId val="{00000001-C138-4329-8767-C001269308C2}"/>
              </c:ext>
            </c:extLst>
          </c:dPt>
          <c:dPt>
            <c:idx val="2"/>
            <c:invertIfNegative val="0"/>
            <c:bubble3D val="0"/>
            <c:spPr>
              <a:solidFill>
                <a:sysClr val="window" lastClr="FFFFFF"/>
              </a:solidFill>
              <a:ln w="19050">
                <a:solidFill>
                  <a:sysClr val="windowText" lastClr="000000"/>
                </a:solidFill>
              </a:ln>
              <a:effectLst/>
            </c:spPr>
            <c:extLst>
              <c:ext xmlns:c16="http://schemas.microsoft.com/office/drawing/2014/chart" uri="{C3380CC4-5D6E-409C-BE32-E72D297353CC}">
                <c16:uniqueId val="{00000003-C138-4329-8767-C001269308C2}"/>
              </c:ext>
            </c:extLst>
          </c:dPt>
          <c:dPt>
            <c:idx val="3"/>
            <c:invertIfNegative val="0"/>
            <c:bubble3D val="0"/>
            <c:spPr>
              <a:solidFill>
                <a:srgbClr val="FFC000"/>
              </a:solidFill>
              <a:ln>
                <a:noFill/>
              </a:ln>
              <a:effectLst/>
            </c:spPr>
            <c:extLst>
              <c:ext xmlns:c16="http://schemas.microsoft.com/office/drawing/2014/chart" uri="{C3380CC4-5D6E-409C-BE32-E72D297353CC}">
                <c16:uniqueId val="{00000004-C138-4329-8767-C001269308C2}"/>
              </c:ext>
            </c:extLst>
          </c:dPt>
          <c:dPt>
            <c:idx val="5"/>
            <c:invertIfNegative val="0"/>
            <c:bubble3D val="0"/>
            <c:spPr>
              <a:solidFill>
                <a:srgbClr val="2EB2A5"/>
              </a:solidFill>
              <a:ln>
                <a:noFill/>
              </a:ln>
              <a:effectLst/>
            </c:spPr>
            <c:extLst>
              <c:ext xmlns:c16="http://schemas.microsoft.com/office/drawing/2014/chart" uri="{C3380CC4-5D6E-409C-BE32-E72D297353CC}">
                <c16:uniqueId val="{00000006-C138-4329-8767-C001269308C2}"/>
              </c:ext>
            </c:extLst>
          </c:dPt>
          <c:cat>
            <c:strRef>
              <c:f>Charts!$J$139:$J$145</c:f>
              <c:strCache>
                <c:ptCount val="7"/>
                <c:pt idx="0">
                  <c:v>SVF1 AC</c:v>
                </c:pt>
                <c:pt idx="1">
                  <c:v>SVF1 IR</c:v>
                </c:pt>
                <c:pt idx="2">
                  <c:v>Adj. SV1 IR</c:v>
                </c:pt>
                <c:pt idx="3">
                  <c:v>SVF2 AC</c:v>
                </c:pt>
                <c:pt idx="4">
                  <c:v>SVF2 IR</c:v>
                </c:pt>
                <c:pt idx="5">
                  <c:v>LatAm AC</c:v>
                </c:pt>
                <c:pt idx="6">
                  <c:v>LatAm IR</c:v>
                </c:pt>
              </c:strCache>
            </c:strRef>
          </c:cat>
          <c:val>
            <c:numRef>
              <c:f>Charts!$M$139:$M$145</c:f>
              <c:numCache>
                <c:formatCode>\$0.0"bn"</c:formatCode>
                <c:ptCount val="7"/>
                <c:pt idx="0">
                  <c:v>89.6</c:v>
                </c:pt>
                <c:pt idx="1">
                  <c:v>106.3</c:v>
                </c:pt>
                <c:pt idx="2">
                  <c:v>89.899999999999991</c:v>
                </c:pt>
                <c:pt idx="3">
                  <c:v>52.3</c:v>
                </c:pt>
                <c:pt idx="4">
                  <c:v>33.299999999999997</c:v>
                </c:pt>
                <c:pt idx="5">
                  <c:v>7.4</c:v>
                </c:pt>
                <c:pt idx="6">
                  <c:v>6.3</c:v>
                </c:pt>
              </c:numCache>
            </c:numRef>
          </c:val>
          <c:extLst>
            <c:ext xmlns:c16="http://schemas.microsoft.com/office/drawing/2014/chart" uri="{C3380CC4-5D6E-409C-BE32-E72D297353CC}">
              <c16:uniqueId val="{00000000-C138-4329-8767-C001269308C2}"/>
            </c:ext>
          </c:extLst>
        </c:ser>
        <c:dLbls>
          <c:showLegendKey val="0"/>
          <c:showVal val="0"/>
          <c:showCatName val="0"/>
          <c:showSerName val="0"/>
          <c:showPercent val="0"/>
          <c:showBubbleSize val="0"/>
        </c:dLbls>
        <c:gapWidth val="219"/>
        <c:overlap val="-27"/>
        <c:axId val="1743946975"/>
        <c:axId val="1743958495"/>
      </c:barChart>
      <c:catAx>
        <c:axId val="174394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743958495"/>
        <c:crosses val="autoZero"/>
        <c:auto val="1"/>
        <c:lblAlgn val="ctr"/>
        <c:lblOffset val="100"/>
        <c:noMultiLvlLbl val="0"/>
      </c:catAx>
      <c:valAx>
        <c:axId val="1743958495"/>
        <c:scaling>
          <c:orientation val="minMax"/>
        </c:scaling>
        <c:delete val="0"/>
        <c:axPos val="l"/>
        <c:numFmt formatCode="\$0&quot;bn&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74394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97303"/>
              </a:solidFill>
              <a:ln>
                <a:noFill/>
              </a:ln>
              <a:effectLst/>
            </c:spPr>
            <c:extLst>
              <c:ext xmlns:c16="http://schemas.microsoft.com/office/drawing/2014/chart" uri="{C3380CC4-5D6E-409C-BE32-E72D297353CC}">
                <c16:uniqueId val="{00000001-56BF-4113-B353-B054EF0545A1}"/>
              </c:ext>
            </c:extLst>
          </c:dPt>
          <c:dPt>
            <c:idx val="1"/>
            <c:invertIfNegative val="0"/>
            <c:bubble3D val="0"/>
            <c:spPr>
              <a:solidFill>
                <a:srgbClr val="9D9D9C"/>
              </a:solidFill>
              <a:ln>
                <a:noFill/>
              </a:ln>
              <a:effectLst/>
            </c:spPr>
            <c:extLst>
              <c:ext xmlns:c16="http://schemas.microsoft.com/office/drawing/2014/chart" uri="{C3380CC4-5D6E-409C-BE32-E72D297353CC}">
                <c16:uniqueId val="{00000004-56BF-4113-B353-B054EF0545A1}"/>
              </c:ext>
            </c:extLst>
          </c:dPt>
          <c:dPt>
            <c:idx val="2"/>
            <c:invertIfNegative val="0"/>
            <c:bubble3D val="0"/>
            <c:spPr>
              <a:solidFill>
                <a:srgbClr val="FFC000"/>
              </a:solidFill>
              <a:ln>
                <a:noFill/>
              </a:ln>
              <a:effectLst/>
            </c:spPr>
            <c:extLst>
              <c:ext xmlns:c16="http://schemas.microsoft.com/office/drawing/2014/chart" uri="{C3380CC4-5D6E-409C-BE32-E72D297353CC}">
                <c16:uniqueId val="{00000002-56BF-4113-B353-B054EF0545A1}"/>
              </c:ext>
            </c:extLst>
          </c:dPt>
          <c:dPt>
            <c:idx val="3"/>
            <c:invertIfNegative val="0"/>
            <c:bubble3D val="0"/>
            <c:spPr>
              <a:solidFill>
                <a:srgbClr val="9D9D9C"/>
              </a:solidFill>
              <a:ln>
                <a:noFill/>
              </a:ln>
              <a:effectLst/>
            </c:spPr>
            <c:extLst>
              <c:ext xmlns:c16="http://schemas.microsoft.com/office/drawing/2014/chart" uri="{C3380CC4-5D6E-409C-BE32-E72D297353CC}">
                <c16:uniqueId val="{00000005-56BF-4113-B353-B054EF0545A1}"/>
              </c:ext>
            </c:extLst>
          </c:dPt>
          <c:dPt>
            <c:idx val="4"/>
            <c:invertIfNegative val="0"/>
            <c:bubble3D val="0"/>
            <c:spPr>
              <a:solidFill>
                <a:srgbClr val="2EB2A5"/>
              </a:solidFill>
              <a:ln>
                <a:noFill/>
              </a:ln>
              <a:effectLst/>
            </c:spPr>
            <c:extLst>
              <c:ext xmlns:c16="http://schemas.microsoft.com/office/drawing/2014/chart" uri="{C3380CC4-5D6E-409C-BE32-E72D297353CC}">
                <c16:uniqueId val="{00000003-56BF-4113-B353-B054EF0545A1}"/>
              </c:ext>
            </c:extLst>
          </c:dPt>
          <c:dPt>
            <c:idx val="5"/>
            <c:invertIfNegative val="0"/>
            <c:bubble3D val="0"/>
            <c:spPr>
              <a:solidFill>
                <a:srgbClr val="9D9D9C"/>
              </a:solidFill>
              <a:ln>
                <a:noFill/>
              </a:ln>
              <a:effectLst/>
            </c:spPr>
            <c:extLst>
              <c:ext xmlns:c16="http://schemas.microsoft.com/office/drawing/2014/chart" uri="{C3380CC4-5D6E-409C-BE32-E72D297353CC}">
                <c16:uniqueId val="{00000006-56BF-4113-B353-B054EF0545A1}"/>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Charts!$J$168:$J$173</c:f>
              <c:strCache>
                <c:ptCount val="6"/>
                <c:pt idx="0">
                  <c:v>SVF1 FV</c:v>
                </c:pt>
                <c:pt idx="1">
                  <c:v>SVF1 SBG</c:v>
                </c:pt>
                <c:pt idx="2">
                  <c:v>SVF2 FV</c:v>
                </c:pt>
                <c:pt idx="3">
                  <c:v>SVF2 SBG</c:v>
                </c:pt>
                <c:pt idx="4">
                  <c:v>LatAm FV</c:v>
                </c:pt>
                <c:pt idx="5">
                  <c:v>LatAM SBG</c:v>
                </c:pt>
              </c:strCache>
            </c:strRef>
          </c:cat>
          <c:val>
            <c:numRef>
              <c:f>Charts!$M$168:$M$173</c:f>
              <c:numCache>
                <c:formatCode>\$0.0"bn"</c:formatCode>
                <c:ptCount val="6"/>
                <c:pt idx="0">
                  <c:v>41.8</c:v>
                </c:pt>
                <c:pt idx="1">
                  <c:v>22.5</c:v>
                </c:pt>
                <c:pt idx="2">
                  <c:v>25.58</c:v>
                </c:pt>
                <c:pt idx="3">
                  <c:v>25.58</c:v>
                </c:pt>
                <c:pt idx="4">
                  <c:v>5.8</c:v>
                </c:pt>
                <c:pt idx="5">
                  <c:v>5.74</c:v>
                </c:pt>
              </c:numCache>
            </c:numRef>
          </c:val>
          <c:extLst>
            <c:ext xmlns:c16="http://schemas.microsoft.com/office/drawing/2014/chart" uri="{C3380CC4-5D6E-409C-BE32-E72D297353CC}">
              <c16:uniqueId val="{00000000-56BF-4113-B353-B054EF0545A1}"/>
            </c:ext>
          </c:extLst>
        </c:ser>
        <c:dLbls>
          <c:dLblPos val="outEnd"/>
          <c:showLegendKey val="0"/>
          <c:showVal val="1"/>
          <c:showCatName val="0"/>
          <c:showSerName val="0"/>
          <c:showPercent val="0"/>
          <c:showBubbleSize val="0"/>
        </c:dLbls>
        <c:gapWidth val="219"/>
        <c:overlap val="-27"/>
        <c:axId val="1597235743"/>
        <c:axId val="1597242463"/>
      </c:barChart>
      <c:catAx>
        <c:axId val="159723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597242463"/>
        <c:crosses val="autoZero"/>
        <c:auto val="1"/>
        <c:lblAlgn val="ctr"/>
        <c:lblOffset val="100"/>
        <c:noMultiLvlLbl val="0"/>
      </c:catAx>
      <c:valAx>
        <c:axId val="1597242463"/>
        <c:scaling>
          <c:orientation val="minMax"/>
        </c:scaling>
        <c:delete val="0"/>
        <c:axPos val="l"/>
        <c:numFmt formatCode="\$0&quot;bn&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59723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solidFill>
              <a:srgbClr val="023D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Charts!$J$198:$J$203</c:f>
              <c:strCache>
                <c:ptCount val="6"/>
                <c:pt idx="0">
                  <c:v>Consumer</c:v>
                </c:pt>
                <c:pt idx="1">
                  <c:v>Enterprise</c:v>
                </c:pt>
                <c:pt idx="2">
                  <c:v>Distribution</c:v>
                </c:pt>
                <c:pt idx="3">
                  <c:v>Media &amp; EC</c:v>
                </c:pt>
                <c:pt idx="4">
                  <c:v>Financial</c:v>
                </c:pt>
                <c:pt idx="5">
                  <c:v>Other</c:v>
                </c:pt>
              </c:strCache>
            </c:strRef>
          </c:cat>
          <c:val>
            <c:numRef>
              <c:f>Charts!$M$198:$M$203</c:f>
              <c:numCache>
                <c:formatCode>0%</c:formatCode>
                <c:ptCount val="6"/>
                <c:pt idx="0">
                  <c:v>0.46839060373440267</c:v>
                </c:pt>
                <c:pt idx="1">
                  <c:v>0.12818976219580594</c:v>
                </c:pt>
                <c:pt idx="2">
                  <c:v>0.10379154386382046</c:v>
                </c:pt>
                <c:pt idx="3">
                  <c:v>0.26175312884082708</c:v>
                </c:pt>
                <c:pt idx="4">
                  <c:v>3.8129276242644436E-2</c:v>
                </c:pt>
                <c:pt idx="5">
                  <c:v>2.794110948334369E-2</c:v>
                </c:pt>
              </c:numCache>
            </c:numRef>
          </c:val>
          <c:extLst>
            <c:ext xmlns:c16="http://schemas.microsoft.com/office/drawing/2014/chart" uri="{C3380CC4-5D6E-409C-BE32-E72D297353CC}">
              <c16:uniqueId val="{00000000-907A-423F-A790-D3B3F0EFF1BE}"/>
            </c:ext>
          </c:extLst>
        </c:ser>
        <c:ser>
          <c:idx val="1"/>
          <c:order val="1"/>
          <c:tx>
            <c:v>EBITDA</c:v>
          </c:tx>
          <c:spPr>
            <a:solidFill>
              <a:srgbClr val="2EB2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Charts!$J$198:$J$203</c:f>
              <c:strCache>
                <c:ptCount val="6"/>
                <c:pt idx="0">
                  <c:v>Consumer</c:v>
                </c:pt>
                <c:pt idx="1">
                  <c:v>Enterprise</c:v>
                </c:pt>
                <c:pt idx="2">
                  <c:v>Distribution</c:v>
                </c:pt>
                <c:pt idx="3">
                  <c:v>Media &amp; EC</c:v>
                </c:pt>
                <c:pt idx="4">
                  <c:v>Financial</c:v>
                </c:pt>
                <c:pt idx="5">
                  <c:v>Other</c:v>
                </c:pt>
              </c:strCache>
            </c:strRef>
          </c:cat>
          <c:val>
            <c:numRef>
              <c:f>Charts!$N$198:$N$203</c:f>
              <c:numCache>
                <c:formatCode>0%</c:formatCode>
                <c:ptCount val="6"/>
                <c:pt idx="0">
                  <c:v>0.53467304535529536</c:v>
                </c:pt>
                <c:pt idx="1">
                  <c:v>0.19355560416935075</c:v>
                </c:pt>
                <c:pt idx="2">
                  <c:v>1.8991019879385763E-2</c:v>
                </c:pt>
                <c:pt idx="3">
                  <c:v>0.22688863018673011</c:v>
                </c:pt>
                <c:pt idx="4">
                  <c:v>6.9203668958522672E-3</c:v>
                </c:pt>
                <c:pt idx="5">
                  <c:v>5.8263233045361996E-3</c:v>
                </c:pt>
              </c:numCache>
            </c:numRef>
          </c:val>
          <c:extLst>
            <c:ext xmlns:c16="http://schemas.microsoft.com/office/drawing/2014/chart" uri="{C3380CC4-5D6E-409C-BE32-E72D297353CC}">
              <c16:uniqueId val="{00000001-907A-423F-A790-D3B3F0EFF1BE}"/>
            </c:ext>
          </c:extLst>
        </c:ser>
        <c:dLbls>
          <c:dLblPos val="outEnd"/>
          <c:showLegendKey val="0"/>
          <c:showVal val="1"/>
          <c:showCatName val="0"/>
          <c:showSerName val="0"/>
          <c:showPercent val="0"/>
          <c:showBubbleSize val="0"/>
        </c:dLbls>
        <c:gapWidth val="219"/>
        <c:overlap val="-27"/>
        <c:axId val="2018735679"/>
        <c:axId val="2018712159"/>
      </c:barChart>
      <c:catAx>
        <c:axId val="201873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2018712159"/>
        <c:crosses val="autoZero"/>
        <c:auto val="1"/>
        <c:lblAlgn val="ctr"/>
        <c:lblOffset val="100"/>
        <c:noMultiLvlLbl val="0"/>
      </c:catAx>
      <c:valAx>
        <c:axId val="2018712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2018735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023D67"/>
              </a:solidFill>
              <a:ln w="19050">
                <a:solidFill>
                  <a:schemeClr val="lt1"/>
                </a:solidFill>
              </a:ln>
              <a:effectLst/>
            </c:spPr>
            <c:extLst>
              <c:ext xmlns:c16="http://schemas.microsoft.com/office/drawing/2014/chart" uri="{C3380CC4-5D6E-409C-BE32-E72D297353CC}">
                <c16:uniqueId val="{00000001-655B-49EE-AEE0-0CE0B9F63ADF}"/>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2-655B-49EE-AEE0-0CE0B9F63ADF}"/>
              </c:ext>
            </c:extLst>
          </c:dPt>
          <c:dPt>
            <c:idx val="2"/>
            <c:bubble3D val="0"/>
            <c:spPr>
              <a:solidFill>
                <a:srgbClr val="9D9D9C"/>
              </a:solidFill>
              <a:ln w="19050">
                <a:solidFill>
                  <a:schemeClr val="lt1"/>
                </a:solidFill>
              </a:ln>
              <a:effectLst/>
            </c:spPr>
            <c:extLst>
              <c:ext xmlns:c16="http://schemas.microsoft.com/office/drawing/2014/chart" uri="{C3380CC4-5D6E-409C-BE32-E72D297353CC}">
                <c16:uniqueId val="{00000003-655B-49EE-AEE0-0CE0B9F63ADF}"/>
              </c:ext>
            </c:extLst>
          </c:dPt>
          <c:dPt>
            <c:idx val="3"/>
            <c:bubble3D val="0"/>
            <c:spPr>
              <a:solidFill>
                <a:srgbClr val="FF00FF"/>
              </a:solidFill>
              <a:ln w="19050">
                <a:solidFill>
                  <a:schemeClr val="lt1"/>
                </a:solidFill>
              </a:ln>
              <a:effectLst/>
            </c:spPr>
            <c:extLst>
              <c:ext xmlns:c16="http://schemas.microsoft.com/office/drawing/2014/chart" uri="{C3380CC4-5D6E-409C-BE32-E72D297353CC}">
                <c16:uniqueId val="{00000004-655B-49EE-AEE0-0CE0B9F63ADF}"/>
              </c:ext>
            </c:extLst>
          </c:dPt>
          <c:dPt>
            <c:idx val="4"/>
            <c:bubble3D val="0"/>
            <c:spPr>
              <a:solidFill>
                <a:srgbClr val="F97303"/>
              </a:solidFill>
              <a:ln w="19050">
                <a:solidFill>
                  <a:schemeClr val="lt1"/>
                </a:solidFill>
              </a:ln>
              <a:effectLst/>
            </c:spPr>
            <c:extLst>
              <c:ext xmlns:c16="http://schemas.microsoft.com/office/drawing/2014/chart" uri="{C3380CC4-5D6E-409C-BE32-E72D297353CC}">
                <c16:uniqueId val="{00000006-655B-49EE-AEE0-0CE0B9F63ADF}"/>
              </c:ext>
            </c:extLst>
          </c:dPt>
          <c:dPt>
            <c:idx val="5"/>
            <c:bubble3D val="0"/>
            <c:spPr>
              <a:solidFill>
                <a:srgbClr val="2EB2A5"/>
              </a:solidFill>
              <a:ln w="19050">
                <a:solidFill>
                  <a:schemeClr val="lt1"/>
                </a:solidFill>
              </a:ln>
              <a:effectLst/>
            </c:spPr>
            <c:extLst>
              <c:ext xmlns:c16="http://schemas.microsoft.com/office/drawing/2014/chart" uri="{C3380CC4-5D6E-409C-BE32-E72D297353CC}">
                <c16:uniqueId val="{00000007-655B-49EE-AEE0-0CE0B9F63ADF}"/>
              </c:ext>
            </c:extLst>
          </c:dPt>
          <c:dLbls>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1-655B-49EE-AEE0-0CE0B9F63AD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Charts!$AO$6:$AO$11</c:f>
              <c:strCache>
                <c:ptCount val="6"/>
                <c:pt idx="0">
                  <c:v>Arm + AI infrastructure</c:v>
                </c:pt>
                <c:pt idx="1">
                  <c:v>Vision Funds</c:v>
                </c:pt>
                <c:pt idx="2">
                  <c:v>Domestic telcos + Japanese LLM</c:v>
                </c:pt>
                <c:pt idx="3">
                  <c:v>International telcos</c:v>
                </c:pt>
                <c:pt idx="4">
                  <c:v>Robotics</c:v>
                </c:pt>
                <c:pt idx="5">
                  <c:v>Others</c:v>
                </c:pt>
              </c:strCache>
            </c:strRef>
          </c:cat>
          <c:val>
            <c:numRef>
              <c:f>Charts!$AS$6:$AS$11</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655B-49EE-AEE0-0CE0B9F63AD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023D67"/>
              </a:solidFill>
              <a:ln w="19050">
                <a:solidFill>
                  <a:schemeClr val="lt1"/>
                </a:solidFill>
              </a:ln>
              <a:effectLst/>
            </c:spPr>
            <c:extLst>
              <c:ext xmlns:c16="http://schemas.microsoft.com/office/drawing/2014/chart" uri="{C3380CC4-5D6E-409C-BE32-E72D297353CC}">
                <c16:uniqueId val="{00000001-F402-4F1C-85E5-3E62A78157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02-4F1C-85E5-3E62A78157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02-4F1C-85E5-3E62A78157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02-4F1C-85E5-3E62A781573C}"/>
              </c:ext>
            </c:extLst>
          </c:dPt>
          <c:dPt>
            <c:idx val="4"/>
            <c:bubble3D val="0"/>
            <c:spPr>
              <a:solidFill>
                <a:srgbClr val="F97303"/>
              </a:solidFill>
              <a:ln w="19050">
                <a:solidFill>
                  <a:schemeClr val="lt1"/>
                </a:solidFill>
              </a:ln>
              <a:effectLst/>
            </c:spPr>
            <c:extLst>
              <c:ext xmlns:c16="http://schemas.microsoft.com/office/drawing/2014/chart" uri="{C3380CC4-5D6E-409C-BE32-E72D297353CC}">
                <c16:uniqueId val="{00000009-F402-4F1C-85E5-3E62A781573C}"/>
              </c:ext>
            </c:extLst>
          </c:dPt>
          <c:dPt>
            <c:idx val="5"/>
            <c:bubble3D val="0"/>
            <c:spPr>
              <a:solidFill>
                <a:srgbClr val="2EB2A5"/>
              </a:solidFill>
              <a:ln w="19050">
                <a:solidFill>
                  <a:schemeClr val="lt1"/>
                </a:solidFill>
              </a:ln>
              <a:effectLst/>
            </c:spPr>
            <c:extLst>
              <c:ext xmlns:c16="http://schemas.microsoft.com/office/drawing/2014/chart" uri="{C3380CC4-5D6E-409C-BE32-E72D297353CC}">
                <c16:uniqueId val="{0000000B-F402-4F1C-85E5-3E62A781573C}"/>
              </c:ext>
            </c:extLst>
          </c:dPt>
          <c:dLbls>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1-F402-4F1C-85E5-3E62A781573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Charts!$AO$6:$AO$11</c:f>
              <c:strCache>
                <c:ptCount val="6"/>
                <c:pt idx="0">
                  <c:v>Arm + AI infrastructure</c:v>
                </c:pt>
                <c:pt idx="1">
                  <c:v>Vision Funds</c:v>
                </c:pt>
                <c:pt idx="2">
                  <c:v>Domestic telcos + Japanese LLM</c:v>
                </c:pt>
                <c:pt idx="3">
                  <c:v>International telcos</c:v>
                </c:pt>
                <c:pt idx="4">
                  <c:v>Robotics</c:v>
                </c:pt>
                <c:pt idx="5">
                  <c:v>Others</c:v>
                </c:pt>
              </c:strCache>
            </c:strRef>
          </c:cat>
          <c:val>
            <c:numRef>
              <c:f>Charts!$AT$6:$AT$11</c:f>
              <c:numCache>
                <c:formatCode>0.0%</c:formatCode>
                <c:ptCount val="6"/>
                <c:pt idx="0">
                  <c:v>0.4</c:v>
                </c:pt>
                <c:pt idx="1">
                  <c:v>0</c:v>
                </c:pt>
                <c:pt idx="2">
                  <c:v>0.15</c:v>
                </c:pt>
                <c:pt idx="3">
                  <c:v>0</c:v>
                </c:pt>
                <c:pt idx="4">
                  <c:v>0.35</c:v>
                </c:pt>
                <c:pt idx="5">
                  <c:v>0.1</c:v>
                </c:pt>
              </c:numCache>
            </c:numRef>
          </c:val>
          <c:extLst>
            <c:ext xmlns:c16="http://schemas.microsoft.com/office/drawing/2014/chart" uri="{C3380CC4-5D6E-409C-BE32-E72D297353CC}">
              <c16:uniqueId val="{0000000C-F402-4F1C-85E5-3E62A781573C}"/>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Third-party Preferred equity</c:v>
          </c:tx>
          <c:spPr>
            <a:ln w="19050" cap="rnd">
              <a:solidFill>
                <a:srgbClr val="F97303"/>
              </a:solidFill>
              <a:round/>
            </a:ln>
            <a:effectLst/>
          </c:spPr>
          <c:marker>
            <c:symbol val="none"/>
          </c:marker>
          <c:cat>
            <c:strRef>
              <c:f>('SVF Segment'!$J$2:$L$2,'SVF Segment'!$N$2:$Q$2,'SVF Segment'!$S$2:$V$2,'SVF Segment'!$X$2:$AA$2,'SVF Segment'!$AC$2:$AF$2,'SVF Segment'!$AH$2:$AK$2,'SVF Segment'!$AM$2:$AP$2,'SVF Segment'!$AR$2)</c:f>
              <c:strCache>
                <c:ptCount val="28"/>
                <c:pt idx="0">
                  <c:v>2Q17</c:v>
                </c:pt>
                <c:pt idx="1">
                  <c:v>3Q17</c:v>
                </c:pt>
                <c:pt idx="2">
                  <c:v>4Q17</c:v>
                </c:pt>
                <c:pt idx="3">
                  <c:v>1Q18</c:v>
                </c:pt>
                <c:pt idx="4">
                  <c:v>2Q18</c:v>
                </c:pt>
                <c:pt idx="5">
                  <c:v>3Q18</c:v>
                </c:pt>
                <c:pt idx="6">
                  <c:v>4Q18</c:v>
                </c:pt>
                <c:pt idx="7">
                  <c:v>1Q19</c:v>
                </c:pt>
                <c:pt idx="8">
                  <c:v>2Q19</c:v>
                </c:pt>
                <c:pt idx="9">
                  <c:v>3Q19</c:v>
                </c:pt>
                <c:pt idx="10">
                  <c:v>4Q19</c:v>
                </c:pt>
                <c:pt idx="11">
                  <c:v>1Q20</c:v>
                </c:pt>
                <c:pt idx="12">
                  <c:v>2Q20</c:v>
                </c:pt>
                <c:pt idx="13">
                  <c:v>3Q20</c:v>
                </c:pt>
                <c:pt idx="14">
                  <c:v>4Q20</c:v>
                </c:pt>
                <c:pt idx="15">
                  <c:v>1Q21</c:v>
                </c:pt>
                <c:pt idx="16">
                  <c:v>2Q21</c:v>
                </c:pt>
                <c:pt idx="17">
                  <c:v>3Q21</c:v>
                </c:pt>
                <c:pt idx="18">
                  <c:v>4Q21</c:v>
                </c:pt>
                <c:pt idx="19">
                  <c:v>1Q22</c:v>
                </c:pt>
                <c:pt idx="20">
                  <c:v>2Q22</c:v>
                </c:pt>
                <c:pt idx="21">
                  <c:v>3Q22</c:v>
                </c:pt>
                <c:pt idx="22">
                  <c:v>4Q22</c:v>
                </c:pt>
                <c:pt idx="23">
                  <c:v>1Q23</c:v>
                </c:pt>
                <c:pt idx="24">
                  <c:v>2Q23</c:v>
                </c:pt>
                <c:pt idx="25">
                  <c:v>3Q23</c:v>
                </c:pt>
                <c:pt idx="26">
                  <c:v>4Q23</c:v>
                </c:pt>
                <c:pt idx="27">
                  <c:v>1Q24</c:v>
                </c:pt>
              </c:strCache>
            </c:strRef>
          </c:cat>
          <c:val>
            <c:numRef>
              <c:f>('SVF Segment'!$J$670:$L$670,'SVF Segment'!$N$670:$Q$670,'SVF Segment'!$S$670:$V$670,'SVF Segment'!$X$670:$AA$670,'SVF Segment'!$AC$670:$AF$670,'SVF Segment'!$AH$670:$AK$670,'SVF Segment'!$AM$670:$AP$670)</c:f>
              <c:numCache>
                <c:formatCode>0%</c:formatCode>
                <c:ptCount val="27"/>
                <c:pt idx="0">
                  <c:v>0.28952569169960474</c:v>
                </c:pt>
                <c:pt idx="1">
                  <c:v>0.31960653551183726</c:v>
                </c:pt>
                <c:pt idx="2">
                  <c:v>0.3295042321644498</c:v>
                </c:pt>
                <c:pt idx="3">
                  <c:v>0.34731692855025198</c:v>
                </c:pt>
                <c:pt idx="4">
                  <c:v>0.28804678932618494</c:v>
                </c:pt>
                <c:pt idx="5">
                  <c:v>0.29774818583077728</c:v>
                </c:pt>
                <c:pt idx="6">
                  <c:v>0.28260268289309914</c:v>
                </c:pt>
                <c:pt idx="7">
                  <c:v>0.26301551040038473</c:v>
                </c:pt>
                <c:pt idx="8">
                  <c:v>0.31227436823104693</c:v>
                </c:pt>
                <c:pt idx="9">
                  <c:v>0.30853673494419231</c:v>
                </c:pt>
                <c:pt idx="10">
                  <c:v>0.37019432405983504</c:v>
                </c:pt>
                <c:pt idx="11">
                  <c:v>0.39387474191328287</c:v>
                </c:pt>
                <c:pt idx="12">
                  <c:v>0.36374517888017022</c:v>
                </c:pt>
                <c:pt idx="13">
                  <c:v>0.29400549542982113</c:v>
                </c:pt>
                <c:pt idx="14">
                  <c:v>0.176235978396344</c:v>
                </c:pt>
                <c:pt idx="15">
                  <c:v>0.16938440146631273</c:v>
                </c:pt>
                <c:pt idx="16">
                  <c:v>0.18304805314454736</c:v>
                </c:pt>
                <c:pt idx="17">
                  <c:v>0.1852847471127041</c:v>
                </c:pt>
                <c:pt idx="18">
                  <c:v>0.23779466701017649</c:v>
                </c:pt>
                <c:pt idx="19">
                  <c:v>0.27171122186980817</c:v>
                </c:pt>
                <c:pt idx="20">
                  <c:v>0.2938306318226927</c:v>
                </c:pt>
                <c:pt idx="21">
                  <c:v>0.30869449614464239</c:v>
                </c:pt>
                <c:pt idx="22">
                  <c:v>0.31122677914385716</c:v>
                </c:pt>
                <c:pt idx="23">
                  <c:v>0.3008999376280852</c:v>
                </c:pt>
                <c:pt idx="24">
                  <c:v>0.31111943092474731</c:v>
                </c:pt>
                <c:pt idx="25">
                  <c:v>0.28047636909227308</c:v>
                </c:pt>
                <c:pt idx="26">
                  <c:v>0.25997463662081749</c:v>
                </c:pt>
              </c:numCache>
            </c:numRef>
          </c:val>
          <c:smooth val="0"/>
          <c:extLst>
            <c:ext xmlns:c16="http://schemas.microsoft.com/office/drawing/2014/chart" uri="{C3380CC4-5D6E-409C-BE32-E72D297353CC}">
              <c16:uniqueId val="{00000000-7B11-438D-AAC9-B888392A21BA}"/>
            </c:ext>
          </c:extLst>
        </c:ser>
        <c:ser>
          <c:idx val="1"/>
          <c:order val="1"/>
          <c:tx>
            <c:v>SoftBank Ordinary equity</c:v>
          </c:tx>
          <c:spPr>
            <a:ln w="19050" cap="rnd">
              <a:solidFill>
                <a:srgbClr val="9D9D9C"/>
              </a:solidFill>
              <a:round/>
            </a:ln>
            <a:effectLst/>
          </c:spPr>
          <c:marker>
            <c:symbol val="none"/>
          </c:marker>
          <c:cat>
            <c:strRef>
              <c:f>('SVF Segment'!$J$2:$L$2,'SVF Segment'!$N$2:$Q$2,'SVF Segment'!$S$2:$V$2,'SVF Segment'!$X$2:$AA$2,'SVF Segment'!$AC$2:$AF$2,'SVF Segment'!$AH$2:$AK$2,'SVF Segment'!$AM$2:$AP$2,'SVF Segment'!$AR$2)</c:f>
              <c:strCache>
                <c:ptCount val="28"/>
                <c:pt idx="0">
                  <c:v>2Q17</c:v>
                </c:pt>
                <c:pt idx="1">
                  <c:v>3Q17</c:v>
                </c:pt>
                <c:pt idx="2">
                  <c:v>4Q17</c:v>
                </c:pt>
                <c:pt idx="3">
                  <c:v>1Q18</c:v>
                </c:pt>
                <c:pt idx="4">
                  <c:v>2Q18</c:v>
                </c:pt>
                <c:pt idx="5">
                  <c:v>3Q18</c:v>
                </c:pt>
                <c:pt idx="6">
                  <c:v>4Q18</c:v>
                </c:pt>
                <c:pt idx="7">
                  <c:v>1Q19</c:v>
                </c:pt>
                <c:pt idx="8">
                  <c:v>2Q19</c:v>
                </c:pt>
                <c:pt idx="9">
                  <c:v>3Q19</c:v>
                </c:pt>
                <c:pt idx="10">
                  <c:v>4Q19</c:v>
                </c:pt>
                <c:pt idx="11">
                  <c:v>1Q20</c:v>
                </c:pt>
                <c:pt idx="12">
                  <c:v>2Q20</c:v>
                </c:pt>
                <c:pt idx="13">
                  <c:v>3Q20</c:v>
                </c:pt>
                <c:pt idx="14">
                  <c:v>4Q20</c:v>
                </c:pt>
                <c:pt idx="15">
                  <c:v>1Q21</c:v>
                </c:pt>
                <c:pt idx="16">
                  <c:v>2Q21</c:v>
                </c:pt>
                <c:pt idx="17">
                  <c:v>3Q21</c:v>
                </c:pt>
                <c:pt idx="18">
                  <c:v>4Q21</c:v>
                </c:pt>
                <c:pt idx="19">
                  <c:v>1Q22</c:v>
                </c:pt>
                <c:pt idx="20">
                  <c:v>2Q22</c:v>
                </c:pt>
                <c:pt idx="21">
                  <c:v>3Q22</c:v>
                </c:pt>
                <c:pt idx="22">
                  <c:v>4Q22</c:v>
                </c:pt>
                <c:pt idx="23">
                  <c:v>1Q23</c:v>
                </c:pt>
                <c:pt idx="24">
                  <c:v>2Q23</c:v>
                </c:pt>
                <c:pt idx="25">
                  <c:v>3Q23</c:v>
                </c:pt>
                <c:pt idx="26">
                  <c:v>4Q23</c:v>
                </c:pt>
                <c:pt idx="27">
                  <c:v>1Q24</c:v>
                </c:pt>
              </c:strCache>
            </c:strRef>
          </c:cat>
          <c:val>
            <c:numRef>
              <c:f>('SVF Segment'!$J$671:$L$671,'SVF Segment'!$N$671:$Q$671,'SVF Segment'!$S$671:$V$671,'SVF Segment'!$X$671:$AA$671,'SVF Segment'!$AC$671:$AF$671,'SVF Segment'!$AH$671:$AK$671,'SVF Segment'!$AM$671:$AP$671)</c:f>
              <c:numCache>
                <c:formatCode>0%</c:formatCode>
                <c:ptCount val="27"/>
                <c:pt idx="0">
                  <c:v>0.41378458498023718</c:v>
                </c:pt>
                <c:pt idx="1">
                  <c:v>0.339946648882961</c:v>
                </c:pt>
                <c:pt idx="2">
                  <c:v>0.39480048367593712</c:v>
                </c:pt>
                <c:pt idx="3">
                  <c:v>0.36658760747109398</c:v>
                </c:pt>
                <c:pt idx="4">
                  <c:v>0.46448154014865362</c:v>
                </c:pt>
                <c:pt idx="5">
                  <c:v>0.44362983466746464</c:v>
                </c:pt>
                <c:pt idx="6">
                  <c:v>0.44081039966809571</c:v>
                </c:pt>
                <c:pt idx="7">
                  <c:v>0.46501142238788024</c:v>
                </c:pt>
                <c:pt idx="8">
                  <c:v>0.41103661681279008</c:v>
                </c:pt>
                <c:pt idx="9">
                  <c:v>0.42499693364405738</c:v>
                </c:pt>
                <c:pt idx="10">
                  <c:v>0.36243534181462322</c:v>
                </c:pt>
                <c:pt idx="11">
                  <c:v>0.28224363386097728</c:v>
                </c:pt>
                <c:pt idx="12">
                  <c:v>0.2904641574677484</c:v>
                </c:pt>
                <c:pt idx="13">
                  <c:v>0.37133404362698369</c:v>
                </c:pt>
                <c:pt idx="14">
                  <c:v>0.47565434150394681</c:v>
                </c:pt>
                <c:pt idx="15">
                  <c:v>0.48009101251422071</c:v>
                </c:pt>
                <c:pt idx="16">
                  <c:v>0.47383988750424283</c:v>
                </c:pt>
                <c:pt idx="17">
                  <c:v>0.46261449621664674</c:v>
                </c:pt>
                <c:pt idx="18">
                  <c:v>0.39250289836403451</c:v>
                </c:pt>
                <c:pt idx="19">
                  <c:v>0.36316266425011329</c:v>
                </c:pt>
                <c:pt idx="20">
                  <c:v>0.34775057889513727</c:v>
                </c:pt>
                <c:pt idx="21">
                  <c:v>0.3268634228485332</c:v>
                </c:pt>
                <c:pt idx="22">
                  <c:v>0.32414969038858477</c:v>
                </c:pt>
                <c:pt idx="23">
                  <c:v>0.32362113516884966</c:v>
                </c:pt>
                <c:pt idx="24">
                  <c:v>0.37205166604268064</c:v>
                </c:pt>
                <c:pt idx="25">
                  <c:v>0.38625281320330085</c:v>
                </c:pt>
                <c:pt idx="26">
                  <c:v>0.39644912691444739</c:v>
                </c:pt>
              </c:numCache>
            </c:numRef>
          </c:val>
          <c:smooth val="0"/>
          <c:extLst>
            <c:ext xmlns:c16="http://schemas.microsoft.com/office/drawing/2014/chart" uri="{C3380CC4-5D6E-409C-BE32-E72D297353CC}">
              <c16:uniqueId val="{00000001-7B11-438D-AAC9-B888392A21BA}"/>
            </c:ext>
          </c:extLst>
        </c:ser>
        <c:ser>
          <c:idx val="2"/>
          <c:order val="2"/>
          <c:tx>
            <c:v>Third-party Ordinary equity</c:v>
          </c:tx>
          <c:spPr>
            <a:ln w="19050" cap="rnd">
              <a:solidFill>
                <a:srgbClr val="2EB2A5"/>
              </a:solidFill>
              <a:round/>
            </a:ln>
            <a:effectLst/>
          </c:spPr>
          <c:marker>
            <c:symbol val="none"/>
          </c:marker>
          <c:cat>
            <c:strRef>
              <c:f>('SVF Segment'!$J$2:$L$2,'SVF Segment'!$N$2:$Q$2,'SVF Segment'!$S$2:$V$2,'SVF Segment'!$X$2:$AA$2,'SVF Segment'!$AC$2:$AF$2,'SVF Segment'!$AH$2:$AK$2,'SVF Segment'!$AM$2:$AP$2,'SVF Segment'!$AR$2)</c:f>
              <c:strCache>
                <c:ptCount val="28"/>
                <c:pt idx="0">
                  <c:v>2Q17</c:v>
                </c:pt>
                <c:pt idx="1">
                  <c:v>3Q17</c:v>
                </c:pt>
                <c:pt idx="2">
                  <c:v>4Q17</c:v>
                </c:pt>
                <c:pt idx="3">
                  <c:v>1Q18</c:v>
                </c:pt>
                <c:pt idx="4">
                  <c:v>2Q18</c:v>
                </c:pt>
                <c:pt idx="5">
                  <c:v>3Q18</c:v>
                </c:pt>
                <c:pt idx="6">
                  <c:v>4Q18</c:v>
                </c:pt>
                <c:pt idx="7">
                  <c:v>1Q19</c:v>
                </c:pt>
                <c:pt idx="8">
                  <c:v>2Q19</c:v>
                </c:pt>
                <c:pt idx="9">
                  <c:v>3Q19</c:v>
                </c:pt>
                <c:pt idx="10">
                  <c:v>4Q19</c:v>
                </c:pt>
                <c:pt idx="11">
                  <c:v>1Q20</c:v>
                </c:pt>
                <c:pt idx="12">
                  <c:v>2Q20</c:v>
                </c:pt>
                <c:pt idx="13">
                  <c:v>3Q20</c:v>
                </c:pt>
                <c:pt idx="14">
                  <c:v>4Q20</c:v>
                </c:pt>
                <c:pt idx="15">
                  <c:v>1Q21</c:v>
                </c:pt>
                <c:pt idx="16">
                  <c:v>2Q21</c:v>
                </c:pt>
                <c:pt idx="17">
                  <c:v>3Q21</c:v>
                </c:pt>
                <c:pt idx="18">
                  <c:v>4Q21</c:v>
                </c:pt>
                <c:pt idx="19">
                  <c:v>1Q22</c:v>
                </c:pt>
                <c:pt idx="20">
                  <c:v>2Q22</c:v>
                </c:pt>
                <c:pt idx="21">
                  <c:v>3Q22</c:v>
                </c:pt>
                <c:pt idx="22">
                  <c:v>4Q22</c:v>
                </c:pt>
                <c:pt idx="23">
                  <c:v>1Q23</c:v>
                </c:pt>
                <c:pt idx="24">
                  <c:v>2Q23</c:v>
                </c:pt>
                <c:pt idx="25">
                  <c:v>3Q23</c:v>
                </c:pt>
                <c:pt idx="26">
                  <c:v>4Q23</c:v>
                </c:pt>
                <c:pt idx="27">
                  <c:v>1Q24</c:v>
                </c:pt>
              </c:strCache>
            </c:strRef>
          </c:cat>
          <c:val>
            <c:numRef>
              <c:f>('SVF Segment'!$J$672:$L$672,'SVF Segment'!$N$672:$Q$672,'SVF Segment'!$S$672:$V$672,'SVF Segment'!$X$672:$AA$672,'SVF Segment'!$AC$672:$AF$672,'SVF Segment'!$AH$672:$AK$672,'SVF Segment'!$AM$672:$AP$672)</c:f>
              <c:numCache>
                <c:formatCode>0%</c:formatCode>
                <c:ptCount val="27"/>
                <c:pt idx="0">
                  <c:v>0.29668972332015808</c:v>
                </c:pt>
                <c:pt idx="1">
                  <c:v>0.34044681560520174</c:v>
                </c:pt>
                <c:pt idx="2">
                  <c:v>0.27569528415961309</c:v>
                </c:pt>
                <c:pt idx="3">
                  <c:v>0.28609546397865404</c:v>
                </c:pt>
                <c:pt idx="4">
                  <c:v>0.24747167052516145</c:v>
                </c:pt>
                <c:pt idx="5">
                  <c:v>0.25862197950175808</c:v>
                </c:pt>
                <c:pt idx="6">
                  <c:v>0.27658691743880515</c:v>
                </c:pt>
                <c:pt idx="7">
                  <c:v>0.27197306721173498</c:v>
                </c:pt>
                <c:pt idx="8">
                  <c:v>0.27668901495616299</c:v>
                </c:pt>
                <c:pt idx="9">
                  <c:v>0.2664663314117503</c:v>
                </c:pt>
                <c:pt idx="10">
                  <c:v>0.26737033412554173</c:v>
                </c:pt>
                <c:pt idx="11">
                  <c:v>0.32388162422573985</c:v>
                </c:pt>
                <c:pt idx="12">
                  <c:v>0.34579066365208139</c:v>
                </c:pt>
                <c:pt idx="13">
                  <c:v>0.33466046094319518</c:v>
                </c:pt>
                <c:pt idx="14">
                  <c:v>0.34810968009970916</c:v>
                </c:pt>
                <c:pt idx="15">
                  <c:v>0.35052458601946657</c:v>
                </c:pt>
                <c:pt idx="16">
                  <c:v>0.34311205935120981</c:v>
                </c:pt>
                <c:pt idx="17">
                  <c:v>0.35210075667064916</c:v>
                </c:pt>
                <c:pt idx="18">
                  <c:v>0.369702434625789</c:v>
                </c:pt>
                <c:pt idx="19">
                  <c:v>0.36512611388007854</c:v>
                </c:pt>
                <c:pt idx="20">
                  <c:v>0.35841878928217002</c:v>
                </c:pt>
                <c:pt idx="21">
                  <c:v>0.3644420810068244</c:v>
                </c:pt>
                <c:pt idx="22">
                  <c:v>0.36462353046755813</c:v>
                </c:pt>
                <c:pt idx="23">
                  <c:v>0.37547892720306514</c:v>
                </c:pt>
                <c:pt idx="24">
                  <c:v>0.31682890303257205</c:v>
                </c:pt>
                <c:pt idx="25">
                  <c:v>0.33327081770442613</c:v>
                </c:pt>
                <c:pt idx="26">
                  <c:v>0.34357623646473517</c:v>
                </c:pt>
              </c:numCache>
            </c:numRef>
          </c:val>
          <c:smooth val="0"/>
          <c:extLst>
            <c:ext xmlns:c16="http://schemas.microsoft.com/office/drawing/2014/chart" uri="{C3380CC4-5D6E-409C-BE32-E72D297353CC}">
              <c16:uniqueId val="{00000002-7B11-438D-AAC9-B888392A21BA}"/>
            </c:ext>
          </c:extLst>
        </c:ser>
        <c:dLbls>
          <c:showLegendKey val="0"/>
          <c:showVal val="0"/>
          <c:showCatName val="0"/>
          <c:showSerName val="0"/>
          <c:showPercent val="0"/>
          <c:showBubbleSize val="0"/>
        </c:dLbls>
        <c:smooth val="0"/>
        <c:axId val="296908528"/>
        <c:axId val="296910448"/>
      </c:lineChart>
      <c:catAx>
        <c:axId val="29690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296910448"/>
        <c:crosses val="autoZero"/>
        <c:auto val="1"/>
        <c:lblAlgn val="ctr"/>
        <c:lblOffset val="100"/>
        <c:noMultiLvlLbl val="0"/>
      </c:catAx>
      <c:valAx>
        <c:axId val="2969104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296908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Ordinary equity % of high watermark</c:v>
          </c:tx>
          <c:spPr>
            <a:ln w="19050" cap="rnd">
              <a:solidFill>
                <a:srgbClr val="2EB2A5"/>
              </a:solidFill>
              <a:round/>
            </a:ln>
            <a:effectLst/>
          </c:spPr>
          <c:marker>
            <c:symbol val="none"/>
          </c:marker>
          <c:cat>
            <c:strRef>
              <c:f>('SVF Segment'!$J$2:$L$2,'SVF Segment'!$N$2:$Q$2,'SVF Segment'!$S$2:$V$2,'SVF Segment'!$X$2:$AA$2,'SVF Segment'!$AC$2:$AF$2,'SVF Segment'!$AH$2:$AK$2,'SVF Segment'!$AM$2:$AP$2)</c:f>
              <c:strCache>
                <c:ptCount val="27"/>
                <c:pt idx="0">
                  <c:v>2Q17</c:v>
                </c:pt>
                <c:pt idx="1">
                  <c:v>3Q17</c:v>
                </c:pt>
                <c:pt idx="2">
                  <c:v>4Q17</c:v>
                </c:pt>
                <c:pt idx="3">
                  <c:v>1Q18</c:v>
                </c:pt>
                <c:pt idx="4">
                  <c:v>2Q18</c:v>
                </c:pt>
                <c:pt idx="5">
                  <c:v>3Q18</c:v>
                </c:pt>
                <c:pt idx="6">
                  <c:v>4Q18</c:v>
                </c:pt>
                <c:pt idx="7">
                  <c:v>1Q19</c:v>
                </c:pt>
                <c:pt idx="8">
                  <c:v>2Q19</c:v>
                </c:pt>
                <c:pt idx="9">
                  <c:v>3Q19</c:v>
                </c:pt>
                <c:pt idx="10">
                  <c:v>4Q19</c:v>
                </c:pt>
                <c:pt idx="11">
                  <c:v>1Q20</c:v>
                </c:pt>
                <c:pt idx="12">
                  <c:v>2Q20</c:v>
                </c:pt>
                <c:pt idx="13">
                  <c:v>3Q20</c:v>
                </c:pt>
                <c:pt idx="14">
                  <c:v>4Q20</c:v>
                </c:pt>
                <c:pt idx="15">
                  <c:v>1Q21</c:v>
                </c:pt>
                <c:pt idx="16">
                  <c:v>2Q21</c:v>
                </c:pt>
                <c:pt idx="17">
                  <c:v>3Q21</c:v>
                </c:pt>
                <c:pt idx="18">
                  <c:v>4Q21</c:v>
                </c:pt>
                <c:pt idx="19">
                  <c:v>1Q22</c:v>
                </c:pt>
                <c:pt idx="20">
                  <c:v>2Q22</c:v>
                </c:pt>
                <c:pt idx="21">
                  <c:v>3Q22</c:v>
                </c:pt>
                <c:pt idx="22">
                  <c:v>4Q22</c:v>
                </c:pt>
                <c:pt idx="23">
                  <c:v>1Q23</c:v>
                </c:pt>
                <c:pt idx="24">
                  <c:v>2Q23</c:v>
                </c:pt>
                <c:pt idx="25">
                  <c:v>3Q23</c:v>
                </c:pt>
                <c:pt idx="26">
                  <c:v>4Q23</c:v>
                </c:pt>
              </c:strCache>
            </c:strRef>
          </c:cat>
          <c:val>
            <c:numRef>
              <c:f>('SVF Segment'!$J$554:$L$554,'SVF Segment'!$N$554:$Q$554,'SVF Segment'!$S$554:$V$554,'SVF Segment'!$X$554:$AA$554,'SVF Segment'!$AC$554:$AF$554,'SVF Segment'!$AH$554:$AK$554,'SVF Segment'!$AM$554:$AP$554)</c:f>
              <c:numCache>
                <c:formatCode>0%</c:formatCode>
                <c:ptCount val="27"/>
                <c:pt idx="0">
                  <c:v>1.2816822003350128</c:v>
                </c:pt>
                <c:pt idx="1">
                  <c:v>1.2382155309512493</c:v>
                </c:pt>
                <c:pt idx="2">
                  <c:v>1.4219898805505817</c:v>
                </c:pt>
                <c:pt idx="3">
                  <c:v>1.4351803393779226</c:v>
                </c:pt>
                <c:pt idx="4">
                  <c:v>1.8788445633675097</c:v>
                </c:pt>
                <c:pt idx="5">
                  <c:v>1.6262694709402494</c:v>
                </c:pt>
                <c:pt idx="6">
                  <c:v>1.6552530502274638</c:v>
                </c:pt>
                <c:pt idx="7">
                  <c:v>1.7300037872898104</c:v>
                </c:pt>
                <c:pt idx="8">
                  <c:v>1.2648852376895949</c:v>
                </c:pt>
                <c:pt idx="9">
                  <c:v>1.2509290837252813</c:v>
                </c:pt>
                <c:pt idx="10">
                  <c:v>0.9406470280907806</c:v>
                </c:pt>
                <c:pt idx="11">
                  <c:v>0.87665784102646915</c:v>
                </c:pt>
                <c:pt idx="12">
                  <c:v>0.93757213161509045</c:v>
                </c:pt>
                <c:pt idx="13">
                  <c:v>1.1952003458404812</c:v>
                </c:pt>
                <c:pt idx="14">
                  <c:v>1.8497303690941929</c:v>
                </c:pt>
                <c:pt idx="15">
                  <c:v>1.8437039926170014</c:v>
                </c:pt>
                <c:pt idx="16">
                  <c:v>1.6605317436466021</c:v>
                </c:pt>
                <c:pt idx="17">
                  <c:v>1.5767389954904041</c:v>
                </c:pt>
                <c:pt idx="18">
                  <c:v>1.1648793742730881</c:v>
                </c:pt>
                <c:pt idx="19">
                  <c:v>0.97611030266294452</c:v>
                </c:pt>
                <c:pt idx="20">
                  <c:v>0.85496665114469861</c:v>
                </c:pt>
                <c:pt idx="21">
                  <c:v>0.76944390677711905</c:v>
                </c:pt>
                <c:pt idx="22">
                  <c:v>0.74496561412438389</c:v>
                </c:pt>
                <c:pt idx="23">
                  <c:v>0.75050060511526429</c:v>
                </c:pt>
                <c:pt idx="24">
                  <c:v>0.69369666679521114</c:v>
                </c:pt>
                <c:pt idx="25">
                  <c:v>0.70696237359802971</c:v>
                </c:pt>
                <c:pt idx="26">
                  <c:v>0.686527123086214</c:v>
                </c:pt>
              </c:numCache>
            </c:numRef>
          </c:val>
          <c:smooth val="0"/>
          <c:extLst>
            <c:ext xmlns:c16="http://schemas.microsoft.com/office/drawing/2014/chart" uri="{C3380CC4-5D6E-409C-BE32-E72D297353CC}">
              <c16:uniqueId val="{00000000-814A-41E4-824B-C945ABAE22A7}"/>
            </c:ext>
          </c:extLst>
        </c:ser>
        <c:dLbls>
          <c:showLegendKey val="0"/>
          <c:showVal val="0"/>
          <c:showCatName val="0"/>
          <c:showSerName val="0"/>
          <c:showPercent val="0"/>
          <c:showBubbleSize val="0"/>
        </c:dLbls>
        <c:smooth val="0"/>
        <c:axId val="1946377871"/>
        <c:axId val="1946398031"/>
      </c:lineChart>
      <c:catAx>
        <c:axId val="194637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946398031"/>
        <c:crosses val="autoZero"/>
        <c:auto val="1"/>
        <c:lblAlgn val="ctr"/>
        <c:lblOffset val="100"/>
        <c:noMultiLvlLbl val="0"/>
      </c:catAx>
      <c:valAx>
        <c:axId val="19463980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94637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SVF2 LLC MOIC</c:v>
          </c:tx>
          <c:spPr>
            <a:solidFill>
              <a:srgbClr val="023D67"/>
            </a:solidFill>
            <a:ln>
              <a:noFill/>
            </a:ln>
            <a:effectLst/>
          </c:spPr>
          <c:invertIfNegative val="0"/>
          <c:cat>
            <c:strRef>
              <c:f>Charts!$L$272:$M$272</c:f>
              <c:strCache>
                <c:ptCount val="2"/>
                <c:pt idx="0">
                  <c:v>MOIC today</c:v>
                </c:pt>
                <c:pt idx="1">
                  <c:v>End of Fund life MOIC</c:v>
                </c:pt>
              </c:strCache>
            </c:strRef>
          </c:cat>
          <c:val>
            <c:numRef>
              <c:f>Charts!$L$273:$M$273</c:f>
              <c:numCache>
                <c:formatCode>0.0\x</c:formatCode>
                <c:ptCount val="2"/>
                <c:pt idx="0">
                  <c:v>0.6</c:v>
                </c:pt>
                <c:pt idx="1">
                  <c:v>0.9</c:v>
                </c:pt>
              </c:numCache>
            </c:numRef>
          </c:val>
          <c:extLst>
            <c:ext xmlns:c16="http://schemas.microsoft.com/office/drawing/2014/chart" uri="{C3380CC4-5D6E-409C-BE32-E72D297353CC}">
              <c16:uniqueId val="{00000000-273B-4BDA-B984-7941381996CC}"/>
            </c:ext>
          </c:extLst>
        </c:ser>
        <c:dLbls>
          <c:showLegendKey val="0"/>
          <c:showVal val="0"/>
          <c:showCatName val="0"/>
          <c:showSerName val="0"/>
          <c:showPercent val="0"/>
          <c:showBubbleSize val="0"/>
        </c:dLbls>
        <c:gapWidth val="219"/>
        <c:overlap val="-27"/>
        <c:axId val="349334111"/>
        <c:axId val="349335071"/>
      </c:barChart>
      <c:lineChart>
        <c:grouping val="standard"/>
        <c:varyColors val="0"/>
        <c:ser>
          <c:idx val="1"/>
          <c:order val="1"/>
          <c:tx>
            <c:v>MgmtCo distributions hurdle rate</c:v>
          </c:tx>
          <c:spPr>
            <a:ln w="19050" cap="rnd">
              <a:solidFill>
                <a:srgbClr val="F97303"/>
              </a:solidFill>
              <a:prstDash val="dash"/>
              <a:round/>
            </a:ln>
            <a:effectLst/>
          </c:spPr>
          <c:marker>
            <c:symbol val="none"/>
          </c:marker>
          <c:val>
            <c:numRef>
              <c:f>Charts!$L$274:$M$274</c:f>
              <c:numCache>
                <c:formatCode>0.0\x</c:formatCode>
                <c:ptCount val="2"/>
                <c:pt idx="0">
                  <c:v>1.3</c:v>
                </c:pt>
                <c:pt idx="1">
                  <c:v>1.3</c:v>
                </c:pt>
              </c:numCache>
            </c:numRef>
          </c:val>
          <c:smooth val="0"/>
          <c:extLst>
            <c:ext xmlns:c16="http://schemas.microsoft.com/office/drawing/2014/chart" uri="{C3380CC4-5D6E-409C-BE32-E72D297353CC}">
              <c16:uniqueId val="{00000001-273B-4BDA-B984-7941381996CC}"/>
            </c:ext>
          </c:extLst>
        </c:ser>
        <c:dLbls>
          <c:showLegendKey val="0"/>
          <c:showVal val="0"/>
          <c:showCatName val="0"/>
          <c:showSerName val="0"/>
          <c:showPercent val="0"/>
          <c:showBubbleSize val="0"/>
        </c:dLbls>
        <c:marker val="1"/>
        <c:smooth val="0"/>
        <c:axId val="349334111"/>
        <c:axId val="349335071"/>
      </c:lineChart>
      <c:catAx>
        <c:axId val="34933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349335071"/>
        <c:crosses val="autoZero"/>
        <c:auto val="1"/>
        <c:lblAlgn val="ctr"/>
        <c:lblOffset val="100"/>
        <c:noMultiLvlLbl val="0"/>
      </c:catAx>
      <c:valAx>
        <c:axId val="349335071"/>
        <c:scaling>
          <c:orientation val="minMax"/>
        </c:scaling>
        <c:delete val="0"/>
        <c:axPos val="l"/>
        <c:majorGridlines>
          <c:spPr>
            <a:ln w="9525" cap="flat" cmpd="sng" algn="ctr">
              <a:solidFill>
                <a:schemeClr val="tx1">
                  <a:lumMod val="15000"/>
                  <a:lumOff val="85000"/>
                </a:schemeClr>
              </a:solidFill>
              <a:round/>
            </a:ln>
            <a:effectLst/>
          </c:spPr>
        </c:majorGridlines>
        <c:numFmt formatCode="0.0\x"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349334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ChatGPT + Licensing</c:v>
          </c:tx>
          <c:spPr>
            <a:solidFill>
              <a:srgbClr val="2EB2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Charts!$J$321:$J$324</c:f>
              <c:strCache>
                <c:ptCount val="4"/>
                <c:pt idx="0">
                  <c:v>2022</c:v>
                </c:pt>
                <c:pt idx="1">
                  <c:v>2023</c:v>
                </c:pt>
                <c:pt idx="2">
                  <c:v>2024E</c:v>
                </c:pt>
                <c:pt idx="3">
                  <c:v>2025E</c:v>
                </c:pt>
              </c:strCache>
            </c:strRef>
          </c:cat>
          <c:val>
            <c:numRef>
              <c:f>Charts!$K$321:$K$324</c:f>
              <c:numCache>
                <c:formatCode>\$0.0"bn"</c:formatCode>
                <c:ptCount val="4"/>
                <c:pt idx="0" formatCode="\$0.00&quot;bn&quot;">
                  <c:v>2.8000000000000001E-2</c:v>
                </c:pt>
                <c:pt idx="1">
                  <c:v>2</c:v>
                </c:pt>
                <c:pt idx="2">
                  <c:v>3.7</c:v>
                </c:pt>
                <c:pt idx="3">
                  <c:v>11.6</c:v>
                </c:pt>
              </c:numCache>
            </c:numRef>
          </c:val>
          <c:extLst>
            <c:ext xmlns:c16="http://schemas.microsoft.com/office/drawing/2014/chart" uri="{C3380CC4-5D6E-409C-BE32-E72D297353CC}">
              <c16:uniqueId val="{00000000-BE42-4C1A-AC53-35DD89C540FA}"/>
            </c:ext>
          </c:extLst>
        </c:ser>
        <c:ser>
          <c:idx val="1"/>
          <c:order val="1"/>
          <c:tx>
            <c:v>SoftBank Group/Cristal</c:v>
          </c:tx>
          <c:spPr>
            <a:solidFill>
              <a:srgbClr val="F9730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Charts!$J$321:$J$324</c:f>
              <c:strCache>
                <c:ptCount val="4"/>
                <c:pt idx="0">
                  <c:v>2022</c:v>
                </c:pt>
                <c:pt idx="1">
                  <c:v>2023</c:v>
                </c:pt>
                <c:pt idx="2">
                  <c:v>2024E</c:v>
                </c:pt>
                <c:pt idx="3">
                  <c:v>2025E</c:v>
                </c:pt>
              </c:strCache>
            </c:strRef>
          </c:cat>
          <c:val>
            <c:numRef>
              <c:f>Charts!$L$321:$L$324</c:f>
              <c:numCache>
                <c:formatCode>\$0.0"bn"</c:formatCode>
                <c:ptCount val="4"/>
                <c:pt idx="3">
                  <c:v>3</c:v>
                </c:pt>
              </c:numCache>
            </c:numRef>
          </c:val>
          <c:extLst>
            <c:ext xmlns:c16="http://schemas.microsoft.com/office/drawing/2014/chart" uri="{C3380CC4-5D6E-409C-BE32-E72D297353CC}">
              <c16:uniqueId val="{00000001-BE42-4C1A-AC53-35DD89C540FA}"/>
            </c:ext>
          </c:extLst>
        </c:ser>
        <c:dLbls>
          <c:dLblPos val="ctr"/>
          <c:showLegendKey val="0"/>
          <c:showVal val="1"/>
          <c:showCatName val="0"/>
          <c:showSerName val="0"/>
          <c:showPercent val="0"/>
          <c:showBubbleSize val="0"/>
        </c:dLbls>
        <c:gapWidth val="150"/>
        <c:overlap val="100"/>
        <c:axId val="1243536784"/>
        <c:axId val="1243541584"/>
      </c:barChart>
      <c:catAx>
        <c:axId val="124353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243541584"/>
        <c:crosses val="autoZero"/>
        <c:auto val="1"/>
        <c:lblAlgn val="ctr"/>
        <c:lblOffset val="100"/>
        <c:noMultiLvlLbl val="0"/>
      </c:catAx>
      <c:valAx>
        <c:axId val="1243541584"/>
        <c:scaling>
          <c:orientation val="minMax"/>
        </c:scaling>
        <c:delete val="0"/>
        <c:axPos val="l"/>
        <c:numFmt formatCode="\$0&quot;bn&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243536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rgbClr val="023D67"/>
              </a:solidFill>
              <a:ln w="9525">
                <a:noFill/>
              </a:ln>
              <a:effectLst/>
            </c:spPr>
          </c:marker>
          <c:dPt>
            <c:idx val="2"/>
            <c:marker>
              <c:symbol val="circle"/>
              <c:size val="5"/>
              <c:spPr>
                <a:solidFill>
                  <a:srgbClr val="2EB2A5"/>
                </a:solidFill>
                <a:ln w="9525">
                  <a:noFill/>
                </a:ln>
                <a:effectLst/>
              </c:spPr>
            </c:marker>
            <c:bubble3D val="0"/>
            <c:extLst>
              <c:ext xmlns:c16="http://schemas.microsoft.com/office/drawing/2014/chart" uri="{C3380CC4-5D6E-409C-BE32-E72D297353CC}">
                <c16:uniqueId val="{00000001-0033-467D-A27A-1AB563C224C9}"/>
              </c:ext>
            </c:extLst>
          </c:dPt>
          <c:dLbls>
            <c:dLbl>
              <c:idx val="0"/>
              <c:tx>
                <c:rich>
                  <a:bodyPr/>
                  <a:lstStyle/>
                  <a:p>
                    <a:fld id="{726B24A2-B5FD-40BF-8784-8FD110B320D7}"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033-467D-A27A-1AB563C224C9}"/>
                </c:ext>
              </c:extLst>
            </c:dLbl>
            <c:dLbl>
              <c:idx val="1"/>
              <c:tx>
                <c:rich>
                  <a:bodyPr/>
                  <a:lstStyle/>
                  <a:p>
                    <a:fld id="{1B4CE858-4431-473F-ADD9-99D35514B5BD}" type="CELLRANGE">
                      <a:rPr lang="en-US"/>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033-467D-A27A-1AB563C224C9}"/>
                </c:ext>
              </c:extLst>
            </c:dLbl>
            <c:dLbl>
              <c:idx val="2"/>
              <c:tx>
                <c:rich>
                  <a:bodyPr/>
                  <a:lstStyle/>
                  <a:p>
                    <a:fld id="{961210A7-A07E-485F-8515-D63D25194BDB}"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033-467D-A27A-1AB563C224C9}"/>
                </c:ext>
              </c:extLst>
            </c:dLbl>
            <c:dLbl>
              <c:idx val="3"/>
              <c:delete val="1"/>
              <c:extLst>
                <c:ext xmlns:c15="http://schemas.microsoft.com/office/drawing/2012/chart" uri="{CE6537A1-D6FC-4f65-9D91-7224C49458BB}"/>
                <c:ext xmlns:c16="http://schemas.microsoft.com/office/drawing/2014/chart" uri="{C3380CC4-5D6E-409C-BE32-E72D297353CC}">
                  <c16:uniqueId val="{00000004-0033-467D-A27A-1AB563C224C9}"/>
                </c:ext>
              </c:extLst>
            </c:dLbl>
            <c:dLbl>
              <c:idx val="4"/>
              <c:tx>
                <c:rich>
                  <a:bodyPr/>
                  <a:lstStyle/>
                  <a:p>
                    <a:fld id="{A3F428EE-1978-47FD-8AD9-A1E814159C95}"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033-467D-A27A-1AB563C224C9}"/>
                </c:ext>
              </c:extLst>
            </c:dLbl>
            <c:dLbl>
              <c:idx val="5"/>
              <c:tx>
                <c:rich>
                  <a:bodyPr/>
                  <a:lstStyle/>
                  <a:p>
                    <a:fld id="{5C7E34C0-BE7D-4645-8114-566204D2082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033-467D-A27A-1AB563C224C9}"/>
                </c:ext>
              </c:extLst>
            </c:dLbl>
            <c:dLbl>
              <c:idx val="6"/>
              <c:tx>
                <c:rich>
                  <a:bodyPr/>
                  <a:lstStyle/>
                  <a:p>
                    <a:fld id="{324313DB-90AC-41AF-8056-E83827E69912}" type="CELLRANGE">
                      <a:rPr lang="en-US"/>
                      <a:pPr/>
                      <a:t>[CELLRANGE]</a:t>
                    </a:fld>
                    <a:endParaRPr lang="en-GB"/>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033-467D-A27A-1AB563C224C9}"/>
                </c:ext>
              </c:extLst>
            </c:dLbl>
            <c:dLbl>
              <c:idx val="7"/>
              <c:delete val="1"/>
              <c:extLst>
                <c:ext xmlns:c15="http://schemas.microsoft.com/office/drawing/2012/chart" uri="{CE6537A1-D6FC-4f65-9D91-7224C49458BB}"/>
                <c:ext xmlns:c16="http://schemas.microsoft.com/office/drawing/2014/chart" uri="{C3380CC4-5D6E-409C-BE32-E72D297353CC}">
                  <c16:uniqueId val="{00000008-0033-467D-A27A-1AB563C224C9}"/>
                </c:ext>
              </c:extLst>
            </c:dLbl>
            <c:dLbl>
              <c:idx val="8"/>
              <c:tx>
                <c:rich>
                  <a:bodyPr/>
                  <a:lstStyle/>
                  <a:p>
                    <a:fld id="{569365D6-8835-49EB-9ADF-F8DA01DF5A30}" type="CELLRANGE">
                      <a:rPr lang="en-US"/>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033-467D-A27A-1AB563C224C9}"/>
                </c:ext>
              </c:extLst>
            </c:dLbl>
            <c:dLbl>
              <c:idx val="9"/>
              <c:tx>
                <c:rich>
                  <a:bodyPr/>
                  <a:lstStyle/>
                  <a:p>
                    <a:fld id="{D9F22CFB-57E0-46E5-BFE7-C7B2F2E814A9}"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033-467D-A27A-1AB563C224C9}"/>
                </c:ext>
              </c:extLst>
            </c:dLbl>
            <c:dLbl>
              <c:idx val="10"/>
              <c:tx>
                <c:rich>
                  <a:bodyPr/>
                  <a:lstStyle/>
                  <a:p>
                    <a:fld id="{A92D9CD7-65FB-4E9D-B272-1CD5EDB0AB8D}"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033-467D-A27A-1AB563C224C9}"/>
                </c:ext>
              </c:extLst>
            </c:dLbl>
            <c:dLbl>
              <c:idx val="11"/>
              <c:tx>
                <c:rich>
                  <a:bodyPr/>
                  <a:lstStyle/>
                  <a:p>
                    <a:fld id="{F4AA26D7-0F63-48F4-BB9E-9E4E3901FEB4}"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033-467D-A27A-1AB563C224C9}"/>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Charts!$P$349:$P$360</c:f>
              <c:numCache>
                <c:formatCode>0.0%</c:formatCode>
                <c:ptCount val="12"/>
                <c:pt idx="0">
                  <c:v>0.28824331416303961</c:v>
                </c:pt>
                <c:pt idx="1">
                  <c:v>4.1267221225935735E-2</c:v>
                </c:pt>
                <c:pt idx="2">
                  <c:v>0.22104381251510041</c:v>
                </c:pt>
                <c:pt idx="3">
                  <c:v>9.5929603966250943E-2</c:v>
                </c:pt>
                <c:pt idx="4">
                  <c:v>0.13871512869119917</c:v>
                </c:pt>
                <c:pt idx="5">
                  <c:v>0.19560683197865147</c:v>
                </c:pt>
                <c:pt idx="6">
                  <c:v>0.10402012134557648</c:v>
                </c:pt>
                <c:pt idx="7">
                  <c:v>0.12324577015197935</c:v>
                </c:pt>
                <c:pt idx="8">
                  <c:v>0.12272420350466984</c:v>
                </c:pt>
                <c:pt idx="9">
                  <c:v>0.11939340633689621</c:v>
                </c:pt>
                <c:pt idx="10">
                  <c:v>0.23614325642206313</c:v>
                </c:pt>
                <c:pt idx="11">
                  <c:v>0.75499583664787817</c:v>
                </c:pt>
              </c:numCache>
            </c:numRef>
          </c:xVal>
          <c:yVal>
            <c:numRef>
              <c:f>Charts!$S$349:$S$360</c:f>
              <c:numCache>
                <c:formatCode>0.0\x</c:formatCode>
                <c:ptCount val="12"/>
                <c:pt idx="0">
                  <c:v>54.255319148936167</c:v>
                </c:pt>
                <c:pt idx="1">
                  <c:v>3.4609720176730483</c:v>
                </c:pt>
                <c:pt idx="2">
                  <c:v>18.103448275862071</c:v>
                </c:pt>
                <c:pt idx="3">
                  <c:v>7.3643410852713176</c:v>
                </c:pt>
                <c:pt idx="4">
                  <c:v>9.8475222363405326</c:v>
                </c:pt>
                <c:pt idx="5">
                  <c:v>13.461538461538462</c:v>
                </c:pt>
                <c:pt idx="6">
                  <c:v>6.9383259911894273</c:v>
                </c:pt>
                <c:pt idx="7">
                  <c:v>8.0487804878048781</c:v>
                </c:pt>
                <c:pt idx="8">
                  <c:v>7.7546296296296289</c:v>
                </c:pt>
                <c:pt idx="9">
                  <c:v>7.3732718894009226</c:v>
                </c:pt>
                <c:pt idx="10">
                  <c:v>11.388888888888888</c:v>
                </c:pt>
                <c:pt idx="11">
                  <c:v>17.142857142857142</c:v>
                </c:pt>
              </c:numCache>
            </c:numRef>
          </c:yVal>
          <c:smooth val="0"/>
          <c:extLst>
            <c:ext xmlns:c15="http://schemas.microsoft.com/office/drawing/2012/chart" uri="{02D57815-91ED-43cb-92C2-25804820EDAC}">
              <c15:datalabelsRange>
                <c15:f>Charts!$K$349:$K$360</c15:f>
                <c15:dlblRangeCache>
                  <c:ptCount val="12"/>
                  <c:pt idx="0">
                    <c:v>PLTR</c:v>
                  </c:pt>
                  <c:pt idx="1">
                    <c:v>IBM</c:v>
                  </c:pt>
                  <c:pt idx="2">
                    <c:v>CRWD</c:v>
                  </c:pt>
                  <c:pt idx="3">
                    <c:v>ADBE</c:v>
                  </c:pt>
                  <c:pt idx="4">
                    <c:v>MSFT</c:v>
                  </c:pt>
                  <c:pt idx="5">
                    <c:v>NOW</c:v>
                  </c:pt>
                  <c:pt idx="6">
                    <c:v>CRM</c:v>
                  </c:pt>
                  <c:pt idx="7">
                    <c:v>INTU</c:v>
                  </c:pt>
                  <c:pt idx="8">
                    <c:v>SAP</c:v>
                  </c:pt>
                  <c:pt idx="9">
                    <c:v>ORCL</c:v>
                  </c:pt>
                  <c:pt idx="10">
                    <c:v>SNOW</c:v>
                  </c:pt>
                  <c:pt idx="11">
                    <c:v>OpenAI</c:v>
                  </c:pt>
                </c15:dlblRangeCache>
              </c15:datalabelsRange>
            </c:ext>
            <c:ext xmlns:c16="http://schemas.microsoft.com/office/drawing/2014/chart" uri="{C3380CC4-5D6E-409C-BE32-E72D297353CC}">
              <c16:uniqueId val="{00000000-0033-467D-A27A-1AB563C224C9}"/>
            </c:ext>
          </c:extLst>
        </c:ser>
        <c:dLbls>
          <c:showLegendKey val="0"/>
          <c:showVal val="0"/>
          <c:showCatName val="0"/>
          <c:showSerName val="0"/>
          <c:showPercent val="0"/>
          <c:showBubbleSize val="0"/>
        </c:dLbls>
        <c:axId val="1155614592"/>
        <c:axId val="1155605952"/>
      </c:scatterChart>
      <c:valAx>
        <c:axId val="115561459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155605952"/>
        <c:crosses val="autoZero"/>
        <c:crossBetween val="midCat"/>
      </c:valAx>
      <c:valAx>
        <c:axId val="1155605952"/>
        <c:scaling>
          <c:orientation val="minMax"/>
        </c:scaling>
        <c:delete val="0"/>
        <c:axPos val="l"/>
        <c:majorGridlines>
          <c:spPr>
            <a:ln w="9525" cap="flat" cmpd="sng" algn="ctr">
              <a:solidFill>
                <a:schemeClr val="tx1">
                  <a:lumMod val="15000"/>
                  <a:lumOff val="85000"/>
                </a:schemeClr>
              </a:solidFill>
              <a:round/>
            </a:ln>
            <a:effectLst/>
          </c:spPr>
        </c:majorGridlines>
        <c:numFmt formatCode="0.0\x"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1556145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2EB2A5"/>
            </a:solidFill>
            <a:ln>
              <a:noFill/>
            </a:ln>
            <a:effectLst/>
          </c:spPr>
          <c:invertIfNegative val="0"/>
          <c:dPt>
            <c:idx val="11"/>
            <c:invertIfNegative val="0"/>
            <c:bubble3D val="0"/>
            <c:spPr>
              <a:solidFill>
                <a:srgbClr val="F97303"/>
              </a:solidFill>
              <a:ln>
                <a:noFill/>
              </a:ln>
              <a:effectLst/>
            </c:spPr>
            <c:extLst>
              <c:ext xmlns:c16="http://schemas.microsoft.com/office/drawing/2014/chart" uri="{C3380CC4-5D6E-409C-BE32-E72D297353CC}">
                <c16:uniqueId val="{00000002-4D2A-4D0E-9369-D611DF28F984}"/>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Charts!$K$349:$K$360</c:f>
              <c:strCache>
                <c:ptCount val="12"/>
                <c:pt idx="0">
                  <c:v>PLTR</c:v>
                </c:pt>
                <c:pt idx="1">
                  <c:v>IBM</c:v>
                </c:pt>
                <c:pt idx="2">
                  <c:v>CRWD</c:v>
                </c:pt>
                <c:pt idx="3">
                  <c:v>ADBE</c:v>
                </c:pt>
                <c:pt idx="4">
                  <c:v>MSFT</c:v>
                </c:pt>
                <c:pt idx="5">
                  <c:v>NOW</c:v>
                </c:pt>
                <c:pt idx="6">
                  <c:v>CRM</c:v>
                </c:pt>
                <c:pt idx="7">
                  <c:v>INTU</c:v>
                </c:pt>
                <c:pt idx="8">
                  <c:v>SAP</c:v>
                </c:pt>
                <c:pt idx="9">
                  <c:v>ORCL</c:v>
                </c:pt>
                <c:pt idx="10">
                  <c:v>SNOW</c:v>
                </c:pt>
                <c:pt idx="11">
                  <c:v>OpenAI</c:v>
                </c:pt>
              </c:strCache>
            </c:strRef>
          </c:cat>
          <c:val>
            <c:numRef>
              <c:f>Charts!$T$349:$T$360</c:f>
              <c:numCache>
                <c:formatCode>0.0\x</c:formatCode>
                <c:ptCount val="12"/>
                <c:pt idx="0">
                  <c:v>1.8822750254060576</c:v>
                </c:pt>
                <c:pt idx="1">
                  <c:v>0.83867338649346401</c:v>
                </c:pt>
                <c:pt idx="2">
                  <c:v>0.81899819180079292</c:v>
                </c:pt>
                <c:pt idx="3">
                  <c:v>0.76768179798408953</c:v>
                </c:pt>
                <c:pt idx="4">
                  <c:v>0.70990975023802949</c:v>
                </c:pt>
                <c:pt idx="5">
                  <c:v>0.68819367531128228</c:v>
                </c:pt>
                <c:pt idx="6">
                  <c:v>0.66701767902566322</c:v>
                </c:pt>
                <c:pt idx="7">
                  <c:v>0.65306748279308902</c:v>
                </c:pt>
                <c:pt idx="8">
                  <c:v>0.63187451278382534</c:v>
                </c:pt>
                <c:pt idx="9">
                  <c:v>0.61756106267673816</c:v>
                </c:pt>
                <c:pt idx="10">
                  <c:v>0.48228728024878759</c:v>
                </c:pt>
                <c:pt idx="11">
                  <c:v>0.22705896258938424</c:v>
                </c:pt>
              </c:numCache>
            </c:numRef>
          </c:val>
          <c:extLst>
            <c:ext xmlns:c16="http://schemas.microsoft.com/office/drawing/2014/chart" uri="{C3380CC4-5D6E-409C-BE32-E72D297353CC}">
              <c16:uniqueId val="{00000000-4D2A-4D0E-9369-D611DF28F984}"/>
            </c:ext>
          </c:extLst>
        </c:ser>
        <c:dLbls>
          <c:showLegendKey val="0"/>
          <c:showVal val="0"/>
          <c:showCatName val="0"/>
          <c:showSerName val="0"/>
          <c:showPercent val="0"/>
          <c:showBubbleSize val="0"/>
        </c:dLbls>
        <c:gapWidth val="219"/>
        <c:overlap val="-27"/>
        <c:axId val="58789280"/>
        <c:axId val="58781600"/>
      </c:barChart>
      <c:catAx>
        <c:axId val="5878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58781600"/>
        <c:crosses val="autoZero"/>
        <c:auto val="1"/>
        <c:lblAlgn val="ctr"/>
        <c:lblOffset val="100"/>
        <c:noMultiLvlLbl val="0"/>
      </c:catAx>
      <c:valAx>
        <c:axId val="58781600"/>
        <c:scaling>
          <c:orientation val="minMax"/>
        </c:scaling>
        <c:delete val="0"/>
        <c:axPos val="l"/>
        <c:numFmt formatCode="0.0\x"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5878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2EB2A5"/>
            </a:solidFill>
            <a:ln>
              <a:noFill/>
            </a:ln>
            <a:effectLst/>
          </c:spPr>
          <c:invertIfNegative val="0"/>
          <c:dPt>
            <c:idx val="0"/>
            <c:invertIfNegative val="0"/>
            <c:bubble3D val="0"/>
            <c:spPr>
              <a:solidFill>
                <a:srgbClr val="F97303"/>
              </a:solidFill>
              <a:ln>
                <a:noFill/>
              </a:ln>
              <a:effectLst/>
            </c:spPr>
            <c:extLst>
              <c:ext xmlns:c16="http://schemas.microsoft.com/office/drawing/2014/chart" uri="{C3380CC4-5D6E-409C-BE32-E72D297353CC}">
                <c16:uniqueId val="{00000001-B66C-4243-B187-09B2EA26CCE1}"/>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Charts!$K$382:$K$393</c:f>
              <c:strCache>
                <c:ptCount val="12"/>
                <c:pt idx="0">
                  <c:v>OpenAI</c:v>
                </c:pt>
                <c:pt idx="1">
                  <c:v>PLTR</c:v>
                </c:pt>
                <c:pt idx="2">
                  <c:v>SNOW</c:v>
                </c:pt>
                <c:pt idx="3">
                  <c:v>CRWD</c:v>
                </c:pt>
                <c:pt idx="4">
                  <c:v>NOW</c:v>
                </c:pt>
                <c:pt idx="5">
                  <c:v>MSFT</c:v>
                </c:pt>
                <c:pt idx="6">
                  <c:v>INTU</c:v>
                </c:pt>
                <c:pt idx="7">
                  <c:v>SAP</c:v>
                </c:pt>
                <c:pt idx="8">
                  <c:v>ORCL</c:v>
                </c:pt>
                <c:pt idx="9">
                  <c:v>CRM</c:v>
                </c:pt>
                <c:pt idx="10">
                  <c:v>ADBE</c:v>
                </c:pt>
                <c:pt idx="11">
                  <c:v>IBM</c:v>
                </c:pt>
              </c:strCache>
            </c:strRef>
          </c:cat>
          <c:val>
            <c:numRef>
              <c:f>Charts!$P$382:$P$393</c:f>
              <c:numCache>
                <c:formatCode>0.0%</c:formatCode>
                <c:ptCount val="12"/>
                <c:pt idx="0">
                  <c:v>0.75499583664787817</c:v>
                </c:pt>
                <c:pt idx="1">
                  <c:v>0.28824331416303961</c:v>
                </c:pt>
                <c:pt idx="2">
                  <c:v>0.23614325642206313</c:v>
                </c:pt>
                <c:pt idx="3">
                  <c:v>0.22104381251510041</c:v>
                </c:pt>
                <c:pt idx="4">
                  <c:v>0.19560683197865147</c:v>
                </c:pt>
                <c:pt idx="5">
                  <c:v>0.13871512869119917</c:v>
                </c:pt>
                <c:pt idx="6">
                  <c:v>0.12324577015197935</c:v>
                </c:pt>
                <c:pt idx="7">
                  <c:v>0.12272420350466984</c:v>
                </c:pt>
                <c:pt idx="8">
                  <c:v>0.11939340633689621</c:v>
                </c:pt>
                <c:pt idx="9">
                  <c:v>0.10402012134557648</c:v>
                </c:pt>
                <c:pt idx="10">
                  <c:v>9.5929603966250943E-2</c:v>
                </c:pt>
                <c:pt idx="11">
                  <c:v>4.1267221225935735E-2</c:v>
                </c:pt>
              </c:numCache>
            </c:numRef>
          </c:val>
          <c:extLst>
            <c:ext xmlns:c16="http://schemas.microsoft.com/office/drawing/2014/chart" uri="{C3380CC4-5D6E-409C-BE32-E72D297353CC}">
              <c16:uniqueId val="{00000000-B66C-4243-B187-09B2EA26CCE1}"/>
            </c:ext>
          </c:extLst>
        </c:ser>
        <c:dLbls>
          <c:dLblPos val="outEnd"/>
          <c:showLegendKey val="0"/>
          <c:showVal val="1"/>
          <c:showCatName val="0"/>
          <c:showSerName val="0"/>
          <c:showPercent val="0"/>
          <c:showBubbleSize val="0"/>
        </c:dLbls>
        <c:gapWidth val="219"/>
        <c:overlap val="-27"/>
        <c:axId val="1139556928"/>
        <c:axId val="1139555488"/>
      </c:barChart>
      <c:catAx>
        <c:axId val="113955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139555488"/>
        <c:crosses val="autoZero"/>
        <c:auto val="1"/>
        <c:lblAlgn val="ctr"/>
        <c:lblOffset val="100"/>
        <c:noMultiLvlLbl val="0"/>
      </c:catAx>
      <c:valAx>
        <c:axId val="113955548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13955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2EB2A5"/>
            </a:solidFill>
            <a:ln>
              <a:noFill/>
            </a:ln>
            <a:effectLst/>
          </c:spPr>
          <c:invertIfNegative val="0"/>
          <c:dPt>
            <c:idx val="2"/>
            <c:invertIfNegative val="0"/>
            <c:bubble3D val="0"/>
            <c:spPr>
              <a:solidFill>
                <a:srgbClr val="F97303"/>
              </a:solidFill>
              <a:ln>
                <a:noFill/>
              </a:ln>
              <a:effectLst/>
            </c:spPr>
            <c:extLst>
              <c:ext xmlns:c16="http://schemas.microsoft.com/office/drawing/2014/chart" uri="{C3380CC4-5D6E-409C-BE32-E72D297353CC}">
                <c16:uniqueId val="{00000003-B6BD-4C86-A264-F6C696953655}"/>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Charts!$K$415:$K$426</c:f>
              <c:strCache>
                <c:ptCount val="12"/>
                <c:pt idx="0">
                  <c:v>PLTR</c:v>
                </c:pt>
                <c:pt idx="1">
                  <c:v>CRWD</c:v>
                </c:pt>
                <c:pt idx="2">
                  <c:v>OpenAI</c:v>
                </c:pt>
                <c:pt idx="3">
                  <c:v>NOW</c:v>
                </c:pt>
                <c:pt idx="4">
                  <c:v>SNOW</c:v>
                </c:pt>
                <c:pt idx="5">
                  <c:v>MSFT</c:v>
                </c:pt>
                <c:pt idx="6">
                  <c:v>SAP</c:v>
                </c:pt>
                <c:pt idx="7">
                  <c:v>INTU</c:v>
                </c:pt>
                <c:pt idx="8">
                  <c:v>ORCL</c:v>
                </c:pt>
                <c:pt idx="9">
                  <c:v>ADBE</c:v>
                </c:pt>
                <c:pt idx="10">
                  <c:v>CRM</c:v>
                </c:pt>
                <c:pt idx="11">
                  <c:v>IBM</c:v>
                </c:pt>
              </c:strCache>
            </c:strRef>
          </c:cat>
          <c:val>
            <c:numRef>
              <c:f>Charts!$S$415:$S$426</c:f>
              <c:numCache>
                <c:formatCode>0.0\x</c:formatCode>
                <c:ptCount val="12"/>
                <c:pt idx="0">
                  <c:v>54.255319148936167</c:v>
                </c:pt>
                <c:pt idx="1">
                  <c:v>18.103448275862071</c:v>
                </c:pt>
                <c:pt idx="2">
                  <c:v>17.142857142857142</c:v>
                </c:pt>
                <c:pt idx="3">
                  <c:v>13.461538461538462</c:v>
                </c:pt>
                <c:pt idx="4">
                  <c:v>11.388888888888888</c:v>
                </c:pt>
                <c:pt idx="5">
                  <c:v>9.8475222363405326</c:v>
                </c:pt>
                <c:pt idx="6">
                  <c:v>8.1018518518518512</c:v>
                </c:pt>
                <c:pt idx="7">
                  <c:v>8.0487804878048781</c:v>
                </c:pt>
                <c:pt idx="8">
                  <c:v>7.3732718894009226</c:v>
                </c:pt>
                <c:pt idx="9">
                  <c:v>7.3643410852713176</c:v>
                </c:pt>
                <c:pt idx="10">
                  <c:v>6.9383259911894273</c:v>
                </c:pt>
                <c:pt idx="11">
                  <c:v>3.4609720176730483</c:v>
                </c:pt>
              </c:numCache>
            </c:numRef>
          </c:val>
          <c:extLst>
            <c:ext xmlns:c16="http://schemas.microsoft.com/office/drawing/2014/chart" uri="{C3380CC4-5D6E-409C-BE32-E72D297353CC}">
              <c16:uniqueId val="{00000000-B6BD-4C86-A264-F6C696953655}"/>
            </c:ext>
          </c:extLst>
        </c:ser>
        <c:dLbls>
          <c:dLblPos val="outEnd"/>
          <c:showLegendKey val="0"/>
          <c:showVal val="1"/>
          <c:showCatName val="0"/>
          <c:showSerName val="0"/>
          <c:showPercent val="0"/>
          <c:showBubbleSize val="0"/>
        </c:dLbls>
        <c:gapWidth val="219"/>
        <c:overlap val="-27"/>
        <c:axId val="1020352064"/>
        <c:axId val="1020350624"/>
      </c:barChart>
      <c:catAx>
        <c:axId val="102035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020350624"/>
        <c:crosses val="autoZero"/>
        <c:auto val="1"/>
        <c:lblAlgn val="ctr"/>
        <c:lblOffset val="100"/>
        <c:noMultiLvlLbl val="0"/>
      </c:catAx>
      <c:valAx>
        <c:axId val="1020350624"/>
        <c:scaling>
          <c:orientation val="minMax"/>
        </c:scaling>
        <c:delete val="0"/>
        <c:axPos val="l"/>
        <c:numFmt formatCode="0.0\x"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02035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2EB2A5"/>
              </a:solidFill>
              <a:ln w="19050">
                <a:solidFill>
                  <a:schemeClr val="lt1"/>
                </a:solidFill>
              </a:ln>
              <a:effectLst/>
            </c:spPr>
            <c:extLst>
              <c:ext xmlns:c16="http://schemas.microsoft.com/office/drawing/2014/chart" uri="{C3380CC4-5D6E-409C-BE32-E72D297353CC}">
                <c16:uniqueId val="{00000001-3EEA-4FF2-9F8B-B2702D8A7F52}"/>
              </c:ext>
            </c:extLst>
          </c:dPt>
          <c:dPt>
            <c:idx val="1"/>
            <c:bubble3D val="0"/>
            <c:spPr>
              <a:solidFill>
                <a:srgbClr val="9D9D9C"/>
              </a:solidFill>
              <a:ln w="19050">
                <a:solidFill>
                  <a:schemeClr val="lt1"/>
                </a:solidFill>
              </a:ln>
              <a:effectLst/>
            </c:spPr>
            <c:extLst>
              <c:ext xmlns:c16="http://schemas.microsoft.com/office/drawing/2014/chart" uri="{C3380CC4-5D6E-409C-BE32-E72D297353CC}">
                <c16:uniqueId val="{00000002-3EEA-4FF2-9F8B-B2702D8A7F52}"/>
              </c:ext>
            </c:extLst>
          </c:dPt>
          <c:dPt>
            <c:idx val="2"/>
            <c:bubble3D val="0"/>
            <c:spPr>
              <a:solidFill>
                <a:srgbClr val="F97303"/>
              </a:solidFill>
              <a:ln w="19050">
                <a:solidFill>
                  <a:schemeClr val="lt1"/>
                </a:solidFill>
              </a:ln>
              <a:effectLst/>
            </c:spPr>
            <c:extLst>
              <c:ext xmlns:c16="http://schemas.microsoft.com/office/drawing/2014/chart" uri="{C3380CC4-5D6E-409C-BE32-E72D297353CC}">
                <c16:uniqueId val="{00000003-3EEA-4FF2-9F8B-B2702D8A7F52}"/>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4-3EEA-4FF2-9F8B-B2702D8A7F52}"/>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Charts!$J$449:$J$452</c:f>
              <c:strCache>
                <c:ptCount val="4"/>
                <c:pt idx="0">
                  <c:v>SoftBank Group</c:v>
                </c:pt>
                <c:pt idx="1">
                  <c:v>OpenAI</c:v>
                </c:pt>
                <c:pt idx="2">
                  <c:v>Oracle + MGX</c:v>
                </c:pt>
                <c:pt idx="3">
                  <c:v>GPs + Project Financing</c:v>
                </c:pt>
              </c:strCache>
            </c:strRef>
          </c:cat>
          <c:val>
            <c:numRef>
              <c:f>Charts!$L$449:$L$452</c:f>
              <c:numCache>
                <c:formatCode>\$0"bn"</c:formatCode>
                <c:ptCount val="4"/>
                <c:pt idx="0">
                  <c:v>15</c:v>
                </c:pt>
                <c:pt idx="1">
                  <c:v>15</c:v>
                </c:pt>
                <c:pt idx="2">
                  <c:v>7</c:v>
                </c:pt>
                <c:pt idx="3">
                  <c:v>63</c:v>
                </c:pt>
              </c:numCache>
            </c:numRef>
          </c:val>
          <c:extLst>
            <c:ext xmlns:c16="http://schemas.microsoft.com/office/drawing/2014/chart" uri="{C3380CC4-5D6E-409C-BE32-E72D297353CC}">
              <c16:uniqueId val="{00000000-3EEA-4FF2-9F8B-B2702D8A7F5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F9730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Charts!$N$531:$S$531</c:f>
              <c:numCache>
                <c:formatCode>\$0.0"bn"</c:formatCode>
                <c:ptCount val="6"/>
                <c:pt idx="0">
                  <c:v>32.769542732134624</c:v>
                </c:pt>
                <c:pt idx="1">
                  <c:v>50.695554269456935</c:v>
                </c:pt>
                <c:pt idx="2">
                  <c:v>69.5</c:v>
                </c:pt>
                <c:pt idx="3">
                  <c:v>96.124594471428566</c:v>
                </c:pt>
                <c:pt idx="4">
                  <c:v>122.23058652666666</c:v>
                </c:pt>
                <c:pt idx="5">
                  <c:v>151.14976248466667</c:v>
                </c:pt>
              </c:numCache>
            </c:numRef>
          </c:val>
          <c:extLst>
            <c:ext xmlns:c16="http://schemas.microsoft.com/office/drawing/2014/chart" uri="{C3380CC4-5D6E-409C-BE32-E72D297353CC}">
              <c16:uniqueId val="{00000000-ED0C-4C6A-8E1E-8FB13A3C653E}"/>
            </c:ext>
          </c:extLst>
        </c:ser>
        <c:ser>
          <c:idx val="1"/>
          <c:order val="1"/>
          <c:spPr>
            <a:solidFill>
              <a:srgbClr val="2EB2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Charts!$N$532:$S$532</c:f>
              <c:numCache>
                <c:formatCode>\$0.0"bn"</c:formatCode>
                <c:ptCount val="6"/>
                <c:pt idx="0">
                  <c:v>1.9715055833654211</c:v>
                </c:pt>
                <c:pt idx="1">
                  <c:v>5.2244897959183669</c:v>
                </c:pt>
                <c:pt idx="2">
                  <c:v>9.1428571428571423</c:v>
                </c:pt>
                <c:pt idx="3">
                  <c:v>16</c:v>
                </c:pt>
                <c:pt idx="4">
                  <c:v>21.833333333333336</c:v>
                </c:pt>
                <c:pt idx="5">
                  <c:v>28.383333333333336</c:v>
                </c:pt>
              </c:numCache>
            </c:numRef>
          </c:val>
          <c:extLst>
            <c:ext xmlns:c16="http://schemas.microsoft.com/office/drawing/2014/chart" uri="{C3380CC4-5D6E-409C-BE32-E72D297353CC}">
              <c16:uniqueId val="{00000001-ED0C-4C6A-8E1E-8FB13A3C653E}"/>
            </c:ext>
          </c:extLst>
        </c:ser>
        <c:ser>
          <c:idx val="2"/>
          <c:order val="2"/>
          <c:spPr>
            <a:solidFill>
              <a:srgbClr val="9D9D9C"/>
            </a:solidFill>
            <a:ln>
              <a:noFill/>
            </a:ln>
            <a:effectLst/>
          </c:spPr>
          <c:invertIfNegative val="0"/>
          <c:val>
            <c:numRef>
              <c:f>Charts!$N$533:$S$533</c:f>
              <c:numCache>
                <c:formatCode>\$0.0"bn"</c:formatCode>
                <c:ptCount val="6"/>
                <c:pt idx="0">
                  <c:v>0.171618509</c:v>
                </c:pt>
                <c:pt idx="1">
                  <c:v>0.99045700000000003</c:v>
                </c:pt>
                <c:pt idx="2">
                  <c:v>2.6181209999999999</c:v>
                </c:pt>
                <c:pt idx="3">
                  <c:v>4.5712640000000002</c:v>
                </c:pt>
                <c:pt idx="4">
                  <c:v>6.3102819999999999</c:v>
                </c:pt>
                <c:pt idx="5">
                  <c:v>8.2033666000000007</c:v>
                </c:pt>
              </c:numCache>
            </c:numRef>
          </c:val>
          <c:extLst>
            <c:ext xmlns:c16="http://schemas.microsoft.com/office/drawing/2014/chart" uri="{C3380CC4-5D6E-409C-BE32-E72D297353CC}">
              <c16:uniqueId val="{00000002-ED0C-4C6A-8E1E-8FB13A3C653E}"/>
            </c:ext>
          </c:extLst>
        </c:ser>
        <c:ser>
          <c:idx val="3"/>
          <c:order val="3"/>
          <c:spPr>
            <a:solidFill>
              <a:srgbClr val="FFC000"/>
            </a:solidFill>
            <a:ln>
              <a:noFill/>
            </a:ln>
            <a:effectLst/>
          </c:spPr>
          <c:invertIfNegative val="0"/>
          <c:val>
            <c:numRef>
              <c:f>Charts!$N$534:$S$534</c:f>
              <c:numCache>
                <c:formatCode>\$0.0"bn"</c:formatCode>
                <c:ptCount val="6"/>
                <c:pt idx="0">
                  <c:v>8.7333175499955173E-2</c:v>
                </c:pt>
                <c:pt idx="1">
                  <c:v>0.58949893462469738</c:v>
                </c:pt>
                <c:pt idx="2">
                  <c:v>1.7390218571428573</c:v>
                </c:pt>
                <c:pt idx="3">
                  <c:v>3.3041415285714288</c:v>
                </c:pt>
                <c:pt idx="4">
                  <c:v>4.6257981399999997</c:v>
                </c:pt>
                <c:pt idx="5">
                  <c:v>6.0135375819999997</c:v>
                </c:pt>
              </c:numCache>
            </c:numRef>
          </c:val>
          <c:extLst>
            <c:ext xmlns:c16="http://schemas.microsoft.com/office/drawing/2014/chart" uri="{C3380CC4-5D6E-409C-BE32-E72D297353CC}">
              <c16:uniqueId val="{00000003-ED0C-4C6A-8E1E-8FB13A3C653E}"/>
            </c:ext>
          </c:extLst>
        </c:ser>
        <c:dLbls>
          <c:showLegendKey val="0"/>
          <c:showVal val="0"/>
          <c:showCatName val="0"/>
          <c:showSerName val="0"/>
          <c:showPercent val="0"/>
          <c:showBubbleSize val="0"/>
        </c:dLbls>
        <c:gapWidth val="150"/>
        <c:overlap val="100"/>
        <c:axId val="559108944"/>
        <c:axId val="559096944"/>
      </c:barChart>
      <c:catAx>
        <c:axId val="55910894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559096944"/>
        <c:crosses val="autoZero"/>
        <c:auto val="1"/>
        <c:lblAlgn val="ctr"/>
        <c:lblOffset val="100"/>
        <c:noMultiLvlLbl val="0"/>
      </c:catAx>
      <c:valAx>
        <c:axId val="559096944"/>
        <c:scaling>
          <c:orientation val="minMax"/>
        </c:scaling>
        <c:delete val="0"/>
        <c:axPos val="l"/>
        <c:majorGridlines>
          <c:spPr>
            <a:ln w="9525" cap="flat" cmpd="sng" algn="ctr">
              <a:solidFill>
                <a:schemeClr val="tx1">
                  <a:lumMod val="15000"/>
                  <a:lumOff val="85000"/>
                </a:schemeClr>
              </a:solidFill>
              <a:round/>
            </a:ln>
            <a:effectLst/>
          </c:spPr>
        </c:majorGridlines>
        <c:numFmt formatCode="\$0&quot;bn&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559108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Charts!$J$531</c:f>
              <c:strCache>
                <c:ptCount val="1"/>
                <c:pt idx="0">
                  <c:v>ByteDance China</c:v>
                </c:pt>
              </c:strCache>
            </c:strRef>
          </c:tx>
          <c:spPr>
            <a:solidFill>
              <a:srgbClr val="F9730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Charts!$N$530:$S$530</c:f>
              <c:numCache>
                <c:formatCode>General</c:formatCode>
                <c:ptCount val="6"/>
                <c:pt idx="0">
                  <c:v>2020</c:v>
                </c:pt>
                <c:pt idx="1">
                  <c:v>2021</c:v>
                </c:pt>
                <c:pt idx="2">
                  <c:v>2022</c:v>
                </c:pt>
                <c:pt idx="3">
                  <c:v>2023</c:v>
                </c:pt>
                <c:pt idx="4" formatCode="0&quot;E&quot;">
                  <c:v>2024</c:v>
                </c:pt>
                <c:pt idx="5" formatCode="0&quot;E&quot;">
                  <c:v>2025</c:v>
                </c:pt>
              </c:numCache>
            </c:numRef>
          </c:cat>
          <c:val>
            <c:numRef>
              <c:f>Charts!$N$531:$S$531</c:f>
              <c:numCache>
                <c:formatCode>\$0.0"bn"</c:formatCode>
                <c:ptCount val="6"/>
                <c:pt idx="0">
                  <c:v>32.769542732134624</c:v>
                </c:pt>
                <c:pt idx="1">
                  <c:v>50.695554269456935</c:v>
                </c:pt>
                <c:pt idx="2">
                  <c:v>69.5</c:v>
                </c:pt>
                <c:pt idx="3">
                  <c:v>96.124594471428566</c:v>
                </c:pt>
                <c:pt idx="4">
                  <c:v>122.23058652666666</c:v>
                </c:pt>
                <c:pt idx="5">
                  <c:v>151.14976248466667</c:v>
                </c:pt>
              </c:numCache>
            </c:numRef>
          </c:val>
          <c:extLst>
            <c:ext xmlns:c16="http://schemas.microsoft.com/office/drawing/2014/chart" uri="{C3380CC4-5D6E-409C-BE32-E72D297353CC}">
              <c16:uniqueId val="{00000000-D712-4256-A7F6-7C1DF667793C}"/>
            </c:ext>
          </c:extLst>
        </c:ser>
        <c:ser>
          <c:idx val="1"/>
          <c:order val="1"/>
          <c:tx>
            <c:strRef>
              <c:f>Charts!$J$532</c:f>
              <c:strCache>
                <c:ptCount val="1"/>
                <c:pt idx="0">
                  <c:v>TikTok U.S.</c:v>
                </c:pt>
              </c:strCache>
            </c:strRef>
          </c:tx>
          <c:spPr>
            <a:solidFill>
              <a:srgbClr val="2EB2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Charts!$N$530:$S$530</c:f>
              <c:numCache>
                <c:formatCode>General</c:formatCode>
                <c:ptCount val="6"/>
                <c:pt idx="0">
                  <c:v>2020</c:v>
                </c:pt>
                <c:pt idx="1">
                  <c:v>2021</c:v>
                </c:pt>
                <c:pt idx="2">
                  <c:v>2022</c:v>
                </c:pt>
                <c:pt idx="3">
                  <c:v>2023</c:v>
                </c:pt>
                <c:pt idx="4" formatCode="0&quot;E&quot;">
                  <c:v>2024</c:v>
                </c:pt>
                <c:pt idx="5" formatCode="0&quot;E&quot;">
                  <c:v>2025</c:v>
                </c:pt>
              </c:numCache>
            </c:numRef>
          </c:cat>
          <c:val>
            <c:numRef>
              <c:f>Charts!$N$532:$S$532</c:f>
              <c:numCache>
                <c:formatCode>\$0.0"bn"</c:formatCode>
                <c:ptCount val="6"/>
                <c:pt idx="0">
                  <c:v>1.9715055833654211</c:v>
                </c:pt>
                <c:pt idx="1">
                  <c:v>5.2244897959183669</c:v>
                </c:pt>
                <c:pt idx="2">
                  <c:v>9.1428571428571423</c:v>
                </c:pt>
                <c:pt idx="3">
                  <c:v>16</c:v>
                </c:pt>
                <c:pt idx="4">
                  <c:v>21.833333333333336</c:v>
                </c:pt>
                <c:pt idx="5">
                  <c:v>28.383333333333336</c:v>
                </c:pt>
              </c:numCache>
            </c:numRef>
          </c:val>
          <c:extLst>
            <c:ext xmlns:c16="http://schemas.microsoft.com/office/drawing/2014/chart" uri="{C3380CC4-5D6E-409C-BE32-E72D297353CC}">
              <c16:uniqueId val="{00000001-D712-4256-A7F6-7C1DF667793C}"/>
            </c:ext>
          </c:extLst>
        </c:ser>
        <c:ser>
          <c:idx val="2"/>
          <c:order val="2"/>
          <c:tx>
            <c:strRef>
              <c:f>Charts!$J$533</c:f>
              <c:strCache>
                <c:ptCount val="1"/>
                <c:pt idx="0">
                  <c:v>TikTok Int.</c:v>
                </c:pt>
              </c:strCache>
            </c:strRef>
          </c:tx>
          <c:spPr>
            <a:solidFill>
              <a:srgbClr val="9D9D9C"/>
            </a:solidFill>
            <a:ln>
              <a:noFill/>
            </a:ln>
            <a:effectLst/>
          </c:spPr>
          <c:invertIfNegative val="0"/>
          <c:cat>
            <c:numRef>
              <c:f>Charts!$N$530:$S$530</c:f>
              <c:numCache>
                <c:formatCode>General</c:formatCode>
                <c:ptCount val="6"/>
                <c:pt idx="0">
                  <c:v>2020</c:v>
                </c:pt>
                <c:pt idx="1">
                  <c:v>2021</c:v>
                </c:pt>
                <c:pt idx="2">
                  <c:v>2022</c:v>
                </c:pt>
                <c:pt idx="3">
                  <c:v>2023</c:v>
                </c:pt>
                <c:pt idx="4" formatCode="0&quot;E&quot;">
                  <c:v>2024</c:v>
                </c:pt>
                <c:pt idx="5" formatCode="0&quot;E&quot;">
                  <c:v>2025</c:v>
                </c:pt>
              </c:numCache>
            </c:numRef>
          </c:cat>
          <c:val>
            <c:numRef>
              <c:f>Charts!$N$533:$S$533</c:f>
              <c:numCache>
                <c:formatCode>\$0.0"bn"</c:formatCode>
                <c:ptCount val="6"/>
                <c:pt idx="0">
                  <c:v>0.171618509</c:v>
                </c:pt>
                <c:pt idx="1">
                  <c:v>0.99045700000000003</c:v>
                </c:pt>
                <c:pt idx="2">
                  <c:v>2.6181209999999999</c:v>
                </c:pt>
                <c:pt idx="3">
                  <c:v>4.5712640000000002</c:v>
                </c:pt>
                <c:pt idx="4">
                  <c:v>6.3102819999999999</c:v>
                </c:pt>
                <c:pt idx="5">
                  <c:v>8.2033666000000007</c:v>
                </c:pt>
              </c:numCache>
            </c:numRef>
          </c:val>
          <c:extLst>
            <c:ext xmlns:c16="http://schemas.microsoft.com/office/drawing/2014/chart" uri="{C3380CC4-5D6E-409C-BE32-E72D297353CC}">
              <c16:uniqueId val="{00000002-D712-4256-A7F6-7C1DF667793C}"/>
            </c:ext>
          </c:extLst>
        </c:ser>
        <c:ser>
          <c:idx val="3"/>
          <c:order val="3"/>
          <c:tx>
            <c:strRef>
              <c:f>Charts!$J$534</c:f>
              <c:strCache>
                <c:ptCount val="1"/>
                <c:pt idx="0">
                  <c:v>Other</c:v>
                </c:pt>
              </c:strCache>
            </c:strRef>
          </c:tx>
          <c:spPr>
            <a:solidFill>
              <a:srgbClr val="FFC000"/>
            </a:solidFill>
            <a:ln>
              <a:noFill/>
            </a:ln>
            <a:effectLst/>
          </c:spPr>
          <c:invertIfNegative val="0"/>
          <c:cat>
            <c:numRef>
              <c:f>Charts!$N$530:$S$530</c:f>
              <c:numCache>
                <c:formatCode>General</c:formatCode>
                <c:ptCount val="6"/>
                <c:pt idx="0">
                  <c:v>2020</c:v>
                </c:pt>
                <c:pt idx="1">
                  <c:v>2021</c:v>
                </c:pt>
                <c:pt idx="2">
                  <c:v>2022</c:v>
                </c:pt>
                <c:pt idx="3">
                  <c:v>2023</c:v>
                </c:pt>
                <c:pt idx="4" formatCode="0&quot;E&quot;">
                  <c:v>2024</c:v>
                </c:pt>
                <c:pt idx="5" formatCode="0&quot;E&quot;">
                  <c:v>2025</c:v>
                </c:pt>
              </c:numCache>
            </c:numRef>
          </c:cat>
          <c:val>
            <c:numRef>
              <c:f>Charts!$N$534:$S$534</c:f>
              <c:numCache>
                <c:formatCode>\$0.0"bn"</c:formatCode>
                <c:ptCount val="6"/>
                <c:pt idx="0">
                  <c:v>8.7333175499955173E-2</c:v>
                </c:pt>
                <c:pt idx="1">
                  <c:v>0.58949893462469738</c:v>
                </c:pt>
                <c:pt idx="2">
                  <c:v>1.7390218571428573</c:v>
                </c:pt>
                <c:pt idx="3">
                  <c:v>3.3041415285714288</c:v>
                </c:pt>
                <c:pt idx="4">
                  <c:v>4.6257981399999997</c:v>
                </c:pt>
                <c:pt idx="5">
                  <c:v>6.0135375819999997</c:v>
                </c:pt>
              </c:numCache>
            </c:numRef>
          </c:val>
          <c:extLst>
            <c:ext xmlns:c16="http://schemas.microsoft.com/office/drawing/2014/chart" uri="{C3380CC4-5D6E-409C-BE32-E72D297353CC}">
              <c16:uniqueId val="{00000003-D712-4256-A7F6-7C1DF667793C}"/>
            </c:ext>
          </c:extLst>
        </c:ser>
        <c:dLbls>
          <c:showLegendKey val="0"/>
          <c:showVal val="0"/>
          <c:showCatName val="0"/>
          <c:showSerName val="0"/>
          <c:showPercent val="0"/>
          <c:showBubbleSize val="0"/>
        </c:dLbls>
        <c:gapWidth val="150"/>
        <c:overlap val="100"/>
        <c:axId val="559108944"/>
        <c:axId val="559096944"/>
      </c:barChart>
      <c:lineChart>
        <c:grouping val="standard"/>
        <c:varyColors val="0"/>
        <c:ser>
          <c:idx val="4"/>
          <c:order val="4"/>
          <c:tx>
            <c:v>EBITDA</c:v>
          </c:tx>
          <c:spPr>
            <a:ln w="19050" cap="rnd">
              <a:solidFill>
                <a:srgbClr val="023D67"/>
              </a:solidFill>
              <a:prstDash val="sysDash"/>
              <a:round/>
            </a:ln>
            <a:effectLst/>
          </c:spPr>
          <c:marker>
            <c:symbol val="square"/>
            <c:size val="3"/>
            <c:spPr>
              <a:solidFill>
                <a:srgbClr val="023D67"/>
              </a:solidFill>
              <a:ln w="19050">
                <a:solidFill>
                  <a:srgbClr val="023D67"/>
                </a:solidFill>
                <a:prstDash val="sysDash"/>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5-D712-4256-A7F6-7C1DF667793C}"/>
                </c:ext>
              </c:extLst>
            </c:dLbl>
            <c:dLbl>
              <c:idx val="1"/>
              <c:delete val="1"/>
              <c:extLst>
                <c:ext xmlns:c15="http://schemas.microsoft.com/office/drawing/2012/chart" uri="{CE6537A1-D6FC-4f65-9D91-7224C49458BB}"/>
                <c:ext xmlns:c16="http://schemas.microsoft.com/office/drawing/2014/chart" uri="{C3380CC4-5D6E-409C-BE32-E72D297353CC}">
                  <c16:uniqueId val="{00000006-D712-4256-A7F6-7C1DF667793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Charts!$N$536:$S$536</c:f>
              <c:numCache>
                <c:formatCode>\$0.0"bn"</c:formatCode>
                <c:ptCount val="6"/>
                <c:pt idx="0">
                  <c:v>2.1682423721529869</c:v>
                </c:pt>
                <c:pt idx="1">
                  <c:v>13.966480446927374</c:v>
                </c:pt>
                <c:pt idx="2">
                  <c:v>25</c:v>
                </c:pt>
                <c:pt idx="3">
                  <c:v>40</c:v>
                </c:pt>
                <c:pt idx="4">
                  <c:v>53.216666666666669</c:v>
                </c:pt>
                <c:pt idx="5">
                  <c:v>67.489583333333329</c:v>
                </c:pt>
              </c:numCache>
            </c:numRef>
          </c:val>
          <c:smooth val="0"/>
          <c:extLst>
            <c:ext xmlns:c16="http://schemas.microsoft.com/office/drawing/2014/chart" uri="{C3380CC4-5D6E-409C-BE32-E72D297353CC}">
              <c16:uniqueId val="{00000004-D712-4256-A7F6-7C1DF667793C}"/>
            </c:ext>
          </c:extLst>
        </c:ser>
        <c:dLbls>
          <c:showLegendKey val="0"/>
          <c:showVal val="0"/>
          <c:showCatName val="0"/>
          <c:showSerName val="0"/>
          <c:showPercent val="0"/>
          <c:showBubbleSize val="0"/>
        </c:dLbls>
        <c:marker val="1"/>
        <c:smooth val="0"/>
        <c:axId val="559108944"/>
        <c:axId val="559096944"/>
      </c:lineChart>
      <c:catAx>
        <c:axId val="55910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559096944"/>
        <c:crosses val="autoZero"/>
        <c:auto val="1"/>
        <c:lblAlgn val="ctr"/>
        <c:lblOffset val="100"/>
        <c:noMultiLvlLbl val="0"/>
      </c:catAx>
      <c:valAx>
        <c:axId val="559096944"/>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quot;bn&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559108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23D67"/>
              </a:solidFill>
              <a:ln>
                <a:noFill/>
              </a:ln>
              <a:effectLst/>
            </c:spPr>
            <c:extLst>
              <c:ext xmlns:c16="http://schemas.microsoft.com/office/drawing/2014/chart" uri="{C3380CC4-5D6E-409C-BE32-E72D297353CC}">
                <c16:uniqueId val="{00000001-8F79-4E5D-BB61-F294C27574D2}"/>
              </c:ext>
            </c:extLst>
          </c:dPt>
          <c:dPt>
            <c:idx val="1"/>
            <c:invertIfNegative val="0"/>
            <c:bubble3D val="0"/>
            <c:spPr>
              <a:solidFill>
                <a:srgbClr val="2EB2A5"/>
              </a:solidFill>
              <a:ln>
                <a:noFill/>
              </a:ln>
              <a:effectLst/>
            </c:spPr>
            <c:extLst>
              <c:ext xmlns:c16="http://schemas.microsoft.com/office/drawing/2014/chart" uri="{C3380CC4-5D6E-409C-BE32-E72D297353CC}">
                <c16:uniqueId val="{00000002-8F79-4E5D-BB61-F294C27574D2}"/>
              </c:ext>
            </c:extLst>
          </c:dPt>
          <c:dPt>
            <c:idx val="2"/>
            <c:invertIfNegative val="0"/>
            <c:bubble3D val="0"/>
            <c:spPr>
              <a:solidFill>
                <a:srgbClr val="F97303"/>
              </a:solidFill>
              <a:ln>
                <a:noFill/>
              </a:ln>
              <a:effectLst/>
            </c:spPr>
            <c:extLst>
              <c:ext xmlns:c16="http://schemas.microsoft.com/office/drawing/2014/chart" uri="{C3380CC4-5D6E-409C-BE32-E72D297353CC}">
                <c16:uniqueId val="{00000003-8F79-4E5D-BB61-F294C27574D2}"/>
              </c:ext>
            </c:extLst>
          </c:dPt>
          <c:dPt>
            <c:idx val="3"/>
            <c:invertIfNegative val="0"/>
            <c:bubble3D val="0"/>
            <c:spPr>
              <a:solidFill>
                <a:sysClr val="window" lastClr="FFFFFF"/>
              </a:solidFill>
              <a:ln w="19050">
                <a:solidFill>
                  <a:sysClr val="windowText" lastClr="000000"/>
                </a:solidFill>
                <a:prstDash val="sysDash"/>
              </a:ln>
              <a:effectLst/>
            </c:spPr>
            <c:extLst>
              <c:ext xmlns:c16="http://schemas.microsoft.com/office/drawing/2014/chart" uri="{C3380CC4-5D6E-409C-BE32-E72D297353CC}">
                <c16:uniqueId val="{00000004-8F79-4E5D-BB61-F294C27574D2}"/>
              </c:ext>
            </c:extLst>
          </c:dPt>
          <c:cat>
            <c:strRef>
              <c:f>Charts!$J$559:$J$562</c:f>
              <c:strCache>
                <c:ptCount val="4"/>
                <c:pt idx="0">
                  <c:v>Meta</c:v>
                </c:pt>
                <c:pt idx="1">
                  <c:v>Tencent</c:v>
                </c:pt>
                <c:pt idx="2">
                  <c:v>Kuaishou Technology</c:v>
                </c:pt>
                <c:pt idx="3">
                  <c:v>ByteDance</c:v>
                </c:pt>
              </c:strCache>
            </c:strRef>
          </c:cat>
          <c:val>
            <c:numRef>
              <c:f>Charts!$L$559:$L$562</c:f>
              <c:numCache>
                <c:formatCode>0.0\x</c:formatCode>
                <c:ptCount val="4"/>
                <c:pt idx="0">
                  <c:v>12</c:v>
                </c:pt>
                <c:pt idx="1">
                  <c:v>15.4</c:v>
                </c:pt>
                <c:pt idx="2">
                  <c:v>7.8</c:v>
                </c:pt>
                <c:pt idx="3">
                  <c:v>6.2</c:v>
                </c:pt>
              </c:numCache>
            </c:numRef>
          </c:val>
          <c:extLst>
            <c:ext xmlns:c16="http://schemas.microsoft.com/office/drawing/2014/chart" uri="{C3380CC4-5D6E-409C-BE32-E72D297353CC}">
              <c16:uniqueId val="{00000000-8F79-4E5D-BB61-F294C27574D2}"/>
            </c:ext>
          </c:extLst>
        </c:ser>
        <c:dLbls>
          <c:showLegendKey val="0"/>
          <c:showVal val="0"/>
          <c:showCatName val="0"/>
          <c:showSerName val="0"/>
          <c:showPercent val="0"/>
          <c:showBubbleSize val="0"/>
        </c:dLbls>
        <c:gapWidth val="219"/>
        <c:overlap val="-27"/>
        <c:axId val="557321584"/>
        <c:axId val="557323024"/>
      </c:barChart>
      <c:catAx>
        <c:axId val="55732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557323024"/>
        <c:crosses val="autoZero"/>
        <c:auto val="1"/>
        <c:lblAlgn val="ctr"/>
        <c:lblOffset val="100"/>
        <c:noMultiLvlLbl val="0"/>
      </c:catAx>
      <c:valAx>
        <c:axId val="557323024"/>
        <c:scaling>
          <c:orientation val="minMax"/>
        </c:scaling>
        <c:delete val="0"/>
        <c:axPos val="l"/>
        <c:majorGridlines>
          <c:spPr>
            <a:ln w="9525" cap="flat" cmpd="sng" algn="ctr">
              <a:solidFill>
                <a:schemeClr val="tx1">
                  <a:lumMod val="15000"/>
                  <a:lumOff val="85000"/>
                </a:schemeClr>
              </a:solidFill>
              <a:round/>
            </a:ln>
            <a:effectLst/>
          </c:spPr>
        </c:majorGridlines>
        <c:numFmt formatCode="0.0\x"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557321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Charts!$J$567:$J$568</c:f>
              <c:strCache>
                <c:ptCount val="2"/>
                <c:pt idx="0">
                  <c:v>May '24</c:v>
                </c:pt>
                <c:pt idx="1">
                  <c:v>Oct. '25</c:v>
                </c:pt>
              </c:strCache>
            </c:strRef>
          </c:cat>
          <c:val>
            <c:numRef>
              <c:f>Charts!$L$567:$L$568</c:f>
              <c:numCache>
                <c:formatCode>\$0.0"bn"</c:formatCode>
                <c:ptCount val="2"/>
                <c:pt idx="0">
                  <c:v>5.75</c:v>
                </c:pt>
                <c:pt idx="1">
                  <c:v>8</c:v>
                </c:pt>
              </c:numCache>
            </c:numRef>
          </c:val>
          <c:extLst>
            <c:ext xmlns:c16="http://schemas.microsoft.com/office/drawing/2014/chart" uri="{C3380CC4-5D6E-409C-BE32-E72D297353CC}">
              <c16:uniqueId val="{00000000-6CF4-4CE1-A2FD-D950E873B8B6}"/>
            </c:ext>
          </c:extLst>
        </c:ser>
        <c:ser>
          <c:idx val="1"/>
          <c:order val="1"/>
          <c:spPr>
            <a:solidFill>
              <a:srgbClr val="9D9D9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Charts!$K$567:$K$568</c:f>
              <c:numCache>
                <c:formatCode>\$0.0"bn"</c:formatCode>
                <c:ptCount val="2"/>
                <c:pt idx="0">
                  <c:v>0.8</c:v>
                </c:pt>
                <c:pt idx="1">
                  <c:v>0.8</c:v>
                </c:pt>
              </c:numCache>
            </c:numRef>
          </c:val>
          <c:extLst>
            <c:ext xmlns:c16="http://schemas.microsoft.com/office/drawing/2014/chart" uri="{C3380CC4-5D6E-409C-BE32-E72D297353CC}">
              <c16:uniqueId val="{00000001-6CF4-4CE1-A2FD-D950E873B8B6}"/>
            </c:ext>
          </c:extLst>
        </c:ser>
        <c:dLbls>
          <c:showLegendKey val="0"/>
          <c:showVal val="0"/>
          <c:showCatName val="0"/>
          <c:showSerName val="0"/>
          <c:showPercent val="0"/>
          <c:showBubbleSize val="0"/>
        </c:dLbls>
        <c:gapWidth val="219"/>
        <c:overlap val="-27"/>
        <c:axId val="2119675647"/>
        <c:axId val="1163165583"/>
      </c:barChart>
      <c:catAx>
        <c:axId val="211967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163165583"/>
        <c:crosses val="autoZero"/>
        <c:auto val="1"/>
        <c:lblAlgn val="ctr"/>
        <c:lblOffset val="100"/>
        <c:noMultiLvlLbl val="0"/>
      </c:catAx>
      <c:valAx>
        <c:axId val="1163165583"/>
        <c:scaling>
          <c:orientation val="minMax"/>
          <c:max val="10"/>
        </c:scaling>
        <c:delete val="0"/>
        <c:axPos val="l"/>
        <c:numFmt formatCode="\$0&quot;bn&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211967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2"/>
          <c:tx>
            <c:strRef>
              <c:f>Charts!$J$606</c:f>
              <c:strCache>
                <c:ptCount val="1"/>
                <c:pt idx="0">
                  <c:v>LTV</c:v>
                </c:pt>
              </c:strCache>
            </c:strRef>
          </c:tx>
          <c:spPr>
            <a:solidFill>
              <a:srgbClr val="F97303"/>
            </a:solidFill>
            <a:ln>
              <a:noFill/>
            </a:ln>
            <a:effectLst/>
          </c:spPr>
          <c:invertIfNegative val="0"/>
          <c:dPt>
            <c:idx val="9"/>
            <c:invertIfNegative val="0"/>
            <c:bubble3D val="0"/>
            <c:spPr>
              <a:solidFill>
                <a:schemeClr val="bg1"/>
              </a:solidFill>
              <a:ln>
                <a:solidFill>
                  <a:srgbClr val="F97303"/>
                </a:solidFill>
              </a:ln>
              <a:effectLst/>
            </c:spPr>
            <c:extLst>
              <c:ext xmlns:c16="http://schemas.microsoft.com/office/drawing/2014/chart" uri="{C3380CC4-5D6E-409C-BE32-E72D297353CC}">
                <c16:uniqueId val="{00000008-883A-433E-A09C-DFB13B23C187}"/>
              </c:ext>
            </c:extLst>
          </c:dPt>
          <c:dPt>
            <c:idx val="10"/>
            <c:invertIfNegative val="0"/>
            <c:bubble3D val="0"/>
            <c:spPr>
              <a:solidFill>
                <a:schemeClr val="bg1"/>
              </a:solidFill>
              <a:ln>
                <a:solidFill>
                  <a:srgbClr val="F97303"/>
                </a:solidFill>
              </a:ln>
              <a:effectLst/>
            </c:spPr>
            <c:extLst>
              <c:ext xmlns:c16="http://schemas.microsoft.com/office/drawing/2014/chart" uri="{C3380CC4-5D6E-409C-BE32-E72D297353CC}">
                <c16:uniqueId val="{00000009-883A-433E-A09C-DFB13B23C187}"/>
              </c:ext>
            </c:extLst>
          </c:dPt>
          <c:dPt>
            <c:idx val="11"/>
            <c:invertIfNegative val="0"/>
            <c:bubble3D val="0"/>
            <c:spPr>
              <a:solidFill>
                <a:schemeClr val="bg1"/>
              </a:solidFill>
              <a:ln>
                <a:solidFill>
                  <a:srgbClr val="F97303"/>
                </a:solidFill>
              </a:ln>
              <a:effectLst/>
            </c:spPr>
            <c:extLst>
              <c:ext xmlns:c16="http://schemas.microsoft.com/office/drawing/2014/chart" uri="{C3380CC4-5D6E-409C-BE32-E72D297353CC}">
                <c16:uniqueId val="{0000000A-883A-433E-A09C-DFB13B23C187}"/>
              </c:ext>
            </c:extLst>
          </c:dPt>
          <c:dPt>
            <c:idx val="12"/>
            <c:invertIfNegative val="0"/>
            <c:bubble3D val="0"/>
            <c:spPr>
              <a:solidFill>
                <a:schemeClr val="bg1"/>
              </a:solidFill>
              <a:ln>
                <a:solidFill>
                  <a:srgbClr val="F97303"/>
                </a:solidFill>
              </a:ln>
              <a:effectLst/>
            </c:spPr>
            <c:extLst>
              <c:ext xmlns:c16="http://schemas.microsoft.com/office/drawing/2014/chart" uri="{C3380CC4-5D6E-409C-BE32-E72D297353CC}">
                <c16:uniqueId val="{0000000B-883A-433E-A09C-DFB13B23C187}"/>
              </c:ext>
            </c:extLst>
          </c:dPt>
          <c:dLbls>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83A-433E-A09C-DFB13B23C187}"/>
                </c:ext>
              </c:extLst>
            </c:dLbl>
            <c:dLbl>
              <c:idx val="8"/>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83A-433E-A09C-DFB13B23C187}"/>
                </c:ext>
              </c:extLst>
            </c:dLbl>
            <c:dLbl>
              <c:idx val="1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83A-433E-A09C-DFB13B23C187}"/>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(Charts!$M$598:$N$598,Charts!$P$598:$S$598,Charts!$U$598:$X$598,Charts!$Z$598:$AB$598)</c:f>
              <c:strCache>
                <c:ptCount val="13"/>
                <c:pt idx="0">
                  <c:v>Dec. '23</c:v>
                </c:pt>
                <c:pt idx="1">
                  <c:v>Mar. '24</c:v>
                </c:pt>
                <c:pt idx="2">
                  <c:v>Jun. '24</c:v>
                </c:pt>
                <c:pt idx="3">
                  <c:v>Sep. '24</c:v>
                </c:pt>
                <c:pt idx="4">
                  <c:v>Dec. '24</c:v>
                </c:pt>
                <c:pt idx="5">
                  <c:v>Mar. '25</c:v>
                </c:pt>
                <c:pt idx="6">
                  <c:v>Jun. '25</c:v>
                </c:pt>
                <c:pt idx="7">
                  <c:v>Sep. '25</c:v>
                </c:pt>
                <c:pt idx="8">
                  <c:v>Dec. '25</c:v>
                </c:pt>
                <c:pt idx="9">
                  <c:v>Mar. '26E</c:v>
                </c:pt>
                <c:pt idx="10">
                  <c:v>Jun. '26E</c:v>
                </c:pt>
                <c:pt idx="11">
                  <c:v>Sep. '26E</c:v>
                </c:pt>
                <c:pt idx="12">
                  <c:v>Dec. '26E</c:v>
                </c:pt>
              </c:strCache>
            </c:strRef>
          </c:cat>
          <c:val>
            <c:numRef>
              <c:f>(Charts!$M$606:$N$606,Charts!$P$606:$S$606,Charts!$U$606:$X$606,Charts!$Z$606:$AB$606)</c:f>
              <c:numCache>
                <c:formatCode>0.0%</c:formatCode>
                <c:ptCount val="13"/>
                <c:pt idx="0">
                  <c:v>0.1141804788213628</c:v>
                </c:pt>
                <c:pt idx="1">
                  <c:v>8.4377059986816064E-2</c:v>
                </c:pt>
                <c:pt idx="2">
                  <c:v>7.8149503397804479E-2</c:v>
                </c:pt>
                <c:pt idx="3">
                  <c:v>0.12462281231140612</c:v>
                </c:pt>
                <c:pt idx="4">
                  <c:v>0.12860112860112857</c:v>
                </c:pt>
                <c:pt idx="5">
                  <c:v>0.18074593560726812</c:v>
                </c:pt>
                <c:pt idx="6">
                  <c:v>0.17008196721311478</c:v>
                </c:pt>
                <c:pt idx="7">
                  <c:v>0.16457601605619671</c:v>
                </c:pt>
                <c:pt idx="8">
                  <c:v>0.20625962031811182</c:v>
                </c:pt>
                <c:pt idx="9">
                  <c:v>0.19393652767947336</c:v>
                </c:pt>
                <c:pt idx="10">
                  <c:v>0.19402876268766472</c:v>
                </c:pt>
                <c:pt idx="11">
                  <c:v>0.2240214110404134</c:v>
                </c:pt>
                <c:pt idx="12">
                  <c:v>0.25264093371653451</c:v>
                </c:pt>
              </c:numCache>
            </c:numRef>
          </c:val>
          <c:extLst>
            <c:ext xmlns:c16="http://schemas.microsoft.com/office/drawing/2014/chart" uri="{C3380CC4-5D6E-409C-BE32-E72D297353CC}">
              <c16:uniqueId val="{00000002-883A-433E-A09C-DFB13B23C187}"/>
            </c:ext>
          </c:extLst>
        </c:ser>
        <c:dLbls>
          <c:showLegendKey val="0"/>
          <c:showVal val="0"/>
          <c:showCatName val="0"/>
          <c:showSerName val="0"/>
          <c:showPercent val="0"/>
          <c:showBubbleSize val="0"/>
        </c:dLbls>
        <c:gapWidth val="219"/>
        <c:axId val="1981376463"/>
        <c:axId val="1981382223"/>
      </c:barChart>
      <c:lineChart>
        <c:grouping val="standard"/>
        <c:varyColors val="0"/>
        <c:ser>
          <c:idx val="0"/>
          <c:order val="0"/>
          <c:tx>
            <c:strRef>
              <c:f>Charts!$J$604</c:f>
              <c:strCache>
                <c:ptCount val="1"/>
                <c:pt idx="0">
                  <c:v>Arm % of assets</c:v>
                </c:pt>
              </c:strCache>
            </c:strRef>
          </c:tx>
          <c:spPr>
            <a:ln w="19050" cap="rnd">
              <a:solidFill>
                <a:schemeClr val="accent1"/>
              </a:solidFill>
              <a:round/>
            </a:ln>
            <a:effectLst/>
          </c:spPr>
          <c:marker>
            <c:symbol val="none"/>
          </c:marker>
          <c:dLbls>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83A-433E-A09C-DFB13B23C187}"/>
                </c:ext>
              </c:extLst>
            </c:dLbl>
            <c:dLbl>
              <c:idx val="1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83A-433E-A09C-DFB13B23C187}"/>
                </c:ext>
              </c:extLst>
            </c:dLbl>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(Charts!$M$598:$N$598,Charts!$P$598:$S$598,Charts!$U$598:$X$598,Charts!$Z$598:$AB$598)</c:f>
              <c:strCache>
                <c:ptCount val="13"/>
                <c:pt idx="0">
                  <c:v>Dec. '23</c:v>
                </c:pt>
                <c:pt idx="1">
                  <c:v>Mar. '24</c:v>
                </c:pt>
                <c:pt idx="2">
                  <c:v>Jun. '24</c:v>
                </c:pt>
                <c:pt idx="3">
                  <c:v>Sep. '24</c:v>
                </c:pt>
                <c:pt idx="4">
                  <c:v>Dec. '24</c:v>
                </c:pt>
                <c:pt idx="5">
                  <c:v>Mar. '25</c:v>
                </c:pt>
                <c:pt idx="6">
                  <c:v>Jun. '25</c:v>
                </c:pt>
                <c:pt idx="7">
                  <c:v>Sep. '25</c:v>
                </c:pt>
                <c:pt idx="8">
                  <c:v>Dec. '25</c:v>
                </c:pt>
                <c:pt idx="9">
                  <c:v>Mar. '26E</c:v>
                </c:pt>
                <c:pt idx="10">
                  <c:v>Jun. '26E</c:v>
                </c:pt>
                <c:pt idx="11">
                  <c:v>Sep. '26E</c:v>
                </c:pt>
                <c:pt idx="12">
                  <c:v>Dec. '26E</c:v>
                </c:pt>
              </c:strCache>
            </c:strRef>
          </c:cat>
          <c:val>
            <c:numRef>
              <c:f>(Charts!$M$604:$N$604,Charts!$P$604:$S$604,Charts!$U$604:$X$604,Charts!$Z$604:$AB$604)</c:f>
              <c:numCache>
                <c:formatCode>0.0%</c:formatCode>
                <c:ptCount val="13"/>
                <c:pt idx="0">
                  <c:v>0.37068145631125465</c:v>
                </c:pt>
                <c:pt idx="1">
                  <c:v>0.49288325386737442</c:v>
                </c:pt>
                <c:pt idx="2">
                  <c:v>0.56215789021657081</c:v>
                </c:pt>
                <c:pt idx="3">
                  <c:v>0.5094592440142045</c:v>
                </c:pt>
                <c:pt idx="4">
                  <c:v>0.47634231410117023</c:v>
                </c:pt>
                <c:pt idx="5">
                  <c:v>0.42192764407719252</c:v>
                </c:pt>
                <c:pt idx="6">
                  <c:v>0.50933357887698905</c:v>
                </c:pt>
                <c:pt idx="7">
                  <c:v>0.45667456276022211</c:v>
                </c:pt>
                <c:pt idx="8">
                  <c:v>0.35797604399440325</c:v>
                </c:pt>
                <c:pt idx="9">
                  <c:v>0.39602356657142701</c:v>
                </c:pt>
                <c:pt idx="10">
                  <c:v>0.3642618601647315</c:v>
                </c:pt>
                <c:pt idx="11">
                  <c:v>0.34761207822330081</c:v>
                </c:pt>
                <c:pt idx="12">
                  <c:v>0.33482163669222248</c:v>
                </c:pt>
              </c:numCache>
            </c:numRef>
          </c:val>
          <c:smooth val="0"/>
          <c:extLst>
            <c:ext xmlns:c16="http://schemas.microsoft.com/office/drawing/2014/chart" uri="{C3380CC4-5D6E-409C-BE32-E72D297353CC}">
              <c16:uniqueId val="{00000000-883A-433E-A09C-DFB13B23C187}"/>
            </c:ext>
          </c:extLst>
        </c:ser>
        <c:ser>
          <c:idx val="1"/>
          <c:order val="1"/>
          <c:tx>
            <c:strRef>
              <c:f>Charts!$J$605</c:f>
              <c:strCache>
                <c:ptCount val="1"/>
                <c:pt idx="0">
                  <c:v>OpenAI % of assets</c:v>
                </c:pt>
              </c:strCache>
            </c:strRef>
          </c:tx>
          <c:spPr>
            <a:ln w="19050" cap="rnd">
              <a:solidFill>
                <a:sysClr val="windowText" lastClr="000000"/>
              </a:solidFill>
              <a:round/>
            </a:ln>
            <a:effectLst/>
          </c:spPr>
          <c:marker>
            <c:symbol val="none"/>
          </c:marker>
          <c:dLbls>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3A-433E-A09C-DFB13B23C187}"/>
                </c:ext>
              </c:extLst>
            </c:dLbl>
            <c:dLbl>
              <c:idx val="12"/>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83A-433E-A09C-DFB13B23C187}"/>
                </c:ext>
              </c:extLst>
            </c:dLbl>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(Charts!$M$598:$N$598,Charts!$P$598:$S$598,Charts!$U$598:$X$598,Charts!$Z$598:$AB$598)</c:f>
              <c:strCache>
                <c:ptCount val="13"/>
                <c:pt idx="0">
                  <c:v>Dec. '23</c:v>
                </c:pt>
                <c:pt idx="1">
                  <c:v>Mar. '24</c:v>
                </c:pt>
                <c:pt idx="2">
                  <c:v>Jun. '24</c:v>
                </c:pt>
                <c:pt idx="3">
                  <c:v>Sep. '24</c:v>
                </c:pt>
                <c:pt idx="4">
                  <c:v>Dec. '24</c:v>
                </c:pt>
                <c:pt idx="5">
                  <c:v>Mar. '25</c:v>
                </c:pt>
                <c:pt idx="6">
                  <c:v>Jun. '25</c:v>
                </c:pt>
                <c:pt idx="7">
                  <c:v>Sep. '25</c:v>
                </c:pt>
                <c:pt idx="8">
                  <c:v>Dec. '25</c:v>
                </c:pt>
                <c:pt idx="9">
                  <c:v>Mar. '26E</c:v>
                </c:pt>
                <c:pt idx="10">
                  <c:v>Jun. '26E</c:v>
                </c:pt>
                <c:pt idx="11">
                  <c:v>Sep. '26E</c:v>
                </c:pt>
                <c:pt idx="12">
                  <c:v>Dec. '26E</c:v>
                </c:pt>
              </c:strCache>
            </c:strRef>
          </c:cat>
          <c:val>
            <c:numRef>
              <c:f>(Charts!$M$605:$N$605,Charts!$P$605:$S$605,Charts!$U$605:$X$605,Charts!$Z$605:$AB$605)</c:f>
              <c:numCache>
                <c:formatCode>0.0%</c:formatCode>
                <c:ptCount val="13"/>
                <c:pt idx="0">
                  <c:v>0</c:v>
                </c:pt>
                <c:pt idx="1">
                  <c:v>0</c:v>
                </c:pt>
                <c:pt idx="2">
                  <c:v>0</c:v>
                </c:pt>
                <c:pt idx="3">
                  <c:v>1.9307119388338335E-3</c:v>
                </c:pt>
                <c:pt idx="4">
                  <c:v>2.092969387947635E-3</c:v>
                </c:pt>
                <c:pt idx="5">
                  <c:v>1.4106634942941738E-2</c:v>
                </c:pt>
                <c:pt idx="6">
                  <c:v>3.6853557873181154E-2</c:v>
                </c:pt>
                <c:pt idx="7">
                  <c:v>8.6402990806969671E-2</c:v>
                </c:pt>
                <c:pt idx="8">
                  <c:v>0.19307533338557961</c:v>
                </c:pt>
                <c:pt idx="9">
                  <c:v>0.18349847839055902</c:v>
                </c:pt>
                <c:pt idx="10">
                  <c:v>0.26519500969557247</c:v>
                </c:pt>
                <c:pt idx="11">
                  <c:v>0.28852884587159927</c:v>
                </c:pt>
                <c:pt idx="12">
                  <c:v>0.31206323568441713</c:v>
                </c:pt>
              </c:numCache>
            </c:numRef>
          </c:val>
          <c:smooth val="0"/>
          <c:extLst>
            <c:ext xmlns:c16="http://schemas.microsoft.com/office/drawing/2014/chart" uri="{C3380CC4-5D6E-409C-BE32-E72D297353CC}">
              <c16:uniqueId val="{00000001-883A-433E-A09C-DFB13B23C187}"/>
            </c:ext>
          </c:extLst>
        </c:ser>
        <c:dLbls>
          <c:showLegendKey val="0"/>
          <c:showVal val="0"/>
          <c:showCatName val="0"/>
          <c:showSerName val="0"/>
          <c:showPercent val="0"/>
          <c:showBubbleSize val="0"/>
        </c:dLbls>
        <c:marker val="1"/>
        <c:smooth val="0"/>
        <c:axId val="1981361583"/>
        <c:axId val="1981373583"/>
      </c:lineChart>
      <c:catAx>
        <c:axId val="198136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1981373583"/>
        <c:crosses val="autoZero"/>
        <c:auto val="1"/>
        <c:lblAlgn val="ctr"/>
        <c:lblOffset val="100"/>
        <c:noMultiLvlLbl val="0"/>
      </c:catAx>
      <c:valAx>
        <c:axId val="198137358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981361583"/>
        <c:crosses val="autoZero"/>
        <c:crossBetween val="between"/>
      </c:valAx>
      <c:valAx>
        <c:axId val="1981382223"/>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981376463"/>
        <c:crosses val="max"/>
        <c:crossBetween val="between"/>
      </c:valAx>
      <c:catAx>
        <c:axId val="1981376463"/>
        <c:scaling>
          <c:orientation val="minMax"/>
        </c:scaling>
        <c:delete val="1"/>
        <c:axPos val="b"/>
        <c:numFmt formatCode="General" sourceLinked="1"/>
        <c:majorTickMark val="out"/>
        <c:minorTickMark val="none"/>
        <c:tickLblPos val="nextTo"/>
        <c:crossAx val="19813822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Charts!$J$628</c:f>
              <c:strCache>
                <c:ptCount val="1"/>
                <c:pt idx="0">
                  <c:v>Acquisition cost $bn</c:v>
                </c:pt>
              </c:strCache>
            </c:strRef>
          </c:tx>
          <c:spPr>
            <a:solidFill>
              <a:srgbClr val="F9730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(Charts!$Q$626:$S$626,Charts!$U$626:$X$626,Charts!$Z$626:$AB$626)</c:f>
              <c:strCache>
                <c:ptCount val="10"/>
                <c:pt idx="0">
                  <c:v>Sep. '24</c:v>
                </c:pt>
                <c:pt idx="1">
                  <c:v>Dec. '24</c:v>
                </c:pt>
                <c:pt idx="2">
                  <c:v>Mar. '25</c:v>
                </c:pt>
                <c:pt idx="3">
                  <c:v>Jun. '25</c:v>
                </c:pt>
                <c:pt idx="4">
                  <c:v>Sep. '25</c:v>
                </c:pt>
                <c:pt idx="5">
                  <c:v>Dec. '25</c:v>
                </c:pt>
                <c:pt idx="6">
                  <c:v>Mar. '26E</c:v>
                </c:pt>
                <c:pt idx="7">
                  <c:v>Jun. '26E</c:v>
                </c:pt>
                <c:pt idx="8">
                  <c:v>Sep. '26E</c:v>
                </c:pt>
                <c:pt idx="9">
                  <c:v>Dec. '26E</c:v>
                </c:pt>
              </c:strCache>
            </c:strRef>
          </c:cat>
          <c:val>
            <c:numRef>
              <c:f>(Charts!$Q$628:$S$628,Charts!$U$628:$X$628,Charts!$Z$628:$AB$628)</c:f>
              <c:numCache>
                <c:formatCode>0.0</c:formatCode>
                <c:ptCount val="10"/>
                <c:pt idx="0">
                  <c:v>0.5</c:v>
                </c:pt>
                <c:pt idx="1">
                  <c:v>0.5</c:v>
                </c:pt>
                <c:pt idx="2">
                  <c:v>2.2000000000000002</c:v>
                </c:pt>
                <c:pt idx="3">
                  <c:v>9.6999999999999993</c:v>
                </c:pt>
                <c:pt idx="4">
                  <c:v>12.6</c:v>
                </c:pt>
                <c:pt idx="5">
                  <c:v>34.75</c:v>
                </c:pt>
                <c:pt idx="6">
                  <c:v>34.75</c:v>
                </c:pt>
                <c:pt idx="7">
                  <c:v>44.75</c:v>
                </c:pt>
                <c:pt idx="8">
                  <c:v>54.75</c:v>
                </c:pt>
                <c:pt idx="9">
                  <c:v>64.75</c:v>
                </c:pt>
              </c:numCache>
            </c:numRef>
          </c:val>
          <c:extLst>
            <c:ext xmlns:c16="http://schemas.microsoft.com/office/drawing/2014/chart" uri="{C3380CC4-5D6E-409C-BE32-E72D297353CC}">
              <c16:uniqueId val="{00000001-E0E9-4763-9986-175820E07215}"/>
            </c:ext>
          </c:extLst>
        </c:ser>
        <c:ser>
          <c:idx val="0"/>
          <c:order val="1"/>
          <c:tx>
            <c:strRef>
              <c:f>Charts!$J$627</c:f>
              <c:strCache>
                <c:ptCount val="1"/>
                <c:pt idx="0">
                  <c:v>OpenAI stake value $bn</c:v>
                </c:pt>
              </c:strCache>
            </c:strRef>
          </c:tx>
          <c:spPr>
            <a:solidFill>
              <a:srgbClr val="023D67"/>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2-E0E9-4763-9986-175820E07215}"/>
                </c:ext>
              </c:extLst>
            </c:dLbl>
            <c:dLbl>
              <c:idx val="1"/>
              <c:delete val="1"/>
              <c:extLst>
                <c:ext xmlns:c15="http://schemas.microsoft.com/office/drawing/2012/chart" uri="{CE6537A1-D6FC-4f65-9D91-7224C49458BB}"/>
                <c:ext xmlns:c16="http://schemas.microsoft.com/office/drawing/2014/chart" uri="{C3380CC4-5D6E-409C-BE32-E72D297353CC}">
                  <c16:uniqueId val="{00000003-E0E9-4763-9986-175820E07215}"/>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(Charts!$Q$626:$S$626,Charts!$U$626:$X$626,Charts!$Z$626:$AB$626)</c:f>
              <c:strCache>
                <c:ptCount val="10"/>
                <c:pt idx="0">
                  <c:v>Sep. '24</c:v>
                </c:pt>
                <c:pt idx="1">
                  <c:v>Dec. '24</c:v>
                </c:pt>
                <c:pt idx="2">
                  <c:v>Mar. '25</c:v>
                </c:pt>
                <c:pt idx="3">
                  <c:v>Jun. '25</c:v>
                </c:pt>
                <c:pt idx="4">
                  <c:v>Sep. '25</c:v>
                </c:pt>
                <c:pt idx="5">
                  <c:v>Dec. '25</c:v>
                </c:pt>
                <c:pt idx="6">
                  <c:v>Mar. '26E</c:v>
                </c:pt>
                <c:pt idx="7">
                  <c:v>Jun. '26E</c:v>
                </c:pt>
                <c:pt idx="8">
                  <c:v>Sep. '26E</c:v>
                </c:pt>
                <c:pt idx="9">
                  <c:v>Dec. '26E</c:v>
                </c:pt>
              </c:strCache>
            </c:strRef>
          </c:cat>
          <c:val>
            <c:numRef>
              <c:f>(Charts!$Q$627:$S$627,Charts!$U$627:$X$627,Charts!$Z$627:$AB$627)</c:f>
              <c:numCache>
                <c:formatCode>0.0</c:formatCode>
                <c:ptCount val="10"/>
                <c:pt idx="0">
                  <c:v>0.5</c:v>
                </c:pt>
                <c:pt idx="1">
                  <c:v>0.5</c:v>
                </c:pt>
                <c:pt idx="2">
                  <c:v>3.2929936305732488</c:v>
                </c:pt>
                <c:pt idx="3">
                  <c:v>10.792993630573248</c:v>
                </c:pt>
                <c:pt idx="4">
                  <c:v>24.7</c:v>
                </c:pt>
                <c:pt idx="5">
                  <c:v>54.4</c:v>
                </c:pt>
                <c:pt idx="6">
                  <c:v>54.4</c:v>
                </c:pt>
                <c:pt idx="7">
                  <c:v>85.474999999999994</c:v>
                </c:pt>
                <c:pt idx="8">
                  <c:v>97.45</c:v>
                </c:pt>
                <c:pt idx="9">
                  <c:v>109.425</c:v>
                </c:pt>
              </c:numCache>
            </c:numRef>
          </c:val>
          <c:extLst>
            <c:ext xmlns:c16="http://schemas.microsoft.com/office/drawing/2014/chart" uri="{C3380CC4-5D6E-409C-BE32-E72D297353CC}">
              <c16:uniqueId val="{00000000-E0E9-4763-9986-175820E07215}"/>
            </c:ext>
          </c:extLst>
        </c:ser>
        <c:dLbls>
          <c:showLegendKey val="0"/>
          <c:showVal val="0"/>
          <c:showCatName val="0"/>
          <c:showSerName val="0"/>
          <c:showPercent val="0"/>
          <c:showBubbleSize val="0"/>
        </c:dLbls>
        <c:gapWidth val="225"/>
        <c:overlap val="-80"/>
        <c:axId val="677233919"/>
        <c:axId val="677232959"/>
      </c:barChart>
      <c:catAx>
        <c:axId val="67723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677232959"/>
        <c:crosses val="autoZero"/>
        <c:auto val="1"/>
        <c:lblAlgn val="ctr"/>
        <c:lblOffset val="100"/>
        <c:noMultiLvlLbl val="0"/>
      </c:catAx>
      <c:valAx>
        <c:axId val="67723295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677233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Charts!$J$630</c:f>
              <c:strCache>
                <c:ptCount val="1"/>
                <c:pt idx="0">
                  <c:v>OpenAI PBC existing stake $bn</c:v>
                </c:pt>
              </c:strCache>
            </c:strRef>
          </c:tx>
          <c:spPr>
            <a:solidFill>
              <a:srgbClr val="2EB2A5"/>
            </a:solidFill>
            <a:ln>
              <a:noFill/>
            </a:ln>
            <a:effectLst/>
          </c:spPr>
          <c:invertIfNegative val="0"/>
          <c:dLbls>
            <c:dLbl>
              <c:idx val="0"/>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21-46B1-952B-9F701ECDF6E8}"/>
                </c:ext>
              </c:extLst>
            </c:dLbl>
            <c:dLbl>
              <c:idx val="1"/>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21-46B1-952B-9F701ECDF6E8}"/>
                </c:ext>
              </c:extLst>
            </c:dLbl>
            <c:dLbl>
              <c:idx val="2"/>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C21-46B1-952B-9F701ECDF6E8}"/>
                </c:ext>
              </c:extLst>
            </c:dLbl>
            <c:dLbl>
              <c:idx val="3"/>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C21-46B1-952B-9F701ECDF6E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(Charts!$Q$626:$S$626,Charts!$U$626:$X$626,Charts!$Z$626:$AB$626)</c:f>
              <c:strCache>
                <c:ptCount val="10"/>
                <c:pt idx="0">
                  <c:v>Sep. '24</c:v>
                </c:pt>
                <c:pt idx="1">
                  <c:v>Dec. '24</c:v>
                </c:pt>
                <c:pt idx="2">
                  <c:v>Mar. '25</c:v>
                </c:pt>
                <c:pt idx="3">
                  <c:v>Jun. '25</c:v>
                </c:pt>
                <c:pt idx="4">
                  <c:v>Sep. '25</c:v>
                </c:pt>
                <c:pt idx="5">
                  <c:v>Dec. '25</c:v>
                </c:pt>
                <c:pt idx="6">
                  <c:v>Mar. '26E</c:v>
                </c:pt>
                <c:pt idx="7">
                  <c:v>Jun. '26E</c:v>
                </c:pt>
                <c:pt idx="8">
                  <c:v>Sep. '26E</c:v>
                </c:pt>
                <c:pt idx="9">
                  <c:v>Dec. '26E</c:v>
                </c:pt>
              </c:strCache>
            </c:strRef>
          </c:cat>
          <c:val>
            <c:numRef>
              <c:f>(Charts!$Q$630:$S$630,Charts!$U$630:$X$630,Charts!$Z$630:$AB$630)</c:f>
              <c:numCache>
                <c:formatCode>0.0</c:formatCode>
                <c:ptCount val="10"/>
                <c:pt idx="0">
                  <c:v>0.5</c:v>
                </c:pt>
                <c:pt idx="1">
                  <c:v>0.5</c:v>
                </c:pt>
                <c:pt idx="2">
                  <c:v>3.2929936305732488</c:v>
                </c:pt>
                <c:pt idx="3">
                  <c:v>10.792993630573248</c:v>
                </c:pt>
                <c:pt idx="4">
                  <c:v>24.7</c:v>
                </c:pt>
                <c:pt idx="5">
                  <c:v>54.4</c:v>
                </c:pt>
                <c:pt idx="6">
                  <c:v>54.4</c:v>
                </c:pt>
                <c:pt idx="7">
                  <c:v>75.474999999999994</c:v>
                </c:pt>
                <c:pt idx="8">
                  <c:v>77.45</c:v>
                </c:pt>
                <c:pt idx="9">
                  <c:v>79.424999999999997</c:v>
                </c:pt>
              </c:numCache>
            </c:numRef>
          </c:val>
          <c:extLst>
            <c:ext xmlns:c16="http://schemas.microsoft.com/office/drawing/2014/chart" uri="{C3380CC4-5D6E-409C-BE32-E72D297353CC}">
              <c16:uniqueId val="{00000000-3C21-46B1-952B-9F701ECDF6E8}"/>
            </c:ext>
          </c:extLst>
        </c:ser>
        <c:ser>
          <c:idx val="1"/>
          <c:order val="1"/>
          <c:tx>
            <c:strRef>
              <c:f>Charts!$J$631</c:f>
              <c:strCache>
                <c:ptCount val="1"/>
                <c:pt idx="0">
                  <c:v>est. CY26 tranches $bn</c:v>
                </c:pt>
              </c:strCache>
            </c:strRef>
          </c:tx>
          <c:spPr>
            <a:solidFill>
              <a:srgbClr val="F9730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(Charts!$Q$626:$S$626,Charts!$U$626:$X$626,Charts!$Z$626:$AB$626)</c:f>
              <c:strCache>
                <c:ptCount val="10"/>
                <c:pt idx="0">
                  <c:v>Sep. '24</c:v>
                </c:pt>
                <c:pt idx="1">
                  <c:v>Dec. '24</c:v>
                </c:pt>
                <c:pt idx="2">
                  <c:v>Mar. '25</c:v>
                </c:pt>
                <c:pt idx="3">
                  <c:v>Jun. '25</c:v>
                </c:pt>
                <c:pt idx="4">
                  <c:v>Sep. '25</c:v>
                </c:pt>
                <c:pt idx="5">
                  <c:v>Dec. '25</c:v>
                </c:pt>
                <c:pt idx="6">
                  <c:v>Mar. '26E</c:v>
                </c:pt>
                <c:pt idx="7">
                  <c:v>Jun. '26E</c:v>
                </c:pt>
                <c:pt idx="8">
                  <c:v>Sep. '26E</c:v>
                </c:pt>
                <c:pt idx="9">
                  <c:v>Dec. '26E</c:v>
                </c:pt>
              </c:strCache>
            </c:strRef>
          </c:cat>
          <c:val>
            <c:numRef>
              <c:f>(Charts!$Q$631:$S$631,Charts!$U$631:$X$631,Charts!$Z$631:$AB$631)</c:f>
              <c:numCache>
                <c:formatCode>General</c:formatCode>
                <c:ptCount val="10"/>
                <c:pt idx="7" formatCode="0.0">
                  <c:v>10</c:v>
                </c:pt>
                <c:pt idx="8" formatCode="0.0">
                  <c:v>20</c:v>
                </c:pt>
                <c:pt idx="9" formatCode="0.0">
                  <c:v>30</c:v>
                </c:pt>
              </c:numCache>
            </c:numRef>
          </c:val>
          <c:extLst>
            <c:ext xmlns:c16="http://schemas.microsoft.com/office/drawing/2014/chart" uri="{C3380CC4-5D6E-409C-BE32-E72D297353CC}">
              <c16:uniqueId val="{00000001-3C21-46B1-952B-9F701ECDF6E8}"/>
            </c:ext>
          </c:extLst>
        </c:ser>
        <c:dLbls>
          <c:showLegendKey val="0"/>
          <c:showVal val="0"/>
          <c:showCatName val="0"/>
          <c:showSerName val="0"/>
          <c:showPercent val="0"/>
          <c:showBubbleSize val="0"/>
        </c:dLbls>
        <c:gapWidth val="150"/>
        <c:overlap val="100"/>
        <c:axId val="2138211136"/>
        <c:axId val="2138202496"/>
      </c:barChart>
      <c:catAx>
        <c:axId val="213821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2138202496"/>
        <c:crosses val="autoZero"/>
        <c:auto val="1"/>
        <c:lblAlgn val="ctr"/>
        <c:lblOffset val="100"/>
        <c:noMultiLvlLbl val="0"/>
      </c:catAx>
      <c:valAx>
        <c:axId val="21382024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2138211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Charts!$J$652</c:f>
              <c:strCache>
                <c:ptCount val="1"/>
                <c:pt idx="0">
                  <c:v>Publicly-listed equities $bn</c:v>
                </c:pt>
              </c:strCache>
            </c:strRef>
          </c:tx>
          <c:spPr>
            <a:ln w="19050" cap="rnd">
              <a:solidFill>
                <a:srgbClr val="023D67"/>
              </a:solidFill>
              <a:round/>
            </a:ln>
            <a:effectLst/>
          </c:spPr>
          <c:marker>
            <c:symbol val="none"/>
          </c:marker>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914-41DF-B4C0-C378B3792A86}"/>
                </c:ext>
              </c:extLst>
            </c:dLbl>
            <c:dLbl>
              <c:idx val="1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914-41DF-B4C0-C378B3792A86}"/>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(Charts!$N$651,Charts!$P$651:$S$651,Charts!$U$651:$X$651,Charts!$Z$651:$AB$651)</c:f>
              <c:strCache>
                <c:ptCount val="12"/>
                <c:pt idx="0">
                  <c:v>Mar. '24</c:v>
                </c:pt>
                <c:pt idx="1">
                  <c:v>Jun. '24</c:v>
                </c:pt>
                <c:pt idx="2">
                  <c:v>Sep. '24</c:v>
                </c:pt>
                <c:pt idx="3">
                  <c:v>Dec. '24</c:v>
                </c:pt>
                <c:pt idx="4">
                  <c:v>Mar. '25</c:v>
                </c:pt>
                <c:pt idx="5">
                  <c:v>Jun. '25</c:v>
                </c:pt>
                <c:pt idx="6">
                  <c:v>Sep. '25</c:v>
                </c:pt>
                <c:pt idx="7">
                  <c:v>Dec. '25</c:v>
                </c:pt>
                <c:pt idx="8">
                  <c:v>Mar. '26E</c:v>
                </c:pt>
                <c:pt idx="9">
                  <c:v>Jun. '26E</c:v>
                </c:pt>
                <c:pt idx="10">
                  <c:v>Sep. '26E</c:v>
                </c:pt>
                <c:pt idx="11">
                  <c:v>Dec. '26E</c:v>
                </c:pt>
              </c:strCache>
            </c:strRef>
          </c:cat>
          <c:val>
            <c:numRef>
              <c:f>(Charts!$N$652,Charts!$P$652:$S$652,Charts!$U$652:$X$652,Charts!$Z$652:$AB$652)</c:f>
              <c:numCache>
                <c:formatCode>0.0</c:formatCode>
                <c:ptCount val="12"/>
                <c:pt idx="0">
                  <c:v>175.49645597828768</c:v>
                </c:pt>
                <c:pt idx="1">
                  <c:v>211.46410040135942</c:v>
                </c:pt>
                <c:pt idx="2">
                  <c:v>198.70860519170864</c:v>
                </c:pt>
                <c:pt idx="3">
                  <c:v>180.68187904822094</c:v>
                </c:pt>
                <c:pt idx="4">
                  <c:v>173.02506863925771</c:v>
                </c:pt>
                <c:pt idx="5">
                  <c:v>222.17454681787697</c:v>
                </c:pt>
                <c:pt idx="6">
                  <c:v>200.24921864687985</c:v>
                </c:pt>
                <c:pt idx="7">
                  <c:v>156.45122929096814</c:v>
                </c:pt>
                <c:pt idx="8">
                  <c:v>173.2485930106094</c:v>
                </c:pt>
                <c:pt idx="9">
                  <c:v>169.81335556995379</c:v>
                </c:pt>
                <c:pt idx="10">
                  <c:v>169.84122821385733</c:v>
                </c:pt>
                <c:pt idx="11">
                  <c:v>169.85945367202419</c:v>
                </c:pt>
              </c:numCache>
            </c:numRef>
          </c:val>
          <c:smooth val="0"/>
          <c:extLst>
            <c:ext xmlns:c16="http://schemas.microsoft.com/office/drawing/2014/chart" uri="{C3380CC4-5D6E-409C-BE32-E72D297353CC}">
              <c16:uniqueId val="{00000000-2914-41DF-B4C0-C378B3792A86}"/>
            </c:ext>
          </c:extLst>
        </c:ser>
        <c:ser>
          <c:idx val="1"/>
          <c:order val="1"/>
          <c:tx>
            <c:strRef>
              <c:f>Charts!$J$653</c:f>
              <c:strCache>
                <c:ptCount val="1"/>
                <c:pt idx="0">
                  <c:v>Privately-held assets $bn</c:v>
                </c:pt>
              </c:strCache>
            </c:strRef>
          </c:tx>
          <c:spPr>
            <a:ln w="19050" cap="rnd">
              <a:solidFill>
                <a:srgbClr val="F97303"/>
              </a:solidFill>
              <a:round/>
            </a:ln>
            <a:effectLst/>
          </c:spPr>
          <c:marker>
            <c:symbol val="none"/>
          </c:marker>
          <c:dLbls>
            <c:dLbl>
              <c:idx val="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914-41DF-B4C0-C378B3792A86}"/>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914-41DF-B4C0-C378B3792A86}"/>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(Charts!$N$651,Charts!$P$651:$S$651,Charts!$U$651:$X$651,Charts!$Z$651:$AB$651)</c:f>
              <c:strCache>
                <c:ptCount val="12"/>
                <c:pt idx="0">
                  <c:v>Mar. '24</c:v>
                </c:pt>
                <c:pt idx="1">
                  <c:v>Jun. '24</c:v>
                </c:pt>
                <c:pt idx="2">
                  <c:v>Sep. '24</c:v>
                </c:pt>
                <c:pt idx="3">
                  <c:v>Dec. '24</c:v>
                </c:pt>
                <c:pt idx="4">
                  <c:v>Mar. '25</c:v>
                </c:pt>
                <c:pt idx="5">
                  <c:v>Jun. '25</c:v>
                </c:pt>
                <c:pt idx="6">
                  <c:v>Sep. '25</c:v>
                </c:pt>
                <c:pt idx="7">
                  <c:v>Dec. '25</c:v>
                </c:pt>
                <c:pt idx="8">
                  <c:v>Mar. '26E</c:v>
                </c:pt>
                <c:pt idx="9">
                  <c:v>Jun. '26E</c:v>
                </c:pt>
                <c:pt idx="10">
                  <c:v>Sep. '26E</c:v>
                </c:pt>
                <c:pt idx="11">
                  <c:v>Dec. '26E</c:v>
                </c:pt>
              </c:strCache>
            </c:strRef>
          </c:cat>
          <c:val>
            <c:numRef>
              <c:f>(Charts!$N$653,Charts!$P$653:$S$653,Charts!$U$653:$X$653,Charts!$Z$653:$AB$653)</c:f>
              <c:numCache>
                <c:formatCode>0.0</c:formatCode>
                <c:ptCount val="12"/>
                <c:pt idx="0">
                  <c:v>58.356090088682805</c:v>
                </c:pt>
                <c:pt idx="1">
                  <c:v>57.014163707413161</c:v>
                </c:pt>
                <c:pt idx="2">
                  <c:v>60.263222735146286</c:v>
                </c:pt>
                <c:pt idx="3">
                  <c:v>58.21315825105836</c:v>
                </c:pt>
                <c:pt idx="4">
                  <c:v>60.410732591346886</c:v>
                </c:pt>
                <c:pt idx="5">
                  <c:v>70.68709947726839</c:v>
                </c:pt>
                <c:pt idx="6">
                  <c:v>85.620515367091116</c:v>
                </c:pt>
                <c:pt idx="7">
                  <c:v>125.30407857821936</c:v>
                </c:pt>
                <c:pt idx="8">
                  <c:v>123.21163094947588</c:v>
                </c:pt>
                <c:pt idx="9">
                  <c:v>152.4966309494759</c:v>
                </c:pt>
                <c:pt idx="10">
                  <c:v>167.90663094947593</c:v>
                </c:pt>
                <c:pt idx="11">
                  <c:v>180.79063094947594</c:v>
                </c:pt>
              </c:numCache>
            </c:numRef>
          </c:val>
          <c:smooth val="0"/>
          <c:extLst>
            <c:ext xmlns:c16="http://schemas.microsoft.com/office/drawing/2014/chart" uri="{C3380CC4-5D6E-409C-BE32-E72D297353CC}">
              <c16:uniqueId val="{00000001-2914-41DF-B4C0-C378B3792A86}"/>
            </c:ext>
          </c:extLst>
        </c:ser>
        <c:dLbls>
          <c:showLegendKey val="0"/>
          <c:showVal val="0"/>
          <c:showCatName val="0"/>
          <c:showSerName val="0"/>
          <c:showPercent val="0"/>
          <c:showBubbleSize val="0"/>
        </c:dLbls>
        <c:smooth val="0"/>
        <c:axId val="241626111"/>
        <c:axId val="241626591"/>
      </c:lineChart>
      <c:catAx>
        <c:axId val="24162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241626591"/>
        <c:crosses val="autoZero"/>
        <c:auto val="1"/>
        <c:lblAlgn val="ctr"/>
        <c:lblOffset val="100"/>
        <c:noMultiLvlLbl val="0"/>
      </c:catAx>
      <c:valAx>
        <c:axId val="2416265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241626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Charts!$J$675</c:f>
              <c:strCache>
                <c:ptCount val="1"/>
                <c:pt idx="0">
                  <c:v>Vision Fund 1</c:v>
                </c:pt>
              </c:strCache>
            </c:strRef>
          </c:tx>
          <c:spPr>
            <a:solidFill>
              <a:srgbClr val="2EB2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(Charts!$P$674:$S$674,Charts!$U$674:$X$674,Charts!$Z$674:$AC$674)</c:f>
              <c:strCache>
                <c:ptCount val="12"/>
                <c:pt idx="0">
                  <c:v>1Q24</c:v>
                </c:pt>
                <c:pt idx="1">
                  <c:v>2Q24</c:v>
                </c:pt>
                <c:pt idx="2">
                  <c:v>3Q24</c:v>
                </c:pt>
                <c:pt idx="3">
                  <c:v>4Q24</c:v>
                </c:pt>
                <c:pt idx="4">
                  <c:v>1Q25</c:v>
                </c:pt>
                <c:pt idx="5">
                  <c:v>2Q25</c:v>
                </c:pt>
                <c:pt idx="6">
                  <c:v>3Q25</c:v>
                </c:pt>
                <c:pt idx="7">
                  <c:v>4Q25E</c:v>
                </c:pt>
                <c:pt idx="8">
                  <c:v>1Q26E</c:v>
                </c:pt>
                <c:pt idx="9">
                  <c:v>2Q26E</c:v>
                </c:pt>
                <c:pt idx="10">
                  <c:v>3Q26E</c:v>
                </c:pt>
                <c:pt idx="11">
                  <c:v>4Q26E</c:v>
                </c:pt>
              </c:strCache>
            </c:strRef>
          </c:cat>
          <c:val>
            <c:numRef>
              <c:f>(Charts!$P$675:$S$675,Charts!$U$675:$X$675,Charts!$Z$675:$AC$675)</c:f>
              <c:numCache>
                <c:formatCode>0.0</c:formatCode>
                <c:ptCount val="12"/>
                <c:pt idx="0">
                  <c:v>0.81</c:v>
                </c:pt>
                <c:pt idx="1">
                  <c:v>0.96</c:v>
                </c:pt>
                <c:pt idx="2">
                  <c:v>0.75</c:v>
                </c:pt>
                <c:pt idx="3">
                  <c:v>0.71</c:v>
                </c:pt>
                <c:pt idx="4">
                  <c:v>1.25</c:v>
                </c:pt>
                <c:pt idx="5">
                  <c:v>1.24</c:v>
                </c:pt>
                <c:pt idx="6">
                  <c:v>0.42499999999999999</c:v>
                </c:pt>
                <c:pt idx="7">
                  <c:v>1</c:v>
                </c:pt>
                <c:pt idx="8">
                  <c:v>1.76</c:v>
                </c:pt>
                <c:pt idx="9">
                  <c:v>1.74</c:v>
                </c:pt>
                <c:pt idx="10">
                  <c:v>1.7250000000000001</c:v>
                </c:pt>
                <c:pt idx="11">
                  <c:v>1.7</c:v>
                </c:pt>
              </c:numCache>
            </c:numRef>
          </c:val>
          <c:extLst>
            <c:ext xmlns:c16="http://schemas.microsoft.com/office/drawing/2014/chart" uri="{C3380CC4-5D6E-409C-BE32-E72D297353CC}">
              <c16:uniqueId val="{00000000-69D6-4686-A10A-CAD20111AC8F}"/>
            </c:ext>
          </c:extLst>
        </c:ser>
        <c:ser>
          <c:idx val="1"/>
          <c:order val="1"/>
          <c:tx>
            <c:strRef>
              <c:f>Charts!$J$676</c:f>
              <c:strCache>
                <c:ptCount val="1"/>
                <c:pt idx="0">
                  <c:v>Vision Fund 2</c:v>
                </c:pt>
              </c:strCache>
            </c:strRef>
          </c:tx>
          <c:spPr>
            <a:solidFill>
              <a:srgbClr val="F97303"/>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2-69D6-4686-A10A-CAD20111AC8F}"/>
                </c:ext>
              </c:extLst>
            </c:dLbl>
            <c:dLbl>
              <c:idx val="6"/>
              <c:delete val="1"/>
              <c:extLst>
                <c:ext xmlns:c15="http://schemas.microsoft.com/office/drawing/2012/chart" uri="{CE6537A1-D6FC-4f65-9D91-7224C49458BB}"/>
                <c:ext xmlns:c16="http://schemas.microsoft.com/office/drawing/2014/chart" uri="{C3380CC4-5D6E-409C-BE32-E72D297353CC}">
                  <c16:uniqueId val="{00000003-69D6-4686-A10A-CAD20111AC8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(Charts!$P$674:$S$674,Charts!$U$674:$X$674,Charts!$Z$674:$AC$674)</c:f>
              <c:strCache>
                <c:ptCount val="12"/>
                <c:pt idx="0">
                  <c:v>1Q24</c:v>
                </c:pt>
                <c:pt idx="1">
                  <c:v>2Q24</c:v>
                </c:pt>
                <c:pt idx="2">
                  <c:v>3Q24</c:v>
                </c:pt>
                <c:pt idx="3">
                  <c:v>4Q24</c:v>
                </c:pt>
                <c:pt idx="4">
                  <c:v>1Q25</c:v>
                </c:pt>
                <c:pt idx="5">
                  <c:v>2Q25</c:v>
                </c:pt>
                <c:pt idx="6">
                  <c:v>3Q25</c:v>
                </c:pt>
                <c:pt idx="7">
                  <c:v>4Q25E</c:v>
                </c:pt>
                <c:pt idx="8">
                  <c:v>1Q26E</c:v>
                </c:pt>
                <c:pt idx="9">
                  <c:v>2Q26E</c:v>
                </c:pt>
                <c:pt idx="10">
                  <c:v>3Q26E</c:v>
                </c:pt>
                <c:pt idx="11">
                  <c:v>4Q26E</c:v>
                </c:pt>
              </c:strCache>
            </c:strRef>
          </c:cat>
          <c:val>
            <c:numRef>
              <c:f>(Charts!$P$676:$S$676,Charts!$U$676:$X$676,Charts!$Z$676:$AC$676)</c:f>
              <c:numCache>
                <c:formatCode>0.0</c:formatCode>
                <c:ptCount val="12"/>
                <c:pt idx="0">
                  <c:v>0.03</c:v>
                </c:pt>
                <c:pt idx="1">
                  <c:v>0.05</c:v>
                </c:pt>
                <c:pt idx="2">
                  <c:v>0.38</c:v>
                </c:pt>
                <c:pt idx="3">
                  <c:v>1.66</c:v>
                </c:pt>
                <c:pt idx="4">
                  <c:v>2.1</c:v>
                </c:pt>
                <c:pt idx="5">
                  <c:v>0.24</c:v>
                </c:pt>
                <c:pt idx="6">
                  <c:v>0</c:v>
                </c:pt>
                <c:pt idx="7">
                  <c:v>0.48</c:v>
                </c:pt>
                <c:pt idx="8">
                  <c:v>0.76</c:v>
                </c:pt>
                <c:pt idx="9">
                  <c:v>0.86499999999999999</c:v>
                </c:pt>
                <c:pt idx="10">
                  <c:v>0.97499999999999998</c:v>
                </c:pt>
                <c:pt idx="11">
                  <c:v>1.01</c:v>
                </c:pt>
              </c:numCache>
            </c:numRef>
          </c:val>
          <c:extLst>
            <c:ext xmlns:c16="http://schemas.microsoft.com/office/drawing/2014/chart" uri="{C3380CC4-5D6E-409C-BE32-E72D297353CC}">
              <c16:uniqueId val="{00000001-69D6-4686-A10A-CAD20111AC8F}"/>
            </c:ext>
          </c:extLst>
        </c:ser>
        <c:dLbls>
          <c:showLegendKey val="0"/>
          <c:showVal val="0"/>
          <c:showCatName val="0"/>
          <c:showSerName val="0"/>
          <c:showPercent val="0"/>
          <c:showBubbleSize val="0"/>
        </c:dLbls>
        <c:gapWidth val="150"/>
        <c:overlap val="100"/>
        <c:axId val="273168752"/>
        <c:axId val="273170192"/>
      </c:barChart>
      <c:catAx>
        <c:axId val="27316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273170192"/>
        <c:crosses val="autoZero"/>
        <c:auto val="1"/>
        <c:lblAlgn val="ctr"/>
        <c:lblOffset val="100"/>
        <c:noMultiLvlLbl val="0"/>
      </c:catAx>
      <c:valAx>
        <c:axId val="2731701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273168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Charts!$J$698</c:f>
              <c:strCache>
                <c:ptCount val="1"/>
                <c:pt idx="0">
                  <c:v>SVF2 debt excl. intercompany loan</c:v>
                </c:pt>
              </c:strCache>
            </c:strRef>
          </c:tx>
          <c:spPr>
            <a:solidFill>
              <a:srgbClr val="023D67"/>
            </a:solidFill>
            <a:ln>
              <a:noFill/>
            </a:ln>
            <a:effectLst/>
          </c:spPr>
          <c:invertIfNegative val="0"/>
          <c:dPt>
            <c:idx val="19"/>
            <c:invertIfNegative val="0"/>
            <c:bubble3D val="0"/>
            <c:spPr>
              <a:solidFill>
                <a:schemeClr val="bg1"/>
              </a:solidFill>
              <a:ln>
                <a:solidFill>
                  <a:srgbClr val="023D67"/>
                </a:solidFill>
              </a:ln>
              <a:effectLst/>
            </c:spPr>
            <c:extLst>
              <c:ext xmlns:c16="http://schemas.microsoft.com/office/drawing/2014/chart" uri="{C3380CC4-5D6E-409C-BE32-E72D297353CC}">
                <c16:uniqueId val="{00000002-A059-4B25-977C-7F2502AAD5F5}"/>
              </c:ext>
            </c:extLst>
          </c:dPt>
          <c:dPt>
            <c:idx val="20"/>
            <c:invertIfNegative val="0"/>
            <c:bubble3D val="0"/>
            <c:spPr>
              <a:solidFill>
                <a:schemeClr val="bg1"/>
              </a:solidFill>
              <a:ln>
                <a:solidFill>
                  <a:srgbClr val="023D67"/>
                </a:solidFill>
              </a:ln>
              <a:effectLst/>
            </c:spPr>
            <c:extLst>
              <c:ext xmlns:c16="http://schemas.microsoft.com/office/drawing/2014/chart" uri="{C3380CC4-5D6E-409C-BE32-E72D297353CC}">
                <c16:uniqueId val="{00000003-A059-4B25-977C-7F2502AAD5F5}"/>
              </c:ext>
            </c:extLst>
          </c:dPt>
          <c:dPt>
            <c:idx val="21"/>
            <c:invertIfNegative val="0"/>
            <c:bubble3D val="0"/>
            <c:spPr>
              <a:solidFill>
                <a:schemeClr val="bg1"/>
              </a:solidFill>
              <a:ln>
                <a:solidFill>
                  <a:srgbClr val="023D67"/>
                </a:solidFill>
              </a:ln>
              <a:effectLst/>
            </c:spPr>
            <c:extLst>
              <c:ext xmlns:c16="http://schemas.microsoft.com/office/drawing/2014/chart" uri="{C3380CC4-5D6E-409C-BE32-E72D297353CC}">
                <c16:uniqueId val="{00000004-A059-4B25-977C-7F2502AAD5F5}"/>
              </c:ext>
            </c:extLst>
          </c:dPt>
          <c:dPt>
            <c:idx val="22"/>
            <c:invertIfNegative val="0"/>
            <c:bubble3D val="0"/>
            <c:spPr>
              <a:solidFill>
                <a:schemeClr val="bg1"/>
              </a:solidFill>
              <a:ln>
                <a:solidFill>
                  <a:srgbClr val="023D67"/>
                </a:solidFill>
              </a:ln>
              <a:effectLst/>
            </c:spPr>
            <c:extLst>
              <c:ext xmlns:c16="http://schemas.microsoft.com/office/drawing/2014/chart" uri="{C3380CC4-5D6E-409C-BE32-E72D297353CC}">
                <c16:uniqueId val="{00000005-A059-4B25-977C-7F2502AAD5F5}"/>
              </c:ext>
            </c:extLst>
          </c:dPt>
          <c:dPt>
            <c:idx val="23"/>
            <c:invertIfNegative val="0"/>
            <c:bubble3D val="0"/>
            <c:spPr>
              <a:solidFill>
                <a:schemeClr val="bg1"/>
              </a:solidFill>
              <a:ln>
                <a:solidFill>
                  <a:srgbClr val="023D67"/>
                </a:solidFill>
              </a:ln>
              <a:effectLst/>
            </c:spPr>
            <c:extLst>
              <c:ext xmlns:c16="http://schemas.microsoft.com/office/drawing/2014/chart" uri="{C3380CC4-5D6E-409C-BE32-E72D297353CC}">
                <c16:uniqueId val="{00000006-A059-4B25-977C-7F2502AAD5F5}"/>
              </c:ext>
            </c:extLst>
          </c:dPt>
          <c:cat>
            <c:strRef>
              <c:f>(Charts!$P$696:$S$696,Charts!$U$696:$X$696,Charts!$Z$696:$AC$696,Charts!$AE$696:$AH$696,Charts!$AJ$696:$AM$696,Charts!$AO$696:$AR$696)</c:f>
              <c:strCache>
                <c:ptCount val="24"/>
                <c:pt idx="0">
                  <c:v>1H21</c:v>
                </c:pt>
                <c:pt idx="1">
                  <c:v>1H21</c:v>
                </c:pt>
                <c:pt idx="2">
                  <c:v>2H21</c:v>
                </c:pt>
                <c:pt idx="3">
                  <c:v>2H21</c:v>
                </c:pt>
                <c:pt idx="4">
                  <c:v>1H22</c:v>
                </c:pt>
                <c:pt idx="5">
                  <c:v>1H22</c:v>
                </c:pt>
                <c:pt idx="6">
                  <c:v>2H22</c:v>
                </c:pt>
                <c:pt idx="7">
                  <c:v>2H22</c:v>
                </c:pt>
                <c:pt idx="8">
                  <c:v>1H23</c:v>
                </c:pt>
                <c:pt idx="9">
                  <c:v>1H23</c:v>
                </c:pt>
                <c:pt idx="10">
                  <c:v>2H23</c:v>
                </c:pt>
                <c:pt idx="11">
                  <c:v>2H23</c:v>
                </c:pt>
                <c:pt idx="12">
                  <c:v>1H24</c:v>
                </c:pt>
                <c:pt idx="13">
                  <c:v>1H24</c:v>
                </c:pt>
                <c:pt idx="14">
                  <c:v>2H24</c:v>
                </c:pt>
                <c:pt idx="15">
                  <c:v>2H24</c:v>
                </c:pt>
                <c:pt idx="16">
                  <c:v>1H25</c:v>
                </c:pt>
                <c:pt idx="17">
                  <c:v>1H25</c:v>
                </c:pt>
                <c:pt idx="18">
                  <c:v>2H25E</c:v>
                </c:pt>
                <c:pt idx="19">
                  <c:v>2H25E</c:v>
                </c:pt>
                <c:pt idx="20">
                  <c:v>1H26E</c:v>
                </c:pt>
                <c:pt idx="21">
                  <c:v>1H26E</c:v>
                </c:pt>
                <c:pt idx="22">
                  <c:v>2H26E</c:v>
                </c:pt>
                <c:pt idx="23">
                  <c:v>2H26E</c:v>
                </c:pt>
              </c:strCache>
            </c:strRef>
          </c:cat>
          <c:val>
            <c:numRef>
              <c:f>(Charts!$P$698:$S$698,Charts!$U$698:$X$698,Charts!$Z$698:$AC$698,Charts!$AE$698:$AH$698,Charts!$AJ$698:$AM$698,Charts!$AO$698:$AR$698)</c:f>
              <c:numCache>
                <c:formatCode>0.0</c:formatCode>
                <c:ptCount val="24"/>
                <c:pt idx="0">
                  <c:v>0.8977663230240549</c:v>
                </c:pt>
                <c:pt idx="1">
                  <c:v>1</c:v>
                </c:pt>
                <c:pt idx="2">
                  <c:v>4.6455312119631369</c:v>
                </c:pt>
                <c:pt idx="3">
                  <c:v>5.9771223139145357</c:v>
                </c:pt>
                <c:pt idx="4">
                  <c:v>5.7991805677494872</c:v>
                </c:pt>
                <c:pt idx="5">
                  <c:v>5.7698225260686415</c:v>
                </c:pt>
                <c:pt idx="6">
                  <c:v>5.7657724189902035</c:v>
                </c:pt>
                <c:pt idx="7">
                  <c:v>5.7665243765445968</c:v>
                </c:pt>
                <c:pt idx="8">
                  <c:v>5.7196772191185588</c:v>
                </c:pt>
                <c:pt idx="9">
                  <c:v>3.6249030619066716</c:v>
                </c:pt>
                <c:pt idx="10">
                  <c:v>3.6186772897130361</c:v>
                </c:pt>
                <c:pt idx="11">
                  <c:v>3.6186117165312726</c:v>
                </c:pt>
                <c:pt idx="12">
                  <c:v>3.6186378593158257</c:v>
                </c:pt>
                <c:pt idx="13">
                  <c:v>3.5597421705317736</c:v>
                </c:pt>
                <c:pt idx="14">
                  <c:v>3.415065115690985</c:v>
                </c:pt>
                <c:pt idx="15">
                  <c:v>3.3523608881754949</c:v>
                </c:pt>
                <c:pt idx="16">
                  <c:v>3.1829086389061527</c:v>
                </c:pt>
                <c:pt idx="17">
                  <c:v>4.3463594841483069</c:v>
                </c:pt>
                <c:pt idx="18">
                  <c:v>5.331572560040879</c:v>
                </c:pt>
                <c:pt idx="19">
                  <c:v>5.33</c:v>
                </c:pt>
                <c:pt idx="20">
                  <c:v>6.83</c:v>
                </c:pt>
                <c:pt idx="21">
                  <c:v>8.08</c:v>
                </c:pt>
                <c:pt idx="22">
                  <c:v>9.08</c:v>
                </c:pt>
                <c:pt idx="23">
                  <c:v>10.58</c:v>
                </c:pt>
              </c:numCache>
            </c:numRef>
          </c:val>
          <c:extLst>
            <c:ext xmlns:c16="http://schemas.microsoft.com/office/drawing/2014/chart" uri="{C3380CC4-5D6E-409C-BE32-E72D297353CC}">
              <c16:uniqueId val="{00000000-A059-4B25-977C-7F2502AAD5F5}"/>
            </c:ext>
          </c:extLst>
        </c:ser>
        <c:dLbls>
          <c:showLegendKey val="0"/>
          <c:showVal val="0"/>
          <c:showCatName val="0"/>
          <c:showSerName val="0"/>
          <c:showPercent val="0"/>
          <c:showBubbleSize val="0"/>
        </c:dLbls>
        <c:gapWidth val="219"/>
        <c:axId val="751552176"/>
        <c:axId val="751566096"/>
      </c:barChart>
      <c:lineChart>
        <c:grouping val="standard"/>
        <c:varyColors val="0"/>
        <c:ser>
          <c:idx val="1"/>
          <c:order val="1"/>
          <c:tx>
            <c:strRef>
              <c:f>Charts!$J$699</c:f>
              <c:strCache>
                <c:ptCount val="1"/>
                <c:pt idx="0">
                  <c:v>LTV</c:v>
                </c:pt>
              </c:strCache>
            </c:strRef>
          </c:tx>
          <c:spPr>
            <a:ln w="19050" cap="rnd">
              <a:solidFill>
                <a:srgbClr val="F97303"/>
              </a:solidFill>
              <a:round/>
            </a:ln>
            <a:effectLst/>
          </c:spPr>
          <c:marker>
            <c:symbol val="none"/>
          </c:marker>
          <c:cat>
            <c:strRef>
              <c:f>(Charts!$P$697:$S$697,Charts!$U$697:$X$697,Charts!$Z$697:$AC$697,Charts!$AE$697:$AH$697,Charts!$AJ$697:$AM$697,Charts!$AO$697:$AR$697)</c:f>
              <c:strCache>
                <c:ptCount val="24"/>
                <c:pt idx="0">
                  <c:v>1Q21</c:v>
                </c:pt>
                <c:pt idx="1">
                  <c:v>2Q21</c:v>
                </c:pt>
                <c:pt idx="2">
                  <c:v>3Q21</c:v>
                </c:pt>
                <c:pt idx="3">
                  <c:v>4Q21</c:v>
                </c:pt>
                <c:pt idx="4">
                  <c:v>1Q22</c:v>
                </c:pt>
                <c:pt idx="5">
                  <c:v>2Q22</c:v>
                </c:pt>
                <c:pt idx="6">
                  <c:v>3Q22</c:v>
                </c:pt>
                <c:pt idx="7">
                  <c:v>4Q22</c:v>
                </c:pt>
                <c:pt idx="8">
                  <c:v>1Q23</c:v>
                </c:pt>
                <c:pt idx="9">
                  <c:v>2Q23</c:v>
                </c:pt>
                <c:pt idx="10">
                  <c:v>3Q23</c:v>
                </c:pt>
                <c:pt idx="11">
                  <c:v>4Q23</c:v>
                </c:pt>
                <c:pt idx="12">
                  <c:v>1Q24</c:v>
                </c:pt>
                <c:pt idx="13">
                  <c:v>2Q24</c:v>
                </c:pt>
                <c:pt idx="14">
                  <c:v>3Q24</c:v>
                </c:pt>
                <c:pt idx="15">
                  <c:v>4Q24</c:v>
                </c:pt>
                <c:pt idx="16">
                  <c:v>1Q25</c:v>
                </c:pt>
                <c:pt idx="17">
                  <c:v>2Q25</c:v>
                </c:pt>
                <c:pt idx="18">
                  <c:v>3Q25</c:v>
                </c:pt>
                <c:pt idx="19">
                  <c:v>4Q25E</c:v>
                </c:pt>
                <c:pt idx="20">
                  <c:v>1Q26E</c:v>
                </c:pt>
                <c:pt idx="21">
                  <c:v>2Q26E</c:v>
                </c:pt>
                <c:pt idx="22">
                  <c:v>3Q26E</c:v>
                </c:pt>
                <c:pt idx="23">
                  <c:v>4Q26E</c:v>
                </c:pt>
              </c:strCache>
            </c:strRef>
          </c:cat>
          <c:val>
            <c:numRef>
              <c:f>(Charts!$P$699:$S$699,Charts!$U$699:$X$699,Charts!$Z$699:$AC$699,Charts!$AE$699:$AH$699,Charts!$AJ$699:$AM$699,Charts!$AO$699:$AR$699)</c:f>
              <c:numCache>
                <c:formatCode>0%</c:formatCode>
                <c:ptCount val="24"/>
                <c:pt idx="0">
                  <c:v>3.685522334301472E-2</c:v>
                </c:pt>
                <c:pt idx="1">
                  <c:v>2.6824854212748842E-2</c:v>
                </c:pt>
                <c:pt idx="2">
                  <c:v>9.434019688789054E-2</c:v>
                </c:pt>
                <c:pt idx="3">
                  <c:v>0.12072294768702307</c:v>
                </c:pt>
                <c:pt idx="4">
                  <c:v>0.14275158401625887</c:v>
                </c:pt>
                <c:pt idx="5">
                  <c:v>0.16065069531788551</c:v>
                </c:pt>
                <c:pt idx="6">
                  <c:v>0.16931028960705682</c:v>
                </c:pt>
                <c:pt idx="7">
                  <c:v>0.17697190311237762</c:v>
                </c:pt>
                <c:pt idx="8">
                  <c:v>0.1710636651589133</c:v>
                </c:pt>
                <c:pt idx="9">
                  <c:v>0.12114526335164338</c:v>
                </c:pt>
                <c:pt idx="10">
                  <c:v>0.11523171886885633</c:v>
                </c:pt>
                <c:pt idx="11">
                  <c:v>0.11664761999897316</c:v>
                </c:pt>
                <c:pt idx="12">
                  <c:v>0.12429629600548578</c:v>
                </c:pt>
                <c:pt idx="13">
                  <c:v>0.11703166617243554</c:v>
                </c:pt>
                <c:pt idx="14">
                  <c:v>0.11347301677624548</c:v>
                </c:pt>
                <c:pt idx="15">
                  <c:v>0.10841046903063882</c:v>
                </c:pt>
                <c:pt idx="16">
                  <c:v>8.4364831068951471E-2</c:v>
                </c:pt>
                <c:pt idx="17">
                  <c:v>9.4143488086295815E-2</c:v>
                </c:pt>
                <c:pt idx="18">
                  <c:v>6.3733260532322172E-2</c:v>
                </c:pt>
                <c:pt idx="19">
                  <c:v>6.4393980200447787E-2</c:v>
                </c:pt>
                <c:pt idx="20">
                  <c:v>5.9671163300711698E-2</c:v>
                </c:pt>
                <c:pt idx="21">
                  <c:v>6.3775437738040092E-2</c:v>
                </c:pt>
                <c:pt idx="22">
                  <c:v>6.5523139869128708E-2</c:v>
                </c:pt>
                <c:pt idx="23">
                  <c:v>7.6140566174428381E-2</c:v>
                </c:pt>
              </c:numCache>
            </c:numRef>
          </c:val>
          <c:smooth val="0"/>
          <c:extLst>
            <c:ext xmlns:c16="http://schemas.microsoft.com/office/drawing/2014/chart" uri="{C3380CC4-5D6E-409C-BE32-E72D297353CC}">
              <c16:uniqueId val="{00000001-A059-4B25-977C-7F2502AAD5F5}"/>
            </c:ext>
          </c:extLst>
        </c:ser>
        <c:dLbls>
          <c:showLegendKey val="0"/>
          <c:showVal val="0"/>
          <c:showCatName val="0"/>
          <c:showSerName val="0"/>
          <c:showPercent val="0"/>
          <c:showBubbleSize val="0"/>
        </c:dLbls>
        <c:marker val="1"/>
        <c:smooth val="0"/>
        <c:axId val="751567536"/>
        <c:axId val="751568976"/>
      </c:lineChart>
      <c:catAx>
        <c:axId val="75155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751566096"/>
        <c:crosses val="autoZero"/>
        <c:auto val="1"/>
        <c:lblAlgn val="ctr"/>
        <c:lblOffset val="100"/>
        <c:noMultiLvlLbl val="0"/>
      </c:catAx>
      <c:valAx>
        <c:axId val="7515660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751552176"/>
        <c:crosses val="autoZero"/>
        <c:crossBetween val="between"/>
      </c:valAx>
      <c:valAx>
        <c:axId val="75156897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751567536"/>
        <c:crosses val="max"/>
        <c:crossBetween val="between"/>
      </c:valAx>
      <c:catAx>
        <c:axId val="751567536"/>
        <c:scaling>
          <c:orientation val="minMax"/>
        </c:scaling>
        <c:delete val="1"/>
        <c:axPos val="b"/>
        <c:numFmt formatCode="General" sourceLinked="1"/>
        <c:majorTickMark val="out"/>
        <c:minorTickMark val="none"/>
        <c:tickLblPos val="nextTo"/>
        <c:crossAx val="7515689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FP!$H$22</c:f>
              <c:strCache>
                <c:ptCount val="1"/>
                <c:pt idx="0">
                  <c:v>NAV/share ¥</c:v>
                </c:pt>
              </c:strCache>
            </c:strRef>
          </c:tx>
          <c:spPr>
            <a:solidFill>
              <a:srgbClr val="2EB2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FP!$G$33:$G$38</c:f>
              <c:strCache>
                <c:ptCount val="6"/>
                <c:pt idx="0">
                  <c:v>F3Q25</c:v>
                </c:pt>
                <c:pt idx="1">
                  <c:v>F4Q25E</c:v>
                </c:pt>
                <c:pt idx="2">
                  <c:v>F1Q26E</c:v>
                </c:pt>
                <c:pt idx="3">
                  <c:v>F2Q26E</c:v>
                </c:pt>
                <c:pt idx="4">
                  <c:v>F3Q26E</c:v>
                </c:pt>
                <c:pt idx="5">
                  <c:v>F4Q26E</c:v>
                </c:pt>
              </c:strCache>
            </c:strRef>
          </c:cat>
          <c:val>
            <c:numRef>
              <c:f>FP!$H$33:$H$38</c:f>
              <c:numCache>
                <c:formatCode>_-* #,##0_-;\-* #,##0_-;_-* "-"??_-;_-@_-</c:formatCode>
                <c:ptCount val="6"/>
                <c:pt idx="0">
                  <c:v>5420</c:v>
                </c:pt>
                <c:pt idx="1">
                  <c:v>5770</c:v>
                </c:pt>
                <c:pt idx="2">
                  <c:v>6290</c:v>
                </c:pt>
                <c:pt idx="3">
                  <c:v>6280</c:v>
                </c:pt>
                <c:pt idx="4">
                  <c:v>6220</c:v>
                </c:pt>
                <c:pt idx="5">
                  <c:v>6130</c:v>
                </c:pt>
              </c:numCache>
            </c:numRef>
          </c:val>
          <c:extLst>
            <c:ext xmlns:c16="http://schemas.microsoft.com/office/drawing/2014/chart" uri="{C3380CC4-5D6E-409C-BE32-E72D297353CC}">
              <c16:uniqueId val="{00000000-F86B-4041-9CAD-F8C6924E3D2C}"/>
            </c:ext>
          </c:extLst>
        </c:ser>
        <c:dLbls>
          <c:showLegendKey val="0"/>
          <c:showVal val="0"/>
          <c:showCatName val="0"/>
          <c:showSerName val="0"/>
          <c:showPercent val="0"/>
          <c:showBubbleSize val="0"/>
        </c:dLbls>
        <c:gapWidth val="175"/>
        <c:overlap val="-50"/>
        <c:axId val="227004288"/>
        <c:axId val="227000928"/>
      </c:barChart>
      <c:lineChart>
        <c:grouping val="standard"/>
        <c:varyColors val="0"/>
        <c:ser>
          <c:idx val="1"/>
          <c:order val="1"/>
          <c:tx>
            <c:strRef>
              <c:f>FP!$I$22</c:f>
              <c:strCache>
                <c:ptCount val="1"/>
                <c:pt idx="0">
                  <c:v>% discount to NAV</c:v>
                </c:pt>
              </c:strCache>
            </c:strRef>
          </c:tx>
          <c:spPr>
            <a:ln w="22225" cap="rnd">
              <a:solidFill>
                <a:srgbClr val="023D67"/>
              </a:solidFill>
              <a:round/>
            </a:ln>
            <a:effectLst/>
          </c:spPr>
          <c:marker>
            <c:symbol val="square"/>
            <c:size val="5"/>
            <c:spPr>
              <a:solidFill>
                <a:srgbClr val="023D67"/>
              </a:solidFill>
              <a:ln w="9525">
                <a:solidFill>
                  <a:srgbClr val="023D67"/>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FP!$G$33:$G$38</c:f>
              <c:strCache>
                <c:ptCount val="6"/>
                <c:pt idx="0">
                  <c:v>F3Q25</c:v>
                </c:pt>
                <c:pt idx="1">
                  <c:v>F4Q25E</c:v>
                </c:pt>
                <c:pt idx="2">
                  <c:v>F1Q26E</c:v>
                </c:pt>
                <c:pt idx="3">
                  <c:v>F2Q26E</c:v>
                </c:pt>
                <c:pt idx="4">
                  <c:v>F3Q26E</c:v>
                </c:pt>
                <c:pt idx="5">
                  <c:v>F4Q26E</c:v>
                </c:pt>
              </c:strCache>
            </c:strRef>
          </c:cat>
          <c:val>
            <c:numRef>
              <c:f>FP!$I$33:$I$38</c:f>
              <c:numCache>
                <c:formatCode>0.0%</c:formatCode>
                <c:ptCount val="6"/>
                <c:pt idx="0">
                  <c:v>0.25350553505535056</c:v>
                </c:pt>
                <c:pt idx="1">
                  <c:v>0.29878682842287696</c:v>
                </c:pt>
                <c:pt idx="2">
                  <c:v>0.35675675675675678</c:v>
                </c:pt>
                <c:pt idx="3">
                  <c:v>0.3557324840764331</c:v>
                </c:pt>
                <c:pt idx="4">
                  <c:v>0.34951768488745982</c:v>
                </c:pt>
                <c:pt idx="5">
                  <c:v>0.33996737357259377</c:v>
                </c:pt>
              </c:numCache>
            </c:numRef>
          </c:val>
          <c:smooth val="0"/>
          <c:extLst>
            <c:ext xmlns:c16="http://schemas.microsoft.com/office/drawing/2014/chart" uri="{C3380CC4-5D6E-409C-BE32-E72D297353CC}">
              <c16:uniqueId val="{00000001-F86B-4041-9CAD-F8C6924E3D2C}"/>
            </c:ext>
          </c:extLst>
        </c:ser>
        <c:dLbls>
          <c:showLegendKey val="0"/>
          <c:showVal val="0"/>
          <c:showCatName val="0"/>
          <c:showSerName val="0"/>
          <c:showPercent val="0"/>
          <c:showBubbleSize val="0"/>
        </c:dLbls>
        <c:marker val="1"/>
        <c:smooth val="0"/>
        <c:axId val="226997088"/>
        <c:axId val="226996128"/>
      </c:lineChart>
      <c:catAx>
        <c:axId val="22700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227000928"/>
        <c:crosses val="autoZero"/>
        <c:auto val="1"/>
        <c:lblAlgn val="ctr"/>
        <c:lblOffset val="100"/>
        <c:noMultiLvlLbl val="0"/>
      </c:catAx>
      <c:valAx>
        <c:axId val="227000928"/>
        <c:scaling>
          <c:orientation val="minMax"/>
          <c:min val="3500"/>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227004288"/>
        <c:crosses val="autoZero"/>
        <c:crossBetween val="between"/>
      </c:valAx>
      <c:valAx>
        <c:axId val="226996128"/>
        <c:scaling>
          <c:orientation val="minMax"/>
          <c:max val="0.60000000000000009"/>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226997088"/>
        <c:crosses val="max"/>
        <c:crossBetween val="between"/>
      </c:valAx>
      <c:catAx>
        <c:axId val="226997088"/>
        <c:scaling>
          <c:orientation val="minMax"/>
        </c:scaling>
        <c:delete val="1"/>
        <c:axPos val="b"/>
        <c:numFmt formatCode="General" sourceLinked="1"/>
        <c:majorTickMark val="out"/>
        <c:minorTickMark val="none"/>
        <c:tickLblPos val="nextTo"/>
        <c:crossAx val="2269961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rgbClr val="F97303"/>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1-9706-49B8-A749-DD68C79B9604}"/>
                </c:ext>
              </c:extLst>
            </c:dLbl>
            <c:dLbl>
              <c:idx val="1"/>
              <c:delete val="1"/>
              <c:extLst>
                <c:ext xmlns:c15="http://schemas.microsoft.com/office/drawing/2012/chart" uri="{CE6537A1-D6FC-4f65-9D91-7224C49458BB}"/>
                <c:ext xmlns:c16="http://schemas.microsoft.com/office/drawing/2014/chart" uri="{C3380CC4-5D6E-409C-BE32-E72D297353CC}">
                  <c16:uniqueId val="{00000002-9706-49B8-A749-DD68C79B9604}"/>
                </c:ext>
              </c:extLst>
            </c:dLbl>
            <c:dLbl>
              <c:idx val="3"/>
              <c:delete val="1"/>
              <c:extLst>
                <c:ext xmlns:c15="http://schemas.microsoft.com/office/drawing/2012/chart" uri="{CE6537A1-D6FC-4f65-9D91-7224C49458BB}"/>
                <c:ext xmlns:c16="http://schemas.microsoft.com/office/drawing/2014/chart" uri="{C3380CC4-5D6E-409C-BE32-E72D297353CC}">
                  <c16:uniqueId val="{00000004-9706-49B8-A749-DD68C79B9604}"/>
                </c:ext>
              </c:extLst>
            </c:dLbl>
            <c:dLbl>
              <c:idx val="4"/>
              <c:delete val="1"/>
              <c:extLst>
                <c:ext xmlns:c15="http://schemas.microsoft.com/office/drawing/2012/chart" uri="{CE6537A1-D6FC-4f65-9D91-7224C49458BB}"/>
                <c:ext xmlns:c16="http://schemas.microsoft.com/office/drawing/2014/chart" uri="{C3380CC4-5D6E-409C-BE32-E72D297353CC}">
                  <c16:uniqueId val="{00000005-9706-49B8-A749-DD68C79B9604}"/>
                </c:ext>
              </c:extLst>
            </c:dLbl>
            <c:dLbl>
              <c:idx val="5"/>
              <c:delete val="1"/>
              <c:extLst>
                <c:ext xmlns:c15="http://schemas.microsoft.com/office/drawing/2012/chart" uri="{CE6537A1-D6FC-4f65-9D91-7224C49458BB}"/>
                <c:ext xmlns:c16="http://schemas.microsoft.com/office/drawing/2014/chart" uri="{C3380CC4-5D6E-409C-BE32-E72D297353CC}">
                  <c16:uniqueId val="{00000006-9706-49B8-A749-DD68C79B9604}"/>
                </c:ext>
              </c:extLst>
            </c:dLbl>
            <c:dLbl>
              <c:idx val="6"/>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706-49B8-A749-DD68C79B9604}"/>
                </c:ext>
              </c:extLst>
            </c:dLbl>
            <c:dLbl>
              <c:idx val="7"/>
              <c:delete val="1"/>
              <c:extLst>
                <c:ext xmlns:c15="http://schemas.microsoft.com/office/drawing/2012/chart" uri="{CE6537A1-D6FC-4f65-9D91-7224C49458BB}"/>
                <c:ext xmlns:c16="http://schemas.microsoft.com/office/drawing/2014/chart" uri="{C3380CC4-5D6E-409C-BE32-E72D297353CC}">
                  <c16:uniqueId val="{00000008-9706-49B8-A749-DD68C79B9604}"/>
                </c:ext>
              </c:extLst>
            </c:dLbl>
            <c:dLbl>
              <c:idx val="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706-49B8-A749-DD68C79B9604}"/>
                </c:ext>
              </c:extLst>
            </c:dLbl>
            <c:dLbl>
              <c:idx val="10"/>
              <c:delete val="1"/>
              <c:extLst>
                <c:ext xmlns:c15="http://schemas.microsoft.com/office/drawing/2012/chart" uri="{CE6537A1-D6FC-4f65-9D91-7224C49458BB}"/>
                <c:ext xmlns:c16="http://schemas.microsoft.com/office/drawing/2014/chart" uri="{C3380CC4-5D6E-409C-BE32-E72D297353CC}">
                  <c16:uniqueId val="{0000000B-9706-49B8-A749-DD68C79B9604}"/>
                </c:ext>
              </c:extLst>
            </c:dLbl>
            <c:dLbl>
              <c:idx val="11"/>
              <c:delete val="1"/>
              <c:extLst>
                <c:ext xmlns:c15="http://schemas.microsoft.com/office/drawing/2012/chart" uri="{CE6537A1-D6FC-4f65-9D91-7224C49458BB}"/>
                <c:ext xmlns:c16="http://schemas.microsoft.com/office/drawing/2014/chart" uri="{C3380CC4-5D6E-409C-BE32-E72D297353CC}">
                  <c16:uniqueId val="{0000000C-9706-49B8-A749-DD68C79B9604}"/>
                </c:ext>
              </c:extLst>
            </c:dLbl>
            <c:dLbl>
              <c:idx val="13"/>
              <c:delete val="1"/>
              <c:extLst>
                <c:ext xmlns:c15="http://schemas.microsoft.com/office/drawing/2012/chart" uri="{CE6537A1-D6FC-4f65-9D91-7224C49458BB}"/>
                <c:ext xmlns:c16="http://schemas.microsoft.com/office/drawing/2014/chart" uri="{C3380CC4-5D6E-409C-BE32-E72D297353CC}">
                  <c16:uniqueId val="{0000000D-9706-49B8-A749-DD68C79B9604}"/>
                </c:ext>
              </c:extLst>
            </c:dLbl>
            <c:dLbl>
              <c:idx val="14"/>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706-49B8-A749-DD68C79B9604}"/>
                </c:ext>
              </c:extLst>
            </c:dLbl>
            <c:dLbl>
              <c:idx val="15"/>
              <c:delete val="1"/>
              <c:extLst>
                <c:ext xmlns:c15="http://schemas.microsoft.com/office/drawing/2012/chart" uri="{CE6537A1-D6FC-4f65-9D91-7224C49458BB}"/>
                <c:ext xmlns:c16="http://schemas.microsoft.com/office/drawing/2014/chart" uri="{C3380CC4-5D6E-409C-BE32-E72D297353CC}">
                  <c16:uniqueId val="{0000000E-9706-49B8-A749-DD68C79B9604}"/>
                </c:ext>
              </c:extLst>
            </c:dLbl>
            <c:dLbl>
              <c:idx val="17"/>
              <c:delete val="1"/>
              <c:extLst>
                <c:ext xmlns:c15="http://schemas.microsoft.com/office/drawing/2012/chart" uri="{CE6537A1-D6FC-4f65-9D91-7224C49458BB}"/>
                <c:ext xmlns:c16="http://schemas.microsoft.com/office/drawing/2014/chart" uri="{C3380CC4-5D6E-409C-BE32-E72D297353CC}">
                  <c16:uniqueId val="{0000000F-9706-49B8-A749-DD68C79B9604}"/>
                </c:ext>
              </c:extLst>
            </c:dLbl>
            <c:dLbl>
              <c:idx val="18"/>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9706-49B8-A749-DD68C79B9604}"/>
                </c:ext>
              </c:extLst>
            </c:dLbl>
            <c:dLbl>
              <c:idx val="19"/>
              <c:delete val="1"/>
              <c:extLst>
                <c:ext xmlns:c15="http://schemas.microsoft.com/office/drawing/2012/chart" uri="{CE6537A1-D6FC-4f65-9D91-7224C49458BB}"/>
                <c:ext xmlns:c16="http://schemas.microsoft.com/office/drawing/2014/chart" uri="{C3380CC4-5D6E-409C-BE32-E72D297353CC}">
                  <c16:uniqueId val="{00000010-9706-49B8-A749-DD68C79B9604}"/>
                </c:ext>
              </c:extLst>
            </c:dLbl>
            <c:dLbl>
              <c:idx val="21"/>
              <c:delete val="1"/>
              <c:extLst>
                <c:ext xmlns:c15="http://schemas.microsoft.com/office/drawing/2012/chart" uri="{CE6537A1-D6FC-4f65-9D91-7224C49458BB}"/>
                <c:ext xmlns:c16="http://schemas.microsoft.com/office/drawing/2014/chart" uri="{C3380CC4-5D6E-409C-BE32-E72D297353CC}">
                  <c16:uniqueId val="{00000011-9706-49B8-A749-DD68C79B9604}"/>
                </c:ext>
              </c:extLst>
            </c:dLbl>
            <c:dLbl>
              <c:idx val="22"/>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9706-49B8-A749-DD68C79B9604}"/>
                </c:ext>
              </c:extLst>
            </c:dLbl>
            <c:dLbl>
              <c:idx val="24"/>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FA6-4028-B3B1-CE9D5F55712C}"/>
                </c:ext>
              </c:extLst>
            </c:dLbl>
            <c:dLbl>
              <c:idx val="26"/>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167-4510-B7F7-2641A53C720D}"/>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&amp; SBG NAV'!$AE$1:$AF$1,'Valuation &amp; SBG NAV'!$AH$1:$AK$1,'Valuation &amp; SBG NAV'!$AM$1:$AP$1,'Valuation &amp; SBG NAV'!$AR$1:$AU$1,'Valuation &amp; SBG NAV'!$AW$1:$AZ$1,'Valuation &amp; SBG NAV'!$BB$1:$BE$1,'Valuation &amp; SBG NAV'!$BG$1:$BJ$1,'Valuation &amp; SBG NAV'!$BL$1:$BM$1)</c:f>
              <c:strCache>
                <c:ptCount val="28"/>
                <c:pt idx="0">
                  <c:v>3Q18</c:v>
                </c:pt>
                <c:pt idx="1">
                  <c:v>4Q18</c:v>
                </c:pt>
                <c:pt idx="2">
                  <c:v>1Q19</c:v>
                </c:pt>
                <c:pt idx="3">
                  <c:v>2Q19</c:v>
                </c:pt>
                <c:pt idx="4">
                  <c:v>3Q19</c:v>
                </c:pt>
                <c:pt idx="5">
                  <c:v>4Q19</c:v>
                </c:pt>
                <c:pt idx="6">
                  <c:v>1Q20</c:v>
                </c:pt>
                <c:pt idx="7">
                  <c:v>2Q20</c:v>
                </c:pt>
                <c:pt idx="8">
                  <c:v>3Q20</c:v>
                </c:pt>
                <c:pt idx="9">
                  <c:v>4Q20</c:v>
                </c:pt>
                <c:pt idx="10">
                  <c:v>1Q21</c:v>
                </c:pt>
                <c:pt idx="11">
                  <c:v>2Q21</c:v>
                </c:pt>
                <c:pt idx="12">
                  <c:v>3Q21</c:v>
                </c:pt>
                <c:pt idx="13">
                  <c:v>4Q21</c:v>
                </c:pt>
                <c:pt idx="14">
                  <c:v>1Q22</c:v>
                </c:pt>
                <c:pt idx="15">
                  <c:v>2Q22</c:v>
                </c:pt>
                <c:pt idx="16">
                  <c:v>3Q22</c:v>
                </c:pt>
                <c:pt idx="17">
                  <c:v>4Q22</c:v>
                </c:pt>
                <c:pt idx="18">
                  <c:v>1Q23</c:v>
                </c:pt>
                <c:pt idx="19">
                  <c:v>2Q23</c:v>
                </c:pt>
                <c:pt idx="20">
                  <c:v>3Q23</c:v>
                </c:pt>
                <c:pt idx="21">
                  <c:v>4Q23</c:v>
                </c:pt>
                <c:pt idx="22">
                  <c:v>1Q24</c:v>
                </c:pt>
                <c:pt idx="23">
                  <c:v>2Q24</c:v>
                </c:pt>
                <c:pt idx="24">
                  <c:v>3Q24</c:v>
                </c:pt>
                <c:pt idx="25">
                  <c:v>4Q24</c:v>
                </c:pt>
                <c:pt idx="26">
                  <c:v>1Q25</c:v>
                </c:pt>
                <c:pt idx="27">
                  <c:v>2Q25</c:v>
                </c:pt>
              </c:strCache>
            </c:strRef>
          </c:cat>
          <c:val>
            <c:numRef>
              <c:f>('Valuation &amp; SBG NAV'!$AE$37:$AF$37,'Valuation &amp; SBG NAV'!$AH$37:$AK$37,'Valuation &amp; SBG NAV'!$AM$37:$AP$37,'Valuation &amp; SBG NAV'!$AR$37:$AU$37,'Valuation &amp; SBG NAV'!$AW$37:$AZ$37,'Valuation &amp; SBG NAV'!$BB$37:$BE$37,'Valuation &amp; SBG NAV'!$BG$37:$BJ$37,'Valuation &amp; SBG NAV'!$BL$37)</c:f>
              <c:numCache>
                <c:formatCode>0.0%</c:formatCode>
                <c:ptCount val="27"/>
                <c:pt idx="0">
                  <c:v>0.14257581725088622</c:v>
                </c:pt>
                <c:pt idx="1">
                  <c:v>0.16269695859289118</c:v>
                </c:pt>
                <c:pt idx="2">
                  <c:v>0.18955512572533842</c:v>
                </c:pt>
                <c:pt idx="3">
                  <c:v>0.16821388785740807</c:v>
                </c:pt>
                <c:pt idx="4">
                  <c:v>0.16075016744809109</c:v>
                </c:pt>
                <c:pt idx="5">
                  <c:v>0.14183835182250393</c:v>
                </c:pt>
                <c:pt idx="6">
                  <c:v>8.7359098228663432E-2</c:v>
                </c:pt>
                <c:pt idx="7">
                  <c:v>0.11544560735807168</c:v>
                </c:pt>
                <c:pt idx="8">
                  <c:v>0.14346742613029548</c:v>
                </c:pt>
                <c:pt idx="9">
                  <c:v>0.12203947368421049</c:v>
                </c:pt>
                <c:pt idx="10">
                  <c:v>0.15914045468701332</c:v>
                </c:pt>
                <c:pt idx="11">
                  <c:v>0.18715953307392996</c:v>
                </c:pt>
                <c:pt idx="12">
                  <c:v>0.21564653425212812</c:v>
                </c:pt>
                <c:pt idx="13">
                  <c:v>0.20362381363244189</c:v>
                </c:pt>
                <c:pt idx="14">
                  <c:v>0.14542936288088651</c:v>
                </c:pt>
                <c:pt idx="15">
                  <c:v>0.15033011681056371</c:v>
                </c:pt>
                <c:pt idx="16">
                  <c:v>0.18192557590076783</c:v>
                </c:pt>
                <c:pt idx="17">
                  <c:v>0.11027095148078139</c:v>
                </c:pt>
                <c:pt idx="18">
                  <c:v>7.9881656804733719E-2</c:v>
                </c:pt>
                <c:pt idx="19">
                  <c:v>0.10620915032679745</c:v>
                </c:pt>
                <c:pt idx="20">
                  <c:v>0.11418047882136279</c:v>
                </c:pt>
                <c:pt idx="21">
                  <c:v>8.4377059986816133E-2</c:v>
                </c:pt>
                <c:pt idx="22">
                  <c:v>7.8149503397804479E-2</c:v>
                </c:pt>
                <c:pt idx="23">
                  <c:v>0.12462281231140615</c:v>
                </c:pt>
                <c:pt idx="24">
                  <c:v>0.1286011286011286</c:v>
                </c:pt>
                <c:pt idx="25">
                  <c:v>0.18074593560726809</c:v>
                </c:pt>
                <c:pt idx="26">
                  <c:v>0.17008196721311478</c:v>
                </c:pt>
              </c:numCache>
            </c:numRef>
          </c:val>
          <c:smooth val="0"/>
          <c:extLst>
            <c:ext xmlns:c16="http://schemas.microsoft.com/office/drawing/2014/chart" uri="{C3380CC4-5D6E-409C-BE32-E72D297353CC}">
              <c16:uniqueId val="{00000000-9706-49B8-A749-DD68C79B9604}"/>
            </c:ext>
          </c:extLst>
        </c:ser>
        <c:dLbls>
          <c:showLegendKey val="0"/>
          <c:showVal val="0"/>
          <c:showCatName val="0"/>
          <c:showSerName val="0"/>
          <c:showPercent val="0"/>
          <c:showBubbleSize val="0"/>
        </c:dLbls>
        <c:smooth val="0"/>
        <c:axId val="132151503"/>
        <c:axId val="132122223"/>
      </c:lineChart>
      <c:catAx>
        <c:axId val="13215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132122223"/>
        <c:crosses val="autoZero"/>
        <c:auto val="1"/>
        <c:lblAlgn val="ctr"/>
        <c:lblOffset val="100"/>
        <c:noMultiLvlLbl val="0"/>
      </c:catAx>
      <c:valAx>
        <c:axId val="13212222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3215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Pre-Covid = FY18</c:v>
          </c:tx>
          <c:spPr>
            <a:solidFill>
              <a:schemeClr val="bg1"/>
            </a:solidFill>
            <a:ln w="19050">
              <a:solidFill>
                <a:srgbClr val="F97303"/>
              </a:solidFill>
              <a:prstDash val="sysDash"/>
            </a:ln>
            <a:effectLst/>
          </c:spPr>
          <c:invertIfNegative val="0"/>
          <c:dLbls>
            <c:dLbl>
              <c:idx val="4"/>
              <c:delete val="1"/>
              <c:extLst>
                <c:ext xmlns:c15="http://schemas.microsoft.com/office/drawing/2012/chart" uri="{CE6537A1-D6FC-4f65-9D91-7224C49458BB}"/>
                <c:ext xmlns:c16="http://schemas.microsoft.com/office/drawing/2014/chart" uri="{C3380CC4-5D6E-409C-BE32-E72D297353CC}">
                  <c16:uniqueId val="{00000000-E9A7-4A02-8C43-2CE3F1FA29DF}"/>
                </c:ext>
              </c:extLst>
            </c:dLbl>
            <c:dLbl>
              <c:idx val="5"/>
              <c:delete val="1"/>
              <c:extLst>
                <c:ext xmlns:c15="http://schemas.microsoft.com/office/drawing/2012/chart" uri="{CE6537A1-D6FC-4f65-9D91-7224C49458BB}"/>
                <c:ext xmlns:c16="http://schemas.microsoft.com/office/drawing/2014/chart" uri="{C3380CC4-5D6E-409C-BE32-E72D297353CC}">
                  <c16:uniqueId val="{00000003-0EB3-424E-92DF-708F277BB8C3}"/>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&amp; SBG NAV'!$A$330:$A$336</c:f>
              <c:strCache>
                <c:ptCount val="7"/>
                <c:pt idx="0">
                  <c:v>Alibaba</c:v>
                </c:pt>
                <c:pt idx="1">
                  <c:v>Telcos</c:v>
                </c:pt>
                <c:pt idx="2">
                  <c:v>Vision Funds</c:v>
                </c:pt>
                <c:pt idx="3">
                  <c:v>Arm + other semis*</c:v>
                </c:pt>
                <c:pt idx="4">
                  <c:v>OpenAI**</c:v>
                </c:pt>
                <c:pt idx="5">
                  <c:v>Stargate Project</c:v>
                </c:pt>
                <c:pt idx="6">
                  <c:v>Other</c:v>
                </c:pt>
              </c:strCache>
            </c:strRef>
          </c:cat>
          <c:val>
            <c:numRef>
              <c:f>'Valuation &amp; SBG NAV'!$AF$330:$AF$336</c:f>
              <c:numCache>
                <c:formatCode>0%</c:formatCode>
                <c:ptCount val="7"/>
                <c:pt idx="0">
                  <c:v>0.47856357640161235</c:v>
                </c:pt>
                <c:pt idx="1">
                  <c:v>0.28948332722609016</c:v>
                </c:pt>
                <c:pt idx="2">
                  <c:v>0.11542689629901062</c:v>
                </c:pt>
                <c:pt idx="3">
                  <c:v>9.9303774276291681E-2</c:v>
                </c:pt>
                <c:pt idx="4">
                  <c:v>0</c:v>
                </c:pt>
                <c:pt idx="5">
                  <c:v>0</c:v>
                </c:pt>
                <c:pt idx="6">
                  <c:v>1.7222425796995289E-2</c:v>
                </c:pt>
              </c:numCache>
            </c:numRef>
          </c:val>
          <c:extLst>
            <c:ext xmlns:c16="http://schemas.microsoft.com/office/drawing/2014/chart" uri="{C3380CC4-5D6E-409C-BE32-E72D297353CC}">
              <c16:uniqueId val="{00000000-0EB3-424E-92DF-708F277BB8C3}"/>
            </c:ext>
          </c:extLst>
        </c:ser>
        <c:ser>
          <c:idx val="1"/>
          <c:order val="1"/>
          <c:tx>
            <c:v>Peak Covid markets = FY21</c:v>
          </c:tx>
          <c:spPr>
            <a:solidFill>
              <a:schemeClr val="bg1"/>
            </a:solidFill>
            <a:ln w="19050">
              <a:solidFill>
                <a:srgbClr val="2EB2A5"/>
              </a:solidFill>
              <a:prstDash val="sysDash"/>
            </a:ln>
            <a:effectLst/>
          </c:spPr>
          <c:invertIfNegative val="0"/>
          <c:dLbls>
            <c:dLbl>
              <c:idx val="4"/>
              <c:delete val="1"/>
              <c:extLst>
                <c:ext xmlns:c15="http://schemas.microsoft.com/office/drawing/2012/chart" uri="{CE6537A1-D6FC-4f65-9D91-7224C49458BB}"/>
                <c:ext xmlns:c16="http://schemas.microsoft.com/office/drawing/2014/chart" uri="{C3380CC4-5D6E-409C-BE32-E72D297353CC}">
                  <c16:uniqueId val="{00000001-E9A7-4A02-8C43-2CE3F1FA29DF}"/>
                </c:ext>
              </c:extLst>
            </c:dLbl>
            <c:dLbl>
              <c:idx val="5"/>
              <c:delete val="1"/>
              <c:extLst>
                <c:ext xmlns:c15="http://schemas.microsoft.com/office/drawing/2012/chart" uri="{CE6537A1-D6FC-4f65-9D91-7224C49458BB}"/>
                <c:ext xmlns:c16="http://schemas.microsoft.com/office/drawing/2014/chart" uri="{C3380CC4-5D6E-409C-BE32-E72D297353CC}">
                  <c16:uniqueId val="{00000004-0EB3-424E-92DF-708F277BB8C3}"/>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&amp; SBG NAV'!$A$330:$A$336</c:f>
              <c:strCache>
                <c:ptCount val="7"/>
                <c:pt idx="0">
                  <c:v>Alibaba</c:v>
                </c:pt>
                <c:pt idx="1">
                  <c:v>Telcos</c:v>
                </c:pt>
                <c:pt idx="2">
                  <c:v>Vision Funds</c:v>
                </c:pt>
                <c:pt idx="3">
                  <c:v>Arm + other semis*</c:v>
                </c:pt>
                <c:pt idx="4">
                  <c:v>OpenAI**</c:v>
                </c:pt>
                <c:pt idx="5">
                  <c:v>Stargate Project</c:v>
                </c:pt>
                <c:pt idx="6">
                  <c:v>Other</c:v>
                </c:pt>
              </c:strCache>
            </c:strRef>
          </c:cat>
          <c:val>
            <c:numRef>
              <c:f>'Valuation &amp; SBG NAV'!$AU$330:$AU$336</c:f>
              <c:numCache>
                <c:formatCode>0%</c:formatCode>
                <c:ptCount val="7"/>
                <c:pt idx="0">
                  <c:v>0.22562553925798107</c:v>
                </c:pt>
                <c:pt idx="1">
                  <c:v>0.14236410698878346</c:v>
                </c:pt>
                <c:pt idx="2">
                  <c:v>0.43485763589301124</c:v>
                </c:pt>
                <c:pt idx="3">
                  <c:v>0.11691113028472823</c:v>
                </c:pt>
                <c:pt idx="4">
                  <c:v>0</c:v>
                </c:pt>
                <c:pt idx="5">
                  <c:v>0</c:v>
                </c:pt>
                <c:pt idx="6">
                  <c:v>8.0241587575495932E-2</c:v>
                </c:pt>
              </c:numCache>
            </c:numRef>
          </c:val>
          <c:extLst>
            <c:ext xmlns:c16="http://schemas.microsoft.com/office/drawing/2014/chart" uri="{C3380CC4-5D6E-409C-BE32-E72D297353CC}">
              <c16:uniqueId val="{00000001-0EB3-424E-92DF-708F277BB8C3}"/>
            </c:ext>
          </c:extLst>
        </c:ser>
        <c:ser>
          <c:idx val="2"/>
          <c:order val="2"/>
          <c:tx>
            <c:v>Arete FY25E = March '26E</c:v>
          </c:tx>
          <c:spPr>
            <a:solidFill>
              <a:srgbClr val="023D67"/>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7-0EB3-424E-92DF-708F277BB8C3}"/>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&amp; SBG NAV'!$A$330:$A$336</c:f>
              <c:strCache>
                <c:ptCount val="7"/>
                <c:pt idx="0">
                  <c:v>Alibaba</c:v>
                </c:pt>
                <c:pt idx="1">
                  <c:v>Telcos</c:v>
                </c:pt>
                <c:pt idx="2">
                  <c:v>Vision Funds</c:v>
                </c:pt>
                <c:pt idx="3">
                  <c:v>Arm + other semis*</c:v>
                </c:pt>
                <c:pt idx="4">
                  <c:v>OpenAI**</c:v>
                </c:pt>
                <c:pt idx="5">
                  <c:v>Stargate Project</c:v>
                </c:pt>
                <c:pt idx="6">
                  <c:v>Other</c:v>
                </c:pt>
              </c:strCache>
            </c:strRef>
          </c:cat>
          <c:val>
            <c:numRef>
              <c:f>'Valuation &amp; SBG NAV'!$BO$330:$BO$336</c:f>
              <c:numCache>
                <c:formatCode>0%</c:formatCode>
                <c:ptCount val="7"/>
                <c:pt idx="0">
                  <c:v>0</c:v>
                </c:pt>
                <c:pt idx="1">
                  <c:v>8.2928339706947102E-2</c:v>
                </c:pt>
                <c:pt idx="2">
                  <c:v>0.22348324277206957</c:v>
                </c:pt>
                <c:pt idx="3">
                  <c:v>0.3977137281034353</c:v>
                </c:pt>
                <c:pt idx="4">
                  <c:v>0.20636342414748163</c:v>
                </c:pt>
                <c:pt idx="5">
                  <c:v>1.0431974566278942E-2</c:v>
                </c:pt>
                <c:pt idx="6">
                  <c:v>7.9079290703787386E-2</c:v>
                </c:pt>
              </c:numCache>
            </c:numRef>
          </c:val>
          <c:extLst>
            <c:ext xmlns:c16="http://schemas.microsoft.com/office/drawing/2014/chart" uri="{C3380CC4-5D6E-409C-BE32-E72D297353CC}">
              <c16:uniqueId val="{00000002-0EB3-424E-92DF-708F277BB8C3}"/>
            </c:ext>
          </c:extLst>
        </c:ser>
        <c:dLbls>
          <c:dLblPos val="outEnd"/>
          <c:showLegendKey val="0"/>
          <c:showVal val="1"/>
          <c:showCatName val="0"/>
          <c:showSerName val="0"/>
          <c:showPercent val="0"/>
          <c:showBubbleSize val="0"/>
        </c:dLbls>
        <c:gapWidth val="219"/>
        <c:overlap val="-27"/>
        <c:axId val="1304862687"/>
        <c:axId val="1304866527"/>
      </c:barChart>
      <c:catAx>
        <c:axId val="130486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304866527"/>
        <c:crosses val="autoZero"/>
        <c:auto val="1"/>
        <c:lblAlgn val="ctr"/>
        <c:lblOffset val="100"/>
        <c:noMultiLvlLbl val="0"/>
      </c:catAx>
      <c:valAx>
        <c:axId val="13048665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3048626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LTV</c:v>
          </c:tx>
          <c:spPr>
            <a:ln w="19050" cap="rnd">
              <a:solidFill>
                <a:srgbClr val="F97303"/>
              </a:solidFill>
              <a:round/>
            </a:ln>
            <a:effectLst/>
          </c:spPr>
          <c:marker>
            <c:symbol val="none"/>
          </c:marker>
          <c:dLbls>
            <c:dLbl>
              <c:idx val="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0E-49B1-A6AF-4AB7D6583AEE}"/>
                </c:ext>
              </c:extLst>
            </c:dLbl>
            <c:dLbl>
              <c:idx val="1"/>
              <c:delete val="1"/>
              <c:extLst>
                <c:ext xmlns:c15="http://schemas.microsoft.com/office/drawing/2012/chart" uri="{CE6537A1-D6FC-4f65-9D91-7224C49458BB}"/>
                <c:ext xmlns:c16="http://schemas.microsoft.com/office/drawing/2014/chart" uri="{C3380CC4-5D6E-409C-BE32-E72D297353CC}">
                  <c16:uniqueId val="{00000001-C20E-49B1-A6AF-4AB7D6583AEE}"/>
                </c:ext>
              </c:extLst>
            </c:dLbl>
            <c:dLbl>
              <c:idx val="3"/>
              <c:delete val="1"/>
              <c:extLst>
                <c:ext xmlns:c15="http://schemas.microsoft.com/office/drawing/2012/chart" uri="{CE6537A1-D6FC-4f65-9D91-7224C49458BB}"/>
                <c:ext xmlns:c16="http://schemas.microsoft.com/office/drawing/2014/chart" uri="{C3380CC4-5D6E-409C-BE32-E72D297353CC}">
                  <c16:uniqueId val="{00000002-C20E-49B1-A6AF-4AB7D6583AEE}"/>
                </c:ext>
              </c:extLst>
            </c:dLbl>
            <c:dLbl>
              <c:idx val="4"/>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0E-49B1-A6AF-4AB7D6583AEE}"/>
                </c:ext>
              </c:extLst>
            </c:dLbl>
            <c:dLbl>
              <c:idx val="5"/>
              <c:delete val="1"/>
              <c:extLst>
                <c:ext xmlns:c15="http://schemas.microsoft.com/office/drawing/2012/chart" uri="{CE6537A1-D6FC-4f65-9D91-7224C49458BB}"/>
                <c:ext xmlns:c16="http://schemas.microsoft.com/office/drawing/2014/chart" uri="{C3380CC4-5D6E-409C-BE32-E72D297353CC}">
                  <c16:uniqueId val="{00000004-C20E-49B1-A6AF-4AB7D6583AEE}"/>
                </c:ext>
              </c:extLst>
            </c:dLbl>
            <c:dLbl>
              <c:idx val="7"/>
              <c:delete val="1"/>
              <c:extLst>
                <c:ext xmlns:c15="http://schemas.microsoft.com/office/drawing/2012/chart" uri="{CE6537A1-D6FC-4f65-9D91-7224C49458BB}"/>
                <c:ext xmlns:c16="http://schemas.microsoft.com/office/drawing/2014/chart" uri="{C3380CC4-5D6E-409C-BE32-E72D297353CC}">
                  <c16:uniqueId val="{00000006-C20E-49B1-A6AF-4AB7D6583AEE}"/>
                </c:ext>
              </c:extLst>
            </c:dLbl>
            <c:dLbl>
              <c:idx val="8"/>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20E-49B1-A6AF-4AB7D6583AEE}"/>
                </c:ext>
              </c:extLst>
            </c:dLbl>
            <c:dLbl>
              <c:idx val="9"/>
              <c:delete val="1"/>
              <c:extLst>
                <c:ext xmlns:c15="http://schemas.microsoft.com/office/drawing/2012/chart" uri="{CE6537A1-D6FC-4f65-9D91-7224C49458BB}"/>
                <c:ext xmlns:c16="http://schemas.microsoft.com/office/drawing/2014/chart" uri="{C3380CC4-5D6E-409C-BE32-E72D297353CC}">
                  <c16:uniqueId val="{00000007-C20E-49B1-A6AF-4AB7D6583AEE}"/>
                </c:ext>
              </c:extLst>
            </c:dLbl>
            <c:dLbl>
              <c:idx val="11"/>
              <c:delete val="1"/>
              <c:extLst>
                <c:ext xmlns:c15="http://schemas.microsoft.com/office/drawing/2012/chart" uri="{CE6537A1-D6FC-4f65-9D91-7224C49458BB}"/>
                <c:ext xmlns:c16="http://schemas.microsoft.com/office/drawing/2014/chart" uri="{C3380CC4-5D6E-409C-BE32-E72D297353CC}">
                  <c16:uniqueId val="{00000009-C20E-49B1-A6AF-4AB7D6583AEE}"/>
                </c:ext>
              </c:extLst>
            </c:dLbl>
            <c:dLbl>
              <c:idx val="12"/>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20E-49B1-A6AF-4AB7D6583AEE}"/>
                </c:ext>
              </c:extLst>
            </c:dLbl>
            <c:dLbl>
              <c:idx val="13"/>
              <c:delete val="1"/>
              <c:extLst>
                <c:ext xmlns:c15="http://schemas.microsoft.com/office/drawing/2012/chart" uri="{CE6537A1-D6FC-4f65-9D91-7224C49458BB}"/>
                <c:ext xmlns:c16="http://schemas.microsoft.com/office/drawing/2014/chart" uri="{C3380CC4-5D6E-409C-BE32-E72D297353CC}">
                  <c16:uniqueId val="{0000000A-C20E-49B1-A6AF-4AB7D6583AEE}"/>
                </c:ext>
              </c:extLst>
            </c:dLbl>
            <c:dLbl>
              <c:idx val="14"/>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20E-49B1-A6AF-4AB7D6583AEE}"/>
                </c:ext>
              </c:extLst>
            </c:dLbl>
            <c:dLbl>
              <c:idx val="16"/>
              <c:delete val="1"/>
              <c:extLst>
                <c:ext xmlns:c15="http://schemas.microsoft.com/office/drawing/2012/chart" uri="{CE6537A1-D6FC-4f65-9D91-7224C49458BB}"/>
                <c:ext xmlns:c16="http://schemas.microsoft.com/office/drawing/2014/chart" uri="{C3380CC4-5D6E-409C-BE32-E72D297353CC}">
                  <c16:uniqueId val="{00000014-C20E-49B1-A6AF-4AB7D6583AEE}"/>
                </c:ext>
              </c:extLst>
            </c:dLbl>
            <c:dLbl>
              <c:idx val="17"/>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20E-49B1-A6AF-4AB7D6583AEE}"/>
                </c:ext>
              </c:extLst>
            </c:dLbl>
            <c:dLbl>
              <c:idx val="1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5E3-4EDD-AAC2-62658C2858F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&amp; SBG NAV'!$AR$1:$AU$1,'Valuation &amp; SBG NAV'!$AW$1:$AZ$1,'Valuation &amp; SBG NAV'!$BB$1:$BE$1,'Valuation &amp; SBG NAV'!$BG$1:$BJ$1,'Valuation &amp; SBG NAV'!$BL$1:$BO$1)</c:f>
              <c:strCache>
                <c:ptCount val="20"/>
                <c:pt idx="0">
                  <c:v>1Q21</c:v>
                </c:pt>
                <c:pt idx="1">
                  <c:v>2Q21</c:v>
                </c:pt>
                <c:pt idx="2">
                  <c:v>3Q21</c:v>
                </c:pt>
                <c:pt idx="3">
                  <c:v>4Q21</c:v>
                </c:pt>
                <c:pt idx="4">
                  <c:v>1Q22</c:v>
                </c:pt>
                <c:pt idx="5">
                  <c:v>2Q22</c:v>
                </c:pt>
                <c:pt idx="6">
                  <c:v>3Q22</c:v>
                </c:pt>
                <c:pt idx="7">
                  <c:v>4Q22</c:v>
                </c:pt>
                <c:pt idx="8">
                  <c:v>1Q23</c:v>
                </c:pt>
                <c:pt idx="9">
                  <c:v>2Q23</c:v>
                </c:pt>
                <c:pt idx="10">
                  <c:v>3Q23</c:v>
                </c:pt>
                <c:pt idx="11">
                  <c:v>4Q23</c:v>
                </c:pt>
                <c:pt idx="12">
                  <c:v>1Q24</c:v>
                </c:pt>
                <c:pt idx="13">
                  <c:v>2Q24</c:v>
                </c:pt>
                <c:pt idx="14">
                  <c:v>3Q24</c:v>
                </c:pt>
                <c:pt idx="15">
                  <c:v>4Q24</c:v>
                </c:pt>
                <c:pt idx="16">
                  <c:v>1Q25</c:v>
                </c:pt>
                <c:pt idx="17">
                  <c:v>2Q25</c:v>
                </c:pt>
                <c:pt idx="18">
                  <c:v>3Q25</c:v>
                </c:pt>
                <c:pt idx="19">
                  <c:v>4Q25E</c:v>
                </c:pt>
              </c:strCache>
            </c:strRef>
          </c:cat>
          <c:val>
            <c:numRef>
              <c:f>('Valuation &amp; SBG NAV'!$AR$37:$AU$37,'Valuation &amp; SBG NAV'!$AW$37:$AZ$37,'Valuation &amp; SBG NAV'!$BB$37:$BE$37,'Valuation &amp; SBG NAV'!$BG$37:$BJ$37,'Valuation &amp; SBG NAV'!$BL$37:$BO$37)</c:f>
              <c:numCache>
                <c:formatCode>0.0%</c:formatCode>
                <c:ptCount val="20"/>
                <c:pt idx="0">
                  <c:v>0.15914045468701332</c:v>
                </c:pt>
                <c:pt idx="1">
                  <c:v>0.18715953307392996</c:v>
                </c:pt>
                <c:pt idx="2">
                  <c:v>0.21564653425212812</c:v>
                </c:pt>
                <c:pt idx="3">
                  <c:v>0.20362381363244189</c:v>
                </c:pt>
                <c:pt idx="4">
                  <c:v>0.14542936288088651</c:v>
                </c:pt>
                <c:pt idx="5">
                  <c:v>0.15033011681056371</c:v>
                </c:pt>
                <c:pt idx="6">
                  <c:v>0.18192557590076783</c:v>
                </c:pt>
                <c:pt idx="7">
                  <c:v>0.11027095148078139</c:v>
                </c:pt>
                <c:pt idx="8">
                  <c:v>7.9881656804733719E-2</c:v>
                </c:pt>
                <c:pt idx="9">
                  <c:v>0.10620915032679745</c:v>
                </c:pt>
                <c:pt idx="10">
                  <c:v>0.11418047882136279</c:v>
                </c:pt>
                <c:pt idx="11">
                  <c:v>8.4377059986816133E-2</c:v>
                </c:pt>
                <c:pt idx="12">
                  <c:v>7.8149503397804479E-2</c:v>
                </c:pt>
                <c:pt idx="13">
                  <c:v>0.12462281231140615</c:v>
                </c:pt>
                <c:pt idx="14">
                  <c:v>0.1286011286011286</c:v>
                </c:pt>
                <c:pt idx="15">
                  <c:v>0.18074593560726809</c:v>
                </c:pt>
                <c:pt idx="16">
                  <c:v>0.17008196721311478</c:v>
                </c:pt>
                <c:pt idx="17">
                  <c:v>0.16457601605619673</c:v>
                </c:pt>
                <c:pt idx="18">
                  <c:v>0.20625962031811182</c:v>
                </c:pt>
                <c:pt idx="19">
                  <c:v>0.19393652767947339</c:v>
                </c:pt>
              </c:numCache>
            </c:numRef>
          </c:val>
          <c:smooth val="0"/>
          <c:extLst>
            <c:ext xmlns:c16="http://schemas.microsoft.com/office/drawing/2014/chart" uri="{C3380CC4-5D6E-409C-BE32-E72D297353CC}">
              <c16:uniqueId val="{00000013-C20E-49B1-A6AF-4AB7D6583AEE}"/>
            </c:ext>
          </c:extLst>
        </c:ser>
        <c:dLbls>
          <c:dLblPos val="t"/>
          <c:showLegendKey val="0"/>
          <c:showVal val="1"/>
          <c:showCatName val="0"/>
          <c:showSerName val="0"/>
          <c:showPercent val="0"/>
          <c:showBubbleSize val="0"/>
        </c:dLbls>
        <c:smooth val="0"/>
        <c:axId val="132151503"/>
        <c:axId val="132122223"/>
      </c:lineChart>
      <c:catAx>
        <c:axId val="13215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132122223"/>
        <c:crosses val="autoZero"/>
        <c:auto val="1"/>
        <c:lblAlgn val="ctr"/>
        <c:lblOffset val="100"/>
        <c:noMultiLvlLbl val="0"/>
      </c:catAx>
      <c:valAx>
        <c:axId val="13212222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3215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LTV with OAI debt at TopCo</c:v>
          </c:tx>
          <c:spPr>
            <a:ln w="19050" cap="rnd">
              <a:solidFill>
                <a:srgbClr val="F97303"/>
              </a:solidFill>
              <a:round/>
            </a:ln>
            <a:effectLst/>
          </c:spPr>
          <c:marker>
            <c:symbol val="none"/>
          </c:marker>
          <c:dLbls>
            <c:dLbl>
              <c:idx val="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DC9-48A6-A415-96DDE67BB0AC}"/>
                </c:ext>
              </c:extLst>
            </c:dLbl>
            <c:dLbl>
              <c:idx val="1"/>
              <c:delete val="1"/>
              <c:extLst>
                <c:ext xmlns:c15="http://schemas.microsoft.com/office/drawing/2012/chart" uri="{CE6537A1-D6FC-4f65-9D91-7224C49458BB}"/>
                <c:ext xmlns:c16="http://schemas.microsoft.com/office/drawing/2014/chart" uri="{C3380CC4-5D6E-409C-BE32-E72D297353CC}">
                  <c16:uniqueId val="{00000001-3DC9-48A6-A415-96DDE67BB0AC}"/>
                </c:ext>
              </c:extLst>
            </c:dLbl>
            <c:dLbl>
              <c:idx val="3"/>
              <c:delete val="1"/>
              <c:extLst>
                <c:ext xmlns:c15="http://schemas.microsoft.com/office/drawing/2012/chart" uri="{CE6537A1-D6FC-4f65-9D91-7224C49458BB}"/>
                <c:ext xmlns:c16="http://schemas.microsoft.com/office/drawing/2014/chart" uri="{C3380CC4-5D6E-409C-BE32-E72D297353CC}">
                  <c16:uniqueId val="{00000002-3DC9-48A6-A415-96DDE67BB0AC}"/>
                </c:ext>
              </c:extLst>
            </c:dLbl>
            <c:dLbl>
              <c:idx val="4"/>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C9-48A6-A415-96DDE67BB0AC}"/>
                </c:ext>
              </c:extLst>
            </c:dLbl>
            <c:dLbl>
              <c:idx val="5"/>
              <c:delete val="1"/>
              <c:extLst>
                <c:ext xmlns:c15="http://schemas.microsoft.com/office/drawing/2012/chart" uri="{CE6537A1-D6FC-4f65-9D91-7224C49458BB}"/>
                <c:ext xmlns:c16="http://schemas.microsoft.com/office/drawing/2014/chart" uri="{C3380CC4-5D6E-409C-BE32-E72D297353CC}">
                  <c16:uniqueId val="{00000004-3DC9-48A6-A415-96DDE67BB0AC}"/>
                </c:ext>
              </c:extLst>
            </c:dLbl>
            <c:dLbl>
              <c:idx val="7"/>
              <c:delete val="1"/>
              <c:extLst>
                <c:ext xmlns:c15="http://schemas.microsoft.com/office/drawing/2012/chart" uri="{CE6537A1-D6FC-4f65-9D91-7224C49458BB}"/>
                <c:ext xmlns:c16="http://schemas.microsoft.com/office/drawing/2014/chart" uri="{C3380CC4-5D6E-409C-BE32-E72D297353CC}">
                  <c16:uniqueId val="{00000005-3DC9-48A6-A415-96DDE67BB0AC}"/>
                </c:ext>
              </c:extLst>
            </c:dLbl>
            <c:dLbl>
              <c:idx val="8"/>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DC9-48A6-A415-96DDE67BB0AC}"/>
                </c:ext>
              </c:extLst>
            </c:dLbl>
            <c:dLbl>
              <c:idx val="9"/>
              <c:delete val="1"/>
              <c:extLst>
                <c:ext xmlns:c15="http://schemas.microsoft.com/office/drawing/2012/chart" uri="{CE6537A1-D6FC-4f65-9D91-7224C49458BB}"/>
                <c:ext xmlns:c16="http://schemas.microsoft.com/office/drawing/2014/chart" uri="{C3380CC4-5D6E-409C-BE32-E72D297353CC}">
                  <c16:uniqueId val="{00000007-3DC9-48A6-A415-96DDE67BB0AC}"/>
                </c:ext>
              </c:extLst>
            </c:dLbl>
            <c:dLbl>
              <c:idx val="11"/>
              <c:delete val="1"/>
              <c:extLst>
                <c:ext xmlns:c15="http://schemas.microsoft.com/office/drawing/2012/chart" uri="{CE6537A1-D6FC-4f65-9D91-7224C49458BB}"/>
                <c:ext xmlns:c16="http://schemas.microsoft.com/office/drawing/2014/chart" uri="{C3380CC4-5D6E-409C-BE32-E72D297353CC}">
                  <c16:uniqueId val="{00000008-3DC9-48A6-A415-96DDE67BB0AC}"/>
                </c:ext>
              </c:extLst>
            </c:dLbl>
            <c:dLbl>
              <c:idx val="12"/>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DC9-48A6-A415-96DDE67BB0AC}"/>
                </c:ext>
              </c:extLst>
            </c:dLbl>
            <c:dLbl>
              <c:idx val="13"/>
              <c:delete val="1"/>
              <c:extLst>
                <c:ext xmlns:c15="http://schemas.microsoft.com/office/drawing/2012/chart" uri="{CE6537A1-D6FC-4f65-9D91-7224C49458BB}"/>
                <c:ext xmlns:c16="http://schemas.microsoft.com/office/drawing/2014/chart" uri="{C3380CC4-5D6E-409C-BE32-E72D297353CC}">
                  <c16:uniqueId val="{0000000A-3DC9-48A6-A415-96DDE67BB0AC}"/>
                </c:ext>
              </c:extLst>
            </c:dLbl>
            <c:dLbl>
              <c:idx val="14"/>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DC9-48A6-A415-96DDE67BB0AC}"/>
                </c:ext>
              </c:extLst>
            </c:dLbl>
            <c:dLbl>
              <c:idx val="16"/>
              <c:delete val="1"/>
              <c:extLst>
                <c:ext xmlns:c15="http://schemas.microsoft.com/office/drawing/2012/chart" uri="{CE6537A1-D6FC-4f65-9D91-7224C49458BB}"/>
                <c:ext xmlns:c16="http://schemas.microsoft.com/office/drawing/2014/chart" uri="{C3380CC4-5D6E-409C-BE32-E72D297353CC}">
                  <c16:uniqueId val="{00000001-B814-467C-B607-00379FFE139C}"/>
                </c:ext>
              </c:extLst>
            </c:dLbl>
            <c:dLbl>
              <c:idx val="17"/>
              <c:delete val="1"/>
              <c:extLst>
                <c:ext xmlns:c15="http://schemas.microsoft.com/office/drawing/2012/chart" uri="{CE6537A1-D6FC-4f65-9D91-7224C49458BB}"/>
                <c:ext xmlns:c16="http://schemas.microsoft.com/office/drawing/2014/chart" uri="{C3380CC4-5D6E-409C-BE32-E72D297353CC}">
                  <c16:uniqueId val="{0000000D-3DC9-48A6-A415-96DDE67BB0AC}"/>
                </c:ext>
              </c:extLst>
            </c:dLbl>
            <c:dLbl>
              <c:idx val="18"/>
              <c:delete val="1"/>
              <c:extLst>
                <c:ext xmlns:c15="http://schemas.microsoft.com/office/drawing/2012/chart" uri="{CE6537A1-D6FC-4f65-9D91-7224C49458BB}"/>
                <c:ext xmlns:c16="http://schemas.microsoft.com/office/drawing/2014/chart" uri="{C3380CC4-5D6E-409C-BE32-E72D297353CC}">
                  <c16:uniqueId val="{0000000E-3DC9-48A6-A415-96DDE67BB0A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&amp; SBG NAV'!$AR$1:$AU$1,'Valuation &amp; SBG NAV'!$AW$1:$AZ$1,'Valuation &amp; SBG NAV'!$BB$1:$BE$1,'Valuation &amp; SBG NAV'!$BG$1:$BJ$1,'Valuation &amp; SBG NAV'!$BL$1:$BO$1)</c:f>
              <c:strCache>
                <c:ptCount val="20"/>
                <c:pt idx="0">
                  <c:v>1Q21</c:v>
                </c:pt>
                <c:pt idx="1">
                  <c:v>2Q21</c:v>
                </c:pt>
                <c:pt idx="2">
                  <c:v>3Q21</c:v>
                </c:pt>
                <c:pt idx="3">
                  <c:v>4Q21</c:v>
                </c:pt>
                <c:pt idx="4">
                  <c:v>1Q22</c:v>
                </c:pt>
                <c:pt idx="5">
                  <c:v>2Q22</c:v>
                </c:pt>
                <c:pt idx="6">
                  <c:v>3Q22</c:v>
                </c:pt>
                <c:pt idx="7">
                  <c:v>4Q22</c:v>
                </c:pt>
                <c:pt idx="8">
                  <c:v>1Q23</c:v>
                </c:pt>
                <c:pt idx="9">
                  <c:v>2Q23</c:v>
                </c:pt>
                <c:pt idx="10">
                  <c:v>3Q23</c:v>
                </c:pt>
                <c:pt idx="11">
                  <c:v>4Q23</c:v>
                </c:pt>
                <c:pt idx="12">
                  <c:v>1Q24</c:v>
                </c:pt>
                <c:pt idx="13">
                  <c:v>2Q24</c:v>
                </c:pt>
                <c:pt idx="14">
                  <c:v>3Q24</c:v>
                </c:pt>
                <c:pt idx="15">
                  <c:v>4Q24</c:v>
                </c:pt>
                <c:pt idx="16">
                  <c:v>1Q25</c:v>
                </c:pt>
                <c:pt idx="17">
                  <c:v>2Q25</c:v>
                </c:pt>
                <c:pt idx="18">
                  <c:v>3Q25</c:v>
                </c:pt>
                <c:pt idx="19">
                  <c:v>4Q25E</c:v>
                </c:pt>
              </c:strCache>
            </c:strRef>
          </c:cat>
          <c:val>
            <c:numRef>
              <c:f>('Valuation &amp; SBG NAV'!$AR$37:$AU$37,'Valuation &amp; SBG NAV'!$AW$37:$AZ$37,'Valuation &amp; SBG NAV'!$BB$37:$BE$37,'Valuation &amp; SBG NAV'!$BG$37:$BJ$37,'Valuation &amp; SBG NAV'!$BL$37:$BO$37)</c:f>
              <c:numCache>
                <c:formatCode>0.0%</c:formatCode>
                <c:ptCount val="20"/>
                <c:pt idx="0">
                  <c:v>0.15914045468701332</c:v>
                </c:pt>
                <c:pt idx="1">
                  <c:v>0.18715953307392996</c:v>
                </c:pt>
                <c:pt idx="2">
                  <c:v>0.21564653425212812</c:v>
                </c:pt>
                <c:pt idx="3">
                  <c:v>0.20362381363244189</c:v>
                </c:pt>
                <c:pt idx="4">
                  <c:v>0.14542936288088651</c:v>
                </c:pt>
                <c:pt idx="5">
                  <c:v>0.15033011681056371</c:v>
                </c:pt>
                <c:pt idx="6">
                  <c:v>0.18192557590076783</c:v>
                </c:pt>
                <c:pt idx="7">
                  <c:v>0.11027095148078139</c:v>
                </c:pt>
                <c:pt idx="8">
                  <c:v>7.9881656804733719E-2</c:v>
                </c:pt>
                <c:pt idx="9">
                  <c:v>0.10620915032679745</c:v>
                </c:pt>
                <c:pt idx="10">
                  <c:v>0.11418047882136279</c:v>
                </c:pt>
                <c:pt idx="11">
                  <c:v>8.4377059986816133E-2</c:v>
                </c:pt>
                <c:pt idx="12">
                  <c:v>7.8149503397804479E-2</c:v>
                </c:pt>
                <c:pt idx="13">
                  <c:v>0.12462281231140615</c:v>
                </c:pt>
                <c:pt idx="14">
                  <c:v>0.1286011286011286</c:v>
                </c:pt>
                <c:pt idx="15">
                  <c:v>0.18074593560726809</c:v>
                </c:pt>
                <c:pt idx="16">
                  <c:v>0.17008196721311478</c:v>
                </c:pt>
                <c:pt idx="17">
                  <c:v>0.16457601605619673</c:v>
                </c:pt>
                <c:pt idx="18">
                  <c:v>0.20625962031811182</c:v>
                </c:pt>
                <c:pt idx="19">
                  <c:v>0.19393652767947339</c:v>
                </c:pt>
              </c:numCache>
            </c:numRef>
          </c:val>
          <c:smooth val="0"/>
          <c:extLst>
            <c:ext xmlns:c16="http://schemas.microsoft.com/office/drawing/2014/chart" uri="{C3380CC4-5D6E-409C-BE32-E72D297353CC}">
              <c16:uniqueId val="{0000000F-3DC9-48A6-A415-96DDE67BB0AC}"/>
            </c:ext>
          </c:extLst>
        </c:ser>
        <c:ser>
          <c:idx val="1"/>
          <c:order val="1"/>
          <c:tx>
            <c:v>LTV with OAI debt as ABF at SVF2</c:v>
          </c:tx>
          <c:spPr>
            <a:ln w="19050" cap="rnd">
              <a:solidFill>
                <a:srgbClr val="2EB2A5"/>
              </a:solidFill>
              <a:round/>
            </a:ln>
            <a:effectLst/>
          </c:spPr>
          <c:marker>
            <c:symbol val="none"/>
          </c:marker>
          <c:dLbls>
            <c:dLbl>
              <c:idx val="15"/>
              <c:delete val="1"/>
              <c:extLst>
                <c:ext xmlns:c15="http://schemas.microsoft.com/office/drawing/2012/chart" uri="{CE6537A1-D6FC-4f65-9D91-7224C49458BB}"/>
                <c:ext xmlns:c16="http://schemas.microsoft.com/office/drawing/2014/chart" uri="{C3380CC4-5D6E-409C-BE32-E72D297353CC}">
                  <c16:uniqueId val="{00000011-3DC9-48A6-A415-96DDE67BB0AC}"/>
                </c:ext>
              </c:extLst>
            </c:dLbl>
            <c:dLbl>
              <c:idx val="16"/>
              <c:delete val="1"/>
              <c:extLst>
                <c:ext xmlns:c15="http://schemas.microsoft.com/office/drawing/2012/chart" uri="{CE6537A1-D6FC-4f65-9D91-7224C49458BB}"/>
                <c:ext xmlns:c16="http://schemas.microsoft.com/office/drawing/2014/chart" uri="{C3380CC4-5D6E-409C-BE32-E72D297353CC}">
                  <c16:uniqueId val="{00000000-B814-467C-B607-00379FFE139C}"/>
                </c:ext>
              </c:extLst>
            </c:dLbl>
            <c:dLbl>
              <c:idx val="17"/>
              <c:delete val="1"/>
              <c:extLst>
                <c:ext xmlns:c15="http://schemas.microsoft.com/office/drawing/2012/chart" uri="{CE6537A1-D6FC-4f65-9D91-7224C49458BB}"/>
                <c:ext xmlns:c16="http://schemas.microsoft.com/office/drawing/2014/chart" uri="{C3380CC4-5D6E-409C-BE32-E72D297353CC}">
                  <c16:uniqueId val="{00000013-3DC9-48A6-A415-96DDE67BB0AC}"/>
                </c:ext>
              </c:extLst>
            </c:dLbl>
            <c:dLbl>
              <c:idx val="18"/>
              <c:delete val="1"/>
              <c:extLst>
                <c:ext xmlns:c15="http://schemas.microsoft.com/office/drawing/2012/chart" uri="{CE6537A1-D6FC-4f65-9D91-7224C49458BB}"/>
                <c:ext xmlns:c16="http://schemas.microsoft.com/office/drawing/2014/chart" uri="{C3380CC4-5D6E-409C-BE32-E72D297353CC}">
                  <c16:uniqueId val="{00000012-3DC9-48A6-A415-96DDE67BB0A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&amp; SBG NAV'!$AR$1:$AU$1,'Valuation &amp; SBG NAV'!$AW$1:$AZ$1,'Valuation &amp; SBG NAV'!$BB$1:$BE$1,'Valuation &amp; SBG NAV'!$BG$1:$BJ$1,'Valuation &amp; SBG NAV'!$BL$1:$BO$1)</c:f>
              <c:strCache>
                <c:ptCount val="20"/>
                <c:pt idx="0">
                  <c:v>1Q21</c:v>
                </c:pt>
                <c:pt idx="1">
                  <c:v>2Q21</c:v>
                </c:pt>
                <c:pt idx="2">
                  <c:v>3Q21</c:v>
                </c:pt>
                <c:pt idx="3">
                  <c:v>4Q21</c:v>
                </c:pt>
                <c:pt idx="4">
                  <c:v>1Q22</c:v>
                </c:pt>
                <c:pt idx="5">
                  <c:v>2Q22</c:v>
                </c:pt>
                <c:pt idx="6">
                  <c:v>3Q22</c:v>
                </c:pt>
                <c:pt idx="7">
                  <c:v>4Q22</c:v>
                </c:pt>
                <c:pt idx="8">
                  <c:v>1Q23</c:v>
                </c:pt>
                <c:pt idx="9">
                  <c:v>2Q23</c:v>
                </c:pt>
                <c:pt idx="10">
                  <c:v>3Q23</c:v>
                </c:pt>
                <c:pt idx="11">
                  <c:v>4Q23</c:v>
                </c:pt>
                <c:pt idx="12">
                  <c:v>1Q24</c:v>
                </c:pt>
                <c:pt idx="13">
                  <c:v>2Q24</c:v>
                </c:pt>
                <c:pt idx="14">
                  <c:v>3Q24</c:v>
                </c:pt>
                <c:pt idx="15">
                  <c:v>4Q24</c:v>
                </c:pt>
                <c:pt idx="16">
                  <c:v>1Q25</c:v>
                </c:pt>
                <c:pt idx="17">
                  <c:v>2Q25</c:v>
                </c:pt>
                <c:pt idx="18">
                  <c:v>3Q25</c:v>
                </c:pt>
                <c:pt idx="19">
                  <c:v>4Q25E</c:v>
                </c:pt>
              </c:strCache>
            </c:strRef>
          </c:cat>
          <c:val>
            <c:numRef>
              <c:f>('Valuation &amp; SBG NAV'!$AR$85:$AU$85,'Valuation &amp; SBG NAV'!$AW$85:$AZ$85,'Valuation &amp; SBG NAV'!$BB$85:$BE$85,'Valuation &amp; SBG NAV'!$BG$85:$BJ$85,'Valuation &amp; SBG NAV'!$BL$85:$BO$85)</c:f>
              <c:numCache>
                <c:formatCode>General</c:formatCode>
                <c:ptCount val="20"/>
                <c:pt idx="15" formatCode="0.0%">
                  <c:v>0.18074593560726812</c:v>
                </c:pt>
                <c:pt idx="16" formatCode="0.0%">
                  <c:v>0.14633335023979735</c:v>
                </c:pt>
                <c:pt idx="17" formatCode="0.0%">
                  <c:v>0.14049876882256077</c:v>
                </c:pt>
                <c:pt idx="18" formatCode="0.0%">
                  <c:v>0.1816070550021425</c:v>
                </c:pt>
                <c:pt idx="19" formatCode="0.0%">
                  <c:v>0.17033176983717824</c:v>
                </c:pt>
              </c:numCache>
            </c:numRef>
          </c:val>
          <c:smooth val="0"/>
          <c:extLst>
            <c:ext xmlns:c16="http://schemas.microsoft.com/office/drawing/2014/chart" uri="{C3380CC4-5D6E-409C-BE32-E72D297353CC}">
              <c16:uniqueId val="{00000010-3DC9-48A6-A415-96DDE67BB0AC}"/>
            </c:ext>
          </c:extLst>
        </c:ser>
        <c:ser>
          <c:idx val="2"/>
          <c:order val="2"/>
          <c:tx>
            <c:v>LTV PF for TMUS/DT sales</c:v>
          </c:tx>
          <c:spPr>
            <a:ln w="19050" cap="rnd">
              <a:solidFill>
                <a:srgbClr val="FF00FF"/>
              </a:solidFill>
              <a:round/>
            </a:ln>
            <a:effectLst/>
          </c:spPr>
          <c:marker>
            <c:symbol val="none"/>
          </c:marker>
          <c:dLbls>
            <c:dLbl>
              <c:idx val="1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814-467C-B607-00379FFE139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&amp; SBG NAV'!$AR$1:$AU$1,'Valuation &amp; SBG NAV'!$AW$1:$AZ$1,'Valuation &amp; SBG NAV'!$BB$1:$BE$1,'Valuation &amp; SBG NAV'!$BG$1:$BJ$1,'Valuation &amp; SBG NAV'!$BL$1:$BO$1)</c:f>
              <c:strCache>
                <c:ptCount val="20"/>
                <c:pt idx="0">
                  <c:v>1Q21</c:v>
                </c:pt>
                <c:pt idx="1">
                  <c:v>2Q21</c:v>
                </c:pt>
                <c:pt idx="2">
                  <c:v>3Q21</c:v>
                </c:pt>
                <c:pt idx="3">
                  <c:v>4Q21</c:v>
                </c:pt>
                <c:pt idx="4">
                  <c:v>1Q22</c:v>
                </c:pt>
                <c:pt idx="5">
                  <c:v>2Q22</c:v>
                </c:pt>
                <c:pt idx="6">
                  <c:v>3Q22</c:v>
                </c:pt>
                <c:pt idx="7">
                  <c:v>4Q22</c:v>
                </c:pt>
                <c:pt idx="8">
                  <c:v>1Q23</c:v>
                </c:pt>
                <c:pt idx="9">
                  <c:v>2Q23</c:v>
                </c:pt>
                <c:pt idx="10">
                  <c:v>3Q23</c:v>
                </c:pt>
                <c:pt idx="11">
                  <c:v>4Q23</c:v>
                </c:pt>
                <c:pt idx="12">
                  <c:v>1Q24</c:v>
                </c:pt>
                <c:pt idx="13">
                  <c:v>2Q24</c:v>
                </c:pt>
                <c:pt idx="14">
                  <c:v>3Q24</c:v>
                </c:pt>
                <c:pt idx="15">
                  <c:v>4Q24</c:v>
                </c:pt>
                <c:pt idx="16">
                  <c:v>1Q25</c:v>
                </c:pt>
                <c:pt idx="17">
                  <c:v>2Q25</c:v>
                </c:pt>
                <c:pt idx="18">
                  <c:v>3Q25</c:v>
                </c:pt>
                <c:pt idx="19">
                  <c:v>4Q25E</c:v>
                </c:pt>
              </c:strCache>
            </c:strRef>
          </c:cat>
          <c:val>
            <c:numRef>
              <c:f>('Valuation &amp; SBG NAV'!$AR$89:$AU$89,'Valuation &amp; SBG NAV'!$AW$89:$AZ$89,'Valuation &amp; SBG NAV'!$BB$89:$BE$89,'Valuation &amp; SBG NAV'!$BG$89:$BJ$89,'Valuation &amp; SBG NAV'!$BL$89:$BO$89)</c:f>
              <c:numCache>
                <c:formatCode>General</c:formatCode>
                <c:ptCount val="20"/>
                <c:pt idx="17" formatCode="0.0%">
                  <c:v>0.14049876882256077</c:v>
                </c:pt>
                <c:pt idx="18" formatCode="0.0%">
                  <c:v>0.16142216729275416</c:v>
                </c:pt>
                <c:pt idx="19" formatCode="0.0%">
                  <c:v>0.15897717416569304</c:v>
                </c:pt>
              </c:numCache>
            </c:numRef>
          </c:val>
          <c:smooth val="0"/>
          <c:extLst>
            <c:ext xmlns:c16="http://schemas.microsoft.com/office/drawing/2014/chart" uri="{C3380CC4-5D6E-409C-BE32-E72D297353CC}">
              <c16:uniqueId val="{00000002-B814-467C-B607-00379FFE139C}"/>
            </c:ext>
          </c:extLst>
        </c:ser>
        <c:dLbls>
          <c:dLblPos val="t"/>
          <c:showLegendKey val="0"/>
          <c:showVal val="1"/>
          <c:showCatName val="0"/>
          <c:showSerName val="0"/>
          <c:showPercent val="0"/>
          <c:showBubbleSize val="0"/>
        </c:dLbls>
        <c:smooth val="0"/>
        <c:axId val="132151503"/>
        <c:axId val="132122223"/>
      </c:lineChart>
      <c:catAx>
        <c:axId val="13215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132122223"/>
        <c:crosses val="autoZero"/>
        <c:auto val="1"/>
        <c:lblAlgn val="ctr"/>
        <c:lblOffset val="100"/>
        <c:noMultiLvlLbl val="0"/>
      </c:catAx>
      <c:valAx>
        <c:axId val="13212222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32151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'Valuation &amp; SBG NAV'!$A$321</c:f>
              <c:strCache>
                <c:ptCount val="1"/>
                <c:pt idx="0">
                  <c:v>Alibaba</c:v>
                </c:pt>
              </c:strCache>
            </c:strRef>
          </c:tx>
          <c:spPr>
            <a:solidFill>
              <a:srgbClr val="F97303"/>
            </a:solidFill>
            <a:ln>
              <a:noFill/>
            </a:ln>
            <a:effectLst/>
          </c:spPr>
          <c:cat>
            <c:strRef>
              <c:f>('Valuation &amp; SBG NAV'!$AE$3:$AF$3,'Valuation &amp; SBG NAV'!$AH$3:$AK$3,'Valuation &amp; SBG NAV'!$AM$3:$AP$3,'Valuation &amp; SBG NAV'!$AR$3:$AU$3,'Valuation &amp; SBG NAV'!$AW$3:$AZ$3,'Valuation &amp; SBG NAV'!$BB$3:$BE$3,'Valuation &amp; SBG NAV'!$BG$3:$BH$3)</c:f>
              <c:strCache>
                <c:ptCount val="24"/>
                <c:pt idx="0">
                  <c:v>3Q18</c:v>
                </c:pt>
                <c:pt idx="1">
                  <c:v>4Q18</c:v>
                </c:pt>
                <c:pt idx="2">
                  <c:v>1Q19</c:v>
                </c:pt>
                <c:pt idx="3">
                  <c:v>2Q19</c:v>
                </c:pt>
                <c:pt idx="4">
                  <c:v>3Q19</c:v>
                </c:pt>
                <c:pt idx="5">
                  <c:v>4Q19</c:v>
                </c:pt>
                <c:pt idx="6">
                  <c:v>1Q20</c:v>
                </c:pt>
                <c:pt idx="7">
                  <c:v>2Q20</c:v>
                </c:pt>
                <c:pt idx="8">
                  <c:v>3Q20</c:v>
                </c:pt>
                <c:pt idx="9">
                  <c:v>4Q20</c:v>
                </c:pt>
                <c:pt idx="10">
                  <c:v>1Q21</c:v>
                </c:pt>
                <c:pt idx="11">
                  <c:v>2Q21</c:v>
                </c:pt>
                <c:pt idx="12">
                  <c:v>3Q21</c:v>
                </c:pt>
                <c:pt idx="13">
                  <c:v>4Q21</c:v>
                </c:pt>
                <c:pt idx="14">
                  <c:v>1Q22</c:v>
                </c:pt>
                <c:pt idx="15">
                  <c:v>2Q22</c:v>
                </c:pt>
                <c:pt idx="16">
                  <c:v>3Q22</c:v>
                </c:pt>
                <c:pt idx="17">
                  <c:v>4Q22</c:v>
                </c:pt>
                <c:pt idx="18">
                  <c:v>1Q23</c:v>
                </c:pt>
                <c:pt idx="19">
                  <c:v>2Q23</c:v>
                </c:pt>
                <c:pt idx="20">
                  <c:v>3Q23</c:v>
                </c:pt>
                <c:pt idx="21">
                  <c:v>4Q23</c:v>
                </c:pt>
                <c:pt idx="22">
                  <c:v>1Q24</c:v>
                </c:pt>
                <c:pt idx="23">
                  <c:v>2Q24</c:v>
                </c:pt>
              </c:strCache>
            </c:strRef>
          </c:cat>
          <c:val>
            <c:numRef>
              <c:f>('Valuation &amp; SBG NAV'!$AE$321:$AF$321,'Valuation &amp; SBG NAV'!$AH$321:$AK$321,'Valuation &amp; SBG NAV'!$AM$321:$AP$321,'Valuation &amp; SBG NAV'!$AR$321:$AU$321,'Valuation &amp; SBG NAV'!$AW$321:$AZ$321,'Valuation &amp; SBG NAV'!$BB$321:$BE$321,'Valuation &amp; SBG NAV'!$BG$321)</c:f>
              <c:numCache>
                <c:formatCode>0%</c:formatCode>
                <c:ptCount val="23"/>
                <c:pt idx="0">
                  <c:v>0.47695943284757775</c:v>
                </c:pt>
                <c:pt idx="1">
                  <c:v>0.47856357640161235</c:v>
                </c:pt>
                <c:pt idx="2">
                  <c:v>0.43636363636363634</c:v>
                </c:pt>
                <c:pt idx="3">
                  <c:v>0.46045302636464913</c:v>
                </c:pt>
                <c:pt idx="4">
                  <c:v>0.49732083054253179</c:v>
                </c:pt>
                <c:pt idx="5">
                  <c:v>0.4544374009508716</c:v>
                </c:pt>
                <c:pt idx="6">
                  <c:v>0.50845410628019327</c:v>
                </c:pt>
                <c:pt idx="7">
                  <c:v>0.5883285759594038</c:v>
                </c:pt>
                <c:pt idx="8">
                  <c:v>0.46742613029547886</c:v>
                </c:pt>
                <c:pt idx="9">
                  <c:v>0.41940789473684209</c:v>
                </c:pt>
                <c:pt idx="10">
                  <c:v>0.38554967299906573</c:v>
                </c:pt>
                <c:pt idx="11">
                  <c:v>0.28287937743190661</c:v>
                </c:pt>
                <c:pt idx="12">
                  <c:v>0.24199432509120389</c:v>
                </c:pt>
                <c:pt idx="13">
                  <c:v>0.22562553925798107</c:v>
                </c:pt>
                <c:pt idx="14">
                  <c:v>0.20683287165281625</c:v>
                </c:pt>
                <c:pt idx="15">
                  <c:v>0.15388522092432705</c:v>
                </c:pt>
                <c:pt idx="16">
                  <c:v>0.12108682811577082</c:v>
                </c:pt>
                <c:pt idx="17">
                  <c:v>4.4738500315059854E-2</c:v>
                </c:pt>
                <c:pt idx="18">
                  <c:v>1.1834319526627221E-3</c:v>
                </c:pt>
                <c:pt idx="19">
                  <c:v>5.4466230936819177E-4</c:v>
                </c:pt>
                <c:pt idx="20">
                  <c:v>4.6040515653775324E-4</c:v>
                </c:pt>
                <c:pt idx="21">
                  <c:v>3.2959789057350036E-4</c:v>
                </c:pt>
                <c:pt idx="22">
                  <c:v>2.6136957658128598E-4</c:v>
                </c:pt>
              </c:numCache>
            </c:numRef>
          </c:val>
          <c:extLst>
            <c:ext xmlns:c16="http://schemas.microsoft.com/office/drawing/2014/chart" uri="{C3380CC4-5D6E-409C-BE32-E72D297353CC}">
              <c16:uniqueId val="{00000000-304D-4559-B5F0-A6831DE847A5}"/>
            </c:ext>
          </c:extLst>
        </c:ser>
        <c:ser>
          <c:idx val="1"/>
          <c:order val="1"/>
          <c:tx>
            <c:strRef>
              <c:f>'Valuation &amp; SBG NAV'!$A$322</c:f>
              <c:strCache>
                <c:ptCount val="1"/>
                <c:pt idx="0">
                  <c:v>Domestic telcos</c:v>
                </c:pt>
              </c:strCache>
            </c:strRef>
          </c:tx>
          <c:spPr>
            <a:solidFill>
              <a:srgbClr val="9D9D9C"/>
            </a:solidFill>
            <a:ln>
              <a:noFill/>
            </a:ln>
            <a:effectLst/>
          </c:spPr>
          <c:cat>
            <c:strRef>
              <c:f>('Valuation &amp; SBG NAV'!$AE$3:$AF$3,'Valuation &amp; SBG NAV'!$AH$3:$AK$3,'Valuation &amp; SBG NAV'!$AM$3:$AP$3,'Valuation &amp; SBG NAV'!$AR$3:$AU$3,'Valuation &amp; SBG NAV'!$AW$3:$AZ$3,'Valuation &amp; SBG NAV'!$BB$3:$BE$3,'Valuation &amp; SBG NAV'!$BG$3:$BH$3)</c:f>
              <c:strCache>
                <c:ptCount val="24"/>
                <c:pt idx="0">
                  <c:v>3Q18</c:v>
                </c:pt>
                <c:pt idx="1">
                  <c:v>4Q18</c:v>
                </c:pt>
                <c:pt idx="2">
                  <c:v>1Q19</c:v>
                </c:pt>
                <c:pt idx="3">
                  <c:v>2Q19</c:v>
                </c:pt>
                <c:pt idx="4">
                  <c:v>3Q19</c:v>
                </c:pt>
                <c:pt idx="5">
                  <c:v>4Q19</c:v>
                </c:pt>
                <c:pt idx="6">
                  <c:v>1Q20</c:v>
                </c:pt>
                <c:pt idx="7">
                  <c:v>2Q20</c:v>
                </c:pt>
                <c:pt idx="8">
                  <c:v>3Q20</c:v>
                </c:pt>
                <c:pt idx="9">
                  <c:v>4Q20</c:v>
                </c:pt>
                <c:pt idx="10">
                  <c:v>1Q21</c:v>
                </c:pt>
                <c:pt idx="11">
                  <c:v>2Q21</c:v>
                </c:pt>
                <c:pt idx="12">
                  <c:v>3Q21</c:v>
                </c:pt>
                <c:pt idx="13">
                  <c:v>4Q21</c:v>
                </c:pt>
                <c:pt idx="14">
                  <c:v>1Q22</c:v>
                </c:pt>
                <c:pt idx="15">
                  <c:v>2Q22</c:v>
                </c:pt>
                <c:pt idx="16">
                  <c:v>3Q22</c:v>
                </c:pt>
                <c:pt idx="17">
                  <c:v>4Q22</c:v>
                </c:pt>
                <c:pt idx="18">
                  <c:v>1Q23</c:v>
                </c:pt>
                <c:pt idx="19">
                  <c:v>2Q23</c:v>
                </c:pt>
                <c:pt idx="20">
                  <c:v>3Q23</c:v>
                </c:pt>
                <c:pt idx="21">
                  <c:v>4Q23</c:v>
                </c:pt>
                <c:pt idx="22">
                  <c:v>1Q24</c:v>
                </c:pt>
                <c:pt idx="23">
                  <c:v>2Q24</c:v>
                </c:pt>
              </c:strCache>
            </c:strRef>
          </c:cat>
          <c:val>
            <c:numRef>
              <c:f>('Valuation &amp; SBG NAV'!$AE$322:$AF$322,'Valuation &amp; SBG NAV'!$AH$322:$AK$322,'Valuation &amp; SBG NAV'!$AM$322:$AP$322,'Valuation &amp; SBG NAV'!$AR$322:$AU$322,'Valuation &amp; SBG NAV'!$AW$322:$AZ$322,'Valuation &amp; SBG NAV'!$BB$322:$BE$322,'Valuation &amp; SBG NAV'!$BG$322)</c:f>
              <c:numCache>
                <c:formatCode>0%</c:formatCode>
                <c:ptCount val="23"/>
                <c:pt idx="0">
                  <c:v>0.19377707758960219</c:v>
                </c:pt>
                <c:pt idx="1">
                  <c:v>0.18614877244411873</c:v>
                </c:pt>
                <c:pt idx="2">
                  <c:v>0.18181818181818182</c:v>
                </c:pt>
                <c:pt idx="3">
                  <c:v>0.17786854808763461</c:v>
                </c:pt>
                <c:pt idx="4">
                  <c:v>0.1604152712659076</c:v>
                </c:pt>
                <c:pt idx="5">
                  <c:v>0.17749603803486533</c:v>
                </c:pt>
                <c:pt idx="6">
                  <c:v>0.142914653784219</c:v>
                </c:pt>
                <c:pt idx="7">
                  <c:v>5.5819854107199487E-2</c:v>
                </c:pt>
                <c:pt idx="8">
                  <c:v>7.0487718049127804E-2</c:v>
                </c:pt>
                <c:pt idx="9">
                  <c:v>7.4342105263157876E-2</c:v>
                </c:pt>
                <c:pt idx="10">
                  <c:v>7.1005917159763315E-2</c:v>
                </c:pt>
                <c:pt idx="11">
                  <c:v>9.3385214007782102E-2</c:v>
                </c:pt>
                <c:pt idx="12">
                  <c:v>9.2825293879205517E-2</c:v>
                </c:pt>
                <c:pt idx="13">
                  <c:v>9.6635030198446964E-2</c:v>
                </c:pt>
                <c:pt idx="14">
                  <c:v>0.1103416435826408</c:v>
                </c:pt>
                <c:pt idx="15">
                  <c:v>0.1122397155916709</c:v>
                </c:pt>
                <c:pt idx="16">
                  <c:v>0.13526284701712937</c:v>
                </c:pt>
                <c:pt idx="17">
                  <c:v>0.14933837429111532</c:v>
                </c:pt>
                <c:pt idx="18">
                  <c:v>0.14142011834319529</c:v>
                </c:pt>
                <c:pt idx="19">
                  <c:v>0.1454248366013072</c:v>
                </c:pt>
                <c:pt idx="20">
                  <c:v>0.12891344383057091</c:v>
                </c:pt>
                <c:pt idx="21">
                  <c:v>0.10415293342122611</c:v>
                </c:pt>
                <c:pt idx="22">
                  <c:v>8.3638264506011514E-2</c:v>
                </c:pt>
              </c:numCache>
            </c:numRef>
          </c:val>
          <c:extLst>
            <c:ext xmlns:c16="http://schemas.microsoft.com/office/drawing/2014/chart" uri="{C3380CC4-5D6E-409C-BE32-E72D297353CC}">
              <c16:uniqueId val="{00000001-304D-4559-B5F0-A6831DE847A5}"/>
            </c:ext>
          </c:extLst>
        </c:ser>
        <c:ser>
          <c:idx val="2"/>
          <c:order val="2"/>
          <c:tx>
            <c:strRef>
              <c:f>'Valuation &amp; SBG NAV'!$A$323</c:f>
              <c:strCache>
                <c:ptCount val="1"/>
                <c:pt idx="0">
                  <c:v>International telcos</c:v>
                </c:pt>
              </c:strCache>
            </c:strRef>
          </c:tx>
          <c:spPr>
            <a:solidFill>
              <a:srgbClr val="FF00FF"/>
            </a:solidFill>
            <a:ln>
              <a:noFill/>
            </a:ln>
            <a:effectLst/>
          </c:spPr>
          <c:cat>
            <c:strRef>
              <c:f>('Valuation &amp; SBG NAV'!$AE$3:$AF$3,'Valuation &amp; SBG NAV'!$AH$3:$AK$3,'Valuation &amp; SBG NAV'!$AM$3:$AP$3,'Valuation &amp; SBG NAV'!$AR$3:$AU$3,'Valuation &amp; SBG NAV'!$AW$3:$AZ$3,'Valuation &amp; SBG NAV'!$BB$3:$BE$3,'Valuation &amp; SBG NAV'!$BG$3:$BH$3)</c:f>
              <c:strCache>
                <c:ptCount val="24"/>
                <c:pt idx="0">
                  <c:v>3Q18</c:v>
                </c:pt>
                <c:pt idx="1">
                  <c:v>4Q18</c:v>
                </c:pt>
                <c:pt idx="2">
                  <c:v>1Q19</c:v>
                </c:pt>
                <c:pt idx="3">
                  <c:v>2Q19</c:v>
                </c:pt>
                <c:pt idx="4">
                  <c:v>3Q19</c:v>
                </c:pt>
                <c:pt idx="5">
                  <c:v>4Q19</c:v>
                </c:pt>
                <c:pt idx="6">
                  <c:v>1Q20</c:v>
                </c:pt>
                <c:pt idx="7">
                  <c:v>2Q20</c:v>
                </c:pt>
                <c:pt idx="8">
                  <c:v>3Q20</c:v>
                </c:pt>
                <c:pt idx="9">
                  <c:v>4Q20</c:v>
                </c:pt>
                <c:pt idx="10">
                  <c:v>1Q21</c:v>
                </c:pt>
                <c:pt idx="11">
                  <c:v>2Q21</c:v>
                </c:pt>
                <c:pt idx="12">
                  <c:v>3Q21</c:v>
                </c:pt>
                <c:pt idx="13">
                  <c:v>4Q21</c:v>
                </c:pt>
                <c:pt idx="14">
                  <c:v>1Q22</c:v>
                </c:pt>
                <c:pt idx="15">
                  <c:v>2Q22</c:v>
                </c:pt>
                <c:pt idx="16">
                  <c:v>3Q22</c:v>
                </c:pt>
                <c:pt idx="17">
                  <c:v>4Q22</c:v>
                </c:pt>
                <c:pt idx="18">
                  <c:v>1Q23</c:v>
                </c:pt>
                <c:pt idx="19">
                  <c:v>2Q23</c:v>
                </c:pt>
                <c:pt idx="20">
                  <c:v>3Q23</c:v>
                </c:pt>
                <c:pt idx="21">
                  <c:v>4Q23</c:v>
                </c:pt>
                <c:pt idx="22">
                  <c:v>1Q24</c:v>
                </c:pt>
                <c:pt idx="23">
                  <c:v>2Q24</c:v>
                </c:pt>
              </c:strCache>
            </c:strRef>
          </c:cat>
          <c:val>
            <c:numRef>
              <c:f>('Valuation &amp; SBG NAV'!$AE$323:$AF$323,'Valuation &amp; SBG NAV'!$AH$323:$AK$323,'Valuation &amp; SBG NAV'!$AM$323:$AP$323,'Valuation &amp; SBG NAV'!$AR$323:$AU$323,'Valuation &amp; SBG NAV'!$AW$323:$AZ$323,'Valuation &amp; SBG NAV'!$BB$323:$BE$323,'Valuation &amp; SBG NAV'!$BG$323)</c:f>
              <c:numCache>
                <c:formatCode>0%</c:formatCode>
                <c:ptCount val="23"/>
                <c:pt idx="0">
                  <c:v>0.10594722331626624</c:v>
                </c:pt>
                <c:pt idx="1">
                  <c:v>0.10333455478197141</c:v>
                </c:pt>
                <c:pt idx="2">
                  <c:v>0.11218568665377175</c:v>
                </c:pt>
                <c:pt idx="3">
                  <c:v>0.11622725584849609</c:v>
                </c:pt>
                <c:pt idx="4">
                  <c:v>0.10817146684527798</c:v>
                </c:pt>
                <c:pt idx="5">
                  <c:v>0.12559429477020603</c:v>
                </c:pt>
                <c:pt idx="6">
                  <c:v>5.475040257648954E-2</c:v>
                </c:pt>
                <c:pt idx="7">
                  <c:v>4.0279099270535995E-2</c:v>
                </c:pt>
                <c:pt idx="8">
                  <c:v>5.5891776432894273E-2</c:v>
                </c:pt>
                <c:pt idx="9">
                  <c:v>4.9671052631578942E-2</c:v>
                </c:pt>
                <c:pt idx="10">
                  <c:v>5.854873871068203E-2</c:v>
                </c:pt>
                <c:pt idx="11">
                  <c:v>5.0194552529182881E-2</c:v>
                </c:pt>
                <c:pt idx="12">
                  <c:v>3.3238751520064856E-2</c:v>
                </c:pt>
                <c:pt idx="13">
                  <c:v>4.5729076790336505E-2</c:v>
                </c:pt>
                <c:pt idx="14">
                  <c:v>5.4016620498614949E-2</c:v>
                </c:pt>
                <c:pt idx="15">
                  <c:v>6.5007618080243759E-2</c:v>
                </c:pt>
                <c:pt idx="16">
                  <c:v>7.7377436503248659E-2</c:v>
                </c:pt>
                <c:pt idx="17">
                  <c:v>9.5148078134845618E-2</c:v>
                </c:pt>
                <c:pt idx="18">
                  <c:v>8.461538461538462E-2</c:v>
                </c:pt>
                <c:pt idx="19">
                  <c:v>8.1699346405228759E-2</c:v>
                </c:pt>
                <c:pt idx="20">
                  <c:v>8.7937384898710877E-2</c:v>
                </c:pt>
                <c:pt idx="21">
                  <c:v>6.8885959129861563E-2</c:v>
                </c:pt>
                <c:pt idx="22">
                  <c:v>7.2922111866178779E-2</c:v>
                </c:pt>
              </c:numCache>
            </c:numRef>
          </c:val>
          <c:extLst>
            <c:ext xmlns:c16="http://schemas.microsoft.com/office/drawing/2014/chart" uri="{C3380CC4-5D6E-409C-BE32-E72D297353CC}">
              <c16:uniqueId val="{00000002-304D-4559-B5F0-A6831DE847A5}"/>
            </c:ext>
          </c:extLst>
        </c:ser>
        <c:ser>
          <c:idx val="3"/>
          <c:order val="3"/>
          <c:tx>
            <c:strRef>
              <c:f>'Valuation &amp; SBG NAV'!$A$324</c:f>
              <c:strCache>
                <c:ptCount val="1"/>
                <c:pt idx="0">
                  <c:v>Vision Funds</c:v>
                </c:pt>
              </c:strCache>
            </c:strRef>
          </c:tx>
          <c:spPr>
            <a:solidFill>
              <a:srgbClr val="FFC000"/>
            </a:solidFill>
            <a:ln>
              <a:noFill/>
            </a:ln>
            <a:effectLst/>
          </c:spPr>
          <c:cat>
            <c:strRef>
              <c:f>('Valuation &amp; SBG NAV'!$AE$3:$AF$3,'Valuation &amp; SBG NAV'!$AH$3:$AK$3,'Valuation &amp; SBG NAV'!$AM$3:$AP$3,'Valuation &amp; SBG NAV'!$AR$3:$AU$3,'Valuation &amp; SBG NAV'!$AW$3:$AZ$3,'Valuation &amp; SBG NAV'!$BB$3:$BE$3,'Valuation &amp; SBG NAV'!$BG$3:$BH$3)</c:f>
              <c:strCache>
                <c:ptCount val="24"/>
                <c:pt idx="0">
                  <c:v>3Q18</c:v>
                </c:pt>
                <c:pt idx="1">
                  <c:v>4Q18</c:v>
                </c:pt>
                <c:pt idx="2">
                  <c:v>1Q19</c:v>
                </c:pt>
                <c:pt idx="3">
                  <c:v>2Q19</c:v>
                </c:pt>
                <c:pt idx="4">
                  <c:v>3Q19</c:v>
                </c:pt>
                <c:pt idx="5">
                  <c:v>4Q19</c:v>
                </c:pt>
                <c:pt idx="6">
                  <c:v>1Q20</c:v>
                </c:pt>
                <c:pt idx="7">
                  <c:v>2Q20</c:v>
                </c:pt>
                <c:pt idx="8">
                  <c:v>3Q20</c:v>
                </c:pt>
                <c:pt idx="9">
                  <c:v>4Q20</c:v>
                </c:pt>
                <c:pt idx="10">
                  <c:v>1Q21</c:v>
                </c:pt>
                <c:pt idx="11">
                  <c:v>2Q21</c:v>
                </c:pt>
                <c:pt idx="12">
                  <c:v>3Q21</c:v>
                </c:pt>
                <c:pt idx="13">
                  <c:v>4Q21</c:v>
                </c:pt>
                <c:pt idx="14">
                  <c:v>1Q22</c:v>
                </c:pt>
                <c:pt idx="15">
                  <c:v>2Q22</c:v>
                </c:pt>
                <c:pt idx="16">
                  <c:v>3Q22</c:v>
                </c:pt>
                <c:pt idx="17">
                  <c:v>4Q22</c:v>
                </c:pt>
                <c:pt idx="18">
                  <c:v>1Q23</c:v>
                </c:pt>
                <c:pt idx="19">
                  <c:v>2Q23</c:v>
                </c:pt>
                <c:pt idx="20">
                  <c:v>3Q23</c:v>
                </c:pt>
                <c:pt idx="21">
                  <c:v>4Q23</c:v>
                </c:pt>
                <c:pt idx="22">
                  <c:v>1Q24</c:v>
                </c:pt>
                <c:pt idx="23">
                  <c:v>2Q24</c:v>
                </c:pt>
              </c:strCache>
            </c:strRef>
          </c:cat>
          <c:val>
            <c:numRef>
              <c:f>('Valuation &amp; SBG NAV'!$AE$324:$AF$324,'Valuation &amp; SBG NAV'!$AH$324:$AK$324,'Valuation &amp; SBG NAV'!$AM$324:$AP$324,'Valuation &amp; SBG NAV'!$AR$324:$AU$324,'Valuation &amp; SBG NAV'!$AW$324:$AZ$324,'Valuation &amp; SBG NAV'!$BB$324:$BE$324,'Valuation &amp; SBG NAV'!$BG$324)</c:f>
              <c:numCache>
                <c:formatCode>0%</c:formatCode>
                <c:ptCount val="23"/>
                <c:pt idx="0">
                  <c:v>0.10634107916502561</c:v>
                </c:pt>
                <c:pt idx="1">
                  <c:v>0.11542689629901062</c:v>
                </c:pt>
                <c:pt idx="2">
                  <c:v>0.13346228239845262</c:v>
                </c:pt>
                <c:pt idx="3">
                  <c:v>0.11771258819160788</c:v>
                </c:pt>
                <c:pt idx="4">
                  <c:v>0.1054922973878098</c:v>
                </c:pt>
                <c:pt idx="5">
                  <c:v>0.10340729001584786</c:v>
                </c:pt>
                <c:pt idx="6">
                  <c:v>0.12520128824476651</c:v>
                </c:pt>
                <c:pt idx="7">
                  <c:v>0.12337456390738978</c:v>
                </c:pt>
                <c:pt idx="8">
                  <c:v>0.19615521537913852</c:v>
                </c:pt>
                <c:pt idx="9">
                  <c:v>0.26151315789473684</c:v>
                </c:pt>
                <c:pt idx="10">
                  <c:v>0.30551230146371849</c:v>
                </c:pt>
                <c:pt idx="11">
                  <c:v>0.38949416342412452</c:v>
                </c:pt>
                <c:pt idx="12">
                  <c:v>0.44426428860964734</c:v>
                </c:pt>
                <c:pt idx="13">
                  <c:v>0.43485763589301124</c:v>
                </c:pt>
                <c:pt idx="14">
                  <c:v>0.40951061865189287</c:v>
                </c:pt>
                <c:pt idx="15">
                  <c:v>0.42915185373285936</c:v>
                </c:pt>
                <c:pt idx="16">
                  <c:v>0.43473124630832843</c:v>
                </c:pt>
                <c:pt idx="17">
                  <c:v>0.44801512287334594</c:v>
                </c:pt>
                <c:pt idx="18">
                  <c:v>0.4721893491124261</c:v>
                </c:pt>
                <c:pt idx="19">
                  <c:v>0.44226579520697162</c:v>
                </c:pt>
                <c:pt idx="20">
                  <c:v>0.38213627992633514</c:v>
                </c:pt>
                <c:pt idx="21">
                  <c:v>0.29103493737640079</c:v>
                </c:pt>
                <c:pt idx="22">
                  <c:v>0.24150548876110817</c:v>
                </c:pt>
              </c:numCache>
            </c:numRef>
          </c:val>
          <c:extLst>
            <c:ext xmlns:c16="http://schemas.microsoft.com/office/drawing/2014/chart" uri="{C3380CC4-5D6E-409C-BE32-E72D297353CC}">
              <c16:uniqueId val="{00000003-304D-4559-B5F0-A6831DE847A5}"/>
            </c:ext>
          </c:extLst>
        </c:ser>
        <c:ser>
          <c:idx val="4"/>
          <c:order val="4"/>
          <c:tx>
            <c:strRef>
              <c:f>'Valuation &amp; SBG NAV'!$A$325</c:f>
              <c:strCache>
                <c:ptCount val="1"/>
                <c:pt idx="0">
                  <c:v>Arm</c:v>
                </c:pt>
              </c:strCache>
            </c:strRef>
          </c:tx>
          <c:spPr>
            <a:solidFill>
              <a:srgbClr val="023D67"/>
            </a:solidFill>
            <a:ln>
              <a:noFill/>
            </a:ln>
            <a:effectLst/>
          </c:spPr>
          <c:cat>
            <c:strRef>
              <c:f>('Valuation &amp; SBG NAV'!$AE$3:$AF$3,'Valuation &amp; SBG NAV'!$AH$3:$AK$3,'Valuation &amp; SBG NAV'!$AM$3:$AP$3,'Valuation &amp; SBG NAV'!$AR$3:$AU$3,'Valuation &amp; SBG NAV'!$AW$3:$AZ$3,'Valuation &amp; SBG NAV'!$BB$3:$BE$3,'Valuation &amp; SBG NAV'!$BG$3:$BH$3)</c:f>
              <c:strCache>
                <c:ptCount val="24"/>
                <c:pt idx="0">
                  <c:v>3Q18</c:v>
                </c:pt>
                <c:pt idx="1">
                  <c:v>4Q18</c:v>
                </c:pt>
                <c:pt idx="2">
                  <c:v>1Q19</c:v>
                </c:pt>
                <c:pt idx="3">
                  <c:v>2Q19</c:v>
                </c:pt>
                <c:pt idx="4">
                  <c:v>3Q19</c:v>
                </c:pt>
                <c:pt idx="5">
                  <c:v>4Q19</c:v>
                </c:pt>
                <c:pt idx="6">
                  <c:v>1Q20</c:v>
                </c:pt>
                <c:pt idx="7">
                  <c:v>2Q20</c:v>
                </c:pt>
                <c:pt idx="8">
                  <c:v>3Q20</c:v>
                </c:pt>
                <c:pt idx="9">
                  <c:v>4Q20</c:v>
                </c:pt>
                <c:pt idx="10">
                  <c:v>1Q21</c:v>
                </c:pt>
                <c:pt idx="11">
                  <c:v>2Q21</c:v>
                </c:pt>
                <c:pt idx="12">
                  <c:v>3Q21</c:v>
                </c:pt>
                <c:pt idx="13">
                  <c:v>4Q21</c:v>
                </c:pt>
                <c:pt idx="14">
                  <c:v>1Q22</c:v>
                </c:pt>
                <c:pt idx="15">
                  <c:v>2Q22</c:v>
                </c:pt>
                <c:pt idx="16">
                  <c:v>3Q22</c:v>
                </c:pt>
                <c:pt idx="17">
                  <c:v>4Q22</c:v>
                </c:pt>
                <c:pt idx="18">
                  <c:v>1Q23</c:v>
                </c:pt>
                <c:pt idx="19">
                  <c:v>2Q23</c:v>
                </c:pt>
                <c:pt idx="20">
                  <c:v>3Q23</c:v>
                </c:pt>
                <c:pt idx="21">
                  <c:v>4Q23</c:v>
                </c:pt>
                <c:pt idx="22">
                  <c:v>1Q24</c:v>
                </c:pt>
                <c:pt idx="23">
                  <c:v>2Q24</c:v>
                </c:pt>
              </c:strCache>
            </c:strRef>
          </c:cat>
          <c:val>
            <c:numRef>
              <c:f>('Valuation &amp; SBG NAV'!$AE$325:$AF$325,'Valuation &amp; SBG NAV'!$AH$325:$AK$325,'Valuation &amp; SBG NAV'!$AM$325:$AP$325,'Valuation &amp; SBG NAV'!$AR$325:$AU$325,'Valuation &amp; SBG NAV'!$AW$325:$AZ$325,'Valuation &amp; SBG NAV'!$BB$325:$BE$325,'Valuation &amp; SBG NAV'!$BG$325)</c:f>
              <c:numCache>
                <c:formatCode>0%</c:formatCode>
                <c:ptCount val="23"/>
                <c:pt idx="0">
                  <c:v>0.10634107916502561</c:v>
                </c:pt>
                <c:pt idx="1">
                  <c:v>9.9303774276291681E-2</c:v>
                </c:pt>
                <c:pt idx="2">
                  <c:v>0.10135396518375242</c:v>
                </c:pt>
                <c:pt idx="3">
                  <c:v>9.9517266988488687E-2</c:v>
                </c:pt>
                <c:pt idx="4">
                  <c:v>9.0421969189551255E-2</c:v>
                </c:pt>
                <c:pt idx="5">
                  <c:v>0.10419968304278923</c:v>
                </c:pt>
                <c:pt idx="6">
                  <c:v>0.10668276972624799</c:v>
                </c:pt>
                <c:pt idx="7">
                  <c:v>8.2461148112908347E-2</c:v>
                </c:pt>
                <c:pt idx="8">
                  <c:v>9.0779636881452463E-2</c:v>
                </c:pt>
                <c:pt idx="9">
                  <c:v>8.9473684210526316E-2</c:v>
                </c:pt>
                <c:pt idx="10">
                  <c:v>8.4708813453752738E-2</c:v>
                </c:pt>
                <c:pt idx="11">
                  <c:v>0.10700389105058367</c:v>
                </c:pt>
                <c:pt idx="12">
                  <c:v>0.11471422780705311</c:v>
                </c:pt>
                <c:pt idx="13">
                  <c:v>0.11691113028472823</c:v>
                </c:pt>
                <c:pt idx="14">
                  <c:v>0.136657433056325</c:v>
                </c:pt>
                <c:pt idx="15">
                  <c:v>0.15896394108684611</c:v>
                </c:pt>
                <c:pt idx="16">
                  <c:v>0.1553455404607206</c:v>
                </c:pt>
                <c:pt idx="17">
                  <c:v>0.1808443604284814</c:v>
                </c:pt>
                <c:pt idx="18">
                  <c:v>0.21656804733727814</c:v>
                </c:pt>
                <c:pt idx="19">
                  <c:v>0.23583877995642702</c:v>
                </c:pt>
                <c:pt idx="20">
                  <c:v>0.31906077348066297</c:v>
                </c:pt>
                <c:pt idx="21">
                  <c:v>0.47330257086354643</c:v>
                </c:pt>
                <c:pt idx="22">
                  <c:v>0.54939884997386301</c:v>
                </c:pt>
              </c:numCache>
            </c:numRef>
          </c:val>
          <c:extLst>
            <c:ext xmlns:c16="http://schemas.microsoft.com/office/drawing/2014/chart" uri="{C3380CC4-5D6E-409C-BE32-E72D297353CC}">
              <c16:uniqueId val="{00000004-304D-4559-B5F0-A6831DE847A5}"/>
            </c:ext>
          </c:extLst>
        </c:ser>
        <c:ser>
          <c:idx val="5"/>
          <c:order val="5"/>
          <c:tx>
            <c:strRef>
              <c:f>'Valuation &amp; SBG NAV'!$A$326</c:f>
              <c:strCache>
                <c:ptCount val="1"/>
                <c:pt idx="0">
                  <c:v>Others</c:v>
                </c:pt>
              </c:strCache>
            </c:strRef>
          </c:tx>
          <c:spPr>
            <a:solidFill>
              <a:srgbClr val="2EB2A5"/>
            </a:solidFill>
            <a:ln>
              <a:noFill/>
            </a:ln>
            <a:effectLst/>
          </c:spPr>
          <c:cat>
            <c:strRef>
              <c:f>('Valuation &amp; SBG NAV'!$AE$3:$AF$3,'Valuation &amp; SBG NAV'!$AH$3:$AK$3,'Valuation &amp; SBG NAV'!$AM$3:$AP$3,'Valuation &amp; SBG NAV'!$AR$3:$AU$3,'Valuation &amp; SBG NAV'!$AW$3:$AZ$3,'Valuation &amp; SBG NAV'!$BB$3:$BE$3,'Valuation &amp; SBG NAV'!$BG$3:$BH$3)</c:f>
              <c:strCache>
                <c:ptCount val="24"/>
                <c:pt idx="0">
                  <c:v>3Q18</c:v>
                </c:pt>
                <c:pt idx="1">
                  <c:v>4Q18</c:v>
                </c:pt>
                <c:pt idx="2">
                  <c:v>1Q19</c:v>
                </c:pt>
                <c:pt idx="3">
                  <c:v>2Q19</c:v>
                </c:pt>
                <c:pt idx="4">
                  <c:v>3Q19</c:v>
                </c:pt>
                <c:pt idx="5">
                  <c:v>4Q19</c:v>
                </c:pt>
                <c:pt idx="6">
                  <c:v>1Q20</c:v>
                </c:pt>
                <c:pt idx="7">
                  <c:v>2Q20</c:v>
                </c:pt>
                <c:pt idx="8">
                  <c:v>3Q20</c:v>
                </c:pt>
                <c:pt idx="9">
                  <c:v>4Q20</c:v>
                </c:pt>
                <c:pt idx="10">
                  <c:v>1Q21</c:v>
                </c:pt>
                <c:pt idx="11">
                  <c:v>2Q21</c:v>
                </c:pt>
                <c:pt idx="12">
                  <c:v>3Q21</c:v>
                </c:pt>
                <c:pt idx="13">
                  <c:v>4Q21</c:v>
                </c:pt>
                <c:pt idx="14">
                  <c:v>1Q22</c:v>
                </c:pt>
                <c:pt idx="15">
                  <c:v>2Q22</c:v>
                </c:pt>
                <c:pt idx="16">
                  <c:v>3Q22</c:v>
                </c:pt>
                <c:pt idx="17">
                  <c:v>4Q22</c:v>
                </c:pt>
                <c:pt idx="18">
                  <c:v>1Q23</c:v>
                </c:pt>
                <c:pt idx="19">
                  <c:v>2Q23</c:v>
                </c:pt>
                <c:pt idx="20">
                  <c:v>3Q23</c:v>
                </c:pt>
                <c:pt idx="21">
                  <c:v>4Q23</c:v>
                </c:pt>
                <c:pt idx="22">
                  <c:v>1Q24</c:v>
                </c:pt>
                <c:pt idx="23">
                  <c:v>2Q24</c:v>
                </c:pt>
              </c:strCache>
            </c:strRef>
          </c:cat>
          <c:val>
            <c:numRef>
              <c:f>('Valuation &amp; SBG NAV'!$AE$326:$AF$326,'Valuation &amp; SBG NAV'!$AH$326:$AK$326,'Valuation &amp; SBG NAV'!$AM$326:$AP$326,'Valuation &amp; SBG NAV'!$AR$326:$AU$326,'Valuation &amp; SBG NAV'!$AW$326:$AZ$326,'Valuation &amp; SBG NAV'!$BB$326:$BE$326,'Valuation &amp; SBG NAV'!$BG$326)</c:f>
              <c:numCache>
                <c:formatCode>0%</c:formatCode>
                <c:ptCount val="23"/>
                <c:pt idx="0">
                  <c:v>1.063410791650256E-2</c:v>
                </c:pt>
                <c:pt idx="1">
                  <c:v>1.7222425796995237E-2</c:v>
                </c:pt>
                <c:pt idx="2">
                  <c:v>3.4816247582205029E-2</c:v>
                </c:pt>
                <c:pt idx="3">
                  <c:v>2.8221314519123655E-2</c:v>
                </c:pt>
                <c:pt idx="4">
                  <c:v>3.8178164768921635E-2</c:v>
                </c:pt>
                <c:pt idx="5">
                  <c:v>3.486529318541997E-2</c:v>
                </c:pt>
                <c:pt idx="6">
                  <c:v>6.1996779388083741E-2</c:v>
                </c:pt>
                <c:pt idx="7">
                  <c:v>0.10973675864256263</c:v>
                </c:pt>
                <c:pt idx="8">
                  <c:v>0.11925952296190814</c:v>
                </c:pt>
                <c:pt idx="9">
                  <c:v>0.10559210526315789</c:v>
                </c:pt>
                <c:pt idx="10">
                  <c:v>9.4674556213017749E-2</c:v>
                </c:pt>
                <c:pt idx="11">
                  <c:v>7.7042801556420237E-2</c:v>
                </c:pt>
                <c:pt idx="12">
                  <c:v>7.2963113092825299E-2</c:v>
                </c:pt>
                <c:pt idx="13">
                  <c:v>8.0241587575496126E-2</c:v>
                </c:pt>
                <c:pt idx="14">
                  <c:v>8.2640812557710053E-2</c:v>
                </c:pt>
                <c:pt idx="15">
                  <c:v>8.0751650584052814E-2</c:v>
                </c:pt>
                <c:pt idx="16">
                  <c:v>7.6196101594802126E-2</c:v>
                </c:pt>
                <c:pt idx="17">
                  <c:v>8.1915563957151855E-2</c:v>
                </c:pt>
                <c:pt idx="18">
                  <c:v>8.4023668639053251E-2</c:v>
                </c:pt>
                <c:pt idx="19">
                  <c:v>9.4226579520697171E-2</c:v>
                </c:pt>
                <c:pt idx="20">
                  <c:v>8.1491712707182321E-2</c:v>
                </c:pt>
                <c:pt idx="21">
                  <c:v>6.2294001318391558E-2</c:v>
                </c:pt>
                <c:pt idx="22">
                  <c:v>5.2273915316257191E-2</c:v>
                </c:pt>
              </c:numCache>
            </c:numRef>
          </c:val>
          <c:extLst>
            <c:ext xmlns:c16="http://schemas.microsoft.com/office/drawing/2014/chart" uri="{C3380CC4-5D6E-409C-BE32-E72D297353CC}">
              <c16:uniqueId val="{00000005-304D-4559-B5F0-A6831DE847A5}"/>
            </c:ext>
          </c:extLst>
        </c:ser>
        <c:dLbls>
          <c:showLegendKey val="0"/>
          <c:showVal val="0"/>
          <c:showCatName val="0"/>
          <c:showSerName val="0"/>
          <c:showPercent val="0"/>
          <c:showBubbleSize val="0"/>
        </c:dLbls>
        <c:axId val="107279888"/>
        <c:axId val="107276528"/>
      </c:areaChart>
      <c:catAx>
        <c:axId val="10727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107276528"/>
        <c:crosses val="autoZero"/>
        <c:auto val="1"/>
        <c:lblAlgn val="ctr"/>
        <c:lblOffset val="100"/>
        <c:noMultiLvlLbl val="0"/>
      </c:catAx>
      <c:valAx>
        <c:axId val="107276528"/>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072798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v>% of gross assets</c:v>
          </c:tx>
          <c:spPr>
            <a:solidFill>
              <a:srgbClr val="2EB2A5"/>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4-3B67-49C9-91F7-31A6349FC98C}"/>
                </c:ext>
              </c:extLst>
            </c:dLbl>
            <c:dLbl>
              <c:idx val="1"/>
              <c:delete val="1"/>
              <c:extLst>
                <c:ext xmlns:c15="http://schemas.microsoft.com/office/drawing/2012/chart" uri="{CE6537A1-D6FC-4f65-9D91-7224C49458BB}"/>
                <c:ext xmlns:c16="http://schemas.microsoft.com/office/drawing/2014/chart" uri="{C3380CC4-5D6E-409C-BE32-E72D297353CC}">
                  <c16:uniqueId val="{00000005-3B67-49C9-91F7-31A6349FC98C}"/>
                </c:ext>
              </c:extLst>
            </c:dLbl>
            <c:dLbl>
              <c:idx val="2"/>
              <c:delete val="1"/>
              <c:extLst>
                <c:ext xmlns:c15="http://schemas.microsoft.com/office/drawing/2012/chart" uri="{CE6537A1-D6FC-4f65-9D91-7224C49458BB}"/>
                <c:ext xmlns:c16="http://schemas.microsoft.com/office/drawing/2014/chart" uri="{C3380CC4-5D6E-409C-BE32-E72D297353CC}">
                  <c16:uniqueId val="{00000006-3B67-49C9-91F7-31A6349FC98C}"/>
                </c:ext>
              </c:extLst>
            </c:dLbl>
            <c:dLbl>
              <c:idx val="3"/>
              <c:delete val="1"/>
              <c:extLst>
                <c:ext xmlns:c15="http://schemas.microsoft.com/office/drawing/2012/chart" uri="{CE6537A1-D6FC-4f65-9D91-7224C49458BB}"/>
                <c:ext xmlns:c16="http://schemas.microsoft.com/office/drawing/2014/chart" uri="{C3380CC4-5D6E-409C-BE32-E72D297353CC}">
                  <c16:uniqueId val="{00000007-3B67-49C9-91F7-31A6349FC98C}"/>
                </c:ext>
              </c:extLst>
            </c:dLbl>
            <c:dLbl>
              <c:idx val="4"/>
              <c:delete val="1"/>
              <c:extLst>
                <c:ext xmlns:c15="http://schemas.microsoft.com/office/drawing/2012/chart" uri="{CE6537A1-D6FC-4f65-9D91-7224C49458BB}"/>
                <c:ext xmlns:c16="http://schemas.microsoft.com/office/drawing/2014/chart" uri="{C3380CC4-5D6E-409C-BE32-E72D297353CC}">
                  <c16:uniqueId val="{00000008-3B67-49C9-91F7-31A6349FC98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&amp; SBG NAV'!$BG$339:$BJ$339,'Valuation &amp; SBG NAV'!$BL$339:$BU$339)</c:f>
              <c:strCache>
                <c:ptCount val="10"/>
                <c:pt idx="0">
                  <c:v>1Q24</c:v>
                </c:pt>
                <c:pt idx="1">
                  <c:v>2Q24</c:v>
                </c:pt>
                <c:pt idx="2">
                  <c:v>3Q24</c:v>
                </c:pt>
                <c:pt idx="3">
                  <c:v>4Q24</c:v>
                </c:pt>
                <c:pt idx="4">
                  <c:v>1Q25</c:v>
                </c:pt>
                <c:pt idx="5">
                  <c:v>2Q25</c:v>
                </c:pt>
                <c:pt idx="6">
                  <c:v>3Q25E</c:v>
                </c:pt>
                <c:pt idx="7">
                  <c:v>PF $450bn</c:v>
                </c:pt>
                <c:pt idx="8">
                  <c:v>PF $500bn</c:v>
                </c:pt>
                <c:pt idx="9">
                  <c:v>Funding</c:v>
                </c:pt>
              </c:strCache>
            </c:strRef>
          </c:cat>
          <c:val>
            <c:numRef>
              <c:f>('Valuation &amp; SBG NAV'!$BG$346:$BJ$346,'Valuation &amp; SBG NAV'!$BL$346:$BQ$346)</c:f>
              <c:numCache>
                <c:formatCode>0%</c:formatCode>
                <c:ptCount val="10"/>
                <c:pt idx="0">
                  <c:v>0</c:v>
                </c:pt>
                <c:pt idx="1">
                  <c:v>1.9307119388338335E-3</c:v>
                </c:pt>
                <c:pt idx="2">
                  <c:v>2.092969387947635E-3</c:v>
                </c:pt>
                <c:pt idx="3">
                  <c:v>1.4106634942941738E-2</c:v>
                </c:pt>
                <c:pt idx="4">
                  <c:v>3.6853557873181154E-2</c:v>
                </c:pt>
                <c:pt idx="5">
                  <c:v>8.6402990806969671E-2</c:v>
                </c:pt>
                <c:pt idx="6">
                  <c:v>0.19307533338557961</c:v>
                </c:pt>
                <c:pt idx="7">
                  <c:v>0.18349847839055902</c:v>
                </c:pt>
                <c:pt idx="8">
                  <c:v>0.19597407862096805</c:v>
                </c:pt>
                <c:pt idx="9">
                  <c:v>0.288058633783423</c:v>
                </c:pt>
              </c:numCache>
            </c:numRef>
          </c:val>
          <c:extLst>
            <c:ext xmlns:c16="http://schemas.microsoft.com/office/drawing/2014/chart" uri="{C3380CC4-5D6E-409C-BE32-E72D297353CC}">
              <c16:uniqueId val="{00000001-3B67-49C9-91F7-31A6349FC98C}"/>
            </c:ext>
          </c:extLst>
        </c:ser>
        <c:ser>
          <c:idx val="2"/>
          <c:order val="2"/>
          <c:tx>
            <c:v>% of net assets</c:v>
          </c:tx>
          <c:spPr>
            <a:solidFill>
              <a:srgbClr val="F97303"/>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D-3B67-49C9-91F7-31A6349FC98C}"/>
                </c:ext>
              </c:extLst>
            </c:dLbl>
            <c:dLbl>
              <c:idx val="1"/>
              <c:delete val="1"/>
              <c:extLst>
                <c:ext xmlns:c15="http://schemas.microsoft.com/office/drawing/2012/chart" uri="{CE6537A1-D6FC-4f65-9D91-7224C49458BB}"/>
                <c:ext xmlns:c16="http://schemas.microsoft.com/office/drawing/2014/chart" uri="{C3380CC4-5D6E-409C-BE32-E72D297353CC}">
                  <c16:uniqueId val="{0000000C-3B67-49C9-91F7-31A6349FC98C}"/>
                </c:ext>
              </c:extLst>
            </c:dLbl>
            <c:dLbl>
              <c:idx val="2"/>
              <c:delete val="1"/>
              <c:extLst>
                <c:ext xmlns:c15="http://schemas.microsoft.com/office/drawing/2012/chart" uri="{CE6537A1-D6FC-4f65-9D91-7224C49458BB}"/>
                <c:ext xmlns:c16="http://schemas.microsoft.com/office/drawing/2014/chart" uri="{C3380CC4-5D6E-409C-BE32-E72D297353CC}">
                  <c16:uniqueId val="{0000000B-3B67-49C9-91F7-31A6349FC98C}"/>
                </c:ext>
              </c:extLst>
            </c:dLbl>
            <c:dLbl>
              <c:idx val="3"/>
              <c:delete val="1"/>
              <c:extLst>
                <c:ext xmlns:c15="http://schemas.microsoft.com/office/drawing/2012/chart" uri="{CE6537A1-D6FC-4f65-9D91-7224C49458BB}"/>
                <c:ext xmlns:c16="http://schemas.microsoft.com/office/drawing/2014/chart" uri="{C3380CC4-5D6E-409C-BE32-E72D297353CC}">
                  <c16:uniqueId val="{0000000A-3B67-49C9-91F7-31A6349FC98C}"/>
                </c:ext>
              </c:extLst>
            </c:dLbl>
            <c:dLbl>
              <c:idx val="4"/>
              <c:delete val="1"/>
              <c:extLst>
                <c:ext xmlns:c15="http://schemas.microsoft.com/office/drawing/2012/chart" uri="{CE6537A1-D6FC-4f65-9D91-7224C49458BB}"/>
                <c:ext xmlns:c16="http://schemas.microsoft.com/office/drawing/2014/chart" uri="{C3380CC4-5D6E-409C-BE32-E72D297353CC}">
                  <c16:uniqueId val="{00000009-3B67-49C9-91F7-31A6349FC98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&amp; SBG NAV'!$BG$339:$BJ$339,'Valuation &amp; SBG NAV'!$BL$339:$BU$339)</c:f>
              <c:strCache>
                <c:ptCount val="10"/>
                <c:pt idx="0">
                  <c:v>1Q24</c:v>
                </c:pt>
                <c:pt idx="1">
                  <c:v>2Q24</c:v>
                </c:pt>
                <c:pt idx="2">
                  <c:v>3Q24</c:v>
                </c:pt>
                <c:pt idx="3">
                  <c:v>4Q24</c:v>
                </c:pt>
                <c:pt idx="4">
                  <c:v>1Q25</c:v>
                </c:pt>
                <c:pt idx="5">
                  <c:v>2Q25</c:v>
                </c:pt>
                <c:pt idx="6">
                  <c:v>3Q25E</c:v>
                </c:pt>
                <c:pt idx="7">
                  <c:v>PF $450bn</c:v>
                </c:pt>
                <c:pt idx="8">
                  <c:v>PF $500bn</c:v>
                </c:pt>
                <c:pt idx="9">
                  <c:v>Funding</c:v>
                </c:pt>
              </c:strCache>
            </c:strRef>
          </c:cat>
          <c:val>
            <c:numRef>
              <c:f>('Valuation &amp; SBG NAV'!$BG$347:$BJ$347,'Valuation &amp; SBG NAV'!$BL$347:$BQ$347)</c:f>
              <c:numCache>
                <c:formatCode>0%</c:formatCode>
                <c:ptCount val="10"/>
                <c:pt idx="0">
                  <c:v>0</c:v>
                </c:pt>
                <c:pt idx="1">
                  <c:v>2.460013788348845E-3</c:v>
                </c:pt>
                <c:pt idx="2">
                  <c:v>2.6956373551465579E-3</c:v>
                </c:pt>
                <c:pt idx="3">
                  <c:v>1.9158303799350671E-2</c:v>
                </c:pt>
                <c:pt idx="4">
                  <c:v>4.8238685421089882E-2</c:v>
                </c:pt>
                <c:pt idx="5">
                  <c:v>0.11043051051051052</c:v>
                </c:pt>
                <c:pt idx="6">
                  <c:v>0.27527032967032966</c:v>
                </c:pt>
                <c:pt idx="7">
                  <c:v>0.25601386396209547</c:v>
                </c:pt>
                <c:pt idx="8">
                  <c:v>0.27177856980682508</c:v>
                </c:pt>
                <c:pt idx="9">
                  <c:v>0.4010179116158295</c:v>
                </c:pt>
              </c:numCache>
            </c:numRef>
          </c:val>
          <c:extLst>
            <c:ext xmlns:c16="http://schemas.microsoft.com/office/drawing/2014/chart" uri="{C3380CC4-5D6E-409C-BE32-E72D297353CC}">
              <c16:uniqueId val="{00000002-3B67-49C9-91F7-31A6349FC98C}"/>
            </c:ext>
          </c:extLst>
        </c:ser>
        <c:ser>
          <c:idx val="3"/>
          <c:order val="3"/>
          <c:tx>
            <c:v>% of market cap.</c:v>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&amp; SBG NAV'!$BG$339:$BJ$339,'Valuation &amp; SBG NAV'!$BL$339:$BU$339)</c:f>
              <c:strCache>
                <c:ptCount val="10"/>
                <c:pt idx="0">
                  <c:v>1Q24</c:v>
                </c:pt>
                <c:pt idx="1">
                  <c:v>2Q24</c:v>
                </c:pt>
                <c:pt idx="2">
                  <c:v>3Q24</c:v>
                </c:pt>
                <c:pt idx="3">
                  <c:v>4Q24</c:v>
                </c:pt>
                <c:pt idx="4">
                  <c:v>1Q25</c:v>
                </c:pt>
                <c:pt idx="5">
                  <c:v>2Q25</c:v>
                </c:pt>
                <c:pt idx="6">
                  <c:v>3Q25E</c:v>
                </c:pt>
                <c:pt idx="7">
                  <c:v>PF $450bn</c:v>
                </c:pt>
                <c:pt idx="8">
                  <c:v>PF $500bn</c:v>
                </c:pt>
                <c:pt idx="9">
                  <c:v>Funding</c:v>
                </c:pt>
              </c:strCache>
            </c:strRef>
          </c:cat>
          <c:val>
            <c:numRef>
              <c:f>('Valuation &amp; SBG NAV'!$BG$348:$BJ$348,'Valuation &amp; SBG NAV'!$BL$348:$BQ$348)</c:f>
              <c:numCache>
                <c:formatCode>0%</c:formatCode>
                <c:ptCount val="10"/>
                <c:pt idx="7">
                  <c:v>0.3650743614156105</c:v>
                </c:pt>
                <c:pt idx="8">
                  <c:v>0.39594461991766589</c:v>
                </c:pt>
                <c:pt idx="9">
                  <c:v>0.65726806906332536</c:v>
                </c:pt>
              </c:numCache>
            </c:numRef>
          </c:val>
          <c:extLst>
            <c:ext xmlns:c16="http://schemas.microsoft.com/office/drawing/2014/chart" uri="{C3380CC4-5D6E-409C-BE32-E72D297353CC}">
              <c16:uniqueId val="{00000003-3B67-49C9-91F7-31A6349FC98C}"/>
            </c:ext>
          </c:extLst>
        </c:ser>
        <c:dLbls>
          <c:showLegendKey val="0"/>
          <c:showVal val="0"/>
          <c:showCatName val="0"/>
          <c:showSerName val="0"/>
          <c:showPercent val="0"/>
          <c:showBubbleSize val="0"/>
        </c:dLbls>
        <c:gapWidth val="220"/>
        <c:overlap val="-80"/>
        <c:axId val="1844690976"/>
        <c:axId val="1844691456"/>
      </c:barChart>
      <c:lineChart>
        <c:grouping val="standard"/>
        <c:varyColors val="0"/>
        <c:ser>
          <c:idx val="0"/>
          <c:order val="0"/>
          <c:tx>
            <c:v>SBG's OpenAI stake $bn (LHS)</c:v>
          </c:tx>
          <c:spPr>
            <a:ln w="19050" cap="rnd">
              <a:solidFill>
                <a:sysClr val="windowText" lastClr="0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&amp; SBG NAV'!$BG$339:$BJ$339,'Valuation &amp; SBG NAV'!$BL$339:$BU$339)</c:f>
              <c:strCache>
                <c:ptCount val="10"/>
                <c:pt idx="0">
                  <c:v>1Q24</c:v>
                </c:pt>
                <c:pt idx="1">
                  <c:v>2Q24</c:v>
                </c:pt>
                <c:pt idx="2">
                  <c:v>3Q24</c:v>
                </c:pt>
                <c:pt idx="3">
                  <c:v>4Q24</c:v>
                </c:pt>
                <c:pt idx="4">
                  <c:v>1Q25</c:v>
                </c:pt>
                <c:pt idx="5">
                  <c:v>2Q25</c:v>
                </c:pt>
                <c:pt idx="6">
                  <c:v>3Q25E</c:v>
                </c:pt>
                <c:pt idx="7">
                  <c:v>PF $450bn</c:v>
                </c:pt>
                <c:pt idx="8">
                  <c:v>PF $500bn</c:v>
                </c:pt>
                <c:pt idx="9">
                  <c:v>Funding</c:v>
                </c:pt>
              </c:strCache>
            </c:strRef>
          </c:cat>
          <c:val>
            <c:numRef>
              <c:f>('Valuation &amp; SBG NAV'!$BG$341:$BJ$341,'Valuation &amp; SBG NAV'!$BL$341:$BQ$341)</c:f>
              <c:numCache>
                <c:formatCode>0.0</c:formatCode>
                <c:ptCount val="10"/>
                <c:pt idx="0">
                  <c:v>0</c:v>
                </c:pt>
                <c:pt idx="1">
                  <c:v>0.5</c:v>
                </c:pt>
                <c:pt idx="2">
                  <c:v>0.5</c:v>
                </c:pt>
                <c:pt idx="3">
                  <c:v>3.2929936305732488</c:v>
                </c:pt>
                <c:pt idx="4">
                  <c:v>10.792993630573248</c:v>
                </c:pt>
                <c:pt idx="5">
                  <c:v>24.7</c:v>
                </c:pt>
                <c:pt idx="6">
                  <c:v>54.4</c:v>
                </c:pt>
                <c:pt idx="7">
                  <c:v>54.4</c:v>
                </c:pt>
                <c:pt idx="8">
                  <c:v>59.000000000000007</c:v>
                </c:pt>
                <c:pt idx="9">
                  <c:v>97.940000000000012</c:v>
                </c:pt>
              </c:numCache>
            </c:numRef>
          </c:val>
          <c:smooth val="0"/>
          <c:extLst>
            <c:ext xmlns:c16="http://schemas.microsoft.com/office/drawing/2014/chart" uri="{C3380CC4-5D6E-409C-BE32-E72D297353CC}">
              <c16:uniqueId val="{00000000-3B67-49C9-91F7-31A6349FC98C}"/>
            </c:ext>
          </c:extLst>
        </c:ser>
        <c:dLbls>
          <c:showLegendKey val="0"/>
          <c:showVal val="0"/>
          <c:showCatName val="0"/>
          <c:showSerName val="0"/>
          <c:showPercent val="0"/>
          <c:showBubbleSize val="0"/>
        </c:dLbls>
        <c:marker val="1"/>
        <c:smooth val="0"/>
        <c:axId val="1844685696"/>
        <c:axId val="1844677536"/>
      </c:lineChart>
      <c:catAx>
        <c:axId val="184468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844677536"/>
        <c:crosses val="autoZero"/>
        <c:auto val="1"/>
        <c:lblAlgn val="ctr"/>
        <c:lblOffset val="100"/>
        <c:noMultiLvlLbl val="0"/>
      </c:catAx>
      <c:valAx>
        <c:axId val="184467753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844685696"/>
        <c:crosses val="autoZero"/>
        <c:crossBetween val="between"/>
      </c:valAx>
      <c:valAx>
        <c:axId val="1844691456"/>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844690976"/>
        <c:crosses val="max"/>
        <c:crossBetween val="between"/>
      </c:valAx>
      <c:catAx>
        <c:axId val="1844690976"/>
        <c:scaling>
          <c:orientation val="minMax"/>
        </c:scaling>
        <c:delete val="1"/>
        <c:axPos val="b"/>
        <c:numFmt formatCode="General" sourceLinked="1"/>
        <c:majorTickMark val="out"/>
        <c:minorTickMark val="none"/>
        <c:tickLblPos val="nextTo"/>
        <c:crossAx val="18446914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LTV</c:v>
          </c:tx>
          <c:spPr>
            <a:ln w="19050" cap="rnd">
              <a:solidFill>
                <a:srgbClr val="F97303"/>
              </a:solidFill>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1-F618-4BE7-98BB-6AE542D59FB4}"/>
                </c:ext>
              </c:extLst>
            </c:dLbl>
            <c:dLbl>
              <c:idx val="3"/>
              <c:delete val="1"/>
              <c:extLst>
                <c:ext xmlns:c15="http://schemas.microsoft.com/office/drawing/2012/chart" uri="{CE6537A1-D6FC-4f65-9D91-7224C49458BB}"/>
                <c:ext xmlns:c16="http://schemas.microsoft.com/office/drawing/2014/chart" uri="{C3380CC4-5D6E-409C-BE32-E72D297353CC}">
                  <c16:uniqueId val="{00000002-F618-4BE7-98BB-6AE542D59FB4}"/>
                </c:ext>
              </c:extLst>
            </c:dLbl>
            <c:dLbl>
              <c:idx val="4"/>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18-4BE7-98BB-6AE542D59FB4}"/>
                </c:ext>
              </c:extLst>
            </c:dLbl>
            <c:dLbl>
              <c:idx val="5"/>
              <c:delete val="1"/>
              <c:extLst>
                <c:ext xmlns:c15="http://schemas.microsoft.com/office/drawing/2012/chart" uri="{CE6537A1-D6FC-4f65-9D91-7224C49458BB}"/>
                <c:ext xmlns:c16="http://schemas.microsoft.com/office/drawing/2014/chart" uri="{C3380CC4-5D6E-409C-BE32-E72D297353CC}">
                  <c16:uniqueId val="{00000004-F618-4BE7-98BB-6AE542D59FB4}"/>
                </c:ext>
              </c:extLst>
            </c:dLbl>
            <c:dLbl>
              <c:idx val="7"/>
              <c:delete val="1"/>
              <c:extLst>
                <c:ext xmlns:c15="http://schemas.microsoft.com/office/drawing/2012/chart" uri="{CE6537A1-D6FC-4f65-9D91-7224C49458BB}"/>
                <c:ext xmlns:c16="http://schemas.microsoft.com/office/drawing/2014/chart" uri="{C3380CC4-5D6E-409C-BE32-E72D297353CC}">
                  <c16:uniqueId val="{00000005-F618-4BE7-98BB-6AE542D59FB4}"/>
                </c:ext>
              </c:extLst>
            </c:dLbl>
            <c:dLbl>
              <c:idx val="8"/>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618-4BE7-98BB-6AE542D59FB4}"/>
                </c:ext>
              </c:extLst>
            </c:dLbl>
            <c:dLbl>
              <c:idx val="9"/>
              <c:delete val="1"/>
              <c:extLst>
                <c:ext xmlns:c15="http://schemas.microsoft.com/office/drawing/2012/chart" uri="{CE6537A1-D6FC-4f65-9D91-7224C49458BB}"/>
                <c:ext xmlns:c16="http://schemas.microsoft.com/office/drawing/2014/chart" uri="{C3380CC4-5D6E-409C-BE32-E72D297353CC}">
                  <c16:uniqueId val="{00000007-F618-4BE7-98BB-6AE542D59FB4}"/>
                </c:ext>
              </c:extLst>
            </c:dLbl>
            <c:dLbl>
              <c:idx val="10"/>
              <c:delete val="1"/>
              <c:extLst>
                <c:ext xmlns:c15="http://schemas.microsoft.com/office/drawing/2012/chart" uri="{CE6537A1-D6FC-4f65-9D91-7224C49458BB}"/>
                <c:ext xmlns:c16="http://schemas.microsoft.com/office/drawing/2014/chart" uri="{C3380CC4-5D6E-409C-BE32-E72D297353CC}">
                  <c16:uniqueId val="{00000017-F618-4BE7-98BB-6AE542D59FB4}"/>
                </c:ext>
              </c:extLst>
            </c:dLbl>
            <c:dLbl>
              <c:idx val="12"/>
              <c:delete val="1"/>
              <c:extLst>
                <c:ext xmlns:c15="http://schemas.microsoft.com/office/drawing/2012/chart" uri="{CE6537A1-D6FC-4f65-9D91-7224C49458BB}"/>
                <c:ext xmlns:c16="http://schemas.microsoft.com/office/drawing/2014/chart" uri="{C3380CC4-5D6E-409C-BE32-E72D297353CC}">
                  <c16:uniqueId val="{00000009-F618-4BE7-98BB-6AE542D59FB4}"/>
                </c:ext>
              </c:extLst>
            </c:dLbl>
            <c:dLbl>
              <c:idx val="1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618-4BE7-98BB-6AE542D59FB4}"/>
                </c:ext>
              </c:extLst>
            </c:dLbl>
            <c:dLbl>
              <c:idx val="15"/>
              <c:delete val="1"/>
              <c:extLst>
                <c:ext xmlns:c15="http://schemas.microsoft.com/office/drawing/2012/chart" uri="{CE6537A1-D6FC-4f65-9D91-7224C49458BB}"/>
                <c:ext xmlns:c16="http://schemas.microsoft.com/office/drawing/2014/chart" uri="{C3380CC4-5D6E-409C-BE32-E72D297353CC}">
                  <c16:uniqueId val="{00000018-F618-4BE7-98BB-6AE542D59FB4}"/>
                </c:ext>
              </c:extLst>
            </c:dLbl>
            <c:dLbl>
              <c:idx val="16"/>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618-4BE7-98BB-6AE542D59FB4}"/>
                </c:ext>
              </c:extLst>
            </c:dLbl>
            <c:dLbl>
              <c:idx val="17"/>
              <c:delete val="1"/>
              <c:extLst>
                <c:ext xmlns:c15="http://schemas.microsoft.com/office/drawing/2012/chart" uri="{CE6537A1-D6FC-4f65-9D91-7224C49458BB}"/>
                <c:ext xmlns:c16="http://schemas.microsoft.com/office/drawing/2014/chart" uri="{C3380CC4-5D6E-409C-BE32-E72D297353CC}">
                  <c16:uniqueId val="{0000000D-F618-4BE7-98BB-6AE542D59FB4}"/>
                </c:ext>
              </c:extLst>
            </c:dLbl>
            <c:dLbl>
              <c:idx val="18"/>
              <c:delete val="1"/>
              <c:extLst>
                <c:ext xmlns:c15="http://schemas.microsoft.com/office/drawing/2012/chart" uri="{CE6537A1-D6FC-4f65-9D91-7224C49458BB}"/>
                <c:ext xmlns:c16="http://schemas.microsoft.com/office/drawing/2014/chart" uri="{C3380CC4-5D6E-409C-BE32-E72D297353CC}">
                  <c16:uniqueId val="{0000000E-F618-4BE7-98BB-6AE542D59FB4}"/>
                </c:ext>
              </c:extLst>
            </c:dLbl>
            <c:dLbl>
              <c:idx val="1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F618-4BE7-98BB-6AE542D59FB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&amp; SBG NAV'!$AW$1:$AZ$1,'Valuation &amp; SBG NAV'!$BB$1:$BE$1,'Valuation &amp; SBG NAV'!$BG$1:$BJ$1,'Valuation &amp; SBG NAV'!$BL$1:$BO$1,'Valuation &amp; SBG NAV'!$BQ$1:$BT$1)</c:f>
              <c:strCache>
                <c:ptCount val="20"/>
                <c:pt idx="0">
                  <c:v>1Q22</c:v>
                </c:pt>
                <c:pt idx="1">
                  <c:v>2Q22</c:v>
                </c:pt>
                <c:pt idx="2">
                  <c:v>3Q22</c:v>
                </c:pt>
                <c:pt idx="3">
                  <c:v>4Q22</c:v>
                </c:pt>
                <c:pt idx="4">
                  <c:v>1Q23</c:v>
                </c:pt>
                <c:pt idx="5">
                  <c:v>2Q23</c:v>
                </c:pt>
                <c:pt idx="6">
                  <c:v>3Q23</c:v>
                </c:pt>
                <c:pt idx="7">
                  <c:v>4Q23</c:v>
                </c:pt>
                <c:pt idx="8">
                  <c:v>1Q24</c:v>
                </c:pt>
                <c:pt idx="9">
                  <c:v>2Q24</c:v>
                </c:pt>
                <c:pt idx="10">
                  <c:v>3Q24</c:v>
                </c:pt>
                <c:pt idx="11">
                  <c:v>4Q24</c:v>
                </c:pt>
                <c:pt idx="12">
                  <c:v>1Q25</c:v>
                </c:pt>
                <c:pt idx="13">
                  <c:v>2Q25</c:v>
                </c:pt>
                <c:pt idx="14">
                  <c:v>3Q25</c:v>
                </c:pt>
                <c:pt idx="15">
                  <c:v>4Q25E</c:v>
                </c:pt>
                <c:pt idx="16">
                  <c:v>1Q26E</c:v>
                </c:pt>
                <c:pt idx="17">
                  <c:v>2Q26E</c:v>
                </c:pt>
                <c:pt idx="18">
                  <c:v>3Q26E</c:v>
                </c:pt>
                <c:pt idx="19">
                  <c:v>4Q26E</c:v>
                </c:pt>
              </c:strCache>
            </c:strRef>
          </c:cat>
          <c:val>
            <c:numRef>
              <c:f>('Valuation &amp; SBG NAV'!$AW$37:$AZ$37,'Valuation &amp; SBG NAV'!$BB$37:$BE$37,'Valuation &amp; SBG NAV'!$BG$37:$BJ$37,'Valuation &amp; SBG NAV'!$BL$37:$BO$37,'Valuation &amp; SBG NAV'!$BQ$37:$BT$37)</c:f>
              <c:numCache>
                <c:formatCode>0.0%</c:formatCode>
                <c:ptCount val="20"/>
                <c:pt idx="0">
                  <c:v>0.14542936288088651</c:v>
                </c:pt>
                <c:pt idx="1">
                  <c:v>0.15033011681056371</c:v>
                </c:pt>
                <c:pt idx="2">
                  <c:v>0.18192557590076783</c:v>
                </c:pt>
                <c:pt idx="3">
                  <c:v>0.11027095148078139</c:v>
                </c:pt>
                <c:pt idx="4">
                  <c:v>7.9881656804733719E-2</c:v>
                </c:pt>
                <c:pt idx="5">
                  <c:v>0.10620915032679745</c:v>
                </c:pt>
                <c:pt idx="6">
                  <c:v>0.11418047882136279</c:v>
                </c:pt>
                <c:pt idx="7">
                  <c:v>8.4377059986816133E-2</c:v>
                </c:pt>
                <c:pt idx="8">
                  <c:v>7.8149503397804479E-2</c:v>
                </c:pt>
                <c:pt idx="9">
                  <c:v>0.12462281231140615</c:v>
                </c:pt>
                <c:pt idx="10">
                  <c:v>0.1286011286011286</c:v>
                </c:pt>
                <c:pt idx="11">
                  <c:v>0.18074593560726809</c:v>
                </c:pt>
                <c:pt idx="12">
                  <c:v>0.17008196721311478</c:v>
                </c:pt>
                <c:pt idx="13">
                  <c:v>0.16457601605619673</c:v>
                </c:pt>
                <c:pt idx="14">
                  <c:v>0.20625962031811182</c:v>
                </c:pt>
                <c:pt idx="15">
                  <c:v>0.19393652767947339</c:v>
                </c:pt>
                <c:pt idx="16">
                  <c:v>0.19402876268766472</c:v>
                </c:pt>
                <c:pt idx="17">
                  <c:v>0.22402141104041343</c:v>
                </c:pt>
                <c:pt idx="18">
                  <c:v>0.25264093371653457</c:v>
                </c:pt>
                <c:pt idx="19">
                  <c:v>0.25267031235428</c:v>
                </c:pt>
              </c:numCache>
            </c:numRef>
          </c:val>
          <c:smooth val="0"/>
          <c:extLst>
            <c:ext xmlns:c16="http://schemas.microsoft.com/office/drawing/2014/chart" uri="{C3380CC4-5D6E-409C-BE32-E72D297353CC}">
              <c16:uniqueId val="{0000000F-F618-4BE7-98BB-6AE542D59FB4}"/>
            </c:ext>
          </c:extLst>
        </c:ser>
        <c:ser>
          <c:idx val="1"/>
          <c:order val="1"/>
          <c:tx>
            <c:v>25% Arm decline</c:v>
          </c:tx>
          <c:spPr>
            <a:ln w="19050" cap="rnd">
              <a:solidFill>
                <a:srgbClr val="2EB2A5"/>
              </a:solidFill>
              <a:prstDash val="sysDash"/>
              <a:round/>
            </a:ln>
            <a:effectLst/>
          </c:spPr>
          <c:marker>
            <c:symbol val="none"/>
          </c:marker>
          <c:dLbls>
            <c:dLbl>
              <c:idx val="14"/>
              <c:delete val="1"/>
              <c:extLst>
                <c:ext xmlns:c15="http://schemas.microsoft.com/office/drawing/2012/chart" uri="{CE6537A1-D6FC-4f65-9D91-7224C49458BB}"/>
                <c:ext xmlns:c16="http://schemas.microsoft.com/office/drawing/2014/chart" uri="{C3380CC4-5D6E-409C-BE32-E72D297353CC}">
                  <c16:uniqueId val="{0000001B-F618-4BE7-98BB-6AE542D59FB4}"/>
                </c:ext>
              </c:extLst>
            </c:dLbl>
            <c:dLbl>
              <c:idx val="15"/>
              <c:delete val="1"/>
              <c:extLst>
                <c:ext xmlns:c15="http://schemas.microsoft.com/office/drawing/2012/chart" uri="{CE6537A1-D6FC-4f65-9D91-7224C49458BB}"/>
                <c:ext xmlns:c16="http://schemas.microsoft.com/office/drawing/2014/chart" uri="{C3380CC4-5D6E-409C-BE32-E72D297353CC}">
                  <c16:uniqueId val="{0000001A-F618-4BE7-98BB-6AE542D59FB4}"/>
                </c:ext>
              </c:extLst>
            </c:dLbl>
            <c:dLbl>
              <c:idx val="16"/>
              <c:delete val="1"/>
              <c:extLst>
                <c:ext xmlns:c15="http://schemas.microsoft.com/office/drawing/2012/chart" uri="{CE6537A1-D6FC-4f65-9D91-7224C49458BB}"/>
                <c:ext xmlns:c16="http://schemas.microsoft.com/office/drawing/2014/chart" uri="{C3380CC4-5D6E-409C-BE32-E72D297353CC}">
                  <c16:uniqueId val="{0000001C-F618-4BE7-98BB-6AE542D59FB4}"/>
                </c:ext>
              </c:extLst>
            </c:dLbl>
            <c:dLbl>
              <c:idx val="17"/>
              <c:delete val="1"/>
              <c:extLst>
                <c:ext xmlns:c15="http://schemas.microsoft.com/office/drawing/2012/chart" uri="{CE6537A1-D6FC-4f65-9D91-7224C49458BB}"/>
                <c:ext xmlns:c16="http://schemas.microsoft.com/office/drawing/2014/chart" uri="{C3380CC4-5D6E-409C-BE32-E72D297353CC}">
                  <c16:uniqueId val="{0000001F-F618-4BE7-98BB-6AE542D59FB4}"/>
                </c:ext>
              </c:extLst>
            </c:dLbl>
            <c:dLbl>
              <c:idx val="18"/>
              <c:delete val="1"/>
              <c:extLst>
                <c:ext xmlns:c15="http://schemas.microsoft.com/office/drawing/2012/chart" uri="{CE6537A1-D6FC-4f65-9D91-7224C49458BB}"/>
                <c:ext xmlns:c16="http://schemas.microsoft.com/office/drawing/2014/chart" uri="{C3380CC4-5D6E-409C-BE32-E72D297353CC}">
                  <c16:uniqueId val="{0000001E-F618-4BE7-98BB-6AE542D59FB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&amp; SBG NAV'!$AW$1:$AZ$1,'Valuation &amp; SBG NAV'!$BB$1:$BE$1,'Valuation &amp; SBG NAV'!$BG$1:$BJ$1,'Valuation &amp; SBG NAV'!$BL$1:$BO$1,'Valuation &amp; SBG NAV'!$BQ$1:$BT$1)</c:f>
              <c:strCache>
                <c:ptCount val="20"/>
                <c:pt idx="0">
                  <c:v>1Q22</c:v>
                </c:pt>
                <c:pt idx="1">
                  <c:v>2Q22</c:v>
                </c:pt>
                <c:pt idx="2">
                  <c:v>3Q22</c:v>
                </c:pt>
                <c:pt idx="3">
                  <c:v>4Q22</c:v>
                </c:pt>
                <c:pt idx="4">
                  <c:v>1Q23</c:v>
                </c:pt>
                <c:pt idx="5">
                  <c:v>2Q23</c:v>
                </c:pt>
                <c:pt idx="6">
                  <c:v>3Q23</c:v>
                </c:pt>
                <c:pt idx="7">
                  <c:v>4Q23</c:v>
                </c:pt>
                <c:pt idx="8">
                  <c:v>1Q24</c:v>
                </c:pt>
                <c:pt idx="9">
                  <c:v>2Q24</c:v>
                </c:pt>
                <c:pt idx="10">
                  <c:v>3Q24</c:v>
                </c:pt>
                <c:pt idx="11">
                  <c:v>4Q24</c:v>
                </c:pt>
                <c:pt idx="12">
                  <c:v>1Q25</c:v>
                </c:pt>
                <c:pt idx="13">
                  <c:v>2Q25</c:v>
                </c:pt>
                <c:pt idx="14">
                  <c:v>3Q25</c:v>
                </c:pt>
                <c:pt idx="15">
                  <c:v>4Q25E</c:v>
                </c:pt>
                <c:pt idx="16">
                  <c:v>1Q26E</c:v>
                </c:pt>
                <c:pt idx="17">
                  <c:v>2Q26E</c:v>
                </c:pt>
                <c:pt idx="18">
                  <c:v>3Q26E</c:v>
                </c:pt>
                <c:pt idx="19">
                  <c:v>4Q26E</c:v>
                </c:pt>
              </c:strCache>
            </c:strRef>
          </c:cat>
          <c:val>
            <c:numRef>
              <c:f>('Valuation &amp; SBG NAV'!$AW$91:$AZ$91,'Valuation &amp; SBG NAV'!$BB$91:$BE$91,'Valuation &amp; SBG NAV'!$BG$91:$BJ$91,'Valuation &amp; SBG NAV'!$BL$91:$BO$91,'Valuation &amp; SBG NAV'!$BQ$91:$BT$91)</c:f>
              <c:numCache>
                <c:formatCode>General</c:formatCode>
                <c:ptCount val="20"/>
                <c:pt idx="14" formatCode="0.0%">
                  <c:v>0.20625962031811182</c:v>
                </c:pt>
                <c:pt idx="15" formatCode="0.0%">
                  <c:v>0.21823542375987087</c:v>
                </c:pt>
                <c:pt idx="16" formatCode="0.0%">
                  <c:v>0.21605194006151646</c:v>
                </c:pt>
                <c:pt idx="17" formatCode="0.0%">
                  <c:v>0.24835111986726938</c:v>
                </c:pt>
                <c:pt idx="18" formatCode="0.0%">
                  <c:v>0.27915829426337319</c:v>
                </c:pt>
                <c:pt idx="19" formatCode="0.0%">
                  <c:v>0.27953834378950437</c:v>
                </c:pt>
              </c:numCache>
            </c:numRef>
          </c:val>
          <c:smooth val="0"/>
          <c:extLst>
            <c:ext xmlns:c16="http://schemas.microsoft.com/office/drawing/2014/chart" uri="{C3380CC4-5D6E-409C-BE32-E72D297353CC}">
              <c16:uniqueId val="{00000019-F618-4BE7-98BB-6AE542D59FB4}"/>
            </c:ext>
          </c:extLst>
        </c:ser>
        <c:dLbls>
          <c:dLblPos val="t"/>
          <c:showLegendKey val="0"/>
          <c:showVal val="1"/>
          <c:showCatName val="0"/>
          <c:showSerName val="0"/>
          <c:showPercent val="0"/>
          <c:showBubbleSize val="0"/>
        </c:dLbls>
        <c:smooth val="0"/>
        <c:axId val="132151503"/>
        <c:axId val="132122223"/>
      </c:lineChart>
      <c:catAx>
        <c:axId val="13215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132122223"/>
        <c:crosses val="autoZero"/>
        <c:auto val="1"/>
        <c:lblAlgn val="ctr"/>
        <c:lblOffset val="100"/>
        <c:noMultiLvlLbl val="0"/>
      </c:catAx>
      <c:valAx>
        <c:axId val="13212222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32151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TMUS</c:v>
          </c:tx>
          <c:spPr>
            <a:ln w="19050" cap="rnd">
              <a:solidFill>
                <a:srgbClr val="FF00FF"/>
              </a:solidFill>
              <a:round/>
            </a:ln>
            <a:effectLst/>
          </c:spPr>
          <c:marker>
            <c:symbol val="none"/>
          </c:marker>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7E-4C8A-A8A0-7AE4597099E9}"/>
                </c:ext>
              </c:extLst>
            </c:dLbl>
            <c:dLbl>
              <c:idx val="2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7E-4C8A-A8A0-7AE4597099E9}"/>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('Investment Business Of HoldCo'!$AR$2:$AU$2,'Investment Business Of HoldCo'!$AW$2:$AZ$2,'Investment Business Of HoldCo'!$BB$2:$BE$2,'Investment Business Of HoldCo'!$BG$2:$BJ$2,'Investment Business Of HoldCo'!$BL$2:$BO$2,'Investment Business Of HoldCo'!$BQ$2:$BT$2,'Investment Business Of HoldCo'!$BV$2:$BY$2)</c:f>
              <c:strCache>
                <c:ptCount val="28"/>
                <c:pt idx="0">
                  <c:v>1Q24</c:v>
                </c:pt>
                <c:pt idx="1">
                  <c:v>2Q24</c:v>
                </c:pt>
                <c:pt idx="2">
                  <c:v>3Q24</c:v>
                </c:pt>
                <c:pt idx="3">
                  <c:v>4Q24</c:v>
                </c:pt>
                <c:pt idx="4">
                  <c:v>1Q25</c:v>
                </c:pt>
                <c:pt idx="5">
                  <c:v>2Q25</c:v>
                </c:pt>
                <c:pt idx="6">
                  <c:v>3Q25</c:v>
                </c:pt>
                <c:pt idx="7">
                  <c:v>4Q25</c:v>
                </c:pt>
                <c:pt idx="8">
                  <c:v>1Q26</c:v>
                </c:pt>
                <c:pt idx="9">
                  <c:v>2Q26</c:v>
                </c:pt>
                <c:pt idx="10">
                  <c:v>3Q26</c:v>
                </c:pt>
                <c:pt idx="11">
                  <c:v>4Q26</c:v>
                </c:pt>
                <c:pt idx="12">
                  <c:v>1Q27</c:v>
                </c:pt>
                <c:pt idx="13">
                  <c:v>2Q27</c:v>
                </c:pt>
                <c:pt idx="14">
                  <c:v>3Q27</c:v>
                </c:pt>
                <c:pt idx="15">
                  <c:v>4Q27</c:v>
                </c:pt>
                <c:pt idx="16">
                  <c:v>1Q28</c:v>
                </c:pt>
                <c:pt idx="17">
                  <c:v>2Q28</c:v>
                </c:pt>
                <c:pt idx="18">
                  <c:v>3Q28</c:v>
                </c:pt>
                <c:pt idx="19">
                  <c:v>4Q28</c:v>
                </c:pt>
                <c:pt idx="20">
                  <c:v>1Q29</c:v>
                </c:pt>
                <c:pt idx="21">
                  <c:v>2Q29</c:v>
                </c:pt>
                <c:pt idx="22">
                  <c:v>3Q29</c:v>
                </c:pt>
                <c:pt idx="23">
                  <c:v>4Q29</c:v>
                </c:pt>
                <c:pt idx="24">
                  <c:v>1Q30</c:v>
                </c:pt>
                <c:pt idx="25">
                  <c:v>2Q30</c:v>
                </c:pt>
                <c:pt idx="26">
                  <c:v>3Q30</c:v>
                </c:pt>
                <c:pt idx="27">
                  <c:v>4Q30</c:v>
                </c:pt>
              </c:strCache>
            </c:strRef>
          </c:cat>
          <c:val>
            <c:numRef>
              <c:f>('Investment Business Of HoldCo'!$AR$104:$AU$104,'Investment Business Of HoldCo'!$AW$104:$AZ$104,'Investment Business Of HoldCo'!$BB$104:$BE$104,'Investment Business Of HoldCo'!$BG$104:$BJ$104,'Investment Business Of HoldCo'!$BL$104:$BO$104,'Investment Business Of HoldCo'!$BQ$104:$BT$104,'Investment Business Of HoldCo'!$BV$104:$BY$104)</c:f>
              <c:numCache>
                <c:formatCode>0.0%</c:formatCode>
                <c:ptCount val="28"/>
                <c:pt idx="0">
                  <c:v>6.892679204004569E-2</c:v>
                </c:pt>
                <c:pt idx="1">
                  <c:v>7.3295590399098803E-2</c:v>
                </c:pt>
                <c:pt idx="2">
                  <c:v>7.4554943481022623E-2</c:v>
                </c:pt>
                <c:pt idx="3">
                  <c:v>7.5053279294216194E-2</c:v>
                </c:pt>
                <c:pt idx="4">
                  <c:v>5.6642006293174958E-2</c:v>
                </c:pt>
                <c:pt idx="5">
                  <c:v>4.0411039638008642E-2</c:v>
                </c:pt>
                <c:pt idx="6">
                  <c:v>2.5746870155582403E-2</c:v>
                </c:pt>
                <c:pt idx="7">
                  <c:v>1.4758498336693586E-2</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val>
          <c:smooth val="0"/>
          <c:extLst>
            <c:ext xmlns:c16="http://schemas.microsoft.com/office/drawing/2014/chart" uri="{C3380CC4-5D6E-409C-BE32-E72D297353CC}">
              <c16:uniqueId val="{00000000-5C7E-4C8A-A8A0-7AE4597099E9}"/>
            </c:ext>
          </c:extLst>
        </c:ser>
        <c:ser>
          <c:idx val="1"/>
          <c:order val="1"/>
          <c:tx>
            <c:v>DT</c:v>
          </c:tx>
          <c:spPr>
            <a:ln w="22225" cap="rnd">
              <a:solidFill>
                <a:srgbClr val="2EB2A5"/>
              </a:solidFill>
              <a:round/>
            </a:ln>
            <a:effectLst/>
          </c:spPr>
          <c:marker>
            <c:symbol val="none"/>
          </c:marker>
          <c:cat>
            <c:strRef>
              <c:f>('Investment Business Of HoldCo'!$AR$2:$AU$2,'Investment Business Of HoldCo'!$AW$2:$AZ$2,'Investment Business Of HoldCo'!$BB$2:$BE$2,'Investment Business Of HoldCo'!$BG$2:$BJ$2,'Investment Business Of HoldCo'!$BL$2:$BO$2,'Investment Business Of HoldCo'!$BQ$2:$BT$2,'Investment Business Of HoldCo'!$BV$2:$BY$2)</c:f>
              <c:strCache>
                <c:ptCount val="28"/>
                <c:pt idx="0">
                  <c:v>1Q24</c:v>
                </c:pt>
                <c:pt idx="1">
                  <c:v>2Q24</c:v>
                </c:pt>
                <c:pt idx="2">
                  <c:v>3Q24</c:v>
                </c:pt>
                <c:pt idx="3">
                  <c:v>4Q24</c:v>
                </c:pt>
                <c:pt idx="4">
                  <c:v>1Q25</c:v>
                </c:pt>
                <c:pt idx="5">
                  <c:v>2Q25</c:v>
                </c:pt>
                <c:pt idx="6">
                  <c:v>3Q25</c:v>
                </c:pt>
                <c:pt idx="7">
                  <c:v>4Q25</c:v>
                </c:pt>
                <c:pt idx="8">
                  <c:v>1Q26</c:v>
                </c:pt>
                <c:pt idx="9">
                  <c:v>2Q26</c:v>
                </c:pt>
                <c:pt idx="10">
                  <c:v>3Q26</c:v>
                </c:pt>
                <c:pt idx="11">
                  <c:v>4Q26</c:v>
                </c:pt>
                <c:pt idx="12">
                  <c:v>1Q27</c:v>
                </c:pt>
                <c:pt idx="13">
                  <c:v>2Q27</c:v>
                </c:pt>
                <c:pt idx="14">
                  <c:v>3Q27</c:v>
                </c:pt>
                <c:pt idx="15">
                  <c:v>4Q27</c:v>
                </c:pt>
                <c:pt idx="16">
                  <c:v>1Q28</c:v>
                </c:pt>
                <c:pt idx="17">
                  <c:v>2Q28</c:v>
                </c:pt>
                <c:pt idx="18">
                  <c:v>3Q28</c:v>
                </c:pt>
                <c:pt idx="19">
                  <c:v>4Q28</c:v>
                </c:pt>
                <c:pt idx="20">
                  <c:v>1Q29</c:v>
                </c:pt>
                <c:pt idx="21">
                  <c:v>2Q29</c:v>
                </c:pt>
                <c:pt idx="22">
                  <c:v>3Q29</c:v>
                </c:pt>
                <c:pt idx="23">
                  <c:v>4Q29</c:v>
                </c:pt>
                <c:pt idx="24">
                  <c:v>1Q30</c:v>
                </c:pt>
                <c:pt idx="25">
                  <c:v>2Q30</c:v>
                </c:pt>
                <c:pt idx="26">
                  <c:v>3Q30</c:v>
                </c:pt>
                <c:pt idx="27">
                  <c:v>4Q30</c:v>
                </c:pt>
              </c:strCache>
            </c:strRef>
          </c:cat>
          <c:val>
            <c:numRef>
              <c:f>('Investment Business Of HoldCo'!$AR$192:$AU$192,'Investment Business Of HoldCo'!$AW$192:$AZ$192,'Investment Business Of HoldCo'!$BB$192:$BE$192,'Investment Business Of HoldCo'!$BG$192:$BJ$192,'Investment Business Of HoldCo'!$BL$192:$BO$192,'Investment Business Of HoldCo'!$BQ$192:$BT$192,'Investment Business Of HoldCo'!$BV$192:$BY$192)</c:f>
            </c:numRef>
          </c:val>
          <c:smooth val="0"/>
          <c:extLst>
            <c:ext xmlns:c16="http://schemas.microsoft.com/office/drawing/2014/chart" uri="{C3380CC4-5D6E-409C-BE32-E72D297353CC}">
              <c16:uniqueId val="{00000001-5C7E-4C8A-A8A0-7AE4597099E9}"/>
            </c:ext>
          </c:extLst>
        </c:ser>
        <c:dLbls>
          <c:showLegendKey val="0"/>
          <c:showVal val="0"/>
          <c:showCatName val="0"/>
          <c:showSerName val="0"/>
          <c:showPercent val="0"/>
          <c:showBubbleSize val="0"/>
        </c:dLbls>
        <c:smooth val="0"/>
        <c:axId val="1833267551"/>
        <c:axId val="1833253631"/>
      </c:lineChart>
      <c:catAx>
        <c:axId val="183326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1833253631"/>
        <c:crosses val="autoZero"/>
        <c:auto val="1"/>
        <c:lblAlgn val="ctr"/>
        <c:lblOffset val="100"/>
        <c:noMultiLvlLbl val="0"/>
      </c:catAx>
      <c:valAx>
        <c:axId val="183325363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833267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TMUS</c:v>
          </c:tx>
          <c:spPr>
            <a:solidFill>
              <a:srgbClr val="FF00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'Investment Business Of HoldCo'!$CB$2:$CH$2</c:f>
              <c:strCache>
                <c:ptCount val="7"/>
                <c:pt idx="0">
                  <c:v>FY24</c:v>
                </c:pt>
                <c:pt idx="1">
                  <c:v>FY25</c:v>
                </c:pt>
                <c:pt idx="2">
                  <c:v>FY26</c:v>
                </c:pt>
                <c:pt idx="3">
                  <c:v>FY27</c:v>
                </c:pt>
                <c:pt idx="4">
                  <c:v>FY28</c:v>
                </c:pt>
                <c:pt idx="5">
                  <c:v>FY29</c:v>
                </c:pt>
                <c:pt idx="6">
                  <c:v>FY30</c:v>
                </c:pt>
              </c:strCache>
            </c:strRef>
          </c:cat>
          <c:val>
            <c:numRef>
              <c:f>('Investment Business Of HoldCo'!$AV$108,'Investment Business Of HoldCo'!$BA$108,'Investment Business Of HoldCo'!$BF$108,'Investment Business Of HoldCo'!$BK$108,'Investment Business Of HoldCo'!$BP$108,'Investment Business Of HoldCo'!$BU$108,'Investment Business Of HoldCo'!$BZ$108)</c:f>
              <c:numCache>
                <c:formatCode>_-* #,##0_-;\-* #,##0_-;_-* "-"??_-;_-@_-</c:formatCode>
                <c:ptCount val="7"/>
                <c:pt idx="1">
                  <c:v>0</c:v>
                </c:pt>
                <c:pt idx="2">
                  <c:v>0</c:v>
                </c:pt>
                <c:pt idx="3">
                  <c:v>150</c:v>
                </c:pt>
                <c:pt idx="4">
                  <c:v>240</c:v>
                </c:pt>
                <c:pt idx="5">
                  <c:v>240</c:v>
                </c:pt>
                <c:pt idx="6">
                  <c:v>215</c:v>
                </c:pt>
              </c:numCache>
            </c:numRef>
          </c:val>
          <c:extLst>
            <c:ext xmlns:c16="http://schemas.microsoft.com/office/drawing/2014/chart" uri="{C3380CC4-5D6E-409C-BE32-E72D297353CC}">
              <c16:uniqueId val="{00000000-9267-40F6-9FE2-B84FEB41B748}"/>
            </c:ext>
          </c:extLst>
        </c:ser>
        <c:ser>
          <c:idx val="1"/>
          <c:order val="1"/>
          <c:tx>
            <c:v>DT</c:v>
          </c:tx>
          <c:spPr>
            <a:solidFill>
              <a:srgbClr val="2EB2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'Investment Business Of HoldCo'!$CB$2:$CH$2</c:f>
              <c:strCache>
                <c:ptCount val="7"/>
                <c:pt idx="0">
                  <c:v>FY24</c:v>
                </c:pt>
                <c:pt idx="1">
                  <c:v>FY25</c:v>
                </c:pt>
                <c:pt idx="2">
                  <c:v>FY26</c:v>
                </c:pt>
                <c:pt idx="3">
                  <c:v>FY27</c:v>
                </c:pt>
                <c:pt idx="4">
                  <c:v>FY28</c:v>
                </c:pt>
                <c:pt idx="5">
                  <c:v>FY29</c:v>
                </c:pt>
                <c:pt idx="6">
                  <c:v>FY30</c:v>
                </c:pt>
              </c:strCache>
            </c:strRef>
          </c:cat>
          <c:val>
            <c:numRef>
              <c:f>('Investment Business Of HoldCo'!$AV$240,'Investment Business Of HoldCo'!$BA$240,'Investment Business Of HoldCo'!$BF$240,'Investment Business Of HoldCo'!$BK$240,'Investment Business Of HoldCo'!$BP$240,'Investment Business Of HoldCo'!$BU$240,'Investment Business Of HoldCo'!$BZ$240)</c:f>
            </c:numRef>
          </c:val>
          <c:extLst>
            <c:ext xmlns:c16="http://schemas.microsoft.com/office/drawing/2014/chart" uri="{C3380CC4-5D6E-409C-BE32-E72D297353CC}">
              <c16:uniqueId val="{00000001-9267-40F6-9FE2-B84FEB41B748}"/>
            </c:ext>
          </c:extLst>
        </c:ser>
        <c:dLbls>
          <c:showLegendKey val="0"/>
          <c:showVal val="0"/>
          <c:showCatName val="0"/>
          <c:showSerName val="0"/>
          <c:showPercent val="0"/>
          <c:showBubbleSize val="0"/>
        </c:dLbls>
        <c:gapWidth val="219"/>
        <c:overlap val="-27"/>
        <c:axId val="399386032"/>
        <c:axId val="399388912"/>
      </c:barChart>
      <c:catAx>
        <c:axId val="39938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399388912"/>
        <c:crosses val="autoZero"/>
        <c:auto val="1"/>
        <c:lblAlgn val="ctr"/>
        <c:lblOffset val="100"/>
        <c:noMultiLvlLbl val="0"/>
      </c:catAx>
      <c:valAx>
        <c:axId val="399388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399386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Net % equity stake</c:v>
          </c:tx>
          <c:spPr>
            <a:ln w="19050" cap="rnd">
              <a:solidFill>
                <a:srgbClr val="FF00FF"/>
              </a:solidFill>
              <a:round/>
            </a:ln>
            <a:effectLst/>
          </c:spPr>
          <c:marker>
            <c:symbol val="none"/>
          </c:marker>
          <c:cat>
            <c:strRef>
              <c:f>('Investment Business Of HoldCo'!$V$2,'Investment Business Of HoldCo'!$X$2:$AA$2,'Investment Business Of HoldCo'!$AC$2:$AF$2,'Investment Business Of HoldCo'!$AH$2:$AK$2,'Investment Business Of HoldCo'!$AM$2:$AP$2,'Investment Business Of HoldCo'!$AR$2:$AS$2)</c:f>
              <c:strCache>
                <c:ptCount val="19"/>
                <c:pt idx="0">
                  <c:v>4Q19</c:v>
                </c:pt>
                <c:pt idx="1">
                  <c:v>1Q20</c:v>
                </c:pt>
                <c:pt idx="2">
                  <c:v>2Q20</c:v>
                </c:pt>
                <c:pt idx="3">
                  <c:v>3Q20</c:v>
                </c:pt>
                <c:pt idx="4">
                  <c:v>4Q20</c:v>
                </c:pt>
                <c:pt idx="5">
                  <c:v>1Q21</c:v>
                </c:pt>
                <c:pt idx="6">
                  <c:v>2Q21</c:v>
                </c:pt>
                <c:pt idx="7">
                  <c:v>3Q21</c:v>
                </c:pt>
                <c:pt idx="8">
                  <c:v>4Q21</c:v>
                </c:pt>
                <c:pt idx="9">
                  <c:v>1Q22</c:v>
                </c:pt>
                <c:pt idx="10">
                  <c:v>2Q22</c:v>
                </c:pt>
                <c:pt idx="11">
                  <c:v>3Q22</c:v>
                </c:pt>
                <c:pt idx="12">
                  <c:v>4Q22</c:v>
                </c:pt>
                <c:pt idx="13">
                  <c:v>1Q23</c:v>
                </c:pt>
                <c:pt idx="14">
                  <c:v>2Q23</c:v>
                </c:pt>
                <c:pt idx="15">
                  <c:v>3Q23</c:v>
                </c:pt>
                <c:pt idx="16">
                  <c:v>4Q23</c:v>
                </c:pt>
                <c:pt idx="17">
                  <c:v>1Q24</c:v>
                </c:pt>
                <c:pt idx="18">
                  <c:v>2Q24</c:v>
                </c:pt>
              </c:strCache>
            </c:strRef>
          </c:cat>
          <c:val>
            <c:numRef>
              <c:f>('Investment Business Of HoldCo'!$V$100,'Investment Business Of HoldCo'!$X$100:$AA$100,'Investment Business Of HoldCo'!$AC$100:$AF$100,'Investment Business Of HoldCo'!$AH$100:$AK$100,'Investment Business Of HoldCo'!$AM$100:$AP$100,'Investment Business Of HoldCo'!$AR$100:$AS$100)</c:f>
              <c:numCache>
                <c:formatCode>0.0%</c:formatCode>
                <c:ptCount val="19"/>
                <c:pt idx="0">
                  <c:v>0.24821136421034751</c:v>
                </c:pt>
                <c:pt idx="1">
                  <c:v>4.9611419344254053E-2</c:v>
                </c:pt>
                <c:pt idx="2">
                  <c:v>4.9486652040817994E-2</c:v>
                </c:pt>
                <c:pt idx="3">
                  <c:v>4.9611419344254053E-2</c:v>
                </c:pt>
                <c:pt idx="4">
                  <c:v>4.92360160058785E-2</c:v>
                </c:pt>
                <c:pt idx="5">
                  <c:v>4.9129417613433701E-2</c:v>
                </c:pt>
                <c:pt idx="6">
                  <c:v>1.9538607996255213E-2</c:v>
                </c:pt>
                <c:pt idx="7">
                  <c:v>1.9535840553951668E-2</c:v>
                </c:pt>
                <c:pt idx="8">
                  <c:v>1.4017981530657735E-2</c:v>
                </c:pt>
                <c:pt idx="9">
                  <c:v>6.5723626819482253E-3</c:v>
                </c:pt>
                <c:pt idx="10">
                  <c:v>6.5928964241584141E-3</c:v>
                </c:pt>
                <c:pt idx="11">
                  <c:v>6.679153683284725E-3</c:v>
                </c:pt>
                <c:pt idx="12">
                  <c:v>6.8413996365432658E-3</c:v>
                </c:pt>
                <c:pt idx="13">
                  <c:v>1.0003576350794307E-2</c:v>
                </c:pt>
                <c:pt idx="14">
                  <c:v>1.0162147341044623E-2</c:v>
                </c:pt>
                <c:pt idx="15">
                  <c:v>5.0647650510184092E-2</c:v>
                </c:pt>
                <c:pt idx="16">
                  <c:v>5.144215312201688E-2</c:v>
                </c:pt>
                <c:pt idx="17">
                  <c:v>6.892679204004569E-2</c:v>
                </c:pt>
                <c:pt idx="18">
                  <c:v>7.3295590399098803E-2</c:v>
                </c:pt>
              </c:numCache>
            </c:numRef>
          </c:val>
          <c:smooth val="0"/>
          <c:extLst>
            <c:ext xmlns:c16="http://schemas.microsoft.com/office/drawing/2014/chart" uri="{C3380CC4-5D6E-409C-BE32-E72D297353CC}">
              <c16:uniqueId val="{00000000-A244-443A-B509-0C39BFEF73C3}"/>
            </c:ext>
          </c:extLst>
        </c:ser>
        <c:ser>
          <c:idx val="1"/>
          <c:order val="1"/>
          <c:tx>
            <c:v>Gross % equity stake</c:v>
          </c:tx>
          <c:spPr>
            <a:ln w="19050" cap="rnd">
              <a:solidFill>
                <a:srgbClr val="FF00FF"/>
              </a:solidFill>
              <a:prstDash val="sysDash"/>
              <a:round/>
            </a:ln>
            <a:effectLst/>
          </c:spPr>
          <c:marker>
            <c:symbol val="none"/>
          </c:marker>
          <c:cat>
            <c:strRef>
              <c:f>('Investment Business Of HoldCo'!$V$2,'Investment Business Of HoldCo'!$X$2:$AA$2,'Investment Business Of HoldCo'!$AC$2:$AF$2,'Investment Business Of HoldCo'!$AH$2:$AK$2,'Investment Business Of HoldCo'!$AM$2:$AP$2,'Investment Business Of HoldCo'!$AR$2:$AS$2)</c:f>
              <c:strCache>
                <c:ptCount val="19"/>
                <c:pt idx="0">
                  <c:v>4Q19</c:v>
                </c:pt>
                <c:pt idx="1">
                  <c:v>1Q20</c:v>
                </c:pt>
                <c:pt idx="2">
                  <c:v>2Q20</c:v>
                </c:pt>
                <c:pt idx="3">
                  <c:v>3Q20</c:v>
                </c:pt>
                <c:pt idx="4">
                  <c:v>4Q20</c:v>
                </c:pt>
                <c:pt idx="5">
                  <c:v>1Q21</c:v>
                </c:pt>
                <c:pt idx="6">
                  <c:v>2Q21</c:v>
                </c:pt>
                <c:pt idx="7">
                  <c:v>3Q21</c:v>
                </c:pt>
                <c:pt idx="8">
                  <c:v>4Q21</c:v>
                </c:pt>
                <c:pt idx="9">
                  <c:v>1Q22</c:v>
                </c:pt>
                <c:pt idx="10">
                  <c:v>2Q22</c:v>
                </c:pt>
                <c:pt idx="11">
                  <c:v>3Q22</c:v>
                </c:pt>
                <c:pt idx="12">
                  <c:v>4Q22</c:v>
                </c:pt>
                <c:pt idx="13">
                  <c:v>1Q23</c:v>
                </c:pt>
                <c:pt idx="14">
                  <c:v>2Q23</c:v>
                </c:pt>
                <c:pt idx="15">
                  <c:v>3Q23</c:v>
                </c:pt>
                <c:pt idx="16">
                  <c:v>4Q23</c:v>
                </c:pt>
                <c:pt idx="17">
                  <c:v>1Q24</c:v>
                </c:pt>
                <c:pt idx="18">
                  <c:v>2Q24</c:v>
                </c:pt>
              </c:strCache>
            </c:strRef>
          </c:cat>
          <c:val>
            <c:numRef>
              <c:f>('Investment Business Of HoldCo'!$V$133,'Investment Business Of HoldCo'!$X$133:$AA$133,'Investment Business Of HoldCo'!$AC$133:$AF$133,'Investment Business Of HoldCo'!$AH$133:$AK$133,'Investment Business Of HoldCo'!$AM$133:$AP$133,'Investment Business Of HoldCo'!$AR$133:$AS$133)</c:f>
              <c:numCache>
                <c:formatCode>0.0%</c:formatCode>
                <c:ptCount val="19"/>
                <c:pt idx="0">
                  <c:v>0.24821136421034751</c:v>
                </c:pt>
                <c:pt idx="1">
                  <c:v>8.5903396724745576E-2</c:v>
                </c:pt>
                <c:pt idx="2">
                  <c:v>8.5687359060292304E-2</c:v>
                </c:pt>
                <c:pt idx="3">
                  <c:v>8.5903396724745576E-2</c:v>
                </c:pt>
                <c:pt idx="4">
                  <c:v>8.5253376581510068E-2</c:v>
                </c:pt>
                <c:pt idx="5">
                  <c:v>8.5068798834744441E-2</c:v>
                </c:pt>
                <c:pt idx="6">
                  <c:v>4.8717592393365552E-2</c:v>
                </c:pt>
                <c:pt idx="7">
                  <c:v>4.8710692048871095E-2</c:v>
                </c:pt>
                <c:pt idx="8">
                  <c:v>4.8609584516792446E-2</c:v>
                </c:pt>
                <c:pt idx="9">
                  <c:v>3.1715701403074538E-2</c:v>
                </c:pt>
                <c:pt idx="10">
                  <c:v>3.1814789367044446E-2</c:v>
                </c:pt>
                <c:pt idx="11">
                  <c:v>3.2231033814693638E-2</c:v>
                </c:pt>
                <c:pt idx="12">
                  <c:v>3.301397055394853E-2</c:v>
                </c:pt>
                <c:pt idx="13">
                  <c:v>3.6714888992749085E-2</c:v>
                </c:pt>
                <c:pt idx="14">
                  <c:v>3.7296872485487506E-2</c:v>
                </c:pt>
                <c:pt idx="15">
                  <c:v>7.7016979952211739E-2</c:v>
                </c:pt>
                <c:pt idx="16">
                  <c:v>7.8225134547955558E-2</c:v>
                </c:pt>
                <c:pt idx="17">
                  <c:v>7.3033663475002675E-2</c:v>
                </c:pt>
                <c:pt idx="18">
                  <c:v>7.3295590399098803E-2</c:v>
                </c:pt>
              </c:numCache>
            </c:numRef>
          </c:val>
          <c:smooth val="0"/>
          <c:extLst>
            <c:ext xmlns:c16="http://schemas.microsoft.com/office/drawing/2014/chart" uri="{C3380CC4-5D6E-409C-BE32-E72D297353CC}">
              <c16:uniqueId val="{00000001-A244-443A-B509-0C39BFEF73C3}"/>
            </c:ext>
          </c:extLst>
        </c:ser>
        <c:dLbls>
          <c:showLegendKey val="0"/>
          <c:showVal val="0"/>
          <c:showCatName val="0"/>
          <c:showSerName val="0"/>
          <c:showPercent val="0"/>
          <c:showBubbleSize val="0"/>
        </c:dLbls>
        <c:smooth val="0"/>
        <c:axId val="939374831"/>
        <c:axId val="942391583"/>
      </c:lineChart>
      <c:catAx>
        <c:axId val="93937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942391583"/>
        <c:crosses val="autoZero"/>
        <c:auto val="1"/>
        <c:lblAlgn val="ctr"/>
        <c:lblOffset val="100"/>
        <c:noMultiLvlLbl val="0"/>
      </c:catAx>
      <c:valAx>
        <c:axId val="94239158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939374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002060"/>
              </a:solidFill>
              <a:ln w="19050">
                <a:solidFill>
                  <a:schemeClr val="lt1"/>
                </a:solidFill>
              </a:ln>
              <a:effectLst/>
            </c:spPr>
            <c:extLst>
              <c:ext xmlns:c16="http://schemas.microsoft.com/office/drawing/2014/chart" uri="{C3380CC4-5D6E-409C-BE32-E72D297353CC}">
                <c16:uniqueId val="{00000001-42B7-4D19-9BA0-3DA1F0A9F1B7}"/>
              </c:ext>
            </c:extLst>
          </c:dPt>
          <c:dPt>
            <c:idx val="1"/>
            <c:bubble3D val="0"/>
            <c:spPr>
              <a:solidFill>
                <a:srgbClr val="F97303"/>
              </a:solidFill>
              <a:ln w="19050">
                <a:solidFill>
                  <a:schemeClr val="lt1"/>
                </a:solidFill>
              </a:ln>
              <a:effectLst/>
            </c:spPr>
            <c:extLst>
              <c:ext xmlns:c16="http://schemas.microsoft.com/office/drawing/2014/chart" uri="{C3380CC4-5D6E-409C-BE32-E72D297353CC}">
                <c16:uniqueId val="{00000002-42B7-4D19-9BA0-3DA1F0A9F1B7}"/>
              </c:ext>
            </c:extLst>
          </c:dPt>
          <c:dPt>
            <c:idx val="2"/>
            <c:bubble3D val="0"/>
            <c:spPr>
              <a:solidFill>
                <a:srgbClr val="2EB2A5"/>
              </a:solidFill>
              <a:ln w="19050">
                <a:solidFill>
                  <a:schemeClr val="lt1"/>
                </a:solidFill>
              </a:ln>
              <a:effectLst/>
            </c:spPr>
            <c:extLst>
              <c:ext xmlns:c16="http://schemas.microsoft.com/office/drawing/2014/chart" uri="{C3380CC4-5D6E-409C-BE32-E72D297353CC}">
                <c16:uniqueId val="{00000003-42B7-4D19-9BA0-3DA1F0A9F1B7}"/>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4-42B7-4D19-9BA0-3DA1F0A9F1B7}"/>
              </c:ext>
            </c:extLst>
          </c:dPt>
          <c:dPt>
            <c:idx val="4"/>
            <c:bubble3D val="0"/>
            <c:spPr>
              <a:solidFill>
                <a:srgbClr val="00B0F0"/>
              </a:solidFill>
              <a:ln w="19050">
                <a:noFill/>
                <a:prstDash val="dash"/>
              </a:ln>
              <a:effectLst/>
            </c:spPr>
            <c:extLst>
              <c:ext xmlns:c16="http://schemas.microsoft.com/office/drawing/2014/chart" uri="{C3380CC4-5D6E-409C-BE32-E72D297353CC}">
                <c16:uniqueId val="{00000005-42B7-4D19-9BA0-3DA1F0A9F1B7}"/>
              </c:ext>
            </c:extLst>
          </c:dPt>
          <c:dPt>
            <c:idx val="5"/>
            <c:bubble3D val="0"/>
            <c:spPr>
              <a:solidFill>
                <a:srgbClr val="FF0000"/>
              </a:solidFill>
              <a:ln w="19050">
                <a:solidFill>
                  <a:schemeClr val="lt1"/>
                </a:solidFill>
              </a:ln>
              <a:effectLst/>
            </c:spPr>
            <c:extLst>
              <c:ext xmlns:c16="http://schemas.microsoft.com/office/drawing/2014/chart" uri="{C3380CC4-5D6E-409C-BE32-E72D297353CC}">
                <c16:uniqueId val="{00000007-42B7-4D19-9BA0-3DA1F0A9F1B7}"/>
              </c:ext>
            </c:extLst>
          </c:dPt>
          <c:dPt>
            <c:idx val="6"/>
            <c:bubble3D val="0"/>
            <c:spPr>
              <a:solidFill>
                <a:srgbClr val="0070C0"/>
              </a:solidFill>
              <a:ln w="19050">
                <a:solidFill>
                  <a:schemeClr val="lt1"/>
                </a:solidFill>
              </a:ln>
              <a:effectLst/>
            </c:spPr>
            <c:extLst>
              <c:ext xmlns:c16="http://schemas.microsoft.com/office/drawing/2014/chart" uri="{C3380CC4-5D6E-409C-BE32-E72D297353CC}">
                <c16:uniqueId val="{00000008-42B7-4D19-9BA0-3DA1F0A9F1B7}"/>
              </c:ext>
            </c:extLst>
          </c:dPt>
          <c:dPt>
            <c:idx val="7"/>
            <c:bubble3D val="0"/>
            <c:spPr>
              <a:solidFill>
                <a:srgbClr val="FFC000"/>
              </a:solidFill>
              <a:ln w="19050">
                <a:solidFill>
                  <a:schemeClr val="lt1"/>
                </a:solidFill>
              </a:ln>
              <a:effectLst/>
            </c:spPr>
            <c:extLst>
              <c:ext xmlns:c16="http://schemas.microsoft.com/office/drawing/2014/chart" uri="{C3380CC4-5D6E-409C-BE32-E72D297353CC}">
                <c16:uniqueId val="{00000009-42B7-4D19-9BA0-3DA1F0A9F1B7}"/>
              </c:ext>
            </c:extLst>
          </c:dPt>
          <c:dPt>
            <c:idx val="8"/>
            <c:bubble3D val="0"/>
            <c:spPr>
              <a:solidFill>
                <a:schemeClr val="bg1"/>
              </a:solidFill>
              <a:ln w="19050">
                <a:solidFill>
                  <a:sysClr val="windowText" lastClr="000000"/>
                </a:solidFill>
                <a:prstDash val="dash"/>
              </a:ln>
              <a:effectLst/>
            </c:spPr>
            <c:extLst>
              <c:ext xmlns:c16="http://schemas.microsoft.com/office/drawing/2014/chart" uri="{C3380CC4-5D6E-409C-BE32-E72D297353CC}">
                <c16:uniqueId val="{00000011-1AFF-44ED-8681-15053D9727D5}"/>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'SVF1'!$BH$52:$BH$60</c:f>
              <c:strCache>
                <c:ptCount val="9"/>
                <c:pt idx="0">
                  <c:v>ByteDance</c:v>
                </c:pt>
                <c:pt idx="1">
                  <c:v>Coupang Inc.</c:v>
                </c:pt>
                <c:pt idx="2">
                  <c:v>Ride-hailing + delivery</c:v>
                </c:pt>
                <c:pt idx="3">
                  <c:v>Autonomous</c:v>
                </c:pt>
                <c:pt idx="4">
                  <c:v>Other publicly listed</c:v>
                </c:pt>
                <c:pt idx="5">
                  <c:v>OYO</c:v>
                </c:pt>
                <c:pt idx="6">
                  <c:v>Fanatics</c:v>
                </c:pt>
                <c:pt idx="7">
                  <c:v>firstcry.com</c:v>
                </c:pt>
                <c:pt idx="8">
                  <c:v>Other privately listed</c:v>
                </c:pt>
              </c:strCache>
            </c:strRef>
          </c:cat>
          <c:val>
            <c:numRef>
              <c:f>'SVF1'!$BK$52:$BK$60</c:f>
              <c:numCache>
                <c:formatCode>\$0.0"bn"</c:formatCode>
                <c:ptCount val="9"/>
                <c:pt idx="0">
                  <c:v>15.525</c:v>
                </c:pt>
                <c:pt idx="1">
                  <c:v>6.8</c:v>
                </c:pt>
                <c:pt idx="2">
                  <c:v>7.7</c:v>
                </c:pt>
                <c:pt idx="3">
                  <c:v>2.1150000000000002</c:v>
                </c:pt>
                <c:pt idx="4">
                  <c:v>2.8</c:v>
                </c:pt>
                <c:pt idx="5">
                  <c:v>1</c:v>
                </c:pt>
                <c:pt idx="6">
                  <c:v>0.9</c:v>
                </c:pt>
                <c:pt idx="7">
                  <c:v>0.3</c:v>
                </c:pt>
                <c:pt idx="8">
                  <c:v>8.06</c:v>
                </c:pt>
              </c:numCache>
            </c:numRef>
          </c:val>
          <c:extLst>
            <c:ext xmlns:c16="http://schemas.microsoft.com/office/drawing/2014/chart" uri="{C3380CC4-5D6E-409C-BE32-E72D297353CC}">
              <c16:uniqueId val="{00000000-42B7-4D19-9BA0-3DA1F0A9F1B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Acquisition cost $bn</c:v>
          </c:tx>
          <c:spPr>
            <a:solidFill>
              <a:srgbClr val="023D67"/>
            </a:solidFill>
            <a:ln>
              <a:noFill/>
            </a:ln>
            <a:effectLst/>
          </c:spPr>
          <c:invertIfNegative val="0"/>
          <c:cat>
            <c:strRef>
              <c:f>'SVF1'!$BR$53:$BR$59</c:f>
              <c:strCache>
                <c:ptCount val="6"/>
                <c:pt idx="0">
                  <c:v>Coupang</c:v>
                </c:pt>
                <c:pt idx="1">
                  <c:v>DiDi Global</c:v>
                </c:pt>
                <c:pt idx="2">
                  <c:v>Grab Holdings</c:v>
                </c:pt>
                <c:pt idx="3">
                  <c:v>Full Truck Alliance</c:v>
                </c:pt>
                <c:pt idx="4">
                  <c:v>Roivant Sciences</c:v>
                </c:pt>
                <c:pt idx="5">
                  <c:v>PT GoTo Gojek Tokopedia</c:v>
                </c:pt>
              </c:strCache>
            </c:strRef>
          </c:cat>
          <c:val>
            <c:numRef>
              <c:f>'SVF1'!$BT$53:$BT$58</c:f>
              <c:numCache>
                <c:formatCode>\$0.0"bn"</c:formatCode>
                <c:ptCount val="6"/>
                <c:pt idx="0">
                  <c:v>1.7</c:v>
                </c:pt>
                <c:pt idx="1">
                  <c:v>12.1</c:v>
                </c:pt>
                <c:pt idx="2">
                  <c:v>1.7</c:v>
                </c:pt>
                <c:pt idx="3">
                  <c:v>0.8</c:v>
                </c:pt>
                <c:pt idx="4">
                  <c:v>0.6</c:v>
                </c:pt>
                <c:pt idx="5">
                  <c:v>1</c:v>
                </c:pt>
              </c:numCache>
            </c:numRef>
          </c:val>
          <c:extLst>
            <c:ext xmlns:c16="http://schemas.microsoft.com/office/drawing/2014/chart" uri="{C3380CC4-5D6E-409C-BE32-E72D297353CC}">
              <c16:uniqueId val="{00000000-4BF1-4C62-866B-610938B98CDA}"/>
            </c:ext>
          </c:extLst>
        </c:ser>
        <c:ser>
          <c:idx val="1"/>
          <c:order val="1"/>
          <c:tx>
            <c:v>Fair value $bn</c:v>
          </c:tx>
          <c:spPr>
            <a:solidFill>
              <a:srgbClr val="F97303"/>
            </a:solidFill>
            <a:ln>
              <a:noFill/>
            </a:ln>
            <a:effectLst/>
          </c:spPr>
          <c:invertIfNegative val="0"/>
          <c:dPt>
            <c:idx val="0"/>
            <c:invertIfNegative val="0"/>
            <c:bubble3D val="0"/>
            <c:spPr>
              <a:solidFill>
                <a:srgbClr val="2EB2A5"/>
              </a:solidFill>
              <a:ln>
                <a:noFill/>
              </a:ln>
              <a:effectLst/>
            </c:spPr>
            <c:extLst>
              <c:ext xmlns:c16="http://schemas.microsoft.com/office/drawing/2014/chart" uri="{C3380CC4-5D6E-409C-BE32-E72D297353CC}">
                <c16:uniqueId val="{00000002-4BF1-4C62-866B-610938B98CDA}"/>
              </c:ext>
            </c:extLst>
          </c:dPt>
          <c:dPt>
            <c:idx val="3"/>
            <c:invertIfNegative val="0"/>
            <c:bubble3D val="0"/>
            <c:spPr>
              <a:solidFill>
                <a:srgbClr val="2EB2A5"/>
              </a:solidFill>
              <a:ln>
                <a:noFill/>
              </a:ln>
              <a:effectLst/>
            </c:spPr>
            <c:extLst>
              <c:ext xmlns:c16="http://schemas.microsoft.com/office/drawing/2014/chart" uri="{C3380CC4-5D6E-409C-BE32-E72D297353CC}">
                <c16:uniqueId val="{00000003-4BF1-4C62-866B-610938B98CDA}"/>
              </c:ext>
            </c:extLst>
          </c:dPt>
          <c:dPt>
            <c:idx val="5"/>
            <c:invertIfNegative val="0"/>
            <c:bubble3D val="0"/>
            <c:spPr>
              <a:solidFill>
                <a:srgbClr val="2EB2A5"/>
              </a:solidFill>
              <a:ln>
                <a:noFill/>
              </a:ln>
              <a:effectLst/>
            </c:spPr>
            <c:extLst>
              <c:ext xmlns:c16="http://schemas.microsoft.com/office/drawing/2014/chart" uri="{C3380CC4-5D6E-409C-BE32-E72D297353CC}">
                <c16:uniqueId val="{00000004-4BF1-4C62-866B-610938B98CDA}"/>
              </c:ext>
            </c:extLst>
          </c:dPt>
          <c:cat>
            <c:strRef>
              <c:f>'SVF1'!$BR$53:$BR$59</c:f>
              <c:strCache>
                <c:ptCount val="6"/>
                <c:pt idx="0">
                  <c:v>Coupang</c:v>
                </c:pt>
                <c:pt idx="1">
                  <c:v>DiDi Global</c:v>
                </c:pt>
                <c:pt idx="2">
                  <c:v>Grab Holdings</c:v>
                </c:pt>
                <c:pt idx="3">
                  <c:v>Full Truck Alliance</c:v>
                </c:pt>
                <c:pt idx="4">
                  <c:v>Roivant Sciences</c:v>
                </c:pt>
                <c:pt idx="5">
                  <c:v>PT GoTo Gojek Tokopedia</c:v>
                </c:pt>
              </c:strCache>
            </c:strRef>
          </c:cat>
          <c:val>
            <c:numRef>
              <c:f>'SVF1'!$BU$53:$BU$58</c:f>
              <c:numCache>
                <c:formatCode>\$0.0"bn"</c:formatCode>
                <c:ptCount val="6"/>
                <c:pt idx="0">
                  <c:v>7.7</c:v>
                </c:pt>
                <c:pt idx="1">
                  <c:v>4.7</c:v>
                </c:pt>
                <c:pt idx="2">
                  <c:v>1.8</c:v>
                </c:pt>
                <c:pt idx="3">
                  <c:v>1.2</c:v>
                </c:pt>
                <c:pt idx="4">
                  <c:v>0.6</c:v>
                </c:pt>
                <c:pt idx="5">
                  <c:v>0.5</c:v>
                </c:pt>
              </c:numCache>
            </c:numRef>
          </c:val>
          <c:extLst>
            <c:ext xmlns:c16="http://schemas.microsoft.com/office/drawing/2014/chart" uri="{C3380CC4-5D6E-409C-BE32-E72D297353CC}">
              <c16:uniqueId val="{00000001-4BF1-4C62-866B-610938B98CDA}"/>
            </c:ext>
          </c:extLst>
        </c:ser>
        <c:dLbls>
          <c:showLegendKey val="0"/>
          <c:showVal val="0"/>
          <c:showCatName val="0"/>
          <c:showSerName val="0"/>
          <c:showPercent val="0"/>
          <c:showBubbleSize val="0"/>
        </c:dLbls>
        <c:gapWidth val="219"/>
        <c:overlap val="-27"/>
        <c:axId val="418976320"/>
        <c:axId val="418992640"/>
      </c:barChart>
      <c:catAx>
        <c:axId val="41897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418992640"/>
        <c:crosses val="autoZero"/>
        <c:auto val="1"/>
        <c:lblAlgn val="ctr"/>
        <c:lblOffset val="100"/>
        <c:noMultiLvlLbl val="0"/>
      </c:catAx>
      <c:valAx>
        <c:axId val="418992640"/>
        <c:scaling>
          <c:orientation val="minMax"/>
        </c:scaling>
        <c:delete val="0"/>
        <c:axPos val="l"/>
        <c:majorGridlines>
          <c:spPr>
            <a:ln w="9525" cap="flat" cmpd="sng" algn="ctr">
              <a:solidFill>
                <a:schemeClr val="tx1">
                  <a:lumMod val="15000"/>
                  <a:lumOff val="85000"/>
                </a:schemeClr>
              </a:solidFill>
              <a:round/>
            </a:ln>
            <a:effectLst/>
          </c:spPr>
        </c:majorGridlines>
        <c:numFmt formatCode="\$0.0&quot;bn&quot;"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418976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tx1"/>
              </a:solidFill>
              <a:ln w="19050">
                <a:solidFill>
                  <a:schemeClr val="lt1"/>
                </a:solidFill>
              </a:ln>
              <a:effectLst/>
            </c:spPr>
            <c:extLst>
              <c:ext xmlns:c16="http://schemas.microsoft.com/office/drawing/2014/chart" uri="{C3380CC4-5D6E-409C-BE32-E72D297353CC}">
                <c16:uniqueId val="{00000003-5871-4372-9D55-77B9A3A533AC}"/>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4-5871-4372-9D55-77B9A3A533AC}"/>
              </c:ext>
            </c:extLst>
          </c:dPt>
          <c:dPt>
            <c:idx val="2"/>
            <c:bubble3D val="0"/>
            <c:spPr>
              <a:solidFill>
                <a:srgbClr val="F97303"/>
              </a:solidFill>
              <a:ln w="19050">
                <a:solidFill>
                  <a:schemeClr val="lt1"/>
                </a:solidFill>
              </a:ln>
              <a:effectLst/>
            </c:spPr>
            <c:extLst>
              <c:ext xmlns:c16="http://schemas.microsoft.com/office/drawing/2014/chart" uri="{C3380CC4-5D6E-409C-BE32-E72D297353CC}">
                <c16:uniqueId val="{00000005-5871-4372-9D55-77B9A3A533AC}"/>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6-5871-4372-9D55-77B9A3A533AC}"/>
              </c:ext>
            </c:extLst>
          </c:dPt>
          <c:dPt>
            <c:idx val="4"/>
            <c:bubble3D val="0"/>
            <c:spPr>
              <a:solidFill>
                <a:srgbClr val="92D050"/>
              </a:solidFill>
              <a:ln w="19050">
                <a:solidFill>
                  <a:schemeClr val="lt1"/>
                </a:solidFill>
              </a:ln>
              <a:effectLst/>
            </c:spPr>
            <c:extLst>
              <c:ext xmlns:c16="http://schemas.microsoft.com/office/drawing/2014/chart" uri="{C3380CC4-5D6E-409C-BE32-E72D297353CC}">
                <c16:uniqueId val="{00000007-5871-4372-9D55-77B9A3A533AC}"/>
              </c:ext>
            </c:extLst>
          </c:dPt>
          <c:dPt>
            <c:idx val="5"/>
            <c:bubble3D val="0"/>
            <c:spPr>
              <a:solidFill>
                <a:srgbClr val="FFC000"/>
              </a:solidFill>
              <a:ln w="19050">
                <a:solidFill>
                  <a:schemeClr val="lt1"/>
                </a:solidFill>
              </a:ln>
              <a:effectLst/>
            </c:spPr>
            <c:extLst>
              <c:ext xmlns:c16="http://schemas.microsoft.com/office/drawing/2014/chart" uri="{C3380CC4-5D6E-409C-BE32-E72D297353CC}">
                <c16:uniqueId val="{00000008-5871-4372-9D55-77B9A3A533AC}"/>
              </c:ext>
            </c:extLst>
          </c:dPt>
          <c:dPt>
            <c:idx val="6"/>
            <c:bubble3D val="0"/>
            <c:spPr>
              <a:solidFill>
                <a:srgbClr val="2EB2A5"/>
              </a:solidFill>
              <a:ln w="19050">
                <a:solidFill>
                  <a:schemeClr val="lt1"/>
                </a:solidFill>
              </a:ln>
              <a:effectLst/>
            </c:spPr>
            <c:extLst>
              <c:ext xmlns:c16="http://schemas.microsoft.com/office/drawing/2014/chart" uri="{C3380CC4-5D6E-409C-BE32-E72D297353CC}">
                <c16:uniqueId val="{00000009-5871-4372-9D55-77B9A3A533AC}"/>
              </c:ext>
            </c:extLst>
          </c:dPt>
          <c:dPt>
            <c:idx val="7"/>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5871-4372-9D55-77B9A3A533AC}"/>
              </c:ext>
            </c:extLst>
          </c:dPt>
          <c:dPt>
            <c:idx val="8"/>
            <c:bubble3D val="0"/>
            <c:spPr>
              <a:solidFill>
                <a:srgbClr val="0070C0"/>
              </a:solidFill>
              <a:ln w="19050">
                <a:solidFill>
                  <a:schemeClr val="lt1"/>
                </a:solidFill>
              </a:ln>
              <a:effectLst/>
            </c:spPr>
            <c:extLst>
              <c:ext xmlns:c16="http://schemas.microsoft.com/office/drawing/2014/chart" uri="{C3380CC4-5D6E-409C-BE32-E72D297353CC}">
                <c16:uniqueId val="{00000011-F36A-43A1-AB3A-A95C803B760F}"/>
              </c:ext>
            </c:extLst>
          </c:dPt>
          <c:dPt>
            <c:idx val="9"/>
            <c:bubble3D val="0"/>
            <c:spPr>
              <a:solidFill>
                <a:schemeClr val="bg1"/>
              </a:solidFill>
              <a:ln w="19050">
                <a:solidFill>
                  <a:sysClr val="windowText" lastClr="000000"/>
                </a:solidFill>
                <a:prstDash val="dash"/>
              </a:ln>
              <a:effectLst/>
            </c:spPr>
            <c:extLst>
              <c:ext xmlns:c16="http://schemas.microsoft.com/office/drawing/2014/chart" uri="{C3380CC4-5D6E-409C-BE32-E72D297353CC}">
                <c16:uniqueId val="{00000013-FB15-4D4A-9E63-D0D5146E41B5}"/>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'SVF2'!$BH$43:$BH$52</c:f>
              <c:strCache>
                <c:ptCount val="10"/>
                <c:pt idx="0">
                  <c:v>OpenAI</c:v>
                </c:pt>
                <c:pt idx="1">
                  <c:v>Perplexity AI</c:v>
                </c:pt>
                <c:pt idx="2">
                  <c:v>Indian publicly-listed*</c:v>
                </c:pt>
                <c:pt idx="3">
                  <c:v>AutoStore Holdings Ltd.</c:v>
                </c:pt>
                <c:pt idx="4">
                  <c:v>Symbotic Inc.</c:v>
                </c:pt>
                <c:pt idx="5">
                  <c:v>Other publicly listed</c:v>
                </c:pt>
                <c:pt idx="6">
                  <c:v>Indian IPO's**</c:v>
                </c:pt>
                <c:pt idx="7">
                  <c:v>Revolut Ltd.</c:v>
                </c:pt>
                <c:pt idx="8">
                  <c:v>Wayve</c:v>
                </c:pt>
                <c:pt idx="9">
                  <c:v>Other privately listed</c:v>
                </c:pt>
              </c:strCache>
            </c:strRef>
          </c:cat>
          <c:val>
            <c:numRef>
              <c:f>'SVF2'!$BK$43:$BK$52</c:f>
              <c:numCache>
                <c:formatCode>\$0.0"bn"</c:formatCode>
                <c:ptCount val="10"/>
                <c:pt idx="0">
                  <c:v>54.4</c:v>
                </c:pt>
                <c:pt idx="1">
                  <c:v>0.09</c:v>
                </c:pt>
                <c:pt idx="2">
                  <c:v>0.9</c:v>
                </c:pt>
                <c:pt idx="3">
                  <c:v>0.66500000000000004</c:v>
                </c:pt>
                <c:pt idx="4">
                  <c:v>1.2</c:v>
                </c:pt>
                <c:pt idx="5">
                  <c:v>3.1</c:v>
                </c:pt>
                <c:pt idx="6">
                  <c:v>1.64</c:v>
                </c:pt>
                <c:pt idx="7">
                  <c:v>1.82</c:v>
                </c:pt>
                <c:pt idx="8">
                  <c:v>0.8</c:v>
                </c:pt>
                <c:pt idx="9">
                  <c:v>21.785</c:v>
                </c:pt>
              </c:numCache>
            </c:numRef>
          </c:val>
          <c:extLst>
            <c:ext xmlns:c16="http://schemas.microsoft.com/office/drawing/2014/chart" uri="{C3380CC4-5D6E-409C-BE32-E72D297353CC}">
              <c16:uniqueId val="{00000000-5871-4372-9D55-77B9A3A533A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tx1"/>
              </a:solidFill>
              <a:ln w="19050">
                <a:solidFill>
                  <a:schemeClr val="lt1"/>
                </a:solidFill>
              </a:ln>
              <a:effectLst/>
            </c:spPr>
            <c:extLst>
              <c:ext xmlns:c16="http://schemas.microsoft.com/office/drawing/2014/chart" uri="{C3380CC4-5D6E-409C-BE32-E72D297353CC}">
                <c16:uniqueId val="{00000001-43F0-4A15-A873-D902783921BA}"/>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43F0-4A15-A873-D902783921BA}"/>
              </c:ext>
            </c:extLst>
          </c:dPt>
          <c:dPt>
            <c:idx val="2"/>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5-43F0-4A15-A873-D902783921BA}"/>
              </c:ext>
            </c:extLst>
          </c:dPt>
          <c:dPt>
            <c:idx val="3"/>
            <c:bubble3D val="0"/>
            <c:spPr>
              <a:solidFill>
                <a:srgbClr val="2EB2A5"/>
              </a:solidFill>
              <a:ln w="19050">
                <a:solidFill>
                  <a:schemeClr val="lt1"/>
                </a:solidFill>
              </a:ln>
              <a:effectLst/>
            </c:spPr>
            <c:extLst>
              <c:ext xmlns:c16="http://schemas.microsoft.com/office/drawing/2014/chart" uri="{C3380CC4-5D6E-409C-BE32-E72D297353CC}">
                <c16:uniqueId val="{00000007-43F0-4A15-A873-D902783921BA}"/>
              </c:ext>
            </c:extLst>
          </c:dPt>
          <c:dPt>
            <c:idx val="4"/>
            <c:bubble3D val="0"/>
            <c:spPr>
              <a:solidFill>
                <a:srgbClr val="F97303"/>
              </a:solidFill>
              <a:ln w="19050">
                <a:solidFill>
                  <a:schemeClr val="lt1"/>
                </a:solidFill>
              </a:ln>
              <a:effectLst/>
            </c:spPr>
            <c:extLst>
              <c:ext xmlns:c16="http://schemas.microsoft.com/office/drawing/2014/chart" uri="{C3380CC4-5D6E-409C-BE32-E72D297353CC}">
                <c16:uniqueId val="{00000009-43F0-4A15-A873-D902783921BA}"/>
              </c:ext>
            </c:extLst>
          </c:dPt>
          <c:dPt>
            <c:idx val="5"/>
            <c:bubble3D val="0"/>
            <c:spPr>
              <a:solidFill>
                <a:srgbClr val="FF0000"/>
              </a:solidFill>
              <a:ln w="19050">
                <a:solidFill>
                  <a:schemeClr val="lt1"/>
                </a:solidFill>
              </a:ln>
              <a:effectLst/>
            </c:spPr>
            <c:extLst>
              <c:ext xmlns:c16="http://schemas.microsoft.com/office/drawing/2014/chart" uri="{C3380CC4-5D6E-409C-BE32-E72D297353CC}">
                <c16:uniqueId val="{0000000B-43F0-4A15-A873-D902783921BA}"/>
              </c:ext>
            </c:extLst>
          </c:dPt>
          <c:dPt>
            <c:idx val="6"/>
            <c:bubble3D val="0"/>
            <c:spPr>
              <a:solidFill>
                <a:srgbClr val="92D050"/>
              </a:solidFill>
              <a:ln w="19050">
                <a:solidFill>
                  <a:schemeClr val="lt1"/>
                </a:solidFill>
              </a:ln>
              <a:effectLst/>
            </c:spPr>
            <c:extLst>
              <c:ext xmlns:c16="http://schemas.microsoft.com/office/drawing/2014/chart" uri="{C3380CC4-5D6E-409C-BE32-E72D297353CC}">
                <c16:uniqueId val="{0000000D-43F0-4A15-A873-D902783921BA}"/>
              </c:ext>
            </c:extLst>
          </c:dPt>
          <c:dPt>
            <c:idx val="7"/>
            <c:bubble3D val="0"/>
            <c:spPr>
              <a:solidFill>
                <a:srgbClr val="FFC000"/>
              </a:solidFill>
              <a:ln w="19050">
                <a:solidFill>
                  <a:schemeClr val="lt1"/>
                </a:solidFill>
              </a:ln>
              <a:effectLst/>
            </c:spPr>
            <c:extLst>
              <c:ext xmlns:c16="http://schemas.microsoft.com/office/drawing/2014/chart" uri="{C3380CC4-5D6E-409C-BE32-E72D297353CC}">
                <c16:uniqueId val="{0000000F-43F0-4A15-A873-D902783921BA}"/>
              </c:ext>
            </c:extLst>
          </c:dPt>
          <c:dPt>
            <c:idx val="8"/>
            <c:bubble3D val="0"/>
            <c:spPr>
              <a:solidFill>
                <a:schemeClr val="bg1"/>
              </a:solidFill>
              <a:ln w="19050">
                <a:solidFill>
                  <a:sysClr val="windowText" lastClr="000000"/>
                </a:solidFill>
                <a:prstDash val="dash"/>
              </a:ln>
              <a:effectLst/>
            </c:spPr>
            <c:extLst>
              <c:ext xmlns:c16="http://schemas.microsoft.com/office/drawing/2014/chart" uri="{C3380CC4-5D6E-409C-BE32-E72D297353CC}">
                <c16:uniqueId val="{00000011-43F0-4A15-A873-D902783921BA}"/>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'SVF2'!$BS$43:$BS$51</c:f>
              <c:strCache>
                <c:ptCount val="9"/>
                <c:pt idx="0">
                  <c:v>OpenAI</c:v>
                </c:pt>
                <c:pt idx="1">
                  <c:v>Perplexity AI</c:v>
                </c:pt>
                <c:pt idx="2">
                  <c:v>Revolut Ltd.</c:v>
                </c:pt>
                <c:pt idx="3">
                  <c:v>Indian IPO's*</c:v>
                </c:pt>
                <c:pt idx="4">
                  <c:v>Indian publicly-listed**</c:v>
                </c:pt>
                <c:pt idx="5">
                  <c:v>AutoStore Holdings Ltd.</c:v>
                </c:pt>
                <c:pt idx="6">
                  <c:v>Symbotic Inc.</c:v>
                </c:pt>
                <c:pt idx="7">
                  <c:v>Other publicly listed</c:v>
                </c:pt>
                <c:pt idx="8">
                  <c:v>Other privately listed</c:v>
                </c:pt>
              </c:strCache>
            </c:strRef>
          </c:cat>
          <c:val>
            <c:numRef>
              <c:f>'SVF2'!$BV$43:$BV$51</c:f>
              <c:numCache>
                <c:formatCode>\$0.0"bn"</c:formatCode>
                <c:ptCount val="9"/>
                <c:pt idx="0">
                  <c:v>54.4</c:v>
                </c:pt>
                <c:pt idx="1">
                  <c:v>0.09</c:v>
                </c:pt>
                <c:pt idx="2">
                  <c:v>1.82</c:v>
                </c:pt>
                <c:pt idx="3">
                  <c:v>1.64</c:v>
                </c:pt>
                <c:pt idx="4">
                  <c:v>0.9</c:v>
                </c:pt>
                <c:pt idx="5">
                  <c:v>0.66500000000000004</c:v>
                </c:pt>
                <c:pt idx="6">
                  <c:v>1.2</c:v>
                </c:pt>
                <c:pt idx="7">
                  <c:v>3.1</c:v>
                </c:pt>
                <c:pt idx="8">
                  <c:v>21.785</c:v>
                </c:pt>
              </c:numCache>
            </c:numRef>
          </c:val>
          <c:extLst>
            <c:ext xmlns:c16="http://schemas.microsoft.com/office/drawing/2014/chart" uri="{C3380CC4-5D6E-409C-BE32-E72D297353CC}">
              <c16:uniqueId val="{00000012-43F0-4A15-A873-D902783921B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'SoftBank Other (13F)'!$A$37</c:f>
              <c:strCache>
                <c:ptCount val="1"/>
                <c:pt idx="0">
                  <c:v>NVIDIA</c:v>
                </c:pt>
              </c:strCache>
            </c:strRef>
          </c:tx>
          <c:spPr>
            <a:solidFill>
              <a:srgbClr val="2EB2A5"/>
            </a:solidFill>
            <a:ln>
              <a:noFill/>
            </a:ln>
            <a:effectLst/>
          </c:spPr>
          <c:invertIfNegative val="0"/>
          <c:dLbls>
            <c:dLbl>
              <c:idx val="4"/>
              <c:delete val="1"/>
              <c:extLst>
                <c:ext xmlns:c15="http://schemas.microsoft.com/office/drawing/2012/chart" uri="{CE6537A1-D6FC-4f65-9D91-7224C49458BB}"/>
                <c:ext xmlns:c16="http://schemas.microsoft.com/office/drawing/2014/chart" uri="{C3380CC4-5D6E-409C-BE32-E72D297353CC}">
                  <c16:uniqueId val="{00000000-EECB-4DF5-9192-272B1C65DDDE}"/>
                </c:ext>
              </c:extLst>
            </c:dLbl>
            <c:dLbl>
              <c:idx val="5"/>
              <c:delete val="1"/>
              <c:extLst>
                <c:ext xmlns:c15="http://schemas.microsoft.com/office/drawing/2012/chart" uri="{CE6537A1-D6FC-4f65-9D91-7224C49458BB}"/>
                <c:ext xmlns:c16="http://schemas.microsoft.com/office/drawing/2014/chart" uri="{C3380CC4-5D6E-409C-BE32-E72D297353CC}">
                  <c16:uniqueId val="{00000000-CD0C-4AC4-98E0-3339B06B2056}"/>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('SoftBank Other (13F)'!$AT$36:$AU$36,'SoftBank Other (13F)'!$AW$36:$AZ$36)</c:f>
              <c:strCache>
                <c:ptCount val="6"/>
                <c:pt idx="0">
                  <c:v>3Q24</c:v>
                </c:pt>
                <c:pt idx="1">
                  <c:v>4Q24</c:v>
                </c:pt>
                <c:pt idx="2">
                  <c:v>1Q25</c:v>
                </c:pt>
                <c:pt idx="3">
                  <c:v>2Q25</c:v>
                </c:pt>
                <c:pt idx="4">
                  <c:v>3Q25</c:v>
                </c:pt>
                <c:pt idx="5">
                  <c:v>Pro-forma</c:v>
                </c:pt>
              </c:strCache>
            </c:strRef>
          </c:cat>
          <c:val>
            <c:numRef>
              <c:f>('SoftBank Other (13F)'!$AT$37:$AU$37,'SoftBank Other (13F)'!$AW$37:$AZ$37)</c:f>
              <c:numCache>
                <c:formatCode>\$0.0"bn"</c:formatCode>
                <c:ptCount val="6"/>
                <c:pt idx="0">
                  <c:v>1.4116994528</c:v>
                </c:pt>
                <c:pt idx="1">
                  <c:v>3.3084681392799999</c:v>
                </c:pt>
                <c:pt idx="2">
                  <c:v>4.8228905824399995</c:v>
                </c:pt>
                <c:pt idx="3">
                  <c:v>5.991168880480001</c:v>
                </c:pt>
                <c:pt idx="4">
                  <c:v>0</c:v>
                </c:pt>
                <c:pt idx="5">
                  <c:v>0</c:v>
                </c:pt>
              </c:numCache>
            </c:numRef>
          </c:val>
          <c:extLst>
            <c:ext xmlns:c16="http://schemas.microsoft.com/office/drawing/2014/chart" uri="{C3380CC4-5D6E-409C-BE32-E72D297353CC}">
              <c16:uniqueId val="{00000000-4118-4C5A-8A8B-7A13D17987FE}"/>
            </c:ext>
          </c:extLst>
        </c:ser>
        <c:ser>
          <c:idx val="3"/>
          <c:order val="1"/>
          <c:tx>
            <c:strRef>
              <c:f>'SoftBank Other (13F)'!$A$38</c:f>
              <c:strCache>
                <c:ptCount val="1"/>
                <c:pt idx="0">
                  <c:v>Intel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('SoftBank Other (13F)'!$AT$36:$AU$36,'SoftBank Other (13F)'!$AW$36:$AZ$36)</c:f>
              <c:strCache>
                <c:ptCount val="6"/>
                <c:pt idx="0">
                  <c:v>3Q24</c:v>
                </c:pt>
                <c:pt idx="1">
                  <c:v>4Q24</c:v>
                </c:pt>
                <c:pt idx="2">
                  <c:v>1Q25</c:v>
                </c:pt>
                <c:pt idx="3">
                  <c:v>2Q25</c:v>
                </c:pt>
                <c:pt idx="4">
                  <c:v>3Q25</c:v>
                </c:pt>
                <c:pt idx="5">
                  <c:v>Pro-forma</c:v>
                </c:pt>
              </c:strCache>
            </c:strRef>
          </c:cat>
          <c:val>
            <c:numRef>
              <c:f>('SoftBank Other (13F)'!$AT$38:$AU$38,'SoftBank Other (13F)'!$AW$38:$AZ$38)</c:f>
              <c:numCache>
                <c:formatCode>\$0.0"bn"</c:formatCode>
                <c:ptCount val="6"/>
                <c:pt idx="3">
                  <c:v>2.9173913131</c:v>
                </c:pt>
                <c:pt idx="4">
                  <c:v>3.2086956617999998</c:v>
                </c:pt>
                <c:pt idx="5">
                  <c:v>3.9652174032</c:v>
                </c:pt>
              </c:numCache>
            </c:numRef>
          </c:val>
          <c:extLst>
            <c:ext xmlns:c16="http://schemas.microsoft.com/office/drawing/2014/chart" uri="{C3380CC4-5D6E-409C-BE32-E72D297353CC}">
              <c16:uniqueId val="{00000001-5391-4DA7-9C62-A90694EDE9CD}"/>
            </c:ext>
          </c:extLst>
        </c:ser>
        <c:ser>
          <c:idx val="1"/>
          <c:order val="2"/>
          <c:tx>
            <c:strRef>
              <c:f>'SoftBank Other (13F)'!$A$39</c:f>
              <c:strCache>
                <c:ptCount val="1"/>
                <c:pt idx="0">
                  <c:v>TSMC</c:v>
                </c:pt>
              </c:strCache>
            </c:strRef>
          </c:tx>
          <c:spPr>
            <a:solidFill>
              <a:srgbClr val="F97303"/>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4-4118-4C5A-8A8B-7A13D17987F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('SoftBank Other (13F)'!$AT$36:$AU$36,'SoftBank Other (13F)'!$AW$36:$AZ$36)</c:f>
              <c:strCache>
                <c:ptCount val="6"/>
                <c:pt idx="0">
                  <c:v>3Q24</c:v>
                </c:pt>
                <c:pt idx="1">
                  <c:v>4Q24</c:v>
                </c:pt>
                <c:pt idx="2">
                  <c:v>1Q25</c:v>
                </c:pt>
                <c:pt idx="3">
                  <c:v>2Q25</c:v>
                </c:pt>
                <c:pt idx="4">
                  <c:v>3Q25</c:v>
                </c:pt>
                <c:pt idx="5">
                  <c:v>Pro-forma</c:v>
                </c:pt>
              </c:strCache>
            </c:strRef>
          </c:cat>
          <c:val>
            <c:numRef>
              <c:f>('SoftBank Other (13F)'!$AT$39:$AU$39,'SoftBank Other (13F)'!$AW$39:$AZ$39)</c:f>
              <c:numCache>
                <c:formatCode>\$0.0"bn"</c:formatCode>
                <c:ptCount val="6"/>
                <c:pt idx="0">
                  <c:v>0</c:v>
                </c:pt>
                <c:pt idx="1">
                  <c:v>0.32950999999999997</c:v>
                </c:pt>
                <c:pt idx="2">
                  <c:v>0.44958265000000008</c:v>
                </c:pt>
                <c:pt idx="3">
                  <c:v>0.5543906500000001</c:v>
                </c:pt>
                <c:pt idx="4">
                  <c:v>0.60322164999999994</c:v>
                </c:pt>
                <c:pt idx="5">
                  <c:v>0.74358100000000016</c:v>
                </c:pt>
              </c:numCache>
            </c:numRef>
          </c:val>
          <c:extLst>
            <c:ext xmlns:c16="http://schemas.microsoft.com/office/drawing/2014/chart" uri="{C3380CC4-5D6E-409C-BE32-E72D297353CC}">
              <c16:uniqueId val="{00000001-4118-4C5A-8A8B-7A13D17987FE}"/>
            </c:ext>
          </c:extLst>
        </c:ser>
        <c:ser>
          <c:idx val="2"/>
          <c:order val="3"/>
          <c:tx>
            <c:strRef>
              <c:f>'SoftBank Other (13F)'!$A$40</c:f>
              <c:strCache>
                <c:ptCount val="1"/>
                <c:pt idx="0">
                  <c:v>Oracle</c:v>
                </c:pt>
              </c:strCache>
            </c:strRef>
          </c:tx>
          <c:spPr>
            <a:solidFill>
              <a:srgbClr val="9D9D9C"/>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3-4118-4C5A-8A8B-7A13D17987FE}"/>
                </c:ext>
              </c:extLst>
            </c:dLbl>
            <c:dLbl>
              <c:idx val="3"/>
              <c:delete val="1"/>
              <c:extLst>
                <c:ext xmlns:c15="http://schemas.microsoft.com/office/drawing/2012/chart" uri="{CE6537A1-D6FC-4f65-9D91-7224C49458BB}"/>
                <c:ext xmlns:c16="http://schemas.microsoft.com/office/drawing/2014/chart" uri="{C3380CC4-5D6E-409C-BE32-E72D297353CC}">
                  <c16:uniqueId val="{00000001-EECB-4DF5-9192-272B1C65DDDE}"/>
                </c:ext>
              </c:extLst>
            </c:dLbl>
            <c:dLbl>
              <c:idx val="4"/>
              <c:delete val="1"/>
              <c:extLst>
                <c:ext xmlns:c15="http://schemas.microsoft.com/office/drawing/2012/chart" uri="{CE6537A1-D6FC-4f65-9D91-7224C49458BB}"/>
                <c:ext xmlns:c16="http://schemas.microsoft.com/office/drawing/2014/chart" uri="{C3380CC4-5D6E-409C-BE32-E72D297353CC}">
                  <c16:uniqueId val="{00000002-EECB-4DF5-9192-272B1C65DDDE}"/>
                </c:ext>
              </c:extLst>
            </c:dLbl>
            <c:dLbl>
              <c:idx val="5"/>
              <c:delete val="1"/>
              <c:extLst>
                <c:ext xmlns:c15="http://schemas.microsoft.com/office/drawing/2012/chart" uri="{CE6537A1-D6FC-4f65-9D91-7224C49458BB}"/>
                <c:ext xmlns:c16="http://schemas.microsoft.com/office/drawing/2014/chart" uri="{C3380CC4-5D6E-409C-BE32-E72D297353CC}">
                  <c16:uniqueId val="{00000001-CD0C-4AC4-98E0-3339B06B2056}"/>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('SoftBank Other (13F)'!$AT$36:$AU$36,'SoftBank Other (13F)'!$AW$36:$AZ$36)</c:f>
              <c:strCache>
                <c:ptCount val="6"/>
                <c:pt idx="0">
                  <c:v>3Q24</c:v>
                </c:pt>
                <c:pt idx="1">
                  <c:v>4Q24</c:v>
                </c:pt>
                <c:pt idx="2">
                  <c:v>1Q25</c:v>
                </c:pt>
                <c:pt idx="3">
                  <c:v>2Q25</c:v>
                </c:pt>
                <c:pt idx="4">
                  <c:v>3Q25</c:v>
                </c:pt>
                <c:pt idx="5">
                  <c:v>Pro-forma</c:v>
                </c:pt>
              </c:strCache>
            </c:strRef>
          </c:cat>
          <c:val>
            <c:numRef>
              <c:f>('SoftBank Other (13F)'!$AT$40:$AU$40,'SoftBank Other (13F)'!$AW$40:$AZ$40)</c:f>
              <c:numCache>
                <c:formatCode>\$0.0"bn"</c:formatCode>
                <c:ptCount val="6"/>
                <c:pt idx="0">
                  <c:v>0</c:v>
                </c:pt>
                <c:pt idx="1">
                  <c:v>0.1705682</c:v>
                </c:pt>
                <c:pt idx="2">
                  <c:v>0.26672859999999998</c:v>
                </c:pt>
                <c:pt idx="3">
                  <c:v>0</c:v>
                </c:pt>
                <c:pt idx="4">
                  <c:v>0</c:v>
                </c:pt>
                <c:pt idx="5">
                  <c:v>0</c:v>
                </c:pt>
              </c:numCache>
            </c:numRef>
          </c:val>
          <c:extLst>
            <c:ext xmlns:c16="http://schemas.microsoft.com/office/drawing/2014/chart" uri="{C3380CC4-5D6E-409C-BE32-E72D297353CC}">
              <c16:uniqueId val="{00000002-4118-4C5A-8A8B-7A13D17987FE}"/>
            </c:ext>
          </c:extLst>
        </c:ser>
        <c:dLbls>
          <c:dLblPos val="ctr"/>
          <c:showLegendKey val="0"/>
          <c:showVal val="1"/>
          <c:showCatName val="0"/>
          <c:showSerName val="0"/>
          <c:showPercent val="0"/>
          <c:showBubbleSize val="0"/>
        </c:dLbls>
        <c:gapWidth val="150"/>
        <c:overlap val="100"/>
        <c:axId val="285423072"/>
        <c:axId val="285413952"/>
      </c:barChart>
      <c:catAx>
        <c:axId val="28542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285413952"/>
        <c:crosses val="autoZero"/>
        <c:auto val="1"/>
        <c:lblAlgn val="ctr"/>
        <c:lblOffset val="100"/>
        <c:noMultiLvlLbl val="0"/>
      </c:catAx>
      <c:valAx>
        <c:axId val="285413952"/>
        <c:scaling>
          <c:orientation val="minMax"/>
        </c:scaling>
        <c:delete val="0"/>
        <c:axPos val="l"/>
        <c:majorGridlines>
          <c:spPr>
            <a:ln w="9525" cap="flat" cmpd="sng" algn="ctr">
              <a:solidFill>
                <a:schemeClr val="tx1">
                  <a:lumMod val="15000"/>
                  <a:lumOff val="85000"/>
                </a:schemeClr>
              </a:solidFill>
              <a:round/>
            </a:ln>
            <a:effectLst/>
          </c:spPr>
        </c:majorGridlines>
        <c:numFmt formatCode="\$0.0&quot;bn&quot;"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285423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F97303"/>
              </a:solidFill>
              <a:ln w="19050">
                <a:solidFill>
                  <a:schemeClr val="lt1"/>
                </a:solidFill>
              </a:ln>
              <a:effectLst/>
            </c:spPr>
            <c:extLst>
              <c:ext xmlns:c16="http://schemas.microsoft.com/office/drawing/2014/chart" uri="{C3380CC4-5D6E-409C-BE32-E72D297353CC}">
                <c16:uniqueId val="{00000001-BAB8-4E6F-B8A5-6DA5DD0B71B6}"/>
              </c:ext>
            </c:extLst>
          </c:dPt>
          <c:dPt>
            <c:idx val="1"/>
            <c:bubble3D val="0"/>
            <c:spPr>
              <a:solidFill>
                <a:srgbClr val="023D67"/>
              </a:solidFill>
              <a:ln w="19050">
                <a:solidFill>
                  <a:schemeClr val="lt1"/>
                </a:solidFill>
              </a:ln>
              <a:effectLst/>
            </c:spPr>
            <c:extLst>
              <c:ext xmlns:c16="http://schemas.microsoft.com/office/drawing/2014/chart" uri="{C3380CC4-5D6E-409C-BE32-E72D297353CC}">
                <c16:uniqueId val="{00000002-BAB8-4E6F-B8A5-6DA5DD0B71B6}"/>
              </c:ext>
            </c:extLst>
          </c:dPt>
          <c:dPt>
            <c:idx val="2"/>
            <c:bubble3D val="0"/>
            <c:spPr>
              <a:solidFill>
                <a:srgbClr val="2EB2A5"/>
              </a:solidFill>
              <a:ln w="19050">
                <a:solidFill>
                  <a:schemeClr val="lt1"/>
                </a:solidFill>
              </a:ln>
              <a:effectLst/>
            </c:spPr>
            <c:extLst>
              <c:ext xmlns:c16="http://schemas.microsoft.com/office/drawing/2014/chart" uri="{C3380CC4-5D6E-409C-BE32-E72D297353CC}">
                <c16:uniqueId val="{00000003-BAB8-4E6F-B8A5-6DA5DD0B71B6}"/>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4-BAB8-4E6F-B8A5-6DA5DD0B71B6}"/>
              </c:ext>
            </c:extLst>
          </c:dPt>
          <c:dPt>
            <c:idx val="4"/>
            <c:bubble3D val="0"/>
            <c:spPr>
              <a:solidFill>
                <a:schemeClr val="bg1"/>
              </a:solidFill>
              <a:ln w="19050">
                <a:solidFill>
                  <a:sysClr val="windowText" lastClr="000000"/>
                </a:solidFill>
                <a:prstDash val="dash"/>
              </a:ln>
              <a:effectLst/>
            </c:spPr>
            <c:extLst>
              <c:ext xmlns:c16="http://schemas.microsoft.com/office/drawing/2014/chart" uri="{C3380CC4-5D6E-409C-BE32-E72D297353CC}">
                <c16:uniqueId val="{00000005-BAB8-4E6F-B8A5-6DA5DD0B71B6}"/>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'LatAm Funds'!$AP$84:$AP$88</c:f>
              <c:strCache>
                <c:ptCount val="5"/>
                <c:pt idx="0">
                  <c:v>Inter &amp; Co Inc</c:v>
                </c:pt>
                <c:pt idx="1">
                  <c:v>Nu Holdings Ltd</c:v>
                </c:pt>
                <c:pt idx="2">
                  <c:v>VTEX</c:v>
                </c:pt>
                <c:pt idx="3">
                  <c:v>Afya Ltd</c:v>
                </c:pt>
                <c:pt idx="4">
                  <c:v>Other</c:v>
                </c:pt>
              </c:strCache>
            </c:strRef>
          </c:cat>
          <c:val>
            <c:numRef>
              <c:f>'LatAm Funds'!$AR$84:$AR$88</c:f>
              <c:numCache>
                <c:formatCode>\$0.0"bn"</c:formatCode>
                <c:ptCount val="5"/>
                <c:pt idx="0">
                  <c:v>0.54701627328000002</c:v>
                </c:pt>
                <c:pt idx="1">
                  <c:v>0.27655279799999999</c:v>
                </c:pt>
                <c:pt idx="2">
                  <c:v>0.14451404711999999</c:v>
                </c:pt>
                <c:pt idx="3">
                  <c:v>3.749750743E-2</c:v>
                </c:pt>
                <c:pt idx="4">
                  <c:v>5.0844193741700003</c:v>
                </c:pt>
              </c:numCache>
            </c:numRef>
          </c:val>
          <c:extLst>
            <c:ext xmlns:c16="http://schemas.microsoft.com/office/drawing/2014/chart" uri="{C3380CC4-5D6E-409C-BE32-E72D297353CC}">
              <c16:uniqueId val="{00000000-BAB8-4E6F-B8A5-6DA5DD0B71B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3D67"/>
            </a:solidFill>
            <a:ln>
              <a:noFill/>
            </a:ln>
            <a:effectLst/>
          </c:spPr>
          <c:invertIfNegative val="0"/>
          <c:dPt>
            <c:idx val="4"/>
            <c:invertIfNegative val="0"/>
            <c:bubble3D val="0"/>
            <c:spPr>
              <a:solidFill>
                <a:srgbClr val="023D67"/>
              </a:solidFill>
              <a:ln>
                <a:noFill/>
              </a:ln>
              <a:effectLst/>
            </c:spPr>
            <c:extLst>
              <c:ext xmlns:c16="http://schemas.microsoft.com/office/drawing/2014/chart" uri="{C3380CC4-5D6E-409C-BE32-E72D297353CC}">
                <c16:uniqueId val="{00000001-621A-40BC-ADE6-B1CF6C2E4A8D}"/>
              </c:ext>
            </c:extLst>
          </c:dPt>
          <c:dPt>
            <c:idx val="5"/>
            <c:invertIfNegative val="0"/>
            <c:bubble3D val="0"/>
            <c:spPr>
              <a:solidFill>
                <a:srgbClr val="023D67"/>
              </a:solidFill>
              <a:ln>
                <a:noFill/>
              </a:ln>
              <a:effectLst/>
            </c:spPr>
            <c:extLst>
              <c:ext xmlns:c16="http://schemas.microsoft.com/office/drawing/2014/chart" uri="{C3380CC4-5D6E-409C-BE32-E72D297353CC}">
                <c16:uniqueId val="{00000003-621A-40BC-ADE6-B1CF6C2E4A8D}"/>
              </c:ext>
            </c:extLst>
          </c:dPt>
          <c:dPt>
            <c:idx val="6"/>
            <c:invertIfNegative val="0"/>
            <c:bubble3D val="0"/>
            <c:spPr>
              <a:solidFill>
                <a:srgbClr val="023D67"/>
              </a:solidFill>
              <a:ln>
                <a:noFill/>
              </a:ln>
              <a:effectLst/>
            </c:spPr>
            <c:extLst>
              <c:ext xmlns:c16="http://schemas.microsoft.com/office/drawing/2014/chart" uri="{C3380CC4-5D6E-409C-BE32-E72D297353CC}">
                <c16:uniqueId val="{00000004-9C1B-4F13-A1EC-D836BE74158A}"/>
              </c:ext>
            </c:extLst>
          </c:dPt>
          <c:dPt>
            <c:idx val="7"/>
            <c:invertIfNegative val="0"/>
            <c:bubble3D val="0"/>
            <c:spPr>
              <a:solidFill>
                <a:srgbClr val="023D67"/>
              </a:solidFill>
              <a:ln>
                <a:noFill/>
              </a:ln>
              <a:effectLst/>
            </c:spPr>
            <c:extLst>
              <c:ext xmlns:c16="http://schemas.microsoft.com/office/drawing/2014/chart" uri="{C3380CC4-5D6E-409C-BE32-E72D297353CC}">
                <c16:uniqueId val="{00000006-2CB3-429C-87DF-B36C6CB99C80}"/>
              </c:ext>
            </c:extLst>
          </c:dPt>
          <c:dPt>
            <c:idx val="8"/>
            <c:invertIfNegative val="0"/>
            <c:bubble3D val="0"/>
            <c:spPr>
              <a:solidFill>
                <a:srgbClr val="023D67"/>
              </a:solidFill>
              <a:ln>
                <a:noFill/>
              </a:ln>
              <a:effectLst/>
            </c:spPr>
            <c:extLst>
              <c:ext xmlns:c16="http://schemas.microsoft.com/office/drawing/2014/chart" uri="{C3380CC4-5D6E-409C-BE32-E72D297353CC}">
                <c16:uniqueId val="{00000008-C094-4BF0-B4A8-8F5209FD59B6}"/>
              </c:ext>
            </c:extLst>
          </c:dPt>
          <c:dPt>
            <c:idx val="9"/>
            <c:invertIfNegative val="0"/>
            <c:bubble3D val="0"/>
            <c:spPr>
              <a:solidFill>
                <a:srgbClr val="023D67"/>
              </a:solidFill>
              <a:ln>
                <a:noFill/>
              </a:ln>
              <a:effectLst/>
            </c:spPr>
            <c:extLst>
              <c:ext xmlns:c16="http://schemas.microsoft.com/office/drawing/2014/chart" uri="{C3380CC4-5D6E-409C-BE32-E72D297353CC}">
                <c16:uniqueId val="{0000000A-0648-4365-BFF4-C0DA8349B197}"/>
              </c:ext>
            </c:extLst>
          </c:dPt>
          <c:dPt>
            <c:idx val="10"/>
            <c:invertIfNegative val="0"/>
            <c:bubble3D val="0"/>
            <c:spPr>
              <a:solidFill>
                <a:srgbClr val="2EB2A5"/>
              </a:solidFill>
              <a:ln>
                <a:noFill/>
              </a:ln>
              <a:effectLst/>
            </c:spPr>
            <c:extLst>
              <c:ext xmlns:c16="http://schemas.microsoft.com/office/drawing/2014/chart" uri="{C3380CC4-5D6E-409C-BE32-E72D297353CC}">
                <c16:uniqueId val="{0000000C-6DDB-4F4A-A4F4-D1BC5C90B7D8}"/>
              </c:ext>
            </c:extLst>
          </c:dPt>
          <c:dPt>
            <c:idx val="11"/>
            <c:invertIfNegative val="0"/>
            <c:bubble3D val="0"/>
            <c:spPr>
              <a:solidFill>
                <a:srgbClr val="F97303"/>
              </a:solidFill>
              <a:ln>
                <a:noFill/>
              </a:ln>
              <a:effectLst/>
            </c:spPr>
            <c:extLst>
              <c:ext xmlns:c16="http://schemas.microsoft.com/office/drawing/2014/chart" uri="{C3380CC4-5D6E-409C-BE32-E72D297353CC}">
                <c16:uniqueId val="{0000000E-F00A-4CE5-97FC-1CA3A33A6EFE}"/>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'SVF Indexes'!$B$105:$B$116</c:f>
              <c:strCache>
                <c:ptCount val="12"/>
                <c:pt idx="0">
                  <c:v>1Q23</c:v>
                </c:pt>
                <c:pt idx="1">
                  <c:v>2Q23</c:v>
                </c:pt>
                <c:pt idx="2">
                  <c:v>3Q23</c:v>
                </c:pt>
                <c:pt idx="3">
                  <c:v>4Q23</c:v>
                </c:pt>
                <c:pt idx="4">
                  <c:v>1Q24</c:v>
                </c:pt>
                <c:pt idx="5">
                  <c:v>2Q24</c:v>
                </c:pt>
                <c:pt idx="6">
                  <c:v>3Q24</c:v>
                </c:pt>
                <c:pt idx="7">
                  <c:v>4Q24</c:v>
                </c:pt>
                <c:pt idx="8">
                  <c:v>1Q25</c:v>
                </c:pt>
                <c:pt idx="9">
                  <c:v>2Q25E</c:v>
                </c:pt>
                <c:pt idx="10">
                  <c:v>3Q25E</c:v>
                </c:pt>
                <c:pt idx="11">
                  <c:v>4Q25E*</c:v>
                </c:pt>
              </c:strCache>
            </c:strRef>
          </c:cat>
          <c:val>
            <c:numRef>
              <c:f>('LatAm Funds'!$AM$20:$AP$20,'LatAm Funds'!$AR$20:$AU$20,'LatAm Funds'!$AW$20:$AZ$20)</c:f>
              <c:numCache>
                <c:formatCode>0.0%</c:formatCode>
                <c:ptCount val="12"/>
                <c:pt idx="0">
                  <c:v>5.3571428571428603E-2</c:v>
                </c:pt>
                <c:pt idx="1">
                  <c:v>-1.6949152542372836E-2</c:v>
                </c:pt>
                <c:pt idx="2">
                  <c:v>5.2631578947368363E-2</c:v>
                </c:pt>
                <c:pt idx="3">
                  <c:v>-8.4033613445377853E-3</c:v>
                </c:pt>
                <c:pt idx="4">
                  <c:v>-1.6949152542372836E-2</c:v>
                </c:pt>
                <c:pt idx="5">
                  <c:v>3.4482758620689724E-2</c:v>
                </c:pt>
                <c:pt idx="6">
                  <c:v>-8.4033613445377853E-3</c:v>
                </c:pt>
                <c:pt idx="7">
                  <c:v>-1.7241379310344862E-2</c:v>
                </c:pt>
                <c:pt idx="8">
                  <c:v>8.7719298245614086E-2</c:v>
                </c:pt>
                <c:pt idx="9">
                  <c:v>1.2096774193548487E-2</c:v>
                </c:pt>
                <c:pt idx="10">
                  <c:v>-1.3765182186234792E-2</c:v>
                </c:pt>
                <c:pt idx="11">
                  <c:v>-2.0644095788604488E-2</c:v>
                </c:pt>
              </c:numCache>
            </c:numRef>
          </c:val>
          <c:extLst>
            <c:ext xmlns:c16="http://schemas.microsoft.com/office/drawing/2014/chart" uri="{C3380CC4-5D6E-409C-BE32-E72D297353CC}">
              <c16:uniqueId val="{00000004-621A-40BC-ADE6-B1CF6C2E4A8D}"/>
            </c:ext>
          </c:extLst>
        </c:ser>
        <c:dLbls>
          <c:dLblPos val="outEnd"/>
          <c:showLegendKey val="0"/>
          <c:showVal val="1"/>
          <c:showCatName val="0"/>
          <c:showSerName val="0"/>
          <c:showPercent val="0"/>
          <c:showBubbleSize val="0"/>
        </c:dLbls>
        <c:gapWidth val="219"/>
        <c:overlap val="-27"/>
        <c:axId val="909924400"/>
        <c:axId val="909936400"/>
      </c:barChart>
      <c:catAx>
        <c:axId val="90992440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909936400"/>
        <c:crosses val="autoZero"/>
        <c:auto val="1"/>
        <c:lblAlgn val="ctr"/>
        <c:lblOffset val="100"/>
        <c:noMultiLvlLbl val="0"/>
      </c:catAx>
      <c:valAx>
        <c:axId val="9099364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90992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rgbClr val="023D67"/>
              </a:solidFill>
              <a:round/>
            </a:ln>
            <a:effectLst/>
          </c:spPr>
          <c:marker>
            <c:symbol val="none"/>
          </c:marker>
          <c:cat>
            <c:strRef>
              <c:f>'Net debt &amp; LTV'!$BJ$2:$BO$2</c:f>
              <c:strCache>
                <c:ptCount val="6"/>
                <c:pt idx="0">
                  <c:v>FY19</c:v>
                </c:pt>
                <c:pt idx="1">
                  <c:v>FY20</c:v>
                </c:pt>
                <c:pt idx="2">
                  <c:v>FY21</c:v>
                </c:pt>
                <c:pt idx="3">
                  <c:v>FY22</c:v>
                </c:pt>
                <c:pt idx="4">
                  <c:v>FY23</c:v>
                </c:pt>
                <c:pt idx="5">
                  <c:v>FY24</c:v>
                </c:pt>
              </c:strCache>
            </c:strRef>
          </c:cat>
          <c:val>
            <c:numRef>
              <c:f>'Net debt &amp; LTV'!$BJ$81:$BO$81</c:f>
              <c:numCache>
                <c:formatCode>#,##0;\(#,##0\)</c:formatCode>
                <c:ptCount val="6"/>
                <c:pt idx="0">
                  <c:v>59000</c:v>
                </c:pt>
                <c:pt idx="1">
                  <c:v>53300</c:v>
                </c:pt>
                <c:pt idx="2">
                  <c:v>58600</c:v>
                </c:pt>
                <c:pt idx="3">
                  <c:v>45900</c:v>
                </c:pt>
                <c:pt idx="4">
                  <c:v>43700</c:v>
                </c:pt>
                <c:pt idx="5">
                  <c:v>56500</c:v>
                </c:pt>
              </c:numCache>
            </c:numRef>
          </c:val>
          <c:smooth val="0"/>
          <c:extLst>
            <c:ext xmlns:c16="http://schemas.microsoft.com/office/drawing/2014/chart" uri="{C3380CC4-5D6E-409C-BE32-E72D297353CC}">
              <c16:uniqueId val="{00000000-3705-4382-8062-CDDED101E0E8}"/>
            </c:ext>
          </c:extLst>
        </c:ser>
        <c:dLbls>
          <c:showLegendKey val="0"/>
          <c:showVal val="0"/>
          <c:showCatName val="0"/>
          <c:showSerName val="0"/>
          <c:showPercent val="0"/>
          <c:showBubbleSize val="0"/>
        </c:dLbls>
        <c:smooth val="0"/>
        <c:axId val="296374176"/>
        <c:axId val="296373696"/>
      </c:lineChart>
      <c:catAx>
        <c:axId val="29637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296373696"/>
        <c:crosses val="autoZero"/>
        <c:auto val="1"/>
        <c:lblAlgn val="ctr"/>
        <c:lblOffset val="100"/>
        <c:noMultiLvlLbl val="0"/>
      </c:catAx>
      <c:valAx>
        <c:axId val="296373696"/>
        <c:scaling>
          <c:orientation val="minMax"/>
          <c:min val="400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29637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2EB2A5"/>
            </a:solidFill>
            <a:ln>
              <a:noFill/>
            </a:ln>
            <a:effectLst/>
          </c:spPr>
          <c:invertIfNegative val="0"/>
          <c:dPt>
            <c:idx val="1"/>
            <c:invertIfNegative val="0"/>
            <c:bubble3D val="0"/>
            <c:spPr>
              <a:solidFill>
                <a:srgbClr val="F97303"/>
              </a:solidFill>
              <a:ln>
                <a:noFill/>
              </a:ln>
              <a:effectLst/>
            </c:spPr>
            <c:extLst>
              <c:ext xmlns:c16="http://schemas.microsoft.com/office/drawing/2014/chart" uri="{C3380CC4-5D6E-409C-BE32-E72D297353CC}">
                <c16:uniqueId val="{00000001-B98B-4D21-9708-FDAB13642FD6}"/>
              </c:ext>
            </c:extLst>
          </c:dPt>
          <c:dPt>
            <c:idx val="2"/>
            <c:invertIfNegative val="0"/>
            <c:bubble3D val="0"/>
            <c:spPr>
              <a:solidFill>
                <a:srgbClr val="F97303"/>
              </a:solidFill>
              <a:ln>
                <a:noFill/>
              </a:ln>
              <a:effectLst/>
            </c:spPr>
            <c:extLst>
              <c:ext xmlns:c16="http://schemas.microsoft.com/office/drawing/2014/chart" uri="{C3380CC4-5D6E-409C-BE32-E72D297353CC}">
                <c16:uniqueId val="{00000001-B6B5-4B11-8B22-3180D1F0F494}"/>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'SBG Corp. Bonds Dec. ''25'!$K$5:$K$10</c:f>
              <c:strCache>
                <c:ptCount val="6"/>
                <c:pt idx="0">
                  <c:v>Paper</c:v>
                </c:pt>
                <c:pt idx="1">
                  <c:v>2026</c:v>
                </c:pt>
                <c:pt idx="2">
                  <c:v>2027</c:v>
                </c:pt>
                <c:pt idx="3">
                  <c:v>2028</c:v>
                </c:pt>
                <c:pt idx="4">
                  <c:v>2029</c:v>
                </c:pt>
                <c:pt idx="5">
                  <c:v>2030+</c:v>
                </c:pt>
              </c:strCache>
            </c:strRef>
          </c:cat>
          <c:val>
            <c:numRef>
              <c:f>'SBG Corp. Bonds Dec. ''25'!$M$5:$M$10</c:f>
              <c:numCache>
                <c:formatCode>\$0.0"bn"</c:formatCode>
                <c:ptCount val="6"/>
                <c:pt idx="0">
                  <c:v>1.48</c:v>
                </c:pt>
              </c:numCache>
            </c:numRef>
          </c:val>
          <c:extLst>
            <c:ext xmlns:c16="http://schemas.microsoft.com/office/drawing/2014/chart" uri="{C3380CC4-5D6E-409C-BE32-E72D297353CC}">
              <c16:uniqueId val="{00000004-B6B5-4B11-8B22-3180D1F0F494}"/>
            </c:ext>
          </c:extLst>
        </c:ser>
        <c:dLbls>
          <c:showLegendKey val="0"/>
          <c:showVal val="0"/>
          <c:showCatName val="0"/>
          <c:showSerName val="0"/>
          <c:showPercent val="0"/>
          <c:showBubbleSize val="0"/>
        </c:dLbls>
        <c:gapWidth val="219"/>
        <c:overlap val="-27"/>
        <c:axId val="628612448"/>
        <c:axId val="628615808"/>
      </c:barChart>
      <c:catAx>
        <c:axId val="62861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628615808"/>
        <c:crosses val="autoZero"/>
        <c:auto val="1"/>
        <c:lblAlgn val="ctr"/>
        <c:lblOffset val="100"/>
        <c:noMultiLvlLbl val="0"/>
      </c:catAx>
      <c:valAx>
        <c:axId val="628615808"/>
        <c:scaling>
          <c:orientation val="minMax"/>
        </c:scaling>
        <c:delete val="0"/>
        <c:axPos val="l"/>
        <c:numFmt formatCode="\$0.0&quot;bn&quot;"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62861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2EB2A5"/>
            </a:solidFill>
            <a:ln>
              <a:noFill/>
            </a:ln>
            <a:effectLst/>
          </c:spPr>
          <c:invertIfNegative val="0"/>
          <c:dPt>
            <c:idx val="2"/>
            <c:invertIfNegative val="0"/>
            <c:bubble3D val="0"/>
            <c:spPr>
              <a:solidFill>
                <a:srgbClr val="F97303"/>
              </a:solidFill>
              <a:ln>
                <a:noFill/>
              </a:ln>
              <a:effectLst/>
            </c:spPr>
            <c:extLst>
              <c:ext xmlns:c16="http://schemas.microsoft.com/office/drawing/2014/chart" uri="{C3380CC4-5D6E-409C-BE32-E72D297353CC}">
                <c16:uniqueId val="{00000001-F188-46DC-B90E-06E00D48975D}"/>
              </c:ext>
            </c:extLst>
          </c:dPt>
          <c:dPt>
            <c:idx val="3"/>
            <c:invertIfNegative val="0"/>
            <c:bubble3D val="0"/>
            <c:spPr>
              <a:solidFill>
                <a:srgbClr val="F97303"/>
              </a:solidFill>
              <a:ln>
                <a:noFill/>
              </a:ln>
              <a:effectLst/>
            </c:spPr>
            <c:extLst>
              <c:ext xmlns:c16="http://schemas.microsoft.com/office/drawing/2014/chart" uri="{C3380CC4-5D6E-409C-BE32-E72D297353CC}">
                <c16:uniqueId val="{00000003-F188-46DC-B90E-06E00D48975D}"/>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'SBG Corp. Bonds Sep. ''25'!$K$5:$K$11</c:f>
              <c:strCache>
                <c:ptCount val="7"/>
                <c:pt idx="0">
                  <c:v>Paper</c:v>
                </c:pt>
                <c:pt idx="1">
                  <c:v>2025</c:v>
                </c:pt>
                <c:pt idx="2">
                  <c:v>2026</c:v>
                </c:pt>
                <c:pt idx="3">
                  <c:v>2027</c:v>
                </c:pt>
                <c:pt idx="4">
                  <c:v>2028</c:v>
                </c:pt>
                <c:pt idx="5">
                  <c:v>2029</c:v>
                </c:pt>
                <c:pt idx="6">
                  <c:v>2030+</c:v>
                </c:pt>
              </c:strCache>
            </c:strRef>
          </c:cat>
          <c:val>
            <c:numRef>
              <c:f>'SBG Corp. Bonds Sep. ''25'!$M$5:$M$11</c:f>
              <c:numCache>
                <c:formatCode>\$0.0"bn"</c:formatCode>
                <c:ptCount val="7"/>
                <c:pt idx="0">
                  <c:v>1.23</c:v>
                </c:pt>
                <c:pt idx="1">
                  <c:v>0</c:v>
                </c:pt>
                <c:pt idx="2">
                  <c:v>4.04</c:v>
                </c:pt>
                <c:pt idx="3">
                  <c:v>2.5049999999999999</c:v>
                </c:pt>
                <c:pt idx="4">
                  <c:v>5.4450000000000003</c:v>
                </c:pt>
                <c:pt idx="5">
                  <c:v>9.5</c:v>
                </c:pt>
                <c:pt idx="6">
                  <c:v>25.28</c:v>
                </c:pt>
              </c:numCache>
            </c:numRef>
          </c:val>
          <c:extLst>
            <c:ext xmlns:c16="http://schemas.microsoft.com/office/drawing/2014/chart" uri="{C3380CC4-5D6E-409C-BE32-E72D297353CC}">
              <c16:uniqueId val="{00000004-F188-46DC-B90E-06E00D48975D}"/>
            </c:ext>
          </c:extLst>
        </c:ser>
        <c:dLbls>
          <c:showLegendKey val="0"/>
          <c:showVal val="0"/>
          <c:showCatName val="0"/>
          <c:showSerName val="0"/>
          <c:showPercent val="0"/>
          <c:showBubbleSize val="0"/>
        </c:dLbls>
        <c:gapWidth val="219"/>
        <c:overlap val="-27"/>
        <c:axId val="628612448"/>
        <c:axId val="628615808"/>
      </c:barChart>
      <c:catAx>
        <c:axId val="62861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628615808"/>
        <c:crosses val="autoZero"/>
        <c:auto val="1"/>
        <c:lblAlgn val="ctr"/>
        <c:lblOffset val="100"/>
        <c:noMultiLvlLbl val="0"/>
      </c:catAx>
      <c:valAx>
        <c:axId val="628615808"/>
        <c:scaling>
          <c:orientation val="minMax"/>
        </c:scaling>
        <c:delete val="0"/>
        <c:axPos val="l"/>
        <c:numFmt formatCode="\$0.0&quot;bn&quot;"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62861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2EB2A5"/>
            </a:solidFill>
            <a:ln>
              <a:noFill/>
            </a:ln>
            <a:effectLst/>
          </c:spPr>
          <c:invertIfNegative val="0"/>
          <c:dPt>
            <c:idx val="2"/>
            <c:invertIfNegative val="0"/>
            <c:bubble3D val="0"/>
            <c:spPr>
              <a:solidFill>
                <a:srgbClr val="F97303"/>
              </a:solidFill>
              <a:ln>
                <a:noFill/>
              </a:ln>
              <a:effectLst/>
            </c:spPr>
            <c:extLst>
              <c:ext xmlns:c16="http://schemas.microsoft.com/office/drawing/2014/chart" uri="{C3380CC4-5D6E-409C-BE32-E72D297353CC}">
                <c16:uniqueId val="{00000000-E6A9-4ACB-982E-B39628A36BD2}"/>
              </c:ext>
            </c:extLst>
          </c:dPt>
          <c:dPt>
            <c:idx val="3"/>
            <c:invertIfNegative val="0"/>
            <c:bubble3D val="0"/>
            <c:spPr>
              <a:solidFill>
                <a:srgbClr val="F97303"/>
              </a:solidFill>
              <a:ln>
                <a:noFill/>
              </a:ln>
              <a:effectLst/>
            </c:spPr>
            <c:extLst>
              <c:ext xmlns:c16="http://schemas.microsoft.com/office/drawing/2014/chart" uri="{C3380CC4-5D6E-409C-BE32-E72D297353CC}">
                <c16:uniqueId val="{00000001-E6A9-4ACB-982E-B39628A36BD2}"/>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'SBG Corp. Bonds Jun. ''25'!$K$5:$K$11</c:f>
              <c:strCache>
                <c:ptCount val="7"/>
                <c:pt idx="0">
                  <c:v>Paper</c:v>
                </c:pt>
                <c:pt idx="1">
                  <c:v>2025</c:v>
                </c:pt>
                <c:pt idx="2">
                  <c:v>2026</c:v>
                </c:pt>
                <c:pt idx="3">
                  <c:v>2027</c:v>
                </c:pt>
                <c:pt idx="4">
                  <c:v>2028</c:v>
                </c:pt>
                <c:pt idx="5">
                  <c:v>2029</c:v>
                </c:pt>
                <c:pt idx="6">
                  <c:v>2030+</c:v>
                </c:pt>
              </c:strCache>
            </c:strRef>
          </c:cat>
          <c:val>
            <c:numRef>
              <c:f>'SBG Corp. Bonds Jun. ''25'!$M$5:$M$11</c:f>
              <c:numCache>
                <c:formatCode>\$0.0"bn"</c:formatCode>
                <c:ptCount val="7"/>
                <c:pt idx="0">
                  <c:v>1.08</c:v>
                </c:pt>
                <c:pt idx="1">
                  <c:v>1.9950000000000001</c:v>
                </c:pt>
                <c:pt idx="2">
                  <c:v>4.0250000000000004</c:v>
                </c:pt>
                <c:pt idx="3">
                  <c:v>2.4449999999999998</c:v>
                </c:pt>
                <c:pt idx="4">
                  <c:v>5.38</c:v>
                </c:pt>
                <c:pt idx="5">
                  <c:v>8.2949999999999999</c:v>
                </c:pt>
                <c:pt idx="6">
                  <c:v>21.085000000000001</c:v>
                </c:pt>
              </c:numCache>
            </c:numRef>
          </c:val>
          <c:extLst>
            <c:ext xmlns:c16="http://schemas.microsoft.com/office/drawing/2014/chart" uri="{C3380CC4-5D6E-409C-BE32-E72D297353CC}">
              <c16:uniqueId val="{00000000-315D-4599-8380-53E00E166475}"/>
            </c:ext>
          </c:extLst>
        </c:ser>
        <c:dLbls>
          <c:showLegendKey val="0"/>
          <c:showVal val="0"/>
          <c:showCatName val="0"/>
          <c:showSerName val="0"/>
          <c:showPercent val="0"/>
          <c:showBubbleSize val="0"/>
        </c:dLbls>
        <c:gapWidth val="219"/>
        <c:overlap val="-27"/>
        <c:axId val="628612448"/>
        <c:axId val="628615808"/>
      </c:barChart>
      <c:catAx>
        <c:axId val="62861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628615808"/>
        <c:crosses val="autoZero"/>
        <c:auto val="1"/>
        <c:lblAlgn val="ctr"/>
        <c:lblOffset val="100"/>
        <c:noMultiLvlLbl val="0"/>
      </c:catAx>
      <c:valAx>
        <c:axId val="628615808"/>
        <c:scaling>
          <c:orientation val="minMax"/>
        </c:scaling>
        <c:delete val="0"/>
        <c:axPos val="l"/>
        <c:numFmt formatCode="\$0.0&quot;bn&quot;"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62861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'SBG Corporate Bonds OLD'!$K$5:$K$12</c:f>
              <c:strCache>
                <c:ptCount val="8"/>
                <c:pt idx="0">
                  <c:v>Paper</c:v>
                </c:pt>
                <c:pt idx="1">
                  <c:v>2024</c:v>
                </c:pt>
                <c:pt idx="2">
                  <c:v>2025</c:v>
                </c:pt>
                <c:pt idx="3">
                  <c:v>2026</c:v>
                </c:pt>
                <c:pt idx="4">
                  <c:v>2027</c:v>
                </c:pt>
                <c:pt idx="5">
                  <c:v>2028</c:v>
                </c:pt>
                <c:pt idx="6">
                  <c:v>2029</c:v>
                </c:pt>
                <c:pt idx="7">
                  <c:v>2030+</c:v>
                </c:pt>
              </c:strCache>
            </c:strRef>
          </c:cat>
          <c:val>
            <c:numRef>
              <c:f>'SBG Corporate Bonds OLD'!$M$5:$M$12</c:f>
              <c:numCache>
                <c:formatCode>\$0.0"bn"</c:formatCode>
                <c:ptCount val="8"/>
                <c:pt idx="0">
                  <c:v>1.18</c:v>
                </c:pt>
                <c:pt idx="1">
                  <c:v>6.84</c:v>
                </c:pt>
                <c:pt idx="2">
                  <c:v>6.08</c:v>
                </c:pt>
                <c:pt idx="3">
                  <c:v>4</c:v>
                </c:pt>
                <c:pt idx="4">
                  <c:v>2.16</c:v>
                </c:pt>
                <c:pt idx="5">
                  <c:v>5.25</c:v>
                </c:pt>
                <c:pt idx="6">
                  <c:v>7.01</c:v>
                </c:pt>
                <c:pt idx="7">
                  <c:v>6.71</c:v>
                </c:pt>
              </c:numCache>
            </c:numRef>
          </c:val>
          <c:extLst>
            <c:ext xmlns:c16="http://schemas.microsoft.com/office/drawing/2014/chart" uri="{C3380CC4-5D6E-409C-BE32-E72D297353CC}">
              <c16:uniqueId val="{00000000-AF5A-43BD-A4C2-DF0EC8E290E0}"/>
            </c:ext>
          </c:extLst>
        </c:ser>
        <c:dLbls>
          <c:showLegendKey val="0"/>
          <c:showVal val="0"/>
          <c:showCatName val="0"/>
          <c:showSerName val="0"/>
          <c:showPercent val="0"/>
          <c:showBubbleSize val="0"/>
        </c:dLbls>
        <c:gapWidth val="219"/>
        <c:overlap val="-27"/>
        <c:axId val="628612448"/>
        <c:axId val="628615808"/>
      </c:barChart>
      <c:catAx>
        <c:axId val="62861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628615808"/>
        <c:crosses val="autoZero"/>
        <c:auto val="1"/>
        <c:lblAlgn val="ctr"/>
        <c:lblOffset val="100"/>
        <c:noMultiLvlLbl val="0"/>
      </c:catAx>
      <c:valAx>
        <c:axId val="628615808"/>
        <c:scaling>
          <c:orientation val="minMax"/>
        </c:scaling>
        <c:delete val="0"/>
        <c:axPos val="l"/>
        <c:majorGridlines>
          <c:spPr>
            <a:ln w="9525" cap="flat" cmpd="sng" algn="ctr">
              <a:solidFill>
                <a:schemeClr val="tx1">
                  <a:lumMod val="15000"/>
                  <a:lumOff val="85000"/>
                </a:schemeClr>
              </a:solidFill>
              <a:round/>
            </a:ln>
            <a:effectLst/>
          </c:spPr>
        </c:majorGridlines>
        <c:numFmt formatCode="\$0.0&quot;bn&quot;"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62861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rgbClr val="9D9D9C"/>
              </a:solidFill>
              <a:round/>
            </a:ln>
            <a:effectLst/>
          </c:spPr>
          <c:marker>
            <c:symbol val="square"/>
            <c:size val="5"/>
            <c:spPr>
              <a:solidFill>
                <a:srgbClr val="9D9D9C"/>
              </a:solidFill>
              <a:ln w="9525">
                <a:solidFill>
                  <a:srgbClr val="9D9D9C"/>
                </a:solidFill>
              </a:ln>
              <a:effectLst/>
            </c:spPr>
          </c:marker>
          <c:cat>
            <c:strRef>
              <c:f>'SVF Indexes'!$B$4:$B$40</c:f>
              <c:strCache>
                <c:ptCount val="37"/>
                <c:pt idx="0">
                  <c:v>1Q17</c:v>
                </c:pt>
                <c:pt idx="1">
                  <c:v>2Q17</c:v>
                </c:pt>
                <c:pt idx="2">
                  <c:v>3Q17</c:v>
                </c:pt>
                <c:pt idx="3">
                  <c:v>4Q17</c:v>
                </c:pt>
                <c:pt idx="4">
                  <c:v>1Q18</c:v>
                </c:pt>
                <c:pt idx="5">
                  <c:v>2Q18</c:v>
                </c:pt>
                <c:pt idx="6">
                  <c:v>3Q18</c:v>
                </c:pt>
                <c:pt idx="7">
                  <c:v>4Q18</c:v>
                </c:pt>
                <c:pt idx="8">
                  <c:v>1Q19</c:v>
                </c:pt>
                <c:pt idx="9">
                  <c:v>2Q19</c:v>
                </c:pt>
                <c:pt idx="10">
                  <c:v>3Q19</c:v>
                </c:pt>
                <c:pt idx="11">
                  <c:v>4Q19</c:v>
                </c:pt>
                <c:pt idx="12">
                  <c:v>1Q20</c:v>
                </c:pt>
                <c:pt idx="13">
                  <c:v>2Q20</c:v>
                </c:pt>
                <c:pt idx="14">
                  <c:v>3Q20</c:v>
                </c:pt>
                <c:pt idx="15">
                  <c:v>4Q20</c:v>
                </c:pt>
                <c:pt idx="16">
                  <c:v>1Q21</c:v>
                </c:pt>
                <c:pt idx="17">
                  <c:v>2Q21</c:v>
                </c:pt>
                <c:pt idx="18">
                  <c:v>3Q21</c:v>
                </c:pt>
                <c:pt idx="19">
                  <c:v>4Q21</c:v>
                </c:pt>
                <c:pt idx="20">
                  <c:v>1Q22</c:v>
                </c:pt>
                <c:pt idx="21">
                  <c:v>2Q22</c:v>
                </c:pt>
                <c:pt idx="22">
                  <c:v>3Q22</c:v>
                </c:pt>
                <c:pt idx="23">
                  <c:v>4Q22</c:v>
                </c:pt>
                <c:pt idx="24">
                  <c:v>1Q23</c:v>
                </c:pt>
                <c:pt idx="25">
                  <c:v>2Q23</c:v>
                </c:pt>
                <c:pt idx="26">
                  <c:v>3Q23</c:v>
                </c:pt>
                <c:pt idx="27">
                  <c:v>4Q23</c:v>
                </c:pt>
                <c:pt idx="28">
                  <c:v>1Q24</c:v>
                </c:pt>
                <c:pt idx="29">
                  <c:v>2Q24</c:v>
                </c:pt>
                <c:pt idx="30">
                  <c:v>3Q24</c:v>
                </c:pt>
                <c:pt idx="31">
                  <c:v>4Q24</c:v>
                </c:pt>
                <c:pt idx="32">
                  <c:v>1Q25</c:v>
                </c:pt>
                <c:pt idx="33">
                  <c:v>2Q25</c:v>
                </c:pt>
                <c:pt idx="34">
                  <c:v>29 Oct.</c:v>
                </c:pt>
                <c:pt idx="35">
                  <c:v>25 Nov.</c:v>
                </c:pt>
                <c:pt idx="36">
                  <c:v>3Q25</c:v>
                </c:pt>
              </c:strCache>
            </c:strRef>
          </c:cat>
          <c:val>
            <c:numRef>
              <c:f>'SVF Indexes'!$C$4:$C$40</c:f>
              <c:numCache>
                <c:formatCode>0.0</c:formatCode>
                <c:ptCount val="37"/>
                <c:pt idx="0">
                  <c:v>100</c:v>
                </c:pt>
                <c:pt idx="1">
                  <c:v>109.78260869565217</c:v>
                </c:pt>
                <c:pt idx="2">
                  <c:v>111.65603205223327</c:v>
                </c:pt>
                <c:pt idx="3">
                  <c:v>115.13441311305051</c:v>
                </c:pt>
                <c:pt idx="4">
                  <c:v>121.94518121269574</c:v>
                </c:pt>
                <c:pt idx="5">
                  <c:v>129.23021801241521</c:v>
                </c:pt>
                <c:pt idx="6">
                  <c:v>133.89316402317246</c:v>
                </c:pt>
                <c:pt idx="7">
                  <c:v>138.49035420422558</c:v>
                </c:pt>
                <c:pt idx="8">
                  <c:v>145.01792503932921</c:v>
                </c:pt>
                <c:pt idx="9">
                  <c:v>129.94677809528807</c:v>
                </c:pt>
                <c:pt idx="10">
                  <c:v>127.23623180372991</c:v>
                </c:pt>
                <c:pt idx="11">
                  <c:v>111.88429227466332</c:v>
                </c:pt>
                <c:pt idx="12">
                  <c:v>114.52722831264749</c:v>
                </c:pt>
                <c:pt idx="13">
                  <c:v>122.80533674507045</c:v>
                </c:pt>
                <c:pt idx="14">
                  <c:v>144.10013438143861</c:v>
                </c:pt>
                <c:pt idx="15">
                  <c:v>197.53419897603226</c:v>
                </c:pt>
                <c:pt idx="16">
                  <c:v>199.77985092228607</c:v>
                </c:pt>
                <c:pt idx="17">
                  <c:v>178.45407691264836</c:v>
                </c:pt>
                <c:pt idx="18">
                  <c:v>176.28521355687965</c:v>
                </c:pt>
                <c:pt idx="19">
                  <c:v>138.00814527460898</c:v>
                </c:pt>
                <c:pt idx="20">
                  <c:v>118.06374234460097</c:v>
                </c:pt>
                <c:pt idx="21">
                  <c:v>108.40398160731544</c:v>
                </c:pt>
                <c:pt idx="22">
                  <c:v>102.51738277316714</c:v>
                </c:pt>
                <c:pt idx="23">
                  <c:v>102.24302760071441</c:v>
                </c:pt>
                <c:pt idx="24">
                  <c:v>103.5302599625939</c:v>
                </c:pt>
                <c:pt idx="25">
                  <c:v>105.55305367411883</c:v>
                </c:pt>
                <c:pt idx="26">
                  <c:v>107.85324128445072</c:v>
                </c:pt>
                <c:pt idx="27">
                  <c:v>104.8317741108303</c:v>
                </c:pt>
                <c:pt idx="28">
                  <c:v>111.21746593484026</c:v>
                </c:pt>
                <c:pt idx="29">
                  <c:v>118.07610047253901</c:v>
                </c:pt>
                <c:pt idx="30">
                  <c:v>114.27595011250327</c:v>
                </c:pt>
                <c:pt idx="31">
                  <c:v>118.37676171941126</c:v>
                </c:pt>
                <c:pt idx="32">
                  <c:v>126.56460338581839</c:v>
                </c:pt>
                <c:pt idx="33">
                  <c:v>141.0653310262403</c:v>
                </c:pt>
                <c:pt idx="36">
                  <c:v>128.29281614458876</c:v>
                </c:pt>
              </c:numCache>
            </c:numRef>
          </c:val>
          <c:smooth val="0"/>
          <c:extLst>
            <c:ext xmlns:c16="http://schemas.microsoft.com/office/drawing/2014/chart" uri="{C3380CC4-5D6E-409C-BE32-E72D297353CC}">
              <c16:uniqueId val="{00000000-6909-498F-A6D3-4B3721252EB4}"/>
            </c:ext>
          </c:extLst>
        </c:ser>
        <c:ser>
          <c:idx val="1"/>
          <c:order val="1"/>
          <c:spPr>
            <a:ln w="19050" cap="rnd">
              <a:solidFill>
                <a:srgbClr val="F97303"/>
              </a:solidFill>
              <a:round/>
            </a:ln>
            <a:effectLst/>
          </c:spPr>
          <c:marker>
            <c:symbol val="square"/>
            <c:size val="5"/>
            <c:spPr>
              <a:solidFill>
                <a:srgbClr val="F97303"/>
              </a:solidFill>
              <a:ln w="9525">
                <a:solidFill>
                  <a:srgbClr val="F97303"/>
                </a:solidFill>
              </a:ln>
              <a:effectLst/>
            </c:spPr>
          </c:marker>
          <c:cat>
            <c:strRef>
              <c:f>'SVF Indexes'!$B$4:$B$40</c:f>
              <c:strCache>
                <c:ptCount val="37"/>
                <c:pt idx="0">
                  <c:v>1Q17</c:v>
                </c:pt>
                <c:pt idx="1">
                  <c:v>2Q17</c:v>
                </c:pt>
                <c:pt idx="2">
                  <c:v>3Q17</c:v>
                </c:pt>
                <c:pt idx="3">
                  <c:v>4Q17</c:v>
                </c:pt>
                <c:pt idx="4">
                  <c:v>1Q18</c:v>
                </c:pt>
                <c:pt idx="5">
                  <c:v>2Q18</c:v>
                </c:pt>
                <c:pt idx="6">
                  <c:v>3Q18</c:v>
                </c:pt>
                <c:pt idx="7">
                  <c:v>4Q18</c:v>
                </c:pt>
                <c:pt idx="8">
                  <c:v>1Q19</c:v>
                </c:pt>
                <c:pt idx="9">
                  <c:v>2Q19</c:v>
                </c:pt>
                <c:pt idx="10">
                  <c:v>3Q19</c:v>
                </c:pt>
                <c:pt idx="11">
                  <c:v>4Q19</c:v>
                </c:pt>
                <c:pt idx="12">
                  <c:v>1Q20</c:v>
                </c:pt>
                <c:pt idx="13">
                  <c:v>2Q20</c:v>
                </c:pt>
                <c:pt idx="14">
                  <c:v>3Q20</c:v>
                </c:pt>
                <c:pt idx="15">
                  <c:v>4Q20</c:v>
                </c:pt>
                <c:pt idx="16">
                  <c:v>1Q21</c:v>
                </c:pt>
                <c:pt idx="17">
                  <c:v>2Q21</c:v>
                </c:pt>
                <c:pt idx="18">
                  <c:v>3Q21</c:v>
                </c:pt>
                <c:pt idx="19">
                  <c:v>4Q21</c:v>
                </c:pt>
                <c:pt idx="20">
                  <c:v>1Q22</c:v>
                </c:pt>
                <c:pt idx="21">
                  <c:v>2Q22</c:v>
                </c:pt>
                <c:pt idx="22">
                  <c:v>3Q22</c:v>
                </c:pt>
                <c:pt idx="23">
                  <c:v>4Q22</c:v>
                </c:pt>
                <c:pt idx="24">
                  <c:v>1Q23</c:v>
                </c:pt>
                <c:pt idx="25">
                  <c:v>2Q23</c:v>
                </c:pt>
                <c:pt idx="26">
                  <c:v>3Q23</c:v>
                </c:pt>
                <c:pt idx="27">
                  <c:v>4Q23</c:v>
                </c:pt>
                <c:pt idx="28">
                  <c:v>1Q24</c:v>
                </c:pt>
                <c:pt idx="29">
                  <c:v>2Q24</c:v>
                </c:pt>
                <c:pt idx="30">
                  <c:v>3Q24</c:v>
                </c:pt>
                <c:pt idx="31">
                  <c:v>4Q24</c:v>
                </c:pt>
                <c:pt idx="32">
                  <c:v>1Q25</c:v>
                </c:pt>
                <c:pt idx="33">
                  <c:v>2Q25</c:v>
                </c:pt>
                <c:pt idx="34">
                  <c:v>29 Oct.</c:v>
                </c:pt>
                <c:pt idx="35">
                  <c:v>25 Nov.</c:v>
                </c:pt>
                <c:pt idx="36">
                  <c:v>3Q25</c:v>
                </c:pt>
              </c:strCache>
            </c:strRef>
          </c:cat>
          <c:val>
            <c:numRef>
              <c:f>'SVF Indexes'!$E$4:$E$40</c:f>
              <c:numCache>
                <c:formatCode>0.0</c:formatCode>
                <c:ptCount val="37"/>
                <c:pt idx="0">
                  <c:v>99.999999999999986</c:v>
                </c:pt>
                <c:pt idx="1">
                  <c:v>110.55959537981595</c:v>
                </c:pt>
                <c:pt idx="2">
                  <c:v>121.5850854078069</c:v>
                </c:pt>
                <c:pt idx="3">
                  <c:v>136.60086991848706</c:v>
                </c:pt>
                <c:pt idx="4">
                  <c:v>155.73162231970807</c:v>
                </c:pt>
                <c:pt idx="5">
                  <c:v>173.22261191721236</c:v>
                </c:pt>
                <c:pt idx="6">
                  <c:v>131.94770053037445</c:v>
                </c:pt>
                <c:pt idx="7">
                  <c:v>170.44159358332618</c:v>
                </c:pt>
                <c:pt idx="8">
                  <c:v>178.8228519461351</c:v>
                </c:pt>
                <c:pt idx="9">
                  <c:v>172.01072675837955</c:v>
                </c:pt>
                <c:pt idx="10">
                  <c:v>202.75809631719596</c:v>
                </c:pt>
                <c:pt idx="11">
                  <c:v>177.94846087044027</c:v>
                </c:pt>
                <c:pt idx="12">
                  <c:v>255.2538007685398</c:v>
                </c:pt>
                <c:pt idx="13">
                  <c:v>299.5549774320632</c:v>
                </c:pt>
                <c:pt idx="14">
                  <c:v>340.4623911204207</c:v>
                </c:pt>
                <c:pt idx="15">
                  <c:v>356.13452801144979</c:v>
                </c:pt>
                <c:pt idx="16">
                  <c:v>407.40772490598243</c:v>
                </c:pt>
                <c:pt idx="17">
                  <c:v>405.09390572528611</c:v>
                </c:pt>
                <c:pt idx="18">
                  <c:v>419.29027472875612</c:v>
                </c:pt>
                <c:pt idx="19">
                  <c:v>300.03913515044667</c:v>
                </c:pt>
                <c:pt idx="20">
                  <c:v>189.40611477407836</c:v>
                </c:pt>
                <c:pt idx="21">
                  <c:v>177.19147524608553</c:v>
                </c:pt>
                <c:pt idx="22">
                  <c:v>189.16440863060515</c:v>
                </c:pt>
                <c:pt idx="23">
                  <c:v>211.16563113816198</c:v>
                </c:pt>
                <c:pt idx="24">
                  <c:v>245.41671480911361</c:v>
                </c:pt>
                <c:pt idx="25">
                  <c:v>237.20112858319573</c:v>
                </c:pt>
                <c:pt idx="26">
                  <c:v>295.3125407657817</c:v>
                </c:pt>
                <c:pt idx="27">
                  <c:v>331.20935069194667</c:v>
                </c:pt>
                <c:pt idx="28">
                  <c:v>339.33939866045966</c:v>
                </c:pt>
                <c:pt idx="29">
                  <c:v>352.96178545737808</c:v>
                </c:pt>
                <c:pt idx="30">
                  <c:v>380.54274862933789</c:v>
                </c:pt>
                <c:pt idx="31">
                  <c:v>344.48250286059312</c:v>
                </c:pt>
                <c:pt idx="32">
                  <c:v>460.6766281154375</c:v>
                </c:pt>
                <c:pt idx="33">
                  <c:v>480.89645584623236</c:v>
                </c:pt>
                <c:pt idx="36">
                  <c:v>442.50673683661256</c:v>
                </c:pt>
              </c:numCache>
            </c:numRef>
          </c:val>
          <c:smooth val="0"/>
          <c:extLst>
            <c:ext xmlns:c16="http://schemas.microsoft.com/office/drawing/2014/chart" uri="{C3380CC4-5D6E-409C-BE32-E72D297353CC}">
              <c16:uniqueId val="{00000001-6909-498F-A6D3-4B3721252EB4}"/>
            </c:ext>
          </c:extLst>
        </c:ser>
        <c:dLbls>
          <c:showLegendKey val="0"/>
          <c:showVal val="0"/>
          <c:showCatName val="0"/>
          <c:showSerName val="0"/>
          <c:showPercent val="0"/>
          <c:showBubbleSize val="0"/>
        </c:dLbls>
        <c:marker val="1"/>
        <c:smooth val="0"/>
        <c:axId val="98792607"/>
        <c:axId val="98795007"/>
      </c:lineChart>
      <c:catAx>
        <c:axId val="9879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98795007"/>
        <c:crosses val="autoZero"/>
        <c:auto val="1"/>
        <c:lblAlgn val="ctr"/>
        <c:lblOffset val="100"/>
        <c:noMultiLvlLbl val="0"/>
      </c:catAx>
      <c:valAx>
        <c:axId val="987950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98792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rgbClr val="9D9D9C"/>
              </a:solidFill>
              <a:round/>
            </a:ln>
            <a:effectLst/>
          </c:spPr>
          <c:marker>
            <c:symbol val="square"/>
            <c:size val="5"/>
            <c:spPr>
              <a:solidFill>
                <a:srgbClr val="9D9D9C"/>
              </a:solidFill>
              <a:ln w="9525">
                <a:solidFill>
                  <a:srgbClr val="9D9D9C"/>
                </a:solidFill>
              </a:ln>
              <a:effectLst/>
            </c:spPr>
          </c:marker>
          <c:cat>
            <c:strRef>
              <c:f>'SVF Indexes'!$B$4:$B$40</c:f>
              <c:strCache>
                <c:ptCount val="37"/>
                <c:pt idx="0">
                  <c:v>1Q17</c:v>
                </c:pt>
                <c:pt idx="1">
                  <c:v>2Q17</c:v>
                </c:pt>
                <c:pt idx="2">
                  <c:v>3Q17</c:v>
                </c:pt>
                <c:pt idx="3">
                  <c:v>4Q17</c:v>
                </c:pt>
                <c:pt idx="4">
                  <c:v>1Q18</c:v>
                </c:pt>
                <c:pt idx="5">
                  <c:v>2Q18</c:v>
                </c:pt>
                <c:pt idx="6">
                  <c:v>3Q18</c:v>
                </c:pt>
                <c:pt idx="7">
                  <c:v>4Q18</c:v>
                </c:pt>
                <c:pt idx="8">
                  <c:v>1Q19</c:v>
                </c:pt>
                <c:pt idx="9">
                  <c:v>2Q19</c:v>
                </c:pt>
                <c:pt idx="10">
                  <c:v>3Q19</c:v>
                </c:pt>
                <c:pt idx="11">
                  <c:v>4Q19</c:v>
                </c:pt>
                <c:pt idx="12">
                  <c:v>1Q20</c:v>
                </c:pt>
                <c:pt idx="13">
                  <c:v>2Q20</c:v>
                </c:pt>
                <c:pt idx="14">
                  <c:v>3Q20</c:v>
                </c:pt>
                <c:pt idx="15">
                  <c:v>4Q20</c:v>
                </c:pt>
                <c:pt idx="16">
                  <c:v>1Q21</c:v>
                </c:pt>
                <c:pt idx="17">
                  <c:v>2Q21</c:v>
                </c:pt>
                <c:pt idx="18">
                  <c:v>3Q21</c:v>
                </c:pt>
                <c:pt idx="19">
                  <c:v>4Q21</c:v>
                </c:pt>
                <c:pt idx="20">
                  <c:v>1Q22</c:v>
                </c:pt>
                <c:pt idx="21">
                  <c:v>2Q22</c:v>
                </c:pt>
                <c:pt idx="22">
                  <c:v>3Q22</c:v>
                </c:pt>
                <c:pt idx="23">
                  <c:v>4Q22</c:v>
                </c:pt>
                <c:pt idx="24">
                  <c:v>1Q23</c:v>
                </c:pt>
                <c:pt idx="25">
                  <c:v>2Q23</c:v>
                </c:pt>
                <c:pt idx="26">
                  <c:v>3Q23</c:v>
                </c:pt>
                <c:pt idx="27">
                  <c:v>4Q23</c:v>
                </c:pt>
                <c:pt idx="28">
                  <c:v>1Q24</c:v>
                </c:pt>
                <c:pt idx="29">
                  <c:v>2Q24</c:v>
                </c:pt>
                <c:pt idx="30">
                  <c:v>3Q24</c:v>
                </c:pt>
                <c:pt idx="31">
                  <c:v>4Q24</c:v>
                </c:pt>
                <c:pt idx="32">
                  <c:v>1Q25</c:v>
                </c:pt>
                <c:pt idx="33">
                  <c:v>2Q25</c:v>
                </c:pt>
                <c:pt idx="34">
                  <c:v>29 Oct.</c:v>
                </c:pt>
                <c:pt idx="35">
                  <c:v>25 Nov.</c:v>
                </c:pt>
                <c:pt idx="36">
                  <c:v>3Q25</c:v>
                </c:pt>
              </c:strCache>
            </c:strRef>
          </c:cat>
          <c:val>
            <c:numRef>
              <c:f>'SVF Indexes'!$D$4:$D$40</c:f>
              <c:numCache>
                <c:formatCode>0.0</c:formatCode>
                <c:ptCount val="37"/>
                <c:pt idx="0">
                  <c:v>100</c:v>
                </c:pt>
                <c:pt idx="1">
                  <c:v>114.71632051768358</c:v>
                </c:pt>
                <c:pt idx="2">
                  <c:v>117.24048807370322</c:v>
                </c:pt>
                <c:pt idx="3">
                  <c:v>122.73574448548668</c:v>
                </c:pt>
                <c:pt idx="4">
                  <c:v>134.11669076398951</c:v>
                </c:pt>
                <c:pt idx="5">
                  <c:v>146.19979372175368</c:v>
                </c:pt>
                <c:pt idx="6">
                  <c:v>153.93607714477085</c:v>
                </c:pt>
                <c:pt idx="7">
                  <c:v>160.59170783494631</c:v>
                </c:pt>
                <c:pt idx="8">
                  <c:v>170.3124444762727</c:v>
                </c:pt>
                <c:pt idx="9">
                  <c:v>141.7021824791903</c:v>
                </c:pt>
                <c:pt idx="10">
                  <c:v>136.21800891032976</c:v>
                </c:pt>
                <c:pt idx="11">
                  <c:v>106.73397752814577</c:v>
                </c:pt>
                <c:pt idx="12">
                  <c:v>110.28893549087535</c:v>
                </c:pt>
                <c:pt idx="13">
                  <c:v>122.26390949529565</c:v>
                </c:pt>
                <c:pt idx="14">
                  <c:v>152.39871881432526</c:v>
                </c:pt>
                <c:pt idx="15">
                  <c:v>222.7567674169816</c:v>
                </c:pt>
                <c:pt idx="16">
                  <c:v>225.23043349460269</c:v>
                </c:pt>
                <c:pt idx="17">
                  <c:v>193.33439142483738</c:v>
                </c:pt>
                <c:pt idx="18">
                  <c:v>189.6310593651362</c:v>
                </c:pt>
                <c:pt idx="19">
                  <c:v>133.14663114322843</c:v>
                </c:pt>
                <c:pt idx="20">
                  <c:v>104.2770843393196</c:v>
                </c:pt>
                <c:pt idx="21">
                  <c:v>90.73519336922115</c:v>
                </c:pt>
                <c:pt idx="22">
                  <c:v>82.555096276685148</c:v>
                </c:pt>
                <c:pt idx="23">
                  <c:v>81.711813821952603</c:v>
                </c:pt>
                <c:pt idx="24">
                  <c:v>82.801300612010948</c:v>
                </c:pt>
                <c:pt idx="25">
                  <c:v>84.911125164405846</c:v>
                </c:pt>
                <c:pt idx="26">
                  <c:v>87.263779597625572</c:v>
                </c:pt>
                <c:pt idx="27">
                  <c:v>83.096192163086201</c:v>
                </c:pt>
                <c:pt idx="28">
                  <c:v>89.89107363674313</c:v>
                </c:pt>
                <c:pt idx="29">
                  <c:v>96.384684385722409</c:v>
                </c:pt>
                <c:pt idx="30">
                  <c:v>92.355197881772995</c:v>
                </c:pt>
                <c:pt idx="31">
                  <c:v>95.915499601255547</c:v>
                </c:pt>
                <c:pt idx="32">
                  <c:v>103.08662180477718</c:v>
                </c:pt>
                <c:pt idx="33">
                  <c:v>115.83589563380252</c:v>
                </c:pt>
                <c:pt idx="36">
                  <c:v>104.18554639651765</c:v>
                </c:pt>
              </c:numCache>
            </c:numRef>
          </c:val>
          <c:smooth val="0"/>
          <c:extLst>
            <c:ext xmlns:c16="http://schemas.microsoft.com/office/drawing/2014/chart" uri="{C3380CC4-5D6E-409C-BE32-E72D297353CC}">
              <c16:uniqueId val="{00000000-C161-4D0C-9DE1-7EEA3E0A549A}"/>
            </c:ext>
          </c:extLst>
        </c:ser>
        <c:ser>
          <c:idx val="1"/>
          <c:order val="1"/>
          <c:spPr>
            <a:ln w="19050" cap="rnd">
              <a:solidFill>
                <a:srgbClr val="F97303"/>
              </a:solidFill>
              <a:round/>
            </a:ln>
            <a:effectLst/>
          </c:spPr>
          <c:marker>
            <c:symbol val="square"/>
            <c:size val="5"/>
            <c:spPr>
              <a:solidFill>
                <a:srgbClr val="F97303"/>
              </a:solidFill>
              <a:ln w="9525">
                <a:solidFill>
                  <a:srgbClr val="F97303"/>
                </a:solidFill>
              </a:ln>
              <a:effectLst/>
            </c:spPr>
          </c:marker>
          <c:cat>
            <c:strRef>
              <c:f>'SVF Indexes'!$B$4:$B$40</c:f>
              <c:strCache>
                <c:ptCount val="37"/>
                <c:pt idx="0">
                  <c:v>1Q17</c:v>
                </c:pt>
                <c:pt idx="1">
                  <c:v>2Q17</c:v>
                </c:pt>
                <c:pt idx="2">
                  <c:v>3Q17</c:v>
                </c:pt>
                <c:pt idx="3">
                  <c:v>4Q17</c:v>
                </c:pt>
                <c:pt idx="4">
                  <c:v>1Q18</c:v>
                </c:pt>
                <c:pt idx="5">
                  <c:v>2Q18</c:v>
                </c:pt>
                <c:pt idx="6">
                  <c:v>3Q18</c:v>
                </c:pt>
                <c:pt idx="7">
                  <c:v>4Q18</c:v>
                </c:pt>
                <c:pt idx="8">
                  <c:v>1Q19</c:v>
                </c:pt>
                <c:pt idx="9">
                  <c:v>2Q19</c:v>
                </c:pt>
                <c:pt idx="10">
                  <c:v>3Q19</c:v>
                </c:pt>
                <c:pt idx="11">
                  <c:v>4Q19</c:v>
                </c:pt>
                <c:pt idx="12">
                  <c:v>1Q20</c:v>
                </c:pt>
                <c:pt idx="13">
                  <c:v>2Q20</c:v>
                </c:pt>
                <c:pt idx="14">
                  <c:v>3Q20</c:v>
                </c:pt>
                <c:pt idx="15">
                  <c:v>4Q20</c:v>
                </c:pt>
                <c:pt idx="16">
                  <c:v>1Q21</c:v>
                </c:pt>
                <c:pt idx="17">
                  <c:v>2Q21</c:v>
                </c:pt>
                <c:pt idx="18">
                  <c:v>3Q21</c:v>
                </c:pt>
                <c:pt idx="19">
                  <c:v>4Q21</c:v>
                </c:pt>
                <c:pt idx="20">
                  <c:v>1Q22</c:v>
                </c:pt>
                <c:pt idx="21">
                  <c:v>2Q22</c:v>
                </c:pt>
                <c:pt idx="22">
                  <c:v>3Q22</c:v>
                </c:pt>
                <c:pt idx="23">
                  <c:v>4Q22</c:v>
                </c:pt>
                <c:pt idx="24">
                  <c:v>1Q23</c:v>
                </c:pt>
                <c:pt idx="25">
                  <c:v>2Q23</c:v>
                </c:pt>
                <c:pt idx="26">
                  <c:v>3Q23</c:v>
                </c:pt>
                <c:pt idx="27">
                  <c:v>4Q23</c:v>
                </c:pt>
                <c:pt idx="28">
                  <c:v>1Q24</c:v>
                </c:pt>
                <c:pt idx="29">
                  <c:v>2Q24</c:v>
                </c:pt>
                <c:pt idx="30">
                  <c:v>3Q24</c:v>
                </c:pt>
                <c:pt idx="31">
                  <c:v>4Q24</c:v>
                </c:pt>
                <c:pt idx="32">
                  <c:v>1Q25</c:v>
                </c:pt>
                <c:pt idx="33">
                  <c:v>2Q25</c:v>
                </c:pt>
                <c:pt idx="34">
                  <c:v>29 Oct.</c:v>
                </c:pt>
                <c:pt idx="35">
                  <c:v>25 Nov.</c:v>
                </c:pt>
                <c:pt idx="36">
                  <c:v>3Q25</c:v>
                </c:pt>
              </c:strCache>
            </c:strRef>
          </c:cat>
          <c:val>
            <c:numRef>
              <c:f>'SVF Indexes'!$E$4:$E$40</c:f>
              <c:numCache>
                <c:formatCode>0.0</c:formatCode>
                <c:ptCount val="37"/>
                <c:pt idx="0">
                  <c:v>99.999999999999986</c:v>
                </c:pt>
                <c:pt idx="1">
                  <c:v>110.55959537981595</c:v>
                </c:pt>
                <c:pt idx="2">
                  <c:v>121.5850854078069</c:v>
                </c:pt>
                <c:pt idx="3">
                  <c:v>136.60086991848706</c:v>
                </c:pt>
                <c:pt idx="4">
                  <c:v>155.73162231970807</c:v>
                </c:pt>
                <c:pt idx="5">
                  <c:v>173.22261191721236</c:v>
                </c:pt>
                <c:pt idx="6">
                  <c:v>131.94770053037445</c:v>
                </c:pt>
                <c:pt idx="7">
                  <c:v>170.44159358332618</c:v>
                </c:pt>
                <c:pt idx="8">
                  <c:v>178.8228519461351</c:v>
                </c:pt>
                <c:pt idx="9">
                  <c:v>172.01072675837955</c:v>
                </c:pt>
                <c:pt idx="10">
                  <c:v>202.75809631719596</c:v>
                </c:pt>
                <c:pt idx="11">
                  <c:v>177.94846087044027</c:v>
                </c:pt>
                <c:pt idx="12">
                  <c:v>255.2538007685398</c:v>
                </c:pt>
                <c:pt idx="13">
                  <c:v>299.5549774320632</c:v>
                </c:pt>
                <c:pt idx="14">
                  <c:v>340.4623911204207</c:v>
                </c:pt>
                <c:pt idx="15">
                  <c:v>356.13452801144979</c:v>
                </c:pt>
                <c:pt idx="16">
                  <c:v>407.40772490598243</c:v>
                </c:pt>
                <c:pt idx="17">
                  <c:v>405.09390572528611</c:v>
                </c:pt>
                <c:pt idx="18">
                  <c:v>419.29027472875612</c:v>
                </c:pt>
                <c:pt idx="19">
                  <c:v>300.03913515044667</c:v>
                </c:pt>
                <c:pt idx="20">
                  <c:v>189.40611477407836</c:v>
                </c:pt>
                <c:pt idx="21">
                  <c:v>177.19147524608553</c:v>
                </c:pt>
                <c:pt idx="22">
                  <c:v>189.16440863060515</c:v>
                </c:pt>
                <c:pt idx="23">
                  <c:v>211.16563113816198</c:v>
                </c:pt>
                <c:pt idx="24">
                  <c:v>245.41671480911361</c:v>
                </c:pt>
                <c:pt idx="25">
                  <c:v>237.20112858319573</c:v>
                </c:pt>
                <c:pt idx="26">
                  <c:v>295.3125407657817</c:v>
                </c:pt>
                <c:pt idx="27">
                  <c:v>331.20935069194667</c:v>
                </c:pt>
                <c:pt idx="28">
                  <c:v>339.33939866045966</c:v>
                </c:pt>
                <c:pt idx="29">
                  <c:v>352.96178545737808</c:v>
                </c:pt>
                <c:pt idx="30">
                  <c:v>380.54274862933789</c:v>
                </c:pt>
                <c:pt idx="31">
                  <c:v>344.48250286059312</c:v>
                </c:pt>
                <c:pt idx="32">
                  <c:v>460.6766281154375</c:v>
                </c:pt>
                <c:pt idx="33">
                  <c:v>480.89645584623236</c:v>
                </c:pt>
                <c:pt idx="36">
                  <c:v>442.50673683661256</c:v>
                </c:pt>
              </c:numCache>
            </c:numRef>
          </c:val>
          <c:smooth val="0"/>
          <c:extLst>
            <c:ext xmlns:c16="http://schemas.microsoft.com/office/drawing/2014/chart" uri="{C3380CC4-5D6E-409C-BE32-E72D297353CC}">
              <c16:uniqueId val="{00000001-C161-4D0C-9DE1-7EEA3E0A549A}"/>
            </c:ext>
          </c:extLst>
        </c:ser>
        <c:dLbls>
          <c:showLegendKey val="0"/>
          <c:showVal val="0"/>
          <c:showCatName val="0"/>
          <c:showSerName val="0"/>
          <c:showPercent val="0"/>
          <c:showBubbleSize val="0"/>
        </c:dLbls>
        <c:marker val="1"/>
        <c:smooth val="0"/>
        <c:axId val="98792607"/>
        <c:axId val="98795007"/>
      </c:lineChart>
      <c:catAx>
        <c:axId val="9879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98795007"/>
        <c:crosses val="autoZero"/>
        <c:auto val="1"/>
        <c:lblAlgn val="ctr"/>
        <c:lblOffset val="100"/>
        <c:noMultiLvlLbl val="0"/>
      </c:catAx>
      <c:valAx>
        <c:axId val="987950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98792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rgbClr val="2EB2A5"/>
              </a:solidFill>
              <a:round/>
            </a:ln>
            <a:effectLst/>
          </c:spPr>
          <c:marker>
            <c:symbol val="square"/>
            <c:size val="5"/>
            <c:spPr>
              <a:solidFill>
                <a:srgbClr val="2EB2A5"/>
              </a:solidFill>
              <a:ln w="9525">
                <a:solidFill>
                  <a:srgbClr val="2EB2A5"/>
                </a:solidFill>
              </a:ln>
              <a:effectLst/>
            </c:spPr>
          </c:marker>
          <c:cat>
            <c:strRef>
              <c:f>'SVF Indexes'!$B$4:$B$34</c:f>
              <c:strCache>
                <c:ptCount val="31"/>
                <c:pt idx="0">
                  <c:v>1Q17</c:v>
                </c:pt>
                <c:pt idx="1">
                  <c:v>2Q17</c:v>
                </c:pt>
                <c:pt idx="2">
                  <c:v>3Q17</c:v>
                </c:pt>
                <c:pt idx="3">
                  <c:v>4Q17</c:v>
                </c:pt>
                <c:pt idx="4">
                  <c:v>1Q18</c:v>
                </c:pt>
                <c:pt idx="5">
                  <c:v>2Q18</c:v>
                </c:pt>
                <c:pt idx="6">
                  <c:v>3Q18</c:v>
                </c:pt>
                <c:pt idx="7">
                  <c:v>4Q18</c:v>
                </c:pt>
                <c:pt idx="8">
                  <c:v>1Q19</c:v>
                </c:pt>
                <c:pt idx="9">
                  <c:v>2Q19</c:v>
                </c:pt>
                <c:pt idx="10">
                  <c:v>3Q19</c:v>
                </c:pt>
                <c:pt idx="11">
                  <c:v>4Q19</c:v>
                </c:pt>
                <c:pt idx="12">
                  <c:v>1Q20</c:v>
                </c:pt>
                <c:pt idx="13">
                  <c:v>2Q20</c:v>
                </c:pt>
                <c:pt idx="14">
                  <c:v>3Q20</c:v>
                </c:pt>
                <c:pt idx="15">
                  <c:v>4Q20</c:v>
                </c:pt>
                <c:pt idx="16">
                  <c:v>1Q21</c:v>
                </c:pt>
                <c:pt idx="17">
                  <c:v>2Q21</c:v>
                </c:pt>
                <c:pt idx="18">
                  <c:v>3Q21</c:v>
                </c:pt>
                <c:pt idx="19">
                  <c:v>4Q21</c:v>
                </c:pt>
                <c:pt idx="20">
                  <c:v>1Q22</c:v>
                </c:pt>
                <c:pt idx="21">
                  <c:v>2Q22</c:v>
                </c:pt>
                <c:pt idx="22">
                  <c:v>3Q22</c:v>
                </c:pt>
                <c:pt idx="23">
                  <c:v>4Q22</c:v>
                </c:pt>
                <c:pt idx="24">
                  <c:v>1Q23</c:v>
                </c:pt>
                <c:pt idx="25">
                  <c:v>2Q23</c:v>
                </c:pt>
                <c:pt idx="26">
                  <c:v>3Q23</c:v>
                </c:pt>
                <c:pt idx="27">
                  <c:v>4Q23</c:v>
                </c:pt>
                <c:pt idx="28">
                  <c:v>1Q24</c:v>
                </c:pt>
                <c:pt idx="29">
                  <c:v>2Q24</c:v>
                </c:pt>
                <c:pt idx="30">
                  <c:v>3Q24</c:v>
                </c:pt>
              </c:strCache>
            </c:strRef>
          </c:cat>
          <c:val>
            <c:numRef>
              <c:f>'SVF Indexes'!$C$4:$C$34</c:f>
              <c:numCache>
                <c:formatCode>0.0</c:formatCode>
                <c:ptCount val="31"/>
                <c:pt idx="0">
                  <c:v>100</c:v>
                </c:pt>
                <c:pt idx="1">
                  <c:v>109.78260869565217</c:v>
                </c:pt>
                <c:pt idx="2">
                  <c:v>111.65603205223327</c:v>
                </c:pt>
                <c:pt idx="3">
                  <c:v>115.13441311305051</c:v>
                </c:pt>
                <c:pt idx="4">
                  <c:v>121.94518121269574</c:v>
                </c:pt>
                <c:pt idx="5">
                  <c:v>129.23021801241521</c:v>
                </c:pt>
                <c:pt idx="6">
                  <c:v>133.89316402317246</c:v>
                </c:pt>
                <c:pt idx="7">
                  <c:v>138.49035420422558</c:v>
                </c:pt>
                <c:pt idx="8">
                  <c:v>145.01792503932921</c:v>
                </c:pt>
                <c:pt idx="9">
                  <c:v>129.94677809528807</c:v>
                </c:pt>
                <c:pt idx="10">
                  <c:v>127.23623180372991</c:v>
                </c:pt>
                <c:pt idx="11">
                  <c:v>111.88429227466332</c:v>
                </c:pt>
                <c:pt idx="12">
                  <c:v>114.52722831264749</c:v>
                </c:pt>
                <c:pt idx="13">
                  <c:v>122.80533674507045</c:v>
                </c:pt>
                <c:pt idx="14">
                  <c:v>144.10013438143861</c:v>
                </c:pt>
                <c:pt idx="15">
                  <c:v>197.53419897603226</c:v>
                </c:pt>
                <c:pt idx="16">
                  <c:v>199.77985092228607</c:v>
                </c:pt>
                <c:pt idx="17">
                  <c:v>178.45407691264836</c:v>
                </c:pt>
                <c:pt idx="18">
                  <c:v>176.28521355687965</c:v>
                </c:pt>
                <c:pt idx="19">
                  <c:v>138.00814527460898</c:v>
                </c:pt>
                <c:pt idx="20">
                  <c:v>118.06374234460097</c:v>
                </c:pt>
                <c:pt idx="21">
                  <c:v>108.40398160731544</c:v>
                </c:pt>
                <c:pt idx="22">
                  <c:v>102.51738277316714</c:v>
                </c:pt>
                <c:pt idx="23">
                  <c:v>102.24302760071441</c:v>
                </c:pt>
                <c:pt idx="24">
                  <c:v>103.5302599625939</c:v>
                </c:pt>
                <c:pt idx="25">
                  <c:v>105.55305367411883</c:v>
                </c:pt>
                <c:pt idx="26">
                  <c:v>107.85324128445072</c:v>
                </c:pt>
                <c:pt idx="27">
                  <c:v>104.8317741108303</c:v>
                </c:pt>
                <c:pt idx="28">
                  <c:v>111.21746593484026</c:v>
                </c:pt>
                <c:pt idx="29">
                  <c:v>118.07610047253901</c:v>
                </c:pt>
                <c:pt idx="30">
                  <c:v>114.27595011250327</c:v>
                </c:pt>
              </c:numCache>
            </c:numRef>
          </c:val>
          <c:smooth val="0"/>
          <c:extLst>
            <c:ext xmlns:c16="http://schemas.microsoft.com/office/drawing/2014/chart" uri="{C3380CC4-5D6E-409C-BE32-E72D297353CC}">
              <c16:uniqueId val="{00000000-F3B2-4504-B495-69A0232C172D}"/>
            </c:ext>
          </c:extLst>
        </c:ser>
        <c:ser>
          <c:idx val="1"/>
          <c:order val="1"/>
          <c:spPr>
            <a:ln w="19050" cap="rnd">
              <a:solidFill>
                <a:srgbClr val="9D9D9C"/>
              </a:solidFill>
              <a:round/>
            </a:ln>
            <a:effectLst/>
          </c:spPr>
          <c:marker>
            <c:symbol val="square"/>
            <c:size val="5"/>
            <c:spPr>
              <a:solidFill>
                <a:srgbClr val="9D9D9C"/>
              </a:solidFill>
              <a:ln w="9525">
                <a:solidFill>
                  <a:srgbClr val="9D9D9C"/>
                </a:solidFill>
              </a:ln>
              <a:effectLst/>
            </c:spPr>
          </c:marker>
          <c:cat>
            <c:strRef>
              <c:f>'SVF Indexes'!$B$4:$B$34</c:f>
              <c:strCache>
                <c:ptCount val="31"/>
                <c:pt idx="0">
                  <c:v>1Q17</c:v>
                </c:pt>
                <c:pt idx="1">
                  <c:v>2Q17</c:v>
                </c:pt>
                <c:pt idx="2">
                  <c:v>3Q17</c:v>
                </c:pt>
                <c:pt idx="3">
                  <c:v>4Q17</c:v>
                </c:pt>
                <c:pt idx="4">
                  <c:v>1Q18</c:v>
                </c:pt>
                <c:pt idx="5">
                  <c:v>2Q18</c:v>
                </c:pt>
                <c:pt idx="6">
                  <c:v>3Q18</c:v>
                </c:pt>
                <c:pt idx="7">
                  <c:v>4Q18</c:v>
                </c:pt>
                <c:pt idx="8">
                  <c:v>1Q19</c:v>
                </c:pt>
                <c:pt idx="9">
                  <c:v>2Q19</c:v>
                </c:pt>
                <c:pt idx="10">
                  <c:v>3Q19</c:v>
                </c:pt>
                <c:pt idx="11">
                  <c:v>4Q19</c:v>
                </c:pt>
                <c:pt idx="12">
                  <c:v>1Q20</c:v>
                </c:pt>
                <c:pt idx="13">
                  <c:v>2Q20</c:v>
                </c:pt>
                <c:pt idx="14">
                  <c:v>3Q20</c:v>
                </c:pt>
                <c:pt idx="15">
                  <c:v>4Q20</c:v>
                </c:pt>
                <c:pt idx="16">
                  <c:v>1Q21</c:v>
                </c:pt>
                <c:pt idx="17">
                  <c:v>2Q21</c:v>
                </c:pt>
                <c:pt idx="18">
                  <c:v>3Q21</c:v>
                </c:pt>
                <c:pt idx="19">
                  <c:v>4Q21</c:v>
                </c:pt>
                <c:pt idx="20">
                  <c:v>1Q22</c:v>
                </c:pt>
                <c:pt idx="21">
                  <c:v>2Q22</c:v>
                </c:pt>
                <c:pt idx="22">
                  <c:v>3Q22</c:v>
                </c:pt>
                <c:pt idx="23">
                  <c:v>4Q22</c:v>
                </c:pt>
                <c:pt idx="24">
                  <c:v>1Q23</c:v>
                </c:pt>
                <c:pt idx="25">
                  <c:v>2Q23</c:v>
                </c:pt>
                <c:pt idx="26">
                  <c:v>3Q23</c:v>
                </c:pt>
                <c:pt idx="27">
                  <c:v>4Q23</c:v>
                </c:pt>
                <c:pt idx="28">
                  <c:v>1Q24</c:v>
                </c:pt>
                <c:pt idx="29">
                  <c:v>2Q24</c:v>
                </c:pt>
                <c:pt idx="30">
                  <c:v>3Q24</c:v>
                </c:pt>
              </c:strCache>
            </c:strRef>
          </c:cat>
          <c:val>
            <c:numRef>
              <c:f>'SVF Indexes'!$D$4:$D$34</c:f>
              <c:numCache>
                <c:formatCode>0.0</c:formatCode>
                <c:ptCount val="31"/>
                <c:pt idx="0">
                  <c:v>100</c:v>
                </c:pt>
                <c:pt idx="1">
                  <c:v>114.71632051768358</c:v>
                </c:pt>
                <c:pt idx="2">
                  <c:v>117.24048807370322</c:v>
                </c:pt>
                <c:pt idx="3">
                  <c:v>122.73574448548668</c:v>
                </c:pt>
                <c:pt idx="4">
                  <c:v>134.11669076398951</c:v>
                </c:pt>
                <c:pt idx="5">
                  <c:v>146.19979372175368</c:v>
                </c:pt>
                <c:pt idx="6">
                  <c:v>153.93607714477085</c:v>
                </c:pt>
                <c:pt idx="7">
                  <c:v>160.59170783494631</c:v>
                </c:pt>
                <c:pt idx="8">
                  <c:v>170.3124444762727</c:v>
                </c:pt>
                <c:pt idx="9">
                  <c:v>141.7021824791903</c:v>
                </c:pt>
                <c:pt idx="10">
                  <c:v>136.21800891032976</c:v>
                </c:pt>
                <c:pt idx="11">
                  <c:v>106.73397752814577</c:v>
                </c:pt>
                <c:pt idx="12">
                  <c:v>110.28893549087535</c:v>
                </c:pt>
                <c:pt idx="13">
                  <c:v>122.26390949529565</c:v>
                </c:pt>
                <c:pt idx="14">
                  <c:v>152.39871881432526</c:v>
                </c:pt>
                <c:pt idx="15">
                  <c:v>222.7567674169816</c:v>
                </c:pt>
                <c:pt idx="16">
                  <c:v>225.23043349460269</c:v>
                </c:pt>
                <c:pt idx="17">
                  <c:v>193.33439142483738</c:v>
                </c:pt>
                <c:pt idx="18">
                  <c:v>189.6310593651362</c:v>
                </c:pt>
                <c:pt idx="19">
                  <c:v>133.14663114322843</c:v>
                </c:pt>
                <c:pt idx="20">
                  <c:v>104.2770843393196</c:v>
                </c:pt>
                <c:pt idx="21">
                  <c:v>90.73519336922115</c:v>
                </c:pt>
                <c:pt idx="22">
                  <c:v>82.555096276685148</c:v>
                </c:pt>
                <c:pt idx="23">
                  <c:v>81.711813821952603</c:v>
                </c:pt>
                <c:pt idx="24">
                  <c:v>82.801300612010948</c:v>
                </c:pt>
                <c:pt idx="25">
                  <c:v>84.911125164405846</c:v>
                </c:pt>
                <c:pt idx="26">
                  <c:v>87.263779597625572</c:v>
                </c:pt>
                <c:pt idx="27">
                  <c:v>83.096192163086201</c:v>
                </c:pt>
                <c:pt idx="28">
                  <c:v>89.89107363674313</c:v>
                </c:pt>
                <c:pt idx="29">
                  <c:v>96.384684385722409</c:v>
                </c:pt>
                <c:pt idx="30">
                  <c:v>92.355197881772995</c:v>
                </c:pt>
              </c:numCache>
            </c:numRef>
          </c:val>
          <c:smooth val="0"/>
          <c:extLst>
            <c:ext xmlns:c16="http://schemas.microsoft.com/office/drawing/2014/chart" uri="{C3380CC4-5D6E-409C-BE32-E72D297353CC}">
              <c16:uniqueId val="{00000001-F3B2-4504-B495-69A0232C172D}"/>
            </c:ext>
          </c:extLst>
        </c:ser>
        <c:dLbls>
          <c:showLegendKey val="0"/>
          <c:showVal val="0"/>
          <c:showCatName val="0"/>
          <c:showSerName val="0"/>
          <c:showPercent val="0"/>
          <c:showBubbleSize val="0"/>
        </c:dLbls>
        <c:marker val="1"/>
        <c:smooth val="0"/>
        <c:axId val="151904335"/>
        <c:axId val="151903375"/>
      </c:lineChart>
      <c:catAx>
        <c:axId val="15190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51903375"/>
        <c:crosses val="autoZero"/>
        <c:auto val="1"/>
        <c:lblAlgn val="ctr"/>
        <c:lblOffset val="100"/>
        <c:noMultiLvlLbl val="0"/>
      </c:catAx>
      <c:valAx>
        <c:axId val="15190337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51904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rgbClr val="2EB2A5"/>
              </a:solidFill>
              <a:round/>
            </a:ln>
            <a:effectLst/>
          </c:spPr>
          <c:marker>
            <c:symbol val="square"/>
            <c:size val="5"/>
            <c:spPr>
              <a:solidFill>
                <a:srgbClr val="2EB2A5"/>
              </a:solidFill>
              <a:ln w="9525">
                <a:solidFill>
                  <a:srgbClr val="2EB2A5"/>
                </a:solidFill>
              </a:ln>
              <a:effectLst/>
            </c:spPr>
          </c:marker>
          <c:cat>
            <c:strRef>
              <c:f>'SVF Indexes'!$B$17:$B$40</c:f>
              <c:strCache>
                <c:ptCount val="24"/>
                <c:pt idx="0">
                  <c:v>2Q20</c:v>
                </c:pt>
                <c:pt idx="1">
                  <c:v>3Q20</c:v>
                </c:pt>
                <c:pt idx="2">
                  <c:v>4Q20</c:v>
                </c:pt>
                <c:pt idx="3">
                  <c:v>1Q21</c:v>
                </c:pt>
                <c:pt idx="4">
                  <c:v>2Q21</c:v>
                </c:pt>
                <c:pt idx="5">
                  <c:v>3Q21</c:v>
                </c:pt>
                <c:pt idx="6">
                  <c:v>4Q21</c:v>
                </c:pt>
                <c:pt idx="7">
                  <c:v>1Q22</c:v>
                </c:pt>
                <c:pt idx="8">
                  <c:v>2Q22</c:v>
                </c:pt>
                <c:pt idx="9">
                  <c:v>3Q22</c:v>
                </c:pt>
                <c:pt idx="10">
                  <c:v>4Q22</c:v>
                </c:pt>
                <c:pt idx="11">
                  <c:v>1Q23</c:v>
                </c:pt>
                <c:pt idx="12">
                  <c:v>2Q23</c:v>
                </c:pt>
                <c:pt idx="13">
                  <c:v>3Q23</c:v>
                </c:pt>
                <c:pt idx="14">
                  <c:v>4Q23</c:v>
                </c:pt>
                <c:pt idx="15">
                  <c:v>1Q24</c:v>
                </c:pt>
                <c:pt idx="16">
                  <c:v>2Q24</c:v>
                </c:pt>
                <c:pt idx="17">
                  <c:v>3Q24</c:v>
                </c:pt>
                <c:pt idx="18">
                  <c:v>4Q24</c:v>
                </c:pt>
                <c:pt idx="19">
                  <c:v>1Q25</c:v>
                </c:pt>
                <c:pt idx="20">
                  <c:v>2Q25</c:v>
                </c:pt>
                <c:pt idx="21">
                  <c:v>29 Oct.</c:v>
                </c:pt>
                <c:pt idx="22">
                  <c:v>25 Nov.</c:v>
                </c:pt>
                <c:pt idx="23">
                  <c:v>3Q25</c:v>
                </c:pt>
              </c:strCache>
            </c:strRef>
          </c:cat>
          <c:val>
            <c:numRef>
              <c:f>'SVF Indexes'!$F$17:$F$40</c:f>
              <c:numCache>
                <c:formatCode>0.0</c:formatCode>
                <c:ptCount val="24"/>
                <c:pt idx="0">
                  <c:v>100</c:v>
                </c:pt>
                <c:pt idx="1">
                  <c:v>100</c:v>
                </c:pt>
                <c:pt idx="2">
                  <c:v>95.726495726495727</c:v>
                </c:pt>
                <c:pt idx="3">
                  <c:v>93.756814744469068</c:v>
                </c:pt>
                <c:pt idx="4">
                  <c:v>92.506723881209481</c:v>
                </c:pt>
                <c:pt idx="5">
                  <c:v>104.44667497323532</c:v>
                </c:pt>
                <c:pt idx="6">
                  <c:v>98.453832966574282</c:v>
                </c:pt>
                <c:pt idx="7">
                  <c:v>78.594046917522817</c:v>
                </c:pt>
                <c:pt idx="8">
                  <c:v>68.901483490696947</c:v>
                </c:pt>
                <c:pt idx="9">
                  <c:v>64.588566203493016</c:v>
                </c:pt>
                <c:pt idx="10">
                  <c:v>61.662223398156762</c:v>
                </c:pt>
                <c:pt idx="11">
                  <c:v>62.276797053287886</c:v>
                </c:pt>
                <c:pt idx="12">
                  <c:v>58.193072656350978</c:v>
                </c:pt>
                <c:pt idx="13">
                  <c:v>61.568066325348482</c:v>
                </c:pt>
                <c:pt idx="14">
                  <c:v>61.057551679201318</c:v>
                </c:pt>
                <c:pt idx="15">
                  <c:v>56.298505362580322</c:v>
                </c:pt>
                <c:pt idx="16">
                  <c:v>59.336194500849054</c:v>
                </c:pt>
                <c:pt idx="17">
                  <c:v>58.039773444527981</c:v>
                </c:pt>
                <c:pt idx="18">
                  <c:v>60.376318269186918</c:v>
                </c:pt>
                <c:pt idx="19">
                  <c:v>68.287697904459691</c:v>
                </c:pt>
                <c:pt idx="20">
                  <c:v>81.445571403123878</c:v>
                </c:pt>
                <c:pt idx="23">
                  <c:v>116.69813215969988</c:v>
                </c:pt>
              </c:numCache>
            </c:numRef>
          </c:val>
          <c:smooth val="0"/>
          <c:extLst>
            <c:ext xmlns:c16="http://schemas.microsoft.com/office/drawing/2014/chart" uri="{C3380CC4-5D6E-409C-BE32-E72D297353CC}">
              <c16:uniqueId val="{00000000-6665-479A-A3B8-EB8821979290}"/>
            </c:ext>
          </c:extLst>
        </c:ser>
        <c:ser>
          <c:idx val="1"/>
          <c:order val="1"/>
          <c:spPr>
            <a:ln w="19050" cap="rnd">
              <a:solidFill>
                <a:srgbClr val="F97303"/>
              </a:solidFill>
              <a:round/>
            </a:ln>
            <a:effectLst/>
          </c:spPr>
          <c:marker>
            <c:symbol val="square"/>
            <c:size val="5"/>
            <c:spPr>
              <a:solidFill>
                <a:srgbClr val="F97303"/>
              </a:solidFill>
              <a:ln w="9525">
                <a:solidFill>
                  <a:srgbClr val="F97303"/>
                </a:solidFill>
              </a:ln>
              <a:effectLst/>
            </c:spPr>
          </c:marker>
          <c:cat>
            <c:strRef>
              <c:f>'SVF Indexes'!$B$17:$B$40</c:f>
              <c:strCache>
                <c:ptCount val="24"/>
                <c:pt idx="0">
                  <c:v>2Q20</c:v>
                </c:pt>
                <c:pt idx="1">
                  <c:v>3Q20</c:v>
                </c:pt>
                <c:pt idx="2">
                  <c:v>4Q20</c:v>
                </c:pt>
                <c:pt idx="3">
                  <c:v>1Q21</c:v>
                </c:pt>
                <c:pt idx="4">
                  <c:v>2Q21</c:v>
                </c:pt>
                <c:pt idx="5">
                  <c:v>3Q21</c:v>
                </c:pt>
                <c:pt idx="6">
                  <c:v>4Q21</c:v>
                </c:pt>
                <c:pt idx="7">
                  <c:v>1Q22</c:v>
                </c:pt>
                <c:pt idx="8">
                  <c:v>2Q22</c:v>
                </c:pt>
                <c:pt idx="9">
                  <c:v>3Q22</c:v>
                </c:pt>
                <c:pt idx="10">
                  <c:v>4Q22</c:v>
                </c:pt>
                <c:pt idx="11">
                  <c:v>1Q23</c:v>
                </c:pt>
                <c:pt idx="12">
                  <c:v>2Q23</c:v>
                </c:pt>
                <c:pt idx="13">
                  <c:v>3Q23</c:v>
                </c:pt>
                <c:pt idx="14">
                  <c:v>4Q23</c:v>
                </c:pt>
                <c:pt idx="15">
                  <c:v>1Q24</c:v>
                </c:pt>
                <c:pt idx="16">
                  <c:v>2Q24</c:v>
                </c:pt>
                <c:pt idx="17">
                  <c:v>3Q24</c:v>
                </c:pt>
                <c:pt idx="18">
                  <c:v>4Q24</c:v>
                </c:pt>
                <c:pt idx="19">
                  <c:v>1Q25</c:v>
                </c:pt>
                <c:pt idx="20">
                  <c:v>2Q25</c:v>
                </c:pt>
                <c:pt idx="21">
                  <c:v>29 Oct.</c:v>
                </c:pt>
                <c:pt idx="22">
                  <c:v>25 Nov.</c:v>
                </c:pt>
                <c:pt idx="23">
                  <c:v>3Q25</c:v>
                </c:pt>
              </c:strCache>
            </c:strRef>
          </c:cat>
          <c:val>
            <c:numRef>
              <c:f>'SVF Indexes'!$H$17:$H$40</c:f>
              <c:numCache>
                <c:formatCode>0.0</c:formatCode>
                <c:ptCount val="24"/>
                <c:pt idx="0">
                  <c:v>100</c:v>
                </c:pt>
                <c:pt idx="1">
                  <c:v>113.65606208217153</c:v>
                </c:pt>
                <c:pt idx="2">
                  <c:v>118.88786861911463</c:v>
                </c:pt>
                <c:pt idx="3">
                  <c:v>136.00432494845771</c:v>
                </c:pt>
                <c:pt idx="4">
                  <c:v>135.23190607545766</c:v>
                </c:pt>
                <c:pt idx="5">
                  <c:v>139.97105917689115</c:v>
                </c:pt>
                <c:pt idx="6">
                  <c:v>100.16162566301982</c:v>
                </c:pt>
                <c:pt idx="7">
                  <c:v>63.229166277844342</c:v>
                </c:pt>
                <c:pt idx="8">
                  <c:v>59.151571028817635</c:v>
                </c:pt>
                <c:pt idx="9">
                  <c:v>63.148477869477631</c:v>
                </c:pt>
                <c:pt idx="10">
                  <c:v>70.493113801139472</c:v>
                </c:pt>
                <c:pt idx="11">
                  <c:v>81.927102968860623</c:v>
                </c:pt>
                <c:pt idx="12">
                  <c:v>79.184505834823298</c:v>
                </c:pt>
                <c:pt idx="13">
                  <c:v>98.583753572499504</c:v>
                </c:pt>
                <c:pt idx="14">
                  <c:v>110.56713312903051</c:v>
                </c:pt>
                <c:pt idx="15">
                  <c:v>113.28117515170291</c:v>
                </c:pt>
                <c:pt idx="16">
                  <c:v>117.82871661260481</c:v>
                </c:pt>
                <c:pt idx="17">
                  <c:v>127.03602920957709</c:v>
                </c:pt>
                <c:pt idx="18">
                  <c:v>114.99809010475184</c:v>
                </c:pt>
                <c:pt idx="19">
                  <c:v>153.78700499807766</c:v>
                </c:pt>
                <c:pt idx="20">
                  <c:v>160.53696051680396</c:v>
                </c:pt>
                <c:pt idx="23">
                  <c:v>147.72137676696417</c:v>
                </c:pt>
              </c:numCache>
            </c:numRef>
          </c:val>
          <c:smooth val="0"/>
          <c:extLst>
            <c:ext xmlns:c16="http://schemas.microsoft.com/office/drawing/2014/chart" uri="{C3380CC4-5D6E-409C-BE32-E72D297353CC}">
              <c16:uniqueId val="{00000001-6665-479A-A3B8-EB8821979290}"/>
            </c:ext>
          </c:extLst>
        </c:ser>
        <c:dLbls>
          <c:showLegendKey val="0"/>
          <c:showVal val="0"/>
          <c:showCatName val="0"/>
          <c:showSerName val="0"/>
          <c:showPercent val="0"/>
          <c:showBubbleSize val="0"/>
        </c:dLbls>
        <c:marker val="1"/>
        <c:smooth val="0"/>
        <c:axId val="98792607"/>
        <c:axId val="98795007"/>
      </c:lineChart>
      <c:catAx>
        <c:axId val="9879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98795007"/>
        <c:crosses val="autoZero"/>
        <c:auto val="1"/>
        <c:lblAlgn val="ctr"/>
        <c:lblOffset val="100"/>
        <c:noMultiLvlLbl val="0"/>
      </c:catAx>
      <c:valAx>
        <c:axId val="987950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98792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rgbClr val="2EB2A5"/>
              </a:solidFill>
              <a:round/>
            </a:ln>
            <a:effectLst/>
          </c:spPr>
          <c:marker>
            <c:symbol val="square"/>
            <c:size val="5"/>
            <c:spPr>
              <a:solidFill>
                <a:srgbClr val="2EB2A5"/>
              </a:solidFill>
              <a:ln w="9525">
                <a:solidFill>
                  <a:srgbClr val="2EB2A5"/>
                </a:solidFill>
              </a:ln>
              <a:effectLst/>
            </c:spPr>
          </c:marker>
          <c:cat>
            <c:strRef>
              <c:f>'SVF Indexes'!$B$17:$B$40</c:f>
              <c:strCache>
                <c:ptCount val="24"/>
                <c:pt idx="0">
                  <c:v>2Q20</c:v>
                </c:pt>
                <c:pt idx="1">
                  <c:v>3Q20</c:v>
                </c:pt>
                <c:pt idx="2">
                  <c:v>4Q20</c:v>
                </c:pt>
                <c:pt idx="3">
                  <c:v>1Q21</c:v>
                </c:pt>
                <c:pt idx="4">
                  <c:v>2Q21</c:v>
                </c:pt>
                <c:pt idx="5">
                  <c:v>3Q21</c:v>
                </c:pt>
                <c:pt idx="6">
                  <c:v>4Q21</c:v>
                </c:pt>
                <c:pt idx="7">
                  <c:v>1Q22</c:v>
                </c:pt>
                <c:pt idx="8">
                  <c:v>2Q22</c:v>
                </c:pt>
                <c:pt idx="9">
                  <c:v>3Q22</c:v>
                </c:pt>
                <c:pt idx="10">
                  <c:v>4Q22</c:v>
                </c:pt>
                <c:pt idx="11">
                  <c:v>1Q23</c:v>
                </c:pt>
                <c:pt idx="12">
                  <c:v>2Q23</c:v>
                </c:pt>
                <c:pt idx="13">
                  <c:v>3Q23</c:v>
                </c:pt>
                <c:pt idx="14">
                  <c:v>4Q23</c:v>
                </c:pt>
                <c:pt idx="15">
                  <c:v>1Q24</c:v>
                </c:pt>
                <c:pt idx="16">
                  <c:v>2Q24</c:v>
                </c:pt>
                <c:pt idx="17">
                  <c:v>3Q24</c:v>
                </c:pt>
                <c:pt idx="18">
                  <c:v>4Q24</c:v>
                </c:pt>
                <c:pt idx="19">
                  <c:v>1Q25</c:v>
                </c:pt>
                <c:pt idx="20">
                  <c:v>2Q25</c:v>
                </c:pt>
                <c:pt idx="21">
                  <c:v>29 Oct.</c:v>
                </c:pt>
                <c:pt idx="22">
                  <c:v>25 Nov.</c:v>
                </c:pt>
                <c:pt idx="23">
                  <c:v>3Q25</c:v>
                </c:pt>
              </c:strCache>
            </c:strRef>
          </c:cat>
          <c:val>
            <c:numRef>
              <c:f>'SVF Indexes'!$G$17:$G$40</c:f>
              <c:numCache>
                <c:formatCode>0.0</c:formatCode>
                <c:ptCount val="24"/>
                <c:pt idx="0">
                  <c:v>100</c:v>
                </c:pt>
                <c:pt idx="1">
                  <c:v>100</c:v>
                </c:pt>
                <c:pt idx="2">
                  <c:v>95.726495726495727</c:v>
                </c:pt>
                <c:pt idx="3">
                  <c:v>93.574365278510399</c:v>
                </c:pt>
                <c:pt idx="4">
                  <c:v>92.220027717875624</c:v>
                </c:pt>
                <c:pt idx="5">
                  <c:v>104.92900263782229</c:v>
                </c:pt>
                <c:pt idx="6">
                  <c:v>97.358789917202799</c:v>
                </c:pt>
                <c:pt idx="7">
                  <c:v>73.812395505524094</c:v>
                </c:pt>
                <c:pt idx="8">
                  <c:v>62.283083510800118</c:v>
                </c:pt>
                <c:pt idx="9">
                  <c:v>56.889318651224421</c:v>
                </c:pt>
                <c:pt idx="10">
                  <c:v>53.081841307774141</c:v>
                </c:pt>
                <c:pt idx="11">
                  <c:v>53.088374856868818</c:v>
                </c:pt>
                <c:pt idx="12">
                  <c:v>48.032811106661576</c:v>
                </c:pt>
                <c:pt idx="13">
                  <c:v>50.682944013231136</c:v>
                </c:pt>
                <c:pt idx="14">
                  <c:v>49.774077720253864</c:v>
                </c:pt>
                <c:pt idx="15">
                  <c:v>44.88389364518904</c:v>
                </c:pt>
                <c:pt idx="16">
                  <c:v>47.231480873117633</c:v>
                </c:pt>
                <c:pt idx="17">
                  <c:v>45.661159478729687</c:v>
                </c:pt>
                <c:pt idx="18">
                  <c:v>47.35668391188311</c:v>
                </c:pt>
                <c:pt idx="19">
                  <c:v>52.780540506285917</c:v>
                </c:pt>
                <c:pt idx="20">
                  <c:v>62.447722732720862</c:v>
                </c:pt>
                <c:pt idx="23">
                  <c:v>90.036809312400194</c:v>
                </c:pt>
              </c:numCache>
            </c:numRef>
          </c:val>
          <c:smooth val="0"/>
          <c:extLst>
            <c:ext xmlns:c16="http://schemas.microsoft.com/office/drawing/2014/chart" uri="{C3380CC4-5D6E-409C-BE32-E72D297353CC}">
              <c16:uniqueId val="{00000000-3FDF-47F0-AC90-7BDB9632BE3B}"/>
            </c:ext>
          </c:extLst>
        </c:ser>
        <c:ser>
          <c:idx val="1"/>
          <c:order val="1"/>
          <c:spPr>
            <a:ln w="19050" cap="rnd">
              <a:solidFill>
                <a:srgbClr val="F97303"/>
              </a:solidFill>
              <a:round/>
            </a:ln>
            <a:effectLst/>
          </c:spPr>
          <c:marker>
            <c:symbol val="square"/>
            <c:size val="5"/>
            <c:spPr>
              <a:solidFill>
                <a:srgbClr val="F97303"/>
              </a:solidFill>
              <a:ln w="9525">
                <a:solidFill>
                  <a:srgbClr val="F97303"/>
                </a:solidFill>
              </a:ln>
              <a:effectLst/>
            </c:spPr>
          </c:marker>
          <c:cat>
            <c:strRef>
              <c:f>'SVF Indexes'!$B$17:$B$40</c:f>
              <c:strCache>
                <c:ptCount val="24"/>
                <c:pt idx="0">
                  <c:v>2Q20</c:v>
                </c:pt>
                <c:pt idx="1">
                  <c:v>3Q20</c:v>
                </c:pt>
                <c:pt idx="2">
                  <c:v>4Q20</c:v>
                </c:pt>
                <c:pt idx="3">
                  <c:v>1Q21</c:v>
                </c:pt>
                <c:pt idx="4">
                  <c:v>2Q21</c:v>
                </c:pt>
                <c:pt idx="5">
                  <c:v>3Q21</c:v>
                </c:pt>
                <c:pt idx="6">
                  <c:v>4Q21</c:v>
                </c:pt>
                <c:pt idx="7">
                  <c:v>1Q22</c:v>
                </c:pt>
                <c:pt idx="8">
                  <c:v>2Q22</c:v>
                </c:pt>
                <c:pt idx="9">
                  <c:v>3Q22</c:v>
                </c:pt>
                <c:pt idx="10">
                  <c:v>4Q22</c:v>
                </c:pt>
                <c:pt idx="11">
                  <c:v>1Q23</c:v>
                </c:pt>
                <c:pt idx="12">
                  <c:v>2Q23</c:v>
                </c:pt>
                <c:pt idx="13">
                  <c:v>3Q23</c:v>
                </c:pt>
                <c:pt idx="14">
                  <c:v>4Q23</c:v>
                </c:pt>
                <c:pt idx="15">
                  <c:v>1Q24</c:v>
                </c:pt>
                <c:pt idx="16">
                  <c:v>2Q24</c:v>
                </c:pt>
                <c:pt idx="17">
                  <c:v>3Q24</c:v>
                </c:pt>
                <c:pt idx="18">
                  <c:v>4Q24</c:v>
                </c:pt>
                <c:pt idx="19">
                  <c:v>1Q25</c:v>
                </c:pt>
                <c:pt idx="20">
                  <c:v>2Q25</c:v>
                </c:pt>
                <c:pt idx="21">
                  <c:v>29 Oct.</c:v>
                </c:pt>
                <c:pt idx="22">
                  <c:v>25 Nov.</c:v>
                </c:pt>
                <c:pt idx="23">
                  <c:v>3Q25</c:v>
                </c:pt>
              </c:strCache>
            </c:strRef>
          </c:cat>
          <c:val>
            <c:numRef>
              <c:f>'SVF Indexes'!$H$17:$H$40</c:f>
              <c:numCache>
                <c:formatCode>0.0</c:formatCode>
                <c:ptCount val="24"/>
                <c:pt idx="0">
                  <c:v>100</c:v>
                </c:pt>
                <c:pt idx="1">
                  <c:v>113.65606208217153</c:v>
                </c:pt>
                <c:pt idx="2">
                  <c:v>118.88786861911463</c:v>
                </c:pt>
                <c:pt idx="3">
                  <c:v>136.00432494845771</c:v>
                </c:pt>
                <c:pt idx="4">
                  <c:v>135.23190607545766</c:v>
                </c:pt>
                <c:pt idx="5">
                  <c:v>139.97105917689115</c:v>
                </c:pt>
                <c:pt idx="6">
                  <c:v>100.16162566301982</c:v>
                </c:pt>
                <c:pt idx="7">
                  <c:v>63.229166277844342</c:v>
                </c:pt>
                <c:pt idx="8">
                  <c:v>59.151571028817635</c:v>
                </c:pt>
                <c:pt idx="9">
                  <c:v>63.148477869477631</c:v>
                </c:pt>
                <c:pt idx="10">
                  <c:v>70.493113801139472</c:v>
                </c:pt>
                <c:pt idx="11">
                  <c:v>81.927102968860623</c:v>
                </c:pt>
                <c:pt idx="12">
                  <c:v>79.184505834823298</c:v>
                </c:pt>
                <c:pt idx="13">
                  <c:v>98.583753572499504</c:v>
                </c:pt>
                <c:pt idx="14">
                  <c:v>110.56713312903051</c:v>
                </c:pt>
                <c:pt idx="15">
                  <c:v>113.28117515170291</c:v>
                </c:pt>
                <c:pt idx="16">
                  <c:v>117.82871661260481</c:v>
                </c:pt>
                <c:pt idx="17">
                  <c:v>127.03602920957709</c:v>
                </c:pt>
                <c:pt idx="18">
                  <c:v>114.99809010475184</c:v>
                </c:pt>
                <c:pt idx="19">
                  <c:v>153.78700499807766</c:v>
                </c:pt>
                <c:pt idx="20">
                  <c:v>160.53696051680396</c:v>
                </c:pt>
                <c:pt idx="23">
                  <c:v>147.72137676696417</c:v>
                </c:pt>
              </c:numCache>
            </c:numRef>
          </c:val>
          <c:smooth val="0"/>
          <c:extLst>
            <c:ext xmlns:c16="http://schemas.microsoft.com/office/drawing/2014/chart" uri="{C3380CC4-5D6E-409C-BE32-E72D297353CC}">
              <c16:uniqueId val="{00000001-3FDF-47F0-AC90-7BDB9632BE3B}"/>
            </c:ext>
          </c:extLst>
        </c:ser>
        <c:dLbls>
          <c:showLegendKey val="0"/>
          <c:showVal val="0"/>
          <c:showCatName val="0"/>
          <c:showSerName val="0"/>
          <c:showPercent val="0"/>
          <c:showBubbleSize val="0"/>
        </c:dLbls>
        <c:marker val="1"/>
        <c:smooth val="0"/>
        <c:axId val="98792607"/>
        <c:axId val="98795007"/>
      </c:lineChart>
      <c:catAx>
        <c:axId val="9879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98795007"/>
        <c:crosses val="autoZero"/>
        <c:auto val="1"/>
        <c:lblAlgn val="ctr"/>
        <c:lblOffset val="100"/>
        <c:noMultiLvlLbl val="0"/>
      </c:catAx>
      <c:valAx>
        <c:axId val="987950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98792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rgbClr val="023D67"/>
              </a:solidFill>
              <a:round/>
            </a:ln>
            <a:effectLst/>
          </c:spPr>
          <c:marker>
            <c:symbol val="square"/>
            <c:size val="5"/>
            <c:spPr>
              <a:solidFill>
                <a:srgbClr val="023D67"/>
              </a:solidFill>
              <a:ln w="9525">
                <a:solidFill>
                  <a:srgbClr val="023D67"/>
                </a:solidFill>
              </a:ln>
              <a:effectLst/>
            </c:spPr>
          </c:marker>
          <c:cat>
            <c:strRef>
              <c:f>'SVF Indexes'!$B$17:$B$34</c:f>
              <c:strCache>
                <c:ptCount val="18"/>
                <c:pt idx="0">
                  <c:v>2Q20</c:v>
                </c:pt>
                <c:pt idx="1">
                  <c:v>3Q20</c:v>
                </c:pt>
                <c:pt idx="2">
                  <c:v>4Q20</c:v>
                </c:pt>
                <c:pt idx="3">
                  <c:v>1Q21</c:v>
                </c:pt>
                <c:pt idx="4">
                  <c:v>2Q21</c:v>
                </c:pt>
                <c:pt idx="5">
                  <c:v>3Q21</c:v>
                </c:pt>
                <c:pt idx="6">
                  <c:v>4Q21</c:v>
                </c:pt>
                <c:pt idx="7">
                  <c:v>1Q22</c:v>
                </c:pt>
                <c:pt idx="8">
                  <c:v>2Q22</c:v>
                </c:pt>
                <c:pt idx="9">
                  <c:v>3Q22</c:v>
                </c:pt>
                <c:pt idx="10">
                  <c:v>4Q22</c:v>
                </c:pt>
                <c:pt idx="11">
                  <c:v>1Q23</c:v>
                </c:pt>
                <c:pt idx="12">
                  <c:v>2Q23</c:v>
                </c:pt>
                <c:pt idx="13">
                  <c:v>3Q23</c:v>
                </c:pt>
                <c:pt idx="14">
                  <c:v>4Q23</c:v>
                </c:pt>
                <c:pt idx="15">
                  <c:v>1Q24</c:v>
                </c:pt>
                <c:pt idx="16">
                  <c:v>2Q24</c:v>
                </c:pt>
                <c:pt idx="17">
                  <c:v>3Q24</c:v>
                </c:pt>
              </c:strCache>
            </c:strRef>
          </c:cat>
          <c:val>
            <c:numRef>
              <c:f>'SVF Indexes'!$F$17:$F$34</c:f>
              <c:numCache>
                <c:formatCode>0.0</c:formatCode>
                <c:ptCount val="18"/>
                <c:pt idx="0">
                  <c:v>100</c:v>
                </c:pt>
                <c:pt idx="1">
                  <c:v>100</c:v>
                </c:pt>
                <c:pt idx="2">
                  <c:v>95.726495726495727</c:v>
                </c:pt>
                <c:pt idx="3">
                  <c:v>93.756814744469068</c:v>
                </c:pt>
                <c:pt idx="4">
                  <c:v>92.506723881209481</c:v>
                </c:pt>
                <c:pt idx="5">
                  <c:v>104.44667497323532</c:v>
                </c:pt>
                <c:pt idx="6">
                  <c:v>98.453832966574282</c:v>
                </c:pt>
                <c:pt idx="7">
                  <c:v>78.594046917522817</c:v>
                </c:pt>
                <c:pt idx="8">
                  <c:v>68.901483490696947</c:v>
                </c:pt>
                <c:pt idx="9">
                  <c:v>64.588566203493016</c:v>
                </c:pt>
                <c:pt idx="10">
                  <c:v>61.662223398156762</c:v>
                </c:pt>
                <c:pt idx="11">
                  <c:v>62.276797053287886</c:v>
                </c:pt>
                <c:pt idx="12">
                  <c:v>58.193072656350978</c:v>
                </c:pt>
                <c:pt idx="13">
                  <c:v>61.568066325348482</c:v>
                </c:pt>
                <c:pt idx="14">
                  <c:v>61.057551679201318</c:v>
                </c:pt>
                <c:pt idx="15">
                  <c:v>56.298505362580322</c:v>
                </c:pt>
                <c:pt idx="16">
                  <c:v>59.336194500849054</c:v>
                </c:pt>
                <c:pt idx="17">
                  <c:v>58.039773444527981</c:v>
                </c:pt>
              </c:numCache>
            </c:numRef>
          </c:val>
          <c:smooth val="0"/>
          <c:extLst>
            <c:ext xmlns:c16="http://schemas.microsoft.com/office/drawing/2014/chart" uri="{C3380CC4-5D6E-409C-BE32-E72D297353CC}">
              <c16:uniqueId val="{00000000-B88D-405E-AA85-39069C221048}"/>
            </c:ext>
          </c:extLst>
        </c:ser>
        <c:ser>
          <c:idx val="1"/>
          <c:order val="1"/>
          <c:spPr>
            <a:ln w="19050" cap="rnd">
              <a:solidFill>
                <a:srgbClr val="9D9D9C"/>
              </a:solidFill>
              <a:round/>
            </a:ln>
            <a:effectLst/>
          </c:spPr>
          <c:marker>
            <c:symbol val="square"/>
            <c:size val="5"/>
            <c:spPr>
              <a:solidFill>
                <a:srgbClr val="9D9D9C"/>
              </a:solidFill>
              <a:ln w="9525">
                <a:solidFill>
                  <a:srgbClr val="9D9D9C"/>
                </a:solidFill>
              </a:ln>
              <a:effectLst/>
            </c:spPr>
          </c:marker>
          <c:cat>
            <c:strRef>
              <c:f>'SVF Indexes'!$B$17:$B$34</c:f>
              <c:strCache>
                <c:ptCount val="18"/>
                <c:pt idx="0">
                  <c:v>2Q20</c:v>
                </c:pt>
                <c:pt idx="1">
                  <c:v>3Q20</c:v>
                </c:pt>
                <c:pt idx="2">
                  <c:v>4Q20</c:v>
                </c:pt>
                <c:pt idx="3">
                  <c:v>1Q21</c:v>
                </c:pt>
                <c:pt idx="4">
                  <c:v>2Q21</c:v>
                </c:pt>
                <c:pt idx="5">
                  <c:v>3Q21</c:v>
                </c:pt>
                <c:pt idx="6">
                  <c:v>4Q21</c:v>
                </c:pt>
                <c:pt idx="7">
                  <c:v>1Q22</c:v>
                </c:pt>
                <c:pt idx="8">
                  <c:v>2Q22</c:v>
                </c:pt>
                <c:pt idx="9">
                  <c:v>3Q22</c:v>
                </c:pt>
                <c:pt idx="10">
                  <c:v>4Q22</c:v>
                </c:pt>
                <c:pt idx="11">
                  <c:v>1Q23</c:v>
                </c:pt>
                <c:pt idx="12">
                  <c:v>2Q23</c:v>
                </c:pt>
                <c:pt idx="13">
                  <c:v>3Q23</c:v>
                </c:pt>
                <c:pt idx="14">
                  <c:v>4Q23</c:v>
                </c:pt>
                <c:pt idx="15">
                  <c:v>1Q24</c:v>
                </c:pt>
                <c:pt idx="16">
                  <c:v>2Q24</c:v>
                </c:pt>
                <c:pt idx="17">
                  <c:v>3Q24</c:v>
                </c:pt>
              </c:strCache>
            </c:strRef>
          </c:cat>
          <c:val>
            <c:numRef>
              <c:f>'SVF Indexes'!$G$17:$G$34</c:f>
              <c:numCache>
                <c:formatCode>0.0</c:formatCode>
                <c:ptCount val="18"/>
                <c:pt idx="0">
                  <c:v>100</c:v>
                </c:pt>
                <c:pt idx="1">
                  <c:v>100</c:v>
                </c:pt>
                <c:pt idx="2">
                  <c:v>95.726495726495727</c:v>
                </c:pt>
                <c:pt idx="3">
                  <c:v>93.574365278510399</c:v>
                </c:pt>
                <c:pt idx="4">
                  <c:v>92.220027717875624</c:v>
                </c:pt>
                <c:pt idx="5">
                  <c:v>104.92900263782229</c:v>
                </c:pt>
                <c:pt idx="6">
                  <c:v>97.358789917202799</c:v>
                </c:pt>
                <c:pt idx="7">
                  <c:v>73.812395505524094</c:v>
                </c:pt>
                <c:pt idx="8">
                  <c:v>62.283083510800118</c:v>
                </c:pt>
                <c:pt idx="9">
                  <c:v>56.889318651224421</c:v>
                </c:pt>
                <c:pt idx="10">
                  <c:v>53.081841307774141</c:v>
                </c:pt>
                <c:pt idx="11">
                  <c:v>53.088374856868818</c:v>
                </c:pt>
                <c:pt idx="12">
                  <c:v>48.032811106661576</c:v>
                </c:pt>
                <c:pt idx="13">
                  <c:v>50.682944013231136</c:v>
                </c:pt>
                <c:pt idx="14">
                  <c:v>49.774077720253864</c:v>
                </c:pt>
                <c:pt idx="15">
                  <c:v>44.88389364518904</c:v>
                </c:pt>
                <c:pt idx="16">
                  <c:v>47.231480873117633</c:v>
                </c:pt>
                <c:pt idx="17">
                  <c:v>45.661159478729687</c:v>
                </c:pt>
              </c:numCache>
            </c:numRef>
          </c:val>
          <c:smooth val="0"/>
          <c:extLst>
            <c:ext xmlns:c16="http://schemas.microsoft.com/office/drawing/2014/chart" uri="{C3380CC4-5D6E-409C-BE32-E72D297353CC}">
              <c16:uniqueId val="{00000001-B88D-405E-AA85-39069C221048}"/>
            </c:ext>
          </c:extLst>
        </c:ser>
        <c:dLbls>
          <c:showLegendKey val="0"/>
          <c:showVal val="0"/>
          <c:showCatName val="0"/>
          <c:showSerName val="0"/>
          <c:showPercent val="0"/>
          <c:showBubbleSize val="0"/>
        </c:dLbls>
        <c:marker val="1"/>
        <c:smooth val="0"/>
        <c:axId val="151904335"/>
        <c:axId val="151903375"/>
      </c:lineChart>
      <c:catAx>
        <c:axId val="15190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51903375"/>
        <c:crosses val="autoZero"/>
        <c:auto val="1"/>
        <c:lblAlgn val="ctr"/>
        <c:lblOffset val="100"/>
        <c:noMultiLvlLbl val="0"/>
      </c:catAx>
      <c:valAx>
        <c:axId val="15190337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51904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 discount-to-NAV</c:v>
          </c:tx>
          <c:spPr>
            <a:ln w="19050" cap="rnd">
              <a:solidFill>
                <a:srgbClr val="023D67"/>
              </a:solidFill>
              <a:round/>
            </a:ln>
            <a:effectLst/>
          </c:spPr>
          <c:marker>
            <c:symbol val="none"/>
          </c:marker>
          <c:dLbls>
            <c:dLbl>
              <c:idx val="25"/>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00-4568-9182-52F7B9774C3B}"/>
                </c:ext>
              </c:extLst>
            </c:dLbl>
            <c:dLbl>
              <c:idx val="26"/>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D00-4568-9182-52F7B9774C3B}"/>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'SVF Indexes'!$A$15:$A$41</c:f>
              <c:strCache>
                <c:ptCount val="27"/>
                <c:pt idx="0">
                  <c:v>4Q19</c:v>
                </c:pt>
                <c:pt idx="1">
                  <c:v>1Q20</c:v>
                </c:pt>
                <c:pt idx="2">
                  <c:v>2Q20</c:v>
                </c:pt>
                <c:pt idx="3">
                  <c:v>3Q20</c:v>
                </c:pt>
                <c:pt idx="4">
                  <c:v>4Q20</c:v>
                </c:pt>
                <c:pt idx="5">
                  <c:v>1Q21</c:v>
                </c:pt>
                <c:pt idx="6">
                  <c:v>2Q21</c:v>
                </c:pt>
                <c:pt idx="7">
                  <c:v>3Q21</c:v>
                </c:pt>
                <c:pt idx="8">
                  <c:v>4Q21</c:v>
                </c:pt>
                <c:pt idx="9">
                  <c:v>1Q22</c:v>
                </c:pt>
                <c:pt idx="10">
                  <c:v>2Q22</c:v>
                </c:pt>
                <c:pt idx="11">
                  <c:v>3Q22</c:v>
                </c:pt>
                <c:pt idx="12">
                  <c:v>4Q22</c:v>
                </c:pt>
                <c:pt idx="13">
                  <c:v>1Q23</c:v>
                </c:pt>
                <c:pt idx="14">
                  <c:v>2Q23</c:v>
                </c:pt>
                <c:pt idx="15">
                  <c:v>3Q23</c:v>
                </c:pt>
                <c:pt idx="16">
                  <c:v>4Q23</c:v>
                </c:pt>
                <c:pt idx="17">
                  <c:v>1Q24</c:v>
                </c:pt>
                <c:pt idx="18">
                  <c:v>2Q24</c:v>
                </c:pt>
                <c:pt idx="19">
                  <c:v>3Q24</c:v>
                </c:pt>
                <c:pt idx="20">
                  <c:v>4Q24</c:v>
                </c:pt>
                <c:pt idx="21">
                  <c:v>1Q25</c:v>
                </c:pt>
                <c:pt idx="22">
                  <c:v>2Q25</c:v>
                </c:pt>
                <c:pt idx="23">
                  <c:v>29 Oct.</c:v>
                </c:pt>
                <c:pt idx="24">
                  <c:v>25 Nov.</c:v>
                </c:pt>
                <c:pt idx="25">
                  <c:v>3Q25E</c:v>
                </c:pt>
                <c:pt idx="26">
                  <c:v>4Q25E</c:v>
                </c:pt>
              </c:strCache>
            </c:strRef>
          </c:cat>
          <c:val>
            <c:numRef>
              <c:f>'SVF Indexes'!$I$15:$I$41</c:f>
              <c:numCache>
                <c:formatCode>0%</c:formatCode>
                <c:ptCount val="27"/>
                <c:pt idx="0">
                  <c:v>0.63781163434903054</c:v>
                </c:pt>
                <c:pt idx="1">
                  <c:v>0.52756947507719454</c:v>
                </c:pt>
                <c:pt idx="2">
                  <c:v>0.56310505557547508</c:v>
                </c:pt>
                <c:pt idx="3">
                  <c:v>0.39214463840399005</c:v>
                </c:pt>
                <c:pt idx="4">
                  <c:v>0.38441363806669171</c:v>
                </c:pt>
                <c:pt idx="5">
                  <c:v>0.5066666666666666</c:v>
                </c:pt>
                <c:pt idx="6">
                  <c:v>0.46864528482527523</c:v>
                </c:pt>
                <c:pt idx="7">
                  <c:v>0.51989664082687326</c:v>
                </c:pt>
                <c:pt idx="8">
                  <c:v>0.49512459371614281</c:v>
                </c:pt>
                <c:pt idx="9">
                  <c:v>0.54538087520259326</c:v>
                </c:pt>
                <c:pt idx="10">
                  <c:v>0.54154213986849964</c:v>
                </c:pt>
                <c:pt idx="11">
                  <c:v>0.404332129963899</c:v>
                </c:pt>
                <c:pt idx="12">
                  <c:v>0.46317280453257792</c:v>
                </c:pt>
                <c:pt idx="13">
                  <c:v>0.36270096463022505</c:v>
                </c:pt>
                <c:pt idx="14">
                  <c:v>0.43479585618525274</c:v>
                </c:pt>
                <c:pt idx="15">
                  <c:v>0.52053014553014554</c:v>
                </c:pt>
                <c:pt idx="16">
                  <c:v>0.52717782577393801</c:v>
                </c:pt>
                <c:pt idx="17">
                  <c:v>0.56691239013325756</c:v>
                </c:pt>
                <c:pt idx="18">
                  <c:v>0.57876594277835225</c:v>
                </c:pt>
                <c:pt idx="19">
                  <c:v>0.54856850715746419</c:v>
                </c:pt>
                <c:pt idx="20">
                  <c:v>0.58093385214007776</c:v>
                </c:pt>
                <c:pt idx="21">
                  <c:v>0.53672839506172831</c:v>
                </c:pt>
                <c:pt idx="22">
                  <c:v>0.20075075075075077</c:v>
                </c:pt>
                <c:pt idx="23">
                  <c:v>0.05</c:v>
                </c:pt>
                <c:pt idx="24">
                  <c:v>0.35</c:v>
                </c:pt>
                <c:pt idx="25">
                  <c:v>0.19036845507433753</c:v>
                </c:pt>
                <c:pt idx="26">
                  <c:v>0.29878252216738399</c:v>
                </c:pt>
              </c:numCache>
            </c:numRef>
          </c:val>
          <c:smooth val="0"/>
          <c:extLst>
            <c:ext xmlns:c16="http://schemas.microsoft.com/office/drawing/2014/chart" uri="{C3380CC4-5D6E-409C-BE32-E72D297353CC}">
              <c16:uniqueId val="{00000000-01BE-4736-AE12-9E49551EA9D2}"/>
            </c:ext>
          </c:extLst>
        </c:ser>
        <c:ser>
          <c:idx val="1"/>
          <c:order val="1"/>
          <c:tx>
            <c:v>Post-Covid upper</c:v>
          </c:tx>
          <c:spPr>
            <a:ln w="19050" cap="rnd">
              <a:solidFill>
                <a:srgbClr val="2EB2A5"/>
              </a:solidFill>
              <a:prstDash val="dash"/>
              <a:round/>
            </a:ln>
            <a:effectLst/>
          </c:spPr>
          <c:marker>
            <c:symbol val="none"/>
          </c:marker>
          <c:cat>
            <c:strRef>
              <c:f>'SVF Indexes'!$A$15:$A$41</c:f>
              <c:strCache>
                <c:ptCount val="27"/>
                <c:pt idx="0">
                  <c:v>4Q19</c:v>
                </c:pt>
                <c:pt idx="1">
                  <c:v>1Q20</c:v>
                </c:pt>
                <c:pt idx="2">
                  <c:v>2Q20</c:v>
                </c:pt>
                <c:pt idx="3">
                  <c:v>3Q20</c:v>
                </c:pt>
                <c:pt idx="4">
                  <c:v>4Q20</c:v>
                </c:pt>
                <c:pt idx="5">
                  <c:v>1Q21</c:v>
                </c:pt>
                <c:pt idx="6">
                  <c:v>2Q21</c:v>
                </c:pt>
                <c:pt idx="7">
                  <c:v>3Q21</c:v>
                </c:pt>
                <c:pt idx="8">
                  <c:v>4Q21</c:v>
                </c:pt>
                <c:pt idx="9">
                  <c:v>1Q22</c:v>
                </c:pt>
                <c:pt idx="10">
                  <c:v>2Q22</c:v>
                </c:pt>
                <c:pt idx="11">
                  <c:v>3Q22</c:v>
                </c:pt>
                <c:pt idx="12">
                  <c:v>4Q22</c:v>
                </c:pt>
                <c:pt idx="13">
                  <c:v>1Q23</c:v>
                </c:pt>
                <c:pt idx="14">
                  <c:v>2Q23</c:v>
                </c:pt>
                <c:pt idx="15">
                  <c:v>3Q23</c:v>
                </c:pt>
                <c:pt idx="16">
                  <c:v>4Q23</c:v>
                </c:pt>
                <c:pt idx="17">
                  <c:v>1Q24</c:v>
                </c:pt>
                <c:pt idx="18">
                  <c:v>2Q24</c:v>
                </c:pt>
                <c:pt idx="19">
                  <c:v>3Q24</c:v>
                </c:pt>
                <c:pt idx="20">
                  <c:v>4Q24</c:v>
                </c:pt>
                <c:pt idx="21">
                  <c:v>1Q25</c:v>
                </c:pt>
                <c:pt idx="22">
                  <c:v>2Q25</c:v>
                </c:pt>
                <c:pt idx="23">
                  <c:v>29 Oct.</c:v>
                </c:pt>
                <c:pt idx="24">
                  <c:v>25 Nov.</c:v>
                </c:pt>
                <c:pt idx="25">
                  <c:v>3Q25E</c:v>
                </c:pt>
                <c:pt idx="26">
                  <c:v>4Q25E</c:v>
                </c:pt>
              </c:strCache>
            </c:strRef>
          </c:cat>
          <c:val>
            <c:numRef>
              <c:f>'SVF Indexes'!$L$15:$L$41</c:f>
              <c:numCache>
                <c:formatCode>0%</c:formatCode>
                <c:ptCount val="27"/>
                <c:pt idx="0">
                  <c:v>0.6</c:v>
                </c:pt>
                <c:pt idx="1">
                  <c:v>0.6</c:v>
                </c:pt>
                <c:pt idx="2">
                  <c:v>0.6</c:v>
                </c:pt>
                <c:pt idx="3">
                  <c:v>0.6</c:v>
                </c:pt>
                <c:pt idx="4">
                  <c:v>0.6</c:v>
                </c:pt>
                <c:pt idx="5">
                  <c:v>0.6</c:v>
                </c:pt>
                <c:pt idx="6">
                  <c:v>0.6</c:v>
                </c:pt>
                <c:pt idx="7">
                  <c:v>0.6</c:v>
                </c:pt>
                <c:pt idx="8">
                  <c:v>0.6</c:v>
                </c:pt>
                <c:pt idx="9">
                  <c:v>0.6</c:v>
                </c:pt>
                <c:pt idx="10">
                  <c:v>0.6</c:v>
                </c:pt>
                <c:pt idx="11">
                  <c:v>0.6</c:v>
                </c:pt>
                <c:pt idx="12">
                  <c:v>0.6</c:v>
                </c:pt>
                <c:pt idx="13">
                  <c:v>0.6</c:v>
                </c:pt>
                <c:pt idx="14">
                  <c:v>0.6</c:v>
                </c:pt>
                <c:pt idx="15">
                  <c:v>0.6</c:v>
                </c:pt>
                <c:pt idx="16">
                  <c:v>0.6</c:v>
                </c:pt>
                <c:pt idx="17">
                  <c:v>0.6</c:v>
                </c:pt>
                <c:pt idx="18">
                  <c:v>0.6</c:v>
                </c:pt>
                <c:pt idx="19">
                  <c:v>0.6</c:v>
                </c:pt>
                <c:pt idx="20">
                  <c:v>0.6</c:v>
                </c:pt>
                <c:pt idx="21">
                  <c:v>0.6</c:v>
                </c:pt>
                <c:pt idx="22">
                  <c:v>0.6</c:v>
                </c:pt>
                <c:pt idx="23">
                  <c:v>0.6</c:v>
                </c:pt>
                <c:pt idx="24">
                  <c:v>0.6</c:v>
                </c:pt>
                <c:pt idx="25">
                  <c:v>0.6</c:v>
                </c:pt>
                <c:pt idx="26">
                  <c:v>0.6</c:v>
                </c:pt>
              </c:numCache>
            </c:numRef>
          </c:val>
          <c:smooth val="0"/>
          <c:extLst>
            <c:ext xmlns:c16="http://schemas.microsoft.com/office/drawing/2014/chart" uri="{C3380CC4-5D6E-409C-BE32-E72D297353CC}">
              <c16:uniqueId val="{00000003-01BE-4736-AE12-9E49551EA9D2}"/>
            </c:ext>
          </c:extLst>
        </c:ser>
        <c:ser>
          <c:idx val="2"/>
          <c:order val="2"/>
          <c:tx>
            <c:v>Post-Covid lower</c:v>
          </c:tx>
          <c:spPr>
            <a:ln w="19050" cap="rnd">
              <a:solidFill>
                <a:srgbClr val="9D9D9C"/>
              </a:solidFill>
              <a:prstDash val="dash"/>
              <a:round/>
            </a:ln>
            <a:effectLst/>
          </c:spPr>
          <c:marker>
            <c:symbol val="none"/>
          </c:marker>
          <c:cat>
            <c:strRef>
              <c:f>'SVF Indexes'!$A$15:$A$41</c:f>
              <c:strCache>
                <c:ptCount val="27"/>
                <c:pt idx="0">
                  <c:v>4Q19</c:v>
                </c:pt>
                <c:pt idx="1">
                  <c:v>1Q20</c:v>
                </c:pt>
                <c:pt idx="2">
                  <c:v>2Q20</c:v>
                </c:pt>
                <c:pt idx="3">
                  <c:v>3Q20</c:v>
                </c:pt>
                <c:pt idx="4">
                  <c:v>4Q20</c:v>
                </c:pt>
                <c:pt idx="5">
                  <c:v>1Q21</c:v>
                </c:pt>
                <c:pt idx="6">
                  <c:v>2Q21</c:v>
                </c:pt>
                <c:pt idx="7">
                  <c:v>3Q21</c:v>
                </c:pt>
                <c:pt idx="8">
                  <c:v>4Q21</c:v>
                </c:pt>
                <c:pt idx="9">
                  <c:v>1Q22</c:v>
                </c:pt>
                <c:pt idx="10">
                  <c:v>2Q22</c:v>
                </c:pt>
                <c:pt idx="11">
                  <c:v>3Q22</c:v>
                </c:pt>
                <c:pt idx="12">
                  <c:v>4Q22</c:v>
                </c:pt>
                <c:pt idx="13">
                  <c:v>1Q23</c:v>
                </c:pt>
                <c:pt idx="14">
                  <c:v>2Q23</c:v>
                </c:pt>
                <c:pt idx="15">
                  <c:v>3Q23</c:v>
                </c:pt>
                <c:pt idx="16">
                  <c:v>4Q23</c:v>
                </c:pt>
                <c:pt idx="17">
                  <c:v>1Q24</c:v>
                </c:pt>
                <c:pt idx="18">
                  <c:v>2Q24</c:v>
                </c:pt>
                <c:pt idx="19">
                  <c:v>3Q24</c:v>
                </c:pt>
                <c:pt idx="20">
                  <c:v>4Q24</c:v>
                </c:pt>
                <c:pt idx="21">
                  <c:v>1Q25</c:v>
                </c:pt>
                <c:pt idx="22">
                  <c:v>2Q25</c:v>
                </c:pt>
                <c:pt idx="23">
                  <c:v>29 Oct.</c:v>
                </c:pt>
                <c:pt idx="24">
                  <c:v>25 Nov.</c:v>
                </c:pt>
                <c:pt idx="25">
                  <c:v>3Q25E</c:v>
                </c:pt>
                <c:pt idx="26">
                  <c:v>4Q25E</c:v>
                </c:pt>
              </c:strCache>
            </c:strRef>
          </c:cat>
          <c:val>
            <c:numRef>
              <c:f>'SVF Indexes'!$M$15:$M$41</c:f>
              <c:numCache>
                <c:formatCode>0%</c:formatCode>
                <c:ptCount val="27"/>
                <c:pt idx="0">
                  <c:v>0.4</c:v>
                </c:pt>
                <c:pt idx="1">
                  <c:v>0.4</c:v>
                </c:pt>
                <c:pt idx="2">
                  <c:v>0.4</c:v>
                </c:pt>
                <c:pt idx="3">
                  <c:v>0.4</c:v>
                </c:pt>
                <c:pt idx="4">
                  <c:v>0.4</c:v>
                </c:pt>
                <c:pt idx="5">
                  <c:v>0.4</c:v>
                </c:pt>
                <c:pt idx="6">
                  <c:v>0.4</c:v>
                </c:pt>
                <c:pt idx="7">
                  <c:v>0.4</c:v>
                </c:pt>
                <c:pt idx="8">
                  <c:v>0.4</c:v>
                </c:pt>
                <c:pt idx="9">
                  <c:v>0.4</c:v>
                </c:pt>
                <c:pt idx="10">
                  <c:v>0.4</c:v>
                </c:pt>
                <c:pt idx="11">
                  <c:v>0.4</c:v>
                </c:pt>
                <c:pt idx="12">
                  <c:v>0.4</c:v>
                </c:pt>
                <c:pt idx="13">
                  <c:v>0.4</c:v>
                </c:pt>
                <c:pt idx="14">
                  <c:v>0.4</c:v>
                </c:pt>
                <c:pt idx="15">
                  <c:v>0.4</c:v>
                </c:pt>
                <c:pt idx="16">
                  <c:v>0.4</c:v>
                </c:pt>
                <c:pt idx="17">
                  <c:v>0.4</c:v>
                </c:pt>
                <c:pt idx="18">
                  <c:v>0.4</c:v>
                </c:pt>
                <c:pt idx="19">
                  <c:v>0.4</c:v>
                </c:pt>
                <c:pt idx="20">
                  <c:v>0.4</c:v>
                </c:pt>
                <c:pt idx="21">
                  <c:v>0.4</c:v>
                </c:pt>
                <c:pt idx="22">
                  <c:v>0.4</c:v>
                </c:pt>
                <c:pt idx="23">
                  <c:v>0.4</c:v>
                </c:pt>
                <c:pt idx="24">
                  <c:v>0.4</c:v>
                </c:pt>
                <c:pt idx="25">
                  <c:v>0.4</c:v>
                </c:pt>
                <c:pt idx="26">
                  <c:v>0.4</c:v>
                </c:pt>
              </c:numCache>
            </c:numRef>
          </c:val>
          <c:smooth val="0"/>
          <c:extLst>
            <c:ext xmlns:c16="http://schemas.microsoft.com/office/drawing/2014/chart" uri="{C3380CC4-5D6E-409C-BE32-E72D297353CC}">
              <c16:uniqueId val="{00000004-01BE-4736-AE12-9E49551EA9D2}"/>
            </c:ext>
          </c:extLst>
        </c:ser>
        <c:dLbls>
          <c:showLegendKey val="0"/>
          <c:showVal val="0"/>
          <c:showCatName val="0"/>
          <c:showSerName val="0"/>
          <c:showPercent val="0"/>
          <c:showBubbleSize val="0"/>
        </c:dLbls>
        <c:smooth val="0"/>
        <c:axId val="560295504"/>
        <c:axId val="344029504"/>
      </c:lineChart>
      <c:catAx>
        <c:axId val="56029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344029504"/>
        <c:crosses val="autoZero"/>
        <c:auto val="1"/>
        <c:lblAlgn val="ctr"/>
        <c:lblOffset val="100"/>
        <c:noMultiLvlLbl val="0"/>
      </c:catAx>
      <c:valAx>
        <c:axId val="34402950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560295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 discount ex. telcos</c:v>
          </c:tx>
          <c:spPr>
            <a:ln w="19050" cap="rnd">
              <a:solidFill>
                <a:srgbClr val="F97303"/>
              </a:solidFill>
              <a:round/>
            </a:ln>
            <a:effectLst/>
          </c:spPr>
          <c:marker>
            <c:symbol val="none"/>
          </c:marker>
          <c:cat>
            <c:strRef>
              <c:f>'SVF Indexes'!$A$15:$A$37</c:f>
              <c:strCache>
                <c:ptCount val="23"/>
                <c:pt idx="0">
                  <c:v>4Q19</c:v>
                </c:pt>
                <c:pt idx="1">
                  <c:v>1Q20</c:v>
                </c:pt>
                <c:pt idx="2">
                  <c:v>2Q20</c:v>
                </c:pt>
                <c:pt idx="3">
                  <c:v>3Q20</c:v>
                </c:pt>
                <c:pt idx="4">
                  <c:v>4Q20</c:v>
                </c:pt>
                <c:pt idx="5">
                  <c:v>1Q21</c:v>
                </c:pt>
                <c:pt idx="6">
                  <c:v>2Q21</c:v>
                </c:pt>
                <c:pt idx="7">
                  <c:v>3Q21</c:v>
                </c:pt>
                <c:pt idx="8">
                  <c:v>4Q21</c:v>
                </c:pt>
                <c:pt idx="9">
                  <c:v>1Q22</c:v>
                </c:pt>
                <c:pt idx="10">
                  <c:v>2Q22</c:v>
                </c:pt>
                <c:pt idx="11">
                  <c:v>3Q22</c:v>
                </c:pt>
                <c:pt idx="12">
                  <c:v>4Q22</c:v>
                </c:pt>
                <c:pt idx="13">
                  <c:v>1Q23</c:v>
                </c:pt>
                <c:pt idx="14">
                  <c:v>2Q23</c:v>
                </c:pt>
                <c:pt idx="15">
                  <c:v>3Q23</c:v>
                </c:pt>
                <c:pt idx="16">
                  <c:v>4Q23</c:v>
                </c:pt>
                <c:pt idx="17">
                  <c:v>1Q24</c:v>
                </c:pt>
                <c:pt idx="18">
                  <c:v>2Q24</c:v>
                </c:pt>
                <c:pt idx="19">
                  <c:v>3Q24</c:v>
                </c:pt>
                <c:pt idx="20">
                  <c:v>4Q24</c:v>
                </c:pt>
                <c:pt idx="21">
                  <c:v>1Q25</c:v>
                </c:pt>
                <c:pt idx="22">
                  <c:v>2Q25</c:v>
                </c:pt>
              </c:strCache>
            </c:strRef>
          </c:cat>
          <c:val>
            <c:numRef>
              <c:f>'SVF Indexes'!$J$15:$J$37</c:f>
              <c:numCache>
                <c:formatCode>0%</c:formatCode>
                <c:ptCount val="23"/>
                <c:pt idx="0">
                  <c:v>0.98608137044967881</c:v>
                </c:pt>
                <c:pt idx="1">
                  <c:v>0.67342342342342343</c:v>
                </c:pt>
                <c:pt idx="2">
                  <c:v>0.63173773129525346</c:v>
                </c:pt>
                <c:pt idx="3">
                  <c:v>0.46001950268161873</c:v>
                </c:pt>
                <c:pt idx="4">
                  <c:v>0.44764397905759168</c:v>
                </c:pt>
                <c:pt idx="5">
                  <c:v>0.59894921190893169</c:v>
                </c:pt>
                <c:pt idx="6">
                  <c:v>0.56918604651162785</c:v>
                </c:pt>
                <c:pt idx="7">
                  <c:v>0.61945812807881762</c:v>
                </c:pt>
                <c:pt idx="8">
                  <c:v>0.60290237467018448</c:v>
                </c:pt>
                <c:pt idx="9">
                  <c:v>0.67525083612040127</c:v>
                </c:pt>
                <c:pt idx="10">
                  <c:v>0.68429003021148038</c:v>
                </c:pt>
                <c:pt idx="11">
                  <c:v>0.54634146341463419</c:v>
                </c:pt>
                <c:pt idx="12">
                  <c:v>0.638671875</c:v>
                </c:pt>
                <c:pt idx="13">
                  <c:v>0.48081841432225059</c:v>
                </c:pt>
                <c:pt idx="14">
                  <c:v>0.58292483660130712</c:v>
                </c:pt>
                <c:pt idx="15">
                  <c:v>0.68926359256710257</c:v>
                </c:pt>
                <c:pt idx="16">
                  <c:v>0.65002219263204608</c:v>
                </c:pt>
                <c:pt idx="17">
                  <c:v>0.68288934426229497</c:v>
                </c:pt>
                <c:pt idx="18">
                  <c:v>0.7277850021673169</c:v>
                </c:pt>
                <c:pt idx="19">
                  <c:v>0.70996912218791364</c:v>
                </c:pt>
                <c:pt idx="20">
                  <c:v>0.79839572192513364</c:v>
                </c:pt>
                <c:pt idx="21">
                  <c:v>0.65921152388172866</c:v>
                </c:pt>
                <c:pt idx="22">
                  <c:v>0.23646975592500885</c:v>
                </c:pt>
              </c:numCache>
            </c:numRef>
          </c:val>
          <c:smooth val="0"/>
          <c:extLst>
            <c:ext xmlns:c16="http://schemas.microsoft.com/office/drawing/2014/chart" uri="{C3380CC4-5D6E-409C-BE32-E72D297353CC}">
              <c16:uniqueId val="{00000000-B6C5-4F58-B10A-E1A246A0CE7C}"/>
            </c:ext>
          </c:extLst>
        </c:ser>
        <c:ser>
          <c:idx val="1"/>
          <c:order val="1"/>
          <c:tx>
            <c:v>Upper range post-Covid</c:v>
          </c:tx>
          <c:spPr>
            <a:ln w="19050" cap="rnd">
              <a:solidFill>
                <a:srgbClr val="2EB2A5"/>
              </a:solidFill>
              <a:prstDash val="dash"/>
              <a:round/>
            </a:ln>
            <a:effectLst/>
          </c:spPr>
          <c:marker>
            <c:symbol val="none"/>
          </c:marker>
          <c:cat>
            <c:strRef>
              <c:f>'SVF Indexes'!$A$15:$A$37</c:f>
              <c:strCache>
                <c:ptCount val="23"/>
                <c:pt idx="0">
                  <c:v>4Q19</c:v>
                </c:pt>
                <c:pt idx="1">
                  <c:v>1Q20</c:v>
                </c:pt>
                <c:pt idx="2">
                  <c:v>2Q20</c:v>
                </c:pt>
                <c:pt idx="3">
                  <c:v>3Q20</c:v>
                </c:pt>
                <c:pt idx="4">
                  <c:v>4Q20</c:v>
                </c:pt>
                <c:pt idx="5">
                  <c:v>1Q21</c:v>
                </c:pt>
                <c:pt idx="6">
                  <c:v>2Q21</c:v>
                </c:pt>
                <c:pt idx="7">
                  <c:v>3Q21</c:v>
                </c:pt>
                <c:pt idx="8">
                  <c:v>4Q21</c:v>
                </c:pt>
                <c:pt idx="9">
                  <c:v>1Q22</c:v>
                </c:pt>
                <c:pt idx="10">
                  <c:v>2Q22</c:v>
                </c:pt>
                <c:pt idx="11">
                  <c:v>3Q22</c:v>
                </c:pt>
                <c:pt idx="12">
                  <c:v>4Q22</c:v>
                </c:pt>
                <c:pt idx="13">
                  <c:v>1Q23</c:v>
                </c:pt>
                <c:pt idx="14">
                  <c:v>2Q23</c:v>
                </c:pt>
                <c:pt idx="15">
                  <c:v>3Q23</c:v>
                </c:pt>
                <c:pt idx="16">
                  <c:v>4Q23</c:v>
                </c:pt>
                <c:pt idx="17">
                  <c:v>1Q24</c:v>
                </c:pt>
                <c:pt idx="18">
                  <c:v>2Q24</c:v>
                </c:pt>
                <c:pt idx="19">
                  <c:v>3Q24</c:v>
                </c:pt>
                <c:pt idx="20">
                  <c:v>4Q24</c:v>
                </c:pt>
                <c:pt idx="21">
                  <c:v>1Q25</c:v>
                </c:pt>
                <c:pt idx="22">
                  <c:v>2Q25</c:v>
                </c:pt>
              </c:strCache>
            </c:strRef>
          </c:cat>
          <c:val>
            <c:numRef>
              <c:f>'SVF Indexes'!$O$15:$O$37</c:f>
              <c:numCache>
                <c:formatCode>0%</c:formatCode>
                <c:ptCount val="23"/>
                <c:pt idx="0">
                  <c:v>0.8</c:v>
                </c:pt>
                <c:pt idx="1">
                  <c:v>0.8</c:v>
                </c:pt>
                <c:pt idx="2">
                  <c:v>0.8</c:v>
                </c:pt>
                <c:pt idx="3">
                  <c:v>0.8</c:v>
                </c:pt>
                <c:pt idx="4">
                  <c:v>0.8</c:v>
                </c:pt>
                <c:pt idx="5">
                  <c:v>0.8</c:v>
                </c:pt>
                <c:pt idx="6">
                  <c:v>0.8</c:v>
                </c:pt>
                <c:pt idx="7">
                  <c:v>0.8</c:v>
                </c:pt>
                <c:pt idx="8">
                  <c:v>0.8</c:v>
                </c:pt>
                <c:pt idx="9">
                  <c:v>0.8</c:v>
                </c:pt>
                <c:pt idx="10">
                  <c:v>0.8</c:v>
                </c:pt>
                <c:pt idx="11">
                  <c:v>0.8</c:v>
                </c:pt>
                <c:pt idx="12">
                  <c:v>0.8</c:v>
                </c:pt>
                <c:pt idx="13">
                  <c:v>0.8</c:v>
                </c:pt>
                <c:pt idx="14">
                  <c:v>0.8</c:v>
                </c:pt>
                <c:pt idx="15">
                  <c:v>0.8</c:v>
                </c:pt>
                <c:pt idx="16">
                  <c:v>0.8</c:v>
                </c:pt>
                <c:pt idx="17">
                  <c:v>0.8</c:v>
                </c:pt>
                <c:pt idx="18">
                  <c:v>0.8</c:v>
                </c:pt>
                <c:pt idx="19">
                  <c:v>0.8</c:v>
                </c:pt>
                <c:pt idx="20">
                  <c:v>0.8</c:v>
                </c:pt>
                <c:pt idx="21">
                  <c:v>0.8</c:v>
                </c:pt>
                <c:pt idx="22">
                  <c:v>0.8</c:v>
                </c:pt>
              </c:numCache>
            </c:numRef>
          </c:val>
          <c:smooth val="0"/>
          <c:extLst>
            <c:ext xmlns:c16="http://schemas.microsoft.com/office/drawing/2014/chart" uri="{C3380CC4-5D6E-409C-BE32-E72D297353CC}">
              <c16:uniqueId val="{00000001-B6C5-4F58-B10A-E1A246A0CE7C}"/>
            </c:ext>
          </c:extLst>
        </c:ser>
        <c:ser>
          <c:idx val="2"/>
          <c:order val="2"/>
          <c:tx>
            <c:v>Lower range post-Covid</c:v>
          </c:tx>
          <c:spPr>
            <a:ln w="19050" cap="rnd">
              <a:solidFill>
                <a:srgbClr val="9D9D9C"/>
              </a:solidFill>
              <a:prstDash val="dash"/>
              <a:round/>
            </a:ln>
            <a:effectLst/>
          </c:spPr>
          <c:marker>
            <c:symbol val="none"/>
          </c:marker>
          <c:cat>
            <c:strRef>
              <c:f>'SVF Indexes'!$A$15:$A$37</c:f>
              <c:strCache>
                <c:ptCount val="23"/>
                <c:pt idx="0">
                  <c:v>4Q19</c:v>
                </c:pt>
                <c:pt idx="1">
                  <c:v>1Q20</c:v>
                </c:pt>
                <c:pt idx="2">
                  <c:v>2Q20</c:v>
                </c:pt>
                <c:pt idx="3">
                  <c:v>3Q20</c:v>
                </c:pt>
                <c:pt idx="4">
                  <c:v>4Q20</c:v>
                </c:pt>
                <c:pt idx="5">
                  <c:v>1Q21</c:v>
                </c:pt>
                <c:pt idx="6">
                  <c:v>2Q21</c:v>
                </c:pt>
                <c:pt idx="7">
                  <c:v>3Q21</c:v>
                </c:pt>
                <c:pt idx="8">
                  <c:v>4Q21</c:v>
                </c:pt>
                <c:pt idx="9">
                  <c:v>1Q22</c:v>
                </c:pt>
                <c:pt idx="10">
                  <c:v>2Q22</c:v>
                </c:pt>
                <c:pt idx="11">
                  <c:v>3Q22</c:v>
                </c:pt>
                <c:pt idx="12">
                  <c:v>4Q22</c:v>
                </c:pt>
                <c:pt idx="13">
                  <c:v>1Q23</c:v>
                </c:pt>
                <c:pt idx="14">
                  <c:v>2Q23</c:v>
                </c:pt>
                <c:pt idx="15">
                  <c:v>3Q23</c:v>
                </c:pt>
                <c:pt idx="16">
                  <c:v>4Q23</c:v>
                </c:pt>
                <c:pt idx="17">
                  <c:v>1Q24</c:v>
                </c:pt>
                <c:pt idx="18">
                  <c:v>2Q24</c:v>
                </c:pt>
                <c:pt idx="19">
                  <c:v>3Q24</c:v>
                </c:pt>
                <c:pt idx="20">
                  <c:v>4Q24</c:v>
                </c:pt>
                <c:pt idx="21">
                  <c:v>1Q25</c:v>
                </c:pt>
                <c:pt idx="22">
                  <c:v>2Q25</c:v>
                </c:pt>
              </c:strCache>
            </c:strRef>
          </c:cat>
          <c:val>
            <c:numRef>
              <c:f>'SVF Indexes'!$P$15:$P$37</c:f>
              <c:numCache>
                <c:formatCode>0%</c:formatCode>
                <c:ptCount val="23"/>
                <c:pt idx="0">
                  <c:v>0.4</c:v>
                </c:pt>
                <c:pt idx="1">
                  <c:v>0.4</c:v>
                </c:pt>
                <c:pt idx="2">
                  <c:v>0.4</c:v>
                </c:pt>
                <c:pt idx="3">
                  <c:v>0.4</c:v>
                </c:pt>
                <c:pt idx="4">
                  <c:v>0.4</c:v>
                </c:pt>
                <c:pt idx="5">
                  <c:v>0.4</c:v>
                </c:pt>
                <c:pt idx="6">
                  <c:v>0.4</c:v>
                </c:pt>
                <c:pt idx="7">
                  <c:v>0.4</c:v>
                </c:pt>
                <c:pt idx="8">
                  <c:v>0.4</c:v>
                </c:pt>
                <c:pt idx="9">
                  <c:v>0.4</c:v>
                </c:pt>
                <c:pt idx="10">
                  <c:v>0.4</c:v>
                </c:pt>
                <c:pt idx="11">
                  <c:v>0.4</c:v>
                </c:pt>
                <c:pt idx="12">
                  <c:v>0.4</c:v>
                </c:pt>
                <c:pt idx="13">
                  <c:v>0.4</c:v>
                </c:pt>
                <c:pt idx="14">
                  <c:v>0.4</c:v>
                </c:pt>
                <c:pt idx="15">
                  <c:v>0.4</c:v>
                </c:pt>
                <c:pt idx="16">
                  <c:v>0.4</c:v>
                </c:pt>
                <c:pt idx="17">
                  <c:v>0.4</c:v>
                </c:pt>
                <c:pt idx="18">
                  <c:v>0.4</c:v>
                </c:pt>
                <c:pt idx="19">
                  <c:v>0.4</c:v>
                </c:pt>
                <c:pt idx="20">
                  <c:v>0.4</c:v>
                </c:pt>
                <c:pt idx="21">
                  <c:v>0.4</c:v>
                </c:pt>
                <c:pt idx="22">
                  <c:v>0.4</c:v>
                </c:pt>
              </c:numCache>
            </c:numRef>
          </c:val>
          <c:smooth val="0"/>
          <c:extLst>
            <c:ext xmlns:c16="http://schemas.microsoft.com/office/drawing/2014/chart" uri="{C3380CC4-5D6E-409C-BE32-E72D297353CC}">
              <c16:uniqueId val="{00000002-B6C5-4F58-B10A-E1A246A0CE7C}"/>
            </c:ext>
          </c:extLst>
        </c:ser>
        <c:dLbls>
          <c:showLegendKey val="0"/>
          <c:showVal val="0"/>
          <c:showCatName val="0"/>
          <c:showSerName val="0"/>
          <c:showPercent val="0"/>
          <c:showBubbleSize val="0"/>
        </c:dLbls>
        <c:smooth val="0"/>
        <c:axId val="560295504"/>
        <c:axId val="344029504"/>
      </c:lineChart>
      <c:catAx>
        <c:axId val="56029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344029504"/>
        <c:crosses val="autoZero"/>
        <c:auto val="1"/>
        <c:lblAlgn val="ctr"/>
        <c:lblOffset val="100"/>
        <c:noMultiLvlLbl val="0"/>
      </c:catAx>
      <c:valAx>
        <c:axId val="344029504"/>
        <c:scaling>
          <c:orientation val="minMax"/>
          <c:max val="1"/>
          <c:min val="0.30000000000000004"/>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560295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2"/>
          <c:tx>
            <c:v>SVF1 debt facility $bn</c:v>
          </c:tx>
          <c:spPr>
            <a:solidFill>
              <a:srgbClr val="023D67"/>
            </a:solidFill>
            <a:ln>
              <a:noFill/>
            </a:ln>
            <a:effectLst/>
          </c:spPr>
          <c:invertIfNegative val="0"/>
          <c:cat>
            <c:strRef>
              <c:f>'SVF Indexes'!$B$4:$B$32</c:f>
              <c:strCache>
                <c:ptCount val="29"/>
                <c:pt idx="0">
                  <c:v>1Q17</c:v>
                </c:pt>
                <c:pt idx="1">
                  <c:v>2Q17</c:v>
                </c:pt>
                <c:pt idx="2">
                  <c:v>3Q17</c:v>
                </c:pt>
                <c:pt idx="3">
                  <c:v>4Q17</c:v>
                </c:pt>
                <c:pt idx="4">
                  <c:v>1Q18</c:v>
                </c:pt>
                <c:pt idx="5">
                  <c:v>2Q18</c:v>
                </c:pt>
                <c:pt idx="6">
                  <c:v>3Q18</c:v>
                </c:pt>
                <c:pt idx="7">
                  <c:v>4Q18</c:v>
                </c:pt>
                <c:pt idx="8">
                  <c:v>1Q19</c:v>
                </c:pt>
                <c:pt idx="9">
                  <c:v>2Q19</c:v>
                </c:pt>
                <c:pt idx="10">
                  <c:v>3Q19</c:v>
                </c:pt>
                <c:pt idx="11">
                  <c:v>4Q19</c:v>
                </c:pt>
                <c:pt idx="12">
                  <c:v>1Q20</c:v>
                </c:pt>
                <c:pt idx="13">
                  <c:v>2Q20</c:v>
                </c:pt>
                <c:pt idx="14">
                  <c:v>3Q20</c:v>
                </c:pt>
                <c:pt idx="15">
                  <c:v>4Q20</c:v>
                </c:pt>
                <c:pt idx="16">
                  <c:v>1Q21</c:v>
                </c:pt>
                <c:pt idx="17">
                  <c:v>2Q21</c:v>
                </c:pt>
                <c:pt idx="18">
                  <c:v>3Q21</c:v>
                </c:pt>
                <c:pt idx="19">
                  <c:v>4Q21</c:v>
                </c:pt>
                <c:pt idx="20">
                  <c:v>1Q22</c:v>
                </c:pt>
                <c:pt idx="21">
                  <c:v>2Q22</c:v>
                </c:pt>
                <c:pt idx="22">
                  <c:v>3Q22</c:v>
                </c:pt>
                <c:pt idx="23">
                  <c:v>4Q22</c:v>
                </c:pt>
                <c:pt idx="24">
                  <c:v>1Q23</c:v>
                </c:pt>
                <c:pt idx="25">
                  <c:v>2Q23</c:v>
                </c:pt>
                <c:pt idx="26">
                  <c:v>3Q23</c:v>
                </c:pt>
                <c:pt idx="27">
                  <c:v>4Q23</c:v>
                </c:pt>
                <c:pt idx="28">
                  <c:v>1Q24</c:v>
                </c:pt>
              </c:strCache>
            </c:strRef>
          </c:cat>
          <c:val>
            <c:numRef>
              <c:f>'SVF Indexes'!$S$4:$S$32</c:f>
              <c:numCache>
                <c:formatCode>\$0.0"bn"</c:formatCode>
                <c:ptCount val="29"/>
                <c:pt idx="0">
                  <c:v>0</c:v>
                </c:pt>
                <c:pt idx="1">
                  <c:v>2.1690942961057393</c:v>
                </c:pt>
                <c:pt idx="2">
                  <c:v>3.2980884955752212</c:v>
                </c:pt>
                <c:pt idx="3">
                  <c:v>4.6913309487951809</c:v>
                </c:pt>
                <c:pt idx="4">
                  <c:v>5.5635245160123032</c:v>
                </c:pt>
                <c:pt idx="5">
                  <c:v>5.5990930703530868</c:v>
                </c:pt>
                <c:pt idx="6">
                  <c:v>5.6697027027027023</c:v>
                </c:pt>
                <c:pt idx="7">
                  <c:v>0.32949815298675561</c:v>
                </c:pt>
                <c:pt idx="8">
                  <c:v>1.1820205956025605</c:v>
                </c:pt>
                <c:pt idx="9">
                  <c:v>5.7853039288361749</c:v>
                </c:pt>
                <c:pt idx="10">
                  <c:v>6.5835615188024823</c:v>
                </c:pt>
                <c:pt idx="11">
                  <c:v>5.3435909216208763</c:v>
                </c:pt>
                <c:pt idx="12">
                  <c:v>1.4764432894004085</c:v>
                </c:pt>
                <c:pt idx="13">
                  <c:v>1.477693761814745</c:v>
                </c:pt>
                <c:pt idx="14">
                  <c:v>2.5151787439613527</c:v>
                </c:pt>
                <c:pt idx="15">
                  <c:v>4.0125282268991063</c:v>
                </c:pt>
                <c:pt idx="16">
                  <c:v>4.0156719117381083</c:v>
                </c:pt>
                <c:pt idx="17">
                  <c:v>6.3910471765546815</c:v>
                </c:pt>
                <c:pt idx="18">
                  <c:v>5.7868544600938971</c:v>
                </c:pt>
                <c:pt idx="19">
                  <c:v>2.7496936024184984</c:v>
                </c:pt>
                <c:pt idx="20">
                  <c:v>4.4668129938542576</c:v>
                </c:pt>
                <c:pt idx="21">
                  <c:v>4.4584006629376427</c:v>
                </c:pt>
                <c:pt idx="22">
                  <c:v>4.1809495101733241</c:v>
                </c:pt>
                <c:pt idx="23">
                  <c:v>4.1390024713547522</c:v>
                </c:pt>
                <c:pt idx="24">
                  <c:v>4.0735223118835782</c:v>
                </c:pt>
                <c:pt idx="25">
                  <c:v>0</c:v>
                </c:pt>
                <c:pt idx="26">
                  <c:v>0</c:v>
                </c:pt>
                <c:pt idx="27">
                  <c:v>0</c:v>
                </c:pt>
                <c:pt idx="28">
                  <c:v>0</c:v>
                </c:pt>
              </c:numCache>
            </c:numRef>
          </c:val>
          <c:extLst>
            <c:ext xmlns:c16="http://schemas.microsoft.com/office/drawing/2014/chart" uri="{C3380CC4-5D6E-409C-BE32-E72D297353CC}">
              <c16:uniqueId val="{00000002-3B0C-4896-9A5D-912F223C3196}"/>
            </c:ext>
          </c:extLst>
        </c:ser>
        <c:dLbls>
          <c:showLegendKey val="0"/>
          <c:showVal val="0"/>
          <c:showCatName val="0"/>
          <c:showSerName val="0"/>
          <c:showPercent val="0"/>
          <c:showBubbleSize val="0"/>
        </c:dLbls>
        <c:gapWidth val="150"/>
        <c:axId val="120475616"/>
        <c:axId val="120476096"/>
      </c:barChart>
      <c:lineChart>
        <c:grouping val="standard"/>
        <c:varyColors val="0"/>
        <c:ser>
          <c:idx val="0"/>
          <c:order val="0"/>
          <c:tx>
            <c:v>SVF1</c:v>
          </c:tx>
          <c:spPr>
            <a:ln w="19050" cap="rnd">
              <a:solidFill>
                <a:srgbClr val="9D9D9C"/>
              </a:solidFill>
              <a:round/>
            </a:ln>
            <a:effectLst/>
          </c:spPr>
          <c:marker>
            <c:symbol val="square"/>
            <c:size val="5"/>
            <c:spPr>
              <a:solidFill>
                <a:srgbClr val="9D9D9C"/>
              </a:solidFill>
              <a:ln w="9525">
                <a:solidFill>
                  <a:srgbClr val="9D9D9C"/>
                </a:solidFill>
              </a:ln>
              <a:effectLst/>
            </c:spPr>
          </c:marker>
          <c:cat>
            <c:strRef>
              <c:f>'SVF Indexes'!$B$4:$B$32</c:f>
              <c:strCache>
                <c:ptCount val="29"/>
                <c:pt idx="0">
                  <c:v>1Q17</c:v>
                </c:pt>
                <c:pt idx="1">
                  <c:v>2Q17</c:v>
                </c:pt>
                <c:pt idx="2">
                  <c:v>3Q17</c:v>
                </c:pt>
                <c:pt idx="3">
                  <c:v>4Q17</c:v>
                </c:pt>
                <c:pt idx="4">
                  <c:v>1Q18</c:v>
                </c:pt>
                <c:pt idx="5">
                  <c:v>2Q18</c:v>
                </c:pt>
                <c:pt idx="6">
                  <c:v>3Q18</c:v>
                </c:pt>
                <c:pt idx="7">
                  <c:v>4Q18</c:v>
                </c:pt>
                <c:pt idx="8">
                  <c:v>1Q19</c:v>
                </c:pt>
                <c:pt idx="9">
                  <c:v>2Q19</c:v>
                </c:pt>
                <c:pt idx="10">
                  <c:v>3Q19</c:v>
                </c:pt>
                <c:pt idx="11">
                  <c:v>4Q19</c:v>
                </c:pt>
                <c:pt idx="12">
                  <c:v>1Q20</c:v>
                </c:pt>
                <c:pt idx="13">
                  <c:v>2Q20</c:v>
                </c:pt>
                <c:pt idx="14">
                  <c:v>3Q20</c:v>
                </c:pt>
                <c:pt idx="15">
                  <c:v>4Q20</c:v>
                </c:pt>
                <c:pt idx="16">
                  <c:v>1Q21</c:v>
                </c:pt>
                <c:pt idx="17">
                  <c:v>2Q21</c:v>
                </c:pt>
                <c:pt idx="18">
                  <c:v>3Q21</c:v>
                </c:pt>
                <c:pt idx="19">
                  <c:v>4Q21</c:v>
                </c:pt>
                <c:pt idx="20">
                  <c:v>1Q22</c:v>
                </c:pt>
                <c:pt idx="21">
                  <c:v>2Q22</c:v>
                </c:pt>
                <c:pt idx="22">
                  <c:v>3Q22</c:v>
                </c:pt>
                <c:pt idx="23">
                  <c:v>4Q22</c:v>
                </c:pt>
                <c:pt idx="24">
                  <c:v>1Q23</c:v>
                </c:pt>
                <c:pt idx="25">
                  <c:v>2Q23</c:v>
                </c:pt>
                <c:pt idx="26">
                  <c:v>3Q23</c:v>
                </c:pt>
                <c:pt idx="27">
                  <c:v>4Q23</c:v>
                </c:pt>
                <c:pt idx="28">
                  <c:v>1Q24</c:v>
                </c:pt>
              </c:strCache>
            </c:strRef>
          </c:cat>
          <c:val>
            <c:numRef>
              <c:f>'SVF Indexes'!$C$4:$C$32</c:f>
              <c:numCache>
                <c:formatCode>0.0</c:formatCode>
                <c:ptCount val="29"/>
                <c:pt idx="0">
                  <c:v>100</c:v>
                </c:pt>
                <c:pt idx="1">
                  <c:v>109.78260869565217</c:v>
                </c:pt>
                <c:pt idx="2">
                  <c:v>111.65603205223327</c:v>
                </c:pt>
                <c:pt idx="3">
                  <c:v>115.13441311305051</c:v>
                </c:pt>
                <c:pt idx="4">
                  <c:v>121.94518121269574</c:v>
                </c:pt>
                <c:pt idx="5">
                  <c:v>129.23021801241521</c:v>
                </c:pt>
                <c:pt idx="6">
                  <c:v>133.89316402317246</c:v>
                </c:pt>
                <c:pt idx="7">
                  <c:v>138.49035420422558</c:v>
                </c:pt>
                <c:pt idx="8">
                  <c:v>145.01792503932921</c:v>
                </c:pt>
                <c:pt idx="9">
                  <c:v>129.94677809528807</c:v>
                </c:pt>
                <c:pt idx="10">
                  <c:v>127.23623180372991</c:v>
                </c:pt>
                <c:pt idx="11">
                  <c:v>111.88429227466332</c:v>
                </c:pt>
                <c:pt idx="12">
                  <c:v>114.52722831264749</c:v>
                </c:pt>
                <c:pt idx="13">
                  <c:v>122.80533674507045</c:v>
                </c:pt>
                <c:pt idx="14">
                  <c:v>144.10013438143861</c:v>
                </c:pt>
                <c:pt idx="15">
                  <c:v>197.53419897603226</c:v>
                </c:pt>
                <c:pt idx="16">
                  <c:v>199.77985092228607</c:v>
                </c:pt>
                <c:pt idx="17">
                  <c:v>178.45407691264836</c:v>
                </c:pt>
                <c:pt idx="18">
                  <c:v>176.28521355687965</c:v>
                </c:pt>
                <c:pt idx="19">
                  <c:v>138.00814527460898</c:v>
                </c:pt>
                <c:pt idx="20">
                  <c:v>118.06374234460097</c:v>
                </c:pt>
                <c:pt idx="21">
                  <c:v>108.40398160731544</c:v>
                </c:pt>
                <c:pt idx="22">
                  <c:v>102.51738277316714</c:v>
                </c:pt>
                <c:pt idx="23">
                  <c:v>102.24302760071441</c:v>
                </c:pt>
                <c:pt idx="24">
                  <c:v>103.5302599625939</c:v>
                </c:pt>
                <c:pt idx="25">
                  <c:v>105.55305367411883</c:v>
                </c:pt>
                <c:pt idx="26">
                  <c:v>107.85324128445072</c:v>
                </c:pt>
                <c:pt idx="27">
                  <c:v>104.8317741108303</c:v>
                </c:pt>
                <c:pt idx="28">
                  <c:v>111.21746593484026</c:v>
                </c:pt>
              </c:numCache>
            </c:numRef>
          </c:val>
          <c:smooth val="0"/>
          <c:extLst>
            <c:ext xmlns:c16="http://schemas.microsoft.com/office/drawing/2014/chart" uri="{C3380CC4-5D6E-409C-BE32-E72D297353CC}">
              <c16:uniqueId val="{00000000-3B0C-4896-9A5D-912F223C3196}"/>
            </c:ext>
          </c:extLst>
        </c:ser>
        <c:ser>
          <c:idx val="1"/>
          <c:order val="1"/>
          <c:tx>
            <c:v>Thomson Reuters Venture Capital Index</c:v>
          </c:tx>
          <c:spPr>
            <a:ln w="19050" cap="rnd">
              <a:solidFill>
                <a:srgbClr val="F97303"/>
              </a:solidFill>
              <a:round/>
            </a:ln>
            <a:effectLst/>
          </c:spPr>
          <c:marker>
            <c:symbol val="square"/>
            <c:size val="5"/>
            <c:spPr>
              <a:solidFill>
                <a:srgbClr val="F97303"/>
              </a:solidFill>
              <a:ln w="9525">
                <a:solidFill>
                  <a:srgbClr val="F97303"/>
                </a:solidFill>
              </a:ln>
              <a:effectLst/>
            </c:spPr>
          </c:marker>
          <c:cat>
            <c:strRef>
              <c:f>'SVF Indexes'!$B$4:$B$32</c:f>
              <c:strCache>
                <c:ptCount val="29"/>
                <c:pt idx="0">
                  <c:v>1Q17</c:v>
                </c:pt>
                <c:pt idx="1">
                  <c:v>2Q17</c:v>
                </c:pt>
                <c:pt idx="2">
                  <c:v>3Q17</c:v>
                </c:pt>
                <c:pt idx="3">
                  <c:v>4Q17</c:v>
                </c:pt>
                <c:pt idx="4">
                  <c:v>1Q18</c:v>
                </c:pt>
                <c:pt idx="5">
                  <c:v>2Q18</c:v>
                </c:pt>
                <c:pt idx="6">
                  <c:v>3Q18</c:v>
                </c:pt>
                <c:pt idx="7">
                  <c:v>4Q18</c:v>
                </c:pt>
                <c:pt idx="8">
                  <c:v>1Q19</c:v>
                </c:pt>
                <c:pt idx="9">
                  <c:v>2Q19</c:v>
                </c:pt>
                <c:pt idx="10">
                  <c:v>3Q19</c:v>
                </c:pt>
                <c:pt idx="11">
                  <c:v>4Q19</c:v>
                </c:pt>
                <c:pt idx="12">
                  <c:v>1Q20</c:v>
                </c:pt>
                <c:pt idx="13">
                  <c:v>2Q20</c:v>
                </c:pt>
                <c:pt idx="14">
                  <c:v>3Q20</c:v>
                </c:pt>
                <c:pt idx="15">
                  <c:v>4Q20</c:v>
                </c:pt>
                <c:pt idx="16">
                  <c:v>1Q21</c:v>
                </c:pt>
                <c:pt idx="17">
                  <c:v>2Q21</c:v>
                </c:pt>
                <c:pt idx="18">
                  <c:v>3Q21</c:v>
                </c:pt>
                <c:pt idx="19">
                  <c:v>4Q21</c:v>
                </c:pt>
                <c:pt idx="20">
                  <c:v>1Q22</c:v>
                </c:pt>
                <c:pt idx="21">
                  <c:v>2Q22</c:v>
                </c:pt>
                <c:pt idx="22">
                  <c:v>3Q22</c:v>
                </c:pt>
                <c:pt idx="23">
                  <c:v>4Q22</c:v>
                </c:pt>
                <c:pt idx="24">
                  <c:v>1Q23</c:v>
                </c:pt>
                <c:pt idx="25">
                  <c:v>2Q23</c:v>
                </c:pt>
                <c:pt idx="26">
                  <c:v>3Q23</c:v>
                </c:pt>
                <c:pt idx="27">
                  <c:v>4Q23</c:v>
                </c:pt>
                <c:pt idx="28">
                  <c:v>1Q24</c:v>
                </c:pt>
              </c:strCache>
            </c:strRef>
          </c:cat>
          <c:val>
            <c:numRef>
              <c:f>'SVF Indexes'!$E$4:$E$32</c:f>
              <c:numCache>
                <c:formatCode>0.0</c:formatCode>
                <c:ptCount val="29"/>
                <c:pt idx="0">
                  <c:v>99.999999999999986</c:v>
                </c:pt>
                <c:pt idx="1">
                  <c:v>110.55959537981595</c:v>
                </c:pt>
                <c:pt idx="2">
                  <c:v>121.5850854078069</c:v>
                </c:pt>
                <c:pt idx="3">
                  <c:v>136.60086991848706</c:v>
                </c:pt>
                <c:pt idx="4">
                  <c:v>155.73162231970807</c:v>
                </c:pt>
                <c:pt idx="5">
                  <c:v>173.22261191721236</c:v>
                </c:pt>
                <c:pt idx="6">
                  <c:v>131.94770053037445</c:v>
                </c:pt>
                <c:pt idx="7">
                  <c:v>170.44159358332618</c:v>
                </c:pt>
                <c:pt idx="8">
                  <c:v>178.8228519461351</c:v>
                </c:pt>
                <c:pt idx="9">
                  <c:v>172.01072675837955</c:v>
                </c:pt>
                <c:pt idx="10">
                  <c:v>202.75809631719596</c:v>
                </c:pt>
                <c:pt idx="11">
                  <c:v>177.94846087044027</c:v>
                </c:pt>
                <c:pt idx="12">
                  <c:v>255.2538007685398</c:v>
                </c:pt>
                <c:pt idx="13">
                  <c:v>299.5549774320632</c:v>
                </c:pt>
                <c:pt idx="14">
                  <c:v>340.4623911204207</c:v>
                </c:pt>
                <c:pt idx="15">
                  <c:v>356.13452801144979</c:v>
                </c:pt>
                <c:pt idx="16">
                  <c:v>407.40772490598243</c:v>
                </c:pt>
                <c:pt idx="17">
                  <c:v>405.09390572528611</c:v>
                </c:pt>
                <c:pt idx="18">
                  <c:v>419.29027472875612</c:v>
                </c:pt>
                <c:pt idx="19">
                  <c:v>300.03913515044667</c:v>
                </c:pt>
                <c:pt idx="20">
                  <c:v>189.40611477407836</c:v>
                </c:pt>
                <c:pt idx="21">
                  <c:v>177.19147524608553</c:v>
                </c:pt>
                <c:pt idx="22">
                  <c:v>189.16440863060515</c:v>
                </c:pt>
                <c:pt idx="23">
                  <c:v>211.16563113816198</c:v>
                </c:pt>
                <c:pt idx="24">
                  <c:v>245.41671480911361</c:v>
                </c:pt>
                <c:pt idx="25">
                  <c:v>237.20112858319573</c:v>
                </c:pt>
                <c:pt idx="26">
                  <c:v>295.3125407657817</c:v>
                </c:pt>
                <c:pt idx="27">
                  <c:v>331.20935069194667</c:v>
                </c:pt>
                <c:pt idx="28">
                  <c:v>339.33939866045966</c:v>
                </c:pt>
              </c:numCache>
            </c:numRef>
          </c:val>
          <c:smooth val="0"/>
          <c:extLst>
            <c:ext xmlns:c16="http://schemas.microsoft.com/office/drawing/2014/chart" uri="{C3380CC4-5D6E-409C-BE32-E72D297353CC}">
              <c16:uniqueId val="{00000001-3B0C-4896-9A5D-912F223C3196}"/>
            </c:ext>
          </c:extLst>
        </c:ser>
        <c:dLbls>
          <c:showLegendKey val="0"/>
          <c:showVal val="0"/>
          <c:showCatName val="0"/>
          <c:showSerName val="0"/>
          <c:showPercent val="0"/>
          <c:showBubbleSize val="0"/>
        </c:dLbls>
        <c:marker val="1"/>
        <c:smooth val="0"/>
        <c:axId val="98792607"/>
        <c:axId val="98795007"/>
      </c:lineChart>
      <c:catAx>
        <c:axId val="9879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98795007"/>
        <c:crosses val="autoZero"/>
        <c:auto val="1"/>
        <c:lblAlgn val="ctr"/>
        <c:lblOffset val="100"/>
        <c:noMultiLvlLbl val="0"/>
      </c:catAx>
      <c:valAx>
        <c:axId val="987950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98792607"/>
        <c:crosses val="autoZero"/>
        <c:crossBetween val="between"/>
      </c:valAx>
      <c:valAx>
        <c:axId val="120476096"/>
        <c:scaling>
          <c:orientation val="minMax"/>
          <c:max val="25"/>
        </c:scaling>
        <c:delete val="0"/>
        <c:axPos val="r"/>
        <c:numFmt formatCode="\$0&quot;bn&quot;"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20475616"/>
        <c:crosses val="max"/>
        <c:crossBetween val="between"/>
      </c:valAx>
      <c:catAx>
        <c:axId val="120475616"/>
        <c:scaling>
          <c:orientation val="minMax"/>
        </c:scaling>
        <c:delete val="1"/>
        <c:axPos val="b"/>
        <c:numFmt formatCode="General" sourceLinked="1"/>
        <c:majorTickMark val="out"/>
        <c:minorTickMark val="none"/>
        <c:tickLblPos val="nextTo"/>
        <c:crossAx val="1204760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0"/>
          <c:tx>
            <c:v>SVF2 debt facility $bn</c:v>
          </c:tx>
          <c:spPr>
            <a:solidFill>
              <a:srgbClr val="023D67"/>
            </a:solidFill>
            <a:ln>
              <a:noFill/>
            </a:ln>
            <a:effectLst/>
          </c:spPr>
          <c:invertIfNegative val="0"/>
          <c:cat>
            <c:strRef>
              <c:f>'SVF Indexes'!$B$17:$B$32</c:f>
              <c:strCache>
                <c:ptCount val="16"/>
                <c:pt idx="0">
                  <c:v>2Q20</c:v>
                </c:pt>
                <c:pt idx="1">
                  <c:v>3Q20</c:v>
                </c:pt>
                <c:pt idx="2">
                  <c:v>4Q20</c:v>
                </c:pt>
                <c:pt idx="3">
                  <c:v>1Q21</c:v>
                </c:pt>
                <c:pt idx="4">
                  <c:v>2Q21</c:v>
                </c:pt>
                <c:pt idx="5">
                  <c:v>3Q21</c:v>
                </c:pt>
                <c:pt idx="6">
                  <c:v>4Q21</c:v>
                </c:pt>
                <c:pt idx="7">
                  <c:v>1Q22</c:v>
                </c:pt>
                <c:pt idx="8">
                  <c:v>2Q22</c:v>
                </c:pt>
                <c:pt idx="9">
                  <c:v>3Q22</c:v>
                </c:pt>
                <c:pt idx="10">
                  <c:v>4Q22</c:v>
                </c:pt>
                <c:pt idx="11">
                  <c:v>1Q23</c:v>
                </c:pt>
                <c:pt idx="12">
                  <c:v>2Q23</c:v>
                </c:pt>
                <c:pt idx="13">
                  <c:v>3Q23</c:v>
                </c:pt>
                <c:pt idx="14">
                  <c:v>4Q23</c:v>
                </c:pt>
                <c:pt idx="15">
                  <c:v>1Q24</c:v>
                </c:pt>
              </c:strCache>
            </c:strRef>
          </c:cat>
          <c:val>
            <c:numRef>
              <c:f>'SVF Indexes'!$U$17:$U$32</c:f>
              <c:numCache>
                <c:formatCode>\$0.0"bn"</c:formatCode>
                <c:ptCount val="16"/>
                <c:pt idx="0">
                  <c:v>0</c:v>
                </c:pt>
                <c:pt idx="1">
                  <c:v>0</c:v>
                </c:pt>
                <c:pt idx="2">
                  <c:v>0</c:v>
                </c:pt>
                <c:pt idx="3">
                  <c:v>0.8977663230240549</c:v>
                </c:pt>
                <c:pt idx="4">
                  <c:v>1</c:v>
                </c:pt>
                <c:pt idx="5">
                  <c:v>4.6455312119631369</c:v>
                </c:pt>
                <c:pt idx="6">
                  <c:v>5.9771223139145357</c:v>
                </c:pt>
                <c:pt idx="7">
                  <c:v>5.7991805677494872</c:v>
                </c:pt>
                <c:pt idx="8">
                  <c:v>5.7698225260686415</c:v>
                </c:pt>
                <c:pt idx="9">
                  <c:v>5.7657724189902035</c:v>
                </c:pt>
                <c:pt idx="10">
                  <c:v>5.7665243765445968</c:v>
                </c:pt>
                <c:pt idx="11">
                  <c:v>5.7196772191185588</c:v>
                </c:pt>
                <c:pt idx="12">
                  <c:v>3.6249030619066716</c:v>
                </c:pt>
                <c:pt idx="13">
                  <c:v>3.6186772897130361</c:v>
                </c:pt>
                <c:pt idx="14">
                  <c:v>3.6186117165312726</c:v>
                </c:pt>
                <c:pt idx="15">
                  <c:v>3.6186378593158257</c:v>
                </c:pt>
              </c:numCache>
            </c:numRef>
          </c:val>
          <c:extLst>
            <c:ext xmlns:c16="http://schemas.microsoft.com/office/drawing/2014/chart" uri="{C3380CC4-5D6E-409C-BE32-E72D297353CC}">
              <c16:uniqueId val="{00000002-638A-4976-8109-C509884BD859}"/>
            </c:ext>
          </c:extLst>
        </c:ser>
        <c:dLbls>
          <c:showLegendKey val="0"/>
          <c:showVal val="0"/>
          <c:showCatName val="0"/>
          <c:showSerName val="0"/>
          <c:showPercent val="0"/>
          <c:showBubbleSize val="0"/>
        </c:dLbls>
        <c:gapWidth val="150"/>
        <c:axId val="13172016"/>
        <c:axId val="13187376"/>
      </c:barChart>
      <c:lineChart>
        <c:grouping val="standard"/>
        <c:varyColors val="0"/>
        <c:ser>
          <c:idx val="0"/>
          <c:order val="1"/>
          <c:tx>
            <c:v>SVF2</c:v>
          </c:tx>
          <c:spPr>
            <a:ln w="19050" cap="rnd">
              <a:solidFill>
                <a:srgbClr val="2EB2A5"/>
              </a:solidFill>
              <a:round/>
            </a:ln>
            <a:effectLst/>
          </c:spPr>
          <c:marker>
            <c:symbol val="square"/>
            <c:size val="5"/>
            <c:spPr>
              <a:solidFill>
                <a:srgbClr val="2EB2A5"/>
              </a:solidFill>
              <a:ln w="9525">
                <a:solidFill>
                  <a:srgbClr val="2EB2A5"/>
                </a:solidFill>
              </a:ln>
              <a:effectLst/>
            </c:spPr>
          </c:marker>
          <c:cat>
            <c:strRef>
              <c:f>'SVF Indexes'!$B$17:$B$32</c:f>
              <c:strCache>
                <c:ptCount val="16"/>
                <c:pt idx="0">
                  <c:v>2Q20</c:v>
                </c:pt>
                <c:pt idx="1">
                  <c:v>3Q20</c:v>
                </c:pt>
                <c:pt idx="2">
                  <c:v>4Q20</c:v>
                </c:pt>
                <c:pt idx="3">
                  <c:v>1Q21</c:v>
                </c:pt>
                <c:pt idx="4">
                  <c:v>2Q21</c:v>
                </c:pt>
                <c:pt idx="5">
                  <c:v>3Q21</c:v>
                </c:pt>
                <c:pt idx="6">
                  <c:v>4Q21</c:v>
                </c:pt>
                <c:pt idx="7">
                  <c:v>1Q22</c:v>
                </c:pt>
                <c:pt idx="8">
                  <c:v>2Q22</c:v>
                </c:pt>
                <c:pt idx="9">
                  <c:v>3Q22</c:v>
                </c:pt>
                <c:pt idx="10">
                  <c:v>4Q22</c:v>
                </c:pt>
                <c:pt idx="11">
                  <c:v>1Q23</c:v>
                </c:pt>
                <c:pt idx="12">
                  <c:v>2Q23</c:v>
                </c:pt>
                <c:pt idx="13">
                  <c:v>3Q23</c:v>
                </c:pt>
                <c:pt idx="14">
                  <c:v>4Q23</c:v>
                </c:pt>
                <c:pt idx="15">
                  <c:v>1Q24</c:v>
                </c:pt>
              </c:strCache>
            </c:strRef>
          </c:cat>
          <c:val>
            <c:numRef>
              <c:f>'SVF Indexes'!$F$17:$F$32</c:f>
              <c:numCache>
                <c:formatCode>0.0</c:formatCode>
                <c:ptCount val="16"/>
                <c:pt idx="0">
                  <c:v>100</c:v>
                </c:pt>
                <c:pt idx="1">
                  <c:v>100</c:v>
                </c:pt>
                <c:pt idx="2">
                  <c:v>95.726495726495727</c:v>
                </c:pt>
                <c:pt idx="3">
                  <c:v>93.756814744469068</c:v>
                </c:pt>
                <c:pt idx="4">
                  <c:v>92.506723881209481</c:v>
                </c:pt>
                <c:pt idx="5">
                  <c:v>104.44667497323532</c:v>
                </c:pt>
                <c:pt idx="6">
                  <c:v>98.453832966574282</c:v>
                </c:pt>
                <c:pt idx="7">
                  <c:v>78.594046917522817</c:v>
                </c:pt>
                <c:pt idx="8">
                  <c:v>68.901483490696947</c:v>
                </c:pt>
                <c:pt idx="9">
                  <c:v>64.588566203493016</c:v>
                </c:pt>
                <c:pt idx="10">
                  <c:v>61.662223398156762</c:v>
                </c:pt>
                <c:pt idx="11">
                  <c:v>62.276797053287886</c:v>
                </c:pt>
                <c:pt idx="12">
                  <c:v>58.193072656350978</c:v>
                </c:pt>
                <c:pt idx="13">
                  <c:v>61.568066325348482</c:v>
                </c:pt>
                <c:pt idx="14">
                  <c:v>61.057551679201318</c:v>
                </c:pt>
                <c:pt idx="15">
                  <c:v>56.298505362580322</c:v>
                </c:pt>
              </c:numCache>
            </c:numRef>
          </c:val>
          <c:smooth val="0"/>
          <c:extLst>
            <c:ext xmlns:c16="http://schemas.microsoft.com/office/drawing/2014/chart" uri="{C3380CC4-5D6E-409C-BE32-E72D297353CC}">
              <c16:uniqueId val="{00000000-638A-4976-8109-C509884BD859}"/>
            </c:ext>
          </c:extLst>
        </c:ser>
        <c:ser>
          <c:idx val="1"/>
          <c:order val="2"/>
          <c:tx>
            <c:v>Thomson Reuters Venture Capital Index</c:v>
          </c:tx>
          <c:spPr>
            <a:ln w="19050" cap="rnd">
              <a:solidFill>
                <a:srgbClr val="F97303"/>
              </a:solidFill>
              <a:round/>
            </a:ln>
            <a:effectLst/>
          </c:spPr>
          <c:marker>
            <c:symbol val="square"/>
            <c:size val="5"/>
            <c:spPr>
              <a:solidFill>
                <a:srgbClr val="F97303"/>
              </a:solidFill>
              <a:ln w="9525">
                <a:solidFill>
                  <a:srgbClr val="F97303"/>
                </a:solidFill>
              </a:ln>
              <a:effectLst/>
            </c:spPr>
          </c:marker>
          <c:cat>
            <c:strRef>
              <c:f>'SVF Indexes'!$B$17:$B$32</c:f>
              <c:strCache>
                <c:ptCount val="16"/>
                <c:pt idx="0">
                  <c:v>2Q20</c:v>
                </c:pt>
                <c:pt idx="1">
                  <c:v>3Q20</c:v>
                </c:pt>
                <c:pt idx="2">
                  <c:v>4Q20</c:v>
                </c:pt>
                <c:pt idx="3">
                  <c:v>1Q21</c:v>
                </c:pt>
                <c:pt idx="4">
                  <c:v>2Q21</c:v>
                </c:pt>
                <c:pt idx="5">
                  <c:v>3Q21</c:v>
                </c:pt>
                <c:pt idx="6">
                  <c:v>4Q21</c:v>
                </c:pt>
                <c:pt idx="7">
                  <c:v>1Q22</c:v>
                </c:pt>
                <c:pt idx="8">
                  <c:v>2Q22</c:v>
                </c:pt>
                <c:pt idx="9">
                  <c:v>3Q22</c:v>
                </c:pt>
                <c:pt idx="10">
                  <c:v>4Q22</c:v>
                </c:pt>
                <c:pt idx="11">
                  <c:v>1Q23</c:v>
                </c:pt>
                <c:pt idx="12">
                  <c:v>2Q23</c:v>
                </c:pt>
                <c:pt idx="13">
                  <c:v>3Q23</c:v>
                </c:pt>
                <c:pt idx="14">
                  <c:v>4Q23</c:v>
                </c:pt>
                <c:pt idx="15">
                  <c:v>1Q24</c:v>
                </c:pt>
              </c:strCache>
            </c:strRef>
          </c:cat>
          <c:val>
            <c:numRef>
              <c:f>'SVF Indexes'!$H$17:$H$32</c:f>
              <c:numCache>
                <c:formatCode>0.0</c:formatCode>
                <c:ptCount val="16"/>
                <c:pt idx="0">
                  <c:v>100</c:v>
                </c:pt>
                <c:pt idx="1">
                  <c:v>113.65606208217153</c:v>
                </c:pt>
                <c:pt idx="2">
                  <c:v>118.88786861911463</c:v>
                </c:pt>
                <c:pt idx="3">
                  <c:v>136.00432494845771</c:v>
                </c:pt>
                <c:pt idx="4">
                  <c:v>135.23190607545766</c:v>
                </c:pt>
                <c:pt idx="5">
                  <c:v>139.97105917689115</c:v>
                </c:pt>
                <c:pt idx="6">
                  <c:v>100.16162566301982</c:v>
                </c:pt>
                <c:pt idx="7">
                  <c:v>63.229166277844342</c:v>
                </c:pt>
                <c:pt idx="8">
                  <c:v>59.151571028817635</c:v>
                </c:pt>
                <c:pt idx="9">
                  <c:v>63.148477869477631</c:v>
                </c:pt>
                <c:pt idx="10">
                  <c:v>70.493113801139472</c:v>
                </c:pt>
                <c:pt idx="11">
                  <c:v>81.927102968860623</c:v>
                </c:pt>
                <c:pt idx="12">
                  <c:v>79.184505834823298</c:v>
                </c:pt>
                <c:pt idx="13">
                  <c:v>98.583753572499504</c:v>
                </c:pt>
                <c:pt idx="14">
                  <c:v>110.56713312903051</c:v>
                </c:pt>
                <c:pt idx="15">
                  <c:v>113.28117515170291</c:v>
                </c:pt>
              </c:numCache>
            </c:numRef>
          </c:val>
          <c:smooth val="0"/>
          <c:extLst>
            <c:ext xmlns:c16="http://schemas.microsoft.com/office/drawing/2014/chart" uri="{C3380CC4-5D6E-409C-BE32-E72D297353CC}">
              <c16:uniqueId val="{00000001-638A-4976-8109-C509884BD859}"/>
            </c:ext>
          </c:extLst>
        </c:ser>
        <c:dLbls>
          <c:showLegendKey val="0"/>
          <c:showVal val="0"/>
          <c:showCatName val="0"/>
          <c:showSerName val="0"/>
          <c:showPercent val="0"/>
          <c:showBubbleSize val="0"/>
        </c:dLbls>
        <c:marker val="1"/>
        <c:smooth val="0"/>
        <c:axId val="98792607"/>
        <c:axId val="98795007"/>
      </c:lineChart>
      <c:catAx>
        <c:axId val="9879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98795007"/>
        <c:crosses val="autoZero"/>
        <c:auto val="1"/>
        <c:lblAlgn val="ctr"/>
        <c:lblOffset val="100"/>
        <c:noMultiLvlLbl val="0"/>
      </c:catAx>
      <c:valAx>
        <c:axId val="987950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98792607"/>
        <c:crosses val="autoZero"/>
        <c:crossBetween val="between"/>
      </c:valAx>
      <c:valAx>
        <c:axId val="13187376"/>
        <c:scaling>
          <c:orientation val="minMax"/>
          <c:max val="25"/>
        </c:scaling>
        <c:delete val="0"/>
        <c:axPos val="r"/>
        <c:numFmt formatCode="\$0&quot;bn&quot;"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3172016"/>
        <c:crosses val="max"/>
        <c:crossBetween val="between"/>
      </c:valAx>
      <c:catAx>
        <c:axId val="13172016"/>
        <c:scaling>
          <c:orientation val="minMax"/>
        </c:scaling>
        <c:delete val="1"/>
        <c:axPos val="b"/>
        <c:numFmt formatCode="General" sourceLinked="1"/>
        <c:majorTickMark val="out"/>
        <c:minorTickMark val="none"/>
        <c:tickLblPos val="nextTo"/>
        <c:crossAx val="131873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rgbClr val="023D67"/>
              </a:solidFill>
              <a:round/>
            </a:ln>
            <a:effectLst/>
          </c:spPr>
          <c:marker>
            <c:symbol val="square"/>
            <c:size val="5"/>
            <c:spPr>
              <a:solidFill>
                <a:srgbClr val="023D67"/>
              </a:solidFill>
              <a:ln w="9525">
                <a:solidFill>
                  <a:srgbClr val="023D67"/>
                </a:solidFill>
              </a:ln>
              <a:effectLst/>
            </c:spPr>
          </c:marker>
          <c:cat>
            <c:strRef>
              <c:f>'SVF Indexes'!$B$104:$B$113</c:f>
              <c:strCache>
                <c:ptCount val="10"/>
                <c:pt idx="0">
                  <c:v>4Q22</c:v>
                </c:pt>
                <c:pt idx="1">
                  <c:v>1Q23</c:v>
                </c:pt>
                <c:pt idx="2">
                  <c:v>2Q23</c:v>
                </c:pt>
                <c:pt idx="3">
                  <c:v>3Q23</c:v>
                </c:pt>
                <c:pt idx="4">
                  <c:v>4Q23</c:v>
                </c:pt>
                <c:pt idx="5">
                  <c:v>1Q24</c:v>
                </c:pt>
                <c:pt idx="6">
                  <c:v>2Q24</c:v>
                </c:pt>
                <c:pt idx="7">
                  <c:v>3Q24</c:v>
                </c:pt>
                <c:pt idx="8">
                  <c:v>4Q24</c:v>
                </c:pt>
                <c:pt idx="9">
                  <c:v>1Q25</c:v>
                </c:pt>
              </c:strCache>
            </c:strRef>
          </c:cat>
          <c:val>
            <c:numRef>
              <c:f>'SVF Indexes'!$C$104:$C$113</c:f>
              <c:numCache>
                <c:formatCode>0.0</c:formatCode>
                <c:ptCount val="10"/>
                <c:pt idx="0">
                  <c:v>100</c:v>
                </c:pt>
                <c:pt idx="1">
                  <c:v>101.25899280575538</c:v>
                </c:pt>
                <c:pt idx="2">
                  <c:v>103.23741007194243</c:v>
                </c:pt>
                <c:pt idx="3">
                  <c:v>105.48713571515668</c:v>
                </c:pt>
                <c:pt idx="4">
                  <c:v>102.53195408123635</c:v>
                </c:pt>
                <c:pt idx="5">
                  <c:v>108.777555345068</c:v>
                </c:pt>
                <c:pt idx="6">
                  <c:v>115.48572381253895</c:v>
                </c:pt>
                <c:pt idx="7">
                  <c:v>111.7689418967331</c:v>
                </c:pt>
                <c:pt idx="8">
                  <c:v>115.77978909398426</c:v>
                </c:pt>
                <c:pt idx="9">
                  <c:v>123.78800428336889</c:v>
                </c:pt>
              </c:numCache>
            </c:numRef>
          </c:val>
          <c:smooth val="0"/>
          <c:extLst>
            <c:ext xmlns:c16="http://schemas.microsoft.com/office/drawing/2014/chart" uri="{C3380CC4-5D6E-409C-BE32-E72D297353CC}">
              <c16:uniqueId val="{00000000-64A5-45CF-A62F-3464B68D3C39}"/>
            </c:ext>
          </c:extLst>
        </c:ser>
        <c:dLbls>
          <c:showLegendKey val="0"/>
          <c:showVal val="0"/>
          <c:showCatName val="0"/>
          <c:showSerName val="0"/>
          <c:showPercent val="0"/>
          <c:showBubbleSize val="0"/>
        </c:dLbls>
        <c:marker val="1"/>
        <c:smooth val="0"/>
        <c:axId val="282058799"/>
        <c:axId val="918651504"/>
      </c:lineChart>
      <c:catAx>
        <c:axId val="28205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918651504"/>
        <c:crosses val="autoZero"/>
        <c:auto val="1"/>
        <c:lblAlgn val="ctr"/>
        <c:lblOffset val="100"/>
        <c:noMultiLvlLbl val="0"/>
      </c:catAx>
      <c:valAx>
        <c:axId val="918651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28205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rgbClr val="F97303"/>
              </a:solidFill>
              <a:round/>
            </a:ln>
            <a:effectLst/>
          </c:spPr>
          <c:marker>
            <c:symbol val="square"/>
            <c:size val="5"/>
            <c:spPr>
              <a:solidFill>
                <a:srgbClr val="F97303"/>
              </a:solidFill>
              <a:ln w="9525">
                <a:solidFill>
                  <a:srgbClr val="F97303"/>
                </a:solidFill>
              </a:ln>
              <a:effectLst/>
            </c:spPr>
          </c:marker>
          <c:cat>
            <c:strRef>
              <c:f>'SVF Indexes'!$B$104:$B$113</c:f>
              <c:strCache>
                <c:ptCount val="10"/>
                <c:pt idx="0">
                  <c:v>4Q22</c:v>
                </c:pt>
                <c:pt idx="1">
                  <c:v>1Q23</c:v>
                </c:pt>
                <c:pt idx="2">
                  <c:v>2Q23</c:v>
                </c:pt>
                <c:pt idx="3">
                  <c:v>3Q23</c:v>
                </c:pt>
                <c:pt idx="4">
                  <c:v>4Q23</c:v>
                </c:pt>
                <c:pt idx="5">
                  <c:v>1Q24</c:v>
                </c:pt>
                <c:pt idx="6">
                  <c:v>2Q24</c:v>
                </c:pt>
                <c:pt idx="7">
                  <c:v>3Q24</c:v>
                </c:pt>
                <c:pt idx="8">
                  <c:v>4Q24</c:v>
                </c:pt>
                <c:pt idx="9">
                  <c:v>1Q25</c:v>
                </c:pt>
              </c:strCache>
            </c:strRef>
          </c:cat>
          <c:val>
            <c:numRef>
              <c:f>'SVF Indexes'!$F$104:$F$113</c:f>
              <c:numCache>
                <c:formatCode>0.0</c:formatCode>
                <c:ptCount val="10"/>
                <c:pt idx="0">
                  <c:v>100</c:v>
                </c:pt>
                <c:pt idx="1">
                  <c:v>100.99667774086377</c:v>
                </c:pt>
                <c:pt idx="2">
                  <c:v>94.373944774249765</c:v>
                </c:pt>
                <c:pt idx="3">
                  <c:v>99.847301852545442</c:v>
                </c:pt>
                <c:pt idx="4">
                  <c:v>99.019380609987024</c:v>
                </c:pt>
                <c:pt idx="5">
                  <c:v>91.301452104730984</c:v>
                </c:pt>
                <c:pt idx="6">
                  <c:v>96.227789448511444</c:v>
                </c:pt>
                <c:pt idx="7">
                  <c:v>94.125333544594397</c:v>
                </c:pt>
                <c:pt idx="8">
                  <c:v>97.914598180045061</c:v>
                </c:pt>
                <c:pt idx="9">
                  <c:v>110.74478690708547</c:v>
                </c:pt>
              </c:numCache>
            </c:numRef>
          </c:val>
          <c:smooth val="0"/>
          <c:extLst>
            <c:ext xmlns:c16="http://schemas.microsoft.com/office/drawing/2014/chart" uri="{C3380CC4-5D6E-409C-BE32-E72D297353CC}">
              <c16:uniqueId val="{00000000-6672-4737-80F2-A6894E3A6773}"/>
            </c:ext>
          </c:extLst>
        </c:ser>
        <c:dLbls>
          <c:showLegendKey val="0"/>
          <c:showVal val="0"/>
          <c:showCatName val="0"/>
          <c:showSerName val="0"/>
          <c:showPercent val="0"/>
          <c:showBubbleSize val="0"/>
        </c:dLbls>
        <c:marker val="1"/>
        <c:smooth val="0"/>
        <c:axId val="282058799"/>
        <c:axId val="918651504"/>
      </c:lineChart>
      <c:catAx>
        <c:axId val="28205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918651504"/>
        <c:crosses val="autoZero"/>
        <c:auto val="1"/>
        <c:lblAlgn val="ctr"/>
        <c:lblOffset val="100"/>
        <c:noMultiLvlLbl val="0"/>
      </c:catAx>
      <c:valAx>
        <c:axId val="918651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28205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3D67"/>
            </a:solidFill>
            <a:ln>
              <a:noFill/>
            </a:ln>
            <a:effectLst/>
          </c:spPr>
          <c:invertIfNegative val="0"/>
          <c:dPt>
            <c:idx val="4"/>
            <c:invertIfNegative val="0"/>
            <c:bubble3D val="0"/>
            <c:spPr>
              <a:solidFill>
                <a:srgbClr val="023D67"/>
              </a:solidFill>
              <a:ln>
                <a:noFill/>
              </a:ln>
              <a:effectLst/>
            </c:spPr>
            <c:extLst>
              <c:ext xmlns:c16="http://schemas.microsoft.com/office/drawing/2014/chart" uri="{C3380CC4-5D6E-409C-BE32-E72D297353CC}">
                <c16:uniqueId val="{00000001-9DC1-485E-B4C5-7E52DF612AB1}"/>
              </c:ext>
            </c:extLst>
          </c:dPt>
          <c:dPt>
            <c:idx val="5"/>
            <c:invertIfNegative val="0"/>
            <c:bubble3D val="0"/>
            <c:spPr>
              <a:solidFill>
                <a:srgbClr val="023D67"/>
              </a:solidFill>
              <a:ln>
                <a:noFill/>
              </a:ln>
              <a:effectLst/>
            </c:spPr>
            <c:extLst>
              <c:ext xmlns:c16="http://schemas.microsoft.com/office/drawing/2014/chart" uri="{C3380CC4-5D6E-409C-BE32-E72D297353CC}">
                <c16:uniqueId val="{00000002-9DC1-485E-B4C5-7E52DF612AB1}"/>
              </c:ext>
            </c:extLst>
          </c:dPt>
          <c:dPt>
            <c:idx val="6"/>
            <c:invertIfNegative val="0"/>
            <c:bubble3D val="0"/>
            <c:spPr>
              <a:solidFill>
                <a:srgbClr val="023D67"/>
              </a:solidFill>
              <a:ln>
                <a:noFill/>
              </a:ln>
              <a:effectLst/>
            </c:spPr>
            <c:extLst>
              <c:ext xmlns:c16="http://schemas.microsoft.com/office/drawing/2014/chart" uri="{C3380CC4-5D6E-409C-BE32-E72D297353CC}">
                <c16:uniqueId val="{00000004-4F70-48B6-BEE7-A4F15B42E1FF}"/>
              </c:ext>
            </c:extLst>
          </c:dPt>
          <c:dPt>
            <c:idx val="7"/>
            <c:invertIfNegative val="0"/>
            <c:bubble3D val="0"/>
            <c:spPr>
              <a:solidFill>
                <a:srgbClr val="023D67"/>
              </a:solidFill>
              <a:ln>
                <a:noFill/>
              </a:ln>
              <a:effectLst/>
            </c:spPr>
            <c:extLst>
              <c:ext xmlns:c16="http://schemas.microsoft.com/office/drawing/2014/chart" uri="{C3380CC4-5D6E-409C-BE32-E72D297353CC}">
                <c16:uniqueId val="{00000006-5A80-4965-8141-2C2E0D833690}"/>
              </c:ext>
            </c:extLst>
          </c:dPt>
          <c:dPt>
            <c:idx val="8"/>
            <c:invertIfNegative val="0"/>
            <c:bubble3D val="0"/>
            <c:spPr>
              <a:solidFill>
                <a:srgbClr val="023D67"/>
              </a:solidFill>
              <a:ln>
                <a:noFill/>
              </a:ln>
              <a:effectLst/>
            </c:spPr>
            <c:extLst>
              <c:ext xmlns:c16="http://schemas.microsoft.com/office/drawing/2014/chart" uri="{C3380CC4-5D6E-409C-BE32-E72D297353CC}">
                <c16:uniqueId val="{00000008-3A16-4891-9F94-204870EC9E0E}"/>
              </c:ext>
            </c:extLst>
          </c:dPt>
          <c:dPt>
            <c:idx val="9"/>
            <c:invertIfNegative val="0"/>
            <c:bubble3D val="0"/>
            <c:spPr>
              <a:solidFill>
                <a:srgbClr val="023D67"/>
              </a:solidFill>
              <a:ln>
                <a:noFill/>
              </a:ln>
              <a:effectLst/>
            </c:spPr>
            <c:extLst>
              <c:ext xmlns:c16="http://schemas.microsoft.com/office/drawing/2014/chart" uri="{C3380CC4-5D6E-409C-BE32-E72D297353CC}">
                <c16:uniqueId val="{0000000A-5DA8-4640-9031-E030A5CAB9CA}"/>
              </c:ext>
            </c:extLst>
          </c:dPt>
          <c:dPt>
            <c:idx val="10"/>
            <c:invertIfNegative val="0"/>
            <c:bubble3D val="0"/>
            <c:spPr>
              <a:solidFill>
                <a:srgbClr val="2EB2A5"/>
              </a:solidFill>
              <a:ln>
                <a:noFill/>
              </a:ln>
              <a:effectLst/>
            </c:spPr>
            <c:extLst>
              <c:ext xmlns:c16="http://schemas.microsoft.com/office/drawing/2014/chart" uri="{C3380CC4-5D6E-409C-BE32-E72D297353CC}">
                <c16:uniqueId val="{0000000C-E3C5-462F-9B7B-943299C6F9A9}"/>
              </c:ext>
            </c:extLst>
          </c:dPt>
          <c:dPt>
            <c:idx val="11"/>
            <c:invertIfNegative val="0"/>
            <c:bubble3D val="0"/>
            <c:spPr>
              <a:solidFill>
                <a:srgbClr val="F97303"/>
              </a:solidFill>
              <a:ln>
                <a:noFill/>
              </a:ln>
              <a:effectLst/>
            </c:spPr>
            <c:extLst>
              <c:ext xmlns:c16="http://schemas.microsoft.com/office/drawing/2014/chart" uri="{C3380CC4-5D6E-409C-BE32-E72D297353CC}">
                <c16:uniqueId val="{0000000E-B546-4FFD-B08F-AABA8530E43A}"/>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'SVF Indexes'!$B$105:$B$116</c:f>
              <c:strCache>
                <c:ptCount val="12"/>
                <c:pt idx="0">
                  <c:v>1Q23</c:v>
                </c:pt>
                <c:pt idx="1">
                  <c:v>2Q23</c:v>
                </c:pt>
                <c:pt idx="2">
                  <c:v>3Q23</c:v>
                </c:pt>
                <c:pt idx="3">
                  <c:v>4Q23</c:v>
                </c:pt>
                <c:pt idx="4">
                  <c:v>1Q24</c:v>
                </c:pt>
                <c:pt idx="5">
                  <c:v>2Q24</c:v>
                </c:pt>
                <c:pt idx="6">
                  <c:v>3Q24</c:v>
                </c:pt>
                <c:pt idx="7">
                  <c:v>4Q24</c:v>
                </c:pt>
                <c:pt idx="8">
                  <c:v>1Q25</c:v>
                </c:pt>
                <c:pt idx="9">
                  <c:v>2Q25E</c:v>
                </c:pt>
                <c:pt idx="10">
                  <c:v>3Q25E</c:v>
                </c:pt>
                <c:pt idx="11">
                  <c:v>4Q25E*</c:v>
                </c:pt>
              </c:strCache>
            </c:strRef>
          </c:cat>
          <c:val>
            <c:numRef>
              <c:f>'SVF Indexes'!$E$105:$E$116</c:f>
              <c:numCache>
                <c:formatCode>0.0%</c:formatCode>
                <c:ptCount val="12"/>
                <c:pt idx="0">
                  <c:v>1.2589928057553879E-2</c:v>
                </c:pt>
                <c:pt idx="1">
                  <c:v>1.9538188277087087E-2</c:v>
                </c:pt>
                <c:pt idx="2">
                  <c:v>2.1791767554479424E-2</c:v>
                </c:pt>
                <c:pt idx="3">
                  <c:v>-2.8014616321558994E-2</c:v>
                </c:pt>
                <c:pt idx="4">
                  <c:v>6.0913705583756306E-2</c:v>
                </c:pt>
                <c:pt idx="5">
                  <c:v>6.1668681983071405E-2</c:v>
                </c:pt>
                <c:pt idx="6">
                  <c:v>-3.2183908045977039E-2</c:v>
                </c:pt>
                <c:pt idx="7">
                  <c:v>3.5885167464114742E-2</c:v>
                </c:pt>
                <c:pt idx="8">
                  <c:v>6.9167643610785534E-2</c:v>
                </c:pt>
                <c:pt idx="9">
                  <c:v>0.11457174638487233</c:v>
                </c:pt>
                <c:pt idx="10">
                  <c:v>-9.0543259557343991E-2</c:v>
                </c:pt>
                <c:pt idx="11">
                  <c:v>-4.1814159292035358E-2</c:v>
                </c:pt>
              </c:numCache>
            </c:numRef>
          </c:val>
          <c:extLst>
            <c:ext xmlns:c16="http://schemas.microsoft.com/office/drawing/2014/chart" uri="{C3380CC4-5D6E-409C-BE32-E72D297353CC}">
              <c16:uniqueId val="{00000000-9DC1-485E-B4C5-7E52DF612AB1}"/>
            </c:ext>
          </c:extLst>
        </c:ser>
        <c:dLbls>
          <c:showLegendKey val="0"/>
          <c:showVal val="0"/>
          <c:showCatName val="0"/>
          <c:showSerName val="0"/>
          <c:showPercent val="0"/>
          <c:showBubbleSize val="0"/>
        </c:dLbls>
        <c:gapWidth val="219"/>
        <c:overlap val="-27"/>
        <c:axId val="768825679"/>
        <c:axId val="768823759"/>
      </c:barChart>
      <c:catAx>
        <c:axId val="76882567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768823759"/>
        <c:crosses val="autoZero"/>
        <c:auto val="1"/>
        <c:lblAlgn val="ctr"/>
        <c:lblOffset val="100"/>
        <c:noMultiLvlLbl val="0"/>
      </c:catAx>
      <c:valAx>
        <c:axId val="7688237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76882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3D67"/>
            </a:solidFill>
            <a:ln>
              <a:noFill/>
            </a:ln>
            <a:effectLst/>
          </c:spPr>
          <c:invertIfNegative val="0"/>
          <c:dPt>
            <c:idx val="4"/>
            <c:invertIfNegative val="0"/>
            <c:bubble3D val="0"/>
            <c:spPr>
              <a:solidFill>
                <a:srgbClr val="023D67"/>
              </a:solidFill>
              <a:ln>
                <a:noFill/>
              </a:ln>
              <a:effectLst/>
            </c:spPr>
            <c:extLst>
              <c:ext xmlns:c16="http://schemas.microsoft.com/office/drawing/2014/chart" uri="{C3380CC4-5D6E-409C-BE32-E72D297353CC}">
                <c16:uniqueId val="{00000001-6FB2-44EE-85D7-D60E7E53EAC8}"/>
              </c:ext>
            </c:extLst>
          </c:dPt>
          <c:dPt>
            <c:idx val="5"/>
            <c:invertIfNegative val="0"/>
            <c:bubble3D val="0"/>
            <c:spPr>
              <a:solidFill>
                <a:srgbClr val="023D67"/>
              </a:solidFill>
              <a:ln>
                <a:noFill/>
              </a:ln>
              <a:effectLst/>
            </c:spPr>
            <c:extLst>
              <c:ext xmlns:c16="http://schemas.microsoft.com/office/drawing/2014/chart" uri="{C3380CC4-5D6E-409C-BE32-E72D297353CC}">
                <c16:uniqueId val="{00000003-6FB2-44EE-85D7-D60E7E53EAC8}"/>
              </c:ext>
            </c:extLst>
          </c:dPt>
          <c:dPt>
            <c:idx val="6"/>
            <c:invertIfNegative val="0"/>
            <c:bubble3D val="0"/>
            <c:spPr>
              <a:solidFill>
                <a:srgbClr val="023D67"/>
              </a:solidFill>
              <a:ln>
                <a:noFill/>
              </a:ln>
              <a:effectLst/>
            </c:spPr>
            <c:extLst>
              <c:ext xmlns:c16="http://schemas.microsoft.com/office/drawing/2014/chart" uri="{C3380CC4-5D6E-409C-BE32-E72D297353CC}">
                <c16:uniqueId val="{00000004-65BE-4583-A081-F2D6BC9C8AC2}"/>
              </c:ext>
            </c:extLst>
          </c:dPt>
          <c:dPt>
            <c:idx val="7"/>
            <c:invertIfNegative val="0"/>
            <c:bubble3D val="0"/>
            <c:spPr>
              <a:solidFill>
                <a:srgbClr val="023D67"/>
              </a:solidFill>
              <a:ln>
                <a:noFill/>
              </a:ln>
              <a:effectLst/>
            </c:spPr>
            <c:extLst>
              <c:ext xmlns:c16="http://schemas.microsoft.com/office/drawing/2014/chart" uri="{C3380CC4-5D6E-409C-BE32-E72D297353CC}">
                <c16:uniqueId val="{00000006-447D-4093-A9F9-38E25C5C3042}"/>
              </c:ext>
            </c:extLst>
          </c:dPt>
          <c:dPt>
            <c:idx val="8"/>
            <c:invertIfNegative val="0"/>
            <c:bubble3D val="0"/>
            <c:spPr>
              <a:solidFill>
                <a:srgbClr val="023D67"/>
              </a:solidFill>
              <a:ln>
                <a:noFill/>
              </a:ln>
              <a:effectLst/>
            </c:spPr>
            <c:extLst>
              <c:ext xmlns:c16="http://schemas.microsoft.com/office/drawing/2014/chart" uri="{C3380CC4-5D6E-409C-BE32-E72D297353CC}">
                <c16:uniqueId val="{00000008-92A4-41B2-B14C-1B67A0E7B5E1}"/>
              </c:ext>
            </c:extLst>
          </c:dPt>
          <c:dPt>
            <c:idx val="9"/>
            <c:invertIfNegative val="0"/>
            <c:bubble3D val="0"/>
            <c:spPr>
              <a:solidFill>
                <a:srgbClr val="023D67"/>
              </a:solidFill>
              <a:ln>
                <a:noFill/>
              </a:ln>
              <a:effectLst/>
            </c:spPr>
            <c:extLst>
              <c:ext xmlns:c16="http://schemas.microsoft.com/office/drawing/2014/chart" uri="{C3380CC4-5D6E-409C-BE32-E72D297353CC}">
                <c16:uniqueId val="{0000000A-8825-49E5-9957-9F2A93FA16E2}"/>
              </c:ext>
            </c:extLst>
          </c:dPt>
          <c:dPt>
            <c:idx val="10"/>
            <c:invertIfNegative val="0"/>
            <c:bubble3D val="0"/>
            <c:spPr>
              <a:solidFill>
                <a:srgbClr val="2EB2A5"/>
              </a:solidFill>
              <a:ln>
                <a:noFill/>
              </a:ln>
              <a:effectLst/>
            </c:spPr>
            <c:extLst>
              <c:ext xmlns:c16="http://schemas.microsoft.com/office/drawing/2014/chart" uri="{C3380CC4-5D6E-409C-BE32-E72D297353CC}">
                <c16:uniqueId val="{0000000D-0297-43FC-BEA0-ADB6C2B65B85}"/>
              </c:ext>
            </c:extLst>
          </c:dPt>
          <c:dPt>
            <c:idx val="11"/>
            <c:invertIfNegative val="0"/>
            <c:bubble3D val="0"/>
            <c:spPr>
              <a:solidFill>
                <a:srgbClr val="F97303"/>
              </a:solidFill>
              <a:ln>
                <a:noFill/>
              </a:ln>
              <a:effectLst/>
            </c:spPr>
            <c:extLst>
              <c:ext xmlns:c16="http://schemas.microsoft.com/office/drawing/2014/chart" uri="{C3380CC4-5D6E-409C-BE32-E72D297353CC}">
                <c16:uniqueId val="{0000000E-07FB-4328-9683-DA7D3A80229B}"/>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'SVF Indexes'!$B$105:$B$116</c:f>
              <c:strCache>
                <c:ptCount val="12"/>
                <c:pt idx="0">
                  <c:v>1Q23</c:v>
                </c:pt>
                <c:pt idx="1">
                  <c:v>2Q23</c:v>
                </c:pt>
                <c:pt idx="2">
                  <c:v>3Q23</c:v>
                </c:pt>
                <c:pt idx="3">
                  <c:v>4Q23</c:v>
                </c:pt>
                <c:pt idx="4">
                  <c:v>1Q24</c:v>
                </c:pt>
                <c:pt idx="5">
                  <c:v>2Q24</c:v>
                </c:pt>
                <c:pt idx="6">
                  <c:v>3Q24</c:v>
                </c:pt>
                <c:pt idx="7">
                  <c:v>4Q24</c:v>
                </c:pt>
                <c:pt idx="8">
                  <c:v>1Q25</c:v>
                </c:pt>
                <c:pt idx="9">
                  <c:v>2Q25E</c:v>
                </c:pt>
                <c:pt idx="10">
                  <c:v>3Q25E</c:v>
                </c:pt>
                <c:pt idx="11">
                  <c:v>4Q25E*</c:v>
                </c:pt>
              </c:strCache>
            </c:strRef>
          </c:cat>
          <c:val>
            <c:numRef>
              <c:f>'SVF Indexes'!$H$105:$H$116</c:f>
              <c:numCache>
                <c:formatCode>0.0%</c:formatCode>
                <c:ptCount val="12"/>
                <c:pt idx="0">
                  <c:v>9.966777408637828E-3</c:v>
                </c:pt>
                <c:pt idx="1">
                  <c:v>-6.557377049180324E-2</c:v>
                </c:pt>
                <c:pt idx="2">
                  <c:v>5.7996485061511338E-2</c:v>
                </c:pt>
                <c:pt idx="3">
                  <c:v>-8.2918739635157168E-3</c:v>
                </c:pt>
                <c:pt idx="4">
                  <c:v>-7.7943615257048182E-2</c:v>
                </c:pt>
                <c:pt idx="5">
                  <c:v>5.3956834532374209E-2</c:v>
                </c:pt>
                <c:pt idx="6">
                  <c:v>-2.1848739495798242E-2</c:v>
                </c:pt>
                <c:pt idx="7">
                  <c:v>4.0257648953301084E-2</c:v>
                </c:pt>
                <c:pt idx="8">
                  <c:v>0.13103448275862095</c:v>
                </c:pt>
                <c:pt idx="9">
                  <c:v>0.19268292682926846</c:v>
                </c:pt>
                <c:pt idx="10">
                  <c:v>7.2566978665916784E-2</c:v>
                </c:pt>
                <c:pt idx="11">
                  <c:v>1.9675925925926041E-3</c:v>
                </c:pt>
              </c:numCache>
            </c:numRef>
          </c:val>
          <c:extLst>
            <c:ext xmlns:c16="http://schemas.microsoft.com/office/drawing/2014/chart" uri="{C3380CC4-5D6E-409C-BE32-E72D297353CC}">
              <c16:uniqueId val="{00000004-6FB2-44EE-85D7-D60E7E53EAC8}"/>
            </c:ext>
          </c:extLst>
        </c:ser>
        <c:dLbls>
          <c:dLblPos val="outEnd"/>
          <c:showLegendKey val="0"/>
          <c:showVal val="1"/>
          <c:showCatName val="0"/>
          <c:showSerName val="0"/>
          <c:showPercent val="0"/>
          <c:showBubbleSize val="0"/>
        </c:dLbls>
        <c:gapWidth val="219"/>
        <c:overlap val="-27"/>
        <c:axId val="768825679"/>
        <c:axId val="768823759"/>
      </c:barChart>
      <c:catAx>
        <c:axId val="76882567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768823759"/>
        <c:crosses val="autoZero"/>
        <c:auto val="1"/>
        <c:lblAlgn val="ctr"/>
        <c:lblOffset val="100"/>
        <c:noMultiLvlLbl val="0"/>
      </c:catAx>
      <c:valAx>
        <c:axId val="7688237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76882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rgbClr val="023D67"/>
              </a:solidFill>
              <a:round/>
            </a:ln>
            <a:effectLst/>
          </c:spPr>
          <c:marker>
            <c:symbol val="none"/>
          </c:marker>
          <c:cat>
            <c:strRef>
              <c:f>'SVF Indexes'!$A$10:$A$41</c:f>
              <c:strCache>
                <c:ptCount val="32"/>
                <c:pt idx="0">
                  <c:v>3Q18</c:v>
                </c:pt>
                <c:pt idx="1">
                  <c:v>4Q18</c:v>
                </c:pt>
                <c:pt idx="2">
                  <c:v>1Q19</c:v>
                </c:pt>
                <c:pt idx="3">
                  <c:v>2Q19</c:v>
                </c:pt>
                <c:pt idx="4">
                  <c:v>3Q19</c:v>
                </c:pt>
                <c:pt idx="5">
                  <c:v>4Q19</c:v>
                </c:pt>
                <c:pt idx="6">
                  <c:v>1Q20</c:v>
                </c:pt>
                <c:pt idx="7">
                  <c:v>2Q20</c:v>
                </c:pt>
                <c:pt idx="8">
                  <c:v>3Q20</c:v>
                </c:pt>
                <c:pt idx="9">
                  <c:v>4Q20</c:v>
                </c:pt>
                <c:pt idx="10">
                  <c:v>1Q21</c:v>
                </c:pt>
                <c:pt idx="11">
                  <c:v>2Q21</c:v>
                </c:pt>
                <c:pt idx="12">
                  <c:v>3Q21</c:v>
                </c:pt>
                <c:pt idx="13">
                  <c:v>4Q21</c:v>
                </c:pt>
                <c:pt idx="14">
                  <c:v>1Q22</c:v>
                </c:pt>
                <c:pt idx="15">
                  <c:v>2Q22</c:v>
                </c:pt>
                <c:pt idx="16">
                  <c:v>3Q22</c:v>
                </c:pt>
                <c:pt idx="17">
                  <c:v>4Q22</c:v>
                </c:pt>
                <c:pt idx="18">
                  <c:v>1Q23</c:v>
                </c:pt>
                <c:pt idx="19">
                  <c:v>2Q23</c:v>
                </c:pt>
                <c:pt idx="20">
                  <c:v>3Q23</c:v>
                </c:pt>
                <c:pt idx="21">
                  <c:v>4Q23</c:v>
                </c:pt>
                <c:pt idx="22">
                  <c:v>1Q24</c:v>
                </c:pt>
                <c:pt idx="23">
                  <c:v>2Q24</c:v>
                </c:pt>
                <c:pt idx="24">
                  <c:v>3Q24</c:v>
                </c:pt>
                <c:pt idx="25">
                  <c:v>4Q24</c:v>
                </c:pt>
                <c:pt idx="26">
                  <c:v>1Q25</c:v>
                </c:pt>
                <c:pt idx="27">
                  <c:v>2Q25</c:v>
                </c:pt>
                <c:pt idx="28">
                  <c:v>29 Oct.</c:v>
                </c:pt>
                <c:pt idx="29">
                  <c:v>25 Nov.</c:v>
                </c:pt>
                <c:pt idx="30">
                  <c:v>3Q25E</c:v>
                </c:pt>
                <c:pt idx="31">
                  <c:v>4Q25E</c:v>
                </c:pt>
              </c:strCache>
            </c:strRef>
          </c:cat>
          <c:val>
            <c:numRef>
              <c:f>'SVF Indexes'!$I$10:$I$41</c:f>
              <c:numCache>
                <c:formatCode>0%</c:formatCode>
                <c:ptCount val="32"/>
                <c:pt idx="0">
                  <c:v>0.63412953605879652</c:v>
                </c:pt>
                <c:pt idx="1">
                  <c:v>0.49978118161925589</c:v>
                </c:pt>
                <c:pt idx="2">
                  <c:v>0.51718377088305489</c:v>
                </c:pt>
                <c:pt idx="3">
                  <c:v>0.60803571428571423</c:v>
                </c:pt>
                <c:pt idx="4">
                  <c:v>0.60694333599361527</c:v>
                </c:pt>
                <c:pt idx="5">
                  <c:v>0.63781163434903054</c:v>
                </c:pt>
                <c:pt idx="6">
                  <c:v>0.52756947507719454</c:v>
                </c:pt>
                <c:pt idx="7">
                  <c:v>0.56310505557547508</c:v>
                </c:pt>
                <c:pt idx="8">
                  <c:v>0.39214463840399005</c:v>
                </c:pt>
                <c:pt idx="9">
                  <c:v>0.38441363806669171</c:v>
                </c:pt>
                <c:pt idx="10">
                  <c:v>0.5066666666666666</c:v>
                </c:pt>
                <c:pt idx="11">
                  <c:v>0.46864528482527523</c:v>
                </c:pt>
                <c:pt idx="12">
                  <c:v>0.51989664082687326</c:v>
                </c:pt>
                <c:pt idx="13">
                  <c:v>0.49512459371614281</c:v>
                </c:pt>
                <c:pt idx="14">
                  <c:v>0.54538087520259326</c:v>
                </c:pt>
                <c:pt idx="15">
                  <c:v>0.54154213986849964</c:v>
                </c:pt>
                <c:pt idx="16">
                  <c:v>0.404332129963899</c:v>
                </c:pt>
                <c:pt idx="17">
                  <c:v>0.46317280453257792</c:v>
                </c:pt>
                <c:pt idx="18">
                  <c:v>0.36270096463022505</c:v>
                </c:pt>
                <c:pt idx="19">
                  <c:v>0.43479585618525274</c:v>
                </c:pt>
                <c:pt idx="20">
                  <c:v>0.52053014553014554</c:v>
                </c:pt>
                <c:pt idx="21">
                  <c:v>0.52717782577393801</c:v>
                </c:pt>
                <c:pt idx="22">
                  <c:v>0.56691239013325756</c:v>
                </c:pt>
                <c:pt idx="23">
                  <c:v>0.57876594277835225</c:v>
                </c:pt>
                <c:pt idx="24">
                  <c:v>0.54856850715746419</c:v>
                </c:pt>
                <c:pt idx="25">
                  <c:v>0.58093385214007776</c:v>
                </c:pt>
                <c:pt idx="26">
                  <c:v>0.53672839506172831</c:v>
                </c:pt>
                <c:pt idx="27">
                  <c:v>0.20075075075075077</c:v>
                </c:pt>
                <c:pt idx="28">
                  <c:v>0.05</c:v>
                </c:pt>
                <c:pt idx="29">
                  <c:v>0.35</c:v>
                </c:pt>
                <c:pt idx="30">
                  <c:v>0.19036845507433753</c:v>
                </c:pt>
                <c:pt idx="31">
                  <c:v>0.29878252216738399</c:v>
                </c:pt>
              </c:numCache>
            </c:numRef>
          </c:val>
          <c:smooth val="0"/>
          <c:extLst>
            <c:ext xmlns:c16="http://schemas.microsoft.com/office/drawing/2014/chart" uri="{C3380CC4-5D6E-409C-BE32-E72D297353CC}">
              <c16:uniqueId val="{00000000-0A3D-41FB-B47D-7178A0647529}"/>
            </c:ext>
          </c:extLst>
        </c:ser>
        <c:dLbls>
          <c:showLegendKey val="0"/>
          <c:showVal val="0"/>
          <c:showCatName val="0"/>
          <c:showSerName val="0"/>
          <c:showPercent val="0"/>
          <c:showBubbleSize val="0"/>
        </c:dLbls>
        <c:smooth val="0"/>
        <c:axId val="560295504"/>
        <c:axId val="344029504"/>
      </c:lineChart>
      <c:catAx>
        <c:axId val="56029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344029504"/>
        <c:crosses val="autoZero"/>
        <c:auto val="1"/>
        <c:lblAlgn val="ctr"/>
        <c:lblOffset val="100"/>
        <c:noMultiLvlLbl val="0"/>
      </c:catAx>
      <c:valAx>
        <c:axId val="34402950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56029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'QoQ Discount to NAV Workings'!$W$3</c:f>
              <c:strCache>
                <c:ptCount val="1"/>
                <c:pt idx="0">
                  <c:v>T-Mobile $bn</c:v>
                </c:pt>
              </c:strCache>
            </c:strRef>
          </c:tx>
          <c:spPr>
            <a:solidFill>
              <a:srgbClr val="FF00FF"/>
            </a:solidFill>
            <a:ln>
              <a:noFill/>
            </a:ln>
            <a:effectLst/>
          </c:spPr>
          <c:cat>
            <c:strRef>
              <c:f>'QoQ Discount to NAV Workings'!$A$4:$A$25</c:f>
              <c:strCache>
                <c:ptCount val="22"/>
                <c:pt idx="0">
                  <c:v>1Q25</c:v>
                </c:pt>
                <c:pt idx="1">
                  <c:v>4Q24</c:v>
                </c:pt>
                <c:pt idx="2">
                  <c:v>3Q24</c:v>
                </c:pt>
                <c:pt idx="3">
                  <c:v>2Q24</c:v>
                </c:pt>
                <c:pt idx="4">
                  <c:v>1Q24</c:v>
                </c:pt>
                <c:pt idx="5">
                  <c:v>4Q23</c:v>
                </c:pt>
                <c:pt idx="6">
                  <c:v>3Q23</c:v>
                </c:pt>
                <c:pt idx="7">
                  <c:v>2Q23</c:v>
                </c:pt>
                <c:pt idx="8">
                  <c:v>1Q23</c:v>
                </c:pt>
                <c:pt idx="9">
                  <c:v>4Q22</c:v>
                </c:pt>
                <c:pt idx="10">
                  <c:v>3Q22</c:v>
                </c:pt>
                <c:pt idx="11">
                  <c:v>2Q22</c:v>
                </c:pt>
                <c:pt idx="12">
                  <c:v>1Q22</c:v>
                </c:pt>
                <c:pt idx="13">
                  <c:v>4Q21</c:v>
                </c:pt>
                <c:pt idx="14">
                  <c:v>3Q21</c:v>
                </c:pt>
                <c:pt idx="15">
                  <c:v>2Q21</c:v>
                </c:pt>
                <c:pt idx="16">
                  <c:v>1Q21</c:v>
                </c:pt>
                <c:pt idx="17">
                  <c:v>4Q20</c:v>
                </c:pt>
                <c:pt idx="18">
                  <c:v>3Q20</c:v>
                </c:pt>
                <c:pt idx="19">
                  <c:v>2Q20</c:v>
                </c:pt>
                <c:pt idx="20">
                  <c:v>1Q20</c:v>
                </c:pt>
                <c:pt idx="21">
                  <c:v>4Q19</c:v>
                </c:pt>
              </c:strCache>
            </c:strRef>
          </c:cat>
          <c:val>
            <c:numRef>
              <c:f>'QoQ Discount to NAV Workings'!$W$4:$W$25</c:f>
              <c:numCache>
                <c:formatCode>0.0</c:formatCode>
                <c:ptCount val="22"/>
                <c:pt idx="0">
                  <c:v>15.192320972308542</c:v>
                </c:pt>
                <c:pt idx="1">
                  <c:v>22.739432851792401</c:v>
                </c:pt>
                <c:pt idx="2">
                  <c:v>18.839297003413833</c:v>
                </c:pt>
                <c:pt idx="3">
                  <c:v>17.58565122959434</c:v>
                </c:pt>
                <c:pt idx="4">
                  <c:v>15.024523499099772</c:v>
                </c:pt>
                <c:pt idx="5">
                  <c:v>11.624067102569184</c:v>
                </c:pt>
                <c:pt idx="6">
                  <c:v>11.422125079320312</c:v>
                </c:pt>
                <c:pt idx="7">
                  <c:v>8.4904398983821352</c:v>
                </c:pt>
                <c:pt idx="8">
                  <c:v>8.2764328574384436</c:v>
                </c:pt>
                <c:pt idx="9">
                  <c:v>9.2114131655807689</c:v>
                </c:pt>
                <c:pt idx="10">
                  <c:v>8.666164280331575</c:v>
                </c:pt>
                <c:pt idx="11">
                  <c:v>7.9414405082521924</c:v>
                </c:pt>
                <c:pt idx="12">
                  <c:v>7.3163593795727246</c:v>
                </c:pt>
                <c:pt idx="13">
                  <c:v>7.8437780864449707</c:v>
                </c:pt>
                <c:pt idx="14">
                  <c:v>6.4336637106590162</c:v>
                </c:pt>
                <c:pt idx="15">
                  <c:v>6.9692637598284488</c:v>
                </c:pt>
                <c:pt idx="16">
                  <c:v>17.001266051727256</c:v>
                </c:pt>
                <c:pt idx="17">
                  <c:v>13.639237647908953</c:v>
                </c:pt>
                <c:pt idx="18">
                  <c:v>15.169082125603865</c:v>
                </c:pt>
                <c:pt idx="19">
                  <c:v>12.003780718336484</c:v>
                </c:pt>
                <c:pt idx="20">
                  <c:v>12.622981251160201</c:v>
                </c:pt>
                <c:pt idx="21">
                  <c:v>29.127997794725719</c:v>
                </c:pt>
              </c:numCache>
            </c:numRef>
          </c:val>
          <c:extLst>
            <c:ext xmlns:c16="http://schemas.microsoft.com/office/drawing/2014/chart" uri="{C3380CC4-5D6E-409C-BE32-E72D297353CC}">
              <c16:uniqueId val="{00000000-5E9B-4587-9230-05B286175650}"/>
            </c:ext>
          </c:extLst>
        </c:ser>
        <c:ser>
          <c:idx val="1"/>
          <c:order val="1"/>
          <c:tx>
            <c:strRef>
              <c:f>'QoQ Discount to NAV Workings'!$X$3</c:f>
              <c:strCache>
                <c:ptCount val="1"/>
                <c:pt idx="0">
                  <c:v>Deutsche Telekom $bn</c:v>
                </c:pt>
              </c:strCache>
            </c:strRef>
          </c:tx>
          <c:spPr>
            <a:solidFill>
              <a:schemeClr val="bg1">
                <a:lumMod val="95000"/>
              </a:schemeClr>
            </a:solidFill>
            <a:ln w="19050">
              <a:solidFill>
                <a:srgbClr val="FF00FF"/>
              </a:solidFill>
              <a:prstDash val="sysDash"/>
            </a:ln>
            <a:effectLst/>
          </c:spPr>
          <c:cat>
            <c:strRef>
              <c:f>'QoQ Discount to NAV Workings'!$A$4:$A$25</c:f>
              <c:strCache>
                <c:ptCount val="22"/>
                <c:pt idx="0">
                  <c:v>1Q25</c:v>
                </c:pt>
                <c:pt idx="1">
                  <c:v>4Q24</c:v>
                </c:pt>
                <c:pt idx="2">
                  <c:v>3Q24</c:v>
                </c:pt>
                <c:pt idx="3">
                  <c:v>2Q24</c:v>
                </c:pt>
                <c:pt idx="4">
                  <c:v>1Q24</c:v>
                </c:pt>
                <c:pt idx="5">
                  <c:v>4Q23</c:v>
                </c:pt>
                <c:pt idx="6">
                  <c:v>3Q23</c:v>
                </c:pt>
                <c:pt idx="7">
                  <c:v>2Q23</c:v>
                </c:pt>
                <c:pt idx="8">
                  <c:v>1Q23</c:v>
                </c:pt>
                <c:pt idx="9">
                  <c:v>4Q22</c:v>
                </c:pt>
                <c:pt idx="10">
                  <c:v>3Q22</c:v>
                </c:pt>
                <c:pt idx="11">
                  <c:v>2Q22</c:v>
                </c:pt>
                <c:pt idx="12">
                  <c:v>1Q22</c:v>
                </c:pt>
                <c:pt idx="13">
                  <c:v>4Q21</c:v>
                </c:pt>
                <c:pt idx="14">
                  <c:v>3Q21</c:v>
                </c:pt>
                <c:pt idx="15">
                  <c:v>2Q21</c:v>
                </c:pt>
                <c:pt idx="16">
                  <c:v>1Q21</c:v>
                </c:pt>
                <c:pt idx="17">
                  <c:v>4Q20</c:v>
                </c:pt>
                <c:pt idx="18">
                  <c:v>3Q20</c:v>
                </c:pt>
                <c:pt idx="19">
                  <c:v>2Q20</c:v>
                </c:pt>
                <c:pt idx="20">
                  <c:v>1Q20</c:v>
                </c:pt>
                <c:pt idx="21">
                  <c:v>4Q19</c:v>
                </c:pt>
              </c:strCache>
            </c:strRef>
          </c:cat>
          <c:val>
            <c:numRef>
              <c:f>'QoQ Discount to NAV Workings'!$X$4:$X$25</c:f>
              <c:numCache>
                <c:formatCode>0.0</c:formatCode>
                <c:ptCount val="22"/>
                <c:pt idx="0">
                  <c:v>2.4169601546854498</c:v>
                </c:pt>
                <c:pt idx="1">
                  <c:v>2.7421080791867309</c:v>
                </c:pt>
                <c:pt idx="2">
                  <c:v>2.4023264635225692</c:v>
                </c:pt>
                <c:pt idx="3">
                  <c:v>2.5923071533664963</c:v>
                </c:pt>
                <c:pt idx="4">
                  <c:v>2.2971378903582296</c:v>
                </c:pt>
                <c:pt idx="5">
                  <c:v>2.1795125817317218</c:v>
                </c:pt>
                <c:pt idx="6">
                  <c:v>2.044701403088204</c:v>
                </c:pt>
                <c:pt idx="7">
                  <c:v>1.5376387217542451</c:v>
                </c:pt>
                <c:pt idx="8">
                  <c:v>1.5863162976757017</c:v>
                </c:pt>
                <c:pt idx="9">
                  <c:v>2.0969070620834271</c:v>
                </c:pt>
                <c:pt idx="10">
                  <c:v>1.2057272042200453</c:v>
                </c:pt>
                <c:pt idx="11">
                  <c:v>0.89772805745459572</c:v>
                </c:pt>
                <c:pt idx="12">
                  <c:v>1.2437810945273631</c:v>
                </c:pt>
                <c:pt idx="13">
                  <c:v>0.81706021733801781</c:v>
                </c:pt>
                <c:pt idx="14">
                  <c:v>0.69553121196313683</c:v>
                </c:pt>
                <c:pt idx="15">
                  <c:v>4.5568263045032165</c:v>
                </c:pt>
                <c:pt idx="16">
                  <c:v>0</c:v>
                </c:pt>
                <c:pt idx="17">
                  <c:v>0</c:v>
                </c:pt>
                <c:pt idx="18">
                  <c:v>0</c:v>
                </c:pt>
                <c:pt idx="19">
                  <c:v>0</c:v>
                </c:pt>
                <c:pt idx="20">
                  <c:v>0</c:v>
                </c:pt>
                <c:pt idx="21">
                  <c:v>0</c:v>
                </c:pt>
              </c:numCache>
            </c:numRef>
          </c:val>
          <c:extLst>
            <c:ext xmlns:c16="http://schemas.microsoft.com/office/drawing/2014/chart" uri="{C3380CC4-5D6E-409C-BE32-E72D297353CC}">
              <c16:uniqueId val="{00000001-5E9B-4587-9230-05B286175650}"/>
            </c:ext>
          </c:extLst>
        </c:ser>
        <c:dLbls>
          <c:showLegendKey val="0"/>
          <c:showVal val="0"/>
          <c:showCatName val="0"/>
          <c:showSerName val="0"/>
          <c:showPercent val="0"/>
          <c:showBubbleSize val="0"/>
        </c:dLbls>
        <c:axId val="1315462927"/>
        <c:axId val="1315463887"/>
      </c:areaChart>
      <c:catAx>
        <c:axId val="1315462927"/>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1315463887"/>
        <c:crosses val="autoZero"/>
        <c:auto val="1"/>
        <c:lblAlgn val="ctr"/>
        <c:lblOffset val="100"/>
        <c:noMultiLvlLbl val="0"/>
      </c:catAx>
      <c:valAx>
        <c:axId val="1315463887"/>
        <c:scaling>
          <c:orientation val="minMax"/>
        </c:scaling>
        <c:delete val="0"/>
        <c:axPos val="r"/>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3154629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plotArea>
      <cx:plotAreaRegion>
        <cx:series layoutId="waterfall" uniqueId="{27E81E42-5234-4863-9D01-ECCB6FF34747}">
          <cx:dataPt idx="0">
            <cx:spPr>
              <a:solidFill>
                <a:srgbClr val="9D9D9C"/>
              </a:solidFill>
            </cx:spPr>
          </cx:dataPt>
          <cx:dataPt idx="1">
            <cx:spPr>
              <a:solidFill>
                <a:srgbClr val="2EB2A5"/>
              </a:solidFill>
            </cx:spPr>
          </cx:dataPt>
          <cx:dataPt idx="2">
            <cx:spPr>
              <a:solidFill>
                <a:srgbClr val="2EB2A5"/>
              </a:solidFill>
            </cx:spPr>
          </cx:dataPt>
          <cx:dataPt idx="3">
            <cx:spPr>
              <a:solidFill>
                <a:srgbClr val="2EB2A5"/>
              </a:solidFill>
            </cx:spPr>
          </cx:dataPt>
          <cx:dataPt idx="4">
            <cx:spPr>
              <a:solidFill>
                <a:srgbClr val="F97303"/>
              </a:solidFill>
            </cx:spPr>
          </cx:dataPt>
          <cx:dataPt idx="5">
            <cx:spPr>
              <a:solidFill>
                <a:srgbClr val="F97303"/>
              </a:solidFill>
            </cx:spPr>
          </cx:dataPt>
          <cx:dataPt idx="6">
            <cx:spPr>
              <a:solidFill>
                <a:srgbClr val="F97303"/>
              </a:solidFill>
            </cx:spPr>
          </cx:dataPt>
          <cx:dataPt idx="7">
            <cx:spPr>
              <a:solidFill>
                <a:srgbClr val="F97303"/>
              </a:solidFill>
            </cx:spPr>
          </cx:dataPt>
          <cx:dataPt idx="8">
            <cx:spPr>
              <a:solidFill>
                <a:srgbClr val="FFC000"/>
              </a:solidFill>
            </cx:spPr>
          </cx:dataPt>
          <cx:dataLabels pos="ctr">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visibility seriesName="0" categoryName="0" value="1"/>
            <cx:separator>, </cx:separator>
          </cx:dataLabels>
          <cx:dataId val="0"/>
          <cx:layoutPr>
            <cx:subtotals>
              <cx:idx val="8"/>
            </cx:subtotals>
          </cx:layoutPr>
        </cx:series>
      </cx:plotAreaRegion>
      <cx:axis id="0">
        <cx:catScaling gapWidth="0.5"/>
        <cx:tickLabels/>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axis>
      <cx:axis id="1">
        <cx:valScaling/>
        <cx:majorGridlines/>
        <cx:tickLabels/>
        <cx:numFmt formatCode="$0&quot;bn&quot;" sourceLinked="0"/>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val">
        <cx:f>_xlchart.v1.6</cx:f>
      </cx:numDim>
    </cx:data>
  </cx:chartData>
  <cx:chart>
    <cx:plotArea>
      <cx:plotAreaRegion>
        <cx:series layoutId="waterfall" uniqueId="{BA54517A-98F0-456B-96B9-C6DD368A8EEB}">
          <cx:dataPt idx="0">
            <cx:spPr>
              <a:solidFill>
                <a:srgbClr val="2EB2A5"/>
              </a:solidFill>
            </cx:spPr>
          </cx:dataPt>
          <cx:dataPt idx="1">
            <cx:spPr>
              <a:solidFill>
                <a:srgbClr val="F97303"/>
              </a:solidFill>
            </cx:spPr>
          </cx:dataPt>
          <cx:dataPt idx="2">
            <cx:spPr>
              <a:solidFill>
                <a:srgbClr val="F97303"/>
              </a:solidFill>
            </cx:spPr>
          </cx:dataPt>
          <cx:dataPt idx="3">
            <cx:spPr>
              <a:solidFill>
                <a:srgbClr val="F97303"/>
              </a:solidFill>
            </cx:spPr>
          </cx:dataPt>
          <cx:dataPt idx="4">
            <cx:spPr>
              <a:solidFill>
                <a:srgbClr val="2EB2A5"/>
              </a:solidFill>
            </cx:spPr>
          </cx:dataPt>
          <cx:dataPt idx="5">
            <cx:spPr>
              <a:solidFill>
                <a:srgbClr val="023D67"/>
              </a:solidFill>
            </cx:spPr>
          </cx:dataPt>
          <cx:dataPt idx="6">
            <cx:spPr>
              <a:solidFill>
                <a:srgbClr val="023D67"/>
              </a:solidFill>
            </cx:spPr>
          </cx:dataPt>
          <cx:dataPt idx="7">
            <cx:spPr>
              <a:solidFill>
                <a:srgbClr val="023D67"/>
              </a:solidFill>
            </cx:spPr>
          </cx:dataPt>
          <cx:dataPt idx="8">
            <cx:spPr>
              <a:solidFill>
                <a:srgbClr val="023D67"/>
              </a:solidFill>
            </cx:spPr>
          </cx:dataPt>
          <cx:dataPt idx="9">
            <cx:spPr>
              <a:solidFill>
                <a:srgbClr val="023D67"/>
              </a:solidFill>
            </cx:spPr>
          </cx:dataPt>
          <cx:dataPt idx="10">
            <cx:spPr>
              <a:solidFill>
                <a:srgbClr val="2EB2A5"/>
              </a:solidFill>
            </cx:spPr>
          </cx:dataPt>
          <cx:dataLabels pos="outEnd">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visibility seriesName="0" categoryName="0" value="1"/>
          </cx:dataLabels>
          <cx:dataId val="0"/>
          <cx:layoutPr>
            <cx:subtotals>
              <cx:idx val="4"/>
              <cx:idx val="10"/>
            </cx:subtotals>
          </cx:layoutPr>
        </cx:series>
      </cx:plotAreaRegion>
      <cx:axis id="0">
        <cx:catScaling gapWidth="0.5"/>
        <cx:tickLabels/>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axis>
      <cx:axis id="1">
        <cx:valScaling/>
        <cx:tickLabels/>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plotArea>
      <cx:plotAreaRegion>
        <cx:series layoutId="waterfall" uniqueId="{0E250983-C522-4C09-9057-1B70C7238BBD}">
          <cx:dataPt idx="0">
            <cx:spPr>
              <a:solidFill>
                <a:srgbClr val="023D67"/>
              </a:solidFill>
            </cx:spPr>
          </cx:dataPt>
          <cx:dataPt idx="1">
            <cx:spPr>
              <a:solidFill>
                <a:srgbClr val="F97303"/>
              </a:solidFill>
            </cx:spPr>
          </cx:dataPt>
          <cx:dataPt idx="2">
            <cx:spPr>
              <a:solidFill>
                <a:srgbClr val="2EB2A5"/>
              </a:solidFill>
            </cx:spPr>
          </cx:dataPt>
          <cx:dataPt idx="3">
            <cx:spPr>
              <a:solidFill>
                <a:srgbClr val="9D9D9C"/>
              </a:solidFill>
            </cx:spPr>
          </cx:dataPt>
          <cx:dataPt idx="4">
            <cx:spPr>
              <a:solidFill>
                <a:srgbClr val="FFC000"/>
              </a:solidFill>
            </cx:spPr>
          </cx:dataPt>
          <cx:dataPt idx="5">
            <cx:spPr>
              <a:solidFill>
                <a:srgbClr val="9D9D9C"/>
              </a:solidFill>
            </cx:spPr>
          </cx:dataPt>
          <cx:dataPt idx="6">
            <cx:spPr>
              <a:solidFill>
                <a:srgbClr val="9D9D9C"/>
              </a:solidFill>
            </cx:spPr>
          </cx:dataPt>
          <cx:dataLabels pos="outEnd">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visibility seriesName="0" categoryName="0" value="1"/>
          </cx:dataLabels>
          <cx:dataId val="0"/>
          <cx:layoutPr>
            <cx:subtotals>
              <cx:idx val="3"/>
            </cx:subtotals>
          </cx:layoutPr>
        </cx:series>
      </cx:plotAreaRegion>
      <cx:axis id="0">
        <cx:catScaling gapWidth="0.5"/>
        <cx:tickLabels/>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axis>
      <cx:axis id="1">
        <cx:valScaling/>
        <cx:tickLabels/>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61EF61A1-9ADC-4C86-9E9D-14503245E6A2}">
          <cx:dataPt idx="0">
            <cx:spPr>
              <a:solidFill>
                <a:srgbClr val="023D67"/>
              </a:solidFill>
            </cx:spPr>
          </cx:dataPt>
          <cx:dataPt idx="1">
            <cx:spPr>
              <a:solidFill>
                <a:srgbClr val="FF00FF"/>
              </a:solidFill>
            </cx:spPr>
          </cx:dataPt>
          <cx:dataPt idx="2">
            <cx:spPr>
              <a:solidFill>
                <a:srgbClr val="2EB2A5"/>
              </a:solidFill>
            </cx:spPr>
          </cx:dataPt>
          <cx:dataPt idx="3">
            <cx:spPr>
              <a:solidFill>
                <a:srgbClr val="FFC000"/>
              </a:solidFill>
            </cx:spPr>
          </cx:dataPt>
          <cx:dataPt idx="4">
            <cx:spPr>
              <a:solidFill>
                <a:srgbClr val="FFC000"/>
              </a:solidFill>
            </cx:spPr>
          </cx:dataPt>
          <cx:dataPt idx="5">
            <cx:spPr>
              <a:solidFill>
                <a:srgbClr val="F97303"/>
              </a:solidFill>
            </cx:spPr>
          </cx:dataPt>
          <cx:dataPt idx="6">
            <cx:spPr>
              <a:solidFill>
                <a:sysClr val="windowText" lastClr="000000"/>
              </a:solidFill>
            </cx:spPr>
          </cx:dataPt>
          <cx:dataPt idx="7">
            <cx:spPr>
              <a:solidFill>
                <a:srgbClr val="F97303"/>
              </a:solidFill>
            </cx:spPr>
          </cx:dataPt>
          <cx:dataPt idx="8">
            <cx:spPr>
              <a:solidFill>
                <a:srgbClr val="F97303"/>
              </a:solidFill>
            </cx:spPr>
          </cx:dataPt>
          <cx:dataPt idx="9">
            <cx:spPr>
              <a:solidFill>
                <a:srgbClr val="F97303"/>
              </a:solidFill>
            </cx:spPr>
          </cx:dataPt>
          <cx:dataPt idx="10">
            <cx:spPr>
              <a:solidFill>
                <a:srgbClr val="023D67"/>
              </a:solidFill>
            </cx:spPr>
          </cx:dataPt>
          <cx:dataPt idx="11">
            <cx:spPr>
              <a:solidFill>
                <a:srgbClr val="F97303"/>
              </a:solidFill>
            </cx:spPr>
          </cx:dataPt>
          <cx:dataPt idx="12">
            <cx:spPr>
              <a:solidFill>
                <a:sysClr val="window" lastClr="FFFFFF">
                  <a:lumMod val="50000"/>
                </a:sysClr>
              </a:solidFill>
            </cx:spPr>
          </cx:dataPt>
          <cx:dataLabels pos="outEnd">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visibility seriesName="0" categoryName="0" value="1"/>
          </cx:dataLabels>
          <cx:dataId val="0"/>
          <cx:layoutPr>
            <cx:subtotals>
              <cx:idx val="10"/>
              <cx:idx val="12"/>
            </cx:subtotals>
          </cx:layoutPr>
        </cx:series>
      </cx:plotAreaRegion>
      <cx:axis id="0">
        <cx:catScaling gapWidth="0.5"/>
        <cx:tickLabels/>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axis>
      <cx:axis id="1">
        <cx:valScaling/>
        <cx:majorGridlines/>
        <cx:tickLabels/>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_xlchart.v1.8</cx:f>
      </cx:numDim>
    </cx:data>
  </cx:chartData>
  <cx:chart>
    <cx:plotArea>
      <cx:plotAreaRegion>
        <cx:series layoutId="waterfall" uniqueId="{935EBC98-0DEF-4BB6-9566-87B8AD3DC416}">
          <cx:dataPt idx="0">
            <cx:spPr>
              <a:solidFill>
                <a:srgbClr val="023D67"/>
              </a:solidFill>
            </cx:spPr>
          </cx:dataPt>
          <cx:dataPt idx="1">
            <cx:spPr>
              <a:solidFill>
                <a:srgbClr val="F97303"/>
              </a:solidFill>
            </cx:spPr>
          </cx:dataPt>
          <cx:dataPt idx="2">
            <cx:spPr>
              <a:solidFill>
                <a:srgbClr val="2EB2A5"/>
              </a:solidFill>
            </cx:spPr>
          </cx:dataPt>
          <cx:dataPt idx="3">
            <cx:spPr>
              <a:solidFill>
                <a:srgbClr val="FFC000"/>
              </a:solidFill>
            </cx:spPr>
          </cx:dataPt>
          <cx:dataPt idx="4">
            <cx:spPr>
              <a:solidFill>
                <a:srgbClr val="9D9D9C"/>
              </a:solidFill>
            </cx:spPr>
          </cx:dataPt>
          <cx:dataLabels pos="outEnd">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visibility seriesName="0" categoryName="0" value="1"/>
          </cx:dataLabels>
          <cx:dataId val="0"/>
          <cx:layoutPr>
            <cx:subtotals>
              <cx:idx val="2"/>
              <cx:idx val="4"/>
            </cx:subtotals>
          </cx:layoutPr>
        </cx:series>
      </cx:plotAreaRegion>
      <cx:axis id="0">
        <cx:catScaling gapWidth="0.5"/>
        <cx:tickLabels/>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axis>
      <cx:axis id="1">
        <cx:valScaling/>
        <cx:majorGridlines/>
        <cx:tickLabels/>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_xlchart.v1.10</cx:f>
      </cx:numDim>
    </cx:data>
  </cx:chartData>
  <cx:chart>
    <cx:plotArea>
      <cx:plotAreaRegion>
        <cx:series layoutId="waterfall" uniqueId="{8B464753-C576-432B-995A-FF0893A3EA30}">
          <cx:dataPt idx="0">
            <cx:spPr>
              <a:solidFill>
                <a:srgbClr val="9D9D9C"/>
              </a:solidFill>
            </cx:spPr>
          </cx:dataPt>
          <cx:dataPt idx="1">
            <cx:spPr>
              <a:solidFill>
                <a:srgbClr val="2EB2A5"/>
              </a:solidFill>
            </cx:spPr>
          </cx:dataPt>
          <cx:dataPt idx="2">
            <cx:spPr>
              <a:solidFill>
                <a:srgbClr val="2EB2A5"/>
              </a:solidFill>
            </cx:spPr>
          </cx:dataPt>
          <cx:dataPt idx="3">
            <cx:spPr>
              <a:solidFill>
                <a:srgbClr val="023D67"/>
              </a:solidFill>
            </cx:spPr>
          </cx:dataPt>
          <cx:dataLabels pos="outEnd">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visibility seriesName="0" categoryName="0" value="1"/>
          </cx:dataLabels>
          <cx:dataId val="0"/>
          <cx:layoutPr>
            <cx:subtotals>
              <cx:idx val="3"/>
            </cx:subtotals>
          </cx:layoutPr>
        </cx:series>
      </cx:plotAreaRegion>
      <cx:axis id="0">
        <cx:catScaling gapWidth="0.5"/>
        <cx:tickLabels/>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axis>
      <cx:axis id="1">
        <cx:valScaling/>
        <cx:majorGridlines/>
        <cx:tickLabels/>
        <cx:numFmt formatCode="$0&quot;bn&quot;" sourceLinked="0"/>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axis>
    </cx:plotArea>
  </cx:chart>
  <cx:spPr>
    <a:ln>
      <a:no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_xlchart.v1.12</cx:f>
      </cx:numDim>
    </cx:data>
  </cx:chartData>
  <cx:chart>
    <cx:plotArea>
      <cx:plotAreaRegion>
        <cx:series layoutId="waterfall" uniqueId="{AA218082-E493-4A0E-9112-37CEC575500E}">
          <cx:dataPt idx="0">
            <cx:spPr>
              <a:solidFill>
                <a:srgbClr val="023D67"/>
              </a:solidFill>
            </cx:spPr>
          </cx:dataPt>
          <cx:dataPt idx="1">
            <cx:spPr>
              <a:solidFill>
                <a:srgbClr val="F97303"/>
              </a:solidFill>
            </cx:spPr>
          </cx:dataPt>
          <cx:dataPt idx="2">
            <cx:spPr>
              <a:solidFill>
                <a:srgbClr val="FFC000"/>
              </a:solidFill>
            </cx:spPr>
          </cx:dataPt>
          <cx:dataPt idx="3">
            <cx:spPr>
              <a:solidFill>
                <a:srgbClr val="2EB2A5"/>
              </a:solidFill>
            </cx:spPr>
          </cx:dataPt>
          <cx:dataPt idx="4">
            <cx:spPr>
              <a:solidFill>
                <a:srgbClr val="2EB2A5"/>
              </a:solidFill>
            </cx:spPr>
          </cx:dataPt>
          <cx:dataPt idx="5">
            <cx:spPr>
              <a:solidFill>
                <a:srgbClr val="9D9D9C"/>
              </a:solidFill>
            </cx:spPr>
          </cx:dataPt>
          <cx:dataLabels pos="outEnd">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visibility seriesName="0" categoryName="0" value="1"/>
          </cx:dataLabels>
          <cx:dataId val="0"/>
          <cx:layoutPr>
            <cx:subtotals>
              <cx:idx val="2"/>
              <cx:idx val="5"/>
            </cx:subtotals>
          </cx:layoutPr>
        </cx:series>
      </cx:plotAreaRegion>
      <cx:axis id="0">
        <cx:catScaling gapWidth="0.5"/>
        <cx:tickLabels/>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axis>
      <cx:axis id="1">
        <cx:valScaling/>
        <cx:majorGridlines/>
        <cx:tickLabels/>
        <cx:numFmt formatCode="$0&quot;bn&quot;" sourceLinked="0"/>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axis>
    </cx:plotArea>
  </cx:chart>
  <cx:spPr>
    <a:ln>
      <a:noFill/>
    </a:ln>
  </cx:spPr>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_xlchart.v1.14</cx:f>
      </cx:numDim>
    </cx:data>
  </cx:chartData>
  <cx:chart>
    <cx:plotArea>
      <cx:plotAreaRegion>
        <cx:series layoutId="waterfall" uniqueId="{B0BF1AE6-684E-46B3-B9DC-B4450D972F18}">
          <cx:dataPt idx="0">
            <cx:spPr>
              <a:solidFill>
                <a:srgbClr val="023D67"/>
              </a:solidFill>
            </cx:spPr>
          </cx:dataPt>
          <cx:dataPt idx="1">
            <cx:spPr>
              <a:solidFill>
                <a:srgbClr val="F97303"/>
              </a:solidFill>
            </cx:spPr>
          </cx:dataPt>
          <cx:dataPt idx="2">
            <cx:spPr>
              <a:solidFill>
                <a:srgbClr val="2EB2A5"/>
              </a:solidFill>
            </cx:spPr>
          </cx:dataPt>
          <cx:dataPt idx="3">
            <cx:spPr>
              <a:solidFill>
                <a:srgbClr val="9D9D9C"/>
              </a:solidFill>
            </cx:spPr>
          </cx:dataPt>
          <cx:dataPt idx="4">
            <cx:spPr>
              <a:solidFill>
                <a:srgbClr val="9D9D9C"/>
              </a:solidFill>
            </cx:spPr>
          </cx:dataPt>
          <cx:dataPt idx="5">
            <cx:spPr>
              <a:solidFill>
                <a:srgbClr val="2EB2A5"/>
              </a:solidFill>
            </cx:spPr>
          </cx:dataPt>
          <cx:dataPt idx="6">
            <cx:spPr>
              <a:solidFill>
                <a:srgbClr val="F97303"/>
              </a:solidFill>
            </cx:spPr>
          </cx:dataPt>
          <cx:dataPt idx="7">
            <cx:spPr>
              <a:solidFill>
                <a:srgbClr val="2EB2A5"/>
              </a:solidFill>
            </cx:spPr>
          </cx:dataPt>
          <cx:dataLabels pos="outEnd">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visibility seriesName="0" categoryName="0" value="1"/>
          </cx:dataLabels>
          <cx:dataId val="0"/>
          <cx:layoutPr>
            <cx:subtotals>
              <cx:idx val="2"/>
              <cx:idx val="5"/>
              <cx:idx val="7"/>
            </cx:subtotals>
          </cx:layoutPr>
        </cx:series>
      </cx:plotAreaRegion>
      <cx:axis id="0">
        <cx:catScaling gapWidth="0.5"/>
        <cx:tickLabels/>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axis>
      <cx:axis id="1">
        <cx:valScaling max="125"/>
        <cx:majorGridlines/>
        <cx:tickLabels/>
        <cx:numFmt formatCode="$0&quot;bn&quot;" sourceLinked="0"/>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axis>
    </cx:plotArea>
  </cx:chart>
  <cx:spPr>
    <a:ln>
      <a:noFill/>
    </a:ln>
  </cx:spPr>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plotArea>
      <cx:plotAreaRegion>
        <cx:series layoutId="waterfall" uniqueId="{B0BF1AE6-684E-46B3-B9DC-B4450D972F18}">
          <cx:dataPt idx="0">
            <cx:spPr>
              <a:solidFill>
                <a:srgbClr val="023D67"/>
              </a:solidFill>
            </cx:spPr>
          </cx:dataPt>
          <cx:dataPt idx="1">
            <cx:spPr>
              <a:solidFill>
                <a:srgbClr val="F97303"/>
              </a:solidFill>
            </cx:spPr>
          </cx:dataPt>
          <cx:dataPt idx="2">
            <cx:spPr>
              <a:solidFill>
                <a:srgbClr val="2EB2A5"/>
              </a:solidFill>
            </cx:spPr>
          </cx:dataPt>
          <cx:dataPt idx="3">
            <cx:spPr>
              <a:solidFill>
                <a:srgbClr val="9D9D9C"/>
              </a:solidFill>
            </cx:spPr>
          </cx:dataPt>
          <cx:dataPt idx="4">
            <cx:spPr>
              <a:solidFill>
                <a:srgbClr val="9D9D9C"/>
              </a:solidFill>
            </cx:spPr>
          </cx:dataPt>
          <cx:dataPt idx="5">
            <cx:spPr>
              <a:solidFill>
                <a:srgbClr val="2EB2A5"/>
              </a:solidFill>
            </cx:spPr>
          </cx:dataPt>
          <cx:dataPt idx="6">
            <cx:spPr>
              <a:solidFill>
                <a:srgbClr val="F97303"/>
              </a:solidFill>
            </cx:spPr>
          </cx:dataPt>
          <cx:dataPt idx="7">
            <cx:spPr>
              <a:solidFill>
                <a:srgbClr val="2EB2A5"/>
              </a:solidFill>
            </cx:spPr>
          </cx:dataPt>
          <cx:dataLabels pos="outEnd">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visibility seriesName="0" categoryName="0" value="1"/>
          </cx:dataLabels>
          <cx:dataId val="0"/>
          <cx:layoutPr>
            <cx:subtotals>
              <cx:idx val="2"/>
              <cx:idx val="5"/>
              <cx:idx val="7"/>
            </cx:subtotals>
          </cx:layoutPr>
        </cx:series>
      </cx:plotAreaRegion>
      <cx:axis id="0">
        <cx:catScaling gapWidth="0.5"/>
        <cx:tickLabels/>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axis>
      <cx:axis id="1">
        <cx:valScaling max="125"/>
        <cx:majorGridlines/>
        <cx:tickLabels/>
        <cx:numFmt formatCode="$0&quot;bn&quot;" sourceLinked="0"/>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axis>
    </cx:plotArea>
  </cx:chart>
  <cx:spPr>
    <a:ln>
      <a:noFill/>
    </a:ln>
  </cx:spPr>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val">
        <cx:f>_xlchart.v1.16</cx:f>
      </cx:numDim>
    </cx:data>
  </cx:chartData>
  <cx:chart>
    <cx:plotArea>
      <cx:plotAreaRegion>
        <cx:series layoutId="waterfall" uniqueId="{CEF1DB0E-A961-4713-AB94-64CE179B1E98}">
          <cx:dataPt idx="0">
            <cx:spPr>
              <a:solidFill>
                <a:srgbClr val="023D67"/>
              </a:solidFill>
            </cx:spPr>
          </cx:dataPt>
          <cx:dataPt idx="1">
            <cx:spPr>
              <a:solidFill>
                <a:srgbClr val="F97303"/>
              </a:solidFill>
            </cx:spPr>
          </cx:dataPt>
          <cx:dataPt idx="2">
            <cx:spPr>
              <a:solidFill>
                <a:srgbClr val="FF00FF"/>
              </a:solidFill>
            </cx:spPr>
          </cx:dataPt>
          <cx:dataPt idx="3">
            <cx:spPr>
              <a:solidFill>
                <a:srgbClr val="FF0000"/>
              </a:solidFill>
            </cx:spPr>
          </cx:dataPt>
          <cx:dataPt idx="4">
            <cx:spPr>
              <a:solidFill>
                <a:srgbClr val="FFC000"/>
              </a:solidFill>
            </cx:spPr>
          </cx:dataPt>
          <cx:dataPt idx="5">
            <cx:spPr>
              <a:solidFill>
                <a:srgbClr val="0070C0"/>
              </a:solidFill>
            </cx:spPr>
          </cx:dataPt>
          <cx:dataPt idx="6">
            <cx:spPr>
              <a:solidFill>
                <a:srgbClr val="FFC000"/>
              </a:solidFill>
            </cx:spPr>
          </cx:dataPt>
          <cx:dataPt idx="7">
            <cx:spPr>
              <a:solidFill>
                <a:srgbClr val="F97303"/>
              </a:solidFill>
            </cx:spPr>
          </cx:dataPt>
          <cx:dataPt idx="8">
            <cx:spPr>
              <a:solidFill>
                <a:srgbClr val="F97303"/>
              </a:solidFill>
            </cx:spPr>
          </cx:dataPt>
          <cx:dataPt idx="9">
            <cx:spPr>
              <a:solidFill>
                <a:sysClr val="windowText" lastClr="000000"/>
              </a:solidFill>
            </cx:spPr>
          </cx:dataPt>
          <cx:dataPt idx="10">
            <cx:spPr>
              <a:solidFill>
                <a:srgbClr val="9D9D9C"/>
              </a:solidFill>
            </cx:spPr>
          </cx:dataPt>
          <cx:dataPt idx="11">
            <cx:spPr>
              <a:solidFill>
                <a:srgbClr val="FF0000"/>
              </a:solidFill>
            </cx:spPr>
          </cx:dataPt>
          <cx:dataPt idx="12">
            <cx:spPr>
              <a:solidFill>
                <a:srgbClr val="92D050"/>
              </a:solidFill>
            </cx:spPr>
          </cx:dataPt>
          <cx:dataPt idx="13">
            <cx:spPr>
              <a:solidFill>
                <a:srgbClr val="0070C0"/>
              </a:solidFill>
            </cx:spPr>
          </cx:dataPt>
          <cx:dataPt idx="14">
            <cx:spPr>
              <a:solidFill>
                <a:srgbClr val="F97303"/>
              </a:solidFill>
            </cx:spPr>
          </cx:dataPt>
          <cx:dataPt idx="15">
            <cx:spPr>
              <a:solidFill>
                <a:srgbClr val="023D67"/>
              </a:solidFill>
            </cx:spPr>
          </cx:dataPt>
          <cx:dataLabels pos="outEnd">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visibility seriesName="0" categoryName="0" value="1"/>
          </cx:dataLabels>
          <cx:dataId val="0"/>
          <cx:layoutPr>
            <cx:subtotals>
              <cx:idx val="15"/>
            </cx:subtotals>
          </cx:layoutPr>
        </cx:series>
      </cx:plotAreaRegion>
      <cx:axis id="0">
        <cx:catScaling gapWidth="0.5"/>
        <cx:tickLabels/>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axis>
      <cx:axis id="1">
        <cx:valScaling/>
        <cx:majorGridlines/>
        <cx:tickLabels/>
        <cx:txPr>
          <a:bodyPr vertOverflow="overflow" horzOverflow="overflow" wrap="square" lIns="0" tIns="0" rIns="0" bIns="0"/>
          <a:lstStyle/>
          <a:p>
            <a:pPr algn="ctr" rtl="0">
              <a:defRPr sz="8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sz="800">
              <a:solidFill>
                <a:sysClr val="windowText" lastClr="000000"/>
              </a:solidFill>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12.xml"/><Relationship Id="rId18" Type="http://schemas.openxmlformats.org/officeDocument/2006/relationships/chart" Target="../charts/chart16.xml"/><Relationship Id="rId26" Type="http://schemas.openxmlformats.org/officeDocument/2006/relationships/chart" Target="../charts/chart23.xml"/><Relationship Id="rId3" Type="http://schemas.openxmlformats.org/officeDocument/2006/relationships/chart" Target="../charts/chart3.xml"/><Relationship Id="rId21" Type="http://schemas.openxmlformats.org/officeDocument/2006/relationships/chart" Target="../charts/chart19.xml"/><Relationship Id="rId34" Type="http://schemas.openxmlformats.org/officeDocument/2006/relationships/chart" Target="../charts/chart30.xml"/><Relationship Id="rId7" Type="http://schemas.openxmlformats.org/officeDocument/2006/relationships/chart" Target="../charts/chart6.xml"/><Relationship Id="rId12" Type="http://schemas.openxmlformats.org/officeDocument/2006/relationships/chart" Target="../charts/chart11.xml"/><Relationship Id="rId17" Type="http://schemas.openxmlformats.org/officeDocument/2006/relationships/chart" Target="../charts/chart15.xml"/><Relationship Id="rId25" Type="http://schemas.openxmlformats.org/officeDocument/2006/relationships/chart" Target="../charts/chart22.xml"/><Relationship Id="rId33" Type="http://schemas.openxmlformats.org/officeDocument/2006/relationships/chart" Target="../charts/chart29.xml"/><Relationship Id="rId2" Type="http://schemas.openxmlformats.org/officeDocument/2006/relationships/chart" Target="../charts/chart2.xml"/><Relationship Id="rId16" Type="http://schemas.microsoft.com/office/2014/relationships/chartEx" Target="../charts/chartEx2.xml"/><Relationship Id="rId20" Type="http://schemas.openxmlformats.org/officeDocument/2006/relationships/chart" Target="../charts/chart18.xml"/><Relationship Id="rId29" Type="http://schemas.openxmlformats.org/officeDocument/2006/relationships/chart" Target="../charts/chart25.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10.xml"/><Relationship Id="rId24" Type="http://schemas.openxmlformats.org/officeDocument/2006/relationships/chart" Target="../charts/chart21.xml"/><Relationship Id="rId32" Type="http://schemas.openxmlformats.org/officeDocument/2006/relationships/chart" Target="../charts/chart28.xml"/><Relationship Id="rId5" Type="http://schemas.microsoft.com/office/2014/relationships/chartEx" Target="../charts/chartEx1.xml"/><Relationship Id="rId15" Type="http://schemas.openxmlformats.org/officeDocument/2006/relationships/chart" Target="../charts/chart14.xml"/><Relationship Id="rId23" Type="http://schemas.microsoft.com/office/2014/relationships/chartEx" Target="../charts/chartEx3.xml"/><Relationship Id="rId28" Type="http://schemas.microsoft.com/office/2014/relationships/chartEx" Target="../charts/chartEx4.xml"/><Relationship Id="rId10" Type="http://schemas.openxmlformats.org/officeDocument/2006/relationships/chart" Target="../charts/chart9.xml"/><Relationship Id="rId19" Type="http://schemas.openxmlformats.org/officeDocument/2006/relationships/chart" Target="../charts/chart17.xml"/><Relationship Id="rId31" Type="http://schemas.openxmlformats.org/officeDocument/2006/relationships/chart" Target="../charts/chart27.xml"/><Relationship Id="rId4" Type="http://schemas.openxmlformats.org/officeDocument/2006/relationships/chart" Target="../charts/chart4.xml"/><Relationship Id="rId9" Type="http://schemas.openxmlformats.org/officeDocument/2006/relationships/chart" Target="../charts/chart8.xml"/><Relationship Id="rId14" Type="http://schemas.openxmlformats.org/officeDocument/2006/relationships/chart" Target="../charts/chart13.xml"/><Relationship Id="rId22" Type="http://schemas.openxmlformats.org/officeDocument/2006/relationships/chart" Target="../charts/chart20.xml"/><Relationship Id="rId27" Type="http://schemas.openxmlformats.org/officeDocument/2006/relationships/chart" Target="../charts/chart24.xml"/><Relationship Id="rId30" Type="http://schemas.openxmlformats.org/officeDocument/2006/relationships/chart" Target="../charts/chart26.xml"/><Relationship Id="rId8" Type="http://schemas.openxmlformats.org/officeDocument/2006/relationships/chart" Target="../charts/chart7.xml"/></Relationships>
</file>

<file path=xl/drawings/_rels/drawing2.xml.rels><?xml version="1.0" encoding="UTF-8" standalone="yes"?>
<Relationships xmlns="http://schemas.openxmlformats.org/package/2006/relationships"><Relationship Id="rId1" Type="http://schemas.microsoft.com/office/2014/relationships/chartEx" Target="../charts/chartEx5.xml"/></Relationships>
</file>

<file path=xl/drawings/_rels/drawing3.xml.rels><?xml version="1.0" encoding="UTF-8" standalone="yes"?>
<Relationships xmlns="http://schemas.openxmlformats.org/package/2006/relationships"><Relationship Id="rId2" Type="http://schemas.microsoft.com/office/2014/relationships/chartEx" Target="../charts/chartEx7.xml"/><Relationship Id="rId1" Type="http://schemas.microsoft.com/office/2014/relationships/chartEx" Target="../charts/chartEx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5.xml.rels><?xml version="1.0" encoding="UTF-8" standalone="yes"?>
<Relationships xmlns="http://schemas.openxmlformats.org/package/2006/relationships"><Relationship Id="rId8" Type="http://schemas.openxmlformats.org/officeDocument/2006/relationships/chart" Target="../charts/chart37.xml"/><Relationship Id="rId3" Type="http://schemas.openxmlformats.org/officeDocument/2006/relationships/chart" Target="../charts/chart32.xml"/><Relationship Id="rId7" Type="http://schemas.openxmlformats.org/officeDocument/2006/relationships/chart" Target="../charts/chart36.xml"/><Relationship Id="rId2" Type="http://schemas.microsoft.com/office/2014/relationships/chartEx" Target="../charts/chartEx9.xml"/><Relationship Id="rId1" Type="http://schemas.microsoft.com/office/2014/relationships/chartEx" Target="../charts/chartEx8.xml"/><Relationship Id="rId6" Type="http://schemas.openxmlformats.org/officeDocument/2006/relationships/chart" Target="../charts/chart35.xml"/><Relationship Id="rId5" Type="http://schemas.openxmlformats.org/officeDocument/2006/relationships/chart" Target="../charts/chart34.xml"/><Relationship Id="rId4" Type="http://schemas.openxmlformats.org/officeDocument/2006/relationships/chart" Target="../charts/chart33.xml"/><Relationship Id="rId9" Type="http://schemas.openxmlformats.org/officeDocument/2006/relationships/chart" Target="../charts/chart3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chart" Target="../charts/chart40.xml"/><Relationship Id="rId1" Type="http://schemas.openxmlformats.org/officeDocument/2006/relationships/chart" Target="../charts/chart3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43.xml"/><Relationship Id="rId1" Type="http://schemas.openxmlformats.org/officeDocument/2006/relationships/chart" Target="../charts/chart42.xml"/></Relationships>
</file>

<file path=xl/drawings/_rels/drawing8.xml.rels><?xml version="1.0" encoding="UTF-8" standalone="yes"?>
<Relationships xmlns="http://schemas.openxmlformats.org/package/2006/relationships"><Relationship Id="rId2" Type="http://schemas.openxmlformats.org/officeDocument/2006/relationships/chart" Target="../charts/chart45.xml"/><Relationship Id="rId1" Type="http://schemas.openxmlformats.org/officeDocument/2006/relationships/chart" Target="../charts/chart4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chart" Target="../charts/chart4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12.xml.rels><?xml version="1.0" encoding="UTF-8" standalone="yes"?>
<Relationships xmlns="http://schemas.openxmlformats.org/package/2006/relationships"><Relationship Id="rId1" Type="http://schemas.microsoft.com/office/2014/relationships/chartEx" Target="../charts/chartEx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17.xml.rels><?xml version="1.0" encoding="UTF-8" standalone="yes"?>
<Relationships xmlns="http://schemas.openxmlformats.org/package/2006/relationships"><Relationship Id="rId8" Type="http://schemas.openxmlformats.org/officeDocument/2006/relationships/chart" Target="../charts/chart61.xml"/><Relationship Id="rId13" Type="http://schemas.openxmlformats.org/officeDocument/2006/relationships/chart" Target="../charts/chart66.xml"/><Relationship Id="rId3" Type="http://schemas.openxmlformats.org/officeDocument/2006/relationships/chart" Target="../charts/chart56.xml"/><Relationship Id="rId7" Type="http://schemas.openxmlformats.org/officeDocument/2006/relationships/chart" Target="../charts/chart60.xml"/><Relationship Id="rId12" Type="http://schemas.openxmlformats.org/officeDocument/2006/relationships/chart" Target="../charts/chart65.xml"/><Relationship Id="rId2" Type="http://schemas.openxmlformats.org/officeDocument/2006/relationships/chart" Target="../charts/chart55.xml"/><Relationship Id="rId1" Type="http://schemas.openxmlformats.org/officeDocument/2006/relationships/chart" Target="../charts/chart54.xml"/><Relationship Id="rId6" Type="http://schemas.openxmlformats.org/officeDocument/2006/relationships/chart" Target="../charts/chart59.xml"/><Relationship Id="rId11" Type="http://schemas.openxmlformats.org/officeDocument/2006/relationships/chart" Target="../charts/chart64.xml"/><Relationship Id="rId5" Type="http://schemas.openxmlformats.org/officeDocument/2006/relationships/chart" Target="../charts/chart58.xml"/><Relationship Id="rId15" Type="http://schemas.openxmlformats.org/officeDocument/2006/relationships/chart" Target="../charts/chart68.xml"/><Relationship Id="rId10" Type="http://schemas.openxmlformats.org/officeDocument/2006/relationships/chart" Target="../charts/chart63.xml"/><Relationship Id="rId4" Type="http://schemas.openxmlformats.org/officeDocument/2006/relationships/chart" Target="../charts/chart57.xml"/><Relationship Id="rId9" Type="http://schemas.openxmlformats.org/officeDocument/2006/relationships/chart" Target="../charts/chart62.xml"/><Relationship Id="rId14" Type="http://schemas.openxmlformats.org/officeDocument/2006/relationships/chart" Target="../charts/chart6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69.xml"/></Relationships>
</file>

<file path=xl/drawings/drawing1.xml><?xml version="1.0" encoding="utf-8"?>
<xdr:wsDr xmlns:xdr="http://schemas.openxmlformats.org/drawingml/2006/spreadsheetDrawing" xmlns:a="http://schemas.openxmlformats.org/drawingml/2006/main">
  <xdr:twoCellAnchor>
    <xdr:from>
      <xdr:col>9</xdr:col>
      <xdr:colOff>95250</xdr:colOff>
      <xdr:row>37</xdr:row>
      <xdr:rowOff>14817</xdr:rowOff>
    </xdr:from>
    <xdr:to>
      <xdr:col>13</xdr:col>
      <xdr:colOff>339917</xdr:colOff>
      <xdr:row>73</xdr:row>
      <xdr:rowOff>80817</xdr:rowOff>
    </xdr:to>
    <xdr:graphicFrame macro="">
      <xdr:nvGraphicFramePr>
        <xdr:cNvPr id="2" name="Chart 1">
          <a:extLst>
            <a:ext uri="{FF2B5EF4-FFF2-40B4-BE49-F238E27FC236}">
              <a16:creationId xmlns:a16="http://schemas.microsoft.com/office/drawing/2014/main" id="{B49B3E54-D6FA-595E-1ADD-EF219AC793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105840</xdr:colOff>
      <xdr:row>37</xdr:row>
      <xdr:rowOff>14817</xdr:rowOff>
    </xdr:from>
    <xdr:to>
      <xdr:col>22</xdr:col>
      <xdr:colOff>350506</xdr:colOff>
      <xdr:row>73</xdr:row>
      <xdr:rowOff>80817</xdr:rowOff>
    </xdr:to>
    <xdr:graphicFrame macro="">
      <xdr:nvGraphicFramePr>
        <xdr:cNvPr id="3" name="Chart 2">
          <a:extLst>
            <a:ext uri="{FF2B5EF4-FFF2-40B4-BE49-F238E27FC236}">
              <a16:creationId xmlns:a16="http://schemas.microsoft.com/office/drawing/2014/main" id="{E822529F-35E9-4E6A-9FF7-FA01FB51A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95250</xdr:colOff>
      <xdr:row>85</xdr:row>
      <xdr:rowOff>110065</xdr:rowOff>
    </xdr:from>
    <xdr:to>
      <xdr:col>16</xdr:col>
      <xdr:colOff>298417</xdr:colOff>
      <xdr:row>103</xdr:row>
      <xdr:rowOff>143065</xdr:rowOff>
    </xdr:to>
    <xdr:graphicFrame macro="">
      <xdr:nvGraphicFramePr>
        <xdr:cNvPr id="7" name="Chart 6">
          <a:extLst>
            <a:ext uri="{FF2B5EF4-FFF2-40B4-BE49-F238E27FC236}">
              <a16:creationId xmlns:a16="http://schemas.microsoft.com/office/drawing/2014/main" id="{C7B3EC91-AD72-A9FA-418D-DE2A4348F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603251</xdr:colOff>
      <xdr:row>85</xdr:row>
      <xdr:rowOff>110065</xdr:rowOff>
    </xdr:from>
    <xdr:to>
      <xdr:col>24</xdr:col>
      <xdr:colOff>192583</xdr:colOff>
      <xdr:row>103</xdr:row>
      <xdr:rowOff>143065</xdr:rowOff>
    </xdr:to>
    <xdr:graphicFrame macro="">
      <xdr:nvGraphicFramePr>
        <xdr:cNvPr id="8" name="Chart 7">
          <a:extLst>
            <a:ext uri="{FF2B5EF4-FFF2-40B4-BE49-F238E27FC236}">
              <a16:creationId xmlns:a16="http://schemas.microsoft.com/office/drawing/2014/main" id="{D8D6E360-4E30-DBB6-97C5-5752A8865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95250</xdr:colOff>
      <xdr:row>116</xdr:row>
      <xdr:rowOff>88900</xdr:rowOff>
    </xdr:from>
    <xdr:to>
      <xdr:col>16</xdr:col>
      <xdr:colOff>298417</xdr:colOff>
      <xdr:row>134</xdr:row>
      <xdr:rowOff>121900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75DC18BF-7DC8-23C5-37F7-5D2C9BFB62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581650" y="17767300"/>
              <a:ext cx="4470367" cy="2776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603249</xdr:colOff>
      <xdr:row>37</xdr:row>
      <xdr:rowOff>14817</xdr:rowOff>
    </xdr:from>
    <xdr:to>
      <xdr:col>31</xdr:col>
      <xdr:colOff>192583</xdr:colOff>
      <xdr:row>69</xdr:row>
      <xdr:rowOff>133484</xdr:rowOff>
    </xdr:to>
    <xdr:graphicFrame macro="">
      <xdr:nvGraphicFramePr>
        <xdr:cNvPr id="11" name="Chart 10">
          <a:extLst>
            <a:ext uri="{FF2B5EF4-FFF2-40B4-BE49-F238E27FC236}">
              <a16:creationId xmlns:a16="http://schemas.microsoft.com/office/drawing/2014/main" id="{E6E69F8D-AB3C-CAF4-1EC6-A880B542DE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142873</xdr:colOff>
      <xdr:row>37</xdr:row>
      <xdr:rowOff>14817</xdr:rowOff>
    </xdr:from>
    <xdr:to>
      <xdr:col>39</xdr:col>
      <xdr:colOff>346040</xdr:colOff>
      <xdr:row>69</xdr:row>
      <xdr:rowOff>133484</xdr:rowOff>
    </xdr:to>
    <xdr:graphicFrame macro="">
      <xdr:nvGraphicFramePr>
        <xdr:cNvPr id="12" name="Chart 11">
          <a:extLst>
            <a:ext uri="{FF2B5EF4-FFF2-40B4-BE49-F238E27FC236}">
              <a16:creationId xmlns:a16="http://schemas.microsoft.com/office/drawing/2014/main" id="{2002AD4C-D7E9-431F-D54B-47DE69FFE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74083</xdr:colOff>
      <xdr:row>145</xdr:row>
      <xdr:rowOff>88900</xdr:rowOff>
    </xdr:from>
    <xdr:to>
      <xdr:col>16</xdr:col>
      <xdr:colOff>277250</xdr:colOff>
      <xdr:row>163</xdr:row>
      <xdr:rowOff>121900</xdr:rowOff>
    </xdr:to>
    <xdr:graphicFrame macro="">
      <xdr:nvGraphicFramePr>
        <xdr:cNvPr id="13" name="Chart 12">
          <a:extLst>
            <a:ext uri="{FF2B5EF4-FFF2-40B4-BE49-F238E27FC236}">
              <a16:creationId xmlns:a16="http://schemas.microsoft.com/office/drawing/2014/main" id="{BF938202-1DFE-E607-B760-3C9D7F0FA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74083</xdr:colOff>
      <xdr:row>173</xdr:row>
      <xdr:rowOff>120651</xdr:rowOff>
    </xdr:from>
    <xdr:to>
      <xdr:col>16</xdr:col>
      <xdr:colOff>277250</xdr:colOff>
      <xdr:row>192</xdr:row>
      <xdr:rowOff>5484</xdr:rowOff>
    </xdr:to>
    <xdr:graphicFrame macro="">
      <xdr:nvGraphicFramePr>
        <xdr:cNvPr id="14" name="Chart 13">
          <a:extLst>
            <a:ext uri="{FF2B5EF4-FFF2-40B4-BE49-F238E27FC236}">
              <a16:creationId xmlns:a16="http://schemas.microsoft.com/office/drawing/2014/main" id="{39C45FD3-8BEE-FFEA-D6C8-F431AF5CD4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74083</xdr:colOff>
      <xdr:row>203</xdr:row>
      <xdr:rowOff>99485</xdr:rowOff>
    </xdr:from>
    <xdr:to>
      <xdr:col>16</xdr:col>
      <xdr:colOff>277250</xdr:colOff>
      <xdr:row>221</xdr:row>
      <xdr:rowOff>132485</xdr:rowOff>
    </xdr:to>
    <xdr:graphicFrame macro="">
      <xdr:nvGraphicFramePr>
        <xdr:cNvPr id="15" name="Chart 14">
          <a:extLst>
            <a:ext uri="{FF2B5EF4-FFF2-40B4-BE49-F238E27FC236}">
              <a16:creationId xmlns:a16="http://schemas.microsoft.com/office/drawing/2014/main" id="{0E641677-CCD8-647A-E6AC-E4C379BB34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254001</xdr:colOff>
      <xdr:row>11</xdr:row>
      <xdr:rowOff>99485</xdr:rowOff>
    </xdr:from>
    <xdr:to>
      <xdr:col>50</xdr:col>
      <xdr:colOff>277167</xdr:colOff>
      <xdr:row>29</xdr:row>
      <xdr:rowOff>132485</xdr:rowOff>
    </xdr:to>
    <xdr:graphicFrame macro="">
      <xdr:nvGraphicFramePr>
        <xdr:cNvPr id="17" name="Chart 16">
          <a:extLst>
            <a:ext uri="{FF2B5EF4-FFF2-40B4-BE49-F238E27FC236}">
              <a16:creationId xmlns:a16="http://schemas.microsoft.com/office/drawing/2014/main" id="{3F2614B8-2BF6-2781-8832-A2E684776B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43</xdr:col>
      <xdr:colOff>254001</xdr:colOff>
      <xdr:row>30</xdr:row>
      <xdr:rowOff>105833</xdr:rowOff>
    </xdr:from>
    <xdr:to>
      <xdr:col>50</xdr:col>
      <xdr:colOff>277167</xdr:colOff>
      <xdr:row>48</xdr:row>
      <xdr:rowOff>138833</xdr:rowOff>
    </xdr:to>
    <xdr:graphicFrame macro="">
      <xdr:nvGraphicFramePr>
        <xdr:cNvPr id="18" name="Chart 17">
          <a:extLst>
            <a:ext uri="{FF2B5EF4-FFF2-40B4-BE49-F238E27FC236}">
              <a16:creationId xmlns:a16="http://schemas.microsoft.com/office/drawing/2014/main" id="{B8D93230-F1C3-46C5-BC87-B9ED15D80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74083</xdr:colOff>
      <xdr:row>224</xdr:row>
      <xdr:rowOff>84667</xdr:rowOff>
    </xdr:from>
    <xdr:to>
      <xdr:col>16</xdr:col>
      <xdr:colOff>277250</xdr:colOff>
      <xdr:row>242</xdr:row>
      <xdr:rowOff>117667</xdr:rowOff>
    </xdr:to>
    <xdr:graphicFrame macro="">
      <xdr:nvGraphicFramePr>
        <xdr:cNvPr id="19" name="Chart 18">
          <a:extLst>
            <a:ext uri="{FF2B5EF4-FFF2-40B4-BE49-F238E27FC236}">
              <a16:creationId xmlns:a16="http://schemas.microsoft.com/office/drawing/2014/main" id="{A052BBEC-E43C-42BF-A470-03C379A52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74083</xdr:colOff>
      <xdr:row>245</xdr:row>
      <xdr:rowOff>63503</xdr:rowOff>
    </xdr:from>
    <xdr:to>
      <xdr:col>16</xdr:col>
      <xdr:colOff>277250</xdr:colOff>
      <xdr:row>263</xdr:row>
      <xdr:rowOff>96503</xdr:rowOff>
    </xdr:to>
    <xdr:graphicFrame macro="">
      <xdr:nvGraphicFramePr>
        <xdr:cNvPr id="20" name="Chart 19">
          <a:extLst>
            <a:ext uri="{FF2B5EF4-FFF2-40B4-BE49-F238E27FC236}">
              <a16:creationId xmlns:a16="http://schemas.microsoft.com/office/drawing/2014/main" id="{F5DD6105-10D2-4A9F-9A4D-230C41178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74083</xdr:colOff>
      <xdr:row>274</xdr:row>
      <xdr:rowOff>78316</xdr:rowOff>
    </xdr:from>
    <xdr:to>
      <xdr:col>16</xdr:col>
      <xdr:colOff>277250</xdr:colOff>
      <xdr:row>292</xdr:row>
      <xdr:rowOff>111316</xdr:rowOff>
    </xdr:to>
    <xdr:graphicFrame macro="">
      <xdr:nvGraphicFramePr>
        <xdr:cNvPr id="6" name="Chart 5">
          <a:extLst>
            <a:ext uri="{FF2B5EF4-FFF2-40B4-BE49-F238E27FC236}">
              <a16:creationId xmlns:a16="http://schemas.microsoft.com/office/drawing/2014/main" id="{6D9B3AB3-C4B1-CB0C-0AA6-4373D8297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105833</xdr:colOff>
      <xdr:row>297</xdr:row>
      <xdr:rowOff>46567</xdr:rowOff>
    </xdr:from>
    <xdr:to>
      <xdr:col>19</xdr:col>
      <xdr:colOff>489000</xdr:colOff>
      <xdr:row>316</xdr:row>
      <xdr:rowOff>79567</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4B6A8D7-1C10-6920-5891-0142D6E282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7421033" y="45309367"/>
              <a:ext cx="4650367" cy="29286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222249</xdr:colOff>
      <xdr:row>324</xdr:row>
      <xdr:rowOff>78316</xdr:rowOff>
    </xdr:from>
    <xdr:to>
      <xdr:col>16</xdr:col>
      <xdr:colOff>425416</xdr:colOff>
      <xdr:row>342</xdr:row>
      <xdr:rowOff>111316</xdr:rowOff>
    </xdr:to>
    <xdr:graphicFrame macro="">
      <xdr:nvGraphicFramePr>
        <xdr:cNvPr id="5" name="Chart 4">
          <a:extLst>
            <a:ext uri="{FF2B5EF4-FFF2-40B4-BE49-F238E27FC236}">
              <a16:creationId xmlns:a16="http://schemas.microsoft.com/office/drawing/2014/main" id="{8DB3D8DE-9155-C178-F905-5BF7A300C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222249</xdr:colOff>
      <xdr:row>360</xdr:row>
      <xdr:rowOff>120649</xdr:rowOff>
    </xdr:from>
    <xdr:to>
      <xdr:col>16</xdr:col>
      <xdr:colOff>425416</xdr:colOff>
      <xdr:row>379</xdr:row>
      <xdr:rowOff>5482</xdr:rowOff>
    </xdr:to>
    <xdr:graphicFrame macro="">
      <xdr:nvGraphicFramePr>
        <xdr:cNvPr id="10" name="Chart 9">
          <a:extLst>
            <a:ext uri="{FF2B5EF4-FFF2-40B4-BE49-F238E27FC236}">
              <a16:creationId xmlns:a16="http://schemas.microsoft.com/office/drawing/2014/main" id="{EB9CAB76-AC59-A28A-8361-E890F99F7C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xdr:col>
      <xdr:colOff>502709</xdr:colOff>
      <xdr:row>360</xdr:row>
      <xdr:rowOff>120650</xdr:rowOff>
    </xdr:from>
    <xdr:to>
      <xdr:col>24</xdr:col>
      <xdr:colOff>92042</xdr:colOff>
      <xdr:row>379</xdr:row>
      <xdr:rowOff>5483</xdr:rowOff>
    </xdr:to>
    <xdr:graphicFrame macro="">
      <xdr:nvGraphicFramePr>
        <xdr:cNvPr id="21" name="Chart 20">
          <a:extLst>
            <a:ext uri="{FF2B5EF4-FFF2-40B4-BE49-F238E27FC236}">
              <a16:creationId xmlns:a16="http://schemas.microsoft.com/office/drawing/2014/main" id="{81C8AD2F-B1F3-8B23-8E4B-BE43263AAE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222249</xdr:colOff>
      <xdr:row>393</xdr:row>
      <xdr:rowOff>99484</xdr:rowOff>
    </xdr:from>
    <xdr:to>
      <xdr:col>16</xdr:col>
      <xdr:colOff>425416</xdr:colOff>
      <xdr:row>411</xdr:row>
      <xdr:rowOff>132484</xdr:rowOff>
    </xdr:to>
    <xdr:graphicFrame macro="">
      <xdr:nvGraphicFramePr>
        <xdr:cNvPr id="22" name="Chart 21">
          <a:extLst>
            <a:ext uri="{FF2B5EF4-FFF2-40B4-BE49-F238E27FC236}">
              <a16:creationId xmlns:a16="http://schemas.microsoft.com/office/drawing/2014/main" id="{BBDD341F-FF98-DE2C-87F9-BABBCAD93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9</xdr:col>
      <xdr:colOff>222249</xdr:colOff>
      <xdr:row>426</xdr:row>
      <xdr:rowOff>99482</xdr:rowOff>
    </xdr:from>
    <xdr:to>
      <xdr:col>16</xdr:col>
      <xdr:colOff>425416</xdr:colOff>
      <xdr:row>444</xdr:row>
      <xdr:rowOff>132482</xdr:rowOff>
    </xdr:to>
    <xdr:graphicFrame macro="">
      <xdr:nvGraphicFramePr>
        <xdr:cNvPr id="24" name="Chart 23">
          <a:extLst>
            <a:ext uri="{FF2B5EF4-FFF2-40B4-BE49-F238E27FC236}">
              <a16:creationId xmlns:a16="http://schemas.microsoft.com/office/drawing/2014/main" id="{D2581E8E-44C5-6CD1-0BD0-0D23D735F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9</xdr:col>
      <xdr:colOff>222249</xdr:colOff>
      <xdr:row>453</xdr:row>
      <xdr:rowOff>35983</xdr:rowOff>
    </xdr:from>
    <xdr:to>
      <xdr:col>16</xdr:col>
      <xdr:colOff>425416</xdr:colOff>
      <xdr:row>471</xdr:row>
      <xdr:rowOff>68983</xdr:rowOff>
    </xdr:to>
    <xdr:graphicFrame macro="">
      <xdr:nvGraphicFramePr>
        <xdr:cNvPr id="25" name="Chart 24">
          <a:extLst>
            <a:ext uri="{FF2B5EF4-FFF2-40B4-BE49-F238E27FC236}">
              <a16:creationId xmlns:a16="http://schemas.microsoft.com/office/drawing/2014/main" id="{9D9BC62E-3106-B059-75E5-9405D6BFF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222249</xdr:colOff>
      <xdr:row>482</xdr:row>
      <xdr:rowOff>78318</xdr:rowOff>
    </xdr:from>
    <xdr:to>
      <xdr:col>16</xdr:col>
      <xdr:colOff>425416</xdr:colOff>
      <xdr:row>500</xdr:row>
      <xdr:rowOff>111318</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72EAD076-CDC6-B6C3-4CB8-4BA253E8B2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5708649" y="74449518"/>
              <a:ext cx="4470367" cy="2776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52916</xdr:colOff>
      <xdr:row>536</xdr:row>
      <xdr:rowOff>35984</xdr:rowOff>
    </xdr:from>
    <xdr:to>
      <xdr:col>16</xdr:col>
      <xdr:colOff>256083</xdr:colOff>
      <xdr:row>554</xdr:row>
      <xdr:rowOff>68984</xdr:rowOff>
    </xdr:to>
    <xdr:graphicFrame macro="">
      <xdr:nvGraphicFramePr>
        <xdr:cNvPr id="23" name="Chart 22">
          <a:extLst>
            <a:ext uri="{FF2B5EF4-FFF2-40B4-BE49-F238E27FC236}">
              <a16:creationId xmlns:a16="http://schemas.microsoft.com/office/drawing/2014/main" id="{09EB0B99-5D81-BB34-7515-09AE45A4C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16</xdr:col>
      <xdr:colOff>391584</xdr:colOff>
      <xdr:row>536</xdr:row>
      <xdr:rowOff>35984</xdr:rowOff>
    </xdr:from>
    <xdr:to>
      <xdr:col>23</xdr:col>
      <xdr:colOff>594750</xdr:colOff>
      <xdr:row>554</xdr:row>
      <xdr:rowOff>68984</xdr:rowOff>
    </xdr:to>
    <xdr:graphicFrame macro="">
      <xdr:nvGraphicFramePr>
        <xdr:cNvPr id="26" name="Chart 25">
          <a:extLst>
            <a:ext uri="{FF2B5EF4-FFF2-40B4-BE49-F238E27FC236}">
              <a16:creationId xmlns:a16="http://schemas.microsoft.com/office/drawing/2014/main" id="{5D51DC3E-39BB-4302-B05B-ABC1C520C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12</xdr:col>
      <xdr:colOff>232834</xdr:colOff>
      <xdr:row>555</xdr:row>
      <xdr:rowOff>4233</xdr:rowOff>
    </xdr:from>
    <xdr:to>
      <xdr:col>19</xdr:col>
      <xdr:colOff>436001</xdr:colOff>
      <xdr:row>573</xdr:row>
      <xdr:rowOff>37233</xdr:rowOff>
    </xdr:to>
    <xdr:graphicFrame macro="">
      <xdr:nvGraphicFramePr>
        <xdr:cNvPr id="27" name="Chart 26">
          <a:extLst>
            <a:ext uri="{FF2B5EF4-FFF2-40B4-BE49-F238E27FC236}">
              <a16:creationId xmlns:a16="http://schemas.microsoft.com/office/drawing/2014/main" id="{DA9095E7-E5BC-0C0B-942B-43311C34F8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19</xdr:col>
      <xdr:colOff>497417</xdr:colOff>
      <xdr:row>555</xdr:row>
      <xdr:rowOff>4233</xdr:rowOff>
    </xdr:from>
    <xdr:to>
      <xdr:col>27</xdr:col>
      <xdr:colOff>86750</xdr:colOff>
      <xdr:row>573</xdr:row>
      <xdr:rowOff>37233</xdr:rowOff>
    </xdr:to>
    <xdr:graphicFrame macro="">
      <xdr:nvGraphicFramePr>
        <xdr:cNvPr id="28" name="Chart 27">
          <a:extLst>
            <a:ext uri="{FF2B5EF4-FFF2-40B4-BE49-F238E27FC236}">
              <a16:creationId xmlns:a16="http://schemas.microsoft.com/office/drawing/2014/main" id="{08C80535-E3A0-2470-E4AC-FA5F35A8E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12</xdr:col>
      <xdr:colOff>232834</xdr:colOff>
      <xdr:row>573</xdr:row>
      <xdr:rowOff>120651</xdr:rowOff>
    </xdr:from>
    <xdr:to>
      <xdr:col>24</xdr:col>
      <xdr:colOff>606834</xdr:colOff>
      <xdr:row>592</xdr:row>
      <xdr:rowOff>5484</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F9AC02FD-9BAC-C1BD-DADD-6198B7F0E0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8"/>
            </a:graphicData>
          </a:graphic>
        </xdr:graphicFrame>
      </mc:Choice>
      <mc:Fallback>
        <xdr:sp macro="" textlink="">
          <xdr:nvSpPr>
            <xdr:cNvPr id="0" name=""/>
            <xdr:cNvSpPr>
              <a:spLocks noTextEdit="1"/>
            </xdr:cNvSpPr>
          </xdr:nvSpPr>
          <xdr:spPr>
            <a:xfrm>
              <a:off x="7548034" y="88360251"/>
              <a:ext cx="7689200" cy="278043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42333</xdr:colOff>
      <xdr:row>606</xdr:row>
      <xdr:rowOff>46566</xdr:rowOff>
    </xdr:from>
    <xdr:to>
      <xdr:col>16</xdr:col>
      <xdr:colOff>245500</xdr:colOff>
      <xdr:row>624</xdr:row>
      <xdr:rowOff>79566</xdr:rowOff>
    </xdr:to>
    <xdr:graphicFrame macro="">
      <xdr:nvGraphicFramePr>
        <xdr:cNvPr id="30" name="Chart 29">
          <a:extLst>
            <a:ext uri="{FF2B5EF4-FFF2-40B4-BE49-F238E27FC236}">
              <a16:creationId xmlns:a16="http://schemas.microsoft.com/office/drawing/2014/main" id="{C6AA7A8D-7A3B-C308-B94E-0F90899D6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16</xdr:col>
      <xdr:colOff>317500</xdr:colOff>
      <xdr:row>606</xdr:row>
      <xdr:rowOff>46566</xdr:rowOff>
    </xdr:from>
    <xdr:to>
      <xdr:col>23</xdr:col>
      <xdr:colOff>520666</xdr:colOff>
      <xdr:row>624</xdr:row>
      <xdr:rowOff>79566</xdr:rowOff>
    </xdr:to>
    <xdr:graphicFrame macro="">
      <xdr:nvGraphicFramePr>
        <xdr:cNvPr id="31" name="Chart 30">
          <a:extLst>
            <a:ext uri="{FF2B5EF4-FFF2-40B4-BE49-F238E27FC236}">
              <a16:creationId xmlns:a16="http://schemas.microsoft.com/office/drawing/2014/main" id="{A9B37FEA-1EE8-A7E7-1555-5D2F781057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9</xdr:col>
      <xdr:colOff>42333</xdr:colOff>
      <xdr:row>631</xdr:row>
      <xdr:rowOff>35983</xdr:rowOff>
    </xdr:from>
    <xdr:to>
      <xdr:col>16</xdr:col>
      <xdr:colOff>245500</xdr:colOff>
      <xdr:row>649</xdr:row>
      <xdr:rowOff>68983</xdr:rowOff>
    </xdr:to>
    <xdr:graphicFrame macro="">
      <xdr:nvGraphicFramePr>
        <xdr:cNvPr id="33" name="Chart 32">
          <a:extLst>
            <a:ext uri="{FF2B5EF4-FFF2-40B4-BE49-F238E27FC236}">
              <a16:creationId xmlns:a16="http://schemas.microsoft.com/office/drawing/2014/main" id="{8A03EF31-125A-F893-AE3C-096D9733A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9</xdr:col>
      <xdr:colOff>42333</xdr:colOff>
      <xdr:row>653</xdr:row>
      <xdr:rowOff>35985</xdr:rowOff>
    </xdr:from>
    <xdr:to>
      <xdr:col>15</xdr:col>
      <xdr:colOff>139333</xdr:colOff>
      <xdr:row>671</xdr:row>
      <xdr:rowOff>68985</xdr:rowOff>
    </xdr:to>
    <xdr:graphicFrame macro="">
      <xdr:nvGraphicFramePr>
        <xdr:cNvPr id="34" name="Chart 33">
          <a:extLst>
            <a:ext uri="{FF2B5EF4-FFF2-40B4-BE49-F238E27FC236}">
              <a16:creationId xmlns:a16="http://schemas.microsoft.com/office/drawing/2014/main" id="{722A2DAE-20F0-FBCD-71F3-124EAC7DD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9</xdr:col>
      <xdr:colOff>42333</xdr:colOff>
      <xdr:row>676</xdr:row>
      <xdr:rowOff>35983</xdr:rowOff>
    </xdr:from>
    <xdr:to>
      <xdr:col>16</xdr:col>
      <xdr:colOff>245500</xdr:colOff>
      <xdr:row>694</xdr:row>
      <xdr:rowOff>68983</xdr:rowOff>
    </xdr:to>
    <xdr:graphicFrame macro="">
      <xdr:nvGraphicFramePr>
        <xdr:cNvPr id="32" name="Chart 31">
          <a:extLst>
            <a:ext uri="{FF2B5EF4-FFF2-40B4-BE49-F238E27FC236}">
              <a16:creationId xmlns:a16="http://schemas.microsoft.com/office/drawing/2014/main" id="{452BB665-90B4-6352-F072-693E75D70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9</xdr:col>
      <xdr:colOff>42333</xdr:colOff>
      <xdr:row>699</xdr:row>
      <xdr:rowOff>35986</xdr:rowOff>
    </xdr:from>
    <xdr:to>
      <xdr:col>16</xdr:col>
      <xdr:colOff>245500</xdr:colOff>
      <xdr:row>717</xdr:row>
      <xdr:rowOff>68986</xdr:rowOff>
    </xdr:to>
    <xdr:graphicFrame macro="">
      <xdr:nvGraphicFramePr>
        <xdr:cNvPr id="35" name="Chart 34">
          <a:extLst>
            <a:ext uri="{FF2B5EF4-FFF2-40B4-BE49-F238E27FC236}">
              <a16:creationId xmlns:a16="http://schemas.microsoft.com/office/drawing/2014/main" id="{649E82E4-4928-76A1-6E64-952D57113E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105833</xdr:colOff>
      <xdr:row>84</xdr:row>
      <xdr:rowOff>35984</xdr:rowOff>
    </xdr:from>
    <xdr:to>
      <xdr:col>13</xdr:col>
      <xdr:colOff>12667</xdr:colOff>
      <xdr:row>102</xdr:row>
      <xdr:rowOff>68984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0CC6EEC-8CC9-AE6C-D629-3305D2B67B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87333" y="13218584"/>
              <a:ext cx="4478834" cy="2776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10</xdr:col>
      <xdr:colOff>74083</xdr:colOff>
      <xdr:row>9</xdr:row>
      <xdr:rowOff>110067</xdr:rowOff>
    </xdr:from>
    <xdr:to>
      <xdr:col>17</xdr:col>
      <xdr:colOff>277249</xdr:colOff>
      <xdr:row>34</xdr:row>
      <xdr:rowOff>144067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9371E95-7CAB-BB2A-165E-072F788029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304433" y="1862667"/>
              <a:ext cx="4470366" cy="51394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100539</xdr:colOff>
      <xdr:row>11</xdr:row>
      <xdr:rowOff>110067</xdr:rowOff>
    </xdr:from>
    <xdr:to>
      <xdr:col>27</xdr:col>
      <xdr:colOff>156039</xdr:colOff>
      <xdr:row>37</xdr:row>
      <xdr:rowOff>38234</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3D3C6D73-AA09-F767-44A4-254CE75EF9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9207689" y="2243667"/>
              <a:ext cx="5541900" cy="514786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10</xdr:col>
      <xdr:colOff>84667</xdr:colOff>
      <xdr:row>22</xdr:row>
      <xdr:rowOff>46566</xdr:rowOff>
    </xdr:from>
    <xdr:to>
      <xdr:col>16</xdr:col>
      <xdr:colOff>12667</xdr:colOff>
      <xdr:row>40</xdr:row>
      <xdr:rowOff>79566</xdr:rowOff>
    </xdr:to>
    <xdr:graphicFrame macro="">
      <xdr:nvGraphicFramePr>
        <xdr:cNvPr id="2" name="Chart 1">
          <a:extLst>
            <a:ext uri="{FF2B5EF4-FFF2-40B4-BE49-F238E27FC236}">
              <a16:creationId xmlns:a16="http://schemas.microsoft.com/office/drawing/2014/main" id="{D41D21D9-A9D0-A109-BB92-6F6A6A3BA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75</xdr:col>
      <xdr:colOff>63501</xdr:colOff>
      <xdr:row>279</xdr:row>
      <xdr:rowOff>41274</xdr:rowOff>
    </xdr:from>
    <xdr:to>
      <xdr:col>82</xdr:col>
      <xdr:colOff>266668</xdr:colOff>
      <xdr:row>297</xdr:row>
      <xdr:rowOff>74274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B4F1E93-A2EC-97EC-3794-7A6BDAEDF3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793151" y="37531674"/>
              <a:ext cx="4470367" cy="2776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75</xdr:col>
      <xdr:colOff>63501</xdr:colOff>
      <xdr:row>299</xdr:row>
      <xdr:rowOff>52915</xdr:rowOff>
    </xdr:from>
    <xdr:to>
      <xdr:col>82</xdr:col>
      <xdr:colOff>266668</xdr:colOff>
      <xdr:row>317</xdr:row>
      <xdr:rowOff>85915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D9C1532-9288-42FE-A53F-BF9619383B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6793151" y="40591315"/>
              <a:ext cx="4470367" cy="2776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75</xdr:col>
      <xdr:colOff>89961</xdr:colOff>
      <xdr:row>17</xdr:row>
      <xdr:rowOff>51857</xdr:rowOff>
    </xdr:from>
    <xdr:to>
      <xdr:col>82</xdr:col>
      <xdr:colOff>293128</xdr:colOff>
      <xdr:row>35</xdr:row>
      <xdr:rowOff>84857</xdr:rowOff>
    </xdr:to>
    <xdr:graphicFrame macro="">
      <xdr:nvGraphicFramePr>
        <xdr:cNvPr id="4" name="Chart 3">
          <a:extLst>
            <a:ext uri="{FF2B5EF4-FFF2-40B4-BE49-F238E27FC236}">
              <a16:creationId xmlns:a16="http://schemas.microsoft.com/office/drawing/2014/main" id="{24D22FA2-AE95-5087-4EB7-384A48D3BE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53</xdr:col>
      <xdr:colOff>682624</xdr:colOff>
      <xdr:row>365</xdr:row>
      <xdr:rowOff>115367</xdr:rowOff>
    </xdr:from>
    <xdr:to>
      <xdr:col>73</xdr:col>
      <xdr:colOff>232624</xdr:colOff>
      <xdr:row>396</xdr:row>
      <xdr:rowOff>22200</xdr:rowOff>
    </xdr:to>
    <xdr:graphicFrame macro="">
      <xdr:nvGraphicFramePr>
        <xdr:cNvPr id="6" name="Chart 5">
          <a:extLst>
            <a:ext uri="{FF2B5EF4-FFF2-40B4-BE49-F238E27FC236}">
              <a16:creationId xmlns:a16="http://schemas.microsoft.com/office/drawing/2014/main" id="{CD6F74B9-A2DC-89C0-2249-3A80B18B96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82</xdr:col>
      <xdr:colOff>391584</xdr:colOff>
      <xdr:row>17</xdr:row>
      <xdr:rowOff>51857</xdr:rowOff>
    </xdr:from>
    <xdr:to>
      <xdr:col>89</xdr:col>
      <xdr:colOff>594751</xdr:colOff>
      <xdr:row>35</xdr:row>
      <xdr:rowOff>84857</xdr:rowOff>
    </xdr:to>
    <xdr:graphicFrame macro="">
      <xdr:nvGraphicFramePr>
        <xdr:cNvPr id="9" name="Chart 8">
          <a:extLst>
            <a:ext uri="{FF2B5EF4-FFF2-40B4-BE49-F238E27FC236}">
              <a16:creationId xmlns:a16="http://schemas.microsoft.com/office/drawing/2014/main" id="{F289C65D-4D33-4E40-A59F-456FF786B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75</xdr:col>
      <xdr:colOff>89961</xdr:colOff>
      <xdr:row>67</xdr:row>
      <xdr:rowOff>52915</xdr:rowOff>
    </xdr:from>
    <xdr:to>
      <xdr:col>82</xdr:col>
      <xdr:colOff>293128</xdr:colOff>
      <xdr:row>85</xdr:row>
      <xdr:rowOff>85915</xdr:rowOff>
    </xdr:to>
    <xdr:graphicFrame macro="">
      <xdr:nvGraphicFramePr>
        <xdr:cNvPr id="7" name="Chart 6">
          <a:extLst>
            <a:ext uri="{FF2B5EF4-FFF2-40B4-BE49-F238E27FC236}">
              <a16:creationId xmlns:a16="http://schemas.microsoft.com/office/drawing/2014/main" id="{F60BBFB8-6F90-4FEC-927C-237A46EA8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75</xdr:col>
      <xdr:colOff>63501</xdr:colOff>
      <xdr:row>339</xdr:row>
      <xdr:rowOff>42334</xdr:rowOff>
    </xdr:from>
    <xdr:to>
      <xdr:col>92</xdr:col>
      <xdr:colOff>608335</xdr:colOff>
      <xdr:row>369</xdr:row>
      <xdr:rowOff>97334</xdr:rowOff>
    </xdr:to>
    <xdr:graphicFrame macro="">
      <xdr:nvGraphicFramePr>
        <xdr:cNvPr id="8" name="Chart 7">
          <a:extLst>
            <a:ext uri="{FF2B5EF4-FFF2-40B4-BE49-F238E27FC236}">
              <a16:creationId xmlns:a16="http://schemas.microsoft.com/office/drawing/2014/main" id="{032FBCC6-2B40-45D8-B4A6-1F0AD1A44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57</xdr:col>
      <xdr:colOff>386293</xdr:colOff>
      <xdr:row>348</xdr:row>
      <xdr:rowOff>125937</xdr:rowOff>
    </xdr:from>
    <xdr:to>
      <xdr:col>64</xdr:col>
      <xdr:colOff>452293</xdr:colOff>
      <xdr:row>367</xdr:row>
      <xdr:rowOff>10771</xdr:rowOff>
    </xdr:to>
    <xdr:graphicFrame macro="">
      <xdr:nvGraphicFramePr>
        <xdr:cNvPr id="11" name="Chart 10">
          <a:extLst>
            <a:ext uri="{FF2B5EF4-FFF2-40B4-BE49-F238E27FC236}">
              <a16:creationId xmlns:a16="http://schemas.microsoft.com/office/drawing/2014/main" id="{CE940203-F5F9-82AC-33E7-C7E874C0CB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82</xdr:col>
      <xdr:colOff>349249</xdr:colOff>
      <xdr:row>67</xdr:row>
      <xdr:rowOff>52915</xdr:rowOff>
    </xdr:from>
    <xdr:to>
      <xdr:col>89</xdr:col>
      <xdr:colOff>552416</xdr:colOff>
      <xdr:row>85</xdr:row>
      <xdr:rowOff>85915</xdr:rowOff>
    </xdr:to>
    <xdr:graphicFrame macro="">
      <xdr:nvGraphicFramePr>
        <xdr:cNvPr id="5" name="Chart 4">
          <a:extLst>
            <a:ext uri="{FF2B5EF4-FFF2-40B4-BE49-F238E27FC236}">
              <a16:creationId xmlns:a16="http://schemas.microsoft.com/office/drawing/2014/main" id="{8172561D-120A-4B1D-A040-6B11695EA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78</xdr:col>
      <xdr:colOff>58207</xdr:colOff>
      <xdr:row>167</xdr:row>
      <xdr:rowOff>41275</xdr:rowOff>
    </xdr:from>
    <xdr:to>
      <xdr:col>85</xdr:col>
      <xdr:colOff>261374</xdr:colOff>
      <xdr:row>185</xdr:row>
      <xdr:rowOff>74275</xdr:rowOff>
    </xdr:to>
    <xdr:graphicFrame macro="">
      <xdr:nvGraphicFramePr>
        <xdr:cNvPr id="2" name="Chart 1">
          <a:extLst>
            <a:ext uri="{FF2B5EF4-FFF2-40B4-BE49-F238E27FC236}">
              <a16:creationId xmlns:a16="http://schemas.microsoft.com/office/drawing/2014/main" id="{8327C49C-3165-3C61-9224-F58420BE4B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85</xdr:col>
      <xdr:colOff>349249</xdr:colOff>
      <xdr:row>167</xdr:row>
      <xdr:rowOff>41275</xdr:rowOff>
    </xdr:from>
    <xdr:to>
      <xdr:col>92</xdr:col>
      <xdr:colOff>552416</xdr:colOff>
      <xdr:row>185</xdr:row>
      <xdr:rowOff>74275</xdr:rowOff>
    </xdr:to>
    <xdr:graphicFrame macro="">
      <xdr:nvGraphicFramePr>
        <xdr:cNvPr id="5" name="Chart 4">
          <a:extLst>
            <a:ext uri="{FF2B5EF4-FFF2-40B4-BE49-F238E27FC236}">
              <a16:creationId xmlns:a16="http://schemas.microsoft.com/office/drawing/2014/main" id="{43C552D5-6A91-440C-95D1-634E48825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78</xdr:col>
      <xdr:colOff>58207</xdr:colOff>
      <xdr:row>148</xdr:row>
      <xdr:rowOff>105834</xdr:rowOff>
    </xdr:from>
    <xdr:to>
      <xdr:col>85</xdr:col>
      <xdr:colOff>261374</xdr:colOff>
      <xdr:row>166</xdr:row>
      <xdr:rowOff>138834</xdr:rowOff>
    </xdr:to>
    <xdr:graphicFrame macro="">
      <xdr:nvGraphicFramePr>
        <xdr:cNvPr id="6" name="Chart 5">
          <a:extLst>
            <a:ext uri="{FF2B5EF4-FFF2-40B4-BE49-F238E27FC236}">
              <a16:creationId xmlns:a16="http://schemas.microsoft.com/office/drawing/2014/main" id="{EE55641F-126C-49CE-9963-8BC8C344C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59</xdr:col>
      <xdr:colOff>100541</xdr:colOff>
      <xdr:row>63</xdr:row>
      <xdr:rowOff>51857</xdr:rowOff>
    </xdr:from>
    <xdr:to>
      <xdr:col>65</xdr:col>
      <xdr:colOff>28541</xdr:colOff>
      <xdr:row>81</xdr:row>
      <xdr:rowOff>84857</xdr:rowOff>
    </xdr:to>
    <xdr:graphicFrame macro="">
      <xdr:nvGraphicFramePr>
        <xdr:cNvPr id="2" name="Chart 1">
          <a:extLst>
            <a:ext uri="{FF2B5EF4-FFF2-40B4-BE49-F238E27FC236}">
              <a16:creationId xmlns:a16="http://schemas.microsoft.com/office/drawing/2014/main" id="{E7BD5B7A-20C8-1E67-EA22-B516192741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65</xdr:col>
      <xdr:colOff>132291</xdr:colOff>
      <xdr:row>63</xdr:row>
      <xdr:rowOff>51857</xdr:rowOff>
    </xdr:from>
    <xdr:to>
      <xdr:col>71</xdr:col>
      <xdr:colOff>60291</xdr:colOff>
      <xdr:row>81</xdr:row>
      <xdr:rowOff>84857</xdr:rowOff>
    </xdr:to>
    <xdr:graphicFrame macro="">
      <xdr:nvGraphicFramePr>
        <xdr:cNvPr id="3" name="Chart 2">
          <a:extLst>
            <a:ext uri="{FF2B5EF4-FFF2-40B4-BE49-F238E27FC236}">
              <a16:creationId xmlns:a16="http://schemas.microsoft.com/office/drawing/2014/main" id="{1BABBCE6-3859-2AE8-868B-E9716A3FC0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59</xdr:col>
      <xdr:colOff>100541</xdr:colOff>
      <xdr:row>55</xdr:row>
      <xdr:rowOff>51849</xdr:rowOff>
    </xdr:from>
    <xdr:to>
      <xdr:col>65</xdr:col>
      <xdr:colOff>28541</xdr:colOff>
      <xdr:row>73</xdr:row>
      <xdr:rowOff>84849</xdr:rowOff>
    </xdr:to>
    <xdr:graphicFrame macro="">
      <xdr:nvGraphicFramePr>
        <xdr:cNvPr id="3" name="Chart 2">
          <a:extLst>
            <a:ext uri="{FF2B5EF4-FFF2-40B4-BE49-F238E27FC236}">
              <a16:creationId xmlns:a16="http://schemas.microsoft.com/office/drawing/2014/main" id="{9D105D63-233C-F8D9-87BA-A6E65DB98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70</xdr:col>
      <xdr:colOff>116417</xdr:colOff>
      <xdr:row>52</xdr:row>
      <xdr:rowOff>116416</xdr:rowOff>
    </xdr:from>
    <xdr:to>
      <xdr:col>76</xdr:col>
      <xdr:colOff>44417</xdr:colOff>
      <xdr:row>71</xdr:row>
      <xdr:rowOff>1250</xdr:rowOff>
    </xdr:to>
    <xdr:graphicFrame macro="">
      <xdr:nvGraphicFramePr>
        <xdr:cNvPr id="2" name="Chart 1">
          <a:extLst>
            <a:ext uri="{FF2B5EF4-FFF2-40B4-BE49-F238E27FC236}">
              <a16:creationId xmlns:a16="http://schemas.microsoft.com/office/drawing/2014/main" id="{D7C372B8-760A-43C1-AB1C-5BCDE7881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58</xdr:col>
      <xdr:colOff>179911</xdr:colOff>
      <xdr:row>23</xdr:row>
      <xdr:rowOff>0</xdr:rowOff>
    </xdr:from>
    <xdr:to>
      <xdr:col>64</xdr:col>
      <xdr:colOff>107911</xdr:colOff>
      <xdr:row>41</xdr:row>
      <xdr:rowOff>63691</xdr:rowOff>
    </xdr:to>
    <xdr:graphicFrame macro="">
      <xdr:nvGraphicFramePr>
        <xdr:cNvPr id="2" name="Chart 1">
          <a:extLst>
            <a:ext uri="{FF2B5EF4-FFF2-40B4-BE49-F238E27FC236}">
              <a16:creationId xmlns:a16="http://schemas.microsoft.com/office/drawing/2014/main" id="{2D3295D4-964A-794E-D510-82E15647AF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41</xdr:col>
      <xdr:colOff>116416</xdr:colOff>
      <xdr:row>88</xdr:row>
      <xdr:rowOff>94191</xdr:rowOff>
    </xdr:from>
    <xdr:to>
      <xdr:col>47</xdr:col>
      <xdr:colOff>107916</xdr:colOff>
      <xdr:row>106</xdr:row>
      <xdr:rowOff>127191</xdr:rowOff>
    </xdr:to>
    <xdr:graphicFrame macro="">
      <xdr:nvGraphicFramePr>
        <xdr:cNvPr id="4" name="Chart 3">
          <a:extLst>
            <a:ext uri="{FF2B5EF4-FFF2-40B4-BE49-F238E27FC236}">
              <a16:creationId xmlns:a16="http://schemas.microsoft.com/office/drawing/2014/main" id="{528C43FF-D178-8FD0-15E4-4B35A8272D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613832</xdr:colOff>
      <xdr:row>88</xdr:row>
      <xdr:rowOff>94191</xdr:rowOff>
    </xdr:from>
    <xdr:to>
      <xdr:col>41</xdr:col>
      <xdr:colOff>2082</xdr:colOff>
      <xdr:row>106</xdr:row>
      <xdr:rowOff>127191</xdr:rowOff>
    </xdr:to>
    <xdr:graphicFrame macro="">
      <xdr:nvGraphicFramePr>
        <xdr:cNvPr id="6" name="Chart 5">
          <a:extLst>
            <a:ext uri="{FF2B5EF4-FFF2-40B4-BE49-F238E27FC236}">
              <a16:creationId xmlns:a16="http://schemas.microsoft.com/office/drawing/2014/main" id="{C4261E7C-DF07-43CE-A8C3-8DC334B9E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61</xdr:col>
      <xdr:colOff>317499</xdr:colOff>
      <xdr:row>81</xdr:row>
      <xdr:rowOff>83608</xdr:rowOff>
    </xdr:from>
    <xdr:to>
      <xdr:col>68</xdr:col>
      <xdr:colOff>520666</xdr:colOff>
      <xdr:row>99</xdr:row>
      <xdr:rowOff>116608</xdr:rowOff>
    </xdr:to>
    <xdr:graphicFrame macro="">
      <xdr:nvGraphicFramePr>
        <xdr:cNvPr id="2" name="Chart 1">
          <a:extLst>
            <a:ext uri="{FF2B5EF4-FFF2-40B4-BE49-F238E27FC236}">
              <a16:creationId xmlns:a16="http://schemas.microsoft.com/office/drawing/2014/main" id="{EF433394-302B-445E-30D4-A9D9D3A6F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25</xdr:col>
      <xdr:colOff>74082</xdr:colOff>
      <xdr:row>4</xdr:row>
      <xdr:rowOff>125941</xdr:rowOff>
    </xdr:from>
    <xdr:to>
      <xdr:col>41</xdr:col>
      <xdr:colOff>152749</xdr:colOff>
      <xdr:row>29</xdr:row>
      <xdr:rowOff>21775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B9515B9-AED1-B7B4-6192-58892CDBBC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190882" y="735541"/>
              <a:ext cx="9832267" cy="370583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13</xdr:col>
      <xdr:colOff>95250</xdr:colOff>
      <xdr:row>1</xdr:row>
      <xdr:rowOff>88901</xdr:rowOff>
    </xdr:from>
    <xdr:to>
      <xdr:col>20</xdr:col>
      <xdr:colOff>298416</xdr:colOff>
      <xdr:row>10</xdr:row>
      <xdr:rowOff>185401</xdr:rowOff>
    </xdr:to>
    <xdr:graphicFrame macro="">
      <xdr:nvGraphicFramePr>
        <xdr:cNvPr id="2" name="Chart 1">
          <a:extLst>
            <a:ext uri="{FF2B5EF4-FFF2-40B4-BE49-F238E27FC236}">
              <a16:creationId xmlns:a16="http://schemas.microsoft.com/office/drawing/2014/main" id="{B4EC2EED-0801-446C-B979-7FFDB440F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13</xdr:col>
      <xdr:colOff>95250</xdr:colOff>
      <xdr:row>1</xdr:row>
      <xdr:rowOff>88901</xdr:rowOff>
    </xdr:from>
    <xdr:to>
      <xdr:col>20</xdr:col>
      <xdr:colOff>298416</xdr:colOff>
      <xdr:row>10</xdr:row>
      <xdr:rowOff>185401</xdr:rowOff>
    </xdr:to>
    <xdr:graphicFrame macro="">
      <xdr:nvGraphicFramePr>
        <xdr:cNvPr id="2" name="Chart 1">
          <a:extLst>
            <a:ext uri="{FF2B5EF4-FFF2-40B4-BE49-F238E27FC236}">
              <a16:creationId xmlns:a16="http://schemas.microsoft.com/office/drawing/2014/main" id="{328C146D-E569-4517-9325-411E68896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13</xdr:col>
      <xdr:colOff>95250</xdr:colOff>
      <xdr:row>1</xdr:row>
      <xdr:rowOff>88901</xdr:rowOff>
    </xdr:from>
    <xdr:to>
      <xdr:col>20</xdr:col>
      <xdr:colOff>298416</xdr:colOff>
      <xdr:row>10</xdr:row>
      <xdr:rowOff>185401</xdr:rowOff>
    </xdr:to>
    <xdr:graphicFrame macro="">
      <xdr:nvGraphicFramePr>
        <xdr:cNvPr id="2" name="Chart 1">
          <a:extLst>
            <a:ext uri="{FF2B5EF4-FFF2-40B4-BE49-F238E27FC236}">
              <a16:creationId xmlns:a16="http://schemas.microsoft.com/office/drawing/2014/main" id="{FA2C623B-30FD-43B8-BE48-4771AA4EC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10</xdr:col>
      <xdr:colOff>84667</xdr:colOff>
      <xdr:row>13</xdr:row>
      <xdr:rowOff>57151</xdr:rowOff>
    </xdr:from>
    <xdr:to>
      <xdr:col>17</xdr:col>
      <xdr:colOff>287833</xdr:colOff>
      <xdr:row>31</xdr:row>
      <xdr:rowOff>90151</xdr:rowOff>
    </xdr:to>
    <xdr:graphicFrame macro="">
      <xdr:nvGraphicFramePr>
        <xdr:cNvPr id="2" name="Chart 1">
          <a:extLst>
            <a:ext uri="{FF2B5EF4-FFF2-40B4-BE49-F238E27FC236}">
              <a16:creationId xmlns:a16="http://schemas.microsoft.com/office/drawing/2014/main" id="{977594F2-EEB3-508C-EEC8-3BB1058BE8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xdr:col>
      <xdr:colOff>95249</xdr:colOff>
      <xdr:row>43</xdr:row>
      <xdr:rowOff>46567</xdr:rowOff>
    </xdr:from>
    <xdr:to>
      <xdr:col>7</xdr:col>
      <xdr:colOff>499666</xdr:colOff>
      <xdr:row>61</xdr:row>
      <xdr:rowOff>79567</xdr:rowOff>
    </xdr:to>
    <xdr:graphicFrame macro="">
      <xdr:nvGraphicFramePr>
        <xdr:cNvPr id="2" name="Chart 1">
          <a:extLst>
            <a:ext uri="{FF2B5EF4-FFF2-40B4-BE49-F238E27FC236}">
              <a16:creationId xmlns:a16="http://schemas.microsoft.com/office/drawing/2014/main" id="{D8FD1D42-4D3C-09A8-79BC-DB92FB8D82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95249</xdr:colOff>
      <xdr:row>63</xdr:row>
      <xdr:rowOff>42335</xdr:rowOff>
    </xdr:from>
    <xdr:to>
      <xdr:col>7</xdr:col>
      <xdr:colOff>499666</xdr:colOff>
      <xdr:row>81</xdr:row>
      <xdr:rowOff>75335</xdr:rowOff>
    </xdr:to>
    <xdr:graphicFrame macro="">
      <xdr:nvGraphicFramePr>
        <xdr:cNvPr id="4" name="Chart 3">
          <a:extLst>
            <a:ext uri="{FF2B5EF4-FFF2-40B4-BE49-F238E27FC236}">
              <a16:creationId xmlns:a16="http://schemas.microsoft.com/office/drawing/2014/main" id="{C4BB252D-8824-43D6-9BE5-CCF49DA3E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95249</xdr:colOff>
      <xdr:row>83</xdr:row>
      <xdr:rowOff>63500</xdr:rowOff>
    </xdr:from>
    <xdr:to>
      <xdr:col>7</xdr:col>
      <xdr:colOff>499666</xdr:colOff>
      <xdr:row>101</xdr:row>
      <xdr:rowOff>96500</xdr:rowOff>
    </xdr:to>
    <xdr:graphicFrame macro="">
      <xdr:nvGraphicFramePr>
        <xdr:cNvPr id="5" name="Chart 4">
          <a:extLst>
            <a:ext uri="{FF2B5EF4-FFF2-40B4-BE49-F238E27FC236}">
              <a16:creationId xmlns:a16="http://schemas.microsoft.com/office/drawing/2014/main" id="{366DC639-C11D-4834-8075-CC74A6CA9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116418</xdr:colOff>
      <xdr:row>43</xdr:row>
      <xdr:rowOff>46567</xdr:rowOff>
    </xdr:from>
    <xdr:to>
      <xdr:col>16</xdr:col>
      <xdr:colOff>65752</xdr:colOff>
      <xdr:row>61</xdr:row>
      <xdr:rowOff>79567</xdr:rowOff>
    </xdr:to>
    <xdr:graphicFrame macro="">
      <xdr:nvGraphicFramePr>
        <xdr:cNvPr id="6" name="Chart 5">
          <a:extLst>
            <a:ext uri="{FF2B5EF4-FFF2-40B4-BE49-F238E27FC236}">
              <a16:creationId xmlns:a16="http://schemas.microsoft.com/office/drawing/2014/main" id="{45220F97-8293-432D-B534-2B67CBFD5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116418</xdr:colOff>
      <xdr:row>63</xdr:row>
      <xdr:rowOff>42335</xdr:rowOff>
    </xdr:from>
    <xdr:to>
      <xdr:col>16</xdr:col>
      <xdr:colOff>65752</xdr:colOff>
      <xdr:row>81</xdr:row>
      <xdr:rowOff>75335</xdr:rowOff>
    </xdr:to>
    <xdr:graphicFrame macro="">
      <xdr:nvGraphicFramePr>
        <xdr:cNvPr id="7" name="Chart 6">
          <a:extLst>
            <a:ext uri="{FF2B5EF4-FFF2-40B4-BE49-F238E27FC236}">
              <a16:creationId xmlns:a16="http://schemas.microsoft.com/office/drawing/2014/main" id="{9124CC7B-27BC-4C0C-AB36-BFB8BE579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116418</xdr:colOff>
      <xdr:row>83</xdr:row>
      <xdr:rowOff>63500</xdr:rowOff>
    </xdr:from>
    <xdr:to>
      <xdr:col>16</xdr:col>
      <xdr:colOff>65752</xdr:colOff>
      <xdr:row>101</xdr:row>
      <xdr:rowOff>96500</xdr:rowOff>
    </xdr:to>
    <xdr:graphicFrame macro="">
      <xdr:nvGraphicFramePr>
        <xdr:cNvPr id="8" name="Chart 7">
          <a:extLst>
            <a:ext uri="{FF2B5EF4-FFF2-40B4-BE49-F238E27FC236}">
              <a16:creationId xmlns:a16="http://schemas.microsoft.com/office/drawing/2014/main" id="{FAF21072-2978-42BF-B5A6-8BFE5FACD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84667</xdr:colOff>
      <xdr:row>43</xdr:row>
      <xdr:rowOff>46567</xdr:rowOff>
    </xdr:from>
    <xdr:to>
      <xdr:col>24</xdr:col>
      <xdr:colOff>287834</xdr:colOff>
      <xdr:row>61</xdr:row>
      <xdr:rowOff>79567</xdr:rowOff>
    </xdr:to>
    <xdr:graphicFrame macro="">
      <xdr:nvGraphicFramePr>
        <xdr:cNvPr id="12" name="Chart 11">
          <a:extLst>
            <a:ext uri="{FF2B5EF4-FFF2-40B4-BE49-F238E27FC236}">
              <a16:creationId xmlns:a16="http://schemas.microsoft.com/office/drawing/2014/main" id="{9F1AB9E5-56E6-8C36-0929-D194988D39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84667</xdr:colOff>
      <xdr:row>63</xdr:row>
      <xdr:rowOff>42335</xdr:rowOff>
    </xdr:from>
    <xdr:to>
      <xdr:col>24</xdr:col>
      <xdr:colOff>287834</xdr:colOff>
      <xdr:row>81</xdr:row>
      <xdr:rowOff>75335</xdr:rowOff>
    </xdr:to>
    <xdr:graphicFrame macro="">
      <xdr:nvGraphicFramePr>
        <xdr:cNvPr id="13" name="Chart 12">
          <a:extLst>
            <a:ext uri="{FF2B5EF4-FFF2-40B4-BE49-F238E27FC236}">
              <a16:creationId xmlns:a16="http://schemas.microsoft.com/office/drawing/2014/main" id="{DA147FCD-36C8-405E-B8F2-B6BC105CA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105833</xdr:colOff>
      <xdr:row>2</xdr:row>
      <xdr:rowOff>10584</xdr:rowOff>
    </xdr:from>
    <xdr:to>
      <xdr:col>31</xdr:col>
      <xdr:colOff>55167</xdr:colOff>
      <xdr:row>18</xdr:row>
      <xdr:rowOff>33000</xdr:rowOff>
    </xdr:to>
    <xdr:graphicFrame macro="">
      <xdr:nvGraphicFramePr>
        <xdr:cNvPr id="3" name="Chart 2">
          <a:extLst>
            <a:ext uri="{FF2B5EF4-FFF2-40B4-BE49-F238E27FC236}">
              <a16:creationId xmlns:a16="http://schemas.microsoft.com/office/drawing/2014/main" id="{42975E90-DC6A-405B-B473-0B1E55CEF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31</xdr:col>
      <xdr:colOff>158750</xdr:colOff>
      <xdr:row>2</xdr:row>
      <xdr:rowOff>10584</xdr:rowOff>
    </xdr:from>
    <xdr:to>
      <xdr:col>39</xdr:col>
      <xdr:colOff>108083</xdr:colOff>
      <xdr:row>18</xdr:row>
      <xdr:rowOff>33000</xdr:rowOff>
    </xdr:to>
    <xdr:graphicFrame macro="">
      <xdr:nvGraphicFramePr>
        <xdr:cNvPr id="9" name="Chart 8">
          <a:extLst>
            <a:ext uri="{FF2B5EF4-FFF2-40B4-BE49-F238E27FC236}">
              <a16:creationId xmlns:a16="http://schemas.microsoft.com/office/drawing/2014/main" id="{4ACE7206-52A6-4024-B161-ADE8DF49C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95249</xdr:colOff>
      <xdr:row>116</xdr:row>
      <xdr:rowOff>99484</xdr:rowOff>
    </xdr:from>
    <xdr:to>
      <xdr:col>7</xdr:col>
      <xdr:colOff>499666</xdr:colOff>
      <xdr:row>134</xdr:row>
      <xdr:rowOff>132484</xdr:rowOff>
    </xdr:to>
    <xdr:graphicFrame macro="">
      <xdr:nvGraphicFramePr>
        <xdr:cNvPr id="11" name="Chart 10">
          <a:extLst>
            <a:ext uri="{FF2B5EF4-FFF2-40B4-BE49-F238E27FC236}">
              <a16:creationId xmlns:a16="http://schemas.microsoft.com/office/drawing/2014/main" id="{B1AADE0D-4D64-8D83-8903-8C7D7BE05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116418</xdr:colOff>
      <xdr:row>116</xdr:row>
      <xdr:rowOff>99484</xdr:rowOff>
    </xdr:from>
    <xdr:to>
      <xdr:col>15</xdr:col>
      <xdr:colOff>288001</xdr:colOff>
      <xdr:row>134</xdr:row>
      <xdr:rowOff>132484</xdr:rowOff>
    </xdr:to>
    <xdr:graphicFrame macro="">
      <xdr:nvGraphicFramePr>
        <xdr:cNvPr id="14" name="Chart 13">
          <a:extLst>
            <a:ext uri="{FF2B5EF4-FFF2-40B4-BE49-F238E27FC236}">
              <a16:creationId xmlns:a16="http://schemas.microsoft.com/office/drawing/2014/main" id="{FE80E1BD-AB85-45C0-8CC9-343222D3D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95249</xdr:colOff>
      <xdr:row>135</xdr:row>
      <xdr:rowOff>67732</xdr:rowOff>
    </xdr:from>
    <xdr:to>
      <xdr:col>7</xdr:col>
      <xdr:colOff>499666</xdr:colOff>
      <xdr:row>153</xdr:row>
      <xdr:rowOff>100732</xdr:rowOff>
    </xdr:to>
    <xdr:graphicFrame macro="">
      <xdr:nvGraphicFramePr>
        <xdr:cNvPr id="15" name="Chart 14">
          <a:extLst>
            <a:ext uri="{FF2B5EF4-FFF2-40B4-BE49-F238E27FC236}">
              <a16:creationId xmlns:a16="http://schemas.microsoft.com/office/drawing/2014/main" id="{F4499863-E26F-FD8F-599B-249FE90D39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116418</xdr:colOff>
      <xdr:row>135</xdr:row>
      <xdr:rowOff>67732</xdr:rowOff>
    </xdr:from>
    <xdr:to>
      <xdr:col>15</xdr:col>
      <xdr:colOff>288001</xdr:colOff>
      <xdr:row>153</xdr:row>
      <xdr:rowOff>100732</xdr:rowOff>
    </xdr:to>
    <xdr:graphicFrame macro="">
      <xdr:nvGraphicFramePr>
        <xdr:cNvPr id="16" name="Chart 15">
          <a:extLst>
            <a:ext uri="{FF2B5EF4-FFF2-40B4-BE49-F238E27FC236}">
              <a16:creationId xmlns:a16="http://schemas.microsoft.com/office/drawing/2014/main" id="{62EAE0D2-7DAD-45E3-860D-11E68086B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24</xdr:col>
      <xdr:colOff>359834</xdr:colOff>
      <xdr:row>43</xdr:row>
      <xdr:rowOff>46567</xdr:rowOff>
    </xdr:from>
    <xdr:to>
      <xdr:col>31</xdr:col>
      <xdr:colOff>563000</xdr:colOff>
      <xdr:row>61</xdr:row>
      <xdr:rowOff>79567</xdr:rowOff>
    </xdr:to>
    <xdr:graphicFrame macro="">
      <xdr:nvGraphicFramePr>
        <xdr:cNvPr id="10" name="Chart 9">
          <a:extLst>
            <a:ext uri="{FF2B5EF4-FFF2-40B4-BE49-F238E27FC236}">
              <a16:creationId xmlns:a16="http://schemas.microsoft.com/office/drawing/2014/main" id="{078312F9-E9E2-46AC-8361-3E359758D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15</xdr:col>
      <xdr:colOff>164041</xdr:colOff>
      <xdr:row>5</xdr:row>
      <xdr:rowOff>73024</xdr:rowOff>
    </xdr:from>
    <xdr:to>
      <xdr:col>21</xdr:col>
      <xdr:colOff>557708</xdr:colOff>
      <xdr:row>23</xdr:row>
      <xdr:rowOff>106024</xdr:rowOff>
    </xdr:to>
    <xdr:graphicFrame macro="">
      <xdr:nvGraphicFramePr>
        <xdr:cNvPr id="2" name="Chart 1">
          <a:extLst>
            <a:ext uri="{FF2B5EF4-FFF2-40B4-BE49-F238E27FC236}">
              <a16:creationId xmlns:a16="http://schemas.microsoft.com/office/drawing/2014/main" id="{7D4EFBC0-0FC6-3599-137A-7E9F2543F7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Eadsk0052\backup\Documents%20and%20Settings\dlbasilas\Local%20Settings\Temp\Margins%20Analysis.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PPV_FEB.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ALG3\GC\RNK\OPS\98\MONTH\DP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Kimmco\data\IYER\MIS\98\OPR\05\OPRMAY98.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form%201%20-%202000%20revised-%20hanil%20lea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knasdata02\CFSHARED\WINDOWS\Desktop\final\final%20numbers\Integrated%2025-11-0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knasdata04\FINANCE\Special\Valuation\Nakheel\Documents%20and%20Settings\Bshankar.GROUP\Local%20Settings\Temporary%20Internet%20Files\OLK2A1\N007%20Cashflow%2005%2005%2028%20Rev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knasdata02\CFSHARED\WINNT\Profiles\laube\Desktop\Monitoring\Monitoring\230500\Basisdaten\H&#246;rmann-NachkalkulationMai-0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KIMMCO\DATA\IYER\MIS\98\BP1998\OLD-BP98\MIS\97\OPR\10\OPR-OCT.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egmentwise%20Attrition-January%2009.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2003HCReco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JOSHI\MY%20DOCUMENTS\WINDOWS\Desktop\Manoj%20Gandhi\FINDRDEC.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REUIBD08\IBDSHARE3\Generalistes\Kangourou-PAR07516\Execution\Models\Barnaby\UserData\Russell\TEMP\a%20b&#226;tons%20rompus.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Intercos%20clients%2012_2007.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N:\WINDOWS\TEMP\MATRIX.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knasdata02\CFSHARED\DOCUME~1\pankaj\LOCALS~1\Temp\HVS\Consulting\Jobs\2001050185%20-%20Park%20Hyatt%20Zurich\Report\Rna-Zurich%20Hyatt.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knasdata02\TEMP\Emdiscountrate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rcbparsrv014\ServeurRCI\Amaury\Poiray%20Lazard\Lazard%2010\2000\PKBACK# 001USERDATA/Fraikin (Fortune)/Fraikin/Comps TRUCK RENTA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njgisnap003\yleclerc\TEMP\MODE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AR%20October_end.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clienthub/Acq%20Fin/Deals/2003/George/Model/Final%20Models/30%20Oct%2003%20update/Project%20George%20-%20Model%20v2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N:\1Analys\ASPO\1Official\aspo.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Stk-aut1\users$\TEMP\cache\OLK7D\Caroline%20Model.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Budget\bgt\STORES\2002-03\monthly\STRCONB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F:\Documents%20and%20Settings\skkulkarni\Local%20Settings\Temp\Documents%20and%20Settings\damienmartin\My%20Documents\Planning%20Archive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hlsrvad011\DEEPAK\DEEPAK\EHV07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teamsite.hyattoffice.com@SSL\DOCUME~1\pankaj\LOCALS~1\Temp\HVS\Consulting\Jobs\2001050185%20-%20Park%20Hyatt%20Zurich\Report\Rna-Zurich%20Hyat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My97form.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Pai\c\New%20Folder\SS%20BOOK%20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Mrs.kiran\d\F2000-01\SPIN.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uknasdata02\CFSHARED\Documents%20and%20Settings\user\Desktop\SHIVSHAKTI%20on%20Corporate\Documents%20and%20Settings\MR.%20SONY\Desktop\ram%20final%20on%20Sagarwal\ramintegrated.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Caottfsr02\fas\My%20Documents\coxdata\forecast%20pre-launch\Quarterly%20Treasury%20Cashflow%20December%206%202004.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Ukssqnas02\cfshared\Admin\Valuations\Your%20own%20directory\Matt%20Warren\other\Earnings-based\CoCo-CoTrans%20v4%20011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clienthub/Users/Holly.Perchard/Google%20Drive/Calculations/Perf%20fee/2018-06-30-Softbank%20Vision%20Fund%20L.P%20Performance%20fee%20calculation%20SB%20approved-HOLLY.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uknasdata02\CFSHARED\WINDOWS\Temporary%20Internet%20Files\Content.IE5\KNPQ4AE3\himadri%20new123\Integrated%2025-11-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uknasdata02\CFSHARED\Documents%20and%20Settings\GT%20User\Desktop\DLF%20Final\Reference%20Workpapers\DHDL%20Workpaper\Workpapers%20of%20DHDL\USERS\TarunS\TANU\sch\apr02-mar03\AsstBA2100Mar2003.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Usnyc1gtsfs06\fs06_dai$\FAS\Fas\FAS_HOTEL\NPS\Parks\Death%20Valley\FFA\BLRI\NPS%20Model%20Pisgah%20Inn%20Update%20Cleaned.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clienthub/Acq%20Fin/Deals/2004/Gerresheimer/model/2004-02-12%20Gerresheimer%20WHOLE%20RECAP,%20SEC%20LBO%20v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STA022-N2\Construction\WORKS\6787\civil\final\option\6787CWFASE2CASE2_00.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F:\Documents%20and%20Settings\skkulkarni\Local%20Settings\Temp\Toolbox\Documents%20and%20Settings\damienmartin\My%20Documents\Planning%20Archive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Ukssqnas02\cfshared\rewe.hold\Abschluesse\Abschluss_2004\Abschluss_12_2004\Consolidation\acc_gepr&#252;ft\Avinci\ACC_Report%20Avinci%20AG%2031.12.04.xls"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C:\uknasdata02\CFSHARED\Documents%20and%20Settings\kaushal.shah\My%20Documents\Projects\Education\Meghe%20Group_June%2010,%202010\Deliverables\WINDOWS\TEMP\notesE1EF34\Financial%20model\Pinnacle_Model_tax%20structuring_6Mar10.xlsx?26704B3C" TargetMode="External"/><Relationship Id="rId1" Type="http://schemas.openxmlformats.org/officeDocument/2006/relationships/externalLinkPath" Target="file:///\\26704B3C\Pinnacle_Model_tax%20structuring_6Mar10.xlsx" TargetMode="External"/></Relationships>
</file>

<file path=xl/externalLinks/_rels/externalLink43.xml.rels><?xml version="1.0" encoding="UTF-8" standalone="yes"?>
<Relationships xmlns="http://schemas.openxmlformats.org/package/2006/relationships"><Relationship Id="rId1" Type="http://schemas.microsoft.com/office/2006/relationships/xlExternalLinkPath/xlPathMissing" Target="Microsoft%20PowerPoint%20&#20869;&#12398;&#12464;&#12521;&#12501;"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uknasdata02\CFSHARED\Documents%20and%20Settings\kaushal.shah\My%20Documents\Projects\Education\Raisoni%20Group_Sept%2022,%202009\Deliverables\Financial%20model\Sparkle_Financial%20Model_13Aug10.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N:\ACCTNG\annual05\Yr-end05.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4333C566\Backup%20of%20global%20consolidation%20for%20sebi%20-%20mar'03%20option%20II.xlk"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Duong\e\thang\Daiichi\Denso\Quang(fertilizer-%20Ca%20mau)\Civils\ammonia\6823%20PS%201700.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scottsoftbank.sharepoint.com/app/CollabExcelInnerLoop.Prod_RestOfWorld_VSO_9fcecb74_285841_3/bin/sandbox/DLF/DLF%20Infocity%20Chandigarh/Balance%20sheet-%20info%20city%20CHD%2031.12.200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rockmadc1\users\EXCEL\derf98\2000\VOC\JUL98.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KIMMCO\DATA\IYER\MIS\98\BP1998\REV-BP98\MIS\97\OPR\10\OPR-OCT.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uknasdata02\CFSHARED\AUDIT%2001-02\Dgp-200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Exfinsrv\guest%20share\LADDERUP\PROJECTS\KISSAN\MOULDING\YR2004\cma%201%20final.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uknasdata02\CFSHARED\DOCUME~1\sumeetm\LOCALS~1\Temp\C.Lotus.Notes.Data\mallu%20BP%20for%20UTI%20third%20draft.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Filesrv\fileserver\Documents%20and%20Settings\hirennanda\Local%20Settings\Temp\My%20Documents\3-3CASH.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Ukssqnas02\cfshared\rewe.hold\Abschluesse\Abschluss_2005\Abschluss_31.12.2005\Conso\ACC_gepr&#252;ft\ACC_MGT_311205_V3.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C:\Ukssqnas02\cfshared\rewe.hold\Abschluesse\Abschluss_2004\Abschluss_12_2004\Consolidation\acc_gepr&#252;ft\ACC_USI_geprueft_2004_V2.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Ukssqnas02\cfshared\Admin\Valuations\Proposals\Logica\Project%20Leon\Information%20from%20client\Germany%20info\P+L2004.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PathMissing" Target="useles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C:\Filesrv\fileserver\Naveen\VPCL\April%202008\VPCL-Unaudited%20BS-Apr'08.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Rina\rina\WINDOWS\TEMP\dhsint1004\1611A%20INTEREST%20ACCRUED%20ON%20LOANS%20AS%20ON%2030%20SEP%202004.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C:\uknasdata02\CFSHARED\Workings\Aptuit%20Laurus\FIXED%20ASSETS\Old\FA%202008-09\R&amp;D%20FIXED%20ASSETS%20MARCH%202009%20FINAL.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scottsoftbank.sharepoint.com/Documents/DevarajanSV/Deva/Audit%20Mar%2005/CMBPO%20March%2005..xls" TargetMode="External"/></Relationships>
</file>

<file path=xl/externalLinks/_rels/externalLink63.xml.rels><?xml version="1.0" encoding="UTF-8" standalone="yes"?>
<Relationships xmlns="http://schemas.openxmlformats.org/package/2006/relationships"><Relationship Id="rId2" Type="http://schemas.openxmlformats.org/officeDocument/2006/relationships/externalLinkPath" Target="file:///C:\Users\Alex.Pound\Downloads\SoftBank_Group_Corp_1%20(8).xlsx" TargetMode="External"/><Relationship Id="rId1" Type="http://schemas.openxmlformats.org/officeDocument/2006/relationships/externalLinkPath" Target="file:///C:\Users\Alex.Pound\Downloads\SoftBank_Group_Corp_1%20(8).xlsx" TargetMode="External"/></Relationships>
</file>

<file path=xl/externalLinks/_rels/externalLink64.xml.rels><?xml version="1.0" encoding="UTF-8" standalone="yes"?>
<Relationships xmlns="http://schemas.openxmlformats.org/package/2006/relationships"><Relationship Id="rId2" Type="http://schemas.openxmlformats.org/officeDocument/2006/relationships/externalLinkPath" Target="https://areteresearch.sharepoint.com/sites/semiconductors/Shared%20Documents/BS+JV%20files/COMPANIES/ARM/Arete%20ARM%20initiation%20model.xlsx" TargetMode="External"/><Relationship Id="rId1" Type="http://schemas.openxmlformats.org/officeDocument/2006/relationships/externalLinkPath" Target="/sites/semiconductors/Shared%20Documents/BS+JV%20files/COMPANIES/ARM/Arete%20ARM%20initiation%20model.xlsx"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areteresearch.sharepoint.com/sites/telecoms/Shared%20Documents/SoftBank/Arm%20Quick%20&amp;%20Dirty%20Workings%20AP%20FS.xlsx" TargetMode="External"/><Relationship Id="rId1" Type="http://schemas.openxmlformats.org/officeDocument/2006/relationships/externalLinkPath" Target="/sites/telecoms/Shared%20Documents/SoftBank/Arm%20Quick%20&amp;%20Dirty%20Workings%20AP%20F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Account Scores"/>
      <sheetName val="BY Client &amp; Region Aug"/>
      <sheetName val="Inputs"/>
      <sheetName val="Account_Scores"/>
      <sheetName val="BY_Client_&amp;_Region_Aug"/>
      <sheetName val="Combined P&amp;L"/>
      <sheetName val="Account_Scores1"/>
      <sheetName val="BY_Client_&amp;_Region_Aug1"/>
      <sheetName val="Margins Analysis"/>
      <sheetName val="株価推移 (2)"/>
      <sheetName val="Instructions"/>
      <sheetName val="SVF Growth TB 2022"/>
    </sheetNames>
    <sheetDataSet>
      <sheetData sheetId="0" refreshError="1"/>
      <sheetData sheetId="1" refreshError="1"/>
      <sheetData sheetId="2" refreshError="1"/>
      <sheetData sheetId="3" refreshError="1"/>
      <sheetData sheetId="4"/>
      <sheetData sheetId="5"/>
      <sheetData sheetId="6" refreshError="1"/>
      <sheetData sheetId="7"/>
      <sheetData sheetId="8"/>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PPV"/>
      <sheetName val="remark"/>
      <sheetName val="APIE_5664"/>
      <sheetName val="APIE_5668"/>
      <sheetName val="APIE_5793"/>
      <sheetName val="APID_5792"/>
      <sheetName val="GLJE_5787"/>
      <sheetName val="PORV_5542"/>
      <sheetName val="DSO June 2007 23 07 07"/>
      <sheetName val="DSO APOD 0307"/>
      <sheetName val="EX RATE"/>
      <sheetName val="Sheet1"/>
      <sheetName val="détail 29-6"/>
      <sheetName val="synthèse"/>
      <sheetName val="PointNo.5"/>
      <sheetName val="Q2 YTD OG Sales Analysis"/>
      <sheetName val="Q2 OG Trade Receivables"/>
      <sheetName val="bom"/>
      <sheetName val="EDC-DAS"/>
      <sheetName val="(6) RiskDataNew"/>
      <sheetName val="form26"/>
      <sheetName val="Lookup"/>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sheetName val="DPPGRAPH"/>
      <sheetName val="PGRAPH"/>
      <sheetName val="SERGRAP"/>
      <sheetName val="DEPQGRAPH"/>
      <sheetName val="GARAEQPGRAPH"/>
      <sheetName val="DATA"/>
      <sheetName val="5-F-PAR"/>
      <sheetName val="10-O-PAR"/>
      <sheetName val="7-NSM"/>
      <sheetName val="5-F-RET"/>
      <sheetName val="RE-FIN-GRPH"/>
      <sheetName val="5-G-RET"/>
      <sheetName val="7-N-RET"/>
      <sheetName val="10-O-RET"/>
      <sheetName val="5-F-TRU"/>
      <sheetName val="TH-FIN-GRPH "/>
      <sheetName val="5-G-TRU"/>
      <sheetName val="7-N-TRU"/>
      <sheetName val="10-O-TRU"/>
      <sheetName val="5-F-WHL"/>
      <sheetName val="WH-FIN-GRPH  "/>
      <sheetName val="7-G-WHL"/>
      <sheetName val="10-O-WHL"/>
      <sheetName val="5-F-FLT"/>
      <sheetName val="FLT-FIN-GRPH"/>
      <sheetName val="7-G-FLT"/>
      <sheetName val="10-O-FLT"/>
      <sheetName val="5-F-GOV"/>
      <sheetName val="GOV-FIN-GRPH "/>
      <sheetName val="7-G-GOV"/>
      <sheetName val="10-O-GOV"/>
      <sheetName val="5-F-GAR"/>
      <sheetName val="GAR-FIN-GRPH"/>
      <sheetName val="7-G-GAR"/>
      <sheetName val="10-O-GAR"/>
      <sheetName val="5-F-COP"/>
      <sheetName val="COP-FIN-GRPH "/>
      <sheetName val="7-G-COP"/>
      <sheetName val="10-O-COP"/>
      <sheetName val="5-F-PWH"/>
      <sheetName val="5-F-GOH"/>
      <sheetName val="10-O-PWH"/>
      <sheetName val="10-O-GOH"/>
      <sheetName val="5-F-FIN"/>
      <sheetName val="10-O-FIN"/>
      <sheetName val="ALLO"/>
      <sheetName val="THRU"/>
      <sheetName val="EXP"/>
      <sheetName val="YTD SALES"/>
      <sheetName val="#REF"/>
      <sheetName val="DEPRECIATION"/>
      <sheetName val="EXP LINE"/>
      <sheetName val="TH-FIN-GRPH_"/>
      <sheetName val="WH-FIN-GRPH__"/>
      <sheetName val="GOV-FIN-GRPH_"/>
      <sheetName val="COP-FIN-GRPH_"/>
      <sheetName val="YTD_SALES"/>
      <sheetName val="EXP_LINE"/>
      <sheetName val="L_PM"/>
      <sheetName val="11-INV"/>
      <sheetName val="4-PVA2"/>
      <sheetName val="3-PVA"/>
      <sheetName val="5-NSM"/>
      <sheetName val="8-OH"/>
      <sheetName val="TH-FIN-GRPH_1"/>
      <sheetName val="WH-FIN-GRPH__1"/>
      <sheetName val="GOV-FIN-GRPH_1"/>
      <sheetName val="COP-FIN-GRPH_1"/>
      <sheetName val="YTD_SALES1"/>
      <sheetName val="EXP_LINE1"/>
      <sheetName val="Inputs &amp; Summary Output"/>
      <sheetName val="Broad Refresher Model"/>
      <sheetName val="BS "/>
      <sheetName val="Assumptions"/>
      <sheetName val="iQB Equity-Custom"/>
      <sheetName val="LEGAL GUJ"/>
      <sheetName val="Q2 YTD OG Sales Analysis"/>
      <sheetName val="SUMMARY"/>
      <sheetName val="90-120"/>
      <sheetName val="Sheet1"/>
      <sheetName val="SALES"/>
      <sheetName val="10.1"/>
      <sheetName val="Sub-categories NW"/>
      <sheetName val="2012 Rates"/>
      <sheetName val="P&amp;L"/>
      <sheetName val="Balance Sheet"/>
      <sheetName val="Category"/>
      <sheetName val="NR"/>
      <sheetName val="updated"/>
      <sheetName val="1080603020 Pre rent Emp Accomm"/>
      <sheetName val="1080103020 Pre Rent Properties"/>
      <sheetName val="Prepaid Expenses"/>
      <sheetName val="Prepaid GL31Mar14"/>
      <sheetName val="recon adv"/>
      <sheetName val="Expense - Adv up to date"/>
      <sheetName val="Advances - Suppliers"/>
      <sheetName val="GL Adv-Mar 14"/>
      <sheetName val="DEP ACM-TOOLS"/>
      <sheetName val="Fixed Assets - Tools"/>
      <sheetName val="GL FX-tools"/>
      <sheetName val="FA-F&amp;F"/>
      <sheetName val="ACUM DEP F&amp;F"/>
      <sheetName val="GL F&amp;F"/>
      <sheetName val="RECOM  IT HW"/>
      <sheetName val="ACCUM DEP IT HW"/>
      <sheetName val="GL IT HARDWARE"/>
      <sheetName val="RECOM PCS&amp;PERPHERALS"/>
      <sheetName val="ACCUM DEP PCS"/>
      <sheetName val="GL PCS&amp;PERPHERALS"/>
      <sheetName val="GL Lease improvement"/>
      <sheetName val="recom lease improvement"/>
      <sheetName val="Fixed Assets Detail"/>
      <sheetName val="ACCUM DEP LH improve"/>
      <sheetName val="Capital Work in Progress - NW"/>
      <sheetName val="recom"/>
      <sheetName val="Capital work in Progress schedu"/>
      <sheetName val="GL Capital NON nw"/>
      <sheetName val="GL Capital work in progress NW"/>
      <sheetName val="Sheet4"/>
      <sheetName val="Sheet5"/>
      <sheetName val="Sheet6"/>
      <sheetName val="AP Group"/>
      <sheetName val="Sheet2"/>
      <sheetName val="Sheet3"/>
      <sheetName val="1080103020PrepaidRent Propert"/>
      <sheetName val="Lookup"/>
      <sheetName val="PR-PO status"/>
      <sheetName val="SVDD 30-09"/>
      <sheetName val="jan'04"/>
      <sheetName val="Instructions"/>
      <sheetName val="Q2_YTD_OG_Sales_Analysis"/>
      <sheetName val="TH-FIN-GRPH_2"/>
      <sheetName val="WH-FIN-GRPH__2"/>
      <sheetName val="GOV-FIN-GRPH_2"/>
      <sheetName val="COP-FIN-GRPH_2"/>
      <sheetName val="Q2_YTD_OG_Sales_Analysis1"/>
      <sheetName val="YTD_SALES2"/>
      <sheetName val="EXP_LINE2"/>
      <sheetName val="Inputs_&amp;_Summary_Output"/>
      <sheetName val="Broad_Refresher_Model"/>
      <sheetName val="iQB_Equity-Custom"/>
      <sheetName val="LEGAL_GUJ"/>
      <sheetName val="PRODN"/>
      <sheetName val="SPC-OC"/>
      <sheetName val="DATA 91-98"/>
      <sheetName val="Earnings model"/>
      <sheetName val="Sub-categories_NW"/>
      <sheetName val="2012_Rates"/>
      <sheetName val="Balance_Sheet"/>
      <sheetName val="1080603020_Pre_rent_Emp_Accomm"/>
      <sheetName val="1080103020_Pre_Rent_Properties"/>
      <sheetName val="Prepaid_Expenses"/>
      <sheetName val="Prepaid_GL31Mar14"/>
      <sheetName val="recon_adv"/>
      <sheetName val="Expense_-_Adv_up_to_date"/>
      <sheetName val="Advances_-_Suppliers"/>
      <sheetName val="GL_Adv-Mar_14"/>
      <sheetName val="DEP_ACM-TOOLS"/>
      <sheetName val="Fixed_Assets_-_Tools"/>
      <sheetName val="GL_FX-tools"/>
      <sheetName val="ACUM_DEP_F&amp;F"/>
      <sheetName val="GL_F&amp;F"/>
      <sheetName val="RECOM__IT_HW"/>
      <sheetName val="ACCUM_DEP_IT_HW"/>
      <sheetName val="GL_IT_HARDWARE"/>
      <sheetName val="RECOM_PCS&amp;PERPHERALS"/>
      <sheetName val="ACCUM_DEP_PCS"/>
      <sheetName val="GL_PCS&amp;PERPHERALS"/>
      <sheetName val="GL_Lease_improvement"/>
      <sheetName val="recom_lease_improvement"/>
      <sheetName val="Fixed_Assets_Detail"/>
      <sheetName val="ACCUM_DEP_LH_improve"/>
      <sheetName val="Capital_Work_in_Progress_-_NW"/>
      <sheetName val="Capital_work_in_Progress_schedu"/>
      <sheetName val="GL_Capital_NON_nw"/>
      <sheetName val="GL_Capital_work_in_progress_NW"/>
      <sheetName val="AP_Group"/>
      <sheetName val="1080103020PrepaidRent_Propert"/>
      <sheetName val="PR-PO_status"/>
      <sheetName val="TB98,oct99&amp;sap99-WPL"/>
      <sheetName val="OG Initiatives"/>
      <sheetName val="milk-YTD"/>
      <sheetName val="Sub-categories_NW1"/>
      <sheetName val="2012_Rates1"/>
      <sheetName val="Balance_Sheet1"/>
      <sheetName val="1080603020_Pre_rent_Emp_Accomm1"/>
      <sheetName val="1080103020_Pre_Rent_Properties1"/>
      <sheetName val="Prepaid_Expenses1"/>
      <sheetName val="Prepaid_GL31Mar141"/>
      <sheetName val="recon_adv1"/>
      <sheetName val="Expense_-_Adv_up_to_date1"/>
      <sheetName val="Advances_-_Suppliers1"/>
      <sheetName val="GL_Adv-Mar_141"/>
      <sheetName val="DEP_ACM-TOOLS1"/>
      <sheetName val="Fixed_Assets_-_Tools1"/>
      <sheetName val="GL_FX-tools1"/>
      <sheetName val="ACUM_DEP_F&amp;F1"/>
      <sheetName val="GL_F&amp;F1"/>
      <sheetName val="RECOM__IT_HW1"/>
      <sheetName val="ACCUM_DEP_IT_HW1"/>
      <sheetName val="GL_IT_HARDWARE1"/>
      <sheetName val="RECOM_PCS&amp;PERPHERALS1"/>
      <sheetName val="ACCUM_DEP_PCS1"/>
      <sheetName val="GL_PCS&amp;PERPHERALS1"/>
      <sheetName val="GL_Lease_improvement1"/>
      <sheetName val="recom_lease_improvement1"/>
      <sheetName val="Fixed_Assets_Detail1"/>
      <sheetName val="ACCUM_DEP_LH_improve1"/>
      <sheetName val="Capital_Work_in_Progress_-_NW1"/>
      <sheetName val="Capital_work_in_Progress_sched1"/>
      <sheetName val="GL_Capital_NON_nw1"/>
      <sheetName val="GL_Capital_work_in_progress_NW1"/>
      <sheetName val="AP_Group1"/>
      <sheetName val="1080103020PrepaidRent_Propert1"/>
      <sheetName val="PR-PO_status1"/>
      <sheetName val="OG_Initiatives"/>
      <sheetName val="Summary Cal"/>
      <sheetName val="a soga JAK"/>
      <sheetName val="soga JAK"/>
      <sheetName val="a soga JABO"/>
      <sheetName val="a soga BOT"/>
      <sheetName val="soga JABO"/>
      <sheetName val="soga BOT"/>
      <sheetName val="a sso JAK"/>
      <sheetName val="sso JAK"/>
      <sheetName val="a sso JABO"/>
      <sheetName val="a sso BOT"/>
      <sheetName val="sso JABO"/>
      <sheetName val="sso BOT"/>
      <sheetName val="a vlr JAK"/>
      <sheetName val="vlr JAK"/>
      <sheetName val="a vlr JABO"/>
      <sheetName val="a vlr BOT"/>
      <sheetName val="vlr JABO"/>
      <sheetName val="vlr BOT"/>
      <sheetName val="a rgu ga JAK"/>
      <sheetName val="rgu ga JAK"/>
      <sheetName val="a rgu ga JABO"/>
      <sheetName val="a rgu ga BOT"/>
      <sheetName val="rgu ga JABO"/>
      <sheetName val="rgu ga BOT"/>
      <sheetName val="a rev JAK"/>
      <sheetName val="rev JAK"/>
      <sheetName val="a rev BOT"/>
      <sheetName val="rev JABO"/>
      <sheetName val="rev BOT"/>
      <sheetName val="DETAIL ALL"/>
      <sheetName val="jbro"/>
      <sheetName val="CARRY OVER JBRO"/>
      <sheetName val="GAP JABO"/>
      <sheetName val="GAP BOT"/>
      <sheetName val="GAP JAK"/>
      <sheetName val="LOWSITE JBRO"/>
      <sheetName val="DPP"/>
      <sheetName val="Control"/>
      <sheetName val="FitOutConfCentre"/>
      <sheetName val="Summ Var"/>
      <sheetName val="2017 Target"/>
      <sheetName val="2020 A"/>
      <sheetName val="2020 Budget "/>
      <sheetName val="Variance"/>
      <sheetName val="2019 A "/>
      <sheetName val="2018 A "/>
      <sheetName val="2017 A "/>
      <sheetName val="2016 A "/>
      <sheetName val="Customize Your Purchase Order"/>
      <sheetName val="ISCostCenter"/>
      <sheetName val="Command"/>
      <sheetName val="Sub-categories_NW2"/>
      <sheetName val="2012_Rates2"/>
      <sheetName val="Balance_Sheet2"/>
      <sheetName val="1080603020_Pre_rent_Emp_Accomm2"/>
      <sheetName val="1080103020_Pre_Rent_Properties2"/>
      <sheetName val="Prepaid_Expenses2"/>
      <sheetName val="Prepaid_GL31Mar142"/>
      <sheetName val="recon_adv2"/>
      <sheetName val="Expense_-_Adv_up_to_date2"/>
      <sheetName val="Advances_-_Suppliers2"/>
      <sheetName val="GL_Adv-Mar_142"/>
      <sheetName val="DEP_ACM-TOOLS2"/>
      <sheetName val="Fixed_Assets_-_Tools2"/>
      <sheetName val="GL_FX-tools2"/>
      <sheetName val="ACUM_DEP_F&amp;F2"/>
      <sheetName val="GL_F&amp;F2"/>
      <sheetName val="RECOM__IT_HW2"/>
      <sheetName val="ACCUM_DEP_IT_HW2"/>
      <sheetName val="GL_IT_HARDWARE2"/>
      <sheetName val="RECOM_PCS&amp;PERPHERALS2"/>
      <sheetName val="ACCUM_DEP_PCS2"/>
      <sheetName val="GL_PCS&amp;PERPHERALS2"/>
      <sheetName val="GL_Lease_improvement2"/>
      <sheetName val="recom_lease_improvement2"/>
      <sheetName val="Fixed_Assets_Detail2"/>
      <sheetName val="ACCUM_DEP_LH_improve2"/>
      <sheetName val="Capital_Work_in_Progress_-_NW2"/>
      <sheetName val="Capital_work_in_Progress_sched2"/>
      <sheetName val="GL_Capital_NON_nw2"/>
      <sheetName val="GL_Capital_work_in_progress_NW2"/>
      <sheetName val="AP_Group2"/>
      <sheetName val="1080103020PrepaidRent_Propert2"/>
      <sheetName val="TH-FIN-GRPH_3"/>
      <sheetName val="WH-FIN-GRPH__3"/>
      <sheetName val="GOV-FIN-GRPH_3"/>
      <sheetName val="COP-FIN-GRPH_3"/>
      <sheetName val="YTD_SALES3"/>
      <sheetName val="EXP_LINE3"/>
      <sheetName val="PR-PO_status2"/>
      <sheetName val="OG_Initiatives1"/>
      <sheetName val="Summary_Cal"/>
      <sheetName val="a_soga_JAK"/>
      <sheetName val="soga_JAK"/>
      <sheetName val="a_soga_JABO"/>
      <sheetName val="a_soga_BOT"/>
      <sheetName val="soga_JABO"/>
      <sheetName val="soga_BOT"/>
      <sheetName val="a_sso_JAK"/>
      <sheetName val="sso_JAK"/>
      <sheetName val="a_sso_JABO"/>
      <sheetName val="a_sso_BOT"/>
      <sheetName val="sso_JABO"/>
      <sheetName val="sso_BOT"/>
      <sheetName val="a_vlr_JAK"/>
      <sheetName val="vlr_JAK"/>
      <sheetName val="a_vlr_JABO"/>
      <sheetName val="a_vlr_BOT"/>
      <sheetName val="vlr_JABO"/>
      <sheetName val="vlr_BOT"/>
      <sheetName val="a_rgu_ga_JAK"/>
      <sheetName val="rgu_ga_JAK"/>
      <sheetName val="a_rgu_ga_JABO"/>
      <sheetName val="a_rgu_ga_BOT"/>
      <sheetName val="rgu_ga_JABO"/>
      <sheetName val="rgu_ga_BOT"/>
      <sheetName val="a_rev_JAK"/>
      <sheetName val="rev_JAK"/>
      <sheetName val="a_rev_BOT"/>
      <sheetName val="rev_JABO"/>
      <sheetName val="rev_BOT"/>
      <sheetName val="DETAIL_ALL"/>
      <sheetName val="CARRY_OVER_JBRO"/>
      <sheetName val="GAP_JABO"/>
      <sheetName val="GAP_BOT"/>
      <sheetName val="GAP_JAK"/>
      <sheetName val="LOWSITE_JBRO"/>
    </sheetNames>
    <sheetDataSet>
      <sheetData sheetId="0" refreshError="1">
        <row r="5">
          <cell r="AQ5" t="str">
            <v>/WGZY</v>
          </cell>
        </row>
        <row r="46">
          <cell r="B46" t="str">
            <v xml:space="preserve">    PARTS</v>
          </cell>
          <cell r="C46">
            <v>7.4</v>
          </cell>
          <cell r="H46">
            <v>7.4</v>
          </cell>
        </row>
        <row r="48">
          <cell r="B48" t="str">
            <v xml:space="preserve">   SERVICE</v>
          </cell>
          <cell r="C48">
            <v>7</v>
          </cell>
          <cell r="H48">
            <v>7</v>
          </cell>
        </row>
        <row r="50">
          <cell r="B50" t="str">
            <v xml:space="preserve">   EQUIPMENT</v>
          </cell>
          <cell r="C50">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sheetData sheetId="183" refreshError="1"/>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ow r="47">
          <cell r="B47" t="str">
            <v>(All)</v>
          </cell>
        </row>
      </sheetData>
      <sheetData sheetId="219">
        <row r="47">
          <cell r="B47" t="str">
            <v>(All)</v>
          </cell>
        </row>
      </sheetData>
      <sheetData sheetId="220">
        <row r="47">
          <cell r="B47" t="str">
            <v>(All)</v>
          </cell>
        </row>
      </sheetData>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refreshError="1"/>
      <sheetData sheetId="257"/>
      <sheetData sheetId="258"/>
      <sheetData sheetId="259">
        <row r="46">
          <cell r="B46" t="str">
            <v>Fahaheel</v>
          </cell>
        </row>
      </sheetData>
      <sheetData sheetId="260"/>
      <sheetData sheetId="261"/>
      <sheetData sheetId="262"/>
      <sheetData sheetId="263"/>
      <sheetData sheetId="264"/>
      <sheetData sheetId="265"/>
      <sheetData sheetId="266" refreshError="1"/>
      <sheetData sheetId="267" refreshError="1"/>
      <sheetData sheetId="268" refreshError="1"/>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
      <sheetName val="TITLES"/>
      <sheetName val="FLASH"/>
      <sheetName val="EFR "/>
      <sheetName val="PROFIT-PERF"/>
      <sheetName val="PVA"/>
      <sheetName val="B-SHEET GRPNG"/>
      <sheetName val="BS"/>
      <sheetName val="cashflow-wkng"/>
      <sheetName val="CASHFLOW"/>
      <sheetName val="asset util-wkng"/>
      <sheetName val="ASSET-UT"/>
      <sheetName val="RECEIVABLES"/>
      <sheetName val="INVENTORY"/>
      <sheetName val="SALES"/>
      <sheetName val="DISTRICT PRO"/>
      <sheetName val="OVERHEAD"/>
      <sheetName val="PERF"/>
      <sheetName val="OHVAR"/>
      <sheetName val="OT"/>
      <sheetName val="FACTORY"/>
      <sheetName val="PRODN"/>
      <sheetName val="MANPOWER"/>
      <sheetName val="AFE"/>
      <sheetName val="TEL-RPL SALES"/>
      <sheetName val="FACINGS-EFFCY"/>
      <sheetName val="RM-USAGE"/>
      <sheetName val="FREIGHT"/>
      <sheetName val="PPT-98"/>
      <sheetName val="LPG-DIESEL"/>
      <sheetName val="SPARES-CONS"/>
      <sheetName val="RPL - CAP UTIL"/>
      <sheetName val="FACTORY INFO-97"/>
      <sheetName val="VAR"/>
      <sheetName val="RM-1997"/>
      <sheetName val="PACKING-1997"/>
      <sheetName val="FACINGS-1997"/>
      <sheetName val="JAN"/>
      <sheetName val="EFR_"/>
      <sheetName val="B-SHEET_GRPNG"/>
      <sheetName val="asset_util-wkng"/>
      <sheetName val="DISTRICT_PRO"/>
      <sheetName val="TEL-RPL_SALES"/>
      <sheetName val="RPL_-_CAP_UTIL"/>
      <sheetName val="FACTORY_INFO-97"/>
      <sheetName val="L_PM"/>
      <sheetName val="Sheet1"/>
      <sheetName val="Assumptions "/>
      <sheetName val="Income-tax"/>
      <sheetName val="CONTRN BY DISTRICT"/>
      <sheetName val="EFR_1"/>
      <sheetName val="B-SHEET_GRPNG1"/>
      <sheetName val="asset_util-wkng1"/>
      <sheetName val="DISTRICT_PRO1"/>
      <sheetName val="TEL-RPL_SALES1"/>
      <sheetName val="RPL_-_CAP_UTIL1"/>
      <sheetName val="FACTORY_INFO-971"/>
      <sheetName val="Assumptions_"/>
      <sheetName val="CONTRN_BY_DISTRICT"/>
      <sheetName val="a soga JAK"/>
      <sheetName val="soga JAK"/>
      <sheetName val="a soga JABO"/>
      <sheetName val="a soga BOT"/>
      <sheetName val="soga JABO"/>
      <sheetName val="soga BOT"/>
      <sheetName val="a sso JAK"/>
      <sheetName val="sso JAK"/>
      <sheetName val="a sso JABO"/>
      <sheetName val="a sso BOT"/>
      <sheetName val="sso JABO"/>
      <sheetName val="sso BOT"/>
      <sheetName val="a vlr JAK"/>
      <sheetName val="vlr JAK"/>
      <sheetName val="a vlr JABO"/>
      <sheetName val="a vlr BOT"/>
      <sheetName val="vlr JABO"/>
      <sheetName val="vlr BOT"/>
      <sheetName val="a rgu ga JAK"/>
      <sheetName val="rgu ga JAK"/>
      <sheetName val="a rgu ga JABO"/>
      <sheetName val="a rgu ga BOT"/>
      <sheetName val="rgu ga JABO"/>
      <sheetName val="rgu ga BOT"/>
      <sheetName val="a rev JAK"/>
      <sheetName val="rev JAK"/>
      <sheetName val="a rev BOT"/>
      <sheetName val="rev JABO"/>
      <sheetName val="rev BOT"/>
      <sheetName val="DETAIL ALL"/>
      <sheetName val="jbro"/>
      <sheetName val="CARRY OVER JBRO"/>
      <sheetName val="GAP JABO"/>
      <sheetName val="GAP BOT"/>
      <sheetName val="GAP JAK"/>
      <sheetName val="LOWSITE JBRO"/>
      <sheetName val="TRIAL BALANCE"/>
      <sheetName val="YTD SALES"/>
      <sheetName val="abst _2_"/>
      <sheetName val="IBM C BLOCK"/>
      <sheetName val="fidelity"/>
      <sheetName val="IBM D BLOCK"/>
      <sheetName val="cherryhill"/>
      <sheetName val="anz"/>
      <sheetName val="Campus"/>
      <sheetName val="Pine Valley"/>
      <sheetName val="24 bar 7"/>
      <sheetName val="COVANSYS"/>
      <sheetName val="Signature"/>
      <sheetName val="Netapps"/>
      <sheetName val="EGL-FOODCOURT"/>
      <sheetName val="IBM C Block Fitout"/>
      <sheetName val="IBM D Block Fitout"/>
      <sheetName val="24bar7 (ICON)"/>
      <sheetName val="24bar7 phase 2"/>
      <sheetName val="LG Soft Fitout"/>
      <sheetName val="kirby"/>
      <sheetName val="kirby Gs"/>
      <sheetName val="ibm1"/>
      <sheetName val="ibm2"/>
      <sheetName val="ibm3"/>
      <sheetName val="misc"/>
      <sheetName val="Balance Sheet "/>
      <sheetName val="nVision"/>
      <sheetName val="cashflowglsp"/>
      <sheetName val="Assumptions"/>
      <sheetName val="PL"/>
      <sheetName val="POY CY"/>
      <sheetName val="pg 1"/>
      <sheetName val="Power &amp; Fuel(new)"/>
      <sheetName val="12-19-00"/>
      <sheetName val="cashflowglsp.xls"/>
      <sheetName val="Sheet2"/>
      <sheetName val="FINSUM"/>
      <sheetName val="Sales Summary"/>
      <sheetName val="TRIAL_BALANCE"/>
      <sheetName val="TRIAL_BALANCE1"/>
      <sheetName val="YTD_SALES"/>
      <sheetName val="abst__2_"/>
      <sheetName val="IBM_C_BLOCK"/>
      <sheetName val="IBM_D_BLOCK"/>
      <sheetName val="Pine_Valley"/>
      <sheetName val="24_bar_7"/>
      <sheetName val="IBM_C_Block_Fitout"/>
      <sheetName val="IBM_D_Block_Fitout"/>
      <sheetName val="24bar7_(ICON)"/>
      <sheetName val="24bar7_phase_2"/>
      <sheetName val="LG_Soft_Fitout"/>
      <sheetName val="kirby_Gs"/>
      <sheetName val="Balance_Sheet_"/>
      <sheetName val="POY_CY"/>
      <sheetName val="pg_1"/>
      <sheetName val="Power_&amp;_Fuel(new)"/>
      <sheetName val="cashflowglsp_xls"/>
      <sheetName val="Sales_Summary"/>
      <sheetName val="LEGAL GUJ"/>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HEET"/>
      <sheetName val="MAT"/>
      <sheetName val="COMP"/>
      <sheetName val="Ack (1)"/>
      <sheetName val="Ack (2)"/>
      <sheetName val="Page1"/>
      <sheetName val="Page2"/>
      <sheetName val="Page3"/>
      <sheetName val="Page4"/>
      <sheetName val="Page5"/>
      <sheetName val="Page6"/>
      <sheetName val="Page7"/>
      <sheetName val="Page8"/>
      <sheetName val="Page9"/>
      <sheetName val="Page10"/>
      <sheetName val="BANK"/>
      <sheetName val="DIRECTORS"/>
      <sheetName val="B.Sheet &amp; P&amp;L"/>
      <sheetName val="analisis de incrementos"/>
      <sheetName val="proy"/>
      <sheetName val="bandas ene2010"/>
      <sheetName val="gl"/>
      <sheetName val="form 1 - 2000 revised- hanil le"/>
      <sheetName val="2266957"/>
      <sheetName val="Drop_Down Controls"/>
      <sheetName val="Lead"/>
      <sheetName val="Links"/>
      <sheetName val="CSG Listing"/>
      <sheetName val="CY-OS-90-1"/>
      <sheetName val="AEB Snapshot"/>
      <sheetName val="IBA&amp;HP"/>
      <sheetName val="Deduction of assets"/>
      <sheetName val="Makro1"/>
      <sheetName val="DSLP"/>
      <sheetName val="Sheet3"/>
      <sheetName val="FURNI"/>
      <sheetName val="tb"/>
      <sheetName val="NN"/>
      <sheetName val="15"/>
      <sheetName val="Sens"/>
      <sheetName val="Aseet1998"/>
      <sheetName val="Push Diag on Premise"/>
      <sheetName val="CChannel Attract Input"/>
      <sheetName val="FStratPlan"/>
      <sheetName val="Filling Line Detail"/>
      <sheetName val="CDIMAG"/>
      <sheetName val="Demand Points"/>
      <sheetName val="MRC to ML conversion"/>
      <sheetName val="Plants"/>
      <sheetName val="COST1_12FINAL"/>
      <sheetName val="Total Haryana POs AMC Sheet 3%"/>
      <sheetName val="delhi 03-04AMC @ 3%"/>
      <sheetName val="itemsdetails"/>
      <sheetName val="Platform"/>
      <sheetName val="Ack_(1)"/>
      <sheetName val="Ack_(2)"/>
      <sheetName val="Sheet4"/>
      <sheetName val="for challans"/>
      <sheetName val="ALLOY"/>
      <sheetName val="SETNO"/>
      <sheetName val="Telval"/>
      <sheetName val="Assumptions"/>
      <sheetName val="GENERAL"/>
      <sheetName val="DDT_TDS_TCS"/>
      <sheetName val="NATUREOFBUSINESS"/>
      <sheetName val="GENERAL2"/>
      <sheetName val="SUBSIDIARY DETAILS"/>
      <sheetName val="PART_C"/>
      <sheetName val="Data"/>
      <sheetName val="Contract_Analysis"/>
      <sheetName val="Deduction_of_assets"/>
      <sheetName val="Lookups"/>
      <sheetName val="Annex_A1-A28"/>
      <sheetName val="Bal_Sheet-00"/>
      <sheetName val="Sched's-00"/>
      <sheetName val="MASTER_LIST"/>
      <sheetName val="Software"/>
      <sheetName val="Header"/>
      <sheetName val="PriceList"/>
      <sheetName val="Data2"/>
      <sheetName val="Revisions"/>
      <sheetName val="Hardware"/>
      <sheetName val="SVC_table"/>
      <sheetName val="Service"/>
      <sheetName val="Article"/>
      <sheetName val="CUMAA"/>
      <sheetName val="AN_Input"/>
      <sheetName val="Cost Assumptions"/>
      <sheetName val="공장별판관비배부"/>
      <sheetName val="FORM-16"/>
      <sheetName val="TIME"/>
      <sheetName val="REGION"/>
      <sheetName val="INTRO"/>
      <sheetName val="3CD"/>
      <sheetName val="Assum SG&amp;A-ROW"/>
      <sheetName val="Assumptions IRMG"/>
      <sheetName val="Assumptions US-Rev"/>
      <sheetName val="Q2 YTD OG Sales Analysis"/>
      <sheetName val="Sheet1"/>
      <sheetName val="AMEX"/>
      <sheetName val="Input"/>
      <sheetName val="Janus"/>
      <sheetName val="JHF"/>
      <sheetName val="Lincoln"/>
      <sheetName val="ML"/>
      <sheetName val="MS"/>
      <sheetName val="Prudential"/>
      <sheetName val="Schwab"/>
      <sheetName val="TRowe"/>
      <sheetName val="Waddell"/>
      <sheetName val="Income"/>
      <sheetName val="BSCS"/>
      <sheetName val="Balance"/>
      <sheetName val="Historic Income"/>
      <sheetName val="Holders"/>
      <sheetName val="Royalty"/>
      <sheetName val="EXP"/>
      <sheetName val="MS Parameters"/>
      <sheetName val="MS Inc"/>
      <sheetName val="FINANCIALS"/>
      <sheetName val="gvl"/>
      <sheetName val="Main"/>
      <sheetName val="Summary by Verticals,Probabilit"/>
      <sheetName val="YTD"/>
      <sheetName val="oh2015"/>
      <sheetName val="DVC Allocation 2017"/>
      <sheetName val="Summary"/>
      <sheetName val="party"/>
      <sheetName val="Cover"/>
      <sheetName val="CUSTOMER STRATEGIES"/>
      <sheetName val="CustOrg"/>
      <sheetName val="末残計画(四半期ベース)"/>
      <sheetName val="ﾏﾁｭﾘﾃｨﾗﾀﾞｰ（月次ベース）"/>
      <sheetName val="ﾏﾁｭﾘﾃｨﾗﾀﾞｰ（四半期ベース）"/>
      <sheetName val="#REF"/>
      <sheetName val="신규DEP"/>
      <sheetName val="Help"/>
      <sheetName val="rent paid details"/>
      <sheetName val="april2005"/>
      <sheetName val="ｸﾞﾗﾌﾃﾞｰﾀ"/>
      <sheetName val="CCTV(old)"/>
      <sheetName val="ACS(1)"/>
      <sheetName val="FAS-C(4)"/>
      <sheetName val="BS"/>
      <sheetName val="schedules"/>
      <sheetName val="S e p"/>
      <sheetName val="M a r"/>
      <sheetName val="M a y"/>
      <sheetName val="J u l"/>
      <sheetName val="A p r"/>
      <sheetName val="A u g"/>
      <sheetName val="O c t"/>
      <sheetName val="J u n"/>
      <sheetName val="N o v"/>
      <sheetName val="F e b"/>
      <sheetName val="J a n"/>
      <sheetName val="00 received in 01"/>
      <sheetName val="関係会社貸付金データ"/>
      <sheetName val="FT-05-02IsoBOM"/>
      <sheetName val="Additions"/>
      <sheetName val="Introduction"/>
      <sheetName val="IDC macro"/>
      <sheetName val="STRENGTH"/>
      <sheetName val="FEES STRUCTURE"/>
      <sheetName val="P&amp;L"/>
      <sheetName val="PRE-SCHOOL"/>
      <sheetName val="DAY CARE"/>
      <sheetName val="CONSOLIDATED"/>
      <sheetName val="BEP SUMMARY"/>
      <sheetName val="BEP CALCULATION"/>
      <sheetName val="PS+DC+BUS MASTER"/>
      <sheetName val="PROFIT RECO APRIL AND JUNE"/>
      <sheetName val="MOHALI - I"/>
      <sheetName val="TOANSA"/>
      <sheetName val="MOHALI - II"/>
      <sheetName val="Lookup"/>
      <sheetName val="INSUR05-06"/>
      <sheetName val="_REF"/>
      <sheetName val="Original Andrew___Data"/>
      <sheetName val="JUN KPI-C (Bris)"/>
      <sheetName val="detail'02"/>
      <sheetName val="Bal"/>
      <sheetName val="#REF!"/>
      <sheetName val="B2B summary"/>
      <sheetName val="Sheet2"/>
      <sheetName val="Cons Balance Sheet"/>
      <sheetName val="Cons P&amp;L"/>
      <sheetName val="LOB_prodn"/>
      <sheetName val="Adm97"/>
      <sheetName val="@Report Control"/>
      <sheetName val="Index"/>
      <sheetName val="Consolidation schedules"/>
      <sheetName val="Schede di consolidamento"/>
      <sheetName val="DREXPJUL"/>
      <sheetName val="Ack_(1)1"/>
      <sheetName val="Ack_(2)1"/>
      <sheetName val="Drop_Down_Controls"/>
      <sheetName val="Deduction_of_assets1"/>
      <sheetName val="B_Sheet_&amp;_P&amp;L"/>
      <sheetName val="analisis_de_incrementos"/>
      <sheetName val="bandas_ene2010"/>
      <sheetName val="Total_Haryana_POs_AMC_Sheet_3%"/>
      <sheetName val="delhi_03-04AMC_@_3%"/>
      <sheetName val="form_1_-_2000_revised-_hanil_le"/>
      <sheetName val="Push_Diag_on_Premise"/>
      <sheetName val="CChannel_Attract_Input"/>
      <sheetName val="Filling_Line_Detail"/>
      <sheetName val="Demand_Points"/>
      <sheetName val="MRC_to_ML_conversion"/>
      <sheetName val="CSG_Listing"/>
      <sheetName val="AEB_Snapshot"/>
      <sheetName val="Assum_SG&amp;A-ROW"/>
      <sheetName val="Assumptions_IRMG"/>
      <sheetName val="Assumptions_US-Rev"/>
      <sheetName val="Q2_YTD_OG_Sales_Analysis"/>
      <sheetName val="for_challans"/>
      <sheetName val="Cost_Assumptions"/>
      <sheetName val="SUBSIDIARY_DETAILS"/>
      <sheetName val="MS_Parameters"/>
      <sheetName val="MS_Inc"/>
      <sheetName val="Historic_Income"/>
      <sheetName val="Summary_by_Verticals,Probabilit"/>
      <sheetName val="Ack_(1)2"/>
      <sheetName val="Ack_(2)2"/>
      <sheetName val="Drop_Down_Controls1"/>
      <sheetName val="Deduction_of_assets2"/>
      <sheetName val="B_Sheet_&amp;_P&amp;L1"/>
      <sheetName val="analisis_de_incrementos1"/>
      <sheetName val="bandas_ene20101"/>
      <sheetName val="Total_Haryana_POs_AMC_Sheet_3%1"/>
      <sheetName val="delhi_03-04AMC_@_3%1"/>
      <sheetName val="form_1_-_2000_revised-_hanil_l1"/>
      <sheetName val="Push_Diag_on_Premise1"/>
      <sheetName val="CChannel_Attract_Input1"/>
      <sheetName val="Filling_Line_Detail1"/>
      <sheetName val="Demand_Points1"/>
      <sheetName val="MRC_to_ML_conversion1"/>
      <sheetName val="CSG_Listing1"/>
      <sheetName val="AEB_Snapshot1"/>
      <sheetName val="Assum_SG&amp;A-ROW1"/>
      <sheetName val="Assumptions_IRMG1"/>
      <sheetName val="Assumptions_US-Rev1"/>
      <sheetName val="Q2_YTD_OG_Sales_Analysis1"/>
      <sheetName val="for_challans1"/>
      <sheetName val="Cost_Assumptions1"/>
      <sheetName val="SUBSIDIARY_DETAILS1"/>
      <sheetName val="MS_Parameters1"/>
      <sheetName val="MS_Inc1"/>
      <sheetName val="Historic_Income1"/>
      <sheetName val="Summary_by_Verticals,Probabili1"/>
      <sheetName val="Consolidation_schedules"/>
      <sheetName val="Schede_di_consolidamento"/>
      <sheetName val="CUSTOMER_STRATEGIES"/>
      <sheetName val="DVC_Allocation_2017"/>
      <sheetName val="S_e_p"/>
      <sheetName val="M_a_r"/>
      <sheetName val="M_a_y"/>
      <sheetName val="J_u_l"/>
      <sheetName val="A_p_r"/>
      <sheetName val="A_u_g"/>
      <sheetName val="O_c_t"/>
      <sheetName val="J_u_n"/>
      <sheetName val="N_o_v"/>
      <sheetName val="F_e_b"/>
      <sheetName val="J_a_n"/>
      <sheetName val="00_received_in_01"/>
      <sheetName val="FEES_STRUCTURE"/>
      <sheetName val="DAY_CARE"/>
      <sheetName val="BEP_SUMMARY"/>
      <sheetName val="BEP_CALCULATION"/>
      <sheetName val="PS+DC+BUS_MASTER"/>
      <sheetName val="PROFIT_RECO_APRIL_AND_JUNE"/>
      <sheetName val="IDC_macro"/>
      <sheetName val="rent_paid_details"/>
      <sheetName val="BS-2005"/>
      <sheetName val="TRIAL BALANCE"/>
      <sheetName val="Cash Flow"/>
      <sheetName val="Source"/>
      <sheetName val="Rollup"/>
      <sheetName val="REPORT"/>
      <sheetName val="PROJECTIONS"/>
      <sheetName val="BALANCE SHEET"/>
      <sheetName val="Tables"/>
      <sheetName val="P&amp;M assets &gt; 7 lakh"/>
      <sheetName val="BD- Specific Reserve"/>
      <sheetName val="DPIN KEY"/>
      <sheetName val="Master-Final"/>
      <sheetName val="Info on Rupee Cost"/>
      <sheetName val="Annexure-I"/>
      <sheetName val="Challan"/>
      <sheetName val="Form"/>
      <sheetName val="Annexures"/>
      <sheetName val="Appendix to Annexure III"/>
      <sheetName val="MEMOIT"/>
      <sheetName val="BS &amp; P&amp;L"/>
      <sheetName val="Detail In Door Stad"/>
      <sheetName val="Retail"/>
      <sheetName val="References"/>
      <sheetName val="casella-violin"/>
      <sheetName val="SCHE-MARCH'04"/>
      <sheetName val="Price Testing - Used - 1"/>
      <sheetName val="Cover "/>
      <sheetName val="summery-FINAL"/>
      <sheetName val="COA-IPCL"/>
      <sheetName val="DVC_Allocation_20171"/>
      <sheetName val="S_e_p1"/>
      <sheetName val="M_a_r1"/>
      <sheetName val="M_a_y1"/>
      <sheetName val="J_u_l1"/>
      <sheetName val="A_p_r1"/>
      <sheetName val="A_u_g1"/>
      <sheetName val="O_c_t1"/>
      <sheetName val="J_u_n1"/>
      <sheetName val="N_o_v1"/>
      <sheetName val="F_e_b1"/>
      <sheetName val="J_a_n1"/>
      <sheetName val="00_received_in_011"/>
      <sheetName val="CUSTOMER_STRATEGIES1"/>
      <sheetName val="Original_Andrew___Data"/>
      <sheetName val="TRIAL_BALANCE"/>
      <sheetName val="Cash_Flow"/>
      <sheetName val="FA TB 28-2-2006"/>
      <sheetName val="Pool details"/>
      <sheetName val="FA 2010-2011 FINAL"/>
      <sheetName val="Eingabe"/>
      <sheetName val="Forex"/>
      <sheetName val="BS01"/>
      <sheetName val="P1"/>
      <sheetName val="Overheads01"/>
      <sheetName val="Final Data"/>
      <sheetName val="Adjustments"/>
      <sheetName val="Assumption"/>
      <sheetName val="Segment wise Rev"/>
      <sheetName val="Macrow"/>
      <sheetName val="Investments"/>
      <sheetName val="DAILY"/>
      <sheetName val="Master"/>
      <sheetName val="BS Schld"/>
      <sheetName val="Bal_Gr"/>
      <sheetName val="Ref"/>
      <sheetName val="SA10 (2)"/>
      <sheetName val="Net Sales Dump"/>
      <sheetName val="sch"/>
      <sheetName val="Controls"/>
      <sheetName val="XREF"/>
      <sheetName val="J$SETT (2)"/>
      <sheetName val="CHD Tables"/>
      <sheetName val="Design"/>
      <sheetName val="%"/>
      <sheetName val="Inputs"/>
      <sheetName val="OS Scenarios"/>
      <sheetName val="Software JV"/>
      <sheetName val="Overheads"/>
      <sheetName val="P&amp;L00-01(old) "/>
      <sheetName val="Overview"/>
      <sheetName val="List of Rem Entries"/>
      <sheetName val="Masters"/>
      <sheetName val="A01"/>
      <sheetName val="Control"/>
      <sheetName val="HR"/>
      <sheetName val="PL"/>
      <sheetName val="Cash flow statement"/>
      <sheetName val="Share Capital "/>
      <sheetName val="BS schedule"/>
      <sheetName val="PL schedule"/>
      <sheetName val="TB FY 18-19"/>
      <sheetName val="Depreciation schedule"/>
      <sheetName val="Memo-17-18"/>
      <sheetName val="Depreciation as per IT Act"/>
      <sheetName val="Note-27-RPD"/>
      <sheetName val="CARO Disqualification "/>
      <sheetName val="Note-28-Actuarial valuation"/>
      <sheetName val="Disallowance"/>
      <sheetName val="DTA DTL computation"/>
      <sheetName val="Closing stock"/>
      <sheetName val="Trial Balance-17-18"/>
      <sheetName val="Audit entries"/>
      <sheetName val="TB-16-17"/>
      <sheetName val="Main Cash Flow"/>
      <sheetName val="Basis"/>
      <sheetName val="Profit &amp; Loss"/>
      <sheetName val="Fixed assets Schedule"/>
      <sheetName val="Notes to account (1)"/>
      <sheetName val="Segment Reporting"/>
      <sheetName val="Notes to account (2)"/>
      <sheetName val="Trial Balance 19-20"/>
      <sheetName val="Audit entries 19-20"/>
      <sheetName val="Provision"/>
      <sheetName val="Interest Payable Detail"/>
      <sheetName val="DTA DTL Calculation"/>
      <sheetName val="IT Computation"/>
      <sheetName val="Security Deposits Detail"/>
      <sheetName val="Depriciation as per IT ACT"/>
      <sheetName val="Detail of Creditor for Expenses"/>
      <sheetName val="Reimbursement-RP"/>
      <sheetName val="MOHALI_-_I"/>
      <sheetName val="MOHALI_-_II"/>
      <sheetName val="JUN_KPI-C_(Bris)"/>
    </sheetNames>
    <sheetDataSet>
      <sheetData sheetId="0" refreshError="1"/>
      <sheetData sheetId="1"/>
      <sheetData sheetId="2"/>
      <sheetData sheetId="3"/>
      <sheetData sheetId="4"/>
      <sheetData sheetId="5"/>
      <sheetData sheetId="6">
        <row r="48">
          <cell r="F48">
            <v>340</v>
          </cell>
        </row>
      </sheetData>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efreshError="1"/>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 &amp; Fuel (S)"/>
      <sheetName val="Uniuon Bank"/>
      <sheetName val="Allocation Of Funds"/>
      <sheetName val="Table Of Contents"/>
      <sheetName val="Capacity "/>
      <sheetName val="Inter Transfer"/>
      <sheetName val="base"/>
      <sheetName val="Base (2)"/>
      <sheetName val="Basic Assumption"/>
      <sheetName val="COP"/>
      <sheetName val="Breakup PC"/>
      <sheetName val="Cost &amp; Means"/>
      <sheetName val="Land &amp; Site Development"/>
      <sheetName val="Civil Const."/>
      <sheetName val="Plant &amp; Machinery"/>
      <sheetName val="Summary of Plant &amp; Machinery"/>
      <sheetName val="Miscellaneous"/>
      <sheetName val="Contingencies"/>
      <sheetName val="Preliminary &amp; preoperative"/>
      <sheetName val="Working Capital"/>
      <sheetName val="Raw Materials"/>
      <sheetName val="Power &amp; Fuel"/>
      <sheetName val="Salary Wages Sponge"/>
      <sheetName val="Salary &amp; Wages"/>
      <sheetName val="Factory Overheads (S)"/>
      <sheetName val="Factory Overheads"/>
      <sheetName val="Depreciation (S)"/>
      <sheetName val="Depreciation"/>
      <sheetName val="Working Results"/>
      <sheetName val="Sales"/>
      <sheetName val="Term Loan"/>
      <sheetName val="Income Tax"/>
      <sheetName val="Cash Flow"/>
      <sheetName val="Balance Sheet"/>
      <sheetName val="Internal Rate"/>
      <sheetName val="DSCR"/>
      <sheetName val="Break Even"/>
      <sheetName val="Sensitivity"/>
      <sheetName val="CAS Operating Statement"/>
      <sheetName val="CAS Balance Sheet"/>
      <sheetName val="CA &amp; CL"/>
      <sheetName val="MPBF"/>
      <sheetName val="CAS Fund Flow"/>
      <sheetName val="Parameters"/>
      <sheetName val="base(I)"/>
      <sheetName val="COP CPP"/>
      <sheetName val="Base (E)"/>
      <sheetName val="Power &amp; Fuel(MBF)"/>
      <sheetName val="Power &amp; Fuel(E)"/>
      <sheetName val="Salary Wages (S)"/>
      <sheetName val="Salary &amp; Wages(M)"/>
      <sheetName val="Salary &amp; Wages(E)"/>
      <sheetName val="Salary &amp; Wages(P)"/>
      <sheetName val="Factory Overheads(M)"/>
      <sheetName val="Factory Overheads(E)"/>
      <sheetName val="Decmbf"/>
      <sheetName val="Depreciation(E)"/>
      <sheetName val="Depreciation(M)"/>
      <sheetName val="Depreciation(CPP)"/>
      <sheetName val="Integrated 25-11-04"/>
      <sheetName val="Uniuon_Bank"/>
      <sheetName val="Allocation_Of_Funds"/>
      <sheetName val="Table_Of_Contents"/>
      <sheetName val="Capacity_"/>
      <sheetName val="Inter_Transfer"/>
      <sheetName val="Base_(2)"/>
      <sheetName val="Basic_Assumption"/>
      <sheetName val="Breakup_PC"/>
      <sheetName val="Cost_&amp;_Means"/>
      <sheetName val="Land_&amp;_Site_Development"/>
      <sheetName val="Civil_Const_"/>
      <sheetName val="Plant_&amp;_Machinery"/>
      <sheetName val="Summary_of_Plant_&amp;_Machinery"/>
      <sheetName val="Preliminary_&amp;_preoperative"/>
      <sheetName val="Working_Capital"/>
      <sheetName val="Raw_Materials"/>
      <sheetName val="Power_&amp;_Fuel_(S)"/>
      <sheetName val="Power_&amp;_Fuel"/>
      <sheetName val="Salary_Wages_Sponge"/>
      <sheetName val="Salary_&amp;_Wages"/>
      <sheetName val="Factory_Overheads_(S)"/>
      <sheetName val="Factory_Overheads"/>
      <sheetName val="Depreciation_(S)"/>
      <sheetName val="Working_Results"/>
      <sheetName val="Term_Loan"/>
      <sheetName val="Income_Tax"/>
      <sheetName val="Cash_Flow"/>
      <sheetName val="Balance_Sheet"/>
      <sheetName val="Internal_Rate"/>
      <sheetName val="Break_Even"/>
      <sheetName val="CAS_Operating_Statement"/>
      <sheetName val="CAS_Balance_Sheet"/>
      <sheetName val="CA_&amp;_CL"/>
      <sheetName val="CAS_Fund_Flow"/>
      <sheetName val="COP_CPP"/>
      <sheetName val="Base_(E)"/>
      <sheetName val="Power_&amp;_Fuel(MBF)"/>
      <sheetName val="Power_&amp;_Fuel(E)"/>
      <sheetName val="Salary_Wages_(S)"/>
      <sheetName val="Salary_&amp;_Wages(M)"/>
      <sheetName val="Salary_&amp;_Wages(E)"/>
      <sheetName val="Salary_&amp;_Wages(P)"/>
      <sheetName val="Factory_Overheads(M)"/>
      <sheetName val="Factory_Overheads(E)"/>
      <sheetName val="Integrated_25-11-04"/>
      <sheetName val="SalaryData"/>
      <sheetName val="Assm"/>
      <sheetName val="Original_Andrew___Data"/>
      <sheetName val="Assumptions"/>
      <sheetName val="Controls"/>
      <sheetName val="Scen"/>
      <sheetName val="TargetOverview"/>
      <sheetName val="CWIP_status"/>
      <sheetName val="July"/>
      <sheetName val="Cochin_Invoice_File"/>
      <sheetName val="PF_Assumptions"/>
      <sheetName val="FXRATES"/>
      <sheetName val="May_01"/>
      <sheetName val="Control"/>
      <sheetName val="Assistance"/>
      <sheetName val="Sum_proj"/>
      <sheetName val="PRINT-BL"/>
      <sheetName val="FY2002"/>
      <sheetName val="FY2004"/>
      <sheetName val="YTD2005"/>
      <sheetName val="Target"/>
      <sheetName val="Sales_by_Month"/>
      <sheetName val="MASTER"/>
      <sheetName val="KISSAN"/>
      <sheetName val="Additions"/>
      <sheetName val="IS"/>
      <sheetName val="THREE VARIABLES"/>
      <sheetName val="TargIS"/>
      <sheetName val="TargBSCF"/>
      <sheetName val="BSHEET"/>
      <sheetName val="Uniuon_Bank1"/>
      <sheetName val="Allocation_Of_Funds1"/>
      <sheetName val="Table_Of_Contents1"/>
      <sheetName val="Capacity_1"/>
      <sheetName val="Inter_Transfer1"/>
      <sheetName val="Base_(2)1"/>
      <sheetName val="Basic_Assumption1"/>
      <sheetName val="Breakup_PC1"/>
      <sheetName val="Cost_&amp;_Means1"/>
      <sheetName val="Land_&amp;_Site_Development1"/>
      <sheetName val="Civil_Const_1"/>
      <sheetName val="Plant_&amp;_Machinery1"/>
      <sheetName val="Summary_of_Plant_&amp;_Machinery1"/>
      <sheetName val="Preliminary_&amp;_preoperative1"/>
      <sheetName val="Working_Capital1"/>
      <sheetName val="Raw_Materials1"/>
      <sheetName val="Power_&amp;_Fuel_(S)1"/>
      <sheetName val="Power_&amp;_Fuel1"/>
      <sheetName val="Salary_Wages_Sponge1"/>
      <sheetName val="Salary_&amp;_Wages1"/>
      <sheetName val="Factory_Overheads_(S)1"/>
      <sheetName val="Factory_Overheads1"/>
      <sheetName val="Depreciation_(S)1"/>
      <sheetName val="Working_Results1"/>
      <sheetName val="Term_Loan1"/>
      <sheetName val="Income_Tax1"/>
      <sheetName val="Cash_Flow1"/>
      <sheetName val="Balance_Sheet1"/>
      <sheetName val="Internal_Rate1"/>
      <sheetName val="Break_Even1"/>
      <sheetName val="CAS_Operating_Statement1"/>
      <sheetName val="CAS_Balance_Sheet1"/>
      <sheetName val="CA_&amp;_CL1"/>
      <sheetName val="CAS_Fund_Flow1"/>
      <sheetName val="COP_CPP1"/>
      <sheetName val="Base_(E)1"/>
      <sheetName val="Power_&amp;_Fuel(MBF)1"/>
      <sheetName val="Power_&amp;_Fuel(E)1"/>
      <sheetName val="Salary_Wages_(S)1"/>
      <sheetName val="Salary_&amp;_Wages(M)1"/>
      <sheetName val="Salary_&amp;_Wages(E)1"/>
      <sheetName val="Salary_&amp;_Wages(P)1"/>
      <sheetName val="Factory_Overheads(M)1"/>
      <sheetName val="Factory_Overheads(E)1"/>
      <sheetName val="Integrated_25-11-041"/>
      <sheetName val="THREE_VARIABLES"/>
      <sheetName val="Set-up"/>
      <sheetName val="option II"/>
      <sheetName val="Share Prices"/>
      <sheetName val="Uniuon_Bank2"/>
      <sheetName val="Allocation_Of_Funds2"/>
      <sheetName val="Table_Of_Contents2"/>
      <sheetName val="Capacity_2"/>
      <sheetName val="Inter_Transfer2"/>
      <sheetName val="Base_(2)2"/>
      <sheetName val="Basic_Assumption2"/>
      <sheetName val="Breakup_PC2"/>
      <sheetName val="Cost_&amp;_Means2"/>
      <sheetName val="Land_&amp;_Site_Development2"/>
      <sheetName val="Civil_Const_2"/>
      <sheetName val="Plant_&amp;_Machinery2"/>
      <sheetName val="Summary_of_Plant_&amp;_Machinery2"/>
      <sheetName val="Preliminary_&amp;_preoperative2"/>
      <sheetName val="Working_Capital2"/>
      <sheetName val="Raw_Materials2"/>
      <sheetName val="Power_&amp;_Fuel_(S)2"/>
      <sheetName val="Power_&amp;_Fuel2"/>
      <sheetName val="Salary_Wages_Sponge2"/>
      <sheetName val="Salary_&amp;_Wages2"/>
      <sheetName val="Factory_Overheads_(S)2"/>
      <sheetName val="Factory_Overheads2"/>
      <sheetName val="Depreciation_(S)2"/>
      <sheetName val="Working_Results2"/>
      <sheetName val="Term_Loan2"/>
      <sheetName val="Income_Tax2"/>
      <sheetName val="Cash_Flow2"/>
      <sheetName val="Balance_Sheet2"/>
      <sheetName val="Internal_Rate2"/>
      <sheetName val="Break_Even2"/>
      <sheetName val="CAS_Operating_Statement2"/>
      <sheetName val="CAS_Balance_Sheet2"/>
      <sheetName val="CA_&amp;_CL2"/>
      <sheetName val="CAS_Fund_Flow2"/>
      <sheetName val="COP_CPP2"/>
      <sheetName val="Base_(E)2"/>
      <sheetName val="Power_&amp;_Fuel(MBF)2"/>
      <sheetName val="Power_&amp;_Fuel(E)2"/>
      <sheetName val="Salary_Wages_(S)2"/>
      <sheetName val="Salary_&amp;_Wages(M)2"/>
      <sheetName val="Salary_&amp;_Wages(E)2"/>
      <sheetName val="Salary_&amp;_Wages(P)2"/>
      <sheetName val="Factory_Overheads(M)2"/>
      <sheetName val="Factory_Overheads(E)2"/>
      <sheetName val="Integrated_25-11-042"/>
      <sheetName val="THREE_VARIABLES1"/>
      <sheetName val="option_II"/>
      <sheetName val="Share_Prices"/>
      <sheetName val="CY1999"/>
      <sheetName val="Integrated%2025-11-04.xls"/>
      <sheetName val="Chart"/>
      <sheetName val="Flow"/>
      <sheetName val="Share_Prices1"/>
      <sheetName val="EBITDA Bridge"/>
      <sheetName val="REALLOCATIONS"/>
      <sheetName val="CURRENT QUAR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sheetData sheetId="183" refreshError="1"/>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sheetData sheetId="237" refreshError="1"/>
      <sheetData sheetId="238" refreshError="1"/>
      <sheetData sheetId="23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
      <sheetName val="CASHFLOW"/>
      <sheetName val="INFLATION"/>
      <sheetName val="Current"/>
      <sheetName val="Power &amp; Fuel (S)"/>
      <sheetName val="Labels"/>
      <sheetName val="Drop Down Menus"/>
      <sheetName val="Power_&amp;_Fuel_(S)"/>
      <sheetName val="Drop_Down_Menus"/>
      <sheetName val="Power_&amp;_Fuel_(S)1"/>
      <sheetName val="Drop_Down_Menus1"/>
      <sheetName val="FitOutConfCentre"/>
      <sheetName val="Spot rates"/>
      <sheetName val="Abbrs"/>
      <sheetName val="Currency &amp; WACCs"/>
      <sheetName val="B.8_Avonmouth_AR"/>
      <sheetName val="C.8_Ardley_AR"/>
      <sheetName val="D.8_Dunbar_AR"/>
      <sheetName val="E.8_Exeter_AR"/>
      <sheetName val="F.8_Glasgow_AR"/>
      <sheetName val="G.8_Peterborough_AR"/>
      <sheetName val="J.8_Beddington_AR"/>
      <sheetName val="K.8_Cardiff_AR"/>
      <sheetName val="N.8_Lakeside (Holdco)_AR"/>
      <sheetName val="C.8_Ardley_OR"/>
      <sheetName val="B.8_Avonmouth_OR"/>
      <sheetName val="B.8_Avonmouth_DER"/>
      <sheetName val="J.8_Beddington_OR"/>
      <sheetName val="D.8_Dunbar_OR"/>
      <sheetName val="E.8_Exeter_OR"/>
      <sheetName val="F.8_Glasgow_OR"/>
      <sheetName val="N.8_Lakeside (Holdco)_OR"/>
      <sheetName val="N.8_Lakeside (Holdco)_JVR"/>
      <sheetName val="G.8_Peterborough_OR"/>
      <sheetName val="K.8_Cardiff_OR"/>
      <sheetName val="L.8_3rd_OR"/>
      <sheetName val="T.8_Skelmersdale_OR"/>
      <sheetName val="C.8_Ardley_AP"/>
      <sheetName val="B.8_Avonmouth_AP"/>
      <sheetName val="J.8_Beddington_AP"/>
      <sheetName val="D.8_Dunbar_AP"/>
      <sheetName val="E.8_Exeter_AP"/>
      <sheetName val="F.8_Glasgow_AP"/>
      <sheetName val="N.8_Lakeside (Holdco)_AP"/>
      <sheetName val="G.8_Peterborough_AP"/>
      <sheetName val="K.8_Cardiff_AP"/>
      <sheetName val="L8_3rd_AP"/>
      <sheetName val="T.8_Skelmersdale_AP"/>
      <sheetName val="T.8_Skelmersdale_Other Prov"/>
      <sheetName val="N.8_Lakeside (Holdco)_JVP"/>
      <sheetName val="K.8_Cardiff_IC loan &amp; FL"/>
      <sheetName val="C.8_Ardley_IC Loan"/>
      <sheetName val="B.8_Avonmouth_IC Loan"/>
      <sheetName val="J.8_Beddington_IC Loan"/>
      <sheetName val="D.8_Dunbar_IC Loan"/>
      <sheetName val="E.8_Exeter_IC loan"/>
      <sheetName val="F.8_Glasgow_IC loan"/>
      <sheetName val="G.8_Peterborough_IC loan"/>
      <sheetName val="T.8_Skelmersdale_IC Loan "/>
    </sheetNames>
    <sheetDataSet>
      <sheetData sheetId="0" refreshError="1">
        <row r="124">
          <cell r="E124">
            <v>31386596.656872425</v>
          </cell>
        </row>
        <row r="125">
          <cell r="E125">
            <v>62773193.31374485</v>
          </cell>
        </row>
        <row r="126">
          <cell r="E126">
            <v>94159789.970617279</v>
          </cell>
        </row>
        <row r="127">
          <cell r="E127">
            <v>125546386.6274897</v>
          </cell>
        </row>
        <row r="128">
          <cell r="E128">
            <v>156932983.28436214</v>
          </cell>
        </row>
        <row r="129">
          <cell r="E129">
            <v>188319579.94123456</v>
          </cell>
        </row>
        <row r="130">
          <cell r="E130">
            <v>220402387.12442279</v>
          </cell>
        </row>
        <row r="131">
          <cell r="E131">
            <v>365027131.07212818</v>
          </cell>
        </row>
        <row r="132">
          <cell r="E132">
            <v>495583025.01983356</v>
          </cell>
        </row>
        <row r="133">
          <cell r="E133">
            <v>626138918.96753895</v>
          </cell>
        </row>
        <row r="134">
          <cell r="E134">
            <v>756694812.91524434</v>
          </cell>
        </row>
        <row r="135">
          <cell r="E135">
            <v>887250706.86294973</v>
          </cell>
        </row>
        <row r="136">
          <cell r="E136">
            <v>1017806600.8106551</v>
          </cell>
        </row>
        <row r="137">
          <cell r="E137">
            <v>1161787481.210254</v>
          </cell>
        </row>
        <row r="138">
          <cell r="E138">
            <v>1305768361.6098528</v>
          </cell>
        </row>
        <row r="139">
          <cell r="E139">
            <v>1449749242.0094516</v>
          </cell>
        </row>
        <row r="140">
          <cell r="E140">
            <v>1593730122.4090505</v>
          </cell>
        </row>
        <row r="141">
          <cell r="E141">
            <v>1737711002.8086493</v>
          </cell>
        </row>
        <row r="142">
          <cell r="E142">
            <v>1936041854.1758137</v>
          </cell>
        </row>
        <row r="143">
          <cell r="E143">
            <v>2134372705.542978</v>
          </cell>
        </row>
        <row r="144">
          <cell r="E144">
            <v>2332703556.9101424</v>
          </cell>
        </row>
        <row r="145">
          <cell r="E145">
            <v>2531034408.277307</v>
          </cell>
        </row>
        <row r="146">
          <cell r="E146">
            <v>2729365259.6444716</v>
          </cell>
        </row>
        <row r="147">
          <cell r="E147">
            <v>2927696111.0116363</v>
          </cell>
        </row>
        <row r="148">
          <cell r="E148">
            <v>3126026962.3788009</v>
          </cell>
        </row>
        <row r="149">
          <cell r="E149">
            <v>3323661603.2196493</v>
          </cell>
        </row>
        <row r="150">
          <cell r="E150">
            <v>3419299538.7973399</v>
          </cell>
        </row>
        <row r="151">
          <cell r="E151">
            <v>3514937474.3750305</v>
          </cell>
        </row>
        <row r="152">
          <cell r="E152">
            <v>3610575409.9527211</v>
          </cell>
        </row>
        <row r="153">
          <cell r="E153">
            <v>3712577205.7213755</v>
          </cell>
        </row>
        <row r="154">
          <cell r="E154">
            <v>3741231636.1965308</v>
          </cell>
        </row>
        <row r="155">
          <cell r="E155">
            <v>3769886066.6716862</v>
          </cell>
        </row>
        <row r="156">
          <cell r="E156">
            <v>3798540497.1468415</v>
          </cell>
        </row>
        <row r="157">
          <cell r="E157">
            <v>3827194927.6219969</v>
          </cell>
        </row>
        <row r="158">
          <cell r="E158">
            <v>3855849358.0971522</v>
          </cell>
        </row>
        <row r="159">
          <cell r="E159">
            <v>3884503788.5723076</v>
          </cell>
        </row>
        <row r="160">
          <cell r="E160">
            <v>3884503788.5723076</v>
          </cell>
        </row>
        <row r="161">
          <cell r="E161">
            <v>3884503788.5723076</v>
          </cell>
        </row>
        <row r="162">
          <cell r="E162">
            <v>3884503788.5723076</v>
          </cell>
        </row>
        <row r="163">
          <cell r="E163">
            <v>3884503788.5723076</v>
          </cell>
        </row>
        <row r="164">
          <cell r="E164">
            <v>3884503788.5723076</v>
          </cell>
        </row>
        <row r="165">
          <cell r="E165">
            <v>3884503788.5723076</v>
          </cell>
        </row>
        <row r="166">
          <cell r="E166">
            <v>3884503788.5723076</v>
          </cell>
        </row>
        <row r="167">
          <cell r="E167">
            <v>3884503788.5723076</v>
          </cell>
        </row>
        <row r="168">
          <cell r="E168">
            <v>3884503788.5723076</v>
          </cell>
        </row>
        <row r="169">
          <cell r="E169">
            <v>3884503788.5723076</v>
          </cell>
        </row>
        <row r="170">
          <cell r="E170">
            <v>3884503788.5723076</v>
          </cell>
        </row>
        <row r="171">
          <cell r="E171">
            <v>3884503788.5723076</v>
          </cell>
        </row>
        <row r="172">
          <cell r="E172">
            <v>3884503788.5723076</v>
          </cell>
        </row>
        <row r="173">
          <cell r="E173">
            <v>3884503788.5723076</v>
          </cell>
        </row>
        <row r="174">
          <cell r="E174">
            <v>3884503788.5723076</v>
          </cell>
        </row>
        <row r="175">
          <cell r="E175">
            <v>3884503788.5723076</v>
          </cell>
        </row>
        <row r="176">
          <cell r="E176">
            <v>3884503788.5723076</v>
          </cell>
        </row>
        <row r="177">
          <cell r="E177">
            <v>3884503788.5723076</v>
          </cell>
        </row>
      </sheetData>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trag"/>
      <sheetName val="Prämissen1"/>
      <sheetName val="Prämissen2"/>
      <sheetName val="Prämissen3"/>
      <sheetName val="Ausgabenplan"/>
      <sheetName val="kalkAbschreib"/>
      <sheetName val="Seite 1"/>
      <sheetName val="Seite 2"/>
      <sheetName val="Seite 3"/>
      <sheetName val="Modul1"/>
      <sheetName val="Seite_1"/>
      <sheetName val="Seite_2"/>
      <sheetName val="Seite_3"/>
      <sheetName val="Budget Sheet"/>
      <sheetName val="PROGRAM"/>
      <sheetName val="Seite_11"/>
      <sheetName val="Seite_21"/>
      <sheetName val="Seite_31"/>
      <sheetName val="Budget_Sheet"/>
      <sheetName val="Seite_12"/>
      <sheetName val="Seite_22"/>
      <sheetName val="Seite_32"/>
      <sheetName val="Budget_Sheet1"/>
      <sheetName val="CASHFLOW"/>
      <sheetName val="KPMG Chart"/>
      <sheetName val="WACC_DATA ENTRY"/>
      <sheetName val="Earnings and EBITDA"/>
    </sheetNames>
    <sheetDataSet>
      <sheetData sheetId="0" refreshError="1">
        <row r="32">
          <cell r="E32">
            <v>1</v>
          </cell>
          <cell r="F32">
            <v>2</v>
          </cell>
          <cell r="G32">
            <v>3</v>
          </cell>
          <cell r="H32">
            <v>4</v>
          </cell>
          <cell r="I32">
            <v>5</v>
          </cell>
          <cell r="J32">
            <v>6</v>
          </cell>
          <cell r="K32">
            <v>7</v>
          </cell>
          <cell r="L32">
            <v>8</v>
          </cell>
          <cell r="M32">
            <v>9</v>
          </cell>
          <cell r="N32">
            <v>10</v>
          </cell>
          <cell r="O32">
            <v>11</v>
          </cell>
          <cell r="P32">
            <v>12</v>
          </cell>
          <cell r="Q32">
            <v>13</v>
          </cell>
          <cell r="R32">
            <v>14</v>
          </cell>
          <cell r="S32">
            <v>15</v>
          </cell>
          <cell r="T32">
            <v>16</v>
          </cell>
          <cell r="U32">
            <v>17</v>
          </cell>
          <cell r="V32">
            <v>18</v>
          </cell>
          <cell r="W32">
            <v>19</v>
          </cell>
          <cell r="X32">
            <v>20</v>
          </cell>
        </row>
        <row r="77">
          <cell r="E77">
            <v>-3.2223499999999996</v>
          </cell>
          <cell r="F77">
            <v>-0.94346499999999922</v>
          </cell>
          <cell r="G77">
            <v>1.7632630000000009</v>
          </cell>
          <cell r="H77">
            <v>4.6448224900000001</v>
          </cell>
          <cell r="I77">
            <v>7.7085514772000021</v>
          </cell>
          <cell r="J77">
            <v>10.962154964641002</v>
          </cell>
          <cell r="K77">
            <v>14.413723303861483</v>
          </cell>
          <cell r="L77">
            <v>18.071751465272641</v>
          </cell>
          <cell r="M77">
            <v>21.945159272140902</v>
          </cell>
          <cell r="N77">
            <v>26.043312646360715</v>
          </cell>
          <cell r="O77"/>
          <cell r="P77"/>
          <cell r="Q77"/>
          <cell r="R77"/>
          <cell r="S77"/>
          <cell r="T77"/>
          <cell r="U77"/>
          <cell r="V77"/>
          <cell r="W77"/>
          <cell r="X77"/>
        </row>
        <row r="78">
          <cell r="E78">
            <v>-4.4196174999999993</v>
          </cell>
          <cell r="F78">
            <v>-3.2562527499999998</v>
          </cell>
          <cell r="G78">
            <v>-1.9431429499999995</v>
          </cell>
          <cell r="H78">
            <v>-0.56884212849999949</v>
          </cell>
          <cell r="I78">
            <v>0.86921801702000079</v>
          </cell>
          <cell r="J78">
            <v>2.3737342376243507</v>
          </cell>
          <cell r="K78">
            <v>3.9475381563515186</v>
          </cell>
          <cell r="L78">
            <v>5.5936030128454242</v>
          </cell>
          <cell r="M78">
            <v>7.315050745249315</v>
          </cell>
          <cell r="N78">
            <v>9.1151594262262474</v>
          </cell>
          <cell r="O78"/>
          <cell r="P78"/>
          <cell r="Q78"/>
          <cell r="R78"/>
          <cell r="S78"/>
          <cell r="T78"/>
          <cell r="U78"/>
          <cell r="V78"/>
          <cell r="W78"/>
          <cell r="X78"/>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refreshError="1"/>
      <sheetData sheetId="14" refreshError="1"/>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TITLES"/>
      <sheetName val="FLASH"/>
      <sheetName val="EFR "/>
      <sheetName val="PROFIT-PERF"/>
      <sheetName val="PVA"/>
      <sheetName val="BS"/>
      <sheetName val="C-FLOW"/>
      <sheetName val="CASHFLOW"/>
      <sheetName val="ASSET-WK"/>
      <sheetName val="ASSET-UT"/>
      <sheetName val="RECEIVABLES"/>
      <sheetName val="INVENTORY"/>
      <sheetName val="DISTRICT PRO"/>
      <sheetName val="OVERHEAD"/>
      <sheetName val="PERF"/>
      <sheetName val="EXP"/>
      <sheetName val="OHVAR"/>
      <sheetName val="OT"/>
      <sheetName val="FACTORY"/>
      <sheetName val="PRODN"/>
      <sheetName val="MANPOWER"/>
      <sheetName val="AFE"/>
      <sheetName val="VAR"/>
      <sheetName val="Antrag"/>
      <sheetName val="JAN"/>
      <sheetName val="Sheet1"/>
      <sheetName val="Comp equip"/>
      <sheetName val="Mach &amp; equip"/>
      <sheetName val="Building"/>
      <sheetName val="FFE"/>
      <sheetName val="MV"/>
      <sheetName val="Freezers"/>
      <sheetName val="B&amp;S31-03-04"/>
      <sheetName val="OH-SUM"/>
      <sheetName val="BAW(D)"/>
      <sheetName val="2005"/>
      <sheetName val="CONTROL"/>
      <sheetName val="adp-budget"/>
      <sheetName val="Links"/>
      <sheetName val="Power &amp; Fuel (S)"/>
      <sheetName val="PROD GRAPH"/>
      <sheetName val="#REF"/>
      <sheetName val="Assumptions"/>
      <sheetName val="Stock"/>
      <sheetName val="Q2 YTD OG Sales Analysis"/>
      <sheetName val="data 3A|6A"/>
      <sheetName val="EFR_"/>
      <sheetName val="DISTRICT_PRO"/>
      <sheetName val="C &amp; G RHS"/>
      <sheetName val="19-PERF"/>
      <sheetName val="TEL LINE INCENTIVES"/>
      <sheetName val="Kontensalden"/>
      <sheetName val="OPR-OCT"/>
      <sheetName val="BS JUL"/>
      <sheetName val="Cover"/>
      <sheetName val="Lakshmi GF"/>
      <sheetName val="CITICORP"/>
      <sheetName val="HDFC"/>
      <sheetName val="KOTAK"/>
      <sheetName val="PointNo.5"/>
      <sheetName val="DEP99"/>
      <sheetName val="L_PM"/>
      <sheetName val="EFR_1"/>
      <sheetName val="DISTRICT_PRO1"/>
      <sheetName val="Q2_YTD_OG_Sales_Analysis"/>
      <sheetName val="data_3A|6A"/>
      <sheetName val="Comp_equip"/>
      <sheetName val="Mach_&amp;_equip"/>
      <sheetName val="Power_&amp;_Fuel_(S)"/>
      <sheetName val="form26"/>
      <sheetName val="CON"/>
      <sheetName val="90-120"/>
      <sheetName val="90_120"/>
      <sheetName val="FINSUM"/>
      <sheetName val="11-INV"/>
      <sheetName val="4-PVA2"/>
      <sheetName val="3-PVA"/>
      <sheetName val="KHSX"/>
      <sheetName val="Data"/>
      <sheetName val="Lead"/>
      <sheetName val="15121005"/>
      <sheetName val="15211005"/>
      <sheetName val="Chiet tinh"/>
      <sheetName val="SALES-VAL"/>
      <sheetName val="Masters"/>
      <sheetName val="RPK TB"/>
      <sheetName val="Financials"/>
      <sheetName val="contact_history_table"/>
      <sheetName val="TB_9_01"/>
      <sheetName val="EFR_2"/>
      <sheetName val="DISTRICT_PRO2"/>
      <sheetName val="Comp_equip1"/>
      <sheetName val="Mach_&amp;_equip1"/>
      <sheetName val="Power_&amp;_Fuel_(S)1"/>
      <sheetName val="PROD_GRAPH"/>
      <sheetName val="Q2_YTD_OG_Sales_Analysis1"/>
      <sheetName val="data_3A|6A1"/>
      <sheetName val="C_&amp;_G_RHS"/>
      <sheetName val="TEL_LINE_INCENTIVES"/>
      <sheetName val="BS_JUL"/>
      <sheetName val="Lakshmi_GF"/>
      <sheetName val="PointNo_5"/>
      <sheetName val="Chiet_tinh"/>
      <sheetName val="RPK_TB"/>
      <sheetName val="License fee - Pg 11 (2)"/>
      <sheetName val="Items below EBITDA, DRC, Niger"/>
      <sheetName val="Items below EBITDA"/>
      <sheetName val="Exceptional Items"/>
      <sheetName val="Balance sheet"/>
      <sheetName val="Balance sheet - pg 4-5"/>
      <sheetName val="PPE - Pg 6"/>
      <sheetName val="Opco wise P&amp;M - Pg 7"/>
      <sheetName val="P&amp; M Aging - Pg 7"/>
      <sheetName val="P&amp;M - Owned  leased - Pg 7"/>
      <sheetName val="PPE useful life - Pg 7"/>
      <sheetName val="PPE - GSM business - Pg 8"/>
      <sheetName val="PPE 2 - Pg 8"/>
      <sheetName val="Capex add - Pg 9"/>
      <sheetName val="Sheet4"/>
      <sheetName val="Tangible asset schedule"/>
      <sheetName val="Intangible asset schedule"/>
      <sheetName val="Sheet2"/>
      <sheetName val="Intangible assets - Pg 10,11"/>
      <sheetName val="License fee - Pg 10  (2)"/>
      <sheetName val="Sheet3"/>
      <sheetName val="Bandwidth - Pg 11"/>
      <sheetName val="Goodwil pg 12"/>
      <sheetName val="Other non current asset Pg 13"/>
      <sheetName val="Trade receivable - Pg 14"/>
      <sheetName val="Receivable - Ageing - Pg 14"/>
      <sheetName val="trade reveibale aging (2)"/>
      <sheetName val="trade reveibale aging"/>
      <sheetName val="Inventory - Pg 15"/>
      <sheetName val="OCA - Pg 15"/>
      <sheetName val="C&amp;CE"/>
      <sheetName val="Trade payables - Pg 16,17"/>
      <sheetName val="TP &amp; other fin liab"/>
      <sheetName val="Deferred rev - Pg 17"/>
      <sheetName val="Current fin assets - Pg 18"/>
      <sheetName val="OCL - Pg 19"/>
      <sheetName val="Eq supply payable - Pg 19"/>
      <sheetName val="Other non CL - Pg 20"/>
      <sheetName val="Other equity - Pg 21,43"/>
      <sheetName val="NCI"/>
      <sheetName val="Intangibles - Movement"/>
      <sheetName val="Borrowings summary - Pg 25"/>
      <sheetName val="Borrowings bridge - Pg 25"/>
      <sheetName val="Quarterly working capital RT"/>
      <sheetName val=" NWC graphs - Pg 30,31,32"/>
      <sheetName val="Trade payable Working"/>
      <sheetName val="Contingent liability - pg 34"/>
      <sheetName val="Remote liability"/>
      <sheetName val="Legal cases - Pg 35 "/>
      <sheetName val="Payment under protest - Pg 41"/>
      <sheetName val="Bank guarantee - Pg 35"/>
      <sheetName val="Cash flow statement - Pg 37,38"/>
      <sheetName val="FCFL as per Management"/>
      <sheetName val="Closing Forex rates - Pg 44"/>
      <sheetName val="Tower sold - Pg 45"/>
      <sheetName val="7.74 Eaton loan"/>
      <sheetName val="Net working capital trends - RT"/>
      <sheetName val="Balance sheet  - Regrouped"/>
      <sheetName val="Entity shareholding"/>
      <sheetName val="Liabilities - RT (Old)"/>
      <sheetName val="Balance sheet  - Reported"/>
      <sheetName val="Comps"/>
      <sheetName val="DEPN"/>
      <sheetName val="CF"/>
      <sheetName val="Setup"/>
      <sheetName val="5 - CITICORP"/>
      <sheetName val="MODEL"/>
      <sheetName val="Summary"/>
      <sheetName val="EXP LINE"/>
      <sheetName val="DEPRECIATION"/>
      <sheetName val="EXPENSES"/>
      <sheetName val="Campus wise summary"/>
      <sheetName val="Scenarios"/>
      <sheetName val="Penetration Curve"/>
      <sheetName val="Factors"/>
      <sheetName val="Technology"/>
      <sheetName val="a soga JAK"/>
      <sheetName val="soga JAK"/>
      <sheetName val="a soga JABO"/>
      <sheetName val="a soga BOT"/>
      <sheetName val="soga JABO"/>
      <sheetName val="soga BOT"/>
      <sheetName val="a sso JAK"/>
      <sheetName val="sso JAK"/>
      <sheetName val="a sso JABO"/>
      <sheetName val="a sso BOT"/>
      <sheetName val="sso JABO"/>
      <sheetName val="sso BOT"/>
      <sheetName val="a vlr JAK"/>
      <sheetName val="vlr JAK"/>
      <sheetName val="a vlr JABO"/>
      <sheetName val="a vlr BOT"/>
      <sheetName val="vlr JABO"/>
      <sheetName val="vlr BOT"/>
      <sheetName val="a rgu ga JAK"/>
      <sheetName val="rgu ga JAK"/>
      <sheetName val="a rgu ga JABO"/>
      <sheetName val="a rgu ga BOT"/>
      <sheetName val="rgu ga JABO"/>
      <sheetName val="rgu ga BOT"/>
      <sheetName val="a rev JAK"/>
      <sheetName val="rev JAK"/>
      <sheetName val="a rev BOT"/>
      <sheetName val="rev JABO"/>
      <sheetName val="rev BOT"/>
      <sheetName val="DETAIL ALL"/>
      <sheetName val="jbro"/>
      <sheetName val="CARRY OVER JBRO"/>
      <sheetName val="GAP JABO"/>
      <sheetName val="GAP BOT"/>
      <sheetName val="GAP JAK"/>
      <sheetName val="LOWSITE JBRO"/>
      <sheetName val="WS_KONSOL"/>
      <sheetName val="xxdata"/>
      <sheetName val="Simple Coff."/>
      <sheetName val="lap_mar2004"/>
      <sheetName val="Actual 2019"/>
      <sheetName val="DATA 91-98"/>
      <sheetName val="SPC-OC"/>
      <sheetName val="MAT GRAPH"/>
      <sheetName val="98FORECAST (1)"/>
      <sheetName val="P&amp;L"/>
      <sheetName val="Fund Flow"/>
      <sheetName val="Wor Cap"/>
      <sheetName val="Bal Sht"/>
      <sheetName val="Sacrifice backup"/>
      <sheetName val="BS_JUL1"/>
      <sheetName val="PROD_GRAPH1"/>
      <sheetName val="C_&amp;_G_RHS1"/>
      <sheetName val="TEL_LINE_INCENTIVES1"/>
      <sheetName val="Earnings model"/>
      <sheetName val="HBI NCD"/>
      <sheetName val="INPUTMISC"/>
      <sheetName val="A"/>
      <sheetName val="1-OBJ98 "/>
      <sheetName val="MAT calculation final"/>
      <sheetName val="details of brought forward dep "/>
      <sheetName val="operting "/>
      <sheetName val="ytd"/>
      <sheetName val="analyoperat"/>
      <sheetName val="purblresul"/>
      <sheetName val="published sheet"/>
      <sheetName val="earnshare"/>
      <sheetName val="pend ent"/>
      <sheetName val="Cash Flow"/>
      <sheetName val="Profit &amp; Loss"/>
      <sheetName val="Schd 1-4"/>
      <sheetName val="Schd -5"/>
      <sheetName val="Schd 5 "/>
      <sheetName val="Schd 6-9"/>
      <sheetName val="Schd 10-12"/>
      <sheetName val="Schd 13-15"/>
      <sheetName val="Schd 16-18"/>
      <sheetName val="subschp&amp;l"/>
      <sheetName val="subschbs"/>
      <sheetName val="adjustments"/>
      <sheetName val="prior period"/>
      <sheetName val="furn&amp;diesel"/>
      <sheetName val="s&amp;Cconsump"/>
      <sheetName val="julytojun'08"/>
      <sheetName val="to nov cons'07"/>
      <sheetName val="consudec'07"/>
      <sheetName val="consumption"/>
      <sheetName val="fifo"/>
      <sheetName val="consumjan12.02.08"/>
      <sheetName val="consumjune'08"/>
      <sheetName val="consum jan'08"/>
      <sheetName val="consanaly"/>
      <sheetName val="TB Jan-Dec96"/>
      <sheetName val="Managerial Remuneration-Dec96"/>
      <sheetName val="BS&amp;PL_DEC96"/>
      <sheetName val="Parameter"/>
      <sheetName val="SAP jan"/>
      <sheetName val="INVTREND"/>
      <sheetName val="KRRP"/>
      <sheetName val="KRRPC"/>
      <sheetName val="master"/>
      <sheetName val="Costing"/>
      <sheetName val="EURO -  FRANCS"/>
      <sheetName val="Goodluck"/>
      <sheetName val="Basic_Information"/>
      <sheetName val="Assmp"/>
      <sheetName val="Maint Def Rev 03_04"/>
      <sheetName val="New_Growth Def Rev 03_04"/>
      <sheetName val="Perpetual Def Rev 03_04"/>
      <sheetName val="Renewal Def Rev 03_04"/>
      <sheetName val="Trial Balance - MARCH 2006"/>
      <sheetName val="Segment data"/>
      <sheetName val="Sch1 - P&amp;L Summary"/>
      <sheetName val="Sch2 - BalSht Summary"/>
      <sheetName val="Sch3 - CFlow Summary"/>
      <sheetName val="FitOutConfCentre"/>
      <sheetName val=" FG VALUATION"/>
      <sheetName val="5_-_CITICORP"/>
      <sheetName val="S 15_22"/>
      <sheetName val="Sub-Grouping"/>
      <sheetName val="p&amp;l,bs div-wise"/>
      <sheetName val="M00100"/>
      <sheetName val="全社"/>
      <sheetName val="TB Bgl"/>
      <sheetName val="TB Goa"/>
      <sheetName val="Push Diag on Premise"/>
      <sheetName val="CChannel Attract Input"/>
      <sheetName val="FStratPlan"/>
      <sheetName val="TOTAL"/>
      <sheetName val="grp "/>
      <sheetName val="TB2003_04"/>
      <sheetName val="KEY INPUTS"/>
      <sheetName val="handover290702"/>
      <sheetName val="RLMap"/>
      <sheetName val="ASSETS"/>
      <sheetName val="Supporting Settings"/>
      <sheetName val="Supporting_Settings"/>
      <sheetName val="Supporting_Settings1"/>
      <sheetName val="其他"/>
      <sheetName val="Other cost"/>
      <sheetName val="TB Jan-DEC97"/>
      <sheetName val="BS&amp;PL_97"/>
      <sheetName val="2002"/>
      <sheetName val="コ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sheetData sheetId="319" refreshError="1"/>
      <sheetData sheetId="320" refreshError="1"/>
      <sheetData sheetId="321" refreshError="1"/>
      <sheetData sheetId="322" refreshError="1"/>
      <sheetData sheetId="323" refreshError="1"/>
      <sheetData sheetId="3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MD Office"/>
      <sheetName val="Quality"/>
      <sheetName val="Proface"/>
      <sheetName val="EE"/>
      <sheetName val="MKt"/>
      <sheetName val="HR"/>
      <sheetName val="Finance"/>
      <sheetName val="Industry"/>
      <sheetName val="Logistics"/>
      <sheetName val="CCC"/>
      <sheetName val="BLD"/>
      <sheetName val="ISC"/>
      <sheetName val="BMS"/>
      <sheetName val="Distri"/>
      <sheetName val="PEC"/>
      <sheetName val="SISC"/>
      <sheetName val="SGBD"/>
      <sheetName val="E&amp;I"/>
      <sheetName val="IT &amp; Bridge"/>
      <sheetName val="Approval Matrix"/>
      <sheetName val="List"/>
      <sheetName val="validation list"/>
      <sheetName val="YTD Jan'12 CCO P&amp;L"/>
      <sheetName val="YTD Feb'12 CCO P&amp;L"/>
      <sheetName val="YTD Mar'12 CCO P&amp;L"/>
      <sheetName val="YTD Apr'12 CCO P&amp;L"/>
      <sheetName val="YTD May'12 CCO P&amp;L"/>
      <sheetName val="YTD Mar'11 CCO P&amp;L-Prior"/>
      <sheetName val="YTD Apr'11 CCO P&amp;L-Prior"/>
      <sheetName val="YTD May'11 CCO P&amp;L-Prior"/>
      <sheetName val="YTD Jun'11 CCO P&amp;L-Prior"/>
      <sheetName val="YTD Sep'11 CCO P&amp;L-Prior"/>
      <sheetName val="YTD Nov'11 CCO P&amp;L-Prior"/>
      <sheetName val="YTD Dec'11 CCO P&amp;L-Prior"/>
      <sheetName val="01 T"/>
      <sheetName val="03 "/>
      <sheetName val="Orders"/>
      <sheetName val="Orders 2009"/>
      <sheetName val="Sales 2009"/>
      <sheetName val="compo ata1"/>
      <sheetName val="Sheet1"/>
      <sheetName val="Input"/>
      <sheetName val="WELCOME"/>
      <sheetName val="(6) RiskDataNew"/>
      <sheetName val="SALES"/>
      <sheetName val="Total_Cost"/>
      <sheetName val="C_TAR"/>
      <sheetName val="MD_Office"/>
      <sheetName val="IT_&amp;_Bridge"/>
      <sheetName val="Approval_Matrix"/>
      <sheetName val="validation_list"/>
      <sheetName val="YTD_Jan'12_CCO_P&amp;L"/>
      <sheetName val="YTD_Feb'12_CCO_P&amp;L"/>
      <sheetName val="YTD_Mar'12_CCO_P&amp;L"/>
      <sheetName val="YTD_Apr'12_CCO_P&amp;L"/>
      <sheetName val="YTD_May'12_CCO_P&amp;L"/>
      <sheetName val="YTD_Mar'11_CCO_P&amp;L-Prior"/>
      <sheetName val="YTD_Apr'11_CCO_P&amp;L-Prior"/>
      <sheetName val="YTD_May'11_CCO_P&amp;L-Prior"/>
      <sheetName val="YTD_Jun'11_CCO_P&amp;L-Prior"/>
      <sheetName val="YTD_Sep'11_CCO_P&amp;L-Prior"/>
      <sheetName val="YTD_Nov'11_CCO_P&amp;L-Prior"/>
      <sheetName val="YTD_Dec'11_CCO_P&amp;L-Prior"/>
      <sheetName val="01_T"/>
      <sheetName val="03_"/>
      <sheetName val="Orders_2009"/>
      <sheetName val="Sales_2009"/>
      <sheetName val="compo_ata1"/>
      <sheetName val="(6)_RiskDataN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F"/>
      <sheetName val="Contents"/>
      <sheetName val="Lookup"/>
      <sheetName val="bom"/>
      <sheetName val="forex"/>
      <sheetName val="Summary"/>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RevisionRound1"/>
      <sheetName val="SWDA"/>
      <sheetName val="設備投資20万円以上"/>
      <sheetName val="INDIC-04"/>
      <sheetName val="WELCOME"/>
      <sheetName val="EDC-DAS"/>
      <sheetName val="work center summary"/>
      <sheetName val="Test Labor"/>
      <sheetName val="Q2 YTD OG Sales Analysis"/>
      <sheetName val="Q2 OG Trade Receivables"/>
      <sheetName val="2003HCRecon"/>
      <sheetName val="Precalculation"/>
      <sheetName val="Mth-Vana"/>
      <sheetName val="Sum-07"/>
      <sheetName val="détail 29-6"/>
      <sheetName val="Orders"/>
      <sheetName val="ANAL-MB"/>
      <sheetName val="(6) RiskDataNew"/>
      <sheetName val="Main Index"/>
      <sheetName val="Instructions &amp; assumptions "/>
      <sheetName val="Purchases FWJ"/>
      <sheetName val="BASE DE DATOS"/>
      <sheetName val="OUVC"/>
      <sheetName val="SELECTION"/>
      <sheetName val="INDIC-08"/>
      <sheetName val="Ratio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6"/>
      <sheetName val="OUTPUT"/>
      <sheetName val="Settings"/>
      <sheetName val="Sheet3 (2)"/>
      <sheetName val="ER10_Old"/>
      <sheetName val="Div"/>
      <sheetName val="DKPL9811"/>
      <sheetName val="summ"/>
      <sheetName val="sheet1"/>
      <sheetName val="sheet2"/>
      <sheetName val="sheet4"/>
      <sheetName val="Sheet4a"/>
      <sheetName val="sheet5"/>
      <sheetName val="sheet7"/>
      <sheetName val="sheet8"/>
      <sheetName val="sheet9"/>
      <sheetName val="sheet10"/>
      <sheetName val="sheet11"/>
      <sheetName val="sheet12"/>
      <sheetName val="sheet13"/>
      <sheetName val="Sheet14"/>
      <sheetName val="Sheet15"/>
      <sheetName val="Sheet16"/>
      <sheetName val="Monthly"/>
      <sheetName val="Earnings model"/>
      <sheetName val="FINDRDEC"/>
      <sheetName val="A5.201 Consol Profit &amp; Loss "/>
      <sheetName val="Consolidated Monthly"/>
      <sheetName val="Summary"/>
      <sheetName val="Balance Sheet"/>
      <sheetName val="A5.202 Consol Balance Sheet "/>
      <sheetName val="BS"/>
      <sheetName val="Consolidated"/>
      <sheetName val="PB"/>
      <sheetName val="Fixed Assets"/>
      <sheetName val="Receivables"/>
      <sheetName val="Partic"/>
      <sheetName val="#REF"/>
      <sheetName val="Sheet 2"/>
      <sheetName val="extra"/>
      <sheetName val="Hot"/>
      <sheetName val="INI"/>
      <sheetName val="Assumptions"/>
      <sheetName val="Grand"/>
      <sheetName val="C"/>
      <sheetName val="CRITERIA3"/>
      <sheetName val="CRITERIA1"/>
      <sheetName val="pldt"/>
      <sheetName val="results"/>
      <sheetName val="P&amp;LDEC99"/>
      <sheetName val="Sheet18"/>
      <sheetName val="Sheet17"/>
      <sheetName val="SUMM1"/>
      <sheetName val="Sheet3"/>
      <sheetName val="Sheet31"/>
      <sheetName val="Sheet30"/>
      <sheetName val="Sheet29"/>
      <sheetName val="Sheet28"/>
      <sheetName val="Sheet27"/>
      <sheetName val="Sheet26"/>
      <sheetName val="Sheet25"/>
      <sheetName val="Sheet24"/>
      <sheetName val="Sheet23"/>
      <sheetName val="Sheet22"/>
      <sheetName val="Sheet21"/>
      <sheetName val="Sheet20"/>
      <sheetName val="Sheet19"/>
      <sheetName val="02"/>
      <sheetName val="03"/>
      <sheetName val="04"/>
      <sheetName val="01"/>
      <sheetName val="girder"/>
      <sheetName val="Rocker"/>
      <sheetName val="FitOutConfCentre"/>
      <sheetName val="CASHFLOWS"/>
      <sheetName val="Estimate for approval"/>
      <sheetName val="LBO"/>
      <sheetName val="Main"/>
      <sheetName val="Lab"/>
      <sheetName val="Rate Analysis"/>
      <sheetName val="A-D"/>
      <sheetName val="H"/>
      <sheetName val="BWR"/>
      <sheetName val="Sheet3_(2)"/>
      <sheetName val="% Collection Schedule"/>
      <sheetName val="BLK2"/>
      <sheetName val="BLK3"/>
      <sheetName val="E &amp; R"/>
      <sheetName val="radar"/>
      <sheetName val="UG"/>
      <sheetName val="Excess Calc"/>
      <sheetName val="Materials Cost(PCC)"/>
      <sheetName val="BKCSTOCKVAL"/>
      <sheetName val="Grouping Master"/>
      <sheetName val="Key assumption"/>
      <sheetName val="Stacking Plan &amp; LEP"/>
      <sheetName val="Design"/>
      <sheetName val="98Price"/>
      <sheetName val="BHANDUP"/>
      <sheetName val="Set"/>
      <sheetName val="Code"/>
      <sheetName val="Legend"/>
      <sheetName val="Occ"/>
      <sheetName val="Demand"/>
      <sheetName val="Commission and Volume MOM(Chart"/>
      <sheetName val="Estimate_for_approval"/>
      <sheetName val="Sheet3_(2)1"/>
      <sheetName val="Estimate_for_approval1"/>
      <sheetName val="Sheet3_(2)2"/>
      <sheetName val="Estimate_for_approval2"/>
      <sheetName val="Sheet3_(2)3"/>
      <sheetName val="Estimate_for_approval3"/>
      <sheetName val="Sheet3_(2)4"/>
      <sheetName val="Estimate_for_approval4"/>
      <sheetName val="office"/>
      <sheetName val="concrete"/>
      <sheetName val="beam-reinft-IIInd floor"/>
      <sheetName val="SPT vs PHI"/>
      <sheetName val="Materials Cost"/>
      <sheetName val="beam-reinft-machine rm"/>
      <sheetName val="jobhist"/>
      <sheetName val="R20_R30_work"/>
      <sheetName val="KG-DWN"/>
      <sheetName val="1 Market"/>
      <sheetName val="Earnings_model"/>
      <sheetName val="Schedules"/>
      <sheetName val="B S-31-3-2006"/>
      <sheetName val="132417"/>
      <sheetName val="35 D Annex2"/>
      <sheetName val="CMA_Calculations"/>
      <sheetName val="H.O"/>
      <sheetName val="営業収益"/>
      <sheetName val="TRIAL BALANCE"/>
      <sheetName val="Keyratios"/>
      <sheetName val="Card nos."/>
      <sheetName val="YE-SW2"/>
      <sheetName val="Statistics {pbc}"/>
      <sheetName val="関係会社貸付金データ"/>
      <sheetName val="末残計画(四半期ベース)"/>
      <sheetName val="MISBS"/>
      <sheetName val="BOD PL NEW"/>
      <sheetName val="AFFI内訳"/>
      <sheetName val="Assumptions (2)"/>
      <sheetName val="Cntrl Sheet"/>
      <sheetName val="B S"/>
      <sheetName val="Project Cost"/>
      <sheetName val="CAS P"/>
      <sheetName val="194C"/>
      <sheetName val="ﾏﾁｭﾘﾃｨﾗﾀﾞｰ（月次ベース）"/>
      <sheetName val="ﾏﾁｭﾘﾃｨﾗﾀﾞｰ（四半期ベース）"/>
      <sheetName val="EXPENDITURE CYCLE"/>
      <sheetName val="Inputs"/>
      <sheetName val="海外WORK"/>
      <sheetName val="Facility"/>
      <sheetName val="Lrnet_Inftch"/>
      <sheetName val="Input"/>
      <sheetName val="deb"/>
      <sheetName val="FIN_EXPENSE"/>
      <sheetName val="43B"/>
      <sheetName val="DTPL"/>
      <sheetName val="Fixed Assets Top Sheet- Consol"/>
      <sheetName val="VIR CG"/>
      <sheetName val="業種小分類"/>
      <sheetName val="業種大分類"/>
      <sheetName val="Weighted Avg"/>
      <sheetName val="Interest"/>
      <sheetName val="Links"/>
      <sheetName val="m3&amp;4"/>
      <sheetName val="Assumptions (W)"/>
      <sheetName val="Misc"/>
      <sheetName val="PAP"/>
      <sheetName val="Masters"/>
      <sheetName val="P L"/>
      <sheetName val="総括（1～3Q）"/>
      <sheetName val="NKEL O&amp;M"/>
      <sheetName val="Data"/>
      <sheetName val="192"/>
      <sheetName val="GLED"/>
      <sheetName val="IRR"/>
      <sheetName val="CAPEX"/>
      <sheetName val="国内work"/>
      <sheetName val="その他"/>
      <sheetName val="SPR"/>
      <sheetName val="COMPUTATION"/>
      <sheetName val="ASSUMPTIONS 2"/>
      <sheetName val=" TARIFFS POST PCOD"/>
      <sheetName val="Valuation"/>
      <sheetName val="Workings"/>
      <sheetName val="TAX"/>
      <sheetName val="DCF Valuation - FCFF"/>
      <sheetName val="FAR"/>
      <sheetName val="FA Leadsheet &amp; Movement"/>
      <sheetName val="Profit &amp; Loss"/>
      <sheetName val="Summary - USD"/>
      <sheetName val="Yield-COB"/>
      <sheetName val="全体"/>
      <sheetName val="NFF"/>
      <sheetName val="1"/>
      <sheetName val="再ﾘｰｽ収益"/>
      <sheetName val="利息連結"/>
      <sheetName val="受取手数料"/>
      <sheetName val="有価証券残高（仮提出）"/>
      <sheetName val="発生連結"/>
      <sheetName val="関連会社明細"/>
      <sheetName val="売却可能公債"/>
      <sheetName val="3部提出用累計"/>
      <sheetName val="繰入連結"/>
      <sheetName val="諸原価連結"/>
      <sheetName val="四半期毎MICﾃﾞｰﾀ転記"/>
      <sheetName val="単体SGA"/>
      <sheetName val="販管連結"/>
      <sheetName val="平残連結"/>
      <sheetName val="MN T.B."/>
      <sheetName val="INDIGINEOUS ITEMS "/>
      <sheetName val="Apartments - 1st Mar"/>
      <sheetName val="BOQ-1"/>
      <sheetName val="JCF"/>
      <sheetName val="Multiple output"/>
      <sheetName val="유통망계획"/>
      <sheetName val="EXPENSES"/>
      <sheetName val="Rate_Analysis"/>
      <sheetName val="E_&amp;_R"/>
      <sheetName val="Currency"/>
      <sheetName val="SCHE-MARCH'04"/>
      <sheetName val="Material List "/>
      <sheetName val="STAFFSCHED "/>
      <sheetName val="upa"/>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all"/>
      <sheetName val="CGOI"/>
      <sheetName val="Sheet3_(2)5"/>
      <sheetName val="Earnings_model1"/>
      <sheetName val="A5_201_Consol_Profit_&amp;_Loss_"/>
      <sheetName val="Consolidated_Monthly"/>
      <sheetName val="Balance_Sheet"/>
      <sheetName val="A5_202_Consol_Balance_Sheet_"/>
      <sheetName val="Fixed_Assets"/>
      <sheetName val="Sheet_2"/>
      <sheetName val="Estimate_for_approval5"/>
      <sheetName val="Rate_Analysis1"/>
      <sheetName val="%_Collection_Schedule"/>
      <sheetName val="E_&amp;_R1"/>
      <sheetName val="Excess_Calc"/>
      <sheetName val="Materials_Cost(PCC)"/>
      <sheetName val="Grouping_Master"/>
      <sheetName val="Key_assumption"/>
      <sheetName val="Stacking_Plan_&amp;_LEP"/>
      <sheetName val="Commission_and_Volume_MOM(Chart"/>
      <sheetName val="beam-reinft-IIInd_floor"/>
      <sheetName val="SPT_vs_PHI"/>
      <sheetName val="Materials_Cost"/>
      <sheetName val="beam-reinft-machine_rm"/>
      <sheetName val="1_Market"/>
      <sheetName val="B_S-31-3-2006"/>
      <sheetName val="35_D_Annex2"/>
      <sheetName val="H_O"/>
      <sheetName val="TRIAL_BALANCE"/>
      <sheetName val="Card_nos_"/>
      <sheetName val="Statistics_{pbc}"/>
      <sheetName val="BOD_PL_NEW"/>
      <sheetName val="Assumptions_(2)"/>
      <sheetName val="Cntrl_Sheet"/>
      <sheetName val="B_S"/>
      <sheetName val="Project_Cost"/>
      <sheetName val="CAS_P"/>
      <sheetName val="EXPENDITURE_CYCLE"/>
      <sheetName val="Fixed_Assets_Top_Sheet-_Consol"/>
      <sheetName val="VIR_CG"/>
      <sheetName val="Weighted_Avg"/>
      <sheetName val="Assumptions_(W)"/>
      <sheetName val="P_L"/>
      <sheetName val="NKEL_O&amp;M"/>
      <sheetName val="ASSUMPTIONS_2"/>
      <sheetName val="_TARIFFS_POST_PCOD"/>
      <sheetName val="DCF_Valuation_-_FCFF"/>
      <sheetName val="FA_Leadsheet_&amp;_Movement"/>
      <sheetName val="Profit_&amp;_Loss"/>
      <sheetName val="Summary_-_USD"/>
      <sheetName val="MN_T_B_"/>
      <sheetName val="INDIGINEOUS_ITEMS_"/>
      <sheetName val="Apartments_-_1st_Mar"/>
      <sheetName val="Multiple_output"/>
      <sheetName val="Material_List_"/>
      <sheetName val="STAFFSCHED_"/>
      <sheetName val="Chembur 1"/>
      <sheetName val="vb 9&amp;10"/>
      <sheetName val="Felix Street Summary"/>
      <sheetName val="Newspapers"/>
      <sheetName val="AccDil"/>
      <sheetName val="TB"/>
      <sheetName val="Fee Rate Summary"/>
      <sheetName val="Costcal"/>
      <sheetName val="11-hsd"/>
      <sheetName val="13-septic"/>
      <sheetName val="7-ug"/>
      <sheetName val="2-utility"/>
      <sheetName val="Bin"/>
      <sheetName val="Main School Building"/>
      <sheetName val="JE10310X"/>
      <sheetName val="tngst1"/>
      <sheetName val="MAHSTOCKVAL"/>
      <sheetName val="FOIL"/>
      <sheetName val="Accounts"/>
      <sheetName val="sdrs_mar"/>
      <sheetName val="Index"/>
      <sheetName val="Summary_Local"/>
      <sheetName val="segment_topsheet"/>
      <sheetName val="FY16-17 Cashflow"/>
      <sheetName val="List"/>
      <sheetName val="RR"/>
      <sheetName val="Ten"/>
      <sheetName val="ES"/>
      <sheetName val="B-SHEET"/>
      <sheetName val="GrossMgn 98"/>
      <sheetName val="FINAL"/>
      <sheetName val="Mar-06"/>
      <sheetName val="Jul-05"/>
      <sheetName val="Roster"/>
      <sheetName val="Bs_dft"/>
      <sheetName val="P&amp;l_dft"/>
      <sheetName val="Sch_dft"/>
      <sheetName val="BQMPALOC"/>
      <sheetName val="For_Trav-01"/>
      <sheetName val="Rent -01"/>
      <sheetName val="AV"/>
      <sheetName val="Sukuki CDR"/>
      <sheetName val="TRX ADDITION"/>
      <sheetName val="Labour Rate "/>
      <sheetName val="(M+L)"/>
      <sheetName val="DPR"/>
      <sheetName val="hist&amp;proj"/>
      <sheetName val="입찰내역 발주처 양식"/>
      <sheetName val="Customize Your Purchase Order"/>
      <sheetName val="VARIABLE"/>
      <sheetName val="ESCON"/>
      <sheetName val="NPV"/>
      <sheetName val="SC"/>
      <sheetName val="priority analysis"/>
      <sheetName val="standards trend"/>
      <sheetName val="service timing"/>
      <sheetName val="Product Problems"/>
      <sheetName val="Parts"/>
      <sheetName val="score trends"/>
      <sheetName val="Fix it First Time"/>
      <sheetName val="dashboard"/>
      <sheetName val="TOC"/>
      <sheetName val="Range"/>
      <sheetName val="Sample India"/>
      <sheetName val="Sample Indo"/>
      <sheetName val="Sample MY"/>
      <sheetName val="Sample PH"/>
      <sheetName val="Sample TH"/>
      <sheetName val="Sheet3_(2)6"/>
      <sheetName val="Earnings_model2"/>
      <sheetName val="A5_201_Consol_Profit_&amp;_Loss_1"/>
      <sheetName val="Consolidated_Monthly1"/>
      <sheetName val="Balance_Sheet1"/>
      <sheetName val="A5_202_Consol_Balance_Sheet_1"/>
      <sheetName val="Fixed_Assets1"/>
      <sheetName val="Sheet_21"/>
      <sheetName val="Estimate_for_approval6"/>
      <sheetName val="Rate_Analysis2"/>
      <sheetName val="%_Collection_Schedule1"/>
      <sheetName val="E_&amp;_R2"/>
      <sheetName val="Excess_Calc1"/>
      <sheetName val="Materials_Cost(PCC)1"/>
      <sheetName val="Grouping_Master1"/>
      <sheetName val="Key_assumption1"/>
      <sheetName val="Stacking_Plan_&amp;_LEP1"/>
      <sheetName val="Commission_and_Volume_MOM(Char1"/>
      <sheetName val="beam-reinft-IIInd_floor1"/>
      <sheetName val="SPT_vs_PHI1"/>
      <sheetName val="Materials_Cost1"/>
      <sheetName val="beam-reinft-machine_rm1"/>
      <sheetName val="1_Market1"/>
      <sheetName val="B_S-31-3-20061"/>
      <sheetName val="35_D_Annex21"/>
      <sheetName val="H_O1"/>
      <sheetName val="TRIAL_BALANCE1"/>
      <sheetName val="Card_nos_1"/>
      <sheetName val="Statistics_{pbc}1"/>
      <sheetName val="BOD_PL_NEW1"/>
      <sheetName val="Assumptions_(2)1"/>
      <sheetName val="Cntrl_Sheet1"/>
      <sheetName val="B_S1"/>
      <sheetName val="Project_Cost1"/>
      <sheetName val="CAS_P1"/>
      <sheetName val="EXPENDITURE_CYCLE1"/>
      <sheetName val="Fixed_Assets_Top_Sheet-_Consol1"/>
      <sheetName val="VIR_CG1"/>
      <sheetName val="Weighted_Avg1"/>
      <sheetName val="Assumptions_(W)1"/>
      <sheetName val="P_L1"/>
      <sheetName val="NKEL_O&amp;M1"/>
      <sheetName val="ASSUMPTIONS_21"/>
      <sheetName val="_TARIFFS_POST_PCOD1"/>
      <sheetName val="DCF_Valuation_-_FCFF1"/>
      <sheetName val="FA_Leadsheet_&amp;_Movement1"/>
      <sheetName val="Profit_&amp;_Loss1"/>
      <sheetName val="Summary_-_USD1"/>
      <sheetName val="MN_T_B_1"/>
      <sheetName val="INDIGINEOUS_ITEMS_1"/>
      <sheetName val="Apartments_-_1st_Mar1"/>
      <sheetName val="Multiple_output1"/>
      <sheetName val="Material_List_1"/>
      <sheetName val="STAFFSCHED_1"/>
      <sheetName val="Chembur_1"/>
      <sheetName val="vb_9&amp;10"/>
      <sheetName val="Felix_Street_Summary"/>
      <sheetName val="Fee_Rate_Summary"/>
      <sheetName val="Main_School_Building"/>
      <sheetName val="FY16-17_Cashflow"/>
      <sheetName val="GrossMgn_98"/>
      <sheetName val="Rent_-01"/>
      <sheetName val="Sukuki_CDR"/>
      <sheetName val="TRX_ADDITION"/>
      <sheetName val="Labour_Rate_"/>
      <sheetName val="입찰내역_발주처_양식"/>
      <sheetName val="Customize_Your_Purchase_Order"/>
      <sheetName val="priority_analysis"/>
      <sheetName val="standards_trend"/>
      <sheetName val="service_timing"/>
      <sheetName val="Product_Problems"/>
      <sheetName val="score_trends"/>
      <sheetName val="Fix_it_First_Time"/>
      <sheetName val="Sample_India"/>
      <sheetName val="Sample_Indo"/>
      <sheetName val="Sample_MY"/>
      <sheetName val="Sample_PH"/>
      <sheetName val="Sample_TH"/>
      <sheetName val="Config"/>
      <sheetName val="CH Docente"/>
      <sheetName val="gen ledger data"/>
      <sheetName val="P&amp;L"/>
      <sheetName val="BALANCE-SHEET"/>
      <sheetName val="RA 1"/>
      <sheetName val="MFG"/>
      <sheetName val="Current Bill MB ref"/>
      <sheetName val="Ins &amp; Bonds"/>
      <sheetName val="Source Ref."/>
      <sheetName val="Mix Design"/>
      <sheetName val="std-rates"/>
      <sheetName val="COLUMN"/>
      <sheetName val="dyes"/>
      <sheetName val="Costing"/>
      <sheetName val=" Vivante MAIN  INFRA  MAR 18"/>
      <sheetName val="col-reinft1"/>
      <sheetName val="Outline Cost - Five star Hotel"/>
      <sheetName val="Form 6"/>
      <sheetName val="M-Book for Conc"/>
      <sheetName val="M-Book for FW"/>
      <sheetName val="COMPLEXALL"/>
      <sheetName val="CC APR04"/>
      <sheetName val="CC MAY04"/>
      <sheetName val="CC JUNE04"/>
      <sheetName val="Income Statements"/>
      <sheetName val="Rates"/>
      <sheetName val="Kontensalden"/>
      <sheetName val="CTbe tong"/>
      <sheetName val="CTDZ 0.4+cto"/>
      <sheetName val=" "/>
      <sheetName val="450 x 350"/>
      <sheetName val="Fill this out first..."/>
      <sheetName val="Approved MTD Proj #'s"/>
      <sheetName val="C1C2"/>
      <sheetName val="LIFE &amp; REP PROVN"/>
      <sheetName val="O&amp;M CREW"/>
      <sheetName val="A"/>
      <sheetName val="Intro"/>
      <sheetName val="Exp"/>
      <sheetName val="18-misc"/>
      <sheetName val="5-pipe"/>
      <sheetName val="Direct cost shed A-2 "/>
      <sheetName val="RATE ANALYSIS."/>
      <sheetName val="Raw DCF"/>
      <sheetName val="DCF_PPS"/>
      <sheetName val="DCF"/>
      <sheetName val="Sch 1,2,3"/>
      <sheetName val="Sch 14,15,16"/>
      <sheetName val="profit &amp; loss account"/>
      <sheetName val="Movement of Mutual Funds"/>
      <sheetName val="References"/>
      <sheetName val="TDS Certificate-Format"/>
      <sheetName val="Item Master"/>
      <sheetName val="Schedules PL"/>
      <sheetName val="Schedules BS"/>
      <sheetName val="Rate analysis civil"/>
      <sheetName val="Elect."/>
      <sheetName val="glsrpt129909e"/>
      <sheetName val="RF Vol"/>
      <sheetName val="ASP"/>
      <sheetName val="Ins_&amp;_Bonds"/>
      <sheetName val="Source_Ref_"/>
      <sheetName val="Direct_cost_shed_A-2_"/>
      <sheetName val="2007-01"/>
      <sheetName val="BS SCH A-D"/>
      <sheetName val="RA-markate"/>
      <sheetName val="PROCTOR"/>
      <sheetName val="ANAL"/>
      <sheetName val="Pur"/>
      <sheetName val="opstat"/>
      <sheetName val="costs"/>
      <sheetName val="April'00"/>
      <sheetName val="Database"/>
      <sheetName val="SCHEDULE"/>
      <sheetName val="schedule nos"/>
      <sheetName val="Preside"/>
      <sheetName val="SP Break Up"/>
      <sheetName val="Control"/>
      <sheetName val="Blore"/>
      <sheetName val="factors"/>
      <sheetName val="VCH-SLC"/>
      <sheetName val="Supplier"/>
      <sheetName val="final abstract"/>
      <sheetName val="Product Details"/>
      <sheetName val="Cash2"/>
      <sheetName val="Z"/>
      <sheetName val="costing_ESDV"/>
      <sheetName val="costing_FE"/>
      <sheetName val="costing_Misc"/>
      <sheetName val="costing_MOV"/>
      <sheetName val="costing_Press"/>
      <sheetName val="Price Comparison"/>
      <sheetName val="Cover"/>
      <sheetName val="Leg 1-1"/>
      <sheetName val="Sheet3_(2)7"/>
      <sheetName val="%_Collection_Schedule2"/>
      <sheetName val="Rate_Analysis3"/>
      <sheetName val="Estimate_for_approval7"/>
      <sheetName val="E_&amp;_R3"/>
      <sheetName val="Earnings_model3"/>
      <sheetName val="Stacking_Plan_&amp;_LEP2"/>
      <sheetName val="Materials_Cost(PCC)2"/>
      <sheetName val="Excess_Calc2"/>
      <sheetName val="beam-reinft-IIInd_floor2"/>
      <sheetName val="SPT_vs_PHI2"/>
      <sheetName val="Materials_Cost2"/>
      <sheetName val="beam-reinft-machine_rm2"/>
      <sheetName val="Grouping_Master2"/>
      <sheetName val="Commission_and_Volume_MOM(Char2"/>
      <sheetName val="A5_201_Consol_Profit_&amp;_Loss_2"/>
      <sheetName val="Consolidated_Monthly2"/>
      <sheetName val="Balance_Sheet2"/>
      <sheetName val="A5_202_Consol_Balance_Sheet_2"/>
      <sheetName val="Fixed_Assets2"/>
      <sheetName val="Sheet_22"/>
      <sheetName val="Key_assumption2"/>
      <sheetName val="MN_T_B_2"/>
      <sheetName val="INDIGINEOUS_ITEMS_2"/>
      <sheetName val="Apartments_-_1st_Mar2"/>
      <sheetName val="1_Market2"/>
      <sheetName val="Material_List_2"/>
      <sheetName val="STAFFSCHED_2"/>
      <sheetName val="Fee_Rate_Summary2"/>
      <sheetName val="Main_School_Building2"/>
      <sheetName val="Fee_Rate_Summary1"/>
      <sheetName val="Main_School_Building1"/>
      <sheetName val="Sheet3_(2)8"/>
      <sheetName val="%_Collection_Schedule3"/>
      <sheetName val="Rate_Analysis4"/>
      <sheetName val="Estimate_for_approval8"/>
      <sheetName val="E_&amp;_R4"/>
      <sheetName val="Earnings_model4"/>
      <sheetName val="Stacking_Plan_&amp;_LEP3"/>
      <sheetName val="Materials_Cost(PCC)3"/>
      <sheetName val="Excess_Calc3"/>
      <sheetName val="beam-reinft-IIInd_floor3"/>
      <sheetName val="SPT_vs_PHI3"/>
      <sheetName val="Materials_Cost3"/>
      <sheetName val="beam-reinft-machine_rm3"/>
      <sheetName val="Grouping_Master3"/>
      <sheetName val="Commission_and_Volume_MOM(Char3"/>
      <sheetName val="A5_201_Consol_Profit_&amp;_Loss_3"/>
      <sheetName val="Consolidated_Monthly3"/>
      <sheetName val="Balance_Sheet3"/>
      <sheetName val="A5_202_Consol_Balance_Sheet_3"/>
      <sheetName val="Fixed_Assets3"/>
      <sheetName val="Sheet_23"/>
      <sheetName val="Key_assumption3"/>
      <sheetName val="MN_T_B_3"/>
      <sheetName val="INDIGINEOUS_ITEMS_3"/>
      <sheetName val="Apartments_-_1st_Mar3"/>
      <sheetName val="1_Market3"/>
      <sheetName val="Material_List_3"/>
      <sheetName val="STAFFSCHED_3"/>
      <sheetName val="Fee_Rate_Summary3"/>
      <sheetName val="Main_School_Building3"/>
      <sheetName val="Reconciliation of GL &amp; FAR"/>
      <sheetName val="Instructions"/>
      <sheetName val="Annex - 8"/>
      <sheetName val="pcQueryData"/>
      <sheetName val="_pcSlicerSheet1"/>
      <sheetName val="6 TRS"/>
      <sheetName val="PM"/>
      <sheetName val="Dep - SAP"/>
      <sheetName val="Note 9-13"/>
      <sheetName val="BUDLDD"/>
      <sheetName val="ICB"/>
      <sheetName val="DF"/>
      <sheetName val="fixd1"/>
      <sheetName val="fixd2"/>
      <sheetName val="Provision base"/>
      <sheetName val="Changes to be made"/>
      <sheetName val="csd1"/>
      <sheetName val="csd2"/>
      <sheetName val="SAP EMP"/>
      <sheetName val="DIVBUD99"/>
      <sheetName val="Basic Rate"/>
      <sheetName val="INFLUENCES ON GM"/>
      <sheetName val="ADD092001_Final"/>
      <sheetName val="TBEAM"/>
      <sheetName val="Names&amp;Cases"/>
      <sheetName val="Headings"/>
      <sheetName val="validation"/>
      <sheetName val="WBS"/>
      <sheetName val="Recovered_Sheet4"/>
      <sheetName val="Recovered_Sheet36"/>
      <sheetName val="Recovered_Sheet37"/>
      <sheetName val="Recovered_Sheet30"/>
      <sheetName val="Recovered_Sheet10"/>
      <sheetName val="Recovered_Sheet13"/>
      <sheetName val="Recovered_Sheet19"/>
      <sheetName val="Recovered_Sheet28"/>
      <sheetName val="Recovered_Sheet20"/>
      <sheetName val="Recovered_Sheet21"/>
      <sheetName val="Recovered_Sheet22"/>
      <sheetName val="Recovered_Sheet17"/>
      <sheetName val="Recovered_Sheet39"/>
      <sheetName val="Recovered_Sheet35"/>
      <sheetName val="Recovered_Sheet40"/>
      <sheetName val="Recovered_Sheet1"/>
      <sheetName val="Recovered_Sheet31"/>
      <sheetName val="Recovered_Sheet14"/>
      <sheetName val="Recovered_Sheet38"/>
      <sheetName val="Recovered_Sheet27"/>
      <sheetName val="Recovered_Sheet32"/>
      <sheetName val="Recovered_Sheet6"/>
      <sheetName val="Recovered_Sheet5"/>
      <sheetName val="Recovered_Sheet3"/>
      <sheetName val="Recovered_Sheet18"/>
      <sheetName val="All Components Report"/>
      <sheetName val="Severity"/>
      <sheetName val="Oct'19-Feb'20 base file"/>
      <sheetName val="Mar'20-base file"/>
      <sheetName val="April'20-Dec'20 Base File"/>
      <sheetName val="Boq"/>
      <sheetName val="TBAL9697 -group wise  sdpl"/>
      <sheetName val="A.O.R."/>
      <sheetName val="2nd "/>
      <sheetName val="RF_Vol"/>
      <sheetName val="Project Budget Worksheet"/>
      <sheetName val="Builtup Area"/>
      <sheetName val="PL Notes2"/>
      <sheetName val="adp-budget"/>
      <sheetName val="TDS_Certificate-Format"/>
      <sheetName val="Income_Statements"/>
      <sheetName val="CTbe_tong"/>
      <sheetName val="CTDZ_0_4+cto"/>
      <sheetName val="_"/>
      <sheetName val="450_x_350"/>
      <sheetName val="Fill_this_out_first___"/>
      <sheetName val="Approved_MTD_Proj_#'s"/>
      <sheetName val="RATE_ANALYSIS_"/>
      <sheetName val="Raw_DCF"/>
      <sheetName val="Sch_1,2,3"/>
      <sheetName val="Sch_14,15,16"/>
      <sheetName val="profit_&amp;_loss_account"/>
      <sheetName val="Movement_of_Mutual_Funds"/>
      <sheetName val="Mix_Design"/>
      <sheetName val="_Vivante_MAIN__INFRA__MAR_18"/>
      <sheetName val="Current_Bill_MB_ref"/>
      <sheetName val="Form_6"/>
      <sheetName val="M-Book_for_Conc"/>
      <sheetName val="M-Book_for_FW"/>
      <sheetName val="Schedules_PL"/>
      <sheetName val="Schedules_BS"/>
      <sheetName val="RA_1"/>
      <sheetName val="Outline_Cost_-_Five_star_Hotel"/>
      <sheetName val="CC_APR04"/>
      <sheetName val="CC_MAY04"/>
      <sheetName val="CC_JUNE04"/>
      <sheetName val="LIFE_&amp;_REP_PROVN"/>
      <sheetName val="O&amp;M_CREW"/>
      <sheetName val="check"/>
      <sheetName val="main1"/>
      <sheetName val="Assum"/>
      <sheetName val="RA_markate"/>
      <sheetName val="Labor abs-NMR"/>
      <sheetName val="MASTER_RATE ANALYSIS"/>
      <sheetName val="_REF"/>
      <sheetName val="TB WORLI"/>
      <sheetName val="TB APJ"/>
      <sheetName val="H.O."/>
      <sheetName val="B"/>
      <sheetName val="wacc"/>
      <sheetName val="wdr bldg"/>
      <sheetName val="Admin "/>
      <sheetName val="D.D"/>
      <sheetName val="Assmp"/>
      <sheetName val="BS-R"/>
      <sheetName val="Billing"/>
      <sheetName val="MNP"/>
      <sheetName val="ITT-R"/>
      <sheetName val="BSSchedules"/>
      <sheetName val="rent paid details"/>
      <sheetName val="DGP-2002"/>
      <sheetName val="Cap"/>
      <sheetName val="C_flow 95"/>
      <sheetName val="1201"/>
      <sheetName val="Capital leases"/>
      <sheetName val="FA TB 28-2-2006"/>
      <sheetName val="data 3A|6A"/>
      <sheetName val="Internal Finishes (Unit types)"/>
      <sheetName val="pri-com"/>
      <sheetName val="10. &amp; 11. Rate Code &amp; BQ"/>
      <sheetName val="sept-plan"/>
      <sheetName val="Data Summary"/>
      <sheetName val="bank-int"/>
      <sheetName val="ABB"/>
      <sheetName val="GE"/>
      <sheetName val="Detail In Door Stad"/>
      <sheetName val="200205C"/>
      <sheetName val="Data sheet"/>
      <sheetName val="Per Unit"/>
      <sheetName val="CFForecast detail"/>
      <sheetName val="WORK TABLE"/>
      <sheetName val="Door"/>
      <sheetName val="A1-Continuous"/>
      <sheetName val="CAM- Airoli"/>
      <sheetName val="AMC- Airoli"/>
      <sheetName val="CAM - Poch"/>
      <sheetName val="AMC - Poch"/>
      <sheetName val="Complex - Poch"/>
      <sheetName val="CAM - Trion"/>
      <sheetName val="AMC - Trion"/>
      <sheetName val="Complex - Trion"/>
      <sheetName val="Sheet3_(2)9"/>
      <sheetName val="Estimate_for_approval9"/>
      <sheetName val="Rate_Analysis5"/>
      <sheetName val="Earnings_model5"/>
      <sheetName val="E_&amp;_R5"/>
      <sheetName val="Material_List_4"/>
      <sheetName val="STAFFSCHED_4"/>
      <sheetName val="SPT_vs_PHI4"/>
      <sheetName val="beam-reinft-IIInd_floor4"/>
      <sheetName val="Materials_Cost4"/>
      <sheetName val="MN_T_B_4"/>
      <sheetName val="INDIGINEOUS_ITEMS_4"/>
      <sheetName val="Fee_Rate_Summary4"/>
      <sheetName val="Main_School_Building4"/>
      <sheetName val="Materials_Cost(PCC)4"/>
      <sheetName val="Excess_Calc4"/>
      <sheetName val="Grouping_Master4"/>
      <sheetName val="Commission_and_Volume_MOM(Char4"/>
      <sheetName val="%_Collection_Schedule4"/>
      <sheetName val="Stacking_Plan_&amp;_LEP4"/>
      <sheetName val="beam-reinft-machine_rm4"/>
      <sheetName val="A5_201_Consol_Profit_&amp;_Loss_4"/>
      <sheetName val="Consolidated_Monthly4"/>
      <sheetName val="Balance_Sheet4"/>
      <sheetName val="A5_202_Consol_Balance_Sheet_4"/>
      <sheetName val="Fixed_Assets4"/>
      <sheetName val="Key_assumption4"/>
      <sheetName val="Labour_Rate_1"/>
      <sheetName val="입찰내역_발주처_양식1"/>
      <sheetName val="Customize_Your_Purchase_Order1"/>
      <sheetName val="1_Market4"/>
      <sheetName val="Apartments_-_1st_Mar4"/>
      <sheetName val="Sheet_24"/>
      <sheetName val="schedule_nos"/>
      <sheetName val="Chembur_11"/>
      <sheetName val="vb_9&amp;101"/>
      <sheetName val="Felix_Street_Summary1"/>
      <sheetName val="FY16-17_Cashflow1"/>
      <sheetName val="GrossMgn_981"/>
      <sheetName val="Rent_-011"/>
      <sheetName val="Sukuki_CDR1"/>
      <sheetName val="TRX_ADDITION1"/>
      <sheetName val="TDS_Certificate-Format1"/>
      <sheetName val="priority_analysis1"/>
      <sheetName val="standards_trend1"/>
      <sheetName val="service_timing1"/>
      <sheetName val="Product_Problems1"/>
      <sheetName val="score_trends1"/>
      <sheetName val="Fix_it_First_Time1"/>
      <sheetName val="Sample_India1"/>
      <sheetName val="Sample_Indo1"/>
      <sheetName val="Sample_MY1"/>
      <sheetName val="Sample_PH1"/>
      <sheetName val="Sample_TH1"/>
      <sheetName val="Income_Statements1"/>
      <sheetName val="CTbe_tong1"/>
      <sheetName val="CTDZ_0_4+cto1"/>
      <sheetName val="_1"/>
      <sheetName val="450_x_3501"/>
      <sheetName val="Fill_this_out_first___1"/>
      <sheetName val="Approved_MTD_Proj_#'s1"/>
      <sheetName val="RATE_ANALYSIS_1"/>
      <sheetName val="Raw_DCF1"/>
      <sheetName val="Sch_1,2,31"/>
      <sheetName val="Sch_14,15,161"/>
      <sheetName val="profit_&amp;_loss_account1"/>
      <sheetName val="Movement_of_Mutual_Funds1"/>
      <sheetName val="Mix_Design1"/>
      <sheetName val="Ins_&amp;_Bonds1"/>
      <sheetName val="_Vivante_MAIN__INFRA__MAR_181"/>
      <sheetName val="Current_Bill_MB_ref1"/>
      <sheetName val="Form_61"/>
      <sheetName val="M-Book_for_Conc1"/>
      <sheetName val="M-Book_for_FW1"/>
      <sheetName val="Source_Ref_1"/>
      <sheetName val="Schedules_PL1"/>
      <sheetName val="Schedules_BS1"/>
      <sheetName val="RA_11"/>
      <sheetName val="Outline_Cost_-_Five_star_Hotel1"/>
      <sheetName val="CC_APR041"/>
      <sheetName val="CC_MAY041"/>
      <sheetName val="CC_JUNE041"/>
      <sheetName val="LIFE_&amp;_REP_PROVN1"/>
      <sheetName val="O&amp;M_CREW1"/>
      <sheetName val="Direct_cost_shed_A-2_1"/>
      <sheetName val="gen_ledger_data"/>
      <sheetName val="Annex_-_8"/>
      <sheetName val="6_TRS"/>
      <sheetName val="BS_SCH_A-D"/>
      <sheetName val="Elect_"/>
      <sheetName val="Note_9-13"/>
      <sheetName val="Basic_Rate"/>
      <sheetName val="INFLUENCES_ON_GM"/>
      <sheetName val="2nd_"/>
      <sheetName val="final_abstract"/>
      <sheetName val="Product_Details"/>
      <sheetName val="SP_Break_Up"/>
      <sheetName val="Reconciliation_of_GL_&amp;_FAR"/>
      <sheetName val="Price_Comparison"/>
      <sheetName val="Leg_1-1"/>
      <sheetName val="All_Components_Report"/>
      <sheetName val="Rate_analysis_civil"/>
      <sheetName val="A_O_R_"/>
      <sheetName val="theatre mgmt cont"/>
      <sheetName val="RF_Vol1"/>
      <sheetName val="TBAL9697_-group_wise__sdpl"/>
      <sheetName val="Dep_-_SAP"/>
      <sheetName val="SAP_EMP"/>
      <sheetName val="Labor_abs-NMR"/>
      <sheetName val="Project_Budget_Worksheet"/>
      <sheetName val="Builtup_Area"/>
      <sheetName val="MASTER_RATE_ANALYSIS"/>
      <sheetName val="Item_Master"/>
      <sheetName val="HistData(1)"/>
      <sheetName val="Update"/>
      <sheetName val="FORM-16"/>
      <sheetName val="Stacking Plan"/>
      <sheetName val="Groupings-final"/>
      <sheetName val="Sched"/>
      <sheetName val="Trial"/>
      <sheetName val="FA_Final"/>
      <sheetName val="BFS"/>
      <sheetName val="SOA"/>
      <sheetName val="Podium Areas"/>
      <sheetName val="stryker div "/>
      <sheetName val="LTM"/>
      <sheetName val="DropZone"/>
      <sheetName val="Old"/>
      <sheetName val="Introduction"/>
      <sheetName val="Mkt PMS"/>
      <sheetName val="Manual JV"/>
      <sheetName val="Charts"/>
      <sheetName val="Infinite Studios"/>
      <sheetName val="Neuros &amp; Immunos"/>
      <sheetName val="Nucleos"/>
      <sheetName val="Monthly Checklist"/>
      <sheetName val="Corp Svc fee"/>
      <sheetName val="PL"/>
      <sheetName val="BANK"/>
      <sheetName val="GL"/>
      <sheetName val="GJ"/>
      <sheetName val="AR SUM (SGD) "/>
      <sheetName val="AR SUM (RM)"/>
      <sheetName val="AR DETAIL (RM)"/>
      <sheetName val="AR DETAIL (SGD) "/>
      <sheetName val="AP SUM (SGD)"/>
      <sheetName val="AP DETAIL (SGD) "/>
      <sheetName val="Revenue Schedule "/>
      <sheetName val="Sch"/>
      <sheetName val="FA"/>
      <sheetName val="Under paid GST Working"/>
      <sheetName val="Bonus com"/>
      <sheetName val="Exchange Rates_2019"/>
      <sheetName val="CCS"/>
      <sheetName val="ERL"/>
      <sheetName val="SSR"/>
      <sheetName val="Emp Details"/>
      <sheetName val="XREF"/>
      <sheetName val="BP"/>
      <sheetName val="Assumption Inputs"/>
      <sheetName val="Insts"/>
      <sheetName val="Budget Vs Actuals (2)"/>
      <sheetName val="PRECAST lightconc-II"/>
      <sheetName val="Itemised"/>
      <sheetName val="Material "/>
      <sheetName val="Labour &amp; Plant"/>
      <sheetName val="Steel-Circular"/>
      <sheetName val="analysis"/>
      <sheetName val="wdr_bldg"/>
      <sheetName val="Admin_"/>
      <sheetName val="Internal_Finishes_(Unit_types)"/>
      <sheetName val="10__&amp;_11__Rate_Code_&amp;_BQ"/>
      <sheetName val="Operating Statistics"/>
      <sheetName val="Financials"/>
      <sheetName val="BS_ABRIDGED"/>
      <sheetName val="Hyp-mstr"/>
      <sheetName val="PCost"/>
      <sheetName val="INCOME "/>
      <sheetName val="Instruction"/>
      <sheetName val="IGAAP Entity BS PL"/>
      <sheetName val="IGAAP Trial Balance New"/>
      <sheetName val="SAP TB With Grouping"/>
      <sheetName val="SAP Download TB"/>
      <sheetName val="M_Maincomp"/>
      <sheetName val="Cost summary"/>
      <sheetName val="Sump"/>
      <sheetName val="conc-foot-gradeslab"/>
      <sheetName val="Area Statement"/>
      <sheetName val="Risk Analysis"/>
      <sheetName val="Detailed Summary (5)"/>
      <sheetName val="Cost_Any."/>
      <sheetName val="Mat_Cost"/>
      <sheetName val="KP1590_E"/>
      <sheetName val="OCT 06"/>
      <sheetName val="Groupings "/>
      <sheetName val="depit"/>
      <sheetName val="Master - Inventory"/>
      <sheetName val="소상 &quot;1&quot;"/>
      <sheetName val="Publicbuilding"/>
      <sheetName val="IO"/>
      <sheetName val="SCH4"/>
      <sheetName val="starter"/>
      <sheetName val="Civil Works"/>
      <sheetName val="gen"/>
      <sheetName val="M-0003"/>
      <sheetName val="ins spares"/>
      <sheetName val="Adjusted data"/>
      <sheetName val="JetFuel"/>
      <sheetName val="Block A"/>
      <sheetName val="model by field"/>
      <sheetName val="IEA_02-99"/>
      <sheetName val="cs1997"/>
      <sheetName val="Crude oil"/>
      <sheetName val="Book1"/>
      <sheetName val="Corridor"/>
      <sheetName val="Summary model"/>
      <sheetName val="Valuation (F)"/>
      <sheetName val="31 July 2005"/>
      <sheetName val="Dep"/>
      <sheetName val="Concessions Lodz SC"/>
      <sheetName val="Concessions_Lodz_SC"/>
      <sheetName val="Figures_Dec"/>
      <sheetName val="Concessions_Lodz_SC1"/>
      <sheetName val="Concessions_Lodz_SC2"/>
      <sheetName val="Original"/>
      <sheetName val="balance"/>
      <sheetName val="Q&amp;pl-V"/>
      <sheetName val="Detail_In_Door_Stad"/>
      <sheetName val="Data_sheet"/>
      <sheetName val="Per_Unit"/>
      <sheetName val="CFForecast_detail"/>
      <sheetName val="WORK_TABLE"/>
      <sheetName val="U1 P&amp;L"/>
      <sheetName val="ECP II Cashflow INR"/>
      <sheetName val="ECP II Cashflow USD"/>
      <sheetName val="Marketing cost breakdown"/>
      <sheetName val="Corp cost"/>
      <sheetName val="Summary 30-09-09"/>
      <sheetName val="Certificate"/>
      <sheetName val="Oct'19-Feb'20_base_file"/>
      <sheetName val="Mar'20-base_file"/>
      <sheetName val="April'20-Dec'20_Base_File"/>
      <sheetName val="Groupings"/>
      <sheetName val="Concessions_Lodz_SC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sheetData sheetId="669" refreshError="1"/>
      <sheetData sheetId="670" refreshError="1"/>
      <sheetData sheetId="671" refreshError="1"/>
      <sheetData sheetId="672" refreshError="1"/>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refreshError="1"/>
      <sheetData sheetId="859"/>
      <sheetData sheetId="860"/>
      <sheetData sheetId="861"/>
      <sheetData sheetId="862"/>
      <sheetData sheetId="863"/>
      <sheetData sheetId="864"/>
      <sheetData sheetId="865"/>
      <sheetData sheetId="866"/>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sheetData sheetId="924"/>
      <sheetData sheetId="925"/>
      <sheetData sheetId="926"/>
      <sheetData sheetId="927" refreshError="1"/>
      <sheetData sheetId="928" refreshError="1"/>
      <sheetData sheetId="929" refreshError="1"/>
      <sheetData sheetId="930" refreshError="1"/>
      <sheetData sheetId="931" refreshError="1"/>
      <sheetData sheetId="932" refreshError="1"/>
      <sheetData sheetId="933"/>
      <sheetData sheetId="934"/>
      <sheetData sheetId="935"/>
      <sheetData sheetId="936"/>
      <sheetData sheetId="937"/>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sheetData sheetId="976" refreshError="1"/>
      <sheetData sheetId="977"/>
      <sheetData sheetId="978"/>
      <sheetData sheetId="979" refreshError="1"/>
      <sheetData sheetId="980" refreshError="1"/>
      <sheetData sheetId="981" refreshError="1"/>
      <sheetData sheetId="982"/>
      <sheetData sheetId="983"/>
      <sheetData sheetId="984"/>
      <sheetData sheetId="985"/>
      <sheetData sheetId="986"/>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sheetData sheetId="996"/>
      <sheetData sheetId="997" refreshError="1"/>
      <sheetData sheetId="998"/>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1"/>
      <sheetName val="Graph2"/>
      <sheetName val="synthgraph"/>
      <sheetName val="ic"/>
      <sheetName val="1601 Detail information"/>
      <sheetName val="M&amp;A Table"/>
      <sheetName val="a bâtons rompus"/>
      <sheetName val="BS, PL, Sch 5 to 9"/>
      <sheetName val="Regression Analysis"/>
      <sheetName val="cclist"/>
      <sheetName val="Sheet1"/>
      <sheetName val="Assumptions"/>
      <sheetName val="SMITHQ"/>
      <sheetName val="Extra&amp;Adv"/>
      <sheetName val="F&amp;F"/>
      <sheetName val="Summary"/>
      <sheetName val="Intralata"/>
      <sheetName val="Other"/>
      <sheetName val="MCI One"/>
      <sheetName val="Op Assumptions"/>
      <sheetName val="monthly graphs"/>
      <sheetName val="sheet6"/>
      <sheetName val="PXMODEL"/>
      <sheetName val="CSCCincSKR"/>
      <sheetName val="GTER2008"/>
      <sheetName val="Charts"/>
      <sheetName val="Historical Financial Statements"/>
      <sheetName val="Calculations"/>
      <sheetName val="VBA Forecast &amp; DCF"/>
      <sheetName val="Ratio Analysis"/>
      <sheetName val="Developer rev 99"/>
      <sheetName val=" Ad Sales  exp"/>
      <sheetName val="Bus Dev"/>
      <sheetName val="corp. exp"/>
      <sheetName val="Qtr Allocation"/>
      <sheetName val="Table"/>
      <sheetName val="Close deck detail"/>
      <sheetName val="Metadata"/>
      <sheetName val="TargDCF"/>
      <sheetName val="TargIS"/>
      <sheetName val="sales vol."/>
      <sheetName val="Definitions"/>
      <sheetName val="System Integration"/>
      <sheetName val="SUM SHEET"/>
      <sheetName val="DIV INC"/>
      <sheetName val="EXHIBIT II-ETR"/>
      <sheetName val="Codes"/>
      <sheetName val="Data Validation"/>
      <sheetName val="Lookups"/>
      <sheetName val="status"/>
      <sheetName val="Ed7"/>
      <sheetName val="Stock Price"/>
      <sheetName val="#REF"/>
      <sheetName val="london projections"/>
      <sheetName val="stockholm projections CY"/>
      <sheetName val="stockholm summary CY"/>
      <sheetName val="TargBSCF"/>
      <sheetName val="Deals"/>
      <sheetName val="Projections"/>
      <sheetName val="Rev Sen"/>
      <sheetName val="Internet IS"/>
      <sheetName val="IPO Matrix 05"/>
      <sheetName val="Mapping"/>
      <sheetName val="LoadProfile"/>
      <sheetName val="Control"/>
      <sheetName val="VlookUp Matrix"/>
      <sheetName val="Settings"/>
      <sheetName val="BEV"/>
      <sheetName val="Drop Down Data"/>
      <sheetName val="Sheet1 (2)"/>
      <sheetName val="BS,_PL,_Sch_5_to_9"/>
      <sheetName val="1601_Detail_information"/>
      <sheetName val="M&amp;A_Table"/>
      <sheetName val="a_bâtons_rompus"/>
      <sheetName val="Pivot Unbilled Rev"/>
      <sheetName val="Variance Details"/>
      <sheetName val="Invoices thru Sep"/>
      <sheetName val="Invoices through October"/>
      <sheetName val="103.02 H2O Unbilled Rev GL Dtl"/>
      <sheetName val="Cynthia Rev Sch_Oct as of 11-30"/>
      <sheetName val="Pivot Unbilled PTEs"/>
      <sheetName val="103.03 H2O Unbilled PTEs GL Dtl"/>
      <sheetName val="BSS"/>
      <sheetName val="Regression_Analysis"/>
      <sheetName val="MCI_One"/>
      <sheetName val="Op_Assumptions"/>
      <sheetName val="monthly_graphs"/>
      <sheetName val="Historical_Financial_Statements"/>
      <sheetName val="VBA_Forecast_&amp;_DCF"/>
      <sheetName val="Ratio_Analysis"/>
      <sheetName val="Developer_rev_99"/>
      <sheetName val="_Ad_Sales__exp"/>
      <sheetName val="Bus_Dev"/>
      <sheetName val="corp__exp"/>
      <sheetName val="Qtr_Allocation"/>
      <sheetName val="Close_deck_detail"/>
      <sheetName val="sales_vol_"/>
      <sheetName val="System_Integration"/>
      <sheetName val="SUM_SHEET"/>
      <sheetName val="DIV_INC"/>
      <sheetName val="EXHIBIT_II-ETR"/>
      <sheetName val="Data_Validation"/>
      <sheetName val="Stock_Price"/>
      <sheetName val="london_projections"/>
      <sheetName val="stockholm_projections_CY"/>
      <sheetName val="stockholm_summary_CY"/>
      <sheetName val="Rev_Sen"/>
      <sheetName val="Internet_IS"/>
      <sheetName val="IPO_Matrix_05"/>
      <sheetName val="VlookUp_Matrix"/>
      <sheetName val="Drop_Down_Data"/>
      <sheetName val="Sheet1_(2)"/>
      <sheetName val="Super Region"/>
      <sheetName val="YTD Actual"/>
      <sheetName val="Region"/>
      <sheetName val="SSDGrowth"/>
      <sheetName val="Comp. Transaction"/>
      <sheetName val="97 Mnthly Splits Caps"/>
      <sheetName val="Base"/>
      <sheetName val="Fee Schedule"/>
      <sheetName val="Summary Acq"/>
      <sheetName val="Summary Tgt"/>
      <sheetName val="OUTPUT"/>
      <sheetName val="Cntmrs-Recruit"/>
      <sheetName val="Inputs"/>
      <sheetName val="6305"/>
      <sheetName val="1st Qtr"/>
      <sheetName val="FCST FY20 Q3 GEO"/>
      <sheetName val="Comments"/>
      <sheetName val="REF"/>
      <sheetName val="NEM"/>
      <sheetName val="List"/>
      <sheetName val="Regression_Analysis1"/>
      <sheetName val="Qtr_Allocation1"/>
      <sheetName val="Close_deck_detail1"/>
      <sheetName val="Drop downs"/>
      <sheetName val="Lists"/>
      <sheetName val="C&amp;CE"/>
      <sheetName val="trade reveibale aging (2)"/>
      <sheetName val="Sheet3"/>
      <sheetName val="License fee - Pg 11 (2)"/>
      <sheetName val="Balance sheet - pg 4-5"/>
      <sheetName val="PPE - Pg 6"/>
      <sheetName val="Opco wise P&amp;M - Pg 7"/>
      <sheetName val="P&amp; M Aging - Pg 7"/>
      <sheetName val="P&amp;M - Owned  leased - Pg 7"/>
      <sheetName val="PPE useful life - Pg 7"/>
      <sheetName val="PPE - GSM business - Pg 8"/>
      <sheetName val="PPE 2 - Pg 8"/>
      <sheetName val="Capex add - Pg 9"/>
      <sheetName val="Capex add (2) - Pg 9"/>
      <sheetName val="Intangible assets - Pg 10,11"/>
      <sheetName val="License fee - Pg 10"/>
      <sheetName val="Bandwidth - Pg 11"/>
      <sheetName val="Goodwill - Pg 12"/>
      <sheetName val="Other non current asset - Pg 13"/>
      <sheetName val="Trade receivable - Pg 14"/>
      <sheetName val="Receivable - Ageing - Pg 14"/>
      <sheetName val="trade reveibale aging"/>
      <sheetName val="Inventory - Pg 15"/>
      <sheetName val="OCA - Pg 15"/>
      <sheetName val="Trade payables - Pg 16,17"/>
      <sheetName val="TP &amp; other fin liab"/>
      <sheetName val="Deferred rev - Pg 17"/>
      <sheetName val="Current fin assets - Pg 18"/>
      <sheetName val="OCL - Pg 19"/>
      <sheetName val="Eq supply payable - Pg 19"/>
      <sheetName val="Other non CL - Pg 20"/>
      <sheetName val="Other equity - Pg 21,43"/>
      <sheetName val="NCI - Pg 22"/>
      <sheetName val="Intangibles - Movement"/>
      <sheetName val="Borrowings summary - Pg 25"/>
      <sheetName val="Borrowings bridge - Pg 25"/>
      <sheetName val=" NWC graphs - Pg 30,31,32"/>
      <sheetName val="Quarterly working capital RT"/>
      <sheetName val="Trade payable Working"/>
      <sheetName val="Contingent liability - pg 34"/>
      <sheetName val="Legal cases - Pg 35 "/>
      <sheetName val="Bank guarantee - Pg 35"/>
      <sheetName val="Cash flow statement - Pg 37,38"/>
      <sheetName val="Payment under protest - Pg 41"/>
      <sheetName val="Minority interest - Pg 42"/>
      <sheetName val="Closing Forex rates - Pg 44"/>
      <sheetName val="Tower sold - Pg 45"/>
      <sheetName val="Net working capital trends - RT"/>
      <sheetName val="Balance sheet  - Regrouped"/>
      <sheetName val="Entity shareholding"/>
      <sheetName val="Liabilities - RT (Old)"/>
      <sheetName val="Balance sheet  - Reported"/>
      <sheetName val="YTD Totals"/>
      <sheetName val="OWG CF"/>
      <sheetName val=""/>
      <sheetName val="Sales Assessment Tracker"/>
      <sheetName val="Cash Flow - Deere"/>
      <sheetName val="EG_Lists"/>
      <sheetName val="Cash_Flow_-_Deere"/>
      <sheetName val="Segment Details"/>
      <sheetName val="Cntmrs"/>
      <sheetName val="Dropdown List"/>
      <sheetName val="Sheet2"/>
      <sheetName val="FUND ROLLUP INPUT"/>
      <sheetName val="Input"/>
      <sheetName val="DATA"/>
      <sheetName val="MEX"/>
      <sheetName val="BRA"/>
      <sheetName val="Top25_Cust_Live"/>
      <sheetName val="OOV_Snap_FY20_SnS"/>
      <sheetName val="OOV_Snap_FY19_SnS"/>
      <sheetName val="OOV_Snap_FY18_SnS"/>
      <sheetName val="ptnbband"/>
      <sheetName val="Items below EBITDA, DRC, Niger"/>
      <sheetName val="Items below EBITDA"/>
      <sheetName val="Exceptional Items"/>
      <sheetName val="Balance sheet"/>
      <sheetName val="Sheet4"/>
      <sheetName val="Tangible asset schedule"/>
      <sheetName val="Intangible asset schedule"/>
      <sheetName val="License fee - Pg 10  (2)"/>
      <sheetName val="Goodwil pg 12"/>
      <sheetName val="Other non current asset Pg 13"/>
      <sheetName val="NCI"/>
      <sheetName val="Remote liability"/>
      <sheetName val="FCFL as per Management"/>
      <sheetName val="7.74 Eaton loan"/>
      <sheetName val="Takaoka"/>
      <sheetName val="Shinko"/>
      <sheetName val="Logo 封筒"/>
      <sheetName val="Depot_Askul"/>
      <sheetName val="AEON"/>
      <sheetName val="Amex_T&amp;E"/>
      <sheetName val="OSAKA"/>
      <sheetName val="BizCard"/>
      <sheetName val="Electricity"/>
      <sheetName val="Depot-Logo CH"/>
      <sheetName val="Master Data"/>
      <sheetName val="a bâtons rompus.xls"/>
      <sheetName val="a%20b%C3%A2tons%20rompus.xls"/>
      <sheetName val="Date"/>
      <sheetName val="LBO"/>
      <sheetName val="SALT Allocation Percentage"/>
      <sheetName val="Data Validation &amp; Misc"/>
      <sheetName val="Stock_Price1"/>
      <sheetName val="EXHIBIT_II-ETR1"/>
      <sheetName val="london_projections1"/>
      <sheetName val="stockholm_projections_CY1"/>
      <sheetName val="stockholm_summary_CY1"/>
      <sheetName val="a_bâtons_rompus1"/>
      <sheetName val="SUM_SHEET1"/>
      <sheetName val="DIV_INC1"/>
      <sheetName val="1601_Detail_information1"/>
      <sheetName val="M&amp;A_Table1"/>
      <sheetName val="BS,_PL,_Sch_5_to_91"/>
      <sheetName val="Regression_Analysis2"/>
      <sheetName val="MCI_One1"/>
      <sheetName val="Op_Assumptions1"/>
      <sheetName val="monthly_graphs1"/>
      <sheetName val="Qtr_Allocation2"/>
      <sheetName val="Close_deck_detail2"/>
      <sheetName val="Data_Validation1"/>
      <sheetName val="Historical_Financial_Statement1"/>
      <sheetName val="VBA_Forecast_&amp;_DCF1"/>
      <sheetName val="Ratio_Analysis1"/>
      <sheetName val="Developer_rev_991"/>
      <sheetName val="_Ad_Sales__exp1"/>
      <sheetName val="Bus_Dev1"/>
      <sheetName val="corp__exp1"/>
      <sheetName val="sales_vol_1"/>
      <sheetName val="System_Integration1"/>
      <sheetName val="Rev_Sen1"/>
      <sheetName val="Internet_IS1"/>
      <sheetName val="IPO_Matrix_051"/>
      <sheetName val="VlookUp_Matrix1"/>
      <sheetName val="Drop_Down_Data1"/>
      <sheetName val="Sheet1_(2)1"/>
      <sheetName val="Pivot_Unbilled_Rev"/>
      <sheetName val="Variance_Details"/>
      <sheetName val="Invoices_thru_Sep"/>
      <sheetName val="Invoices_through_October"/>
      <sheetName val="103_02_H2O_Unbilled_Rev_GL_Dtl"/>
      <sheetName val="Cynthia_Rev_Sch_Oct_as_of_11-30"/>
      <sheetName val="Pivot_Unbilled_PTEs"/>
      <sheetName val="103_03_H2O_Unbilled_PTEs_GL_Dtl"/>
      <sheetName val="Super_Region"/>
      <sheetName val="YTD_Actual"/>
      <sheetName val="Comp__Transaction"/>
      <sheetName val="97_Mnthly_Splits_Caps"/>
      <sheetName val="Fee_Schedule"/>
      <sheetName val="Summary_Acq"/>
      <sheetName val="Summary_Tgt"/>
      <sheetName val="1st_Qtr"/>
      <sheetName val="FCST_FY20_Q3_GEO"/>
      <sheetName val="Drop_downs"/>
      <sheetName val="trade_reveibale_aging_(2)"/>
      <sheetName val="License_fee_-_Pg_11_(2)"/>
      <sheetName val="Balance_sheet_-_pg_4-5"/>
      <sheetName val="PPE_-_Pg_6"/>
      <sheetName val="Opco_wise_P&amp;M_-_Pg_7"/>
      <sheetName val="P&amp;_M_Aging_-_Pg_7"/>
      <sheetName val="P&amp;M_-_Owned__leased_-_Pg_7"/>
      <sheetName val="PPE_useful_life_-_Pg_7"/>
      <sheetName val="PPE_-_GSM_business_-_Pg_8"/>
      <sheetName val="PPE_2_-_Pg_8"/>
      <sheetName val="Capex_add_-_Pg_9"/>
      <sheetName val="Capex_add_(2)_-_Pg_9"/>
      <sheetName val="Intangible_assets_-_Pg_10,11"/>
      <sheetName val="License_fee_-_Pg_10"/>
      <sheetName val="Bandwidth_-_Pg_11"/>
      <sheetName val="Goodwill_-_Pg_12"/>
      <sheetName val="Other_non_current_asset_-_Pg_13"/>
      <sheetName val="Trade_receivable_-_Pg_14"/>
      <sheetName val="Receivable_-_Ageing_-_Pg_14"/>
      <sheetName val="trade_reveibale_aging"/>
      <sheetName val="Inventory_-_Pg_15"/>
      <sheetName val="OCA_-_Pg_15"/>
      <sheetName val="Trade_payables_-_Pg_16,17"/>
      <sheetName val="TP_&amp;_other_fin_liab"/>
      <sheetName val="Deferred_rev_-_Pg_17"/>
      <sheetName val="Current_fin_assets_-_Pg_18"/>
      <sheetName val="OCL_-_Pg_19"/>
      <sheetName val="Eq_supply_payable_-_Pg_19"/>
      <sheetName val="Other_non_CL_-_Pg_20"/>
      <sheetName val="Other_equity_-_Pg_21,43"/>
      <sheetName val="NCI_-_Pg_22"/>
      <sheetName val="Intangibles_-_Movement"/>
      <sheetName val="Borrowings_summary_-_Pg_25"/>
      <sheetName val="Borrowings_bridge_-_Pg_25"/>
      <sheetName val="_NWC_graphs_-_Pg_30,31,32"/>
      <sheetName val="Quarterly_working_capital_RT"/>
      <sheetName val="Trade_payable_Working"/>
      <sheetName val="Contingent_liability_-_pg_34"/>
      <sheetName val="Legal_cases_-_Pg_35_"/>
      <sheetName val="Bank_guarantee_-_Pg_35"/>
      <sheetName val="Cash_flow_statement_-_Pg_37,38"/>
      <sheetName val="Payment_under_protest_-_Pg_41"/>
      <sheetName val="Minority_interest_-_Pg_42"/>
      <sheetName val="Closing_Forex_rates_-_Pg_44"/>
      <sheetName val="Tower_sold_-_Pg_45"/>
      <sheetName val="Net_working_capital_trends_-_RT"/>
      <sheetName val="Balance_sheet__-_Regrouped"/>
      <sheetName val="Entity_shareholding"/>
      <sheetName val="Liabilities_-_RT_(Old)"/>
      <sheetName val="Balance_sheet__-_Reported"/>
      <sheetName val="YTD_Totals"/>
      <sheetName val="OWG_CF"/>
      <sheetName val="Sales_Assessment_Tracker"/>
      <sheetName val="Cash_Flow_-_Deere1"/>
      <sheetName val="Segment_Details"/>
      <sheetName val="Dropdown_List"/>
      <sheetName val="FUND_ROLLUP_INPUT"/>
      <sheetName val="a_bâtons_rompus_xls"/>
      <sheetName val="a%20b%C3%A2tons%20rompus_xls"/>
      <sheetName val="Logo_封筒"/>
      <sheetName val="Depot-Logo_CH"/>
      <sheetName val="Master_Data"/>
      <sheetName val="Items_below_EBITDA,_DRC,_Niger"/>
      <sheetName val="Items_below_EBITDA"/>
      <sheetName val="Exceptional_Items"/>
      <sheetName val="Balance_sheet"/>
      <sheetName val="Tangible_asset_schedule"/>
      <sheetName val="Intangible_asset_schedule"/>
      <sheetName val="License_fee_-_Pg_10__(2)"/>
      <sheetName val="Goodwil_pg_12"/>
      <sheetName val="Other_non_current_asset_Pg_13"/>
      <sheetName val="Remote_liability"/>
      <sheetName val="FCFL_as_per_Management"/>
      <sheetName val="7_74_Eaton_loan"/>
      <sheetName val="Lijst risico"/>
      <sheetName val="Legal Entity Lookup"/>
      <sheetName val="graph"/>
      <sheetName val="1601_Detail_information2"/>
      <sheetName val="M&amp;A_Table2"/>
      <sheetName val="a_bâtons_rompus2"/>
      <sheetName val="BS,_PL,_Sch_5_to_92"/>
      <sheetName val="Regression_Analysis3"/>
      <sheetName val="MCI_One2"/>
      <sheetName val="Op_Assumptions2"/>
      <sheetName val="monthly_graphs2"/>
      <sheetName val="Qtr_Allocation3"/>
      <sheetName val="Close_deck_detail3"/>
      <sheetName val="Data_Validation2"/>
      <sheetName val="Historical_Financial_Statement2"/>
      <sheetName val="VBA_Forecast_&amp;_DCF2"/>
      <sheetName val="Ratio_Analysis2"/>
      <sheetName val="Developer_rev_992"/>
      <sheetName val="_Ad_Sales__exp2"/>
      <sheetName val="Bus_Dev2"/>
      <sheetName val="corp__exp2"/>
      <sheetName val="sales_vol_2"/>
      <sheetName val="System_Integration2"/>
      <sheetName val="SUM_SHEET2"/>
      <sheetName val="DIV_INC2"/>
      <sheetName val="EXHIBIT_II-ETR2"/>
      <sheetName val="Stock_Price2"/>
      <sheetName val="london_projections2"/>
      <sheetName val="stockholm_projections_CY2"/>
      <sheetName val="stockholm_summary_CY2"/>
      <sheetName val="Rev_Sen2"/>
      <sheetName val="Internet_IS2"/>
      <sheetName val="IPO_Matrix_052"/>
      <sheetName val="Pivot_Unbilled_Rev1"/>
      <sheetName val="Variance_Details1"/>
      <sheetName val="Invoices_thru_Sep1"/>
      <sheetName val="Invoices_through_October1"/>
      <sheetName val="103_02_H2O_Unbilled_Rev_GL_Dtl1"/>
      <sheetName val="Cynthia_Rev_Sch_Oct_as_of_11-31"/>
      <sheetName val="Pivot_Unbilled_PTEs1"/>
      <sheetName val="103_03_H2O_Unbilled_PTEs_GL_Dt1"/>
      <sheetName val="VlookUp_Matrix2"/>
      <sheetName val="Drop_Down_Data2"/>
      <sheetName val="Sheet1_(2)2"/>
      <sheetName val="Super_Region1"/>
      <sheetName val="YTD_Actual1"/>
      <sheetName val="Comp__Transaction1"/>
      <sheetName val="97_Mnthly_Splits_Caps1"/>
      <sheetName val="Fee_Schedule1"/>
      <sheetName val="Summary_Acq1"/>
      <sheetName val="Summary_Tgt1"/>
      <sheetName val="1st_Qtr1"/>
      <sheetName val="FCST_FY20_Q3_GEO1"/>
      <sheetName val="Drop_downs1"/>
      <sheetName val="trade_reveibale_aging_(2)1"/>
      <sheetName val="License_fee_-_Pg_11_(2)1"/>
      <sheetName val="Balance_sheet_-_pg_4-51"/>
      <sheetName val="PPE_-_Pg_61"/>
      <sheetName val="Opco_wise_P&amp;M_-_Pg_71"/>
      <sheetName val="P&amp;_M_Aging_-_Pg_71"/>
      <sheetName val="P&amp;M_-_Owned__leased_-_Pg_71"/>
      <sheetName val="PPE_useful_life_-_Pg_71"/>
      <sheetName val="PPE_-_GSM_business_-_Pg_81"/>
      <sheetName val="PPE_2_-_Pg_81"/>
      <sheetName val="Capex_add_-_Pg_91"/>
      <sheetName val="Capex_add_(2)_-_Pg_91"/>
      <sheetName val="Intangible_assets_-_Pg_10,111"/>
      <sheetName val="License_fee_-_Pg_101"/>
      <sheetName val="Bandwidth_-_Pg_111"/>
      <sheetName val="Goodwill_-_Pg_121"/>
      <sheetName val="Other_non_current_asset_-_Pg_11"/>
      <sheetName val="Trade_receivable_-_Pg_141"/>
      <sheetName val="Receivable_-_Ageing_-_Pg_141"/>
      <sheetName val="trade_reveibale_aging1"/>
      <sheetName val="Inventory_-_Pg_151"/>
      <sheetName val="OCA_-_Pg_151"/>
      <sheetName val="Trade_payables_-_Pg_16,171"/>
      <sheetName val="TP_&amp;_other_fin_liab1"/>
      <sheetName val="Deferred_rev_-_Pg_171"/>
      <sheetName val="Current_fin_assets_-_Pg_181"/>
      <sheetName val="OCL_-_Pg_191"/>
      <sheetName val="Eq_supply_payable_-_Pg_191"/>
      <sheetName val="Other_non_CL_-_Pg_201"/>
      <sheetName val="Other_equity_-_Pg_21,431"/>
      <sheetName val="NCI_-_Pg_221"/>
      <sheetName val="Intangibles_-_Movement1"/>
      <sheetName val="Borrowings_summary_-_Pg_251"/>
      <sheetName val="Borrowings_bridge_-_Pg_251"/>
      <sheetName val="_NWC_graphs_-_Pg_30,31,321"/>
      <sheetName val="Quarterly_working_capital_RT1"/>
      <sheetName val="Trade_payable_Working1"/>
      <sheetName val="Contingent_liability_-_pg_341"/>
      <sheetName val="Legal_cases_-_Pg_35_1"/>
      <sheetName val="Bank_guarantee_-_Pg_351"/>
      <sheetName val="Cash_flow_statement_-_Pg_37,381"/>
      <sheetName val="Payment_under_protest_-_Pg_411"/>
      <sheetName val="Minority_interest_-_Pg_421"/>
      <sheetName val="Closing_Forex_rates_-_Pg_441"/>
      <sheetName val="Tower_sold_-_Pg_451"/>
      <sheetName val="Net_working_capital_trends_-_R1"/>
      <sheetName val="Balance_sheet__-_Regrouped1"/>
      <sheetName val="Entity_shareholding1"/>
      <sheetName val="Liabilities_-_RT_(Old)1"/>
      <sheetName val="Balance_sheet__-_Reported1"/>
      <sheetName val="YTD_Totals1"/>
      <sheetName val="OWG_CF1"/>
      <sheetName val="Internal"/>
      <sheetName val="Charts 1"/>
      <sheetName val="6800"/>
      <sheetName val="Drop Down Codes"/>
      <sheetName val="Validation_System_Generated"/>
      <sheetName val="Power &amp; Fuel(new)"/>
      <sheetName val="SUBS"/>
      <sheetName val="Sales"/>
      <sheetName val="MLA Exhibit"/>
      <sheetName val="QRE"/>
      <sheetName val="COA"/>
      <sheetName val="Drop-Downs"/>
      <sheetName val="Map"/>
      <sheetName val="Parent Child"/>
      <sheetName val="List Inputs"/>
      <sheetName val="Common Size Statements"/>
      <sheetName val="Quarterly_Rollup"/>
      <sheetName val="Closed"/>
      <sheetName val="File Mgmt"/>
      <sheetName val="Grand Ridge Splits"/>
      <sheetName val="2020 Budget Details"/>
      <sheetName val="2016 Budget"/>
      <sheetName val="2016 Actual"/>
      <sheetName val="Pivot"/>
      <sheetName val="Grand Ridge I- OpEx"/>
      <sheetName val="Grand Ridge EXP - OpEx"/>
      <sheetName val="Grand Ridge IV - OpEx"/>
      <sheetName val="0. Budget Summary &amp; Inputs"/>
      <sheetName val="1. Budget Summary"/>
      <sheetName val="Tracking Accounts_2018"/>
      <sheetName val="3.2 Bud v ProF (Rev, Opex, PTC)"/>
      <sheetName val="3.3 Bud v ProF (OpEx)"/>
      <sheetName val="2. Bud v Bud"/>
      <sheetName val="B vs PF Distributions"/>
      <sheetName val="CAPEX"/>
      <sheetName val="4. Bud v ProF Distbs."/>
      <sheetName val="5. Bud vs CDPQ"/>
      <sheetName val="Project 4- OpEx"/>
      <sheetName val="Project 5- OpEx"/>
      <sheetName val="Budget Upload Template - GL"/>
      <sheetName val="Budget Upload Template - PRJTS"/>
      <sheetName val="GL COST CENTER ALLOCATION"/>
      <sheetName val="Old GL &gt; New GL"/>
      <sheetName val="Transaction Controls"/>
      <sheetName val="Chart of Accounts (COA)"/>
      <sheetName val="GL_Task_PurCat_ExpType"/>
      <sheetName val="Proforma"/>
      <sheetName val="Lease Flows"/>
      <sheetName val="Deal CF"/>
      <sheetName val="Annual CF"/>
      <sheetName val="StatusOptions"/>
      <sheetName val="Bonus"/>
      <sheetName val="Break-Up"/>
      <sheetName val="Eros BS"/>
      <sheetName val="Assump"/>
      <sheetName val="YG_BandwidthData"/>
      <sheetName val="MD&amp;A Links"/>
      <sheetName val="C_Calc"/>
      <sheetName val="Comps"/>
      <sheetName val="Comp"/>
      <sheetName val="Tender"/>
      <sheetName val="Eros_BS"/>
      <sheetName val="MD&amp;A_Links"/>
      <sheetName val="Drop down "/>
      <sheetName val="Eros_BS1"/>
      <sheetName val="MD&amp;A_Links1"/>
      <sheetName val="Drop_down_"/>
      <sheetName val="Site Readiness History"/>
      <sheetName val="Eros_BS2"/>
      <sheetName val="MD&amp;A_Links2"/>
      <sheetName val="Drop_down_1"/>
      <sheetName val="Base Info"/>
      <sheetName val="PopCache"/>
      <sheetName val="Glaxo-old"/>
      <sheetName val="ACQ"/>
      <sheetName val="Combined"/>
      <sheetName val="FPS"/>
      <sheetName val="Amortization Schedules"/>
      <sheetName val="2002 Map"/>
      <sheetName val="GSTMap02"/>
      <sheetName val="drop down"/>
      <sheetName val="Summary - DBT"/>
      <sheetName val="P&amp;L Data Pull and validation"/>
      <sheetName val="SLS Assumptions"/>
      <sheetName val="DATA 91-98"/>
      <sheetName val="Lakshmi GF"/>
      <sheetName val="CITICORP"/>
      <sheetName val="HDFC"/>
      <sheetName val="KOTAK"/>
      <sheetName val="cash budget"/>
      <sheetName val="france"/>
      <sheetName val="italy"/>
      <sheetName val="uk"/>
      <sheetName val="netherlands"/>
      <sheetName val="Reg for Existing Assets"/>
      <sheetName val="A"/>
      <sheetName val="pcQueryData"/>
      <sheetName val="_pcSlicerSheet1"/>
      <sheetName val="CR"/>
      <sheetName val="FINAL"/>
      <sheetName val="ANX"/>
      <sheetName val="EXP"/>
      <sheetName val="QOS RPPM"/>
      <sheetName val="Credit Calc"/>
      <sheetName val="BCP X - Positions"/>
      <sheetName val="Sales 2003"/>
      <sheetName val="Fillform"/>
      <sheetName val="Organic Growth Engine"/>
      <sheetName val="graph info"/>
      <sheetName val="GRAPHS"/>
      <sheetName val="1997 APF Weekly Sales Graph"/>
      <sheetName val="Data Sheet (Actual)"/>
      <sheetName val="Weekly Sales (Act)"/>
      <sheetName val="Para"/>
      <sheetName val="Old Median Price"/>
      <sheetName val="Old Volume"/>
      <sheetName val="Condo Price"/>
      <sheetName val="Old NSA Volume"/>
      <sheetName val="Annual Model"/>
      <sheetName val="Qtr YoY Waterfall"/>
      <sheetName val="CA Data"/>
      <sheetName val="COE Waterfall New Target"/>
      <sheetName val="OPEX F'cast"/>
      <sheetName val="Reference"/>
      <sheetName val="SI Info"/>
      <sheetName val="CA_Data"/>
      <sheetName val="Support"/>
      <sheetName val="Pulldowns - do not modify"/>
      <sheetName val="Drop Down List"/>
      <sheetName val="BVDM Options"/>
      <sheetName val="BB_Share_10YP"/>
      <sheetName val="Pick Tables"/>
      <sheetName val="Tracks"/>
      <sheetName val="Summary YoY"/>
      <sheetName val="Instructions"/>
      <sheetName val="Stat Code"/>
      <sheetName val="In Plan Summary Drop Source"/>
      <sheetName val="BucketList"/>
      <sheetName val="M"/>
      <sheetName val="Engine"/>
      <sheetName val="Tables"/>
      <sheetName val="SAC Detail"/>
      <sheetName val="Description"/>
      <sheetName val="Year 1"/>
      <sheetName val="Sources_Uses"/>
      <sheetName val="IS YOY"/>
      <sheetName val="Forecast change"/>
      <sheetName val="Details"/>
      <sheetName val="Fees"/>
      <sheetName val="USS99"/>
      <sheetName val="Fixes to Do"/>
      <sheetName val="BW Consolidated LOL"/>
      <sheetName val="Summary Results by Keycode"/>
      <sheetName val="AH Coupon Redemptions"/>
      <sheetName val="CLI Latest Coupon Keycodes"/>
      <sheetName val="Graph data"/>
      <sheetName val="Report"/>
      <sheetName val="Monthly Totals"/>
      <sheetName val="Raw Data"/>
      <sheetName val="AW"/>
      <sheetName val="RSG"/>
      <sheetName val="DS_Industry_Specif"/>
      <sheetName val="Cost Centers"/>
      <sheetName val="HSC vs Waha"/>
      <sheetName val="Project Cost"/>
      <sheetName val="Index"/>
      <sheetName val="BRAD"/>
      <sheetName val="A1. Monthly Flash"/>
      <sheetName val="A2. Statements of Operations"/>
      <sheetName val="A3. Revenue"/>
      <sheetName val="A4. New Revenue"/>
      <sheetName val="A5. Dept Expense"/>
      <sheetName val="B1. Walk Month vs Prior Year"/>
      <sheetName val="B2. Walk YTD vs Budget"/>
      <sheetName val="B3. Walk YTD vs Prior Year"/>
      <sheetName val="B1. Walk Month vs Budget"/>
      <sheetName val="D1. NWC &amp; Liquidity"/>
      <sheetName val="D2. Balance Sheet"/>
      <sheetName val="D3. Cash Flow"/>
      <sheetName val="D4. Covenant Detail"/>
      <sheetName val="B1. Month vs Forecast"/>
      <sheetName val="B3. Month vs Prior Year"/>
      <sheetName val="B4. YTD vs Forecast"/>
      <sheetName val="C. Margins--&gt;"/>
      <sheetName val="I. Cash Flow"/>
      <sheetName val="J. Covenant Calc"/>
      <sheetName val="J1. Covenant Definitions"/>
      <sheetName val="K. P&amp;L Forecasts--&gt;"/>
      <sheetName val="K1. 3+9 Forecast"/>
      <sheetName val="K2. 6+6 Forecast"/>
      <sheetName val="N. 13 Week Cash Forecast"/>
      <sheetName val="O.Flash Reconciliation"/>
      <sheetName val="K3. 8+4 Forecast"/>
      <sheetName val="E1. KPIs"/>
      <sheetName val="E2. Headcount"/>
      <sheetName val="Input Schedules"/>
      <sheetName val="Legend"/>
      <sheetName val="QB GL Input"/>
      <sheetName val="QB PL"/>
      <sheetName val="Empl Plan"/>
      <sheetName val="Empl 2018"/>
      <sheetName val="Bonus Plan"/>
      <sheetName val="ION Exp Build"/>
      <sheetName val="New Sales Build"/>
      <sheetName val="3rd Party Marketing"/>
      <sheetName val="ION Compare"/>
      <sheetName val="Empl 2017"/>
      <sheetName val="ION PL"/>
      <sheetName val="Debt"/>
      <sheetName val="Expense Detail"/>
      <sheetName val="QoE 17"/>
      <sheetName val="BRAD Hist Info"/>
      <sheetName val="BRAD Budget"/>
      <sheetName val="Addback Detail"/>
      <sheetName val="Intangibles"/>
      <sheetName val="Bonus Exp"/>
      <sheetName val="Comm Exp"/>
      <sheetName val="Model"/>
      <sheetName val="Current Calc"/>
      <sheetName val="Capacity Price Figures"/>
      <sheetName val="Blythe (2)"/>
      <sheetName val="Tabelle1"/>
      <sheetName val="OPERATING EXPS."/>
      <sheetName val="Sheet15"/>
      <sheetName val="Op_Assumptions3"/>
      <sheetName val="Op_Assumptions4"/>
      <sheetName val="Op_Assumptions5"/>
      <sheetName val="Op_Assumptions7"/>
      <sheetName val="Op_Assumptions6"/>
      <sheetName val="MR10"/>
      <sheetName val="MR21"/>
      <sheetName val="WACC(T)"/>
      <sheetName val="Sep'19-Paid&amp;for verification "/>
      <sheetName val="Dashboard Tables (HIDE)"/>
      <sheetName val="Historical IS"/>
      <sheetName val="Holidays"/>
      <sheetName val="Transinputs"/>
      <sheetName val="Equity Comps"/>
      <sheetName val="Pro Forma"/>
      <sheetName val="20040630"/>
      <sheetName val="Contents"/>
      <sheetName val="Forecast_change"/>
      <sheetName val="Forecast_change1"/>
      <sheetName val="Regression_Analysis4"/>
      <sheetName val="Qtr_Allocation4"/>
      <sheetName val="Close_deck_detail4"/>
      <sheetName val="MCI_One3"/>
      <sheetName val="a_bâtons_rompus3"/>
      <sheetName val="Data_Validation3"/>
      <sheetName val="Forecast_change2"/>
      <sheetName val="RODI Costs"/>
      <sheetName val="COGS"/>
      <sheetName val="National Accounts Structure"/>
      <sheetName val="SSW Plant Finls"/>
      <sheetName val="SSW Qtrly IS"/>
      <sheetName val="MICAP"/>
      <sheetName val="Process Tools-Owned"/>
      <sheetName val="Chart"/>
      <sheetName val="MERGER"/>
      <sheetName val="100% Rollover"/>
      <sheetName val="Princ-Interest"/>
      <sheetName val="Dept"/>
      <sheetName val="Modelback"/>
      <sheetName val="Step 1 - TJX Order List"/>
      <sheetName val="Step 2 - Item Master"/>
      <sheetName val="Step 3 - SO Data"/>
      <sheetName val="Cust. Price"/>
      <sheetName val="Step 4 - Order Check"/>
      <sheetName val="Step 4 - Order Check (2)"/>
      <sheetName val="JUNE PROMO PRICE"/>
      <sheetName val="KISSAN"/>
      <sheetName val="MASTER"/>
      <sheetName val="Additions"/>
      <sheetName val="Accrued Expenses"/>
      <sheetName val="Assum"/>
      <sheetName val="inventories"/>
      <sheetName val="산근"/>
      <sheetName val="BUDGET"/>
      <sheetName val="10AA"/>
      <sheetName val="CG"/>
      <sheetName val="CFL"/>
      <sheetName val="IT"/>
      <sheetName val="Tax(N)"/>
      <sheetName val="DB"/>
      <sheetName val="AMT"/>
      <sheetName val="AMTC"/>
      <sheetName val="PARTB - TI - TTI"/>
      <sheetName val="Tax"/>
      <sheetName val="SI"/>
      <sheetName val="Help"/>
      <sheetName val="CYLA-BFLA"/>
      <sheetName val="CT"/>
      <sheetName val="BP"/>
      <sheetName val="80G"/>
      <sheetName val="80"/>
      <sheetName val="EI"/>
      <sheetName val="TR_FA"/>
      <sheetName val="FSI"/>
      <sheetName val="HOUSE_PROPERTY"/>
      <sheetName val="PART A - GENERAL(2)"/>
      <sheetName val="OS"/>
      <sheetName val="PART A - GENERAL"/>
      <sheetName val="PROFIT_LOSS"/>
      <sheetName val="TDS"/>
      <sheetName val="Unabsorbed Depriciation"/>
      <sheetName val="Schedule PTI"/>
      <sheetName val="DEP_DCG"/>
      <sheetName val="ESR"/>
      <sheetName val="FD"/>
      <sheetName val="PDTCAse"/>
      <sheetName val="GST"/>
      <sheetName val="Schedule ICDS"/>
      <sheetName val="80P"/>
      <sheetName val="QUANTITATIVE_DETAILS"/>
      <sheetName val="CS"/>
      <sheetName val="VI-A"/>
      <sheetName val="PART - A OI"/>
      <sheetName val="S1BOQ"/>
      <sheetName val="OtherKPI"/>
      <sheetName val="Portfolio Report Extract"/>
      <sheetName val="Sec Dep Rec to LP "/>
      <sheetName val="MR balance"/>
      <sheetName val="NBV February"/>
      <sheetName val="FEBRUARY 20"/>
      <sheetName val="EBITDA-Gap Fill"/>
      <sheetName val="Instructions - PLEASE READ"/>
      <sheetName val="Misc"/>
      <sheetName val="Input and Assumptions"/>
      <sheetName val="Tables_do not erase"/>
      <sheetName val="Geografia"/>
      <sheetName val="LOB"/>
      <sheetName val="Cost Center"/>
      <sheetName val="Cliente"/>
      <sheetName val="Canal"/>
      <sheetName val="Brand"/>
      <sheetName val="FX"/>
      <sheetName val="Mapping HFM"/>
      <sheetName val="Tipo de Cta."/>
      <sheetName val="Clave Outlook"/>
      <sheetName val="Title"/>
      <sheetName val="Clec Comp"/>
      <sheetName val="Financials"/>
      <sheetName val="Menu"/>
      <sheetName val="KPI Breakout"/>
      <sheetName val="Column Definitions"/>
      <sheetName val="Domain 2.0 Platforms"/>
      <sheetName val="Hidden"/>
      <sheetName val="Drop Down Lists"/>
      <sheetName val="Cash_Flow_-_Deere2"/>
      <sheetName val="1601_Detail_information3"/>
      <sheetName val="M&amp;A_Table3"/>
      <sheetName val="General 1st Qtr Spend"/>
      <sheetName val="Indian Steel"/>
      <sheetName val="Indian Metals"/>
      <sheetName val="Bauxite &amp; Alumina"/>
      <sheetName val="Asian Ferro Alloys"/>
      <sheetName val="IM Congress"/>
      <sheetName val="Latin American Steel"/>
      <sheetName val="evt08"/>
      <sheetName val="General 2nd Qtr Spend"/>
      <sheetName val="Far East Steel"/>
      <sheetName val="Chinese Iron Ore"/>
      <sheetName val="Asian Stainless Steel"/>
      <sheetName val="Steel Tube &amp; Pipe"/>
      <sheetName val="Zinc"/>
      <sheetName val="Russian Steel"/>
      <sheetName val="International Iron Ore"/>
      <sheetName val="FFC Expo"/>
      <sheetName val="Copper"/>
      <sheetName val="evt19"/>
      <sheetName val="General 3rd Qtr Spend"/>
      <sheetName val="Nickel-Stainless-Specials"/>
      <sheetName val="International Aluminium"/>
      <sheetName val="Galvanizing"/>
      <sheetName val="evt24"/>
      <sheetName val="General 4th Qtr Spend"/>
      <sheetName val="Central &amp; East European Steel"/>
      <sheetName val="Asian Tinplate"/>
      <sheetName val="Fluorspar"/>
      <sheetName val="IM Forum &amp; Dinner"/>
      <sheetName val="International Ferro Alloys"/>
      <sheetName val="Chinese Aluminium"/>
      <sheetName val="Chinese Copper"/>
      <sheetName val="Secondary Aluminium"/>
      <sheetName val="Middle East Steel"/>
      <sheetName val="Steel Success Strategies"/>
      <sheetName val="evt36"/>
      <sheetName val="evt37"/>
      <sheetName val="ago03"/>
      <sheetName val="ARDetails"/>
      <sheetName val="Common_Size_Statements"/>
      <sheetName val="I_Input"/>
      <sheetName val="Dropdown"/>
      <sheetName val="Query"/>
      <sheetName val="Finance Set Factors"/>
      <sheetName val="Local"/>
      <sheetName val="Payment"/>
      <sheetName val="mois"/>
      <sheetName val="SMB QR Mid Summary"/>
      <sheetName val="DATA 2003"/>
      <sheetName val="December Scorecard"/>
      <sheetName val="Cust Sol BB Total"/>
      <sheetName val="Cust Sol BNQ Total"/>
      <sheetName val="WS BB"/>
      <sheetName val="WS BNQ"/>
      <sheetName val="BB Settlements"/>
      <sheetName val="BNQ Settlements"/>
      <sheetName val="Eliminations"/>
      <sheetName val="Cablevision"/>
      <sheetName val="KMTS"/>
      <sheetName val="SMB"/>
      <sheetName val="Cust Sol BB Res"/>
      <sheetName val="Cust Sol BB Bus"/>
      <sheetName val="Cust Sol BNQ Res"/>
      <sheetName val="Cust Sol BNQ Bus"/>
      <sheetName val="FOTV ARPC"/>
      <sheetName val="BATV ARPC"/>
      <sheetName val="DCF"/>
      <sheetName val="HC Tables"/>
      <sheetName val="FY20 Q2 Hi Level Summary"/>
      <sheetName val="Walk"/>
      <sheetName val="FY20Q2F to FY20Plan walk"/>
      <sheetName val="DMT--&gt;"/>
      <sheetName val="DMT Severance"/>
      <sheetName val="DMT Summary"/>
      <sheetName val="DMT US Perm Savings"/>
      <sheetName val="DMT Contractor Savings "/>
      <sheetName val="offshore hiring details"/>
      <sheetName val="HC data--&gt;"/>
      <sheetName val="HC Summary"/>
      <sheetName val="HC with dollars"/>
      <sheetName val="No Backfill $ calc"/>
      <sheetName val="HC with $'s"/>
      <sheetName val="Center funded"/>
      <sheetName val="Recast-by tower"/>
      <sheetName val="Bottoms-up by tower"/>
      <sheetName val="PLAN-by tower"/>
      <sheetName val="Appendix--&gt;"/>
      <sheetName val="Avg comp by Tower"/>
      <sheetName val="Scenario analysis"/>
      <sheetName val="Bubble costs bridge"/>
      <sheetName val="New Walk"/>
      <sheetName val="Old Walk w Comments"/>
      <sheetName val="Calendar"/>
      <sheetName val="Headcount"/>
      <sheetName val="Annual Views - Nexus"/>
      <sheetName val="FS line Summary"/>
      <sheetName val="0012SSA"/>
      <sheetName val="Exh A-3"/>
      <sheetName val="Exh A-1"/>
      <sheetName val="Exh A-5"/>
      <sheetName val="Dec07"/>
      <sheetName val="Exh A-4"/>
      <sheetName val="Exh A-2"/>
      <sheetName val="RD"/>
      <sheetName val="Exh A-8"/>
      <sheetName val="Exh A-6"/>
      <sheetName val="For 2-1"/>
      <sheetName val="Revenue Subs"/>
      <sheetName val="SALE"/>
      <sheetName val="Bonsai"/>
      <sheetName val="Year_1"/>
      <sheetName val="SAP MİZAN"/>
      <sheetName val="Bar None  UK STMT"/>
      <sheetName val="cking"/>
      <sheetName val="1505"/>
      <sheetName val="TNT's movies original"/>
      <sheetName val="Signups"/>
      <sheetName val="AlliantData"/>
      <sheetName val="PH Films"/>
      <sheetName val="Forecast"/>
      <sheetName val="Italy sum"/>
      <sheetName val="REP03CNN"/>
      <sheetName val="Returns"/>
      <sheetName val="General Allocation Rules"/>
      <sheetName val="Uplink Caracas"/>
      <sheetName val="Summary Presentation ONLY"/>
      <sheetName val="Rent &amp; Utilities"/>
      <sheetName val="Co#71"/>
      <sheetName val="CA_Data2"/>
      <sheetName val="COE_Waterfall_New_Target1"/>
      <sheetName val="OPEX_F'cast1"/>
      <sheetName val="SI_Info1"/>
      <sheetName val="Pulldowns_-_do_not_modify1"/>
      <sheetName val="Summary_YoY1"/>
      <sheetName val="Drop_Down_List1"/>
      <sheetName val="BVDM_Options1"/>
      <sheetName val="Pick_Tables1"/>
      <sheetName val="Stat_Code1"/>
      <sheetName val="In_Plan_Summary_Drop_Source1"/>
      <sheetName val="SAC_Detail1"/>
      <sheetName val="CA_Data1"/>
      <sheetName val="COE_Waterfall_New_Target"/>
      <sheetName val="OPEX_F'cast"/>
      <sheetName val="SI_Info"/>
      <sheetName val="Pulldowns_-_do_not_modify"/>
      <sheetName val="Summary_YoY"/>
      <sheetName val="Drop_Down_List"/>
      <sheetName val="BVDM_Options"/>
      <sheetName val="Pick_Tables"/>
      <sheetName val="Stat_Code"/>
      <sheetName val="In_Plan_Summary_Drop_Source"/>
      <sheetName val="SAC_Detail"/>
      <sheetName val="RAD Charts"/>
      <sheetName val="4-Panel Growth data by seg"/>
      <sheetName val="Total Group"/>
      <sheetName val="DR-1"/>
      <sheetName val="DR-2"/>
      <sheetName val="DR-3"/>
      <sheetName val="DR-4"/>
      <sheetName val="DR-5"/>
      <sheetName val="DR-6"/>
      <sheetName val="DR-7"/>
      <sheetName val="DR-8"/>
      <sheetName val="DR-9"/>
      <sheetName val="DR-10"/>
      <sheetName val="DR-11"/>
      <sheetName val="Actual HC"/>
      <sheetName val="Actual Exp"/>
      <sheetName val="Actual Capital"/>
      <sheetName val="Actual Overlay"/>
      <sheetName val="XC"/>
      <sheetName val="RCs"/>
      <sheetName val="Datafill"/>
      <sheetName val="Emp-SS-Cap Datafill"/>
      <sheetName val="Rates"/>
      <sheetName val="EG_ACTIVITIES_1 (3)"/>
      <sheetName val="From Nadeem BBV Budget Only"/>
      <sheetName val="2020 Budget VP Combine"/>
      <sheetName val="Contract Services 1"/>
      <sheetName val="Forecast Consumer Product Cons"/>
      <sheetName val="Contract Services (2)"/>
      <sheetName val="DR-1 Choy Incr"/>
      <sheetName val="DR-2 Choy Cheung"/>
      <sheetName val="DR-3 Rys"/>
      <sheetName val="DR-3 Rys Fcst"/>
      <sheetName val="DR-4 Dillard"/>
      <sheetName val="DR-5 Fenton"/>
      <sheetName val="Consumer Product Fcst Assumptio"/>
      <sheetName val="PR77848-V2 "/>
      <sheetName val="PR159334 Arris 2020"/>
      <sheetName val="DR-2 Fx Bid Chart"/>
      <sheetName val="PR164452 2020 ECO Prof Points"/>
      <sheetName val="Detailed Results"/>
      <sheetName val="Results Contrc Svcs by Vendor"/>
      <sheetName val="HC"/>
      <sheetName val="From Nadeem"/>
      <sheetName val="Total Dillard"/>
      <sheetName val="IPBB ELUs"/>
      <sheetName val="VDSL ELUs"/>
      <sheetName val="IPDSL ELUs"/>
      <sheetName val="FTTP ELUs"/>
      <sheetName val="2019-2020 VDSL Build"/>
      <sheetName val="2019-2020 IPDSL Build"/>
      <sheetName val="2019-2020 FTTP Build"/>
      <sheetName val="IPBB"/>
      <sheetName val="VDSL"/>
      <sheetName val="IPDSL"/>
      <sheetName val="FTTP"/>
      <sheetName val="VDSL Productivity Frcst"/>
      <sheetName val="IPDSL Productivity Frcst"/>
      <sheetName val="FTTP Productivity Frcst"/>
      <sheetName val="VDSL tied to National Frcst"/>
      <sheetName val="IPDSL tied to National Frcst"/>
      <sheetName val="FTTP tied to National Frcst"/>
      <sheetName val="DTV"/>
      <sheetName val="OOF Osprey"/>
      <sheetName val="DTV &amp; OOF Osprey"/>
      <sheetName val="DTV &amp; OOF Osprey Prod Frcst"/>
      <sheetName val="DTV &amp; OOF Osprey to Ntl Frcst"/>
      <sheetName val="DTV tied to National Frcst"/>
      <sheetName val="OOF Osprey to National Frcst"/>
      <sheetName val="IPTV"/>
      <sheetName val="IF Osprey"/>
      <sheetName val="IPTV &amp; IF Osprey"/>
      <sheetName val="IPTV&amp; Osprey Productivity Frcst"/>
      <sheetName val="IPTV &amp; Osprey to National Frcst"/>
      <sheetName val="IPTV tied to National Frcst"/>
      <sheetName val="IF Osprey to National Frcst"/>
      <sheetName val="DMA Name &amp; Code"/>
      <sheetName val="DMA mapping to Regions"/>
      <sheetName val="ErrorCheck"/>
      <sheetName val="Calcs"/>
      <sheetName val="2017"/>
      <sheetName val="2018"/>
      <sheetName val="Official Budget"/>
      <sheetName val="Capital MPID Forecast"/>
      <sheetName val="Fcst vs Karim"/>
      <sheetName val="2019"/>
      <sheetName val="2020"/>
      <sheetName val="NSS ATTUID"/>
      <sheetName val="RC"/>
      <sheetName val="AccountType"/>
      <sheetName val="CFAS"/>
      <sheetName val="MPID"/>
      <sheetName val="Vendor"/>
      <sheetName val="XOM"/>
      <sheetName val="T2 - Current"/>
      <sheetName val="fa"/>
      <sheetName val="BS JUL"/>
      <sheetName val="GoSeven"/>
      <sheetName val="HTwo"/>
      <sheetName val="Calc"/>
      <sheetName val="GrThree"/>
      <sheetName val="JOne"/>
      <sheetName val="JTwo"/>
      <sheetName val="HOne"/>
      <sheetName val="GoEight"/>
      <sheetName val="GrFour"/>
      <sheetName val="MOne"/>
      <sheetName val="MTwo"/>
      <sheetName val="KOne"/>
      <sheetName val="Year_11"/>
      <sheetName val="SAP_MİZAN"/>
      <sheetName val="Bar_None__UK_STMT"/>
      <sheetName val="TNT's_movies_original"/>
      <sheetName val="Retrieve-HP"/>
      <sheetName val="EXHIBIT"/>
      <sheetName val="COATED PUBLICATION"/>
      <sheetName val="F"/>
      <sheetName val="QTLY"/>
      <sheetName val="Free &amp; blended rate hours"/>
      <sheetName val="Results from Nov 98"/>
      <sheetName val="Results_from_Nov_98"/>
      <sheetName val="Actuals by Division"/>
      <sheetName val="Trend"/>
      <sheetName val="Payroll Cost"/>
      <sheetName val="MACROassm"/>
      <sheetName val="Market Price Proj. - Annual"/>
      <sheetName val="Natural Gas Proj. - Monthly"/>
      <sheetName val="QUARTER"/>
      <sheetName val="Total"/>
      <sheetName val="TBILL"/>
      <sheetName val="F1"/>
      <sheetName val="2018 TB"/>
      <sheetName val="ADVOL"/>
      <sheetName val="P-4 Deferred Taxes"/>
      <sheetName val="GAAP"/>
      <sheetName val="External Reporting "/>
      <sheetName val="External Segment Revenue"/>
      <sheetName val="GAAP EBITDA"/>
      <sheetName val="Unadjusted EBITDA"/>
      <sheetName val="Non-GAAP"/>
      <sheetName val="Addbacks"/>
      <sheetName val="Revenue"/>
      <sheetName val="Foreign Entity View"/>
      <sheetName val="Non-GAAP Budget Comp"/>
      <sheetName val="KPI IS Hierarchy"/>
      <sheetName val="Licensing Cost"/>
      <sheetName val="KPI Revenue"/>
      <sheetName val="KPI top 10 Format"/>
      <sheetName val="KPI IS Hierarchy Non-GAAP "/>
      <sheetName val="KPI IS Hierarchy Indirect Cost"/>
      <sheetName val="KPI IS Hierarchy Search"/>
      <sheetName val="Data V1"/>
      <sheetName val="Parent_Child"/>
      <sheetName val="List_Inputs"/>
      <sheetName val="Control Sheet"/>
      <sheetName val="Validation sheets"/>
      <sheetName val="2000"/>
      <sheetName val="CAPEX08"/>
      <sheetName val="Time Period Control"/>
      <sheetName val="ICI"/>
      <sheetName val="Eros_BS3"/>
      <sheetName val="MD&amp;A_Links3"/>
      <sheetName val="Drop_down_2"/>
      <sheetName val="Site_Readiness_History"/>
      <sheetName val="Eros_BS4"/>
      <sheetName val="MD&amp;A_Links4"/>
      <sheetName val="Drop_down_3"/>
      <sheetName val="Site_Readiness_History1"/>
      <sheetName val="Eros_BS5"/>
      <sheetName val="MD&amp;A_Links5"/>
      <sheetName val="Drop_down_4"/>
      <sheetName val="Site_Readiness_History2"/>
      <sheetName val="97_Mnthly_Splits_Caps2"/>
      <sheetName val="00000"/>
      <sheetName val="current mo Disconnects"/>
      <sheetName val="Domestic Rollout"/>
      <sheetName val="cash from IRUs"/>
      <sheetName val="current mo Cash "/>
      <sheetName val="Assumptions Nat Asia"/>
      <sheetName val="Ind Sales Assumptions Europe"/>
      <sheetName val="Assumptions Nat Dom"/>
      <sheetName val="Ind Sales Assumptions"/>
      <sheetName val="current mo Installs"/>
      <sheetName val="Cashflow - Full Yr-Gross Capex"/>
      <sheetName val="Assumptions Nat Europe"/>
      <sheetName val="OpEx Budget"/>
      <sheetName val="current mo FSR"/>
      <sheetName val="Mapping Table"/>
      <sheetName val="current mo Sales"/>
      <sheetName val="Forecast Detail"/>
      <sheetName val="12.31.2020 YTD TB"/>
      <sheetName val="Regression_Analysis5"/>
      <sheetName val="Qtr_Allocation5"/>
      <sheetName val="Close_deck_detail5"/>
      <sheetName val="MCI_One4"/>
      <sheetName val="a_bâtons_rompus4"/>
      <sheetName val="Data_Validation4"/>
      <sheetName val="Forecast_change3"/>
      <sheetName val="Base_Info"/>
      <sheetName val="Charts_1"/>
      <sheetName val="Regression_Analysis6"/>
      <sheetName val="Qtr_Allocation6"/>
      <sheetName val="Close_deck_detail6"/>
      <sheetName val="MCI_One5"/>
      <sheetName val="a_bâtons_rompus5"/>
      <sheetName val="Data_Validation5"/>
      <sheetName val="Forecast_change4"/>
      <sheetName val="Pivot_Unbilled_Rev2"/>
      <sheetName val="Variance_Details2"/>
      <sheetName val="Invoices_thru_Sep2"/>
      <sheetName val="Invoices_through_October2"/>
      <sheetName val="103_02_H2O_Unbilled_Rev_GL_Dtl2"/>
      <sheetName val="Cynthia_Rev_Sch_Oct_as_of_11-32"/>
      <sheetName val="Pivot_Unbilled_PTEs2"/>
      <sheetName val="103_03_H2O_Unbilled_PTEs_GL_Dt2"/>
      <sheetName val="Drop_downs2"/>
      <sheetName val="Fee_Schedule2"/>
      <sheetName val="Summary_Acq2"/>
      <sheetName val="Summary_Tgt2"/>
      <sheetName val="Super_Region2"/>
      <sheetName val="YTD_Actual2"/>
      <sheetName val="Comp__Transaction2"/>
      <sheetName val="1st_Qtr2"/>
      <sheetName val="Logo_封筒1"/>
      <sheetName val="Depot-Logo_CH1"/>
      <sheetName val="Master_Data1"/>
      <sheetName val="Segment_Details1"/>
      <sheetName val="Base_Info1"/>
      <sheetName val="Dropdown_List1"/>
      <sheetName val="Charts_11"/>
      <sheetName val="Mobile"/>
      <sheetName val="Process"/>
      <sheetName val="Themes"/>
      <sheetName val="SponsorID"/>
      <sheetName val="Spon Rprtg Cat"/>
      <sheetName val="FunctionID"/>
      <sheetName val="Func Rprtg Cat"/>
      <sheetName val="FBC"/>
      <sheetName val="Sponsors"/>
      <sheetName val="CA "/>
      <sheetName val="Reasons"/>
      <sheetName val="Validation"/>
      <sheetName val="Validation - cohort"/>
      <sheetName val=" Control Panel"/>
      <sheetName val="Allocation Worksheet"/>
      <sheetName val="Category"/>
      <sheetName val="_Control_Panel"/>
      <sheetName val="Allocation_Worksheet"/>
      <sheetName val="Dashboard"/>
      <sheetName val="Perf Sum Mnthly_Qtrly"/>
      <sheetName val="Perf Summ Annual Paste Sheet"/>
      <sheetName val="On Water"/>
      <sheetName val="19DWS"/>
      <sheetName val="2020Actual"/>
      <sheetName val="2020 Daily Traffic and Trxns"/>
      <sheetName val="18 DP HIST"/>
      <sheetName val="SALES &amp; UNITS"/>
      <sheetName val="1b.IPOs"/>
      <sheetName val="Respond"/>
      <sheetName val="P&amp;L-Group"/>
      <sheetName val="Summary - Drivers"/>
      <sheetName val="MOR"/>
      <sheetName val="LANGUAGE"/>
      <sheetName val="Margins"/>
      <sheetName val="Lijst_risico"/>
      <sheetName val="Other Inc"/>
      <sheetName val="F&amp;B"/>
      <sheetName val="Admin"/>
      <sheetName val="Room Rev"/>
      <sheetName val="Income Statement Summary"/>
      <sheetName val="BS Summary"/>
      <sheetName val="Cash Flow Summary"/>
      <sheetName val="1 - 2018-2019 Rev"/>
      <sheetName val="2 - 2018-2019 Rev Fcst Detail"/>
      <sheetName val="3 - Cash Flow (New Format)"/>
      <sheetName val="4 - 2018-2019 Gen &amp; Admin"/>
      <sheetName val="3 - 2018-2019 Cash Flow"/>
      <sheetName val="5 - 2018-2019 Bal Sheet"/>
      <sheetName val="6 - 2018-2019 Inc Stmt"/>
      <sheetName val="7 - Purchasing"/>
      <sheetName val="BS,_PL,_Sch_5_to_93"/>
      <sheetName val="trade_reveibale_aging_(2)2"/>
      <sheetName val="License_fee_-_Pg_11_(2)2"/>
      <sheetName val="Balance_sheet_-_pg_4-52"/>
      <sheetName val="PPE_-_Pg_62"/>
      <sheetName val="Opco_wise_P&amp;M_-_Pg_72"/>
      <sheetName val="P&amp;_M_Aging_-_Pg_72"/>
      <sheetName val="P&amp;M_-_Owned__leased_-_Pg_72"/>
      <sheetName val="PPE_useful_life_-_Pg_72"/>
      <sheetName val="PPE_-_GSM_business_-_Pg_82"/>
      <sheetName val="PPE_2_-_Pg_82"/>
      <sheetName val="Capex_add_-_Pg_92"/>
      <sheetName val="Capex_add_(2)_-_Pg_92"/>
      <sheetName val="Intangible_assets_-_Pg_10,112"/>
      <sheetName val="License_fee_-_Pg_102"/>
      <sheetName val="Bandwidth_-_Pg_112"/>
      <sheetName val="Goodwill_-_Pg_122"/>
      <sheetName val="Other_non_current_asset_-_Pg_12"/>
      <sheetName val="Trade_receivable_-_Pg_142"/>
      <sheetName val="Receivable_-_Ageing_-_Pg_142"/>
      <sheetName val="trade_reveibale_aging2"/>
      <sheetName val="Inventory_-_Pg_152"/>
      <sheetName val="OCA_-_Pg_152"/>
      <sheetName val="Trade_payables_-_Pg_16,172"/>
      <sheetName val="TP_&amp;_other_fin_liab2"/>
      <sheetName val="Deferred_rev_-_Pg_172"/>
      <sheetName val="Current_fin_assets_-_Pg_182"/>
      <sheetName val="OCL_-_Pg_192"/>
      <sheetName val="Eq_supply_payable_-_Pg_192"/>
      <sheetName val="Other_non_CL_-_Pg_202"/>
      <sheetName val="Other_equity_-_Pg_21,432"/>
      <sheetName val="NCI_-_Pg_222"/>
      <sheetName val="Intangibles_-_Movement2"/>
      <sheetName val="Borrowings_summary_-_Pg_252"/>
      <sheetName val="Borrowings_bridge_-_Pg_252"/>
      <sheetName val="_NWC_graphs_-_Pg_30,31,322"/>
      <sheetName val="Quarterly_working_capital_RT2"/>
      <sheetName val="Trade_payable_Working2"/>
      <sheetName val="Contingent_liability_-_pg_342"/>
      <sheetName val="Legal_cases_-_Pg_35_2"/>
      <sheetName val="Bank_guarantee_-_Pg_352"/>
      <sheetName val="Cash_flow_statement_-_Pg_37,382"/>
      <sheetName val="Payment_under_protest_-_Pg_412"/>
      <sheetName val="Minority_interest_-_Pg_422"/>
      <sheetName val="Closing_Forex_rates_-_Pg_442"/>
      <sheetName val="Tower_sold_-_Pg_452"/>
      <sheetName val="Net_working_capital_trends_-_R2"/>
      <sheetName val="Balance_sheet__-_Regrouped2"/>
      <sheetName val="Entity_shareholding2"/>
      <sheetName val="Liabilities_-_RT_(Old)2"/>
      <sheetName val="Balance_sheet__-_Reported2"/>
      <sheetName val="Amortization_Schedules"/>
      <sheetName val="MLA_Exhibit"/>
      <sheetName val="SALT_Allocation_Percentage"/>
      <sheetName val="Data_Validation_&amp;_Misc"/>
      <sheetName val="Drop_Down_Codes"/>
      <sheetName val="QOS_RPPM"/>
      <sheetName val="drop_down"/>
      <sheetName val="Power_&amp;_Fuel(new)"/>
      <sheetName val="Summary_-_DBT"/>
      <sheetName val="P&amp;L_Data_Pull_and_validation"/>
      <sheetName val="Other_Inc"/>
      <sheetName val="Room_Rev"/>
      <sheetName val="File_Mgmt"/>
      <sheetName val="Grand_Ridge_Splits"/>
      <sheetName val="2020_Budget_Details"/>
      <sheetName val="2016_Budget"/>
      <sheetName val="2016_Actual"/>
      <sheetName val="Grand_Ridge_I-_OpEx"/>
      <sheetName val="Grand_Ridge_EXP_-_OpEx"/>
      <sheetName val="Grand_Ridge_IV_-_OpEx"/>
      <sheetName val="0__Budget_Summary_&amp;_Inputs"/>
      <sheetName val="1__Budget_Summary"/>
      <sheetName val="Tracking_Accounts_2018"/>
      <sheetName val="3_2_Bud_v_ProF_(Rev,_Opex,_PTC)"/>
      <sheetName val="3_3_Bud_v_ProF_(OpEx)"/>
      <sheetName val="2__Bud_v_Bud"/>
      <sheetName val="B_vs_PF_Distributions"/>
      <sheetName val="4__Bud_v_ProF_Distbs_"/>
      <sheetName val="5__Bud_vs_CDPQ"/>
      <sheetName val="Project_4-_OpEx"/>
      <sheetName val="Project_5-_OpEx"/>
      <sheetName val="Budget_Upload_Template_-_GL"/>
      <sheetName val="Budget_Upload_Template_-_PRJTS"/>
      <sheetName val="GL_COST_CENTER_ALLOCATION"/>
      <sheetName val="Old_GL_&gt;_New_GL"/>
      <sheetName val="Transaction_Controls"/>
      <sheetName val="Chart_of_Accounts_(COA)"/>
      <sheetName val="graph_info"/>
      <sheetName val="A1__Monthly_Flash"/>
      <sheetName val="A2__Statements_of_Operations"/>
      <sheetName val="A3__Revenue"/>
      <sheetName val="A4__New_Revenue"/>
      <sheetName val="A5__Dept_Expense"/>
      <sheetName val="B1__Walk_Month_vs_Prior_Year"/>
      <sheetName val="B2__Walk_YTD_vs_Budget"/>
      <sheetName val="B3__Walk_YTD_vs_Prior_Year"/>
      <sheetName val="B1__Walk_Month_vs_Budget"/>
      <sheetName val="D1__NWC_&amp;_Liquidity"/>
      <sheetName val="D2__Balance_Sheet"/>
      <sheetName val="D3__Cash_Flow"/>
      <sheetName val="D4__Covenant_Detail"/>
      <sheetName val="B1__Month_vs_Forecast"/>
      <sheetName val="B3__Month_vs_Prior_Year"/>
      <sheetName val="B4__YTD_vs_Forecast"/>
      <sheetName val="C__Margins--&gt;"/>
      <sheetName val="I__Cash_Flow"/>
      <sheetName val="J__Covenant_Calc"/>
      <sheetName val="J1__Covenant_Definitions"/>
      <sheetName val="K__P&amp;L_Forecasts--&gt;"/>
      <sheetName val="K1__3+9_Forecast"/>
      <sheetName val="K2__6+6_Forecast"/>
      <sheetName val="N__13_Week_Cash_Forecast"/>
      <sheetName val="O_Flash_Reconciliation"/>
      <sheetName val="K3__8+4_Forecast"/>
      <sheetName val="E1__KPIs"/>
      <sheetName val="E2__Headcount"/>
      <sheetName val="Input_Schedules"/>
      <sheetName val="QB_GL_Input"/>
      <sheetName val="QB_PL"/>
      <sheetName val="Empl_Plan"/>
      <sheetName val="Empl_2018"/>
      <sheetName val="Bonus_Plan"/>
      <sheetName val="ION_Exp_Build"/>
      <sheetName val="New_Sales_Build"/>
      <sheetName val="3rd_Party_Marketing"/>
      <sheetName val="ION_Compare"/>
      <sheetName val="Empl_2017"/>
      <sheetName val="ION_PL"/>
      <sheetName val="Expense_Detail"/>
      <sheetName val="QoE_17"/>
      <sheetName val="BRAD_Hist_Info"/>
      <sheetName val="BRAD_Budget"/>
      <sheetName val="Addback_Detail"/>
      <sheetName val="Bonus_Exp"/>
      <sheetName val="Comm_Exp"/>
      <sheetName val="1997_APF_Weekly_Sales_Graph"/>
      <sheetName val="Data_Sheet_(Actual)"/>
      <sheetName val="Weekly_Sales_(Act)"/>
      <sheetName val="Organic_Growth_Engine"/>
      <sheetName val="Cost_Centers"/>
      <sheetName val="DATA_91-98"/>
      <sheetName val="Lakshmi_GF"/>
      <sheetName val="cash_budget"/>
      <sheetName val="Reg_for_Existing_Assets"/>
      <sheetName val="sdrs_mar"/>
      <sheetName val="Legal_Entity_Lookup"/>
      <sheetName val="Credit_Calc"/>
      <sheetName val="2002_Map"/>
      <sheetName val="BCP_X_-_Positions"/>
      <sheetName val="100%_Rollover"/>
      <sheetName val="MidAtlantic"/>
      <sheetName val="Carrying Cost"/>
      <sheetName val="Factors"/>
      <sheetName val="Gross Up Summary"/>
      <sheetName val="Slide 2 - Total"/>
      <sheetName val="Company1_BSCF"/>
      <sheetName val="TB  Rupees  $"/>
      <sheetName val="AA_Lookup"/>
      <sheetName val="AE_Lookup"/>
      <sheetName val="YTRA"/>
      <sheetName val="Customize Your Purchase Order"/>
      <sheetName val="Cash Flow Working"/>
      <sheetName val="FINANCIAL"/>
      <sheetName val="Lease_Flows"/>
      <sheetName val="Deal_CF"/>
      <sheetName val="Annual_CF"/>
      <sheetName val="ICFORMAT"/>
      <sheetName val="Deferred's"/>
      <sheetName val="Interactive"/>
      <sheetName val="B.S."/>
      <sheetName val="Products"/>
      <sheetName val="I.S."/>
      <sheetName val="Summary (2)"/>
      <sheetName val="OHS"/>
      <sheetName val="Interisland"/>
      <sheetName val="UBC"/>
      <sheetName val="Hyp Net Sales"/>
      <sheetName val="Occ"/>
      <sheetName val="Demand"/>
      <sheetName val="Edge 10797 Drilling Inventory"/>
      <sheetName val="Year_12"/>
      <sheetName val="Bar_None__UK_STMT1"/>
      <sheetName val="SAP_MİZAN1"/>
      <sheetName val="TNT's_movies_original1"/>
      <sheetName val="Italy_sum"/>
      <sheetName val="PH_Films"/>
      <sheetName val="General_Allocation_Rules"/>
      <sheetName val="Uplink_Caracas"/>
      <sheetName val="Summary_Presentation_ONLY"/>
      <sheetName val="Rent_&amp;_Utilities"/>
      <sheetName val="CA_Data3"/>
      <sheetName val="COE_Waterfall_New_Target2"/>
      <sheetName val="OPEX_F'cast2"/>
      <sheetName val="SI_Info2"/>
      <sheetName val="Pulldowns_-_do_not_modify2"/>
      <sheetName val="Drop_Down_List2"/>
      <sheetName val="BVDM_Options2"/>
      <sheetName val="Pick_Tables2"/>
      <sheetName val="Summary_YoY2"/>
      <sheetName val="Stat_Code2"/>
      <sheetName val="In_Plan_Summary_Drop_Source2"/>
      <sheetName val="SAC_Detail2"/>
      <sheetName val="KPI_Breakout"/>
      <sheetName val="Column_Definitions"/>
      <sheetName val="Domain_2_0_Platforms"/>
      <sheetName val="Drop_Down_Lists"/>
      <sheetName val="RAD_Charts"/>
      <sheetName val="4-Panel_Growth_data_by_seg"/>
      <sheetName val="Total_Group"/>
      <sheetName val="Actual_HC"/>
      <sheetName val="Actual_Exp"/>
      <sheetName val="Actual_Capital"/>
      <sheetName val="Actual_Overlay"/>
      <sheetName val="Emp-SS-Cap_Datafill"/>
      <sheetName val="EG_ACTIVITIES_1_(3)"/>
      <sheetName val="From_Nadeem_BBV_Budget_Only"/>
      <sheetName val="2020_Budget_VP_Combine"/>
      <sheetName val="Contract_Services_1"/>
      <sheetName val="Forecast_Consumer_Product_Cons"/>
      <sheetName val="Contract_Services_(2)"/>
      <sheetName val="DR-1_Choy_Incr"/>
      <sheetName val="DR-2_Choy_Cheung"/>
      <sheetName val="DR-3_Rys"/>
      <sheetName val="DR-3_Rys_Fcst"/>
      <sheetName val="DR-4_Dillard"/>
      <sheetName val="DR-5_Fenton"/>
      <sheetName val="Consumer_Product_Fcst_Assumptio"/>
      <sheetName val="PR77848-V2_"/>
      <sheetName val="PR159334_Arris_2020"/>
      <sheetName val="DR-2_Fx_Bid_Chart"/>
      <sheetName val="PR164452_2020_ECO_Prof_Points"/>
      <sheetName val="Detailed_Results"/>
      <sheetName val="Results_Contrc_Svcs_by_Vendor"/>
      <sheetName val="From_Nadeem"/>
      <sheetName val="Total_Dillard"/>
      <sheetName val="IPBB_ELUs"/>
      <sheetName val="VDSL_ELUs"/>
      <sheetName val="IPDSL_ELUs"/>
      <sheetName val="FTTP_ELUs"/>
      <sheetName val="2019-2020_VDSL_Build"/>
      <sheetName val="2019-2020_IPDSL_Build"/>
      <sheetName val="2019-2020_FTTP_Build"/>
      <sheetName val="VDSL_Productivity_Frcst"/>
      <sheetName val="IPDSL_Productivity_Frcst"/>
      <sheetName val="FTTP_Productivity_Frcst"/>
      <sheetName val="VDSL_tied_to_National_Frcst"/>
      <sheetName val="IPDSL_tied_to_National_Frcst"/>
      <sheetName val="FTTP_tied_to_National_Frcst"/>
      <sheetName val="OOF_Osprey"/>
      <sheetName val="DTV_&amp;_OOF_Osprey"/>
      <sheetName val="DTV_&amp;_OOF_Osprey_Prod_Frcst"/>
      <sheetName val="DTV_&amp;_OOF_Osprey_to_Ntl_Frcst"/>
      <sheetName val="DTV_tied_to_National_Frcst"/>
      <sheetName val="OOF_Osprey_to_National_Frcst"/>
      <sheetName val="IF_Osprey"/>
      <sheetName val="IPTV_&amp;_IF_Osprey"/>
      <sheetName val="IPTV&amp;_Osprey_Productivity_Frcst"/>
      <sheetName val="IPTV_&amp;_Osprey_to_National_Frcst"/>
      <sheetName val="IPTV_tied_to_National_Frcst"/>
      <sheetName val="IF_Osprey_to_National_Frcst"/>
      <sheetName val="DMA_Name_&amp;_Code"/>
      <sheetName val="DMA_mapping_to_Regions"/>
      <sheetName val="Official_Budget"/>
      <sheetName val="Capital_MPID_Forecast"/>
      <sheetName val="Fcst_vs_Karim"/>
      <sheetName val="NSS_ATTUID"/>
      <sheetName val="Process_Tools-Owned"/>
      <sheetName val="Gross_Up_Summary"/>
      <sheetName val="Fixes_to_Do"/>
      <sheetName val="BW_Consolidated_LOL"/>
      <sheetName val="Summary_Results_by_Keycode"/>
      <sheetName val="AH_Coupon_Redemptions"/>
      <sheetName val="CLI_Latest_Coupon_Keycodes"/>
      <sheetName val="Slide_2_-_Total"/>
      <sheetName val="Year_13"/>
      <sheetName val="Bar_None__UK_STMT2"/>
      <sheetName val="SAP_MİZAN2"/>
      <sheetName val="TNT's_movies_original2"/>
      <sheetName val="Italy_sum1"/>
      <sheetName val="PH_Films1"/>
      <sheetName val="General_Allocation_Rules1"/>
      <sheetName val="Uplink_Caracas1"/>
      <sheetName val="Summary_Presentation_ONLY1"/>
      <sheetName val="Rent_&amp;_Utilities1"/>
      <sheetName val="CA_Data4"/>
      <sheetName val="COE_Waterfall_New_Target3"/>
      <sheetName val="OPEX_F'cast3"/>
      <sheetName val="SI_Info3"/>
      <sheetName val="Pulldowns_-_do_not_modify3"/>
      <sheetName val="Drop_Down_List3"/>
      <sheetName val="BVDM_Options3"/>
      <sheetName val="Pick_Tables3"/>
      <sheetName val="Drop_Downs3"/>
      <sheetName val="Summary_YoY3"/>
      <sheetName val="Stat_Code3"/>
      <sheetName val="In_Plan_Summary_Drop_Source3"/>
      <sheetName val="SAC_Detail3"/>
      <sheetName val="Drop_Down_Data3"/>
      <sheetName val="KPI_Breakout1"/>
      <sheetName val="Column_Definitions1"/>
      <sheetName val="Domain_2_0_Platforms1"/>
      <sheetName val="Drop_Down_Lists1"/>
      <sheetName val="RAD_Charts1"/>
      <sheetName val="4-Panel_Growth_data_by_seg1"/>
      <sheetName val="Total_Group1"/>
      <sheetName val="Actual_HC1"/>
      <sheetName val="Actual_Exp1"/>
      <sheetName val="Actual_Capital1"/>
      <sheetName val="Actual_Overlay1"/>
      <sheetName val="Emp-SS-Cap_Datafill1"/>
      <sheetName val="EG_ACTIVITIES_1_(3)1"/>
      <sheetName val="From_Nadeem_BBV_Budget_Only1"/>
      <sheetName val="2020_Budget_VP_Combine1"/>
      <sheetName val="Contract_Services_11"/>
      <sheetName val="Forecast_Consumer_Product_Cons1"/>
      <sheetName val="Contract_Services_(2)1"/>
      <sheetName val="DR-1_Choy_Incr1"/>
      <sheetName val="DR-2_Choy_Cheung1"/>
      <sheetName val="DR-3_Rys1"/>
      <sheetName val="DR-3_Rys_Fcst1"/>
      <sheetName val="DR-4_Dillard1"/>
      <sheetName val="DR-5_Fenton1"/>
      <sheetName val="Consumer_Product_Fcst_Assumpti1"/>
      <sheetName val="PR77848-V2_1"/>
      <sheetName val="PR159334_Arris_20201"/>
      <sheetName val="DR-2_Fx_Bid_Chart1"/>
      <sheetName val="PR164452_2020_ECO_Prof_Points1"/>
      <sheetName val="Detailed_Results1"/>
      <sheetName val="Results_Contrc_Svcs_by_Vendor1"/>
      <sheetName val="From_Nadeem1"/>
      <sheetName val="Total_Dillard1"/>
      <sheetName val="IPBB_ELUs1"/>
      <sheetName val="VDSL_ELUs1"/>
      <sheetName val="IPDSL_ELUs1"/>
      <sheetName val="FTTP_ELUs1"/>
      <sheetName val="2019-2020_VDSL_Build1"/>
      <sheetName val="2019-2020_IPDSL_Build1"/>
      <sheetName val="2019-2020_FTTP_Build1"/>
      <sheetName val="VDSL_Productivity_Frcst1"/>
      <sheetName val="IPDSL_Productivity_Frcst1"/>
      <sheetName val="FTTP_Productivity_Frcst1"/>
      <sheetName val="VDSL_tied_to_National_Frcst1"/>
      <sheetName val="IPDSL_tied_to_National_Frcst1"/>
      <sheetName val="FTTP_tied_to_National_Frcst1"/>
      <sheetName val="OOF_Osprey1"/>
      <sheetName val="DTV_&amp;_OOF_Osprey1"/>
      <sheetName val="DTV_&amp;_OOF_Osprey_Prod_Frcst1"/>
      <sheetName val="DTV_&amp;_OOF_Osprey_to_Ntl_Frcst1"/>
      <sheetName val="DTV_tied_to_National_Frcst1"/>
      <sheetName val="OOF_Osprey_to_National_Frcst1"/>
      <sheetName val="IF_Osprey1"/>
      <sheetName val="IPTV_&amp;_IF_Osprey1"/>
      <sheetName val="IPTV&amp;_Osprey_Productivity_Frcs1"/>
      <sheetName val="IPTV_&amp;_Osprey_to_National_Frcs1"/>
      <sheetName val="IPTV_tied_to_National_Frcst1"/>
      <sheetName val="IF_Osprey_to_National_Frcst1"/>
      <sheetName val="DMA_Name_&amp;_Code1"/>
      <sheetName val="DMA_mapping_to_Regions1"/>
      <sheetName val="Official_Budget1"/>
      <sheetName val="Capital_MPID_Forecast1"/>
      <sheetName val="Fcst_vs_Karim1"/>
      <sheetName val="NSS_ATTUID1"/>
      <sheetName val="SALT_Allocation_Percentage1"/>
      <sheetName val="Data_Validation_&amp;_Misc1"/>
      <sheetName val="Credit_Calc1"/>
      <sheetName val="Parent_Child1"/>
      <sheetName val="List_Inputs1"/>
      <sheetName val="Drop_Down_Codes1"/>
      <sheetName val="Sales_Assessment_Tracker1"/>
      <sheetName val="FUND_ROLLUP_INPUT1"/>
      <sheetName val="MLA_Exhibit1"/>
      <sheetName val="Common_Size_Statements1"/>
      <sheetName val="File_Mgmt1"/>
      <sheetName val="Grand_Ridge_Splits1"/>
      <sheetName val="2020_Budget_Details1"/>
      <sheetName val="2016_Budget1"/>
      <sheetName val="2016_Actual1"/>
      <sheetName val="Grand_Ridge_I-_OpEx1"/>
      <sheetName val="Grand_Ridge_EXP_-_OpEx1"/>
      <sheetName val="Grand_Ridge_IV_-_OpEx1"/>
      <sheetName val="0__Budget_Summary_&amp;_Inputs1"/>
      <sheetName val="1__Budget_Summary1"/>
      <sheetName val="Tracking_Accounts_20181"/>
      <sheetName val="3_2_Bud_v_ProF_(Rev,_Opex,_PTC1"/>
      <sheetName val="3_3_Bud_v_ProF_(OpEx)1"/>
      <sheetName val="2__Bud_v_Bud1"/>
      <sheetName val="B_vs_PF_Distributions1"/>
      <sheetName val="4__Bud_v_ProF_Distbs_1"/>
      <sheetName val="5__Bud_vs_CDPQ1"/>
      <sheetName val="Project_4-_OpEx1"/>
      <sheetName val="Project_5-_OpEx1"/>
      <sheetName val="Budget_Upload_Template_-_GL1"/>
      <sheetName val="Budget_Upload_Template_-_PRJTS1"/>
      <sheetName val="GL_COST_CENTER_ALLOCATION1"/>
      <sheetName val="Old_GL_&gt;_New_GL1"/>
      <sheetName val="Transaction_Controls1"/>
      <sheetName val="Chart_of_Accounts_(COA)1"/>
      <sheetName val="Legal_Entity_Lookup1"/>
      <sheetName val="Lease_Flows1"/>
      <sheetName val="Deal_CF1"/>
      <sheetName val="Annual_CF1"/>
      <sheetName val="BCP_X_-_Positions1"/>
      <sheetName val="Items_below_EBITDA,_DRC,_Niger1"/>
      <sheetName val="Items_below_EBITDA1"/>
      <sheetName val="Exceptional_Items1"/>
      <sheetName val="Balance_sheet1"/>
      <sheetName val="Tangible_asset_schedule1"/>
      <sheetName val="Intangible_asset_schedule1"/>
      <sheetName val="License_fee_-_Pg_10__(2)1"/>
      <sheetName val="Goodwil_pg_121"/>
      <sheetName val="Other_non_current_asset_Pg_131"/>
      <sheetName val="Remote_liability1"/>
      <sheetName val="FCFL_as_per_Management1"/>
      <sheetName val="7_74_Eaton_loan1"/>
      <sheetName val="Power_&amp;_Fuel(new)1"/>
      <sheetName val="drop_down1"/>
      <sheetName val="Summary_-_DBT1"/>
      <sheetName val="P&amp;L_Data_Pull_and_validation1"/>
      <sheetName val="Process_Tools-Owned1"/>
      <sheetName val="Gross_Up_Summary1"/>
      <sheetName val="Fixes_to_Do1"/>
      <sheetName val="BW_Consolidated_LOL1"/>
      <sheetName val="Summary_Results_by_Keycode1"/>
      <sheetName val="AH_Coupon_Redemptions1"/>
      <sheetName val="CLI_Latest_Coupon_Keycodes1"/>
      <sheetName val="Slide_2_-_Total1"/>
      <sheetName val="Summary BS Level Disco Ops"/>
      <sheetName val="3.31.19 BS Disco Ops"/>
      <sheetName val="GW- Valuation "/>
      <sheetName val="CC Q1 2019 JE"/>
      <sheetName val="GM Q1FY19"/>
      <sheetName val="FG Inventory Roll 3.31.19"/>
      <sheetName val="INV Provision Analysis 3.31.19"/>
      <sheetName val="ESPP 12.15.18 and 3.31.19"/>
      <sheetName val="Pharma Copr AP AGING 3.31.19"/>
      <sheetName val="ZLLC AP AGING 3.31.19"/>
      <sheetName val="2100 - Accrue Exp"/>
      <sheetName val="MAR 2019 Royalty"/>
      <sheetName val="Sales Return Accrual 3.31.19"/>
      <sheetName val="Medicaid 3.31.19"/>
      <sheetName val="Interim Tax Provision 3.31.19"/>
      <sheetName val="House List"/>
      <sheetName val="KEY"/>
      <sheetName val="Scratch Paper"/>
      <sheetName val="Eyechart"/>
      <sheetName val="Jun05 Escheatment"/>
      <sheetName val="MarkComp"/>
      <sheetName val="2016"/>
      <sheetName val="Master INPUTS"/>
      <sheetName val="Inputs-Flash"/>
      <sheetName val="Data Valid"/>
      <sheetName val="HIOS 93 thru 96"/>
      <sheetName val="Nordic HUB Weekly Database"/>
      <sheetName val="SE Weekly Database"/>
      <sheetName val="LV Weekly Database"/>
      <sheetName val="NO Weekly Database"/>
      <sheetName val="1601_Detail_information4"/>
      <sheetName val="M&amp;A_Table4"/>
      <sheetName val="Historical_Financial_Statement3"/>
      <sheetName val="VBA_Forecast_&amp;_DCF3"/>
      <sheetName val="Ratio_Analysis3"/>
      <sheetName val="Developer_rev_993"/>
      <sheetName val="_Ad_Sales__exp3"/>
      <sheetName val="Bus_Dev3"/>
      <sheetName val="corp__exp3"/>
      <sheetName val="sales_vol_3"/>
      <sheetName val="General_1st_Qtr_Spend"/>
      <sheetName val="Indian_Steel"/>
      <sheetName val="Indian_Metals"/>
      <sheetName val="Bauxite_&amp;_Alumina"/>
      <sheetName val="Asian_Ferro_Alloys"/>
      <sheetName val="IM_Congress"/>
      <sheetName val="Latin_American_Steel"/>
      <sheetName val="General_2nd_Qtr_Spend"/>
      <sheetName val="Far_East_Steel"/>
      <sheetName val="Chinese_Iron_Ore"/>
      <sheetName val="Asian_Stainless_Steel"/>
      <sheetName val="Steel_Tube_&amp;_Pipe"/>
      <sheetName val="Russian_Steel"/>
      <sheetName val="International_Iron_Ore"/>
      <sheetName val="FFC_Expo"/>
      <sheetName val="General_3rd_Qtr_Spend"/>
      <sheetName val="International_Aluminium"/>
      <sheetName val="General_4th_Qtr_Spend"/>
      <sheetName val="Central_&amp;_East_European_Steel"/>
      <sheetName val="Asian_Tinplate"/>
      <sheetName val="IM_Forum_&amp;_Dinner"/>
      <sheetName val="International_Ferro_Alloys"/>
      <sheetName val="Chinese_Aluminium"/>
      <sheetName val="Chinese_Copper"/>
      <sheetName val="Secondary_Aluminium"/>
      <sheetName val="Middle_East_Steel"/>
      <sheetName val="Steel_Success_Strategies"/>
      <sheetName val="29 &amp; 30 Fusion PPE"/>
      <sheetName val="AMT table"/>
      <sheetName val="MACRS Table"/>
      <sheetName val="DEF TAX ACCTS 1997"/>
      <sheetName val="DEF TAX ACCTS 1996"/>
      <sheetName val="SC984"/>
      <sheetName val="MORE"/>
      <sheetName val="Summary 18-20"/>
      <sheetName val="02202020 ACV"/>
      <sheetName val="02202020 Revenue"/>
      <sheetName val="ACV&amp;REV PRIORITY OFFERINGs"/>
      <sheetName val="DIGITAL offerings"/>
      <sheetName val="Land + Expand"/>
      <sheetName val="Data Sources"/>
      <sheetName val="Geo, BU call"/>
      <sheetName val="Revenue Finance"/>
      <sheetName val="mappings"/>
      <sheetName val="Revenue SaaS Dashboard"/>
      <sheetName val="ACV Finance"/>
      <sheetName val="CQ IBM SaaS"/>
      <sheetName val="NQ IBM SaaS"/>
      <sheetName val="CQ Exp vs New"/>
      <sheetName val="NQ Exp vs New"/>
      <sheetName val="ACV SaaS Dashboard"/>
      <sheetName val="PRIORITY OFFERINGS"/>
      <sheetName val="OT by Priority offerings"/>
      <sheetName val="L30"/>
      <sheetName val="CQ IBM SaaS COMPLETE"/>
      <sheetName val="NQ IBM SaaS COMPLETE"/>
      <sheetName val="CQ Exp vs New PROF"/>
      <sheetName val="CQ IBM SaaS PROF"/>
      <sheetName val="NQ Exp vs New PROF"/>
      <sheetName val="NQ IBM SaaS PROF"/>
      <sheetName val="DIGITAL"/>
      <sheetName val="GRAMS"/>
      <sheetName val="MAIND"/>
      <sheetName val="SimplifiedOutput"/>
      <sheetName val="FY 21 - Adjustment Detail"/>
      <sheetName val="Market Forecast"/>
      <sheetName val="Graph 1"/>
      <sheetName val="Exhibit 11"/>
      <sheetName val="1995 Cellular"/>
      <sheetName val="synthgraph DCF"/>
      <sheetName val="Overview"/>
      <sheetName val="oldSEG"/>
      <sheetName val="Quarters"/>
      <sheetName val="BSMONTH"/>
      <sheetName val="OPERATING_EXPS_"/>
      <sheetName val="IS_YOY"/>
      <sheetName val="Historical_IS"/>
      <sheetName val="Sales_2003"/>
      <sheetName val="Equity_Comps"/>
      <sheetName val="Pro_Forma"/>
      <sheetName val="Sep'19-Paid&amp;for_verification_"/>
      <sheetName val="Dashboard_Tables_(HIDE)"/>
      <sheetName val="RODI_Costs"/>
      <sheetName val="National_Accounts_Structure"/>
      <sheetName val="SSW_Plant_Finls"/>
      <sheetName val="SSW_Qtrly_IS"/>
      <sheetName val="HSC_vs_Waha"/>
      <sheetName val="Project_Cost"/>
      <sheetName val="Current_Calc"/>
      <sheetName val="Capacity_Price_Figures"/>
      <sheetName val="Blythe_(2)"/>
      <sheetName val="Raw_Data"/>
      <sheetName val="SumOfPart"/>
      <sheetName val="(D2) DCF"/>
      <sheetName val="Kontenüberleitung Stand 14.6.06"/>
      <sheetName val="Mth Smry (2)"/>
      <sheetName val="Mth Smry"/>
      <sheetName val="Mth Smry (3)"/>
      <sheetName val="Eee by dept"/>
      <sheetName val="Life"/>
      <sheetName val="Basic Info Support"/>
      <sheetName val="Maintenance"/>
      <sheetName val="NA"/>
      <sheetName val="clmyield-hpwl"/>
      <sheetName val="Qtr_YoY_Waterfall"/>
      <sheetName val="Qtr_YoY_Waterfall1"/>
      <sheetName val="Qtr_YoY_Waterfall2"/>
      <sheetName val="p2-1"/>
      <sheetName val="Data entry"/>
      <sheetName val="Chart1"/>
      <sheetName val="Chart2"/>
      <sheetName val="Repairs to Plant "/>
      <sheetName val="Pivot data"/>
      <sheetName val="Qtr_YoY_Waterfall3"/>
      <sheetName val="Data_entry"/>
      <sheetName val="Repairs_to_Plant_"/>
      <sheetName val="Pivot_data"/>
      <sheetName val="Trans Value - EBITDA"/>
      <sheetName val="Trans Value - Site"/>
      <sheetName val="Choose Site"/>
      <sheetName val="PRESENT"/>
      <sheetName val="Dashboard_COVID"/>
      <sheetName val="Lookup"/>
      <sheetName val="Notes"/>
      <sheetName val="Parent"/>
      <sheetName val="Oil #2"/>
      <sheetName val="Oil #4"/>
      <sheetName val="Btus"/>
      <sheetName val="Gas"/>
      <sheetName val="Portfolio_Report_Extract"/>
      <sheetName val="Sec_Dep_Rec_to_LP_"/>
      <sheetName val="MR_balance"/>
      <sheetName val="NBV_February"/>
      <sheetName val="FEBRUARY_20"/>
      <sheetName val="Segment_Details2"/>
      <sheetName val="YTD_Totals2"/>
      <sheetName val="OWG_CF2"/>
      <sheetName val="Cash_Flow_-_Deere3"/>
      <sheetName val="Amortization_Schedules1"/>
      <sheetName val="QOS_RPPM1"/>
      <sheetName val="graph_info1"/>
      <sheetName val="2002_Map1"/>
      <sheetName val="Sales_20031"/>
      <sheetName val="Organic_Growth_Engine1"/>
      <sheetName val="1997_APF_Weekly_Sales_Graph1"/>
      <sheetName val="Data_Sheet_(Actual)1"/>
      <sheetName val="Weekly_Sales_(Act)1"/>
      <sheetName val="Sep'19-Paid&amp;for_verification_1"/>
      <sheetName val="Dashboard_Tables_(HIDE)1"/>
      <sheetName val="Historical_IS1"/>
      <sheetName val="A1__Monthly_Flash1"/>
      <sheetName val="A2__Statements_of_Operations1"/>
      <sheetName val="A3__Revenue1"/>
      <sheetName val="A4__New_Revenue1"/>
      <sheetName val="A5__Dept_Expense1"/>
      <sheetName val="B1__Walk_Month_vs_Prior_Year1"/>
      <sheetName val="B2__Walk_YTD_vs_Budget1"/>
      <sheetName val="B3__Walk_YTD_vs_Prior_Year1"/>
      <sheetName val="B1__Walk_Month_vs_Budget1"/>
      <sheetName val="D1__NWC_&amp;_Liquidity1"/>
      <sheetName val="D2__Balance_Sheet1"/>
      <sheetName val="D3__Cash_Flow1"/>
      <sheetName val="D4__Covenant_Detail1"/>
      <sheetName val="B1__Month_vs_Forecast1"/>
      <sheetName val="B3__Month_vs_Prior_Year1"/>
      <sheetName val="B4__YTD_vs_Forecast1"/>
      <sheetName val="C__Margins--&gt;1"/>
      <sheetName val="I__Cash_Flow1"/>
      <sheetName val="J__Covenant_Calc1"/>
      <sheetName val="J1__Covenant_Definitions1"/>
      <sheetName val="K__P&amp;L_Forecasts--&gt;1"/>
      <sheetName val="K1__3+9_Forecast1"/>
      <sheetName val="K2__6+6_Forecast1"/>
      <sheetName val="N__13_Week_Cash_Forecast1"/>
      <sheetName val="O_Flash_Reconciliation1"/>
      <sheetName val="K3__8+4_Forecast1"/>
      <sheetName val="E1__KPIs1"/>
      <sheetName val="E2__Headcount1"/>
      <sheetName val="Input_Schedules1"/>
      <sheetName val="QB_GL_Input1"/>
      <sheetName val="QB_PL1"/>
      <sheetName val="Empl_Plan1"/>
      <sheetName val="Empl_20181"/>
      <sheetName val="Bonus_Plan1"/>
      <sheetName val="ION_Exp_Build1"/>
      <sheetName val="New_Sales_Build1"/>
      <sheetName val="3rd_Party_Marketing1"/>
      <sheetName val="ION_Compare1"/>
      <sheetName val="Empl_20171"/>
      <sheetName val="ION_PL1"/>
      <sheetName val="Expense_Detail1"/>
      <sheetName val="QoE_171"/>
      <sheetName val="BRAD_Hist_Info1"/>
      <sheetName val="BRAD_Budget1"/>
      <sheetName val="Addback_Detail1"/>
      <sheetName val="Bonus_Exp1"/>
      <sheetName val="Comm_Exp1"/>
      <sheetName val="Portfolio_Report_Extract1"/>
      <sheetName val="Sec_Dep_Rec_to_LP_1"/>
      <sheetName val="MR_balance1"/>
      <sheetName val="NBV_February1"/>
      <sheetName val="FEBRUARY_201"/>
      <sheetName val="Continuous"/>
      <sheetName val="PARTB_-_TI_-_TTI"/>
      <sheetName val="PART_A_-_GENERAL(2)"/>
      <sheetName val="PART_A_-_GENERAL"/>
      <sheetName val="Unabsorbed_Depriciation"/>
      <sheetName val="Schedule_PTI"/>
      <sheetName val="Schedule_ICDS"/>
      <sheetName val="PART_-_A_OI"/>
      <sheetName val="DATA_91-981"/>
      <sheetName val="Lakshmi_GF1"/>
      <sheetName val="cash_budget1"/>
      <sheetName val="Cost_Centers1"/>
      <sheetName val="PARTB_-_TI_-_TTI1"/>
      <sheetName val="PART_A_-_GENERAL(2)1"/>
      <sheetName val="PART_A_-_GENERAL1"/>
      <sheetName val="Unabsorbed_Depriciation1"/>
      <sheetName val="Schedule_PTI1"/>
      <sheetName val="Schedule_ICDS1"/>
      <sheetName val="PART_-_A_OI1"/>
      <sheetName val="Plan2"/>
      <sheetName val="Op_Assumptions8"/>
      <sheetName val="COATED_PUBLICATION"/>
      <sheetName val="TtmX"/>
      <sheetName val="BST"/>
      <sheetName val="2001 RR Initial Qtr Rel - REV"/>
      <sheetName val="2001 RR Initial Qtr Rel - UNITS"/>
      <sheetName val="Forecast status"/>
      <sheetName val="UCM Hierarchy"/>
      <sheetName val="Plan1"/>
      <sheetName val="Inputs-$150"/>
      <sheetName val="Printout2"/>
      <sheetName val="Crosswalk for Staffing Model"/>
      <sheetName val="Reporting Structure 2"/>
      <sheetName val="Org Chart 2"/>
      <sheetName val="Original"/>
      <sheetName val="Reporting Structure"/>
      <sheetName val="Nursing Org Chart"/>
      <sheetName val="Crosswalk"/>
      <sheetName val="Analysis"/>
      <sheetName val="Hoja1"/>
      <sheetName val="Consolida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refreshError="1"/>
      <sheetData sheetId="130" refreshError="1"/>
      <sheetData sheetId="131" refreshError="1"/>
      <sheetData sheetId="132"/>
      <sheetData sheetId="133"/>
      <sheetData sheetId="134"/>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refreshError="1"/>
      <sheetData sheetId="192" refreshError="1"/>
      <sheetData sheetId="193" refreshError="1"/>
      <sheetData sheetId="194" refreshError="1"/>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refreshError="1"/>
      <sheetData sheetId="368" refreshError="1"/>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sheetData sheetId="534"/>
      <sheetData sheetId="535" refreshError="1"/>
      <sheetData sheetId="536"/>
      <sheetData sheetId="537"/>
      <sheetData sheetId="538"/>
      <sheetData sheetId="539" refreshError="1"/>
      <sheetData sheetId="540"/>
      <sheetData sheetId="541"/>
      <sheetData sheetId="542"/>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sheetData sheetId="623"/>
      <sheetData sheetId="624"/>
      <sheetData sheetId="625"/>
      <sheetData sheetId="626"/>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refreshError="1"/>
      <sheetData sheetId="690" refreshError="1"/>
      <sheetData sheetId="691" refreshError="1"/>
      <sheetData sheetId="692" refreshError="1"/>
      <sheetData sheetId="693" refreshError="1"/>
      <sheetData sheetId="694" refreshError="1"/>
      <sheetData sheetId="695" refreshError="1"/>
      <sheetData sheetId="696"/>
      <sheetData sheetId="697"/>
      <sheetData sheetId="698"/>
      <sheetData sheetId="699"/>
      <sheetData sheetId="700"/>
      <sheetData sheetId="701" refreshError="1"/>
      <sheetData sheetId="702" refreshError="1"/>
      <sheetData sheetId="703" refreshError="1"/>
      <sheetData sheetId="704" refreshError="1"/>
      <sheetData sheetId="705"/>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sheetData sheetId="715"/>
      <sheetData sheetId="716"/>
      <sheetData sheetId="717"/>
      <sheetData sheetId="718"/>
      <sheetData sheetId="719"/>
      <sheetData sheetId="720"/>
      <sheetData sheetId="72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sheetData sheetId="736"/>
      <sheetData sheetId="737"/>
      <sheetData sheetId="738"/>
      <sheetData sheetId="739"/>
      <sheetData sheetId="740"/>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sheetData sheetId="821"/>
      <sheetData sheetId="822"/>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sheetData sheetId="1128"/>
      <sheetData sheetId="1129" refreshError="1"/>
      <sheetData sheetId="1130" refreshError="1"/>
      <sheetData sheetId="1131" refreshError="1"/>
      <sheetData sheetId="1132" refreshError="1"/>
      <sheetData sheetId="1133" refreshError="1"/>
      <sheetData sheetId="1134" refreshError="1"/>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sheetData sheetId="1222"/>
      <sheetData sheetId="1223" refreshError="1"/>
      <sheetData sheetId="1224" refreshError="1"/>
      <sheetData sheetId="1225" refreshError="1"/>
      <sheetData sheetId="1226" refreshError="1"/>
      <sheetData sheetId="1227"/>
      <sheetData sheetId="1228">
        <row r="1">
          <cell r="A1" t="str">
            <v>Store</v>
          </cell>
        </row>
      </sheetData>
      <sheetData sheetId="1229"/>
      <sheetData sheetId="1230"/>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sheetData sheetId="1240" refreshError="1"/>
      <sheetData sheetId="1241" refreshError="1"/>
      <sheetData sheetId="1242" refreshError="1"/>
      <sheetData sheetId="1243" refreshError="1"/>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refreshError="1"/>
      <sheetData sheetId="1401"/>
      <sheetData sheetId="1402"/>
      <sheetData sheetId="1403"/>
      <sheetData sheetId="1404"/>
      <sheetData sheetId="1405"/>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sheetData sheetId="1419"/>
      <sheetData sheetId="1420"/>
      <sheetData sheetId="142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refreshError="1"/>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sheetData sheetId="1827"/>
      <sheetData sheetId="1828"/>
      <sheetData sheetId="1829" refreshError="1"/>
      <sheetData sheetId="1830"/>
      <sheetData sheetId="1831" refreshError="1"/>
      <sheetData sheetId="1832" refreshError="1"/>
      <sheetData sheetId="1833"/>
      <sheetData sheetId="1834"/>
      <sheetData sheetId="1835"/>
      <sheetData sheetId="1836"/>
      <sheetData sheetId="1837"/>
      <sheetData sheetId="1838"/>
      <sheetData sheetId="1839" refreshError="1"/>
      <sheetData sheetId="1840" refreshError="1"/>
      <sheetData sheetId="1841" refreshError="1"/>
      <sheetData sheetId="1842"/>
      <sheetData sheetId="1843"/>
      <sheetData sheetId="1844"/>
      <sheetData sheetId="1845"/>
      <sheetData sheetId="1846" refreshError="1"/>
      <sheetData sheetId="1847" refreshError="1"/>
      <sheetData sheetId="1848" refreshError="1"/>
      <sheetData sheetId="1849" refreshError="1"/>
      <sheetData sheetId="1850" refreshError="1"/>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refreshError="1"/>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refreshError="1"/>
      <sheetData sheetId="1944"/>
      <sheetData sheetId="1945"/>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sheetData sheetId="1956"/>
      <sheetData sheetId="1957"/>
      <sheetData sheetId="1958"/>
      <sheetData sheetId="1959"/>
      <sheetData sheetId="1960"/>
      <sheetData sheetId="1961"/>
      <sheetData sheetId="1962" refreshError="1"/>
      <sheetData sheetId="1963" refreshError="1"/>
      <sheetData sheetId="196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ulaire"/>
      <sheetName val="Données"/>
      <sheetName val="Q2 YTD OG Sales Analysis"/>
      <sheetName val="Q2 OG Trade Receivables"/>
      <sheetName val="Listes"/>
      <sheetName val="Ref"/>
      <sheetName val="Forex Datas"/>
      <sheetName val="EX RATE"/>
      <sheetName val="Aseet1998"/>
      <sheetName val="OG Trade Receivables Values"/>
      <sheetName val="YTD OG Sales Analysis"/>
      <sheetName val="SWDA data &amp; gap"/>
      <sheetName val="RF"/>
      <sheetName val="Summary"/>
      <sheetName val="Trial Balance"/>
      <sheetName val="設備投資20万円以上"/>
      <sheetName val="(6) RiskDataNew"/>
      <sheetName val="RevisionRound1"/>
      <sheetName val="Comp"/>
      <sheetName val="M B-QtyRecn"/>
      <sheetName val="PointNo.5"/>
      <sheetName val="Summry"/>
      <sheetName val="synthgraph"/>
      <sheetName val="Q2_YTD_OG_Sales_Analysis"/>
      <sheetName val="Q2_OG_Trade_Receivables"/>
      <sheetName val="Forex_Datas"/>
      <sheetName val="EX_RATE"/>
      <sheetName val="OG_Trade_Receivables_Values"/>
      <sheetName val="YTD_OG_Sales_Analysis"/>
      <sheetName val="SWDA_data_&amp;_gap"/>
      <sheetName val="Trial_Balance"/>
      <sheetName val="(6)_RiskDataNew"/>
      <sheetName val="M_B-QtyRecn"/>
      <sheetName val="PointNo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_graphs"/>
      <sheetName val="Summary"/>
      <sheetName val="IRR_Calculation"/>
      <sheetName val="dropdown fields"/>
      <sheetName val="Q2 YTD OG Sales Analysis"/>
      <sheetName val="dropdown_fields"/>
      <sheetName val="Q2_YTD_OG_Sales_Analysis"/>
      <sheetName val="Rooms"/>
      <sheetName val="MSTR"/>
      <sheetName val="Bank List"/>
      <sheetName val="Trans Type"/>
      <sheetName val="list"/>
      <sheetName val="2015 YE Act"/>
      <sheetName val="Lookups"/>
      <sheetName val="Supporting Schedules"/>
      <sheetName val="Input Page"/>
      <sheetName val="Data Validations"/>
      <sheetName val="LOOKUP TABLES"/>
      <sheetName val="Debt"/>
      <sheetName val="AE Reference Sheet"/>
      <sheetName val="Underwriting Assumptions"/>
      <sheetName val="Occ Cost Analysis"/>
      <sheetName val="AE RR"/>
      <sheetName val="Sheet5"/>
      <sheetName val="Leasing Activity"/>
      <sheetName val="Summary Stats"/>
      <sheetName val="Summary Stats - Dec"/>
      <sheetName val="Deduction"/>
      <sheetName val="Occupied Area"/>
      <sheetName val="CF"/>
      <sheetName val="PGR"/>
      <sheetName val="Deduction - Dec"/>
      <sheetName val="Occupied Area - Dec"/>
      <sheetName val="CF - Dec"/>
      <sheetName val="PGR - Dec"/>
      <sheetName val="Rent Roll 1.17"/>
      <sheetName val="Total Tenant Revenue "/>
      <sheetName val="Property Sales and Occupancy Co"/>
      <sheetName val="Sch Base Rental Rev"/>
      <sheetName val="Retail Sales % Rev"/>
      <sheetName val="Exp Reimb"/>
      <sheetName val="Retail Sales"/>
      <sheetName val="Leases"/>
      <sheetName val="Sheet1"/>
      <sheetName val="Sales"/>
      <sheetName val="Sales Data"/>
      <sheetName val="Sales Data v2"/>
      <sheetName val="II-Consolidated RentRoll"/>
      <sheetName val="MATRIX"/>
      <sheetName val="Master Tape"/>
      <sheetName val="Choices"/>
      <sheetName val="Model Lookup Values"/>
      <sheetName val="HISTORICAL EXHIBIT"/>
      <sheetName val="BARL"/>
      <sheetName val="Data Validation"/>
      <sheetName val="VMC Payment Calculations"/>
      <sheetName val="Signage Company Loans (NYO)"/>
      <sheetName val="Universal Buildings, Inc."/>
      <sheetName val="Franconia Line of Credit Loan -"/>
      <sheetName val="Skyline"/>
      <sheetName val="Military Circle"/>
      <sheetName val="Courthouse Place Amortization"/>
      <sheetName val="535-545 5th Avenue Amortization"/>
      <sheetName val="Int Inc 585300-0001 9-30-14 GL"/>
      <sheetName val="Dividend 585500-0000 9-30-14 GL"/>
      <sheetName val="Other 585400-0000 9-30-14 GL"/>
      <sheetName val="Int Inc Bnk 585200-0001 9-30-14"/>
      <sheetName val="Drop Downs"/>
      <sheetName val="CF Input"/>
      <sheetName val="Fund Dropdown"/>
      <sheetName val="2QFINSUM"/>
      <sheetName val="Model - Input Page"/>
      <sheetName val="Inc &amp; Exp Assump (1)"/>
      <sheetName val="Rent Roll"/>
      <sheetName val="Currency"/>
      <sheetName val="2015_YE_Act"/>
      <sheetName val="Bank_List"/>
      <sheetName val="Trans_Type"/>
      <sheetName val="Data_Validation"/>
      <sheetName val="VMC_Payment_Calculations"/>
      <sheetName val="Signage_Company_Loans_(NYO)"/>
      <sheetName val="Universal_Buildings,_Inc_"/>
      <sheetName val="Franconia_Line_of_Credit_Loan_-"/>
      <sheetName val="Military_Circle"/>
      <sheetName val="Courthouse_Place_Amortization"/>
      <sheetName val="535-545_5th_Avenue_Amortization"/>
      <sheetName val="Int_Inc_585300-0001_9-30-14_GL"/>
      <sheetName val="Dividend_585500-0000_9-30-14_GL"/>
      <sheetName val="Other_585400-0000_9-30-14_GL"/>
      <sheetName val="Int_Inc_Bnk_585200-0001_9-30-14"/>
      <sheetName val="Hotel Info"/>
      <sheetName val="TX"/>
      <sheetName val="Reports--&gt;"/>
      <sheetName val="INPUT ONLY ON YELLOW TABS --&gt;"/>
      <sheetName val="LOOKUP_TABLES"/>
      <sheetName val="Fund_Dropdown"/>
      <sheetName val="Supporting_Schedules"/>
      <sheetName val="Input_Page"/>
      <sheetName val="Data_Validations"/>
      <sheetName val="Drop_Downs"/>
      <sheetName val="II-Consolidated_RentRoll"/>
      <sheetName val="Master_Tape"/>
      <sheetName val="AE_Reference_Sheet"/>
      <sheetName val="Underwriting_Assumptions"/>
      <sheetName val="Occ_Cost_Analysis"/>
      <sheetName val="AE_RR"/>
      <sheetName val="Leasing_Activity"/>
      <sheetName val="Summary_Stats"/>
      <sheetName val="Summary_Stats_-_Dec"/>
      <sheetName val="Occupied_Area"/>
      <sheetName val="Deduction_-_Dec"/>
      <sheetName val="Occupied_Area_-_Dec"/>
      <sheetName val="CF_-_Dec"/>
      <sheetName val="PGR_-_Dec"/>
      <sheetName val="Rent_Roll_1_17"/>
      <sheetName val="Total_Tenant_Revenue_"/>
      <sheetName val="Property_Sales_and_Occupancy_Co"/>
      <sheetName val="Sch_Base_Rental_Rev"/>
      <sheetName val="Retail_Sales_%_Rev"/>
      <sheetName val="Exp_Reimb"/>
      <sheetName val="Retail_Sales"/>
      <sheetName val="Sales_Data"/>
      <sheetName val="Sales_Data_v2"/>
      <sheetName val="HISTORICAL_EXHIBIT"/>
      <sheetName val="Model_Lookup_Values"/>
      <sheetName val="CF_Input"/>
      <sheetName val="DPW 18 &amp; 19"/>
      <sheetName val="Input &amp; Lease"/>
      <sheetName val="HOTEL 1"/>
      <sheetName val="HOTEL 2"/>
      <sheetName val="LEASE"/>
      <sheetName val="Sheraton performance EUR"/>
      <sheetName val="Payroll_hotel"/>
      <sheetName val="Labor EUR"/>
      <sheetName val="Rate scrape"/>
      <sheetName val="Notes from call with Erik"/>
      <sheetName val="Labor SEK"/>
      <sheetName val="Sheraton performance SEK"/>
      <sheetName val="TOTAL"/>
      <sheetName val="INVESTMENT"/>
      <sheetName val="Quarterly CF"/>
      <sheetName val="OUTPUT 1"/>
      <sheetName val="OUTPUT 2"/>
      <sheetName val="OUTPUT PF (EUR)"/>
      <sheetName val="OUTPUT PF (SEK)"/>
      <sheetName val="OUTPUT INV"/>
      <sheetName val="Inv. Output Base Case"/>
      <sheetName val="European Annual Inflation"/>
      <sheetName val="F&amp;B Build Up"/>
      <sheetName val="Other Expense"/>
      <sheetName val="Spa &amp; Other Build Up"/>
      <sheetName val="Royalty fees"/>
      <sheetName val="Room costs"/>
      <sheetName val="Serviced Apartments Output"/>
      <sheetName val="Serviced Apartments Input"/>
      <sheetName val="IRR"/>
      <sheetName val="Credit Tenant Discount"/>
      <sheetName val="vacant sf"/>
      <sheetName val="Charts"/>
      <sheetName val="Table 1"/>
      <sheetName val="Validation"/>
      <sheetName val="Maturities Graphs"/>
      <sheetName val="QCOM"/>
      <sheetName val="Input - Costs"/>
      <sheetName val="Input - Apt Unit Mix"/>
      <sheetName val="Months 1-36 Budget"/>
      <sheetName val="STVAR"/>
      <sheetName val="Inputs"/>
      <sheetName val="data tape"/>
      <sheetName val="Deal Summary"/>
      <sheetName val="M61 Lookups"/>
      <sheetName val="Historicals Input-Commercial"/>
      <sheetName val="Historicals Input-MF"/>
      <sheetName val="MF Unit Mix"/>
      <sheetName val="Data Validation Lists"/>
      <sheetName val="dropdown_fields1"/>
      <sheetName val="Q2_YTD_OG_Sales_Analysis1"/>
      <sheetName val="Bank_List1"/>
      <sheetName val="Trans_Type1"/>
      <sheetName val="2015_YE_Act1"/>
      <sheetName val="Supporting_Schedules1"/>
      <sheetName val="Input_Page1"/>
      <sheetName val="Data_Validations1"/>
      <sheetName val="LOOKUP_TABLES1"/>
      <sheetName val="AE_Reference_Sheet1"/>
      <sheetName val="Underwriting_Assumptions1"/>
      <sheetName val="Occ_Cost_Analysis1"/>
      <sheetName val="AE_RR1"/>
      <sheetName val="Leasing_Activity1"/>
      <sheetName val="Summary_Stats1"/>
      <sheetName val="Summary_Stats_-_Dec1"/>
      <sheetName val="Occupied_Area1"/>
      <sheetName val="Deduction_-_Dec1"/>
      <sheetName val="Occupied_Area_-_Dec1"/>
      <sheetName val="CF_-_Dec1"/>
      <sheetName val="PGR_-_Dec1"/>
      <sheetName val="Rent_Roll_1_171"/>
      <sheetName val="Total_Tenant_Revenue_1"/>
      <sheetName val="Property_Sales_and_Occupancy_C1"/>
      <sheetName val="Sch_Base_Rental_Rev1"/>
      <sheetName val="Retail_Sales_%_Rev1"/>
      <sheetName val="Exp_Reimb1"/>
      <sheetName val="Retail_Sales1"/>
      <sheetName val="Sales_Data1"/>
      <sheetName val="Sales_Data_v21"/>
      <sheetName val="II-Consolidated_RentRoll1"/>
      <sheetName val="Master_Tape1"/>
      <sheetName val="Model_Lookup_Values1"/>
      <sheetName val="HISTORICAL_EXHIBIT1"/>
      <sheetName val="Data_Validation1"/>
      <sheetName val="VMC_Payment_Calculations1"/>
      <sheetName val="Signage_Company_Loans_(NYO)1"/>
      <sheetName val="Universal_Buildings,_Inc_1"/>
      <sheetName val="Franconia_Line_of_Credit_Loan_1"/>
      <sheetName val="Military_Circle1"/>
      <sheetName val="Courthouse_Place_Amortization1"/>
      <sheetName val="535-545_5th_Avenue_Amortizatio1"/>
      <sheetName val="Int_Inc_585300-0001_9-30-14_GL1"/>
      <sheetName val="Dividend_585500-0000_9-30-14_G1"/>
      <sheetName val="Other_585400-0000_9-30-14_GL1"/>
      <sheetName val="Int_Inc_Bnk_585200-0001_9-30-11"/>
      <sheetName val="Drop_Downs1"/>
      <sheetName val="CF_Input1"/>
      <sheetName val="Fund_Dropdown1"/>
      <sheetName val="Model_-_Input_Page"/>
      <sheetName val="Inc_&amp;_Exp_Assump_(1)"/>
      <sheetName val="Rent_Roll"/>
      <sheetName val="Hotel_Info"/>
      <sheetName val="INPUT_ONLY_ON_YELLOW_TABS_--&gt;"/>
      <sheetName val="DPW_18_&amp;_19"/>
      <sheetName val="Input_&amp;_Lease"/>
      <sheetName val="HOTEL_1"/>
      <sheetName val="HOTEL_2"/>
      <sheetName val="Sheraton_performance_EUR"/>
      <sheetName val="Labor_EUR"/>
      <sheetName val="Rate_scrape"/>
      <sheetName val="Notes_from_call_with_Erik"/>
      <sheetName val="Labor_SEK"/>
      <sheetName val="Sheraton_performance_SEK"/>
      <sheetName val="Quarterly_CF"/>
      <sheetName val="OUTPUT_1"/>
      <sheetName val="OUTPUT_2"/>
      <sheetName val="OUTPUT_PF_(EUR)"/>
      <sheetName val="OUTPUT_PF_(SEK)"/>
      <sheetName val="OUTPUT_INV"/>
      <sheetName val="Inv__Output_Base_Case"/>
      <sheetName val="European_Annual_Inflation"/>
      <sheetName val="F&amp;B_Build_Up"/>
      <sheetName val="Other_Expense"/>
      <sheetName val="Spa_&amp;_Other_Build_Up"/>
      <sheetName val="Royalty_fees"/>
      <sheetName val="Room_costs"/>
      <sheetName val="Serviced_Apartments_Output"/>
      <sheetName val="Serviced_Apartments_Input"/>
      <sheetName val="Credit_Tenant_Discount"/>
      <sheetName val="vacant_sf"/>
      <sheetName val="Table_1"/>
      <sheetName val="Maturities_Graphs"/>
      <sheetName val="Input_-_Costs"/>
      <sheetName val="Input_-_Apt_Unit_Mix"/>
      <sheetName val="Months_1-36_Budget"/>
      <sheetName val="data_tape"/>
      <sheetName val="Deal_Summary"/>
      <sheetName val="M61_Lookups"/>
      <sheetName val="Historicals_Input-Commercial"/>
      <sheetName val="Historicals_Input-MF"/>
      <sheetName val="MF_Unit_Mix"/>
      <sheetName val="Data_Validation_Lists"/>
    </sheetNames>
    <sheetDataSet>
      <sheetData sheetId="0" refreshError="1">
        <row r="12">
          <cell r="A12" t="str">
            <v>Yr 1</v>
          </cell>
          <cell r="G12">
            <v>1</v>
          </cell>
          <cell r="H12">
            <v>21312753</v>
          </cell>
          <cell r="K12">
            <v>20655114</v>
          </cell>
          <cell r="L12">
            <v>19595403.681635536</v>
          </cell>
        </row>
        <row r="13">
          <cell r="G13">
            <v>2</v>
          </cell>
          <cell r="H13">
            <v>22703977</v>
          </cell>
          <cell r="K13">
            <v>22214927</v>
          </cell>
          <cell r="L13">
            <v>20917933.708900958</v>
          </cell>
        </row>
        <row r="14">
          <cell r="G14">
            <v>3</v>
          </cell>
          <cell r="H14">
            <v>23289088</v>
          </cell>
          <cell r="K14">
            <v>21780529</v>
          </cell>
          <cell r="L14">
            <v>21431602.977256998</v>
          </cell>
        </row>
        <row r="15">
          <cell r="G15">
            <v>4</v>
          </cell>
          <cell r="H15">
            <v>23894859</v>
          </cell>
          <cell r="K15">
            <v>22507380</v>
          </cell>
          <cell r="L15">
            <v>21963074.576347277</v>
          </cell>
        </row>
        <row r="16">
          <cell r="G16">
            <v>5</v>
          </cell>
          <cell r="H16">
            <v>24719909</v>
          </cell>
          <cell r="K16">
            <v>23010856</v>
          </cell>
          <cell r="L16">
            <v>22710853.19940117</v>
          </cell>
        </row>
        <row r="17">
          <cell r="G17">
            <v>6</v>
          </cell>
          <cell r="H17">
            <v>25975167</v>
          </cell>
          <cell r="K17">
            <v>22812833</v>
          </cell>
          <cell r="L17">
            <v>23885748.967377216</v>
          </cell>
        </row>
        <row r="18">
          <cell r="G18">
            <v>7</v>
          </cell>
          <cell r="H18">
            <v>28691489</v>
          </cell>
          <cell r="K18">
            <v>22455706</v>
          </cell>
          <cell r="L18">
            <v>26518494.246072304</v>
          </cell>
        </row>
        <row r="19">
          <cell r="G19">
            <v>8</v>
          </cell>
          <cell r="H19">
            <v>30659817</v>
          </cell>
          <cell r="K19">
            <v>29178784</v>
          </cell>
          <cell r="L19">
            <v>28399902.455915194</v>
          </cell>
        </row>
        <row r="20">
          <cell r="G20">
            <v>9</v>
          </cell>
          <cell r="H20">
            <v>31193653</v>
          </cell>
          <cell r="K20">
            <v>30122886</v>
          </cell>
          <cell r="L20">
            <v>28843341.874151804</v>
          </cell>
        </row>
        <row r="21">
          <cell r="G21">
            <v>10</v>
          </cell>
          <cell r="H21">
            <v>32157016</v>
          </cell>
          <cell r="K21">
            <v>26727473</v>
          </cell>
          <cell r="L21">
            <v>29712692.429117873</v>
          </cell>
        </row>
        <row r="22">
          <cell r="G22">
            <v>11</v>
          </cell>
          <cell r="H22">
            <v>33663611</v>
          </cell>
          <cell r="K22">
            <v>31917730</v>
          </cell>
          <cell r="L22">
            <v>31121514.486282591</v>
          </cell>
        </row>
      </sheetData>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row r="12">
          <cell r="G12">
            <v>0</v>
          </cell>
        </row>
      </sheetData>
      <sheetData sheetId="103">
        <row r="12">
          <cell r="G12">
            <v>0</v>
          </cell>
        </row>
      </sheetData>
      <sheetData sheetId="104">
        <row r="12">
          <cell r="G12">
            <v>0</v>
          </cell>
        </row>
      </sheetData>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ow r="12">
          <cell r="G12"/>
        </row>
      </sheetData>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mand"/>
      <sheetName val="Occ"/>
      <sheetName val="Summ"/>
      <sheetName val="Supply"/>
      <sheetName val="ADR"/>
      <sheetName val="Ref"/>
      <sheetName val="tables_graphs"/>
    </sheetNames>
    <sheetDataSet>
      <sheetData sheetId="0" refreshError="1"/>
      <sheetData sheetId="1" refreshError="1"/>
      <sheetData sheetId="2" refreshError="1"/>
      <sheetData sheetId="3"/>
      <sheetData sheetId="4"/>
      <sheetData sheetId="5"/>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CoE"/>
      <sheetName val="Demand"/>
      <sheetName val="Occ"/>
      <sheetName val="INC% e mod"/>
    </sheetNames>
    <sheetDataSet>
      <sheetData sheetId="0" refreshError="1"/>
      <sheetData sheetId="1" refreshError="1"/>
      <sheetData sheetId="2" refreshError="1"/>
      <sheetData sheetId="3" refreshError="1"/>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nthgraph COMPS"/>
      <sheetName val="MKT_Consensus"/>
      <sheetName val="Activités"/>
      <sheetName val="Implied Valuation"/>
      <sheetName val="Graphs marges"/>
      <sheetName val="Comps Universe"/>
      <sheetName val="Comps"/>
      <sheetName val="Comptes"/>
      <sheetName val="DCF"/>
      <sheetName val="ShareData"/>
      <sheetName val="Synthesis on Value"/>
      <sheetName val="Synthesis on Value (Per Share)"/>
      <sheetName val="Implied_Valuation"/>
      <sheetName val="Graphs_marges"/>
      <sheetName val="synthgraph_COMPS"/>
      <sheetName val="Comps_Universe"/>
      <sheetName val="Synthesis_on_Value"/>
      <sheetName val="Synthesis_on_Value_(Per_Share)"/>
      <sheetName val="Sum"/>
      <sheetName val="KPIs VLS"/>
      <sheetName val="WEEKLYVLS"/>
      <sheetName val="#REF"/>
      <sheetName val="butubmf"/>
      <sheetName val="CSCCincSKR"/>
      <sheetName val="Summary"/>
      <sheetName val="Implied_Valuation1"/>
      <sheetName val="Graphs_marges1"/>
      <sheetName val="synthgraph_COMPS1"/>
      <sheetName val="Comps_Universe1"/>
      <sheetName val="Synthesis_on_Value1"/>
      <sheetName val="Synthesis_on_Value_(Per_Share)1"/>
      <sheetName val="Lists"/>
      <sheetName val="Sales"/>
      <sheetName val="Graph"/>
      <sheetName val="Implied_Valuation2"/>
      <sheetName val="Graphs_marges2"/>
      <sheetName val="synthgraph_COMPS2"/>
      <sheetName val="Comps_Universe2"/>
      <sheetName val="Synthesis_on_Value2"/>
      <sheetName val="Synthesis_on_Value_(Per_Share)2"/>
      <sheetName val="KPIs_VLS"/>
      <sheetName val="Implied_Valuation3"/>
      <sheetName val="Graphs_marges3"/>
      <sheetName val="synthgraph_COMPS3"/>
      <sheetName val="Comps_Universe3"/>
      <sheetName val="Synthesis_on_Value3"/>
      <sheetName val="Synthesis_on_Value_(Per_Share)3"/>
      <sheetName val="KPIs_VLS1"/>
      <sheetName val="Implied_Valuation4"/>
      <sheetName val="Graphs_marges4"/>
      <sheetName val="synthgraph_COMPS4"/>
      <sheetName val="Comps_Universe4"/>
      <sheetName val="Synthesis_on_Value4"/>
      <sheetName val="Synthesis_on_Value_(Per_Share)4"/>
      <sheetName val="KPIs_VLS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IS"/>
      <sheetName val="TargBSCF"/>
      <sheetName val="TargDCF"/>
      <sheetName val="May_01"/>
      <sheetName val="Co. C"/>
      <sheetName val="Proforma"/>
      <sheetName val="CAUSTIC"/>
      <sheetName val="Additions"/>
      <sheetName val="MASTER"/>
      <sheetName val="THREE VARIABLES"/>
      <sheetName val="Power &amp; Fuel(c)"/>
      <sheetName val="Power &amp; Fuel(SMS)"/>
      <sheetName val="Power &amp; Fuel(new)"/>
      <sheetName val="Power &amp; Fuel (S)"/>
      <sheetName val="Returns Backup"/>
      <sheetName val="Summary"/>
      <sheetName val="Control Panel"/>
      <sheetName val="Credit ratios"/>
      <sheetName val="Interest Rates"/>
      <sheetName val="Fees"/>
      <sheetName val="Opening BS"/>
      <sheetName val="BS"/>
      <sheetName val="IS"/>
      <sheetName val="CFS"/>
      <sheetName val="Returns Backup (2)"/>
      <sheetName val="Return "/>
      <sheetName val="Consolidated"/>
      <sheetName val="Opting assum. Fixed Fire"/>
      <sheetName val="Opting assum. Mobile Fire"/>
      <sheetName val="Debt"/>
      <sheetName val="Interest"/>
      <sheetName val="Return Summary"/>
      <sheetName val="Ratios"/>
      <sheetName val="Taxes-Book"/>
      <sheetName val="Taxes-Tax"/>
      <sheetName val="Dep-Book"/>
      <sheetName val="Dep-Tax"/>
      <sheetName val="DCF"/>
      <sheetName val="WACC"/>
      <sheetName val="Module1"/>
      <sheetName val="Module2"/>
      <sheetName val="Module3"/>
      <sheetName val="Assumptions"/>
      <sheetName val="synthgraph COMPS"/>
      <sheetName val="Pro Forma (2)"/>
      <sheetName val="Output (GAAP) (2)"/>
      <sheetName val="Output (2)"/>
      <sheetName val="Pro Forma"/>
      <sheetName val="__FDSCACHE__"/>
      <sheetName val="Output (GAAP)"/>
      <sheetName val="Output"/>
      <sheetName val="Inputs"/>
      <sheetName val="INSS"/>
      <sheetName val="PMO"/>
      <sheetName val="Contribution"/>
      <sheetName val="Contr - FD"/>
      <sheetName val="Contr - TM"/>
      <sheetName val="Adjusted Contribution"/>
      <sheetName val="Cash Burn"/>
      <sheetName val="Multiples"/>
      <sheetName val="SyncAlloc"/>
      <sheetName val="PricePerformance"/>
      <sheetName val="ValMtrx"/>
      <sheetName val="CapSum-Tux"/>
      <sheetName val="CapSum-Top hat"/>
      <sheetName val="DCF-Tux Mgt 2001"/>
      <sheetName val="DCF-Tux Mgt 2002"/>
      <sheetName val="DCF-Tux Mgt 2001 Norm"/>
      <sheetName val="DCF-Tux Str Estimates"/>
      <sheetName val="DCF-Top Hat mgt"/>
      <sheetName val="DCF-Top Hat Str Est."/>
      <sheetName val="DCF-Top Hat Synergies"/>
      <sheetName val="MSDW SbyS"/>
      <sheetName val="SbyS"/>
      <sheetName val="Contribution2"/>
      <sheetName val="Combination - Street Est."/>
      <sheetName val="PF W-O Synergies"/>
      <sheetName val="Combination -Management Est."/>
      <sheetName val="Top Hat"/>
      <sheetName val="Tuxedo"/>
      <sheetName val="Analyst Avg"/>
      <sheetName val="Synergy Sensitivity"/>
      <sheetName val="Sheet2"/>
      <sheetName val="Sheet3"/>
      <sheetName val="BS|CF"/>
      <sheetName val="Assum"/>
      <sheetName val="OpBS"/>
      <sheetName val="BSCF"/>
      <sheetName val="AcqIS"/>
      <sheetName val="AcqBSCF"/>
      <sheetName val="AcqRat"/>
      <sheetName val="TargRat"/>
      <sheetName val="AcqDCF1"/>
      <sheetName val="AcqDCF2"/>
      <sheetName val="TargDCF1"/>
      <sheetName val="TargDCF2"/>
      <sheetName val="CashAcq"/>
      <sheetName val="LBO Assum"/>
      <sheetName val="LBO IS"/>
      <sheetName val="LBO  BSCF"/>
      <sheetName val="LBO Ratios"/>
      <sheetName val="LBO Returns"/>
      <sheetName val="Contrib"/>
      <sheetName val="Presentation&gt;&gt;&gt;"/>
      <sheetName val="TargFin"/>
      <sheetName val="ValMatrix"/>
      <sheetName val="CashAcqOutput"/>
      <sheetName val="PF EPS1"/>
      <sheetName val="PF EPS2"/>
      <sheetName val="PF Ratios"/>
      <sheetName val="StckPrc1"/>
      <sheetName val="StckPrc2"/>
      <sheetName val="Output&gt;&gt;"/>
      <sheetName val="SummaryCases"/>
      <sheetName val="Summary FS"/>
      <sheetName val="Sources and Uses"/>
      <sheetName val="Acc Dil"/>
      <sheetName val="Cash Acc Dil"/>
      <sheetName val="Summary Credit Stats"/>
      <sheetName val="Summary Debt Paydown"/>
      <sheetName val="Growth Analysis"/>
      <sheetName val="Conv Returns Summary"/>
      <sheetName val="Class A Returns Summary"/>
      <sheetName val="Stk Price Acc Dil"/>
      <sheetName val="Pro Forma&gt;&gt;"/>
      <sheetName val="Convertible Returns"/>
      <sheetName val="Class A Returns"/>
      <sheetName val="PIK Returns"/>
      <sheetName val="99 and LTM PF"/>
      <sheetName val="Hawk&gt;&gt;"/>
      <sheetName val="Midway&gt;&gt;"/>
      <sheetName val="TargIS £"/>
      <sheetName val="TargBSCF £"/>
      <sheetName val="TargIS $"/>
      <sheetName val="TargBSCF $"/>
      <sheetName val="TargIS-Adj"/>
      <sheetName val="TargBSCF-Adj"/>
      <sheetName val="AerospaceISMonthly"/>
      <sheetName val="WholeTargetISMonthly"/>
      <sheetName val="--NOT USED--"/>
      <sheetName val="Sheet1"/>
      <sheetName val="Reasons"/>
      <sheetName val="MODEL"/>
      <sheetName val="LBOReturns"/>
      <sheetName val="increm pf"/>
      <sheetName val="AcqBS"/>
      <sheetName val="Price"/>
      <sheetName val=""/>
      <sheetName val="Setup"/>
      <sheetName val="TOC"/>
      <sheetName val="Op-BS"/>
      <sheetName val="Matrix"/>
      <sheetName val="AcqWC"/>
      <sheetName val="TargWC"/>
      <sheetName val="PriceSyn"/>
      <sheetName val="PP&amp;E"/>
      <sheetName val="Invested capital_VDF"/>
      <sheetName val="DCF_VDF"/>
      <sheetName val="NOPAT_VDF"/>
      <sheetName val="WACC_VDF"/>
      <sheetName val="Summary Page_VDF"/>
      <sheetName val="PV of Op Leases_VDF"/>
      <sheetName val="8. Ratio"/>
      <sheetName val="적용환율"/>
      <sheetName val="Issues"/>
      <sheetName val="TDS"/>
      <sheetName val="USW"/>
      <sheetName val="WCOM"/>
      <sheetName val="Figures"/>
      <sheetName val="B10"/>
      <sheetName val="D10"/>
      <sheetName val="D8"/>
      <sheetName val="Input"/>
      <sheetName val="Acquiror"/>
      <sheetName val="Cover"/>
      <sheetName val="#REF"/>
      <sheetName val="mat-a"/>
      <sheetName val="XXXXX"/>
      <sheetName val="Tradename"/>
      <sheetName val="SW"/>
      <sheetName val="Workforce"/>
      <sheetName val="Contracts"/>
      <sheetName val="Amortization"/>
      <sheetName val="Historicals"/>
      <sheetName val="Revenue"/>
      <sheetName val="Other"/>
      <sheetName val="Charges"/>
      <sheetName val="BEV"/>
      <sheetName val="BEV-CS"/>
      <sheetName val="Customer"/>
      <sheetName val="Customer-CS"/>
      <sheetName val="Trade Name"/>
      <sheetName val="Backlog"/>
      <sheetName val="WF"/>
      <sheetName val="WF Detail"/>
      <sheetName val="TAB - ET"/>
      <sheetName val="TAB - Cust"/>
      <sheetName val="TAB - WF"/>
      <sheetName val="TAB - TN"/>
      <sheetName val="TAB - Backlog"/>
      <sheetName val="Inputs &amp; Assumptions"/>
      <sheetName val="EY USE ONLY"/>
      <sheetName val="Revenue_SENS"/>
      <sheetName val="&quot;B&quot; intrinsèque"/>
      <sheetName val="Tech norms"/>
      <sheetName val="Simul2000 37"/>
      <sheetName val="Jupiter&gt;&gt;&gt;&gt;&gt;"/>
      <sheetName val="Jupiter IS"/>
      <sheetName val="Jupiter BSCF"/>
      <sheetName val="Jupiter Rat"/>
      <sheetName val="Jupiter DCF1"/>
      <sheetName val="Jupiter DCF2"/>
      <sheetName val="Saturn&gt;&gt;&gt;&gt;&gt;&gt;"/>
      <sheetName val="Saturn IS"/>
      <sheetName val="Saturn BSCF"/>
      <sheetName val="Saturn DCF1"/>
      <sheetName val="Saturn DCF2"/>
      <sheetName val="Saturn Ratios"/>
      <sheetName val="Spaceshot&gt;&gt;&gt;&gt;&gt;"/>
      <sheetName val="Output&gt;&gt;&gt;&gt;&gt;"/>
      <sheetName val="nayan"/>
      <sheetName val="Exp"/>
      <sheetName val="Working"/>
      <sheetName val="Non Tech HC- Off"/>
      <sheetName val="Non Tech HC- On"/>
      <sheetName val="Cost Assumptions"/>
      <sheetName val="P &amp; L"/>
      <sheetName val="Space"/>
      <sheetName val="CAPEX"/>
      <sheetName val="Standards"/>
      <sheetName val="README"/>
      <sheetName val="Income Statement"/>
      <sheetName val="Valuation Summary 2004"/>
      <sheetName val="Valuation Summary"/>
      <sheetName val="Valuation Summary (05)"/>
      <sheetName val="Shares &amp; Options Summary"/>
      <sheetName val="Valuation Summary (2)"/>
      <sheetName val="Co__C"/>
      <sheetName val="THREE_VARIABLES"/>
      <sheetName val="Power_&amp;_Fuel(c)"/>
      <sheetName val="Power_&amp;_Fuel(SMS)"/>
      <sheetName val="Power_&amp;_Fuel(new)"/>
      <sheetName val="Power_&amp;_Fuel_(S)"/>
      <sheetName val="Control_Panel"/>
      <sheetName val="Credit_ratios"/>
      <sheetName val="Interest_Rates"/>
      <sheetName val="Opening_BS"/>
      <sheetName val="Returns_Backup_(2)"/>
      <sheetName val="Return_"/>
      <sheetName val="Opting_assum__Fixed_Fire"/>
      <sheetName val="Opting_assum__Mobile_Fire"/>
      <sheetName val="Returns_Backup"/>
      <sheetName val="Return_Summary"/>
      <sheetName val="Pro_Forma_(2)"/>
      <sheetName val="Output_(GAAP)_(2)"/>
      <sheetName val="Output_(2)"/>
      <sheetName val="Pro_Forma"/>
      <sheetName val="Output_(GAAP)"/>
      <sheetName val="Contr_-_FD"/>
      <sheetName val="Contr_-_TM"/>
      <sheetName val="Adjusted_Contribution"/>
      <sheetName val="Cash_Burn"/>
      <sheetName val="CapSum-Top_hat"/>
      <sheetName val="DCF-Tux_Mgt_2001"/>
      <sheetName val="DCF-Tux_Mgt_2002"/>
      <sheetName val="DCF-Tux_Mgt_2001_Norm"/>
      <sheetName val="DCF-Tux_Str_Estimates"/>
      <sheetName val="DCF-Top_Hat_mgt"/>
      <sheetName val="DCF-Top_Hat_Str_Est_"/>
      <sheetName val="DCF-Top_Hat_Synergies"/>
      <sheetName val="MSDW_SbyS"/>
      <sheetName val="Combination_-_Street_Est_"/>
      <sheetName val="PF_W-O_Synergies"/>
      <sheetName val="Combination_-Management_Est_"/>
      <sheetName val="Top_Hat"/>
      <sheetName val="Analyst_Avg"/>
      <sheetName val="Synergy_Sensitivity"/>
      <sheetName val="LBO_Assum"/>
      <sheetName val="LBO_IS"/>
      <sheetName val="LBO__BSCF"/>
      <sheetName val="LBO_Ratios"/>
      <sheetName val="LBO_Returns"/>
      <sheetName val="PF_EPS1"/>
      <sheetName val="PF_EPS2"/>
      <sheetName val="PF_Ratios"/>
      <sheetName val="Summary_FS"/>
      <sheetName val="Sources_and_Uses"/>
      <sheetName val="Acc_Dil"/>
      <sheetName val="Cash_Acc_Dil"/>
      <sheetName val="Summary_Credit_Stats"/>
      <sheetName val="Summary_Debt_Paydown"/>
      <sheetName val="Growth_Analysis"/>
      <sheetName val="Conv_Returns_Summary"/>
      <sheetName val="Class_A_Returns_Summary"/>
      <sheetName val="Stk_Price_Acc_Dil"/>
      <sheetName val="Pro_Forma&gt;&gt;"/>
      <sheetName val="Convertible_Returns"/>
      <sheetName val="Class_A_Returns"/>
      <sheetName val="PIK_Returns"/>
      <sheetName val="99_and_LTM_PF"/>
      <sheetName val="TargIS_£"/>
      <sheetName val="TargBSCF_£"/>
      <sheetName val="TargIS_$"/>
      <sheetName val="TargBSCF_$"/>
      <sheetName val="--NOT_USED--"/>
      <sheetName val="Jupiter_IS"/>
      <sheetName val="Jupiter_BSCF"/>
      <sheetName val="Jupiter_Rat"/>
      <sheetName val="Jupiter_DCF1"/>
      <sheetName val="Jupiter_DCF2"/>
      <sheetName val="Saturn_IS"/>
      <sheetName val="Saturn_BSCF"/>
      <sheetName val="Saturn_DCF1"/>
      <sheetName val="Saturn_DCF2"/>
      <sheetName val="Saturn_Ratios"/>
      <sheetName val="Invested_capital_VDF"/>
      <sheetName val="Summary_Page_VDF"/>
      <sheetName val="PV_of_Op_Leases_VDF"/>
      <sheetName val="8__Ratio"/>
      <sheetName val="Case"/>
      <sheetName val="Inc Stmt"/>
      <sheetName val="Tech Placement"/>
      <sheetName val="Inc Stmt Sensitivities"/>
      <sheetName val="Other Sensitivities"/>
      <sheetName val="WC"/>
      <sheetName val="Taxes"/>
      <sheetName val="START"/>
      <sheetName val="Private Round"/>
      <sheetName val="Expense Margins &amp; Other"/>
      <sheetName val="D &amp; A"/>
      <sheetName val="Working Capital"/>
      <sheetName val="Balance Sheet"/>
      <sheetName val="Cashflow"/>
      <sheetName val="External Revenue"/>
      <sheetName val="Internal Revenue"/>
      <sheetName val="Financial Build-up"/>
      <sheetName val="Entertainment Build-up"/>
      <sheetName val="Hosting Build-Up"/>
      <sheetName val="Global Retail"/>
      <sheetName val="Global Direct"/>
      <sheetName val="Combined"/>
      <sheetName val="KitchenFair"/>
      <sheetName val="Saladmaster"/>
      <sheetName val="Regal Accept."/>
      <sheetName val="Saveur"/>
      <sheetName val="Sale of Retail"/>
      <sheetName val="1998 Unit Breakdown"/>
      <sheetName val="1997 Unit Breakdown "/>
      <sheetName val="1996 Unit Breakdown"/>
      <sheetName val="1231_Balance Sheet"/>
      <sheetName val="331_Balance Sheet"/>
      <sheetName val="Retail Direct Selling"/>
      <sheetName val="Gross Margin"/>
      <sheetName val="Electrics"/>
      <sheetName val="RAC Admin"/>
      <sheetName val="Aging"/>
      <sheetName val="Sources &amp; Uses"/>
      <sheetName val="Appl. of total proceeds"/>
      <sheetName val="Sale of receivables "/>
      <sheetName val="Proceeds"/>
      <sheetName val="Financial Summary"/>
      <sheetName val="Financial Projections"/>
      <sheetName val="Multiples Retail"/>
      <sheetName val="Multiples Direct "/>
      <sheetName val="Multiples KF SM"/>
      <sheetName val="Retail DCF"/>
      <sheetName val="Direct DCF"/>
      <sheetName val="KF SM DCF "/>
      <sheetName val="BASE"/>
      <sheetName val="LBO"/>
      <sheetName val="Margins"/>
      <sheetName val="Brand Value DCF"/>
      <sheetName val="P&amp;L"/>
      <sheetName val="Detailed BS"/>
      <sheetName val="purch price"/>
      <sheetName val="Comps"/>
      <sheetName val="Mar03"/>
      <sheetName val="Workforce Value"/>
      <sheetName val="Employees"/>
      <sheetName val=" Workforce Life"/>
      <sheetName val="Module4"/>
      <sheetName val="Module5"/>
      <sheetName val="Module6"/>
      <sheetName val="Module7"/>
      <sheetName val=" Customers"/>
      <sheetName val="Workforce_Value(5)"/>
      <sheetName val="Return on Assets"/>
      <sheetName val="NTA"/>
      <sheetName val="Excess Earnings"/>
      <sheetName val="Tax Amort"/>
      <sheetName val="ECI - Projected IS"/>
      <sheetName val="EBITDA Detail 2001-2003"/>
      <sheetName val="Balance Sheet Dec 2001x"/>
      <sheetName val="Balance Sheet Dec 2000"/>
      <sheetName val="synthgraph"/>
      <sheetName val="Co__C1"/>
      <sheetName val="THREE_VARIABLES1"/>
      <sheetName val="Power_&amp;_Fuel(c)1"/>
      <sheetName val="Power_&amp;_Fuel(SMS)1"/>
      <sheetName val="Power_&amp;_Fuel(new)1"/>
      <sheetName val="Power_&amp;_Fuel_(S)1"/>
      <sheetName val="Returns_Backup1"/>
      <sheetName val="Control_Panel1"/>
      <sheetName val="Credit_ratios1"/>
      <sheetName val="Interest_Rates1"/>
      <sheetName val="Opening_BS1"/>
      <sheetName val="Returns_Backup_(2)1"/>
      <sheetName val="Return_1"/>
      <sheetName val="Opting_assum__Fixed_Fire1"/>
      <sheetName val="Opting_assum__Mobile_Fire1"/>
      <sheetName val="Return_Summary1"/>
      <sheetName val="synthgraph_COMPS"/>
      <sheetName val="Pro_Forma_(2)1"/>
      <sheetName val="Output_(GAAP)_(2)1"/>
      <sheetName val="Output_(2)1"/>
      <sheetName val="Pro_Forma1"/>
      <sheetName val="Output_(GAAP)1"/>
      <sheetName val="Contr_-_FD1"/>
      <sheetName val="Contr_-_TM1"/>
      <sheetName val="Adjusted_Contribution1"/>
      <sheetName val="Cash_Burn1"/>
      <sheetName val="CapSum-Top_hat1"/>
      <sheetName val="DCF-Tux_Mgt_20011"/>
      <sheetName val="DCF-Tux_Mgt_20021"/>
      <sheetName val="DCF-Tux_Mgt_2001_Norm1"/>
      <sheetName val="DCF-Tux_Str_Estimates1"/>
      <sheetName val="DCF-Top_Hat_mgt1"/>
      <sheetName val="DCF-Top_Hat_Str_Est_1"/>
      <sheetName val="DCF-Top_Hat_Synergies1"/>
      <sheetName val="MSDW_SbyS1"/>
      <sheetName val="Combination_-_Street_Est_1"/>
      <sheetName val="PF_W-O_Synergies1"/>
      <sheetName val="Combination_-Management_Est_1"/>
      <sheetName val="Top_Hat1"/>
      <sheetName val="Analyst_Avg1"/>
      <sheetName val="Synergy_Sensitivity1"/>
      <sheetName val="LBO_Assum1"/>
      <sheetName val="LBO_IS1"/>
      <sheetName val="LBO__BSCF1"/>
      <sheetName val="LBO_Ratios1"/>
      <sheetName val="LBO_Returns1"/>
      <sheetName val="PF_EPS11"/>
      <sheetName val="PF_EPS21"/>
      <sheetName val="PF_Ratios1"/>
      <sheetName val="Summary_FS1"/>
      <sheetName val="Sources_and_Uses1"/>
      <sheetName val="Acc_Dil1"/>
      <sheetName val="Cash_Acc_Dil1"/>
      <sheetName val="Summary_Credit_Stats1"/>
      <sheetName val="Summary_Debt_Paydown1"/>
      <sheetName val="Growth_Analysis1"/>
      <sheetName val="Conv_Returns_Summary1"/>
      <sheetName val="Class_A_Returns_Summary1"/>
      <sheetName val="Stk_Price_Acc_Dil1"/>
      <sheetName val="Pro_Forma&gt;&gt;1"/>
      <sheetName val="Convertible_Returns1"/>
      <sheetName val="Class_A_Returns1"/>
      <sheetName val="PIK_Returns1"/>
      <sheetName val="99_and_LTM_PF1"/>
      <sheetName val="TargIS_£1"/>
      <sheetName val="TargBSCF_£1"/>
      <sheetName val="TargIS_$1"/>
      <sheetName val="TargBSCF_$1"/>
      <sheetName val="--NOT_USED--1"/>
      <sheetName val="increm_pf"/>
      <sheetName val="Invested_capital_VDF1"/>
      <sheetName val="Summary_Page_VDF1"/>
      <sheetName val="PV_of_Op_Leases_VDF1"/>
      <sheetName val="8__Ratio1"/>
      <sheetName val="Trade_Name"/>
      <sheetName val="WF_Detail"/>
      <sheetName val="TAB_-_ET"/>
      <sheetName val="TAB_-_Cust"/>
      <sheetName val="TAB_-_WF"/>
      <sheetName val="TAB_-_TN"/>
      <sheetName val="TAB_-_Backlog"/>
      <sheetName val="Inputs_&amp;_Assumptions"/>
      <sheetName val="EY_USE_ONLY"/>
      <sheetName val="&quot;B&quot;_intrinsèque"/>
      <sheetName val="Tech_norms"/>
      <sheetName val="Simul2000_37"/>
      <sheetName val="Jupiter_IS1"/>
      <sheetName val="Jupiter_BSCF1"/>
      <sheetName val="Jupiter_Rat1"/>
      <sheetName val="Jupiter_DCF11"/>
      <sheetName val="Jupiter_DCF21"/>
      <sheetName val="Saturn_IS1"/>
      <sheetName val="Saturn_BSCF1"/>
      <sheetName val="Saturn_DCF11"/>
      <sheetName val="Saturn_DCF21"/>
      <sheetName val="Saturn_Ratios1"/>
      <sheetName val="Non_Tech_HC-_Off"/>
      <sheetName val="Non_Tech_HC-_On"/>
      <sheetName val="Cost_Assumptions"/>
      <sheetName val="P_&amp;_L"/>
      <sheetName val="Income_Statement"/>
      <sheetName val="Valuation_Summary_2004"/>
      <sheetName val="Valuation_Summary"/>
      <sheetName val="Valuation_Summary_(05)"/>
      <sheetName val="Shares_&amp;_Options_Summary"/>
      <sheetName val="Valuation_Summary_(2)"/>
      <sheetName val="Inc_Stmt"/>
      <sheetName val="Tech_Placement"/>
      <sheetName val="Inc_Stmt_Sensitivities"/>
      <sheetName val="Other_Sensitivities"/>
      <sheetName val="Private_Round"/>
      <sheetName val="Expense_Margins_&amp;_Other"/>
      <sheetName val="D_&amp;_A"/>
      <sheetName val="Working_Capital"/>
      <sheetName val="Balance_Sheet"/>
      <sheetName val="External_Revenue"/>
      <sheetName val="Internal_Revenue"/>
      <sheetName val="Financial_Build-up"/>
      <sheetName val="Entertainment_Build-up"/>
      <sheetName val="Hosting_Build-Up"/>
      <sheetName val="Global_Retail"/>
      <sheetName val="Global_Direct"/>
      <sheetName val="Regal_Accept_"/>
      <sheetName val="Sale_of_Retail"/>
      <sheetName val="1998_Unit_Breakdown"/>
      <sheetName val="1997_Unit_Breakdown_"/>
      <sheetName val="1996_Unit_Breakdown"/>
      <sheetName val="1231_Balance_Sheet"/>
      <sheetName val="331_Balance_Sheet"/>
      <sheetName val="Retail_Direct_Selling"/>
      <sheetName val="Gross_Margin"/>
      <sheetName val="RAC_Admin"/>
      <sheetName val="Sources_&amp;_Uses"/>
      <sheetName val="Appl__of_total_proceeds"/>
      <sheetName val="Sale_of_receivables_"/>
      <sheetName val="Financial_Summary"/>
      <sheetName val="Financial_Projections"/>
      <sheetName val="Multiples_Retail"/>
      <sheetName val="Multiples_Direct_"/>
      <sheetName val="Multiples_KF_SM"/>
      <sheetName val="Retail_DCF"/>
      <sheetName val="Direct_DCF"/>
      <sheetName val="KF_SM_DCF_"/>
      <sheetName val="Brand_Value_DCF"/>
      <sheetName val="Detailed_BS"/>
      <sheetName val="purch_price"/>
      <sheetName val="Workforce_Value"/>
      <sheetName val="_Workforce_Life"/>
      <sheetName val="_Customers"/>
      <sheetName val="Return_on_Assets"/>
      <sheetName val="Excess_Earnings"/>
      <sheetName val="Tax_Amort"/>
      <sheetName val="ECI_-_Projected_IS"/>
      <sheetName val="EBITDA_Detail_2001-2003"/>
      <sheetName val="Balance_Sheet_Dec_2001x"/>
      <sheetName val="Balance_Sheet_Dec_2000"/>
      <sheetName val="RegEBITDA"/>
      <sheetName val="Co__C2"/>
      <sheetName val="THREE_VARIABLES2"/>
      <sheetName val="Power_&amp;_Fuel(c)2"/>
      <sheetName val="Power_&amp;_Fuel(SMS)2"/>
      <sheetName val="Power_&amp;_Fuel(new)2"/>
      <sheetName val="Power_&amp;_Fuel_(S)2"/>
      <sheetName val="Returns_Backup2"/>
      <sheetName val="Control_Panel2"/>
      <sheetName val="Credit_ratios2"/>
      <sheetName val="Interest_Rates2"/>
      <sheetName val="Opening_BS2"/>
      <sheetName val="Returns_Backup_(2)2"/>
      <sheetName val="Return_2"/>
      <sheetName val="Opting_assum__Fixed_Fire2"/>
      <sheetName val="Opting_assum__Mobile_Fire2"/>
      <sheetName val="Return_Summary2"/>
      <sheetName val="synthgraph_COMPS1"/>
      <sheetName val="Pro_Forma_(2)2"/>
      <sheetName val="Output_(GAAP)_(2)2"/>
      <sheetName val="Output_(2)2"/>
      <sheetName val="Pro_Forma2"/>
      <sheetName val="Output_(GAAP)2"/>
      <sheetName val="Contr_-_FD2"/>
      <sheetName val="Contr_-_TM2"/>
      <sheetName val="Adjusted_Contribution2"/>
      <sheetName val="Cash_Burn2"/>
      <sheetName val="CapSum-Top_hat2"/>
      <sheetName val="DCF-Tux_Mgt_20012"/>
      <sheetName val="DCF-Tux_Mgt_20022"/>
      <sheetName val="DCF-Tux_Mgt_2001_Norm2"/>
      <sheetName val="DCF-Tux_Str_Estimates2"/>
      <sheetName val="DCF-Top_Hat_mgt2"/>
      <sheetName val="DCF-Top_Hat_Str_Est_2"/>
      <sheetName val="DCF-Top_Hat_Synergies2"/>
      <sheetName val="MSDW_SbyS2"/>
      <sheetName val="Combination_-_Street_Est_2"/>
      <sheetName val="PF_W-O_Synergies2"/>
      <sheetName val="Combination_-Management_Est_2"/>
      <sheetName val="Top_Hat2"/>
      <sheetName val="Analyst_Avg2"/>
      <sheetName val="Synergy_Sensitivity2"/>
      <sheetName val="LBO_Assum2"/>
      <sheetName val="LBO_IS2"/>
      <sheetName val="LBO__BSCF2"/>
      <sheetName val="LBO_Ratios2"/>
      <sheetName val="LBO_Returns2"/>
      <sheetName val="PF_EPS12"/>
      <sheetName val="PF_EPS22"/>
      <sheetName val="PF_Ratios2"/>
      <sheetName val="Summary_FS2"/>
      <sheetName val="Sources_and_Uses2"/>
      <sheetName val="Acc_Dil2"/>
      <sheetName val="Cash_Acc_Dil2"/>
      <sheetName val="Summary_Credit_Stats2"/>
      <sheetName val="Summary_Debt_Paydown2"/>
      <sheetName val="Growth_Analysis2"/>
      <sheetName val="Conv_Returns_Summary2"/>
      <sheetName val="Class_A_Returns_Summary2"/>
      <sheetName val="Stk_Price_Acc_Dil2"/>
      <sheetName val="Pro_Forma&gt;&gt;2"/>
      <sheetName val="Convertible_Returns2"/>
      <sheetName val="Class_A_Returns2"/>
      <sheetName val="PIK_Returns2"/>
      <sheetName val="99_and_LTM_PF2"/>
      <sheetName val="TargIS_£2"/>
      <sheetName val="TargBSCF_£2"/>
      <sheetName val="TargIS_$2"/>
      <sheetName val="TargBSCF_$2"/>
      <sheetName val="--NOT_USED--2"/>
      <sheetName val="increm_pf1"/>
      <sheetName val="Invested_capital_VDF2"/>
      <sheetName val="Summary_Page_VDF2"/>
      <sheetName val="PV_of_Op_Leases_VDF2"/>
      <sheetName val="8__Ratio2"/>
      <sheetName val="Trade_Name1"/>
      <sheetName val="WF_Detail1"/>
      <sheetName val="TAB_-_ET1"/>
      <sheetName val="TAB_-_Cust1"/>
      <sheetName val="TAB_-_WF1"/>
      <sheetName val="TAB_-_TN1"/>
      <sheetName val="TAB_-_Backlog1"/>
      <sheetName val="Inputs_&amp;_Assumptions1"/>
      <sheetName val="EY_USE_ONLY1"/>
      <sheetName val="&quot;B&quot;_intrinsèque1"/>
      <sheetName val="Tech_norms1"/>
      <sheetName val="Simul2000_371"/>
      <sheetName val="Jupiter_IS2"/>
      <sheetName val="Jupiter_BSCF2"/>
      <sheetName val="Jupiter_Rat2"/>
      <sheetName val="Jupiter_DCF12"/>
      <sheetName val="Jupiter_DCF22"/>
      <sheetName val="Saturn_IS2"/>
      <sheetName val="Saturn_BSCF2"/>
      <sheetName val="Saturn_DCF12"/>
      <sheetName val="Saturn_DCF22"/>
      <sheetName val="Saturn_Ratios2"/>
      <sheetName val="Inc_Stmt1"/>
      <sheetName val="Tech_Placement1"/>
      <sheetName val="Inc_Stmt_Sensitivities1"/>
      <sheetName val="Other_Sensitivities1"/>
      <sheetName val="Private_Round1"/>
      <sheetName val="Expense_Margins_&amp;_Other1"/>
      <sheetName val="D_&amp;_A1"/>
      <sheetName val="Working_Capital1"/>
      <sheetName val="Balance_Sheet1"/>
      <sheetName val="External_Revenue1"/>
      <sheetName val="Internal_Revenue1"/>
      <sheetName val="Financial_Build-up1"/>
      <sheetName val="Entertainment_Build-up1"/>
      <sheetName val="Hosting_Build-Up1"/>
      <sheetName val="Non_Tech_HC-_Off1"/>
      <sheetName val="Non_Tech_HC-_On1"/>
      <sheetName val="Cost_Assumptions1"/>
      <sheetName val="P_&amp;_L1"/>
      <sheetName val="Valuation_Summary_20041"/>
      <sheetName val="Valuation_Summary1"/>
      <sheetName val="Valuation_Summary_(05)1"/>
      <sheetName val="Shares_&amp;_Options_Summary1"/>
      <sheetName val="Valuation_Summary_(2)1"/>
      <sheetName val="Global_Retail1"/>
      <sheetName val="Global_Direct1"/>
      <sheetName val="Regal_Accept_1"/>
      <sheetName val="Sale_of_Retail1"/>
      <sheetName val="1998_Unit_Breakdown1"/>
      <sheetName val="1997_Unit_Breakdown_1"/>
      <sheetName val="1996_Unit_Breakdown1"/>
      <sheetName val="1231_Balance_Sheet1"/>
      <sheetName val="331_Balance_Sheet1"/>
      <sheetName val="Retail_Direct_Selling1"/>
      <sheetName val="Gross_Margin1"/>
      <sheetName val="RAC_Admin1"/>
      <sheetName val="Sources_&amp;_Uses1"/>
      <sheetName val="Appl__of_total_proceeds1"/>
      <sheetName val="Sale_of_receivables_1"/>
      <sheetName val="Financial_Summary1"/>
      <sheetName val="Financial_Projections1"/>
      <sheetName val="Multiples_Retail1"/>
      <sheetName val="Multiples_Direct_1"/>
      <sheetName val="Multiples_KF_SM1"/>
      <sheetName val="Retail_DCF1"/>
      <sheetName val="Direct_DCF1"/>
      <sheetName val="KF_SM_DCF_1"/>
      <sheetName val="Brand_Value_DCF1"/>
      <sheetName val="Detailed_BS1"/>
      <sheetName val="purch_price1"/>
      <sheetName val="Workforce_Value1"/>
      <sheetName val="_Workforce_Life1"/>
      <sheetName val="_Customers1"/>
      <sheetName val="Return_on_Assets1"/>
      <sheetName val="Excess_Earnings1"/>
      <sheetName val="Tax_Amort1"/>
      <sheetName val="ECI_-_Projected_IS1"/>
      <sheetName val="EBITDA_Detail_2001-20031"/>
      <sheetName val="Balance_Sheet_Dec_2001x1"/>
      <sheetName val="Balance_Sheet_Dec_20001"/>
      <sheetName val="Current Inputs"/>
      <sheetName val="Demand"/>
      <sheetName val="PHS CapEx"/>
      <sheetName val="Contents"/>
      <sheetName val="Scen1"/>
      <sheetName val="Sensitivity"/>
      <sheetName val="Total Market"/>
      <sheetName val="Revenues"/>
      <sheetName val="GSM CapEx"/>
      <sheetName val="OpEx"/>
      <sheetName val="P and L"/>
      <sheetName val="Balance"/>
      <sheetName val="Funds and Valuation"/>
      <sheetName val="Graphics Summary"/>
      <sheetName val="Financial Chart"/>
      <sheetName val="Cashflow Chart"/>
      <sheetName val="Revenue Chart"/>
      <sheetName val="Cell Sites"/>
      <sheetName val="CapEx Chart"/>
      <sheetName val="OpEx Chart"/>
      <sheetName val="Demand Chart"/>
      <sheetName val="Co__C3"/>
      <sheetName val="THREE_VARIABLES3"/>
      <sheetName val="Power_&amp;_Fuel(c)3"/>
      <sheetName val="Power_&amp;_Fuel(SMS)3"/>
      <sheetName val="Power_&amp;_Fuel(new)3"/>
      <sheetName val="Power_&amp;_Fuel_(S)3"/>
      <sheetName val="Returns_Backup3"/>
      <sheetName val="Control_Panel3"/>
      <sheetName val="Credit_ratios3"/>
      <sheetName val="Interest_Rates3"/>
      <sheetName val="Opening_BS3"/>
      <sheetName val="Returns_Backup_(2)3"/>
      <sheetName val="Return_3"/>
      <sheetName val="Opting_assum__Fixed_Fire3"/>
      <sheetName val="Opting_assum__Mobile_Fire3"/>
      <sheetName val="Return_Summary3"/>
      <sheetName val="synthgraph_COMPS2"/>
      <sheetName val="Pro_Forma_(2)3"/>
      <sheetName val="Output_(GAAP)_(2)3"/>
      <sheetName val="Output_(2)3"/>
      <sheetName val="Pro_Forma3"/>
      <sheetName val="Output_(GAAP)3"/>
      <sheetName val="Contr_-_FD3"/>
      <sheetName val="Contr_-_TM3"/>
      <sheetName val="Adjusted_Contribution3"/>
      <sheetName val="Cash_Burn3"/>
      <sheetName val="CapSum-Top_hat3"/>
      <sheetName val="DCF-Tux_Mgt_20013"/>
      <sheetName val="DCF-Tux_Mgt_20023"/>
      <sheetName val="DCF-Tux_Mgt_2001_Norm3"/>
      <sheetName val="DCF-Tux_Str_Estimates3"/>
      <sheetName val="DCF-Top_Hat_mgt3"/>
      <sheetName val="DCF-Top_Hat_Str_Est_3"/>
      <sheetName val="DCF-Top_Hat_Synergies3"/>
      <sheetName val="MSDW_SbyS3"/>
      <sheetName val="Combination_-_Street_Est_3"/>
      <sheetName val="PF_W-O_Synergies3"/>
      <sheetName val="Combination_-Management_Est_3"/>
      <sheetName val="Top_Hat3"/>
      <sheetName val="Analyst_Avg3"/>
      <sheetName val="Synergy_Sensitivity3"/>
      <sheetName val="LBO_Assum3"/>
      <sheetName val="LBO_IS3"/>
      <sheetName val="LBO__BSCF3"/>
      <sheetName val="LBO_Ratios3"/>
      <sheetName val="LBO_Returns3"/>
      <sheetName val="PF_EPS13"/>
      <sheetName val="PF_EPS23"/>
      <sheetName val="PF_Ratios3"/>
      <sheetName val="Summary_FS3"/>
      <sheetName val="Sources_and_Uses3"/>
      <sheetName val="Acc_Dil3"/>
      <sheetName val="Cash_Acc_Dil3"/>
      <sheetName val="Summary_Credit_Stats3"/>
      <sheetName val="Summary_Debt_Paydown3"/>
      <sheetName val="Growth_Analysis3"/>
      <sheetName val="Conv_Returns_Summary3"/>
      <sheetName val="Class_A_Returns_Summary3"/>
      <sheetName val="Stk_Price_Acc_Dil3"/>
      <sheetName val="Pro_Forma&gt;&gt;3"/>
      <sheetName val="Convertible_Returns3"/>
      <sheetName val="Class_A_Returns3"/>
      <sheetName val="PIK_Returns3"/>
      <sheetName val="99_and_LTM_PF3"/>
      <sheetName val="TargIS_£3"/>
      <sheetName val="TargBSCF_£3"/>
      <sheetName val="TargIS_$3"/>
      <sheetName val="TargBSCF_$3"/>
      <sheetName val="--NOT_USED--3"/>
      <sheetName val="increm_pf2"/>
      <sheetName val="Invested_capital_VDF3"/>
      <sheetName val="Summary_Page_VDF3"/>
      <sheetName val="PV_of_Op_Leases_VDF3"/>
      <sheetName val="8__Ratio3"/>
      <sheetName val="Trade_Name2"/>
      <sheetName val="WF_Detail2"/>
      <sheetName val="TAB_-_ET2"/>
      <sheetName val="TAB_-_Cust2"/>
      <sheetName val="TAB_-_WF2"/>
      <sheetName val="TAB_-_TN2"/>
      <sheetName val="TAB_-_Backlog2"/>
      <sheetName val="Inputs_&amp;_Assumptions2"/>
      <sheetName val="EY_USE_ONLY2"/>
      <sheetName val="&quot;B&quot;_intrinsèque2"/>
      <sheetName val="Tech_norms2"/>
      <sheetName val="Simul2000_372"/>
      <sheetName val="Jupiter_IS3"/>
      <sheetName val="Jupiter_BSCF3"/>
      <sheetName val="Jupiter_Rat3"/>
      <sheetName val="Jupiter_DCF13"/>
      <sheetName val="Jupiter_DCF23"/>
      <sheetName val="Saturn_IS3"/>
      <sheetName val="Saturn_BSCF3"/>
      <sheetName val="Saturn_DCF13"/>
      <sheetName val="Saturn_DCF23"/>
      <sheetName val="Saturn_Ratios3"/>
      <sheetName val="Inc_Stmt2"/>
      <sheetName val="Tech_Placement2"/>
      <sheetName val="Inc_Stmt_Sensitivities2"/>
      <sheetName val="Other_Sensitivities2"/>
      <sheetName val="Private_Round2"/>
      <sheetName val="Expense_Margins_&amp;_Other2"/>
      <sheetName val="D_&amp;_A2"/>
      <sheetName val="Working_Capital2"/>
      <sheetName val="Balance_Sheet2"/>
      <sheetName val="External_Revenue2"/>
      <sheetName val="Internal_Revenue2"/>
      <sheetName val="Financial_Build-up2"/>
      <sheetName val="Entertainment_Build-up2"/>
      <sheetName val="Hosting_Build-Up2"/>
      <sheetName val="Non_Tech_HC-_Off2"/>
      <sheetName val="Non_Tech_HC-_On2"/>
      <sheetName val="Cost_Assumptions2"/>
      <sheetName val="P_&amp;_L2"/>
      <sheetName val="Valuation_Summary_20042"/>
      <sheetName val="Valuation_Summary2"/>
      <sheetName val="Valuation_Summary_(05)2"/>
      <sheetName val="Shares_&amp;_Options_Summary2"/>
      <sheetName val="Valuation_Summary_(2)2"/>
      <sheetName val="Global_Retail2"/>
      <sheetName val="Global_Direct2"/>
      <sheetName val="Regal_Accept_2"/>
      <sheetName val="Sale_of_Retail2"/>
      <sheetName val="1998_Unit_Breakdown2"/>
      <sheetName val="1997_Unit_Breakdown_2"/>
      <sheetName val="1996_Unit_Breakdown2"/>
      <sheetName val="1231_Balance_Sheet2"/>
      <sheetName val="331_Balance_Sheet2"/>
      <sheetName val="Retail_Direct_Selling2"/>
      <sheetName val="Gross_Margin2"/>
      <sheetName val="RAC_Admin2"/>
      <sheetName val="Sources_&amp;_Uses2"/>
      <sheetName val="Appl__of_total_proceeds2"/>
      <sheetName val="Sale_of_receivables_2"/>
      <sheetName val="Financial_Summary2"/>
      <sheetName val="Financial_Projections2"/>
      <sheetName val="Multiples_Retail2"/>
      <sheetName val="Multiples_Direct_2"/>
      <sheetName val="Multiples_KF_SM2"/>
      <sheetName val="Retail_DCF2"/>
      <sheetName val="Direct_DCF2"/>
      <sheetName val="KF_SM_DCF_2"/>
      <sheetName val="Brand_Value_DCF2"/>
      <sheetName val="Detailed_BS2"/>
      <sheetName val="purch_price2"/>
      <sheetName val="Workforce_Value2"/>
      <sheetName val="_Workforce_Life2"/>
      <sheetName val="_Customers2"/>
      <sheetName val="Return_on_Assets2"/>
      <sheetName val="Excess_Earnings2"/>
      <sheetName val="Tax_Amort2"/>
      <sheetName val="ECI_-_Projected_IS2"/>
      <sheetName val="EBITDA_Detail_2001-20032"/>
      <sheetName val="Balance_Sheet_Dec_2001x2"/>
      <sheetName val="Balance_Sheet_Dec_20002"/>
      <sheetName val="Gross Margin Inputs"/>
      <sheetName val="Iprodine"/>
      <sheetName val="CLOSE"/>
      <sheetName val="Monthly"/>
      <sheetName val="CoSumm"/>
      <sheetName val="GPG"/>
      <sheetName val="ECT"/>
      <sheetName val="EUROPE"/>
      <sheetName val="EOG"/>
      <sheetName val="EINT"/>
      <sheetName val="CFEOTT"/>
      <sheetName val="PGC"/>
      <sheetName val="EREC"/>
      <sheetName val="EES"/>
      <sheetName val="CORP"/>
      <sheetName val="ECM"/>
      <sheetName val="FIN"/>
      <sheetName val="EOGMI"/>
      <sheetName val="EESMI"/>
      <sheetName val="ERECMI"/>
      <sheetName val="MAC"/>
      <sheetName val="IndCoVariance"/>
      <sheetName val="Variance"/>
      <sheetName val="CONSOL_MOD"/>
      <sheetName val="PRINT_MOD"/>
      <sheetName val="PRINT_RESET_MOD"/>
      <sheetName val="CO_SUM_MOD"/>
      <sheetName val="MISC_MOD"/>
      <sheetName val="VARIANCE_MODULE"/>
      <sheetName val="Foundation Creek"/>
      <sheetName val="Econ Model"/>
      <sheetName val="LowBTU Gath"/>
      <sheetName val="MesaTap"/>
      <sheetName val="North Douglas"/>
      <sheetName val="Rifle-Bolton"/>
      <sheetName val="Rifle"/>
      <sheetName val="Operations"/>
      <sheetName val="CreditStats"/>
      <sheetName val="CHS IRR"/>
      <sheetName val="Mezz IRR"/>
      <sheetName val="Pref IRR"/>
      <sheetName val="Cap Structure Chart"/>
      <sheetName val="Chart2"/>
      <sheetName val="CHS Deals"/>
      <sheetName val="Buyout Comps"/>
      <sheetName val="Macros"/>
      <sheetName val="Sales 2003"/>
      <sheetName val="Metrocall"/>
      <sheetName val="Arch"/>
      <sheetName val=" WLNK Cap"/>
      <sheetName val="ARCH PF"/>
      <sheetName val="Pacific"/>
      <sheetName val="FC switches"/>
      <sheetName val="ITALY"/>
      <sheetName val="Q4commit"/>
      <sheetName val="Data"/>
      <sheetName val="Q2'02 Commit"/>
      <sheetName val="T&amp;E"/>
      <sheetName val="CRITERIA5"/>
      <sheetName val="CRITERIA6"/>
      <sheetName val="Sheet7"/>
      <sheetName val="Sensetivities"/>
      <sheetName val="Rev Growth Rate"/>
      <sheetName val="List Values"/>
      <sheetName val="Consolidating Balance Sht"/>
      <sheetName val="מאזן ורוו&quot;ה"/>
      <sheetName val="Stucture A"/>
      <sheetName val="Matrix A"/>
      <sheetName val="Stucture B"/>
      <sheetName val="Matrix B"/>
      <sheetName val="Stucture C"/>
      <sheetName val="Matrix C"/>
      <sheetName val="Sale"/>
      <sheetName val="Rev_Comb"/>
      <sheetName val="Rev_Val"/>
      <sheetName val="proj"/>
      <sheetName val="dist"/>
      <sheetName val="Do not use"/>
      <sheetName val="Process Tools-Owned"/>
      <sheetName val="Currency"/>
      <sheetName val="OID"/>
      <sheetName val="Notes"/>
      <sheetName val="Email"/>
      <sheetName val="Ad Rev"/>
      <sheetName val="Subs rev templ"/>
      <sheetName val="Views"/>
      <sheetName val="Yrly_IS"/>
      <sheetName val="Qtrly_IS"/>
      <sheetName val="Mnthly_IS"/>
      <sheetName val="Yrly_BS"/>
      <sheetName val="Qtrly_BS"/>
      <sheetName val="Mnthly_BS"/>
      <sheetName val="Yrly_CF"/>
      <sheetName val="Qtrly_CF"/>
      <sheetName val="Mnthly_CF"/>
      <sheetName val="Payroll Bridge"/>
      <sheetName val="Executive"/>
      <sheetName val="Marketing"/>
      <sheetName val="Shared Services"/>
      <sheetName val="Sales"/>
      <sheetName val="StarCite"/>
      <sheetName val="Ops"/>
      <sheetName val="Development"/>
      <sheetName val="Interntl"/>
      <sheetName val="Bus Dev"/>
      <sheetName val="Restaurant"/>
      <sheetName val="Personnel Templ"/>
      <sheetName val="T&amp;E Expense"/>
      <sheetName val="Ad Destination"/>
      <sheetName val="Corporate"/>
      <sheetName val="Transactions"/>
      <sheetName val="Travel Agency"/>
      <sheetName val="Subscriber fees -users"/>
      <sheetName val="Silver"/>
      <sheetName val="Platinum"/>
      <sheetName val="Bronze"/>
      <sheetName val="Gold"/>
      <sheetName val="DMC"/>
      <sheetName val="International"/>
      <sheetName val="NonSubscriber Sourcing"/>
      <sheetName val="Starcite Sourcing"/>
      <sheetName val="Subscriber-Sourcing"/>
      <sheetName val="Hot Space"/>
      <sheetName val="Auction Rev"/>
      <sheetName val="Subscriber Fees"/>
      <sheetName val="Web Reg"/>
      <sheetName val="Site Training"/>
      <sheetName val="Cancelled Space"/>
      <sheetName val="Ad Hoc"/>
      <sheetName val="Cruise Rev"/>
      <sheetName val="Support Calls"/>
      <sheetName val="Supplier Salesforce"/>
      <sheetName val="Maritz"/>
      <sheetName val="Helms Briscoe"/>
      <sheetName val="McGettigan"/>
      <sheetName val="Non Financial Stats"/>
      <sheetName val="Airlines"/>
      <sheetName val="Trans Templ"/>
      <sheetName val="Warrants"/>
      <sheetName val="R&amp;D Expense"/>
      <sheetName val="S&amp;M Expense"/>
      <sheetName val="Total Employees"/>
      <sheetName val="G&amp;A Expense"/>
      <sheetName val="Annual templ"/>
      <sheetName val="Const Templ"/>
      <sheetName val="Entry templ"/>
      <sheetName val="Rev Bridge Monthly"/>
      <sheetName val="Rev Bridge"/>
      <sheetName val="Rev By Client"/>
      <sheetName val="Liability Bridge"/>
      <sheetName val="Asset Bridge"/>
      <sheetName val="Bridge"/>
      <sheetName val="Technology"/>
      <sheetName val="Other Assumptions"/>
      <sheetName val="Spare Sheet"/>
      <sheetName val="AC"/>
      <sheetName val="CX"/>
      <sheetName val="MH"/>
      <sheetName val="NZ"/>
      <sheetName val="SQ"/>
      <sheetName val="TG"/>
      <sheetName val="UA"/>
      <sheetName val="Points"/>
      <sheetName val="Main"/>
      <sheetName val="Volume Assessment Aus"/>
      <sheetName val="CUS"/>
      <sheetName val="Land Sales"/>
      <sheetName val="Validation"/>
      <sheetName val="Prepayment Penalty"/>
      <sheetName val="21220.Essbase"/>
      <sheetName val="2000年売上顧客別"/>
      <sheetName val="form26"/>
      <sheetName val="Security"/>
      <sheetName val="The_Sheet"/>
      <sheetName val="UCC"/>
      <sheetName val="TAB"/>
      <sheetName val="Public"/>
      <sheetName val="Info"/>
      <sheetName val="SKOBSCF"/>
      <sheetName val="1Q98"/>
      <sheetName val="EU Comps"/>
      <sheetName val="laroux"/>
      <sheetName val="Summary (Other Side)"/>
      <sheetName val="Summary (Greenhill)"/>
      <sheetName val="Merlin_Inputs"/>
      <sheetName val="Camelot_Inputs"/>
      <sheetName val="Value Matrix"/>
      <sheetName val="Merlin Cases"/>
      <sheetName val="Calcs and Matrix"/>
      <sheetName val="$ Value Cost Savings"/>
      <sheetName val="Merlin Restructure"/>
      <sheetName val="Pro Form BS"/>
      <sheetName val="Cam Projections"/>
      <sheetName val="Reconciliation"/>
      <sheetName val="Merlin_Camelot Newco"/>
      <sheetName val="Camelot_DCF"/>
      <sheetName val="Merlin_Camelot Newco DCF"/>
      <sheetName val="control"/>
      <sheetName val="Food Comps"/>
      <sheetName val="Basic Inputs"/>
      <sheetName val="Morgan Stanley"/>
      <sheetName val="Year"/>
      <sheetName val="CEDBUDGET"/>
      <sheetName val="UK Gaming"/>
      <sheetName val="Real"/>
      <sheetName val="DIC05"/>
      <sheetName val="MZO"/>
      <sheetName val="SEP"/>
      <sheetName val="mweqpt"/>
      <sheetName val="conciliacion contable fisca (2)"/>
      <sheetName val="conciliacion contable fiscal"/>
      <sheetName val="InputAltasCanal"/>
      <sheetName val="GRUPO"/>
      <sheetName val="R2002"/>
      <sheetName val="tablas y rangos"/>
      <sheetName val="Tvsa"/>
      <sheetName val="Cedula de observ"/>
      <sheetName val="workerscomp"/>
      <sheetName val="Incomestatehistorynetsales"/>
      <sheetName val="Incomestatehistorybooksales"/>
      <sheetName val="Adjustedgrossmarginhistory"/>
      <sheetName val="Balancesheetsummary"/>
      <sheetName val="Cashflowsumary"/>
      <sheetName val="Incomestatementsummary"/>
      <sheetName val="Incomestatementsummaryqt1"/>
      <sheetName val="Incomestatementsummaryqt2"/>
      <sheetName val="Incomestatementsummaryqt3"/>
      <sheetName val="Incomestatementsummaryqt4"/>
      <sheetName val="Incomestatementsummarymonit"/>
      <sheetName val="Incomestatemonitorqt1"/>
      <sheetName val="Incomestatemonitorqt2"/>
      <sheetName val="Incomestatemonitorqt3"/>
      <sheetName val="Incomestatemonitorqt4"/>
      <sheetName val="Incomestatementsummarycasting"/>
      <sheetName val="Incomestatecastingqt1 "/>
      <sheetName val="Incomestatecastingqt2"/>
      <sheetName val="Incomestatecastingqt3"/>
      <sheetName val="Incomestatecastingqt4"/>
      <sheetName val="Incomestatementsummaryhaight"/>
      <sheetName val="Incomestatehaightqt1"/>
      <sheetName val="Incomestatehaightqt2"/>
      <sheetName val="Incomestatehaightqt3"/>
      <sheetName val="Incomestatehaightqt4"/>
      <sheetName val="prepaidlia"/>
      <sheetName val="Cash Flow"/>
      <sheetName val="EBITDA"/>
      <sheetName val="Company P&amp;L"/>
      <sheetName val="Monitor P&amp;L"/>
      <sheetName val="Casting P&amp;L"/>
      <sheetName val="Haight P&amp;L"/>
      <sheetName val="Cash Flow Support - January"/>
      <sheetName val="Cash Flow Support - February"/>
      <sheetName val="Cash Flow Support - March"/>
      <sheetName val="Cash Flow Support - April"/>
      <sheetName val="Cash Flow Support - May"/>
      <sheetName val="Cash Flow Support - June"/>
      <sheetName val="Cash Flow Support - July"/>
      <sheetName val="Cash Flow Support - August"/>
      <sheetName val="Cash Flow Support - September"/>
      <sheetName val="Cash Flow Support - October"/>
      <sheetName val="Cash Flow Support - November"/>
      <sheetName val="Cash Flow Support - December"/>
      <sheetName val="plqtr06"/>
      <sheetName val="inccompare"/>
      <sheetName val="inccompare (2)"/>
      <sheetName val="castingb"/>
      <sheetName val="castingb (2)"/>
      <sheetName val="monitor"/>
      <sheetName val="monitor (2)"/>
      <sheetName val="haight"/>
      <sheetName val="haight (2)"/>
      <sheetName val="FOUNDRY"/>
      <sheetName val="FACTORY"/>
      <sheetName val="COMBINEDOVAR"/>
      <sheetName val="energy"/>
      <sheetName val="energyallocation"/>
      <sheetName val="ratereview"/>
      <sheetName val="ratereview (2)"/>
      <sheetName val="stdimpact"/>
      <sheetName val="budgetovar04"/>
      <sheetName val="budgetovar06"/>
      <sheetName val="budgetovar06 (2)"/>
      <sheetName val="CORP SUMMARY"/>
      <sheetName val="HEALTHMEDICAL"/>
      <sheetName val="DENTAL"/>
      <sheetName val="propins"/>
      <sheetName val="propinsalloc"/>
      <sheetName val="Capitalbudgetproir1 "/>
      <sheetName val="Capitalbudgetproior2 "/>
      <sheetName val="Capitalbudgetproior3 "/>
      <sheetName val="Capitalbudget04"/>
      <sheetName val="Personel allocations"/>
      <sheetName val="Criterion"/>
      <sheetName val="Sensitivities"/>
      <sheetName val="Manual_Batch_Data"/>
      <sheetName val="Amortization Schedules"/>
      <sheetName val="6800"/>
      <sheetName val="Overview"/>
      <sheetName val="ISB - US"/>
      <sheetName val="ISB - EUR"/>
      <sheetName val="ISB - LatAm"/>
      <sheetName val="ISB - Asia"/>
      <sheetName val="ISB - CAD"/>
      <sheetName val="ISB - Corp Elim"/>
      <sheetName val="Output==&gt;"/>
      <sheetName val="Finsum"/>
      <sheetName val="S&amp;U1"/>
      <sheetName val="Case Summary"/>
      <sheetName val="Output Graphs"/>
      <sheetName val="PF Cap"/>
      <sheetName val="At A Glance"/>
      <sheetName val="Football Field"/>
      <sheetName val="WACC Analysis"/>
      <sheetName val="Not Using ==&gt; "/>
      <sheetName val="IS Buildup"/>
      <sheetName val="M&amp;G"/>
      <sheetName val="TAX"/>
      <sheetName val="NAV"/>
      <sheetName val="oresreqsum"/>
      <sheetName val="OpTrack"/>
      <sheetName val="DATA EXPORT-UVI"/>
      <sheetName val="Code Tables"/>
      <sheetName val="BOI IRR"/>
      <sheetName val="98000-127"/>
      <sheetName val="Units-Yield 5"/>
      <sheetName val="Raw Data-TG4"/>
      <sheetName val="גיליון1"/>
      <sheetName val="מודל DCF"/>
      <sheetName val="CS Analysis"/>
      <sheetName val="תחזית-רווהפ"/>
      <sheetName val="הנחות מאזן"/>
      <sheetName val="פחת בספרים"/>
      <sheetName val="חישובי מס"/>
      <sheetName val="מאזנים חזויים"/>
      <sheetName val="גרפים"/>
      <sheetName val="נתונים היסטורים "/>
      <sheetName val="General Inputs"/>
      <sheetName val="Co. Data"/>
      <sheetName val="LOB"/>
      <sheetName val="IBU Capex (000's)"/>
      <sheetName val="Arcade List"/>
      <sheetName val="Offer Exhibit A"/>
      <sheetName val="Assumpt"/>
      <sheetName val="I &amp; E"/>
      <sheetName val="Devel. Budget @ Closing"/>
      <sheetName val="Devel. Budget"/>
      <sheetName val="Rent up"/>
      <sheetName val="Distribution 70-30"/>
      <sheetName val="Bank Loan Payoff"/>
      <sheetName val="depreciation"/>
      <sheetName val="IRR"/>
      <sheetName val="Amort"/>
      <sheetName val="Distribution"/>
      <sheetName val="Income &amp; Expense"/>
      <sheetName val="Leveraged Equity"/>
      <sheetName val="Continuous"/>
      <sheetName val="OutputTemplate"/>
      <sheetName val="MultiplesTemplate"/>
      <sheetName val="MarginsTemplate"/>
      <sheetName val="IN"/>
      <sheetName val="ENT"/>
      <sheetName val="NEWCO"/>
      <sheetName val="Contribution_Analysis"/>
      <sheetName val="Eagle_Pro_Forma_Ownership"/>
      <sheetName val="Foundation_Pro_Forma_Ownership"/>
      <sheetName val="RestrMultiplesTemplate"/>
      <sheetName val="Cov&amp;LevTemplate"/>
      <sheetName val="StockTemplate"/>
      <sheetName val="RanksMultiplesTemplate"/>
      <sheetName val="RanksTemplate"/>
      <sheetName val="SummaryTemplate"/>
      <sheetName val="Pro_Forma_Ownership"/>
      <sheetName val="KPN"/>
      <sheetName val="LBO Assumptions"/>
      <sheetName val="Small Acquisition Assump."/>
      <sheetName val="12.31.07 PFBS"/>
      <sheetName val="12.31.08 PFBS"/>
      <sheetName val="Sensitivity Analysis"/>
      <sheetName val="Spreads"/>
      <sheetName val="DCF - Terminal Value"/>
      <sheetName val="Valuation "/>
      <sheetName val="Performance"/>
      <sheetName val="infor"/>
      <sheetName val="Table000208"/>
      <sheetName val="pellet"/>
      <sheetName val="Annual Financials"/>
      <sheetName val="LBO-Monthly"/>
      <sheetName val="Comp-Pres"/>
      <sheetName val="Val Chart"/>
      <sheetName val="Debt Capacity"/>
      <sheetName val="PrintMacro"/>
      <sheetName val="manager"/>
      <sheetName val="Scenarios"/>
      <sheetName val="financials"/>
      <sheetName val="GISI"/>
      <sheetName val="Moniteur"/>
      <sheetName val="Agri"/>
      <sheetName val="Test"/>
      <sheetName val="Exposium"/>
      <sheetName val="Cadre"/>
      <sheetName val="OpAss (Total)"/>
      <sheetName val="BUDGET"/>
      <sheetName val="Lookups"/>
      <sheetName val="Main_Menu"/>
      <sheetName val="Clause 9"/>
      <sheetName val="CC WISE OLD GL'S"/>
      <sheetName val="Val Matrix"/>
      <sheetName val="Dashboard"/>
      <sheetName val="Cover page"/>
      <sheetName val="Corporate Structure"/>
      <sheetName val="ANAV Life"/>
      <sheetName val="Rankings"/>
      <sheetName val="Assumption"/>
      <sheetName val="Check"/>
      <sheetName val="Patterns"/>
      <sheetName val="ANAV"/>
      <sheetName val="Historical"/>
      <sheetName val="Historical  Walnut + LoB"/>
      <sheetName val="LoB COR"/>
      <sheetName val="LoB data"/>
      <sheetName val="DCF Motor"/>
      <sheetName val="DCF Home"/>
      <sheetName val="DCF Industrial"/>
      <sheetName val="DCF TPL"/>
      <sheetName val="DCF Others"/>
      <sheetName val="DCF Agregator"/>
      <sheetName val="DCF TOTAL LoB"/>
      <sheetName val="UM3"/>
      <sheetName val="PLP"/>
      <sheetName val="Trim"/>
      <sheetName val="DatosLP"/>
      <sheetName val="Show"/>
      <sheetName val="Show(OBSOLETO)"/>
      <sheetName val="ANEXO1"/>
      <sheetName val="ANEXO2"/>
      <sheetName val="ANEXO3"/>
      <sheetName val="ANEXO4"/>
      <sheetName val="ANEXO5"/>
      <sheetName val="ANEXO6"/>
      <sheetName val="ANEXO7"/>
      <sheetName val="ANEXO 6,7"/>
      <sheetName val="ANEXO8"/>
      <sheetName val="ANEXO10"/>
      <sheetName val="ANEXO11"/>
      <sheetName val="ANEXO12"/>
      <sheetName val="TC"/>
      <sheetName val="INTEG. VENTAS"/>
      <sheetName val="RESUMEN"/>
      <sheetName val="TRIMESTRAL"/>
      <sheetName val="EDO_RESUL_INDEXADO"/>
      <sheetName val="EFIN_INGLES"/>
      <sheetName val="Turkey Chart"/>
      <sheetName val="South Africa Chart"/>
      <sheetName val="US Dollar Chart"/>
      <sheetName val="Euro Rate"/>
      <sheetName val="Zim$"/>
      <sheetName val="Weekly Rates"/>
      <sheetName val="Monthly Averages"/>
      <sheetName val="Month End Closing"/>
      <sheetName val="Weighted Averages"/>
      <sheetName val="Output Report (Jan only)"/>
      <sheetName val="Output Report"/>
      <sheetName val="currload.dat file"/>
      <sheetName val="MACS Codes"/>
      <sheetName val="BPC Load Closing"/>
      <sheetName val="BPC Load Average"/>
      <sheetName val="BPC Load No Conv"/>
      <sheetName val="BPC Load Budget"/>
      <sheetName val="EVDRE_DATACACHE"/>
      <sheetName val="YTD Actual Averages"/>
      <sheetName val="Forecast Control Sheet"/>
      <sheetName val="Forecast Averages"/>
      <sheetName val="Forecast Closing"/>
      <sheetName val="currload.dat file Actuals"/>
      <sheetName val="currload.dat file Forecast"/>
      <sheetName val="Corgi Load Actuals"/>
      <sheetName val="Corgi Load Forecast"/>
      <sheetName val="Argentina Chart"/>
      <sheetName val="Australia Chart"/>
      <sheetName val="Brazil Chart"/>
      <sheetName val="Canada Chart"/>
      <sheetName val="China Chart"/>
      <sheetName val="Colombia Chart"/>
      <sheetName val="Denmark Chart"/>
      <sheetName val="Euro Chart"/>
      <sheetName val="Guat Chart"/>
      <sheetName val="HK Chart"/>
      <sheetName val="Hungary Chart"/>
      <sheetName val="India Chart"/>
      <sheetName val="Japan Chart"/>
      <sheetName val="Mexico Chart"/>
      <sheetName val="Poland Chart"/>
      <sheetName val="Singapore Chart"/>
      <sheetName val="Korea Chart"/>
      <sheetName val="Taiwan Chart"/>
      <sheetName val="USA Chart"/>
      <sheetName val="Output Report Forecast"/>
      <sheetName val="Output Report Forecast (2)"/>
      <sheetName val="Sheet282"/>
      <sheetName val="Output Forecast 2 with % Moves"/>
      <sheetName val="FLASH"/>
      <sheetName val="Output Report Forecast (3)"/>
      <sheetName val="Look Ups"/>
      <sheetName val="Corgi Load Weekly"/>
      <sheetName val="P&amp;L February"/>
      <sheetName val="P&amp;L Feb 2001 cumulative"/>
      <sheetName val="Page 1"/>
      <sheetName val="Compacq"/>
      <sheetName val="LTM"/>
      <sheetName val="NFY"/>
      <sheetName val="LBO Sensitivity"/>
      <sheetName val="LBO IRR"/>
      <sheetName val="Income"/>
      <sheetName val="Target Finsum"/>
      <sheetName val="Target Oper and FCF"/>
      <sheetName val="Target BS and ULCFC"/>
      <sheetName val="Multiple Analysis"/>
      <sheetName val="DCF Perpet Growth"/>
      <sheetName val="Summary 2"/>
      <sheetName val="Segment Buildups"/>
      <sheetName val="Savings Buildups"/>
      <sheetName val="Cashflow Statements"/>
      <sheetName val="PurchasesSales"/>
      <sheetName val="Earnings (Asset)"/>
      <sheetName val="Earnings (Maturity)"/>
      <sheetName val="Statement"/>
      <sheetName val="Outputs"/>
      <sheetName val="Detail Schedule"/>
      <sheetName val="6 TRS"/>
      <sheetName val="Corp Sum Calcs"/>
      <sheetName val="CAPEX for Override"/>
      <sheetName val="Cover Sheet"/>
      <sheetName val="Print 1"/>
      <sheetName val="Print 2"/>
      <sheetName val="Risk Mang Cont - Print"/>
      <sheetName val="Debt Financing - Print"/>
      <sheetName val="Contribution Analysis - Print"/>
      <sheetName val="Working Capital &amp; Int Expense"/>
      <sheetName val="Corp Sum"/>
      <sheetName val="2009 Projection"/>
      <sheetName val="2010 Projection"/>
      <sheetName val="2011 Projection"/>
      <sheetName val="2012 Projection"/>
      <sheetName val="2013 Projection"/>
      <sheetName val="5 Year Projection"/>
      <sheetName val="Corp Sum per BOE"/>
      <sheetName val="PRICES"/>
      <sheetName val="Strips"/>
      <sheetName val="Switches"/>
      <sheetName val="DD&amp;A"/>
      <sheetName val="BCER DD&amp;A Calc"/>
      <sheetName val="Hedging"/>
      <sheetName val="BCEOC DD&amp;A Calcs"/>
      <sheetName val="Begin_Sum"/>
      <sheetName val="Kern River"/>
      <sheetName val="Midway Sunset"/>
      <sheetName val="REX"/>
      <sheetName val="Hambert"/>
      <sheetName val="Riverside"/>
      <sheetName val="Sargent"/>
      <sheetName val="McCallum"/>
      <sheetName val="Red Springs"/>
      <sheetName val="Greeley"/>
      <sheetName val="Edison"/>
      <sheetName val="End_BCEOC"/>
      <sheetName val="Atlanta"/>
      <sheetName val="Beech Creek"/>
      <sheetName val="Dorcheat"/>
      <sheetName val="McKamie"/>
      <sheetName val="Plant"/>
      <sheetName val="Adjustments"/>
      <sheetName val="End_Sum"/>
      <sheetName val="Jasmin"/>
      <sheetName val="Midway Sunset PDP"/>
      <sheetName val="Midway Sunset PNP"/>
      <sheetName val="Midway Sunset PUD"/>
      <sheetName val="Midway Sunset Probable"/>
      <sheetName val="Midway Sunset Possible"/>
      <sheetName val="REX PDP"/>
      <sheetName val="REX PNP"/>
      <sheetName val="REX PUD"/>
      <sheetName val="REX Probable"/>
      <sheetName val="REX Possible"/>
      <sheetName val="Hambert PDP"/>
      <sheetName val="Hambert PNP"/>
      <sheetName val="Hambert PUD"/>
      <sheetName val="Hambert Probable"/>
      <sheetName val="Hambert Possible"/>
      <sheetName val="Riverside PDP"/>
      <sheetName val="Riverside PNP"/>
      <sheetName val="Riverside PUD"/>
      <sheetName val="Riverside Probable"/>
      <sheetName val="Riverside Possible"/>
      <sheetName val="Sargent PDP"/>
      <sheetName val="Sargent PNP"/>
      <sheetName val="Sargent PUD"/>
      <sheetName val="Sargent Probable"/>
      <sheetName val="Sargent Possible"/>
      <sheetName val="McCallum PDP"/>
      <sheetName val="McCallum PNP"/>
      <sheetName val="McCallum PUD"/>
      <sheetName val="McCallum Probable"/>
      <sheetName val="McCallum Possible"/>
      <sheetName val="Red Springs PDP"/>
      <sheetName val="Red Springs PNP"/>
      <sheetName val="Red Springs PUD"/>
      <sheetName val="Red Springs Probable"/>
      <sheetName val="Red Springs Possible"/>
      <sheetName val="Jasmin PDP"/>
      <sheetName val="Jasmin PNP"/>
      <sheetName val="Jasmin PUD"/>
      <sheetName val="Jasmin Probable"/>
      <sheetName val="Jasmin Possible"/>
      <sheetName val="Greeley PDP"/>
      <sheetName val="Greeley PNP"/>
      <sheetName val="Greeley PUD"/>
      <sheetName val="Greeley Probable"/>
      <sheetName val="Greeley Possible"/>
      <sheetName val="Kern River PDP"/>
      <sheetName val="Kern River PNP"/>
      <sheetName val="Kern River PUD"/>
      <sheetName val="Kern River Probable"/>
      <sheetName val="Kern River Possible"/>
      <sheetName val="Edison PDP"/>
      <sheetName val="Edison PNP"/>
      <sheetName val="Edison PUD"/>
      <sheetName val="Edison Probable"/>
      <sheetName val="Edison Possible"/>
      <sheetName val="Atlanta PDP"/>
      <sheetName val="Atlanta PNP"/>
      <sheetName val="Atlanta PUD"/>
      <sheetName val="Atlanta Probable"/>
      <sheetName val="Atlanta Possible"/>
      <sheetName val="Beech Creek PDP"/>
      <sheetName val="Beech Creek PNP"/>
      <sheetName val="Beech Creek PUD"/>
      <sheetName val="Beech Creek Probable"/>
      <sheetName val="Beech Creek Possible"/>
      <sheetName val="Dorcheat PDP"/>
      <sheetName val="Dorcheat PNP"/>
      <sheetName val="Dorcheat PUD"/>
      <sheetName val="Dorcheat Probable"/>
      <sheetName val="Dorcheat Possible"/>
      <sheetName val="McKamie PDP"/>
      <sheetName val="McKamie PNP"/>
      <sheetName val="McKamie PUD"/>
      <sheetName val="McKamie Probable"/>
      <sheetName val="McKamie Possible"/>
      <sheetName val="Plant PDP"/>
      <sheetName val="Plant PNP"/>
      <sheetName val="Plant PUD"/>
      <sheetName val="Plant Probable"/>
      <sheetName val="Plant Possible"/>
      <sheetName val="consolsum"/>
      <sheetName val="CAM allocation"/>
      <sheetName val="cost_benefits"/>
      <sheetName val="sum_performance"/>
      <sheetName val="for profit"/>
      <sheetName val="Island oper chart"/>
      <sheetName val="jobs"/>
      <sheetName val="construction"/>
      <sheetName val="retail-sales tax"/>
      <sheetName val="hoteltax"/>
      <sheetName val="print instructions"/>
      <sheetName val="Inn"/>
      <sheetName val="Budget Apt."/>
      <sheetName val="ResortConf"/>
      <sheetName val="Spa"/>
      <sheetName val="Banquets"/>
      <sheetName val="Youth Hostel"/>
      <sheetName val="Marina"/>
      <sheetName val="Artisans"/>
      <sheetName val="colonel'srow"/>
      <sheetName val="visitor"/>
      <sheetName val="ferry"/>
      <sheetName val="non-profs"/>
      <sheetName val="prefin-"/>
      <sheetName val="attendance"/>
      <sheetName val="Resortconf_inputs"/>
      <sheetName val="Spa-att"/>
      <sheetName val="Inne"/>
      <sheetName val="youthfest"/>
      <sheetName val="weddings"/>
      <sheetName val="histroy"/>
      <sheetName val="insti"/>
      <sheetName val="amphmarina"/>
      <sheetName val="sportspark"/>
      <sheetName val="parkvisitors (2)"/>
      <sheetName val="mrkts"/>
      <sheetName val="retailcapt"/>
      <sheetName val="retailcapt (2)"/>
      <sheetName val="season-calc"/>
      <sheetName val="weekend"/>
      <sheetName val="do not ptint"/>
      <sheetName val="empl"/>
      <sheetName val="toronto"/>
      <sheetName val="parkvisitors"/>
      <sheetName val="park visitation"/>
      <sheetName val="summary tax"/>
      <sheetName val="chart data"/>
      <sheetName val="chartdata2"/>
      <sheetName val="artschool"/>
      <sheetName val="cultural"/>
      <sheetName val="Nola Park Inst."/>
      <sheetName val="Youth Edu."/>
      <sheetName val="unused"/>
      <sheetName val="EXPENSES"/>
      <sheetName val="FINAL"/>
      <sheetName val="CSCCincSKR"/>
      <sheetName val="pcQueryData"/>
      <sheetName val="_pcSlicerSheet1"/>
      <sheetName val="BSSchedules"/>
      <sheetName val="A"/>
      <sheetName val="bpmTraverse"/>
      <sheetName val="TLXN"/>
      <sheetName val="2008E EBITDA"/>
      <sheetName val="2pgr_target"/>
      <sheetName val="Company Debt"/>
      <sheetName val="Company Calcs"/>
      <sheetName val="LBO Model"/>
      <sheetName val="H&amp;S M&amp;Q Forecast"/>
      <sheetName val="Wind Payment Schedule"/>
      <sheetName val="Operating Model"/>
      <sheetName val="Seller Note"/>
      <sheetName val="Capex Analysis &gt;&gt;&gt;"/>
      <sheetName val="Capex (Hofler)"/>
      <sheetName val="Capex (Wind)"/>
      <sheetName val="Capex (WindUpdate1)"/>
      <sheetName val="Capex (WindUpdate2)"/>
      <sheetName val="Capex (WindUpdate3)"/>
      <sheetName val="H&amp;S Raw Data &gt;&gt;&gt;"/>
      <sheetName val="H&amp;S 2004 Actual"/>
      <sheetName val="H&amp;S 2005 Actual"/>
      <sheetName val="H&amp;S 2006 Actual"/>
      <sheetName val="H&amp;S 2007 Act+Fcst"/>
      <sheetName val="H&amp;S Rolling Ratio Analysis"/>
      <sheetName val="2008 Forecast 4-4-5 Adj"/>
      <sheetName val="GT YTD 06 vs. 07"/>
      <sheetName val="Cost Detail"/>
      <sheetName val="10 Year History"/>
      <sheetName val="Memo Charts &gt;&gt;&gt;"/>
      <sheetName val="Memo Charts"/>
      <sheetName val="Memo Pies"/>
      <sheetName val="Memo BS.Capex"/>
      <sheetName val="IPO"/>
      <sheetName val="IPO B_S"/>
      <sheetName val="IPO_Valuation"/>
      <sheetName val="IPO_PSG"/>
      <sheetName val="AVP"/>
      <sheetName val="Company_Debt"/>
      <sheetName val="Company_Calcs"/>
      <sheetName val="LBO_Model"/>
      <sheetName val="H&amp;S_M&amp;Q_Forecast"/>
      <sheetName val="Wind_Payment_Schedule"/>
      <sheetName val="Operating_Model"/>
      <sheetName val="Seller_Note"/>
      <sheetName val="Capex_Analysis_&gt;&gt;&gt;"/>
      <sheetName val="Capex_(Hofler)"/>
      <sheetName val="Capex_(Wind)"/>
      <sheetName val="Capex_(WindUpdate1)"/>
      <sheetName val="Capex_(WindUpdate2)"/>
      <sheetName val="Capex_(WindUpdate3)"/>
      <sheetName val="H&amp;S_Raw_Data_&gt;&gt;&gt;"/>
      <sheetName val="H&amp;S_2004_Actual"/>
      <sheetName val="H&amp;S_2005_Actual"/>
      <sheetName val="H&amp;S_2006_Actual"/>
      <sheetName val="H&amp;S_2007_Act+Fcst"/>
      <sheetName val="H&amp;S_Rolling_Ratio_Analysis"/>
      <sheetName val="2008_Forecast_4-4-5_Adj"/>
      <sheetName val="GT_YTD_06_vs__07"/>
      <sheetName val="Cost_Detail"/>
      <sheetName val="10_Year_History"/>
      <sheetName val="Memo_Charts_&gt;&gt;&gt;"/>
      <sheetName val="Memo_Charts"/>
      <sheetName val="Memo_Pies"/>
      <sheetName val="Memo_BS_Capex"/>
      <sheetName val="IPO_B_S"/>
      <sheetName val="Synergy DCF"/>
      <sheetName val="C1-2"/>
      <sheetName val="D209"/>
      <sheetName val="Opening Balance Sheet"/>
      <sheetName val="Projections"/>
      <sheetName val="SHTCOMPS"/>
      <sheetName val="Returns"/>
      <sheetName val="ALD New Projections"/>
      <sheetName val="Redox Cust"/>
      <sheetName val="Alternative Channels"/>
      <sheetName val="Incr Sales-Detail"/>
      <sheetName val="Walmart"/>
      <sheetName val="Oxydol-Dollar"/>
      <sheetName val="COGS"/>
      <sheetName val="Freight - WalMart"/>
      <sheetName val="Freight - Others"/>
      <sheetName val="CF 1"/>
      <sheetName val="CF 2"/>
      <sheetName val="NPV1"/>
      <sheetName val="Tgt Disc Notes"/>
      <sheetName val="Pro Forma Bal Sht"/>
      <sheetName val="Annual Model"/>
      <sheetName val="Covenants"/>
      <sheetName val="Quarterly '02"/>
      <sheetName val="Guidance"/>
      <sheetName val="Quarters"/>
      <sheetName val="Valuation"/>
      <sheetName val="Converts"/>
      <sheetName val="Tower counts"/>
      <sheetName val="Tower aging"/>
      <sheetName val="deals"/>
      <sheetName val="Customers"/>
      <sheetName val="Cap Analysis"/>
      <sheetName val="Capital Structure Assumptions"/>
      <sheetName val="Regions"/>
      <sheetName val="AV Quote"/>
      <sheetName val="InputVar"/>
      <sheetName val="MR012 PS Perform"/>
      <sheetName val="2003 PROV"/>
      <sheetName val="FCF Variances"/>
      <sheetName val="FCF"/>
      <sheetName val="&quot;&quot;&quot;"/>
      <sheetName val="AP1000 Highlights"/>
      <sheetName val="Collections"/>
      <sheetName val="BS by Mo"/>
      <sheetName val="Oracle BS"/>
      <sheetName val="2009 BUDGET"/>
      <sheetName val="```"/>
      <sheetName val="IS by Mo"/>
      <sheetName val="Oracle IS"/>
      <sheetName val="IS Forecast"/>
      <sheetName val="Variables"/>
      <sheetName val="JAII Balance"/>
      <sheetName val="JAII Cashflow"/>
      <sheetName val="Base &amp; LBO Assumptions"/>
      <sheetName val="APV"/>
      <sheetName val="Equity Summary"/>
      <sheetName val="Price Summary"/>
      <sheetName val="Covenant 6.10"/>
      <sheetName val="Covenant 6.11"/>
      <sheetName val="JAII Income"/>
      <sheetName val="6) 12.31.16 TB"/>
      <sheetName val="US population projection"/>
      <sheetName val="Loan Calc"/>
      <sheetName val="HECM limits"/>
      <sheetName val="FOBRKUP"/>
      <sheetName val="Drivers and Contents"/>
      <sheetName val="FX"/>
      <sheetName val="Warnings"/>
      <sheetName val="02"/>
      <sheetName val="L.T. Debt"/>
      <sheetName val="Shares &amp; Divs."/>
      <sheetName val="C.A."/>
      <sheetName val="T.S. and Other Cap"/>
      <sheetName val="Input Data"/>
      <sheetName val="Annual Budget"/>
      <sheetName val="Settings"/>
      <sheetName val="Grids"/>
      <sheetName val="Credit Info"/>
      <sheetName val="New Mkt Info"/>
      <sheetName val="Real Estate Comps"/>
      <sheetName val="Reg-Line"/>
      <sheetName val="AIMCO"/>
      <sheetName val="AMLI"/>
      <sheetName val="EQR"/>
      <sheetName val="Region A"/>
      <sheetName val="Region B"/>
      <sheetName val="Region C1"/>
      <sheetName val="Region C2"/>
      <sheetName val="Region C3"/>
      <sheetName val="Region C4"/>
      <sheetName val="Synergies"/>
      <sheetName val="Combination Selection"/>
      <sheetName val="Combined Concession"/>
      <sheetName val="Technical Assumptions"/>
      <sheetName val="Macroeconomic"/>
      <sheetName val="Azurix DCF"/>
      <sheetName val="FinStat"/>
      <sheetName val="Auto Revenue Indexation"/>
      <sheetName val=" CAPEX"/>
      <sheetName val="Depreciation Schedule"/>
      <sheetName val="Taxes Opco"/>
      <sheetName val="Capital Structure"/>
      <sheetName val="S&amp;P"/>
      <sheetName val="BS Projections"/>
      <sheetName val="Regional Requierments"/>
      <sheetName val="_x0000__x0003__x0009_Ā_x000a_&amp;Tools_x0000__x0000__x0004__x0003_Ā_x0008_E&amp;xit Notes_x0000__x0009__x0004_"/>
      <sheetName val="CF"/>
      <sheetName val="Targ_IS"/>
      <sheetName val="Targ_BS"/>
      <sheetName val="Targ_CF"/>
      <sheetName val="Acq_IS"/>
      <sheetName val="Acq_BS"/>
      <sheetName val="Acq_CF"/>
      <sheetName val="Targ_Share Count"/>
      <sheetName val="Targ_DCF"/>
      <sheetName val="CHA_IS_Output"/>
      <sheetName val="X Factor"/>
      <sheetName val="DCFs"/>
      <sheetName val="Assumptions_Output"/>
      <sheetName val="Energia Vendida"/>
      <sheetName val="Tarifa Venda"/>
      <sheetName val="Furnas"/>
      <sheetName val="Tarifa Compra"/>
      <sheetName val="Desp._Receita"/>
      <sheetName val="Investimentos"/>
      <sheetName val="Capitalization"/>
      <sheetName val="_x0000__x0003_ Ā_x000a_&amp;Tools_x0000__x0000__x0004__x0003_Ā_x0008_E&amp;xit Notes_x0000_ _x0004_"/>
      <sheetName val="MARCH04"/>
      <sheetName val="comm_list15"/>
      <sheetName val="RGIL"/>
      <sheetName val="XLR_NoRangeSheet"/>
      <sheetName val="Ann-1"/>
      <sheetName val="10AA"/>
      <sheetName val="CG"/>
      <sheetName val="IT"/>
      <sheetName val="Tax(N)"/>
      <sheetName val="DB"/>
      <sheetName val="AMT"/>
      <sheetName val="AMTC"/>
      <sheetName val="SI"/>
      <sheetName val="Tool-112A"/>
      <sheetName val="Tool-115AD(1)(iii)(p)"/>
      <sheetName val="CYLA-BFLA"/>
      <sheetName val="80G"/>
      <sheetName val="DEP_DCG"/>
      <sheetName val="80GGA"/>
      <sheetName val="RA"/>
      <sheetName val="OS"/>
      <sheetName val="ESR"/>
      <sheetName val="IF"/>
      <sheetName val="PDTCAse"/>
      <sheetName val="HOUSE_PROPERTY"/>
      <sheetName val="80"/>
      <sheetName val="Schedule ICDS"/>
      <sheetName val="MANUFACTURING ACCOUNT"/>
      <sheetName val="PART A - GENERAL(2)"/>
      <sheetName val="PROFIT_LOSS"/>
      <sheetName val="80P"/>
      <sheetName val="VI-A"/>
      <sheetName val="PART A - GENERAL"/>
      <sheetName val="BP"/>
      <sheetName val="EI"/>
      <sheetName val="PART - A OI"/>
      <sheetName val="PARTB - TI - TTI"/>
      <sheetName val="VERIFICATION"/>
      <sheetName val="CFL"/>
      <sheetName val="TR_FA"/>
      <sheetName val="TRADING ACCOUNT"/>
      <sheetName val="Unabsorbed Depreciation"/>
      <sheetName val="Clause_9"/>
      <sheetName val="Cash Flow Working"/>
      <sheetName val="CREDIT STATS"/>
      <sheetName val="Altrus-charges data"/>
      <sheetName val="CHC-charges data"/>
      <sheetName val="External"/>
      <sheetName val="Internal Summary"/>
      <sheetName val="Calcs --&gt;"/>
      <sheetName val="CCFI"/>
      <sheetName val="CACC"/>
      <sheetName val="OLD --&gt;"/>
      <sheetName val="Internal (for word docs)"/>
      <sheetName val="Title"/>
      <sheetName val="Dialog1"/>
      <sheetName val="Dialog5"/>
      <sheetName val="FinStat Dummy"/>
      <sheetName val="Financial statements"/>
      <sheetName val="Growth assumptions"/>
      <sheetName val="Standard driver"/>
      <sheetName val="Standard page"/>
      <sheetName val="Dialog2"/>
      <sheetName val="Graphs"/>
      <sheetName val="Assumptions and valuation"/>
      <sheetName val="EVA"/>
      <sheetName val="Guidance notes"/>
      <sheetName val="Do not alter!"/>
      <sheetName val="CA-8"/>
      <sheetName val="Payments - scans sold"/>
      <sheetName val="Payments - Collections"/>
      <sheetName val="Pivot - Charges InHouse"/>
      <sheetName val="REVENUE FY97"/>
      <sheetName val="ReserveTable"/>
      <sheetName val="qtr inc stmt"/>
      <sheetName val="yr inc stmt"/>
      <sheetName val="G&amp;A salaries"/>
      <sheetName val="Dev salaries"/>
      <sheetName val="Home Rollout"/>
      <sheetName val="UK Dev SS"/>
      <sheetName val="UK Pre-O SS"/>
      <sheetName val="UK Pre-O SS Inc"/>
      <sheetName val="Germ Dev SS"/>
      <sheetName val="Germ Pre-O SS"/>
      <sheetName val="Germ Pre-O SS Inc"/>
      <sheetName val="ForEx"/>
      <sheetName val=" Control Panel"/>
      <sheetName val="Comparable Traded Companies"/>
      <sheetName val="Comps Sum_Pg_1"/>
      <sheetName val="Comps Sum_Pg_2"/>
      <sheetName val="Comp_Cos Summary_Bar Charts"/>
      <sheetName val="Trans Comps"/>
      <sheetName val="Tran. Comps &lt; 1 billion"/>
      <sheetName val="&lt; Sales Chart"/>
      <sheetName val="&lt; EBITDA Chart "/>
      <sheetName val="Tran. Comps &gt; 1 billon"/>
      <sheetName val="&gt; Sales Chart"/>
      <sheetName val="&gt; EBITDA Chart"/>
      <sheetName val="WACC Calculation"/>
      <sheetName val="WACC II"/>
      <sheetName val="_x0000_Ԁ_x0000_r_x0000__x0000__x0000__x0013__x0000_Ԁ_x0000_r_x0000_㞲焑폰ꀿ_x0004__x0000_"/>
      <sheetName val=":\Documents and Settings\U96011"/>
      <sheetName val="_x0007_Ā_x0008_&amp;"/>
      <sheetName val="opt inputs"/>
      <sheetName val="3M Libor"/>
      <sheetName val="earnings"/>
      <sheetName val="Rentokil"/>
      <sheetName val="G&amp;K"/>
      <sheetName val="Unifirst"/>
      <sheetName val="RMK uniform"/>
      <sheetName val="PartnersAnalysis"/>
      <sheetName val="EarningsImpactAnalysis"/>
      <sheetName val="EBITDAImpactAnalysis"/>
      <sheetName val="Standard1"/>
      <sheetName val="Standard2"/>
      <sheetName val="CapitalSensitivity"/>
      <sheetName val="PriceSensitivity"/>
      <sheetName val="DataArray"/>
      <sheetName val="DownloadMapping"/>
      <sheetName val="DownloadMappingDSWV"/>
      <sheetName val="Businees service comps"/>
      <sheetName val="CompanyData"/>
      <sheetName val="ComparativeAnalysis"/>
      <sheetName val="SUM SHEET"/>
      <sheetName val="Key Assumptions"/>
      <sheetName val="SumSheet"/>
      <sheetName val="Recap"/>
      <sheetName val="IS Assumptions"/>
      <sheetName val="Labor Expense &amp; CBA BTO"/>
      <sheetName val="CA CL"/>
      <sheetName val="LTA LTL SE"/>
      <sheetName val="LIBOR Assumptions"/>
      <sheetName val="OBS Debt"/>
      <sheetName val="DIP"/>
      <sheetName val="2003 Base"/>
      <sheetName val="2003 Forecast"/>
      <sheetName val="Capex - Depr"/>
      <sheetName val="DIP Covenants"/>
      <sheetName val="IncomeTaxes"/>
      <sheetName val="Tax Calc"/>
      <sheetName val="Valuation Allowance"/>
      <sheetName val="TaxDepr"/>
      <sheetName val="Timing Diff"/>
      <sheetName val="Lyondell"/>
      <sheetName val="Equistar"/>
      <sheetName val="Millennium"/>
      <sheetName val="Credit Output"/>
      <sheetName val="Financial Pres for Banks"/>
      <sheetName val="Stock Input"/>
      <sheetName val="Stock Price"/>
      <sheetName val="Relative Performance"/>
      <sheetName val="List"/>
      <sheetName val="Implied value"/>
      <sheetName val="PEG"/>
      <sheetName val="PEG Chart"/>
      <sheetName val="Value"/>
      <sheetName val="Tablesum1"/>
      <sheetName val="Tablesum2"/>
      <sheetName val="Legend"/>
      <sheetName val="LTM Revenue"/>
      <sheetName val="LTM EBITDA"/>
      <sheetName val="2000 PE"/>
      <sheetName val="2000 EBITDA"/>
      <sheetName val="52 Wk High"/>
      <sheetName val="Scenario 1"/>
      <sheetName val="Exec Summ"/>
      <sheetName val="Update"/>
      <sheetName val="Section 2"/>
      <sheetName val="Company Background"/>
      <sheetName val="Key Stats"/>
      <sheetName val="Competition"/>
      <sheetName val="KCAL P&amp;L"/>
      <sheetName val="For BOD Book"/>
      <sheetName val="EBITDA_BCF Rec"/>
      <sheetName val="PF P&amp;L"/>
      <sheetName val="Section 3"/>
      <sheetName val="Valn Summ"/>
      <sheetName val="Accr_Dil Detail"/>
      <sheetName val="DCF No Tax"/>
      <sheetName val="DCF Step up"/>
      <sheetName val="Valn Summ No Station Comp"/>
      <sheetName val="DCF No Tax No Station Comp"/>
      <sheetName val="DCF Step up No Station Comp"/>
      <sheetName val="ALT VALUATION"/>
      <sheetName val="Mults"/>
      <sheetName val="Stats"/>
      <sheetName val="Compare Summ"/>
      <sheetName val="Spots"/>
      <sheetName val="Station Comp"/>
      <sheetName val="Accr_Dil Financial"/>
      <sheetName val="Sum of Parts"/>
      <sheetName val="Valn Summ No Sports"/>
      <sheetName val="DCF No Tax No Sports"/>
      <sheetName val="DCF Step up No Sports"/>
      <sheetName val="Laker Add-back"/>
      <sheetName val="Section 4"/>
      <sheetName val="Budget vs. Actual"/>
      <sheetName val="Pacings vs Budget"/>
      <sheetName val="Pacings vs PY"/>
      <sheetName val="$$ Savings"/>
      <sheetName val="Headcount"/>
      <sheetName val="Severance"/>
      <sheetName val="Programming"/>
      <sheetName val="Prog Liabs"/>
      <sheetName val="Prog Assts"/>
      <sheetName val="Prog Liability"/>
      <sheetName val="Prog Assets"/>
      <sheetName val="Syndication"/>
      <sheetName val="Sports Contracts"/>
      <sheetName val="Sports"/>
      <sheetName val="CSFB Lakers"/>
      <sheetName val="Compare"/>
      <sheetName val="Cash Amort"/>
      <sheetName val="Profitability"/>
      <sheetName val="Angels"/>
      <sheetName val="Mighty Ducks"/>
      <sheetName val="Per Game"/>
      <sheetName val="News Anchors"/>
      <sheetName val="BCF by component"/>
      <sheetName val="LA Radio"/>
      <sheetName val="Savings"/>
      <sheetName val="Stock 12-31-01"/>
      <sheetName val="Options 12-31-01"/>
      <sheetName val="Hist_pastein"/>
      <sheetName val="accretiondilution"/>
      <sheetName val="changes from project 32"/>
      <sheetName val="client market overview"/>
      <sheetName val="trading multiples"/>
      <sheetName val="Contribution Target"/>
      <sheetName val="purchase multiple"/>
      <sheetName val="Football -enterprise value"/>
      <sheetName val="Football per share"/>
      <sheetName val="LBO Summary"/>
      <sheetName val="DCF Summary"/>
      <sheetName val="share calculations"/>
      <sheetName val="Stute cap table"/>
      <sheetName val="AD OUTPUT DEAL"/>
      <sheetName val="PF EPS analysis"/>
      <sheetName val="AD output"/>
      <sheetName val="AD"/>
      <sheetName val="Acquirer"/>
      <sheetName val="Target"/>
      <sheetName val="IMDC-mgt"/>
      <sheetName val="AD    options"/>
      <sheetName val="PMO options"/>
      <sheetName val="LATEST ORIG FILE"/>
      <sheetName val="MRX m"/>
      <sheetName val="MRX b"/>
      <sheetName val="IMDC revised"/>
      <sheetName val="DCFValuation"/>
      <sheetName val="Company income statement"/>
      <sheetName val="Pipeline"/>
      <sheetName val="DCFValuation Most likely"/>
      <sheetName val="CY IS Most Likely"/>
      <sheetName val="CY BS"/>
      <sheetName val="CY CF"/>
      <sheetName val="CY IS Worst Case"/>
      <sheetName val="CY IS Best Case"/>
      <sheetName val="BEGIN"/>
      <sheetName val="Transaction overview"/>
      <sheetName val="Fixed exchange ratio analysis"/>
      <sheetName val="Public market overview"/>
      <sheetName val="1-yr stock charts "/>
      <sheetName val="3-yr stock charts"/>
      <sheetName val="10-yr stock charts (2)"/>
      <sheetName val="3 month stock charts"/>
      <sheetName val="Iron valuation summary"/>
      <sheetName val="Trading comps"/>
      <sheetName val="IRON DCF"/>
      <sheetName val="IRON PROJ"/>
      <sheetName val="Mercury valuation summary"/>
      <sheetName val="MERCURY DCF"/>
      <sheetName val="Mercury financial projections"/>
      <sheetName val="MERCURY PROJ"/>
      <sheetName val="Exchange ratio analysis "/>
      <sheetName val="END"/>
      <sheetName val="Trading comps output"/>
      <sheetName val="Med devices input"/>
      <sheetName val="Spec Pharma Input"/>
      <sheetName val="Float with collar"/>
      <sheetName val="Fixed, fixed w collar, float"/>
      <sheetName val="Bar chart page w synergies"/>
      <sheetName val="PR UPDATES"/>
      <sheetName val="3 yr PE's"/>
      <sheetName val="Historical P.E"/>
      <sheetName val="Revenue breakdown"/>
      <sheetName val="Breast panel page"/>
      <sheetName val="Trading comps (2)"/>
      <sheetName val="_x0003__x0009_Ā_x000a_&amp;Tools_x0000__x0004__x0003_Ā_x0008_E&amp;xit Notes_x0000__x0009__x0004_Ā_x0008_"/>
      <sheetName val="AD and Cash flow"/>
      <sheetName val="CALP"/>
      <sheetName val="XGEN"/>
      <sheetName val="CALP Acqu Proforma"/>
      <sheetName val="Model Cover"/>
      <sheetName val="Key Data"/>
      <sheetName val="Euro Val"/>
      <sheetName val="UK Val"/>
      <sheetName val="Pan Euro Sort"/>
      <sheetName val="WACC Assumptions"/>
      <sheetName val="Utilcomp"/>
      <sheetName val="Upside"/>
      <sheetName val="Sort Data"/>
      <sheetName val="Datastream"/>
      <sheetName val="Module8"/>
      <sheetName val="Module9"/>
      <sheetName val="Module10"/>
      <sheetName val="Module13"/>
      <sheetName val="Module16"/>
      <sheetName val="Module11"/>
      <sheetName val="Module12"/>
      <sheetName val="Module14"/>
      <sheetName val="Module15"/>
      <sheetName val="Module17"/>
      <sheetName val="Module18"/>
      <sheetName val="Module19"/>
      <sheetName val="Module20"/>
      <sheetName val="Module21"/>
      <sheetName val="Module22"/>
      <sheetName val="Module23"/>
      <sheetName val="Module24"/>
      <sheetName val="Assume"/>
      <sheetName val="EQUITY_SCHED"/>
      <sheetName val="Allocate"/>
      <sheetName val="FormatAG"/>
      <sheetName val="FACTSET DATA"/>
      <sheetName val="_x000d_"/>
      <sheetName val="ADJ DELPHI_DCF (NEW)"/>
      <sheetName val="DELPHI_DCF (NEW)"/>
      <sheetName val="DELPHI_DCF ADJ (NEW)"/>
      <sheetName val="DELPHI_DCF ADJ (NEW) (2)"/>
      <sheetName val="GPT4_DCF"/>
      <sheetName val="GPT8_DCF"/>
      <sheetName val="GPT10_DCF"/>
      <sheetName val="DELPHI_DCF (OLD)"/>
      <sheetName val="DELPHI+OVERLAY_DCF (OLD)"/>
      <sheetName val="DELPHI_PUBMKT"/>
      <sheetName val="DELPHI_GMDEAL"/>
      <sheetName val="DS_DCF"/>
      <sheetName val="DS_PUBMKT"/>
      <sheetName val="Ds_DEAL"/>
      <sheetName val="LVBS_DCF"/>
      <sheetName val="WB_DCF"/>
      <sheetName val="DSM_DCF"/>
      <sheetName val="Schedule"/>
      <sheetName val="GW"/>
      <sheetName val="Perkins"/>
      <sheetName val="HVBS"/>
      <sheetName val="DS"/>
      <sheetName val="WIRING_JV"/>
      <sheetName val="WIRING"/>
      <sheetName val="BODY"/>
      <sheetName val="TVS"/>
      <sheetName val="AV_D"/>
      <sheetName val="BFG_D"/>
      <sheetName val="BFG AERO"/>
      <sheetName val="COLTEC_D"/>
      <sheetName val="COLTEC AERO"/>
      <sheetName val="DELPHI_GPT4_D"/>
      <sheetName val="DELPHI_GPT8_D"/>
      <sheetName val="PARKER_AERO"/>
      <sheetName val="BBA_D"/>
      <sheetName val="DELPHI_GPT10_D"/>
      <sheetName val="DELPHI OLD"/>
      <sheetName val="DELPHI_ASSOC"/>
      <sheetName val="DELPHI_ADJ"/>
      <sheetName val="AERO_GEN3"/>
      <sheetName val="DELPHI NEW"/>
      <sheetName val="OVERLAY"/>
      <sheetName val="AERO_GEN4"/>
      <sheetName val="AV"/>
      <sheetName val="AV_AERO"/>
      <sheetName val="AV_IND"/>
      <sheetName val="AV_AUTO"/>
      <sheetName val="BFG"/>
      <sheetName val="ROHR"/>
      <sheetName val="COLTEC"/>
      <sheetName val="MOOG"/>
      <sheetName val="COT_AERO"/>
      <sheetName val="BBA"/>
      <sheetName val="RACAL"/>
      <sheetName val="PF_SALES"/>
      <sheetName val="PF_EBITDA"/>
      <sheetName val="PF_EBIT"/>
      <sheetName val="PF_INTEXP"/>
      <sheetName val="NET INCOME"/>
      <sheetName val="LV_CF"/>
      <sheetName val="CAP"/>
      <sheetName val="Credit"/>
      <sheetName val="EPS"/>
      <sheetName val="IMPACT_C"/>
      <sheetName val="IMPACT_C (3)"/>
      <sheetName val="IMPACT_B"/>
      <sheetName val="IMPACT_M"/>
      <sheetName val="IMPACT_AV"/>
      <sheetName val="IMPACT_C (2)"/>
      <sheetName val="IMPACT_B (2)"/>
      <sheetName val="SEG_C"/>
      <sheetName val="SEG_B"/>
      <sheetName val="SEG_M"/>
      <sheetName val="SEG_AV"/>
      <sheetName val="_x0003__x0009_Ā_x000a_&amp;Tools"/>
      <sheetName val="Data Values"/>
      <sheetName val="Balance Sh+Indices"/>
      <sheetName val="Balance Sh_Indices"/>
      <sheetName val="СТАЛЬ"/>
      <sheetName val="Январь"/>
      <sheetName val="9-99 Current O3"/>
      <sheetName val="List of blackline subtypes"/>
      <sheetName val="Model Assumptions"/>
      <sheetName val="wCodeTable"/>
      <sheetName val="Instructions"/>
      <sheetName val="Correção"/>
      <sheetName val="Product &amp; Allocation Table"/>
      <sheetName val="RA Summary Page"/>
      <sheetName val="Credit Comps"/>
      <sheetName val="C"/>
      <sheetName val="building"/>
      <sheetName val="주주명부&lt;끝&gt;"/>
      <sheetName val="Total"/>
      <sheetName val="DataLnk"/>
      <sheetName val="Driver"/>
      <sheetName val="Fin.Highlight"/>
      <sheetName val="Charts"/>
      <sheetName val="FS"/>
      <sheetName val="Rev. - COGS"/>
      <sheetName val="WC Analysis"/>
      <sheetName val="Don't print---&gt;"/>
      <sheetName val="Other costs"/>
      <sheetName val="Gross Sale 24 month"/>
      <sheetName val="FS 24 month (F&amp;V)"/>
      <sheetName val="BS input"/>
      <sheetName val="CF input"/>
      <sheetName val="Sheet14"/>
      <sheetName val="Sheet12"/>
      <sheetName val="Sheet11"/>
      <sheetName val="Sheet10"/>
      <sheetName val="Sheet9"/>
      <sheetName val="Sheet8"/>
      <sheetName val="Sheet6"/>
      <sheetName val="Sheet5"/>
      <sheetName val="Sheet4"/>
      <sheetName val="cash"/>
      <sheetName val="Comp. Transaction"/>
      <sheetName val="Graph"/>
      <sheetName val="Input Sheet"/>
      <sheetName val="FIN5+"/>
      <sheetName val="BS - detail- Consol Mapped 1"/>
      <sheetName val="Sensitivities Input"/>
      <sheetName val="Acq. LBO"/>
      <sheetName val="Sensitivities Output"/>
      <sheetName val="Adj Combined IS"/>
      <sheetName val="Adj Combined BS"/>
      <sheetName val="EPS Analysis"/>
      <sheetName val="Earnings Impact"/>
      <sheetName val="Contrib Analysis"/>
      <sheetName val="PF Credit"/>
      <sheetName val="Projection Summary"/>
      <sheetName val="Sens Graphs"/>
      <sheetName val="Collateral Coverage - M"/>
      <sheetName val="EV - M"/>
      <sheetName val="Hist Fin Sum"/>
      <sheetName val="TrainingTheStreet"/>
      <sheetName val="workingcap"/>
      <sheetName val="dep"/>
      <sheetName val="equity"/>
      <sheetName val="shares"/>
      <sheetName val="Database"/>
      <sheetName val="Instruction"/>
      <sheetName val="Company View"/>
      <sheetName val="LOV- FY10"/>
      <sheetName val="WS 4 - Foreign PBT &amp; Tax"/>
      <sheetName val="Table"/>
      <sheetName val="General Information"/>
      <sheetName val="DropDowns"/>
      <sheetName val="July Update"/>
      <sheetName val="PL Variance"/>
      <sheetName val="UK Data FY05"/>
      <sheetName val="Accrued exp - taxes"/>
      <sheetName val="Menu"/>
      <sheetName val="Dept Expense 1000"/>
      <sheetName val="Africa"/>
      <sheetName val="Ocean"/>
      <sheetName val="S Amer"/>
      <sheetName val="W Eur"/>
      <sheetName val="C Amer"/>
      <sheetName val="E Eur"/>
      <sheetName val="E Asia"/>
      <sheetName val="Mideast"/>
      <sheetName val="Metric Sensitivity"/>
      <sheetName val="Inc&amp;Exp"/>
      <sheetName val="FA"/>
      <sheetName val="IBA&amp;HP"/>
      <sheetName val="Sch 1"/>
      <sheetName val="Sch 1A"/>
      <sheetName val="Sch 1B"/>
      <sheetName val="Sch 2B"/>
      <sheetName val="Sch 2C"/>
      <sheetName val="Other_Sch"/>
      <sheetName val="STD FORMS"/>
      <sheetName val="TaxComp"/>
      <sheetName val="ROLLOVER"/>
      <sheetName val="Macro"/>
      <sheetName val="Macro1"/>
      <sheetName val="Module25"/>
      <sheetName val="Module26"/>
      <sheetName val="Module27"/>
      <sheetName val="Module28"/>
      <sheetName val="P-5.1 FY19 TR NOL CF"/>
      <sheetName val="Purchase Acctg (2)"/>
      <sheetName val="Balance Sheets"/>
      <sheetName val="Deal-Transition Costs"/>
      <sheetName val="WEB JE Summary"/>
      <sheetName val="1 Balsheet"/>
      <sheetName val="2 Incstat"/>
      <sheetName val="3 Prospective Fin Info"/>
      <sheetName val="4 DCF-Reasonableness Test"/>
      <sheetName val="5 Workforce"/>
      <sheetName val="6 Royalty Data"/>
      <sheetName val="7 Trademark"/>
      <sheetName val="8 Reseller Agreements"/>
      <sheetName val="9 Service Provider Agreements"/>
      <sheetName val="10 Product Agreements"/>
      <sheetName val="11 Referral Agreements"/>
      <sheetName val="12 Alliance Agreements"/>
      <sheetName val="13 Customer Relationships"/>
      <sheetName val="14 Existing Technology"/>
      <sheetName val="15 WACC"/>
      <sheetName val="16 BETA Analysis"/>
      <sheetName val="17 Asset Returns"/>
      <sheetName val="18 DiscountRateTest"/>
      <sheetName val="19 Supporting Asset Charges"/>
      <sheetName val="Survival Curve"/>
      <sheetName val="Allocation"/>
      <sheetName val="QuickDCF"/>
      <sheetName val="ALL"/>
      <sheetName val="Transition"/>
      <sheetName val="Consol &amp; Adj"/>
      <sheetName val="Purchase Acctg"/>
      <sheetName val="WEB JE"/>
      <sheetName val="Ticker Entry"/>
      <sheetName val="CompLtmBS"/>
      <sheetName val="CompLtmIS"/>
      <sheetName val="CompCommonSize"/>
      <sheetName val="CompFinanRatios"/>
      <sheetName val="MarketData"/>
      <sheetName val="MarkAppr"/>
      <sheetName val="Yr-Yr Prices"/>
      <sheetName val="TRANSAPPR"/>
      <sheetName val="ProjIS"/>
      <sheetName val="DCF-Debtfree"/>
      <sheetName val="Tax Table"/>
      <sheetName val="SBBI "/>
      <sheetName val="Beta"/>
      <sheetName val="CAPM"/>
      <sheetName val="Business Descriptions"/>
      <sheetName val="HistFinAnal"/>
      <sheetName val="Summary (2)"/>
      <sheetName val="Original JE"/>
      <sheetName val="GT_Custom"/>
      <sheetName val="OPERATING RESULTS YTD 5-05"/>
      <sheetName val="FY09"/>
      <sheetName val="FY10_Final"/>
      <sheetName val="MERGER"/>
      <sheetName val="PA2"/>
      <sheetName val="Credit Calc"/>
      <sheetName val="PF Cap and Credit"/>
      <sheetName val="MR Input"/>
      <sheetName val="CN"/>
      <sheetName val="CT"/>
      <sheetName val="RSI"/>
      <sheetName val="BSS"/>
      <sheetName val="F"/>
      <sheetName val="EQ-CORE"/>
      <sheetName val="EQ-OC"/>
      <sheetName val="May 02"/>
      <sheetName val="Jun 02"/>
      <sheetName val="Jul 02"/>
      <sheetName val="Aug 02"/>
      <sheetName val="Jul 03"/>
      <sheetName val="Aug 03"/>
      <sheetName val="Sep 03"/>
      <sheetName val="Oct 03"/>
      <sheetName val="Nov 03"/>
      <sheetName val="Dec 03"/>
      <sheetName val="FPA"/>
      <sheetName val="RM"/>
      <sheetName val="OP DAYS"/>
      <sheetName val="Core RSUs"/>
      <sheetName val="Overclad RSUs"/>
      <sheetName val="EXP-DT"/>
      <sheetName val="RMF"/>
      <sheetName val="Q1 2010"/>
      <sheetName val="Q2 2010"/>
      <sheetName val="Q3 2010"/>
      <sheetName val="Q4 2010"/>
      <sheetName val="2011"/>
      <sheetName val="2012"/>
      <sheetName val="2013"/>
      <sheetName val="Apr 09"/>
      <sheetName val="May 09"/>
      <sheetName val="Jun 09"/>
      <sheetName val="Jul 09"/>
      <sheetName val="Aug 09"/>
      <sheetName val="Sep 09"/>
      <sheetName val="Oct 09"/>
      <sheetName val="Nov 09"/>
      <sheetName val="Dec 09"/>
      <sheetName val="CTSumm"/>
      <sheetName val="Jan 12"/>
      <sheetName val="Feb 12"/>
      <sheetName val="Mar 12"/>
      <sheetName val="Apr 12"/>
      <sheetName val="May 12"/>
      <sheetName val="Jun 12"/>
      <sheetName val="Jul 12"/>
      <sheetName val="Aug 12"/>
      <sheetName val="Sep 12"/>
      <sheetName val="Oct 12"/>
      <sheetName val="Nov 12"/>
      <sheetName val="Dec 12"/>
      <sheetName val="MAT CALC"/>
      <sheetName val="P"/>
      <sheetName val="BEA D3"/>
      <sheetName val="C.O.S.S."/>
      <sheetName val="MCK_Proj"/>
      <sheetName val="Target_Proj"/>
      <sheetName val="Summary Synergies"/>
      <sheetName val="Summary Merger"/>
      <sheetName val="titan"/>
      <sheetName val="AVP-Premium"/>
      <sheetName val="AVP-Exchange"/>
      <sheetName val="1999Stock "/>
      <sheetName val="2000Stock"/>
      <sheetName val="Comparison"/>
      <sheetName val="Gen-Med"/>
      <sheetName val="Fut Stock Price"/>
      <sheetName val="Summary Proj"/>
      <sheetName val="Analysis"/>
      <sheetName val="Subscribers"/>
      <sheetName val="Prog Details"/>
      <sheetName val="Sales &amp; Marketing"/>
      <sheetName val="AOP &amp; Prod"/>
      <sheetName val="Tech"/>
      <sheetName val="Staff"/>
      <sheetName val="G&amp;A"/>
      <sheetName val="Amort &amp; Int"/>
      <sheetName val="LB_DCF"/>
      <sheetName val="LC"/>
      <sheetName val="LC last year"/>
      <sheetName val="USD"/>
      <sheetName val="USD last year"/>
      <sheetName val="Proj. Bal."/>
      <sheetName val="Schedules"/>
      <sheetName val="Common-Size"/>
      <sheetName val="Proj_ Bal_"/>
      <sheetName val="Common_Size"/>
      <sheetName val="Riep x società - Affitti"/>
      <sheetName val="Rev"/>
      <sheetName val="Dictionaries"/>
      <sheetName val="Integrali e proporzionali"/>
      <sheetName val="LFA 2001"/>
      <sheetName val="I-S"/>
      <sheetName val="DPR(TAX)"/>
      <sheetName val="Proj__Bal_"/>
      <sheetName val="Proj__Bal_1"/>
      <sheetName val="Riep_x_società_-_Affitti"/>
      <sheetName val="Integrali_e_proporzionali"/>
      <sheetName val="LFA_2001"/>
      <sheetName val="+9000-8"/>
      <sheetName val="+9000-9"/>
      <sheetName val="+9120-1(2)"/>
      <sheetName val="PL"/>
      <sheetName val="FinanceCost"/>
      <sheetName val="FinanceBS"/>
      <sheetName val="PL 1"/>
      <sheetName val="32. Реализация и С-сть"/>
      <sheetName val="DPR_TAX_"/>
      <sheetName val="Лист1"/>
      <sheetName val="BS_n"/>
      <sheetName val="КлассЗСМК"/>
      <sheetName val="КлассНТМК"/>
      <sheetName val="Справ"/>
      <sheetName val="Закупки"/>
      <sheetName val="23"/>
      <sheetName val="30"/>
      <sheetName val="28"/>
      <sheetName val="18_2"/>
      <sheetName val="without project"/>
      <sheetName val="Остатки"/>
      <sheetName val="Служебный"/>
      <sheetName val="IS_YTD_July07"/>
      <sheetName val="_x0003_ Ā_x000a_&amp;Tools_x0000__x0004__x0003_Ā_x0008_E&amp;xit Notes_x0000_ _x0004_Ā_x0008_"/>
      <sheetName val="_x0003_ Ā_x000a_&amp;Tools"/>
      <sheetName val="CDMA Subscribers"/>
      <sheetName val="PARAM"/>
      <sheetName val="AU Template"/>
      <sheetName val="CONSOL"/>
      <sheetName val="Automatic Updates"/>
      <sheetName val="Financials (2)"/>
      <sheetName val="Financials (3)"/>
      <sheetName val="Financials (4)"/>
      <sheetName val="Revenue Inputs"/>
      <sheetName val="Job Title Dropdown Backup"/>
      <sheetName val="Discussion"/>
      <sheetName val="9609추"/>
      <sheetName val="MasterFinancials"/>
      <sheetName val="_x0000__x0012__x0000__x0000__x0000__xffff_翿_x0000__x0000__x0000__x0000__xffff__xffff__x0000__x0000__x0000__x0000__x0000__x0000_ਕ_x000f_ᚘ뱬_x0000__x0000__x0000__x0000_ᐈ뱽_x0005__x0000_"/>
      <sheetName val="comps LFY+"/>
      <sheetName val="HDI implied"/>
      <sheetName val="Chart"/>
      <sheetName val="APPORT-COMBINED"/>
      <sheetName val="Data Arrangement"/>
      <sheetName val="OperAss"/>
      <sheetName val="Flags"/>
      <sheetName val="CurrVal"/>
      <sheetName val="ValReg"/>
      <sheetName val="IPO Model"/>
      <sheetName val="IPO IS"/>
      <sheetName val="Share Price Analysis"/>
      <sheetName val="BS and CF"/>
      <sheetName val="Misc Lists"/>
      <sheetName val="jan-parE"/>
      <sheetName val="jan-summ"/>
      <sheetName val="Combined  PF BS"/>
      <sheetName val="5-Year DCF"/>
      <sheetName val="10-Year DCF"/>
      <sheetName val="LBO Financials"/>
      <sheetName val="LBO PF BS"/>
      <sheetName val="Methodology"/>
      <sheetName val="PF2a"/>
      <sheetName val="PL_Data"/>
      <sheetName val="HoH data"/>
      <sheetName val="ST data"/>
      <sheetName val="TC Data"/>
      <sheetName val="AA_Lookup"/>
      <sheetName val="AE_Lookup"/>
      <sheetName val="PE CHARGES"/>
      <sheetName val="H"/>
      <sheetName val="Conventions"/>
      <sheetName val="Output 1"/>
      <sheetName val="Output 2"/>
      <sheetName val="Cover table"/>
      <sheetName val="COTALUM"/>
      <sheetName val="Income_statement1"/>
      <sheetName val="Income_statement2"/>
      <sheetName val="207 "/>
      <sheetName val="COMMERCIAL+stores"/>
      <sheetName val="ENGG."/>
      <sheetName val="LCV MCV HCV"/>
      <sheetName val="HRD"/>
      <sheetName val="MARKETING+bonded"/>
      <sheetName val="new summary"/>
      <sheetName val="QP&amp;S "/>
      <sheetName val="MAINT"/>
      <sheetName val="MS Inc"/>
      <sheetName val="MS Parameters"/>
      <sheetName val="XXXX"/>
      <sheetName val="Lists"/>
      <sheetName val="Ketaki"/>
      <sheetName val="Picklists"/>
      <sheetName val="KeyInputsAssumptions_IN"/>
      <sheetName val="OPERATING EXPS."/>
      <sheetName val="Account Names"/>
      <sheetName val="EXPORT"/>
      <sheetName val="Foundation_Creek"/>
      <sheetName val="Econ_Model"/>
      <sheetName val="LowBTU_Gath"/>
      <sheetName val="North_Douglas"/>
      <sheetName val="Stucture_A"/>
      <sheetName val="Matrix_A"/>
      <sheetName val="Stucture_B"/>
      <sheetName val="Matrix_B"/>
      <sheetName val="Stucture_C"/>
      <sheetName val="Matrix_C"/>
      <sheetName val="Current_Inputs"/>
      <sheetName val="PHS_CapEx"/>
      <sheetName val="Total_Market"/>
      <sheetName val="GSM_CapEx"/>
      <sheetName val="P_and_L"/>
      <sheetName val="Funds_and_Valuation"/>
      <sheetName val="Graphics_Summary"/>
      <sheetName val="Financial_Chart"/>
      <sheetName val="Cashflow_Chart"/>
      <sheetName val="Revenue_Chart"/>
      <sheetName val="Cell_Sites"/>
      <sheetName val="CapEx_Chart"/>
      <sheetName val="OpEx_Chart"/>
      <sheetName val="Demand_Chart"/>
      <sheetName val="Drivers_and_Contents"/>
      <sheetName val="L_T__Debt"/>
      <sheetName val="Shares_&amp;_Divs_"/>
      <sheetName val="C_A_"/>
      <sheetName val="T_S__and_Other_Cap"/>
      <sheetName val="Input_Data"/>
      <sheetName val="EU_Comps"/>
      <sheetName val="DATA_EXPORT-UVI"/>
      <sheetName val="JAII_Balance"/>
      <sheetName val="JAII_Cashflow"/>
      <sheetName val="Base_&amp;_LBO_Assumptions"/>
      <sheetName val="Equity_Summary"/>
      <sheetName val="Price_Summary"/>
      <sheetName val="Covenant_6_10"/>
      <sheetName val="Covenant_6_11"/>
      <sheetName val="JAII_Income"/>
      <sheetName val="LBO_Sensitivity"/>
      <sheetName val="Target_Finsum"/>
      <sheetName val="DCF_Perpet_Growth"/>
      <sheetName val="LBO_IRR"/>
      <sheetName val="Target_Oper_and_FCF"/>
      <sheetName val="Target_BS_and_ULCFC"/>
      <sheetName val="Multiple_Analysis"/>
      <sheetName val="LBO_Assumptions"/>
      <sheetName val="Small_Acquisition_Assump_"/>
      <sheetName val="12_31_07_PFBS"/>
      <sheetName val="12_31_08_PFBS"/>
      <sheetName val="Sensitivity_Analysis"/>
      <sheetName val="DCF_-_Terminal_Value"/>
      <sheetName val="Valuation_"/>
      <sheetName val="Sales_2003"/>
      <sheetName val="ALD_New_Projections"/>
      <sheetName val="Redox_Cust"/>
      <sheetName val="Alternative_Channels"/>
      <sheetName val="Incr_Sales-Detail"/>
      <sheetName val="Freight_-_WalMart"/>
      <sheetName val="Freight_-_Others"/>
      <sheetName val="CF_1"/>
      <sheetName val="CF_2"/>
      <sheetName val="Tgt_Disc_Notes"/>
      <sheetName val="Pro_Forma_Bal_Sht"/>
      <sheetName val="Annual_Model"/>
      <sheetName val="Quarterly_'02"/>
      <sheetName val="Tower_counts"/>
      <sheetName val="Tower_aging"/>
      <sheetName val="Cap_Analysis"/>
      <sheetName val="Capital_Structure_Assumptions"/>
      <sheetName val="Summary_2"/>
      <sheetName val="Segment_Buildups"/>
      <sheetName val="Savings_Buildups"/>
      <sheetName val="Cashflow_Statements"/>
      <sheetName val="FinStat_Dummy"/>
      <sheetName val="Financial_statements"/>
      <sheetName val="Growth_assumptions"/>
      <sheetName val="Standard_driver"/>
      <sheetName val="Standard_page"/>
      <sheetName val="Assumptions_and_valuation"/>
      <sheetName val="Guidance_notes"/>
      <sheetName val="Do_not_alter!"/>
      <sheetName val="1_Balsheet"/>
      <sheetName val="2_Incstat"/>
      <sheetName val="3_Prospective_Fin_Info"/>
      <sheetName val="4_DCF-Reasonableness_Test"/>
      <sheetName val="5_Workforce"/>
      <sheetName val="6_Royalty_Data"/>
      <sheetName val="7_Trademark"/>
      <sheetName val="8_Reseller_Agreements"/>
      <sheetName val="9_Service_Provider_Agreements"/>
      <sheetName val="10_Product_Agreements"/>
      <sheetName val="11_Referral_Agreements"/>
      <sheetName val="12_Alliance_Agreements"/>
      <sheetName val="13_Customer_Relationships"/>
      <sheetName val="14_Existing_Technology"/>
      <sheetName val="15_WACC"/>
      <sheetName val="16_BETA_Analysis"/>
      <sheetName val="17_Asset_Returns"/>
      <sheetName val="18_DiscountRateTest"/>
      <sheetName val="19_Supporting_Asset_Charges"/>
      <sheetName val="Survival_Curve"/>
      <sheetName val="Consol_&amp;_Adj"/>
      <sheetName val="Purchase_Acctg"/>
      <sheetName val="WEB_JE"/>
      <sheetName val="Ticker_Entry"/>
      <sheetName val="Yr-Yr_Prices"/>
      <sheetName val="Tax_Table"/>
      <sheetName val="SBBI_"/>
      <sheetName val="Business_Descriptions"/>
      <sheetName val="Summary_(2)"/>
      <sheetName val="Purchase_Acctg_(2)"/>
      <sheetName val="WEB_JE_Summary"/>
      <sheetName val="Balance_Sheets"/>
      <sheetName val="Deal-Transition_Costs"/>
      <sheetName val="Original_JE"/>
      <sheetName val="Incomestatecastingqt1_"/>
      <sheetName val="Cash_Flow"/>
      <sheetName val="Company_P&amp;L"/>
      <sheetName val="Monitor_P&amp;L"/>
      <sheetName val="Casting_P&amp;L"/>
      <sheetName val="Haight_P&amp;L"/>
      <sheetName val="Cash_Flow_Support_-_January"/>
      <sheetName val="Cash_Flow_Support_-_February"/>
      <sheetName val="Cash_Flow_Support_-_March"/>
      <sheetName val="Cash_Flow_Support_-_April"/>
      <sheetName val="Cash_Flow_Support_-_May"/>
      <sheetName val="Cash_Flow_Support_-_June"/>
      <sheetName val="Cash_Flow_Support_-_July"/>
      <sheetName val="Cash_Flow_Support_-_August"/>
      <sheetName val="Cash_Flow_Support_-_September"/>
      <sheetName val="Cash_Flow_Support_-_October"/>
      <sheetName val="Cash_Flow_Support_-_November"/>
      <sheetName val="Cash_Flow_Support_-_December"/>
      <sheetName val="inccompare_(2)"/>
      <sheetName val="castingb_(2)"/>
      <sheetName val="monitor_(2)"/>
      <sheetName val="haight_(2)"/>
      <sheetName val="ratereview_(2)"/>
      <sheetName val="budgetovar06_(2)"/>
      <sheetName val="CORP_SUMMARY"/>
      <sheetName val="Capitalbudgetproir1_"/>
      <sheetName val="Capitalbudgetproior2_"/>
      <sheetName val="Capitalbudgetproior3_"/>
      <sheetName val="Personel_allocations"/>
      <sheetName val="Exec_Summ"/>
      <sheetName val="Section_2"/>
      <sheetName val="Company_Background"/>
      <sheetName val="Key_Stats"/>
      <sheetName val="KCAL_P&amp;L"/>
      <sheetName val="For_BOD_Book"/>
      <sheetName val="EBITDA_BCF_Rec"/>
      <sheetName val="PF_P&amp;L"/>
      <sheetName val="Section_3"/>
      <sheetName val="Valn_Summ"/>
      <sheetName val="Accr_Dil_Detail"/>
      <sheetName val="DCF_No_Tax"/>
      <sheetName val="DCF_Step_up"/>
      <sheetName val="Valn_Summ_No_Station_Comp"/>
      <sheetName val="DCF_No_Tax_No_Station_Comp"/>
      <sheetName val="DCF_Step_up_No_Station_Comp"/>
      <sheetName val="ALT_VALUATION"/>
      <sheetName val="Compare_Summ"/>
      <sheetName val="Station_Comp"/>
      <sheetName val="Accr_Dil_Financial"/>
      <sheetName val="Sum_of_Parts"/>
      <sheetName val="Valn_Summ_No_Sports"/>
      <sheetName val="DCF_No_Tax_No_Sports"/>
      <sheetName val="DCF_Step_up_No_Sports"/>
      <sheetName val="Laker_Add-back"/>
      <sheetName val="Section_4"/>
      <sheetName val="Budget_vs__Actual"/>
      <sheetName val="Pacings_vs_Budget"/>
      <sheetName val="Pacings_vs_PY"/>
      <sheetName val="$$_Savings"/>
      <sheetName val="Prog_Liabs"/>
      <sheetName val="Prog_Assts"/>
      <sheetName val="Prog_Liability"/>
      <sheetName val="Prog_Assets"/>
      <sheetName val="Sports_Contracts"/>
      <sheetName val="CSFB_Lakers"/>
      <sheetName val="Cash_Amort"/>
      <sheetName val="Mighty_Ducks"/>
      <sheetName val="Per_Game"/>
      <sheetName val="News_Anchors"/>
      <sheetName val="BCF_by_component"/>
      <sheetName val="LA_Radio"/>
      <sheetName val="Stock_12-31-01"/>
      <sheetName val="Options_12-31-01"/>
      <sheetName val="GEN"/>
      <sheetName val="I-SAL"/>
      <sheetName val="I-WGT"/>
      <sheetName val="I-NCT"/>
      <sheetName val="I-FOU"/>
      <sheetName val="CAL"/>
      <sheetName val="BAS"/>
      <sheetName val="SAL"/>
      <sheetName val="PRO"/>
      <sheetName val="DIR"/>
      <sheetName val="PEO-1"/>
      <sheetName val="PEO-2"/>
      <sheetName val="PEO-3"/>
      <sheetName val="FOUT"/>
      <sheetName val="CAS"/>
      <sheetName val="DAT"/>
      <sheetName val="GENERAL"/>
      <sheetName val="0000"/>
      <sheetName val="4847A"/>
      <sheetName val="4750A"/>
      <sheetName val="48782R"/>
      <sheetName val="4738"/>
      <sheetName val="4916A"/>
      <sheetName val="4917A-1"/>
      <sheetName val="4999A"/>
      <sheetName val="4884A"/>
      <sheetName val="4990A"/>
      <sheetName val="4902A"/>
      <sheetName val="TBD-2"/>
      <sheetName val="4769A"/>
      <sheetName val="4790A"/>
      <sheetName val="4790BA"/>
      <sheetName val="4900A"/>
      <sheetName val="0272GA-1"/>
      <sheetName val="0272GA-2"/>
      <sheetName val="0272SA"/>
      <sheetName val="4815A"/>
      <sheetName val="4815NA"/>
      <sheetName val="4728A"/>
      <sheetName val="CHR-SER"/>
      <sheetName val="Expiration"/>
      <sheetName val="HY Comps"/>
      <sheetName val="Transaction"/>
      <sheetName val="By Business"/>
      <sheetName val="Country_risk_ratings"/>
      <sheetName val="Working capital 2012"/>
      <sheetName val="Fixed assets 2013"/>
      <sheetName val="CF Graph 2013"/>
      <sheetName val="File Mgmt"/>
      <sheetName val="Grand Ridge Splits"/>
      <sheetName val="2020 Budget Details"/>
      <sheetName val="2016 Budget"/>
      <sheetName val="2016 Actual"/>
      <sheetName val="Pivot"/>
      <sheetName val="Grand Ridge I- OpEx"/>
      <sheetName val="Grand Ridge EXP - OpEx"/>
      <sheetName val="Grand Ridge IV - OpEx"/>
      <sheetName val="0. Budget Summary &amp; Inputs"/>
      <sheetName val="1. Budget Summary"/>
      <sheetName val="Tracking Accounts_2018"/>
      <sheetName val="3.2 Bud v ProF (Rev, Opex, PTC)"/>
      <sheetName val="3.3 Bud v ProF (OpEx)"/>
      <sheetName val="2. Bud v Bud"/>
      <sheetName val="B vs PF Distributions"/>
      <sheetName val="4. Bud v ProF Distbs."/>
      <sheetName val="5. Bud vs CDPQ"/>
      <sheetName val="Project 4- OpEx"/>
      <sheetName val="Project 5- OpEx"/>
      <sheetName val="Budget Upload Template - GL"/>
      <sheetName val="Budget Upload Template - PRJTS"/>
      <sheetName val="GL COST CENTER ALLOCATION"/>
      <sheetName val="Old GL &gt; New GL"/>
      <sheetName val="Transaction Controls"/>
      <sheetName val="Chart of Accounts (COA)"/>
      <sheetName val="GL_Task_PurCat_ExpType"/>
      <sheetName val="Free Cash Flow"/>
      <sheetName val="Synergies "/>
      <sheetName val="Expense"/>
      <sheetName val="WC Detail"/>
      <sheetName val="Debt Deta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refreshError="1"/>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sheetData sheetId="372"/>
      <sheetData sheetId="373"/>
      <sheetData sheetId="374"/>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sheetData sheetId="397"/>
      <sheetData sheetId="398"/>
      <sheetData sheetId="399"/>
      <sheetData sheetId="400"/>
      <sheetData sheetId="401"/>
      <sheetData sheetId="402">
        <row r="7">
          <cell r="D7">
            <v>1092.9000000000001</v>
          </cell>
        </row>
      </sheetData>
      <sheetData sheetId="403">
        <row r="7">
          <cell r="D7">
            <v>2501.059999999994</v>
          </cell>
        </row>
      </sheetData>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row r="1">
          <cell r="B1">
            <v>8</v>
          </cell>
        </row>
      </sheetData>
      <sheetData sheetId="450"/>
      <sheetData sheetId="451"/>
      <sheetData sheetId="452"/>
      <sheetData sheetId="453"/>
      <sheetData sheetId="454"/>
      <sheetData sheetId="455"/>
      <sheetData sheetId="456"/>
      <sheetData sheetId="457"/>
      <sheetData sheetId="458">
        <row r="7">
          <cell r="D7">
            <v>1092.9000000000001</v>
          </cell>
        </row>
      </sheetData>
      <sheetData sheetId="459">
        <row r="7">
          <cell r="D7">
            <v>2501.059999999994</v>
          </cell>
        </row>
      </sheetData>
      <sheetData sheetId="460">
        <row r="3">
          <cell r="B3" t="str">
            <v>NextVenue</v>
          </cell>
        </row>
      </sheetData>
      <sheetData sheetId="461"/>
      <sheetData sheetId="462">
        <row r="3">
          <cell r="B3" t="str">
            <v>NextVenue</v>
          </cell>
        </row>
      </sheetData>
      <sheetData sheetId="463">
        <row r="3">
          <cell r="B3" t="str">
            <v>NextVenue</v>
          </cell>
        </row>
      </sheetData>
      <sheetData sheetId="464"/>
      <sheetData sheetId="465">
        <row r="3">
          <cell r="B3" t="str">
            <v>NextVenue</v>
          </cell>
        </row>
      </sheetData>
      <sheetData sheetId="466">
        <row r="3">
          <cell r="B3" t="str">
            <v>NextVenue</v>
          </cell>
        </row>
      </sheetData>
      <sheetData sheetId="467">
        <row r="3">
          <cell r="B3" t="str">
            <v>NextVenue</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row r="3">
          <cell r="B3" t="str">
            <v>NextVenue</v>
          </cell>
        </row>
      </sheetData>
      <sheetData sheetId="482">
        <row r="3">
          <cell r="B3" t="str">
            <v>NextVenue</v>
          </cell>
        </row>
      </sheetData>
      <sheetData sheetId="483">
        <row r="3">
          <cell r="B3" t="str">
            <v>NextVenue</v>
          </cell>
        </row>
      </sheetData>
      <sheetData sheetId="484"/>
      <sheetData sheetId="485"/>
      <sheetData sheetId="486">
        <row r="3">
          <cell r="B3" t="str">
            <v>NextVenue</v>
          </cell>
        </row>
      </sheetData>
      <sheetData sheetId="487"/>
      <sheetData sheetId="488">
        <row r="3">
          <cell r="B3" t="str">
            <v>NextVenue</v>
          </cell>
        </row>
      </sheetData>
      <sheetData sheetId="489">
        <row r="3">
          <cell r="B3" t="str">
            <v>NextVenue</v>
          </cell>
        </row>
      </sheetData>
      <sheetData sheetId="490">
        <row r="3">
          <cell r="B3" t="str">
            <v>NextVenue</v>
          </cell>
        </row>
      </sheetData>
      <sheetData sheetId="491"/>
      <sheetData sheetId="492"/>
      <sheetData sheetId="493"/>
      <sheetData sheetId="494"/>
      <sheetData sheetId="495"/>
      <sheetData sheetId="496"/>
      <sheetData sheetId="497"/>
      <sheetData sheetId="498">
        <row r="2">
          <cell r="Z2">
            <v>1</v>
          </cell>
        </row>
      </sheetData>
      <sheetData sheetId="499">
        <row r="2">
          <cell r="Z2">
            <v>1</v>
          </cell>
        </row>
      </sheetData>
      <sheetData sheetId="500"/>
      <sheetData sheetId="501">
        <row r="3">
          <cell r="B3" t="str">
            <v>NextVenue</v>
          </cell>
        </row>
      </sheetData>
      <sheetData sheetId="502">
        <row r="1">
          <cell r="B1">
            <v>8</v>
          </cell>
        </row>
      </sheetData>
      <sheetData sheetId="503">
        <row r="1">
          <cell r="B1">
            <v>8</v>
          </cell>
        </row>
      </sheetData>
      <sheetData sheetId="504">
        <row r="3">
          <cell r="B3" t="str">
            <v>NextVenue</v>
          </cell>
        </row>
      </sheetData>
      <sheetData sheetId="505">
        <row r="3">
          <cell r="B3" t="str">
            <v>NextVenue</v>
          </cell>
        </row>
      </sheetData>
      <sheetData sheetId="506">
        <row r="3">
          <cell r="B3" t="str">
            <v>NextVenue</v>
          </cell>
        </row>
      </sheetData>
      <sheetData sheetId="507">
        <row r="3">
          <cell r="B3" t="str">
            <v>NextVenue</v>
          </cell>
        </row>
      </sheetData>
      <sheetData sheetId="508">
        <row r="3">
          <cell r="B3" t="str">
            <v>NextVenue</v>
          </cell>
        </row>
      </sheetData>
      <sheetData sheetId="509"/>
      <sheetData sheetId="510">
        <row r="3">
          <cell r="B3" t="str">
            <v>NextVenue</v>
          </cell>
        </row>
      </sheetData>
      <sheetData sheetId="511">
        <row r="3">
          <cell r="B3" t="str">
            <v>NextVenue</v>
          </cell>
        </row>
      </sheetData>
      <sheetData sheetId="512">
        <row r="3">
          <cell r="B3" t="str">
            <v>NextVenue</v>
          </cell>
        </row>
      </sheetData>
      <sheetData sheetId="513">
        <row r="3">
          <cell r="B3" t="str">
            <v>NextVenue</v>
          </cell>
        </row>
      </sheetData>
      <sheetData sheetId="514">
        <row r="3">
          <cell r="B3" t="str">
            <v>NextVenue</v>
          </cell>
        </row>
      </sheetData>
      <sheetData sheetId="515">
        <row r="3">
          <cell r="B3" t="str">
            <v>NextVenue</v>
          </cell>
        </row>
      </sheetData>
      <sheetData sheetId="516">
        <row r="3">
          <cell r="B3" t="str">
            <v>NextVenue</v>
          </cell>
        </row>
      </sheetData>
      <sheetData sheetId="517">
        <row r="2">
          <cell r="Z2">
            <v>1</v>
          </cell>
        </row>
      </sheetData>
      <sheetData sheetId="518"/>
      <sheetData sheetId="519">
        <row r="3">
          <cell r="B3" t="str">
            <v>NextVenue</v>
          </cell>
        </row>
      </sheetData>
      <sheetData sheetId="520"/>
      <sheetData sheetId="521">
        <row r="3">
          <cell r="B3" t="str">
            <v>NextVenue</v>
          </cell>
        </row>
      </sheetData>
      <sheetData sheetId="522">
        <row r="3">
          <cell r="B3" t="str">
            <v>NextVenue</v>
          </cell>
        </row>
      </sheetData>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refreshError="1"/>
      <sheetData sheetId="884" refreshError="1"/>
      <sheetData sheetId="885" refreshError="1"/>
      <sheetData sheetId="886">
        <row r="7">
          <cell r="D7">
            <v>1092.9000000000001</v>
          </cell>
        </row>
      </sheetData>
      <sheetData sheetId="887">
        <row r="7">
          <cell r="D7">
            <v>2501.059999999994</v>
          </cell>
        </row>
      </sheetData>
      <sheetData sheetId="888">
        <row r="2">
          <cell r="Z2">
            <v>1</v>
          </cell>
        </row>
      </sheetData>
      <sheetData sheetId="889"/>
      <sheetData sheetId="890"/>
      <sheetData sheetId="891"/>
      <sheetData sheetId="892"/>
      <sheetData sheetId="893"/>
      <sheetData sheetId="894">
        <row r="2">
          <cell r="Z2">
            <v>1</v>
          </cell>
        </row>
      </sheetData>
      <sheetData sheetId="895">
        <row r="2">
          <cell r="Z2">
            <v>1</v>
          </cell>
        </row>
      </sheetData>
      <sheetData sheetId="896"/>
      <sheetData sheetId="897"/>
      <sheetData sheetId="898"/>
      <sheetData sheetId="899"/>
      <sheetData sheetId="900">
        <row r="7">
          <cell r="D7">
            <v>1092.9000000000001</v>
          </cell>
        </row>
      </sheetData>
      <sheetData sheetId="901">
        <row r="7">
          <cell r="D7">
            <v>2501.059999999994</v>
          </cell>
        </row>
      </sheetData>
      <sheetData sheetId="902"/>
      <sheetData sheetId="903"/>
      <sheetData sheetId="904" refreshError="1"/>
      <sheetData sheetId="905" refreshError="1"/>
      <sheetData sheetId="906"/>
      <sheetData sheetId="907"/>
      <sheetData sheetId="908"/>
      <sheetData sheetId="909"/>
      <sheetData sheetId="910"/>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sheetData sheetId="921"/>
      <sheetData sheetId="922"/>
      <sheetData sheetId="923"/>
      <sheetData sheetId="924"/>
      <sheetData sheetId="925"/>
      <sheetData sheetId="926"/>
      <sheetData sheetId="927"/>
      <sheetData sheetId="928"/>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sheetData sheetId="1068"/>
      <sheetData sheetId="1069"/>
      <sheetData sheetId="1070"/>
      <sheetData sheetId="1071"/>
      <sheetData sheetId="1072" refreshError="1"/>
      <sheetData sheetId="1073" refreshError="1"/>
      <sheetData sheetId="1074" refreshError="1"/>
      <sheetData sheetId="1075"/>
      <sheetData sheetId="1076"/>
      <sheetData sheetId="1077"/>
      <sheetData sheetId="1078"/>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sheetData sheetId="1102"/>
      <sheetData sheetId="1103">
        <row r="9">
          <cell r="A9">
            <v>900000</v>
          </cell>
        </row>
      </sheetData>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row r="9">
          <cell r="A9">
            <v>900000</v>
          </cell>
        </row>
      </sheetData>
      <sheetData sheetId="1140"/>
      <sheetData sheetId="1141"/>
      <sheetData sheetId="1142"/>
      <sheetData sheetId="1143"/>
      <sheetData sheetId="1144">
        <row r="9">
          <cell r="A9">
            <v>900000</v>
          </cell>
        </row>
      </sheetData>
      <sheetData sheetId="1145"/>
      <sheetData sheetId="1146"/>
      <sheetData sheetId="1147"/>
      <sheetData sheetId="1148">
        <row r="9">
          <cell r="A9">
            <v>900000</v>
          </cell>
        </row>
      </sheetData>
      <sheetData sheetId="1149">
        <row r="9">
          <cell r="A9">
            <v>900000</v>
          </cell>
        </row>
      </sheetData>
      <sheetData sheetId="1150"/>
      <sheetData sheetId="1151"/>
      <sheetData sheetId="1152"/>
      <sheetData sheetId="1153"/>
      <sheetData sheetId="1154"/>
      <sheetData sheetId="1155"/>
      <sheetData sheetId="1156">
        <row r="9">
          <cell r="A9">
            <v>900000</v>
          </cell>
        </row>
      </sheetData>
      <sheetData sheetId="1157">
        <row r="9">
          <cell r="A9">
            <v>900000</v>
          </cell>
        </row>
      </sheetData>
      <sheetData sheetId="1158">
        <row r="9">
          <cell r="A9">
            <v>900000</v>
          </cell>
        </row>
      </sheetData>
      <sheetData sheetId="1159"/>
      <sheetData sheetId="1160"/>
      <sheetData sheetId="1161"/>
      <sheetData sheetId="1162"/>
      <sheetData sheetId="1163"/>
      <sheetData sheetId="1164"/>
      <sheetData sheetId="1165">
        <row r="9">
          <cell r="A9">
            <v>900000</v>
          </cell>
        </row>
      </sheetData>
      <sheetData sheetId="1166"/>
      <sheetData sheetId="1167"/>
      <sheetData sheetId="1168"/>
      <sheetData sheetId="1169"/>
      <sheetData sheetId="1170">
        <row r="9">
          <cell r="A9">
            <v>900000</v>
          </cell>
        </row>
      </sheetData>
      <sheetData sheetId="1171">
        <row r="1">
          <cell r="B1">
            <v>8</v>
          </cell>
        </row>
      </sheetData>
      <sheetData sheetId="1172"/>
      <sheetData sheetId="1173"/>
      <sheetData sheetId="1174"/>
      <sheetData sheetId="1175" refreshError="1"/>
      <sheetData sheetId="1176"/>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row r="18">
          <cell r="B18">
            <v>0.39</v>
          </cell>
        </row>
      </sheetData>
      <sheetData sheetId="1226"/>
      <sheetData sheetId="1227"/>
      <sheetData sheetId="1228"/>
      <sheetData sheetId="1229"/>
      <sheetData sheetId="1230"/>
      <sheetData sheetId="1231"/>
      <sheetData sheetId="1232"/>
      <sheetData sheetId="1233"/>
      <sheetData sheetId="1234"/>
      <sheetData sheetId="1235">
        <row r="6">
          <cell r="B6">
            <v>1</v>
          </cell>
        </row>
      </sheetData>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ow r="8">
          <cell r="AO8">
            <v>1</v>
          </cell>
        </row>
      </sheetData>
      <sheetData sheetId="1257"/>
      <sheetData sheetId="1258" refreshError="1"/>
      <sheetData sheetId="1259" refreshError="1"/>
      <sheetData sheetId="1260" refreshError="1"/>
      <sheetData sheetId="1261"/>
      <sheetData sheetId="1262"/>
      <sheetData sheetId="1263" refreshError="1"/>
      <sheetData sheetId="1264" refreshError="1"/>
      <sheetData sheetId="1265">
        <row r="11">
          <cell r="H11">
            <v>1998</v>
          </cell>
        </row>
      </sheetData>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sheetData sheetId="1277"/>
      <sheetData sheetId="1278"/>
      <sheetData sheetId="1279"/>
      <sheetData sheetId="1280"/>
      <sheetData sheetId="1281"/>
      <sheetData sheetId="1282"/>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ow r="1">
          <cell r="B1">
            <v>8</v>
          </cell>
        </row>
      </sheetData>
      <sheetData sheetId="1340">
        <row r="1">
          <cell r="B1">
            <v>8</v>
          </cell>
        </row>
      </sheetData>
      <sheetData sheetId="1341">
        <row r="1">
          <cell r="B1">
            <v>8</v>
          </cell>
        </row>
      </sheetData>
      <sheetData sheetId="1342"/>
      <sheetData sheetId="1343"/>
      <sheetData sheetId="1344"/>
      <sheetData sheetId="1345"/>
      <sheetData sheetId="1346"/>
      <sheetData sheetId="1347">
        <row r="1">
          <cell r="B1">
            <v>8</v>
          </cell>
        </row>
      </sheetData>
      <sheetData sheetId="1348"/>
      <sheetData sheetId="1349"/>
      <sheetData sheetId="1350"/>
      <sheetData sheetId="1351"/>
      <sheetData sheetId="1352"/>
      <sheetData sheetId="1353">
        <row r="1">
          <cell r="B1">
            <v>8</v>
          </cell>
        </row>
      </sheetData>
      <sheetData sheetId="1354"/>
      <sheetData sheetId="1355"/>
      <sheetData sheetId="1356"/>
      <sheetData sheetId="1357"/>
      <sheetData sheetId="1358"/>
      <sheetData sheetId="1359"/>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sheetData sheetId="1380"/>
      <sheetData sheetId="1381">
        <row r="7">
          <cell r="D7">
            <v>1092.9000000000001</v>
          </cell>
        </row>
      </sheetData>
      <sheetData sheetId="1382">
        <row r="2">
          <cell r="Z2">
            <v>1</v>
          </cell>
        </row>
      </sheetData>
      <sheetData sheetId="1383" refreshError="1"/>
      <sheetData sheetId="1384">
        <row r="2">
          <cell r="Z2">
            <v>1</v>
          </cell>
        </row>
      </sheetData>
      <sheetData sheetId="1385">
        <row r="2">
          <cell r="Z2">
            <v>1</v>
          </cell>
        </row>
      </sheetData>
      <sheetData sheetId="1386">
        <row r="2">
          <cell r="Z2">
            <v>1</v>
          </cell>
        </row>
      </sheetData>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sheetData sheetId="1597" refreshError="1"/>
      <sheetData sheetId="1598" refreshError="1"/>
      <sheetData sheetId="1599" refreshError="1"/>
      <sheetData sheetId="1600" refreshError="1"/>
      <sheetData sheetId="1601">
        <row r="19">
          <cell r="E19" t="str">
            <v>Unsec</v>
          </cell>
        </row>
      </sheetData>
      <sheetData sheetId="1602">
        <row r="73">
          <cell r="D73" t="str">
            <v>Net Sales</v>
          </cell>
        </row>
      </sheetData>
      <sheetData sheetId="1603">
        <row r="73">
          <cell r="D73" t="str">
            <v>Net Sales</v>
          </cell>
        </row>
      </sheetData>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sheetData sheetId="1700">
        <row r="2">
          <cell r="B2" t="str">
            <v>UNAUDITED STATEMENT OF CASH FLOWS &amp;</v>
          </cell>
        </row>
      </sheetData>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sheetData sheetId="1723">
        <row r="29">
          <cell r="B29">
            <v>113251.09999999999</v>
          </cell>
        </row>
      </sheetData>
      <sheetData sheetId="1724">
        <row r="70">
          <cell r="H70" t="e">
            <v>#NAME?</v>
          </cell>
        </row>
      </sheetData>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ow r="1">
          <cell r="D1">
            <v>42510</v>
          </cell>
        </row>
      </sheetData>
      <sheetData sheetId="1836"/>
      <sheetData sheetId="1837"/>
      <sheetData sheetId="1838"/>
      <sheetData sheetId="1839"/>
      <sheetData sheetId="1840"/>
      <sheetData sheetId="1841">
        <row r="8">
          <cell r="D8">
            <v>40581</v>
          </cell>
        </row>
      </sheetData>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sheetData sheetId="1864"/>
      <sheetData sheetId="1865"/>
      <sheetData sheetId="1866"/>
      <sheetData sheetId="1867"/>
      <sheetData sheetId="1868"/>
      <sheetData sheetId="1869"/>
      <sheetData sheetId="1870"/>
      <sheetData sheetId="1871"/>
      <sheetData sheetId="1872"/>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sheetData sheetId="2078"/>
      <sheetData sheetId="2079"/>
      <sheetData sheetId="2080"/>
      <sheetData sheetId="208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row r="2">
          <cell r="A2" t="str">
            <v>10_AST_Other_Canada All Customers</v>
          </cell>
        </row>
      </sheetData>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refreshError="1"/>
      <sheetData sheetId="2230" refreshError="1"/>
      <sheetData sheetId="2231" refreshError="1"/>
      <sheetData sheetId="2232" refreshError="1"/>
      <sheetData sheetId="2233" refreshError="1"/>
      <sheetData sheetId="2234" refreshError="1"/>
      <sheetData sheetId="2235"/>
      <sheetData sheetId="2236"/>
      <sheetData sheetId="2237"/>
      <sheetData sheetId="2238"/>
      <sheetData sheetId="2239"/>
      <sheetData sheetId="2240"/>
      <sheetData sheetId="2241"/>
      <sheetData sheetId="2242"/>
      <sheetData sheetId="2243"/>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ow r="32">
          <cell r="K32">
            <v>-3626170</v>
          </cell>
        </row>
      </sheetData>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refreshError="1"/>
      <sheetData sheetId="2296" refreshError="1"/>
      <sheetData sheetId="2297"/>
      <sheetData sheetId="2298"/>
      <sheetData sheetId="2299" refreshError="1"/>
      <sheetData sheetId="2300" refreshError="1"/>
      <sheetData sheetId="2301" refreshError="1"/>
      <sheetData sheetId="2302"/>
      <sheetData sheetId="2303" refreshError="1"/>
      <sheetData sheetId="2304"/>
      <sheetData sheetId="2305"/>
      <sheetData sheetId="2306"/>
      <sheetData sheetId="2307"/>
      <sheetData sheetId="2308" refreshError="1"/>
      <sheetData sheetId="2309"/>
      <sheetData sheetId="2310"/>
      <sheetData sheetId="2311" refreshError="1"/>
      <sheetData sheetId="2312" refreshError="1"/>
      <sheetData sheetId="2313" refreshError="1"/>
      <sheetData sheetId="2314" refreshError="1"/>
      <sheetData sheetId="2315" refreshError="1"/>
      <sheetData sheetId="2316" refreshError="1"/>
      <sheetData sheetId="2317"/>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sheetData sheetId="2342"/>
      <sheetData sheetId="2343"/>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sheetData sheetId="2356"/>
      <sheetData sheetId="2357"/>
      <sheetData sheetId="2358"/>
      <sheetData sheetId="2359"/>
      <sheetData sheetId="2360"/>
      <sheetData sheetId="2361"/>
      <sheetData sheetId="2362" refreshError="1"/>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ow r="90">
          <cell r="B90" t="str">
            <v>Ending Subs</v>
          </cell>
        </row>
      </sheetData>
      <sheetData sheetId="2427" refreshError="1"/>
      <sheetData sheetId="2428"/>
      <sheetData sheetId="2429"/>
      <sheetData sheetId="2430"/>
      <sheetData sheetId="2431"/>
      <sheetData sheetId="2432"/>
      <sheetData sheetId="2433"/>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sheetData sheetId="2532"/>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sheetData sheetId="2547" refreshError="1"/>
      <sheetData sheetId="2548" refreshError="1"/>
      <sheetData sheetId="2549" refreshError="1"/>
      <sheetData sheetId="2550" refreshError="1"/>
      <sheetData sheetId="2551" refreshError="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refreshError="1"/>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refreshError="1"/>
      <sheetData sheetId="2818" refreshError="1"/>
      <sheetData sheetId="2819" refreshError="1"/>
      <sheetData sheetId="2820" refreshError="1"/>
      <sheetData sheetId="282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Details"/>
      <sheetName val="ARSummary"/>
      <sheetName val="Graph"/>
      <sheetName val="Sales"/>
      <sheetName val="E"/>
      <sheetName val="100152"/>
      <sheetName val="100143"/>
      <sheetName val="100142"/>
      <sheetName val="Sheet3"/>
      <sheetName val="100152 (2)"/>
      <sheetName val="100143 (2)"/>
      <sheetName val="100142 (2)"/>
      <sheetName val="AMG"/>
      <sheetName val="Eq. Type X LINE"/>
      <sheetName val="Reported database"/>
      <sheetName val="LBOSHELL"/>
      <sheetName val="100152_(2)"/>
      <sheetName val="100143_(2)"/>
      <sheetName val="100142_(2)"/>
      <sheetName val="Clec Comp"/>
      <sheetName val="Financials"/>
      <sheetName val="Inputs"/>
      <sheetName val="AcqIS"/>
      <sheetName val="AcqBSCF"/>
      <sheetName val="ANNUAL.OLD"/>
      <sheetName val="Video"/>
      <sheetName val="ANNUAL"/>
      <sheetName val="Content"/>
      <sheetName val="QVC"/>
      <sheetName val="Telephony"/>
      <sheetName val="Lookups"/>
      <sheetName val="Clec_Comp"/>
      <sheetName val="ANNUAL_OLD"/>
      <sheetName val="Dropdowns"/>
      <sheetName val="LoadProfile"/>
      <sheetName val="Working Capital ratios"/>
      <sheetName val="1ST SEM"/>
      <sheetName val="AR October_end"/>
      <sheetName val="Sheet1"/>
      <sheetName val="Lists"/>
      <sheetName val="Trial Balance"/>
      <sheetName val="变数"/>
      <sheetName val="Revenue Assumptions"/>
      <sheetName val="Eq__Type_X_LINE"/>
      <sheetName val="Working_Capital_ratios"/>
      <sheetName val="1ST_SEM"/>
      <sheetName val="AR_October_end"/>
      <sheetName val="Trial_Balance"/>
      <sheetName val="Revenue_Assumptions"/>
      <sheetName val="100152_(2)1"/>
      <sheetName val="100143_(2)1"/>
      <sheetName val="100142_(2)1"/>
      <sheetName val="Eq__Type_X_LINE1"/>
      <sheetName val="Working_Capital_ratios1"/>
      <sheetName val="1ST_SEM1"/>
      <sheetName val="AR_October_end1"/>
      <sheetName val="Trial_Balance1"/>
      <sheetName val="Revenue_Assumptions1"/>
      <sheetName val="100152_(2)2"/>
      <sheetName val="VOL"/>
      <sheetName val="PDPC0908"/>
      <sheetName val="VOLUME"/>
      <sheetName val="Avaya"/>
      <sheetName val="AUTO"/>
      <sheetName val="jv12labor"/>
      <sheetName val="P&amp;L"/>
      <sheetName val="100152_(2)3"/>
      <sheetName val="100143_(2)2"/>
      <sheetName val="100142_(2)2"/>
      <sheetName val="Eq__Type_X_LINE2"/>
      <sheetName val="Working_Capital_ratios2"/>
      <sheetName val="1ST_SEM2"/>
      <sheetName val="AR_October_end2"/>
      <sheetName val="Trial_Balance2"/>
      <sheetName val="Revenue_Assumptions2"/>
      <sheetName val="100152_(2)5"/>
      <sheetName val="100143_(2)4"/>
      <sheetName val="100142_(2)4"/>
      <sheetName val="Eq__Type_X_LINE4"/>
      <sheetName val="Working_Capital_ratios4"/>
      <sheetName val="1ST_SEM4"/>
      <sheetName val="AR_October_end4"/>
      <sheetName val="Trial_Balance4"/>
      <sheetName val="Revenue_Assumptions4"/>
      <sheetName val="100152_(2)4"/>
      <sheetName val="100143_(2)3"/>
      <sheetName val="100142_(2)3"/>
      <sheetName val="Eq__Type_X_LINE3"/>
      <sheetName val="Working_Capital_ratios3"/>
      <sheetName val="1ST_SEM3"/>
      <sheetName val="AR_October_end3"/>
      <sheetName val="Trial_Balance3"/>
      <sheetName val="Revenue_Assumptions3"/>
      <sheetName val="100152_(2)6"/>
      <sheetName val="100143_(2)5"/>
      <sheetName val="100142_(2)5"/>
      <sheetName val="Eq__Type_X_LINE5"/>
      <sheetName val="Working_Capital_ratios5"/>
      <sheetName val="1ST_SEM5"/>
      <sheetName val="AR_October_end5"/>
      <sheetName val="Trial_Balance5"/>
      <sheetName val="Revenue_Assumptions5"/>
      <sheetName val="100152_(2)7"/>
      <sheetName val="100143_(2)6"/>
      <sheetName val="100142_(2)6"/>
      <sheetName val="Eq__Type_X_LINE6"/>
      <sheetName val="Working_Capital_ratios6"/>
      <sheetName val="1ST_SEM6"/>
      <sheetName val="AR_October_end6"/>
      <sheetName val="Trial_Balance6"/>
      <sheetName val="Revenue_Assumptions6"/>
      <sheetName val="100152_(2)9"/>
      <sheetName val="100143_(2)8"/>
      <sheetName val="100142_(2)8"/>
      <sheetName val="Eq__Type_X_LINE8"/>
      <sheetName val="Working_Capital_ratios8"/>
      <sheetName val="1ST_SEM8"/>
      <sheetName val="AR_October_end8"/>
      <sheetName val="Trial_Balance8"/>
      <sheetName val="Revenue_Assumptions8"/>
      <sheetName val="100152_(2)8"/>
      <sheetName val="100143_(2)7"/>
      <sheetName val="100142_(2)7"/>
      <sheetName val="Eq__Type_X_LINE7"/>
      <sheetName val="Working_Capital_ratios7"/>
      <sheetName val="1ST_SEM7"/>
      <sheetName val="AR_October_end7"/>
      <sheetName val="Trial_Balance7"/>
      <sheetName val="Revenue_Assumptions7"/>
      <sheetName val="TargIS"/>
      <sheetName val="TargBSCF"/>
      <sheetName val="Subscription Facility"/>
      <sheetName val="Info"/>
      <sheetName val="Mapping - Investments"/>
      <sheetName val="#REF"/>
      <sheetName val="1601 Detail information"/>
      <sheetName val="GT_Ref_Libr"/>
      <sheetName val="U.S ILD"/>
      <sheetName val="Salaried main"/>
      <sheetName val="100152_(2)10"/>
      <sheetName val="100143_(2)9"/>
      <sheetName val="100142_(2)9"/>
      <sheetName val="Eq__Type_X_LINE9"/>
      <sheetName val="Clec_Comp1"/>
      <sheetName val="ANNUAL_OLD1"/>
      <sheetName val="Reported_database"/>
      <sheetName val="Working_Capital_ratios9"/>
      <sheetName val="1ST_SEM9"/>
      <sheetName val="AR_October_end9"/>
      <sheetName val="Trial_Balance9"/>
      <sheetName val="Revenue_Assumptions9"/>
      <sheetName val="Subscription_Facility"/>
      <sheetName val="Mapping_-_Investments"/>
      <sheetName val="1601_Detail_information"/>
      <sheetName val="U_S_ILD"/>
      <sheetName val="Salaried_main"/>
      <sheetName val="SCT2"/>
      <sheetName val="Revenue"/>
      <sheetName val="Traffic"/>
      <sheetName val="List"/>
      <sheetName val="100152_(2)11"/>
      <sheetName val="100143_(2)10"/>
      <sheetName val="100142_(2)10"/>
      <sheetName val="Eq__Type_X_LINE10"/>
      <sheetName val="Reported_database1"/>
      <sheetName val="Clec_Comp2"/>
      <sheetName val="ANNUAL_OLD2"/>
      <sheetName val="Working_Capital_ratios10"/>
      <sheetName val="1ST_SEM10"/>
      <sheetName val="AR_October_end10"/>
      <sheetName val="Trial_Balance10"/>
      <sheetName val="Revenue_Assumptions10"/>
      <sheetName val="Subscription_Facility1"/>
      <sheetName val="Mapping_-_Investments1"/>
      <sheetName val="1601_Detail_information1"/>
      <sheetName val="U_S_ILD1"/>
      <sheetName val="Salaried_main1"/>
      <sheetName val="100152_(2)12"/>
      <sheetName val="100143_(2)11"/>
      <sheetName val="100142_(2)11"/>
      <sheetName val="Eq__Type_X_LINE11"/>
      <sheetName val="Working_Capital_ratios11"/>
      <sheetName val="1ST_SEM11"/>
      <sheetName val="AR_October_end11"/>
      <sheetName val="Trial_Balance11"/>
      <sheetName val="Revenue_Assumptions11"/>
      <sheetName val="100152_(2)13"/>
      <sheetName val="100143_(2)12"/>
      <sheetName val="100142_(2)12"/>
      <sheetName val="Eq__Type_X_LINE12"/>
      <sheetName val="Working_Capital_ratios12"/>
      <sheetName val="1ST_SEM12"/>
      <sheetName val="AR_October_end12"/>
      <sheetName val="Trial_Balance12"/>
      <sheetName val="Revenue_Assumptions12"/>
      <sheetName val="Clec_Comp3"/>
      <sheetName val="ANNUAL_OLD3"/>
      <sheetName val="100152_(2)14"/>
      <sheetName val="100143_(2)13"/>
      <sheetName val="100142_(2)13"/>
      <sheetName val="Eq__Type_X_LINE13"/>
      <sheetName val="Working_Capital_ratios13"/>
      <sheetName val="1ST_SEM13"/>
      <sheetName val="AR_October_end13"/>
      <sheetName val="Trial_Balance13"/>
      <sheetName val="Revenue_Assumptions13"/>
      <sheetName val="Clec_Comp4"/>
      <sheetName val="ANNUAL_OLD4"/>
      <sheetName val="mapping"/>
      <sheetName val="100152_(2)16"/>
      <sheetName val="100143_(2)15"/>
      <sheetName val="100142_(2)15"/>
      <sheetName val="Eq__Type_X_LINE15"/>
      <sheetName val="Clec_Comp6"/>
      <sheetName val="ANNUAL_OLD6"/>
      <sheetName val="Reported_database2"/>
      <sheetName val="Working_Capital_ratios15"/>
      <sheetName val="1ST_SEM15"/>
      <sheetName val="AR_October_end15"/>
      <sheetName val="Trial_Balance15"/>
      <sheetName val="Revenue_Assumptions15"/>
      <sheetName val="Subscription_Facility2"/>
      <sheetName val="Mapping_-_Investments2"/>
      <sheetName val="1601_Detail_information2"/>
      <sheetName val="U_S_ILD2"/>
      <sheetName val="Salaried_main2"/>
      <sheetName val="100152_(2)15"/>
      <sheetName val="100143_(2)14"/>
      <sheetName val="100142_(2)14"/>
      <sheetName val="Eq__Type_X_LINE14"/>
      <sheetName val="Clec_Comp5"/>
      <sheetName val="ANNUAL_OLD5"/>
      <sheetName val="Working_Capital_ratios14"/>
      <sheetName val="1ST_SEM14"/>
      <sheetName val="AR_October_end14"/>
      <sheetName val="Trial_Balance14"/>
      <sheetName val="Revenue_Assumptions14"/>
      <sheetName val="BIRP Non acc"/>
      <sheetName val="BCE-INC OTHER"/>
      <sheetName val="OUTPUT"/>
      <sheetName val="Preferred Equity"/>
      <sheetName val="Graphs"/>
      <sheetName val="2016 (KPMG Mod) Entity List"/>
      <sheetName val="B"/>
      <sheetName val="Lookups &amp; Dropdowns"/>
      <sheetName val="Preferred_Equity1"/>
      <sheetName val="Preferred_Equity"/>
      <sheetName val="Downdrops"/>
      <sheetName val="Fact Sheet"/>
      <sheetName val="Fees"/>
      <sheetName val="Q-Data"/>
      <sheetName val="HIOS 93 thru 96"/>
      <sheetName val="Basic Details"/>
      <sheetName val="Contracts"/>
      <sheetName val="Under 20_Revenue Sort"/>
      <sheetName val="Under 20_Mkt Value Sort"/>
      <sheetName val="Under 20_BV Sort"/>
      <sheetName val="Under 20_Total Assets Sort"/>
      <sheetName val="Under 20_Volatility Sort"/>
      <sheetName val="Under 20_Net Margin Sort"/>
      <sheetName val="Under 20_Dividends Sort"/>
      <sheetName val="Empire Screening"/>
      <sheetName val="Under_20_Revenue_Sort"/>
      <sheetName val="Under_20_Mkt_Value_Sort"/>
      <sheetName val="Under_20_BV_Sort"/>
      <sheetName val="Under_20_Total_Assets_Sort"/>
      <sheetName val="Under_20_Volatility_Sort"/>
      <sheetName val="Under_20_Net_Margin_Sort"/>
      <sheetName val="Under_20_Dividends_Sort"/>
      <sheetName val="Empire_Screening"/>
      <sheetName val="Tables"/>
      <sheetName val="Fixed"/>
      <sheetName val="Fixed ADRs"/>
      <sheetName val="Equip"/>
      <sheetName val="Euro Fixed"/>
      <sheetName val="2002年预提费用"/>
      <sheetName val="ADJ Sum(console)"/>
      <sheetName val="数据"/>
      <sheetName val="KEYISS"/>
      <sheetName val="Setup Tab"/>
      <sheetName val="FY03"/>
      <sheetName val="ValidationList"/>
      <sheetName val="FF-3"/>
      <sheetName val="Data Validations"/>
      <sheetName val="CANS"/>
      <sheetName val="AL&amp;SL"/>
      <sheetName val="Profit &amp;  Loss"/>
      <sheetName val="Profit_&amp;__Loss"/>
      <sheetName val="100152_(2)17"/>
      <sheetName val="100143_(2)16"/>
      <sheetName val="100142_(2)16"/>
      <sheetName val="Eq__Type_X_LINE16"/>
      <sheetName val="Working_Capital_ratios16"/>
      <sheetName val="1ST_SEM16"/>
      <sheetName val="AR_October_end16"/>
      <sheetName val="Trial_Balance16"/>
      <sheetName val="Revenue_Assumptions16"/>
      <sheetName val="Clec_Comp7"/>
      <sheetName val="ANNUAL_OLD7"/>
      <sheetName val="Profit_&amp;__Loss1"/>
      <sheetName val="Loan"/>
      <sheetName val="100152_(2)19"/>
      <sheetName val="100143_(2)18"/>
      <sheetName val="100142_(2)18"/>
      <sheetName val="Eq__Type_X_LINE18"/>
      <sheetName val="Working_Capital_ratios18"/>
      <sheetName val="1ST_SEM18"/>
      <sheetName val="AR_October_end18"/>
      <sheetName val="Trial_Balance18"/>
      <sheetName val="Revenue_Assumptions18"/>
      <sheetName val="Clec_Comp9"/>
      <sheetName val="ANNUAL_OLD9"/>
      <sheetName val="Profit_&amp;__Loss3"/>
      <sheetName val="100152_(2)18"/>
      <sheetName val="100143_(2)17"/>
      <sheetName val="100142_(2)17"/>
      <sheetName val="Eq__Type_X_LINE17"/>
      <sheetName val="Working_Capital_ratios17"/>
      <sheetName val="1ST_SEM17"/>
      <sheetName val="AR_October_end17"/>
      <sheetName val="Trial_Balance17"/>
      <sheetName val="Revenue_Assumptions17"/>
      <sheetName val="Clec_Comp8"/>
      <sheetName val="ANNUAL_OLD8"/>
      <sheetName val="Profit_&amp;__Loss2"/>
      <sheetName val="100152_(2)21"/>
      <sheetName val="100143_(2)20"/>
      <sheetName val="100142_(2)20"/>
      <sheetName val="Eq__Type_X_LINE20"/>
      <sheetName val="Working_Capital_ratios20"/>
      <sheetName val="1ST_SEM20"/>
      <sheetName val="AR_October_end20"/>
      <sheetName val="Trial_Balance20"/>
      <sheetName val="Revenue_Assumptions20"/>
      <sheetName val="Clec_Comp11"/>
      <sheetName val="ANNUAL_OLD11"/>
      <sheetName val="Profit_&amp;__Loss5"/>
      <sheetName val="100152_(2)20"/>
      <sheetName val="100143_(2)19"/>
      <sheetName val="100142_(2)19"/>
      <sheetName val="Eq__Type_X_LINE19"/>
      <sheetName val="Working_Capital_ratios19"/>
      <sheetName val="1ST_SEM19"/>
      <sheetName val="AR_October_end19"/>
      <sheetName val="Trial_Balance19"/>
      <sheetName val="Revenue_Assumptions19"/>
      <sheetName val="Clec_Comp10"/>
      <sheetName val="ANNUAL_OLD10"/>
      <sheetName val="Profit_&amp;__Loss4"/>
      <sheetName val="100152_(2)22"/>
      <sheetName val="100143_(2)21"/>
      <sheetName val="100142_(2)21"/>
      <sheetName val="Eq__Type_X_LINE21"/>
      <sheetName val="Working_Capital_ratios21"/>
      <sheetName val="1ST_SEM21"/>
      <sheetName val="AR_October_end21"/>
      <sheetName val="Trial_Balance21"/>
      <sheetName val="Revenue_Assumptions21"/>
      <sheetName val="Clec_Comp12"/>
      <sheetName val="ANNUAL_OLD12"/>
      <sheetName val="Profit_&amp;__Loss6"/>
      <sheetName val="100152_(2)23"/>
      <sheetName val="100143_(2)22"/>
      <sheetName val="100142_(2)22"/>
      <sheetName val="Eq__Type_X_LINE22"/>
      <sheetName val="Working_Capital_ratios22"/>
      <sheetName val="1ST_SEM22"/>
      <sheetName val="AR_October_end22"/>
      <sheetName val="Trial_Balance22"/>
      <sheetName val="Revenue_Assumptions22"/>
      <sheetName val="Clec_Comp13"/>
      <sheetName val="ANNUAL_OLD13"/>
      <sheetName val="Profit_&amp;__Loss7"/>
      <sheetName val="100152_(2)24"/>
      <sheetName val="100143_(2)23"/>
      <sheetName val="100142_(2)23"/>
      <sheetName val="Eq__Type_X_LINE23"/>
      <sheetName val="Working_Capital_ratios23"/>
      <sheetName val="1ST_SEM23"/>
      <sheetName val="AR_October_end23"/>
      <sheetName val="Trial_Balance23"/>
      <sheetName val="Revenue_Assumptions23"/>
      <sheetName val="Clec_Comp14"/>
      <sheetName val="ANNUAL_OLD14"/>
      <sheetName val="Profit_&amp;__Loss8"/>
      <sheetName val="BPI"/>
      <sheetName val="Berthing Options"/>
      <sheetName val="Sheet2"/>
      <sheetName val="Shipping Line"/>
      <sheetName val="ECO ECA"/>
      <sheetName val="BBEuros"/>
      <sheetName val="Office Improve"/>
      <sheetName val="PXMODEL"/>
      <sheetName val="A14_g280"/>
      <sheetName val="A14_g279"/>
      <sheetName val="MOBDCF"/>
      <sheetName val="_04009"/>
      <sheetName val="_0401"/>
      <sheetName val="UFPrn20040930171821"/>
      <sheetName val="Ã«ÀûÂÊ·ÖÎö±í"/>
      <sheetName val="master"/>
      <sheetName val="Addition"/>
      <sheetName val="YS02-02"/>
      <sheetName val="Forecast"/>
      <sheetName val="Sales 2003"/>
      <sheetName val="India COA"/>
      <sheetName val="Assumptions"/>
      <sheetName val="TM ROUMEL"/>
      <sheetName val="STAROSA"/>
      <sheetName val="TM9"/>
      <sheetName val="TM10"/>
      <sheetName val="TM11"/>
      <sheetName val="TM12"/>
      <sheetName val="TM13"/>
      <sheetName val="TM14"/>
      <sheetName val="TM15"/>
      <sheetName val="TM_ROUMEL"/>
      <sheetName val="SAP 01"/>
      <sheetName val="AL905"/>
      <sheetName val="A"/>
      <sheetName val="DATA"/>
      <sheetName val="100152_(2)25"/>
      <sheetName val="100143_(2)24"/>
      <sheetName val="100142_(2)24"/>
      <sheetName val="Eq__Type_X_LINE24"/>
      <sheetName val="Working_Capital_ratios24"/>
      <sheetName val="1ST_SEM24"/>
      <sheetName val="AR_October_end24"/>
      <sheetName val="Trial_Balance24"/>
      <sheetName val="Revenue_Assumptions24"/>
      <sheetName val="Clec_Comp15"/>
      <sheetName val="ANNUAL_OLD15"/>
      <sheetName val="Profit_&amp;__Loss9"/>
      <sheetName val="Berthing_Options"/>
      <sheetName val="Shipping_Line"/>
      <sheetName val="ECO_ECA"/>
      <sheetName val="TM_ROUMEL1"/>
      <sheetName val="SAP_01"/>
      <sheetName val="100152_(2)26"/>
      <sheetName val="100143_(2)25"/>
      <sheetName val="100142_(2)25"/>
      <sheetName val="Eq__Type_X_LINE25"/>
      <sheetName val="Working_Capital_ratios25"/>
      <sheetName val="1ST_SEM25"/>
      <sheetName val="AR_October_end25"/>
      <sheetName val="Trial_Balance25"/>
      <sheetName val="Revenue_Assumptions25"/>
      <sheetName val="Clec_Comp16"/>
      <sheetName val="ANNUAL_OLD16"/>
      <sheetName val="Profit_&amp;__Loss10"/>
      <sheetName val="Berthing_Options1"/>
      <sheetName val="Shipping_Line1"/>
      <sheetName val="ECO_ECA1"/>
      <sheetName val="TM_ROUMEL2"/>
      <sheetName val="SAP_011"/>
      <sheetName val="INCOME"/>
      <sheetName val="Page 1"/>
      <sheetName val="Page 2"/>
      <sheetName val="COVER"/>
      <sheetName val="DRIVERS"/>
      <sheetName val="t105"/>
      <sheetName val="LINK MOR"/>
      <sheetName val="Preferred_Equity2"/>
      <sheetName val="2016_(KPMG_Mod)_Entity_List"/>
      <sheetName val="HIOS_93_thru_96"/>
      <sheetName val="Lookups_&amp;_Dropdowns"/>
      <sheetName val="1994 PE Dots"/>
      <sheetName val="TB"/>
      <sheetName val="Imob custo"/>
      <sheetName val="Statement of Changes"/>
      <sheetName val="Income Allocation"/>
      <sheetName val="Calc"/>
      <sheetName val="Worksheet 1"/>
      <sheetName val="100152_(2)27"/>
      <sheetName val="100143_(2)26"/>
      <sheetName val="100142_(2)26"/>
      <sheetName val="Eq__Type_X_LINE26"/>
      <sheetName val="Working_Capital_ratios26"/>
      <sheetName val="1ST_SEM26"/>
      <sheetName val="AR_October_end26"/>
      <sheetName val="Trial_Balance26"/>
      <sheetName val="Revenue_Assumptions26"/>
      <sheetName val="Clec_Comp17"/>
      <sheetName val="ANNUAL_OLD17"/>
      <sheetName val="Profit_&amp;__Loss11"/>
      <sheetName val="Berthing_Options2"/>
      <sheetName val="Shipping_Line2"/>
      <sheetName val="ECO_ECA2"/>
      <sheetName val="TM_ROUMEL3"/>
      <sheetName val="SAP_012"/>
      <sheetName val="H - Local Curr Data Input BS"/>
      <sheetName val="Customer"/>
      <sheetName val="Package"/>
      <sheetName val="Act_vs_budg"/>
      <sheetName val="IS"/>
      <sheetName val="1997_vs_1998"/>
      <sheetName val="INPUT AGING"/>
      <sheetName val="S1 Info"/>
      <sheetName val="S2 Index"/>
      <sheetName val="S3 TB"/>
      <sheetName val="S4 IS"/>
      <sheetName val="S5 SOFP"/>
      <sheetName val="Control_PL"/>
      <sheetName val="Control_BS"/>
      <sheetName val="S6 PPE &amp; IA"/>
      <sheetName val="S7 SOCIE"/>
      <sheetName val="S8 PPE Input"/>
      <sheetName val="S9 Invst"/>
      <sheetName val="S10 TR"/>
      <sheetName val="S11 Loans"/>
      <sheetName val="S12 IC"/>
      <sheetName val="S13 Tax"/>
      <sheetName val="S14 OROP"/>
      <sheetName val="S15 OFF BS"/>
      <sheetName val="S16 Others"/>
      <sheetName val="S17 C&amp;B"/>
      <sheetName val="List (C&amp;B)"/>
      <sheetName val="Map1"/>
      <sheetName val="Export1"/>
      <sheetName val="Map2"/>
      <sheetName val="Export2"/>
      <sheetName val="Map C&amp;B"/>
      <sheetName val="Export-C&amp;B"/>
      <sheetName val="Page_1"/>
      <sheetName val="Page_2"/>
      <sheetName val="LINK_MOR"/>
      <sheetName val="100152_(2)28"/>
      <sheetName val="100143_(2)27"/>
      <sheetName val="100142_(2)27"/>
      <sheetName val="Eq__Type_X_LINE27"/>
      <sheetName val="Working_Capital_ratios27"/>
      <sheetName val="1ST_SEM27"/>
      <sheetName val="AR_October_end27"/>
      <sheetName val="Trial_Balance27"/>
      <sheetName val="Revenue_Assumptions27"/>
      <sheetName val="Clec_Comp18"/>
      <sheetName val="ANNUAL_OLD18"/>
      <sheetName val="Profit_&amp;__Loss12"/>
      <sheetName val="Berthing_Options3"/>
      <sheetName val="Shipping_Line3"/>
      <sheetName val="ECO_ECA3"/>
      <sheetName val="TM_ROUMEL4"/>
      <sheetName val="SAP_013"/>
      <sheetName val="E3 - 5yr Asset Plan Dropdown"/>
      <sheetName val="100152_(2)29"/>
      <sheetName val="100143_(2)28"/>
      <sheetName val="100142_(2)28"/>
      <sheetName val="Eq__Type_X_LINE28"/>
      <sheetName val="Working_Capital_ratios28"/>
      <sheetName val="1ST_SEM28"/>
      <sheetName val="AR_October_end28"/>
      <sheetName val="Trial_Balance28"/>
      <sheetName val="Revenue_Assumptions28"/>
      <sheetName val="Clec_Comp19"/>
      <sheetName val="ANNUAL_OLD19"/>
      <sheetName val="Profit_&amp;__Loss13"/>
      <sheetName val="Berthing_Options4"/>
      <sheetName val="Shipping_Line4"/>
      <sheetName val="ECO_ECA4"/>
      <sheetName val="TM_ROUMEL5"/>
      <sheetName val="SAP_014"/>
      <sheetName val="Page_11"/>
      <sheetName val="Page_21"/>
      <sheetName val="LINK_MOR1"/>
      <sheetName val="H_-_Local_Curr_Data_Input_BS"/>
      <sheetName val="INPUT_AGING"/>
      <sheetName val="S1_Info"/>
      <sheetName val="S2_Index"/>
      <sheetName val="S3_TB"/>
      <sheetName val="S4_IS"/>
      <sheetName val="S5_SOFP"/>
      <sheetName val="S6_PPE_&amp;_IA"/>
      <sheetName val="S7_SOCIE"/>
      <sheetName val="S8_PPE_Input"/>
      <sheetName val="S9_Invst"/>
      <sheetName val="S10_TR"/>
      <sheetName val="S11_Loans"/>
      <sheetName val="S12_IC"/>
      <sheetName val="S13_Tax"/>
      <sheetName val="S14_OROP"/>
      <sheetName val="S15_OFF_BS"/>
      <sheetName val="S16_Others"/>
      <sheetName val="S17_C&amp;B"/>
      <sheetName val="List_(C&amp;B)"/>
      <sheetName val="Map_C&amp;B"/>
      <sheetName val="PORTS_PL (%)"/>
      <sheetName val="sheet6"/>
      <sheetName val="AP 'S ANALYSIS"/>
      <sheetName val="Oddział(IX-XII)"/>
      <sheetName val="process (IX-XII)"/>
      <sheetName val="Arkusz1"/>
      <sheetName val="Pro Forma Magauez"/>
      <sheetName val="SAP_F06_DATA"/>
      <sheetName val="PA2"/>
      <sheetName val="ICI"/>
      <sheetName val="Draws"/>
      <sheetName val="YTD Data"/>
      <sheetName val="Reference Sheet"/>
      <sheetName val="8132 Edm_USD"/>
      <sheetName val="8133 Burl_USD"/>
      <sheetName val="8134 Bel_USD"/>
      <sheetName val="HydroBel AJE"/>
      <sheetName val="Motors P&amp;L"/>
      <sheetName val="BANK COMPARISON"/>
      <sheetName val="Challan"/>
      <sheetName val="IT Depn Schedule"/>
      <sheetName val="COST SHEET"/>
      <sheetName val="Top Sheet"/>
      <sheetName val="cell rel"/>
      <sheetName val="Contract Details"/>
      <sheetName val="GROUPING"/>
      <sheetName val="assumption"/>
      <sheetName val="OTHER RM"/>
      <sheetName val="BREAKUP"/>
      <sheetName val="rawmat break up"/>
      <sheetName val="Break up of RMcost"/>
      <sheetName val="77S(O)"/>
      <sheetName val="Note 6"/>
      <sheetName val="A1 - Income Statement"/>
      <sheetName val="Seasonality BS"/>
      <sheetName val="Reported_database3"/>
      <sheetName val="Reported_database4"/>
      <sheetName val="Basic_Details"/>
      <sheetName val="process_(IX-XII)"/>
      <sheetName val="Aquaman Financial Projections"/>
      <sheetName val="Superman Financial Projections"/>
      <sheetName val="C_x0002__x0000__x0000__x0000_¨mK_x0000_"/>
      <sheetName val=""/>
      <sheetName val="prj.1 and 2"/>
      <sheetName val="Revenue (2)"/>
      <sheetName val="会1-资产负债表"/>
      <sheetName val="管2-主要指标"/>
      <sheetName val="汇总"/>
      <sheetName val="Range data"/>
      <sheetName val="prj_1_and_2"/>
      <sheetName val="Revenue_(2)"/>
      <sheetName val="C¨mK"/>
      <sheetName val="prj_1_and_21"/>
      <sheetName val="Revenue_(2)1"/>
      <sheetName val="毛利率分析表"/>
      <sheetName val="会计分录序时簿"/>
      <sheetName val="Pre-opening exp开办费"/>
      <sheetName val="1"/>
      <sheetName val="有效性"/>
      <sheetName val="数据有效性"/>
      <sheetName val="九九年各月"/>
      <sheetName val="C_x005f_x0002__x005f_x0000__x005f_x0000__x005f_x0000_¨m"/>
      <sheetName val="华润华晶资本承担明细"/>
      <sheetName val="关联交易-存款"/>
      <sheetName val="应收账款k"/>
      <sheetName val="C_x0002_"/>
      <sheetName val="avayaprilintransit"/>
      <sheetName val="Results"/>
      <sheetName val="PL"/>
      <sheetName val="Old TWX Quorfa"/>
      <sheetName val="TWX Model"/>
      <sheetName val="parameter"/>
      <sheetName val="Prix HA"/>
      <sheetName val="人力"/>
      <sheetName val="Pnl-10"/>
      <sheetName val="20"/>
      <sheetName val="30"/>
      <sheetName val="70"/>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10"/>
      <sheetName val="30a"/>
      <sheetName val="30-Note"/>
      <sheetName val="U-2"/>
      <sheetName val="SW-TEO"/>
      <sheetName val="FSA"/>
      <sheetName val="Lookup Tables"/>
      <sheetName val="2020_AOP"/>
      <sheetName val="Lookup_Tables"/>
      <sheetName val="Lookup_Tables1"/>
      <sheetName val="Lookup_Tables2"/>
      <sheetName val="Lookup_Tables4"/>
      <sheetName val="Lookup_Tables3"/>
      <sheetName val="Lookup_Tables5"/>
      <sheetName val="Lookup_Tables6"/>
      <sheetName val="Lookup_Tables7"/>
      <sheetName val="Lookup_Tables8"/>
      <sheetName val="Lookup_Tables9"/>
      <sheetName val="Lookup_Tables10"/>
      <sheetName val="Lookup_Tables12"/>
      <sheetName val="Lookup_Tables11"/>
      <sheetName val="Lookup_Tables13"/>
      <sheetName val="Lookup_Tables14"/>
      <sheetName val="Lookup_Tables16"/>
      <sheetName val="Lookup_Tables15"/>
      <sheetName val="Lookup_Tables17"/>
      <sheetName val="Lookup_Tables18"/>
      <sheetName val="VTA"/>
      <sheetName val="MGN"/>
      <sheetName val="Cumulative P&amp;L YTD"/>
      <sheetName val="Monthly P&amp;L"/>
      <sheetName val="Base"/>
      <sheetName val="De-Para"/>
      <sheetName val="Q4 2018 PCAP"/>
      <sheetName val="YTD"/>
      <sheetName val="MONTHLY TABLE NEW"/>
      <sheetName val="Total assets DETAIL "/>
      <sheetName val="multicreate"/>
      <sheetName val="Hist"/>
      <sheetName val="Appor az total"/>
      <sheetName val="100152_(2)30"/>
      <sheetName val="100143_(2)29"/>
      <sheetName val="100142_(2)29"/>
      <sheetName val="Subscription_Facility3"/>
      <sheetName val="Clec_Comp20"/>
      <sheetName val="ANNUAL_OLD20"/>
      <sheetName val="Mapping_-_Investments3"/>
      <sheetName val="1601_Detail_information3"/>
      <sheetName val="Preferred_Equity3"/>
      <sheetName val="Eq__Type_X_LINE29"/>
      <sheetName val="Working_Capital_ratios29"/>
      <sheetName val="1ST_SEM29"/>
      <sheetName val="AR_October_end29"/>
      <sheetName val="Trial_Balance29"/>
      <sheetName val="Revenue_Assumptions29"/>
      <sheetName val="2016_(KPMG_Mod)_Entity_List1"/>
      <sheetName val="Lookups_&amp;_Dropdowns1"/>
      <sheetName val="Fact_Sheet"/>
      <sheetName val="HIOS_93_thru_961"/>
      <sheetName val="Profit_&amp;__Loss14"/>
      <sheetName val="Berthing_Options5"/>
      <sheetName val="Shipping_Line5"/>
      <sheetName val="ECO_ECA5"/>
      <sheetName val="TM_ROUMEL6"/>
      <sheetName val="SAP_015"/>
      <sheetName val="Page_12"/>
      <sheetName val="Page_22"/>
      <sheetName val="LINK_MOR2"/>
      <sheetName val="1994_PE_Dots"/>
      <sheetName val="Imob_custo"/>
      <sheetName val="Under_20_Revenue_Sort1"/>
      <sheetName val="Under_20_Mkt_Value_Sort1"/>
      <sheetName val="Under_20_BV_Sort1"/>
      <sheetName val="Under_20_Total_Assets_Sort1"/>
      <sheetName val="Under_20_Volatility_Sort1"/>
      <sheetName val="Under_20_Net_Margin_Sort1"/>
      <sheetName val="Under_20_Dividends_Sort1"/>
      <sheetName val="Empire_Screening1"/>
      <sheetName val="YTD_Data"/>
      <sheetName val="Pro_Forma_Magauez"/>
      <sheetName val="A1_-_Income_Statement"/>
      <sheetName val="Data_Validations"/>
      <sheetName val="BIRP_Non_acc"/>
      <sheetName val="BCE-INC_OTHER"/>
      <sheetName val="8132_Edm_USD"/>
      <sheetName val="8133_Burl_USD"/>
      <sheetName val="8134_Bel_USD"/>
      <sheetName val="HydroBel_AJE"/>
      <sheetName val="Motors_P&amp;L"/>
      <sheetName val="Statement_of_Changes"/>
      <sheetName val="Income_Allocation"/>
      <sheetName val="Worksheet_1"/>
      <sheetName val="Reference_Sheet"/>
      <sheetName val="H_-_Local_Curr_Data_Input_BS1"/>
      <sheetName val="S1_Info1"/>
      <sheetName val="S2_Index1"/>
      <sheetName val="S3_TB1"/>
      <sheetName val="S4_IS1"/>
      <sheetName val="S5_SOFP1"/>
      <sheetName val="S6_PPE_&amp;_IA1"/>
      <sheetName val="S7_SOCIE1"/>
      <sheetName val="S8_PPE_Input1"/>
      <sheetName val="S9_Invst1"/>
      <sheetName val="S10_TR1"/>
      <sheetName val="S11_Loans1"/>
      <sheetName val="S12_IC1"/>
      <sheetName val="S13_Tax1"/>
      <sheetName val="S14_OROP1"/>
      <sheetName val="S15_OFF_BS1"/>
      <sheetName val="S16_Others1"/>
      <sheetName val="S17_C&amp;B1"/>
      <sheetName val="List_(C&amp;B)1"/>
      <sheetName val="Map_C&amp;B1"/>
      <sheetName val="INPUT_AGING1"/>
      <sheetName val="E3_-_5yr_Asset_Plan_Dropdown"/>
      <sheetName val="PORTS_PL_(%)"/>
      <sheetName val="prj_1_and_22"/>
      <sheetName val="Revenue_(2)2"/>
      <sheetName val="Range_data"/>
      <sheetName val="Pre-opening_exp开办费"/>
      <sheetName val="C"/>
      <sheetName val="BANK_COMPARISON"/>
      <sheetName val="MONTHLY_TABLE_NEW"/>
      <sheetName val="Total_assets_DETAIL_"/>
      <sheetName val="Q4_2018_PCAP"/>
      <sheetName val="T2 Current"/>
      <sheetName val="Balance Sheet"/>
      <sheetName val="MERGER"/>
      <sheetName val="Weather Selection"/>
      <sheetName val="SUMMARY"/>
      <sheetName val="160000 - LAND"/>
      <sheetName val="160010 - Buildings"/>
      <sheetName val="226 - WORK IN PROCESS"/>
      <sheetName val="242 - CAP Dev"/>
      <sheetName val="100152_(2)31"/>
      <sheetName val="100143_(2)30"/>
      <sheetName val="100142_(2)30"/>
      <sheetName val="Eq__Type_X_LINE30"/>
      <sheetName val="Reported_database5"/>
      <sheetName val="Clec_Comp21"/>
      <sheetName val="ANNUAL_OLD21"/>
      <sheetName val="Working_Capital_ratios30"/>
      <sheetName val="1ST_SEM30"/>
      <sheetName val="AR_October_end30"/>
      <sheetName val="Trial_Balance30"/>
      <sheetName val="Revenue_Assumptions30"/>
      <sheetName val="Subscription_Facility4"/>
      <sheetName val="Mapping_-_Investments4"/>
      <sheetName val="1601_Detail_information4"/>
      <sheetName val="U_S_ILD3"/>
      <sheetName val="Salaried_main3"/>
      <sheetName val="BIRP_Non_acc1"/>
      <sheetName val="BCE-INC_OTHER1"/>
      <sheetName val="Preferred_Equity4"/>
      <sheetName val="2016_(KPMG_Mod)_Entity_List2"/>
      <sheetName val="Lookups_&amp;_Dropdowns2"/>
      <sheetName val="Fact_Sheet1"/>
      <sheetName val="HIOS_93_thru_962"/>
      <sheetName val="Basic_Details1"/>
      <sheetName val="Under_20_Revenue_Sort2"/>
      <sheetName val="Under_20_Mkt_Value_Sort2"/>
      <sheetName val="Under_20_BV_Sort2"/>
      <sheetName val="Under_20_Total_Assets_Sort2"/>
      <sheetName val="Under_20_Volatility_Sort2"/>
      <sheetName val="Under_20_Net_Margin_Sort2"/>
      <sheetName val="Under_20_Dividends_Sort2"/>
      <sheetName val="Empire_Screening2"/>
      <sheetName val="Fixed_ADRs"/>
      <sheetName val="Euro_Fixed"/>
      <sheetName val="ADJ_Sum(console)"/>
      <sheetName val="Setup_Tab"/>
      <sheetName val="Data_Validations1"/>
      <sheetName val="Profit_&amp;__Loss15"/>
      <sheetName val="Berthing_Options6"/>
      <sheetName val="Shipping_Line6"/>
      <sheetName val="ECO_ECA6"/>
      <sheetName val="Office_Improve"/>
      <sheetName val="Sales_2003"/>
      <sheetName val="India_COA"/>
      <sheetName val="TM_ROUMEL7"/>
      <sheetName val="SAP_016"/>
      <sheetName val="Page_13"/>
      <sheetName val="Page_23"/>
      <sheetName val="LINK_MOR3"/>
      <sheetName val="1994_PE_Dots1"/>
      <sheetName val="Imob_custo1"/>
      <sheetName val="Statement_of_Changes1"/>
      <sheetName val="Income_Allocation1"/>
      <sheetName val="Worksheet_11"/>
      <sheetName val="H_-_Local_Curr_Data_Input_BS2"/>
      <sheetName val="INPUT_AGING2"/>
      <sheetName val="S1_Info2"/>
      <sheetName val="S2_Index2"/>
      <sheetName val="S3_TB2"/>
      <sheetName val="S4_IS2"/>
      <sheetName val="S5_SOFP2"/>
      <sheetName val="S6_PPE_&amp;_IA2"/>
      <sheetName val="S7_SOCIE2"/>
      <sheetName val="S8_PPE_Input2"/>
      <sheetName val="S9_Invst2"/>
      <sheetName val="S10_TR2"/>
      <sheetName val="S11_Loans2"/>
      <sheetName val="S12_IC2"/>
      <sheetName val="S13_Tax2"/>
      <sheetName val="S14_OROP2"/>
      <sheetName val="S15_OFF_BS2"/>
      <sheetName val="S16_Others2"/>
      <sheetName val="S17_C&amp;B2"/>
      <sheetName val="List_(C&amp;B)2"/>
      <sheetName val="Map_C&amp;B2"/>
      <sheetName val="E3_-_5yr_Asset_Plan_Dropdown1"/>
      <sheetName val="PORTS_PL_(%)1"/>
      <sheetName val="AP_'S_ANALYSIS"/>
      <sheetName val="process_(IX-XII)1"/>
      <sheetName val="Pro_Forma_Magauez1"/>
      <sheetName val="YTD_Data1"/>
      <sheetName val="Reference_Sheet1"/>
      <sheetName val="8132_Edm_USD1"/>
      <sheetName val="8133_Burl_USD1"/>
      <sheetName val="8134_Bel_USD1"/>
      <sheetName val="HydroBel_AJE1"/>
      <sheetName val="Motors_P&amp;L1"/>
      <sheetName val="Aquaman_Financial_Projections"/>
      <sheetName val="Superman_Financial_Projections"/>
      <sheetName val="prj_1_and_23"/>
      <sheetName val="Revenue_(2)3"/>
      <sheetName val="Range_data1"/>
      <sheetName val="Pre-opening_exp开办费1"/>
      <sheetName val="BANK_COMPARISON1"/>
      <sheetName val="IT_Depn_Schedule"/>
      <sheetName val="COST_SHEET"/>
      <sheetName val="Top_Sheet"/>
      <sheetName val="cell_rel"/>
      <sheetName val="Contract_Details"/>
      <sheetName val="OTHER_RM"/>
      <sheetName val="rawmat_break_up"/>
      <sheetName val="Break_up_of_RMcost"/>
      <sheetName val="Note_6"/>
      <sheetName val="A1_-_Income_Statement1"/>
      <sheetName val="Seasonality_BS"/>
      <sheetName val="Old_TWX_Quorfa"/>
      <sheetName val="TWX_Model"/>
      <sheetName val="Prix_HA"/>
      <sheetName val="M_MM"/>
      <sheetName val="Lookup_Tables19"/>
      <sheetName val="Cumulative_P&amp;L_YTD"/>
      <sheetName val="Monthly_P&amp;L"/>
      <sheetName val="Q4_2018_PCAP1"/>
      <sheetName val="MONTHLY_TABLE_NEW1"/>
      <sheetName val="Total_assets_DETAIL_1"/>
      <sheetName val="Appor_az_total"/>
      <sheetName val="T2_Current"/>
      <sheetName val="Balance_Sheet"/>
      <sheetName val="Weather_Selection"/>
      <sheetName val="160000_-_LAND"/>
      <sheetName val="160010_-_Buildings"/>
      <sheetName val="226_-_WORK_IN_PROCESS"/>
      <sheetName val="242_-_CAP_Dev"/>
      <sheetName val="Charts"/>
      <sheetName val="rent agree"/>
      <sheetName val="ValuationSlide"/>
      <sheetName val="Feuil2"/>
      <sheetName val="Geral"/>
      <sheetName val="Calculation sheet 2"/>
      <sheetName val="france"/>
      <sheetName val="italy"/>
      <sheetName val="uk"/>
      <sheetName val="netherlands"/>
      <sheetName val="nonvat 103"/>
      <sheetName val="Data Input"/>
      <sheetName val="IMPCOST"/>
      <sheetName val="Summ.09"/>
      <sheetName val="SPI"/>
      <sheetName val="assum"/>
      <sheetName val="4 - Depreciation"/>
      <sheetName val="TABLE-A"/>
      <sheetName val="Funding Gap"/>
      <sheetName val="dimensions"/>
      <sheetName val="nonvat_103"/>
      <sheetName val="Data_Input"/>
      <sheetName val="Summ_09"/>
      <sheetName val="4_-_Depreciation"/>
      <sheetName val="Rank"/>
      <sheetName val="fo"/>
      <sheetName val="ReworkLabour"/>
      <sheetName val="co 10"/>
      <sheetName val="Taxas"/>
      <sheetName val="table"/>
      <sheetName val="TRIAL BAL."/>
      <sheetName val="CA Sheet"/>
      <sheetName val="100152_(2)32"/>
      <sheetName val="100143_(2)31"/>
      <sheetName val="100142_(2)31"/>
      <sheetName val="Eq__Type_X_LINE31"/>
      <sheetName val="Working_Capital_ratios31"/>
      <sheetName val="1ST_SEM31"/>
      <sheetName val="AR_October_end31"/>
      <sheetName val="Trial_Balance31"/>
      <sheetName val="Revenue_Assumptions31"/>
      <sheetName val="Clec_Comp22"/>
      <sheetName val="ANNUAL_OLD22"/>
      <sheetName val="Profit_&amp;__Loss16"/>
      <sheetName val="Berthing_Options7"/>
      <sheetName val="Shipping_Line7"/>
      <sheetName val="ECO_ECA7"/>
      <sheetName val="TM_ROUMEL8"/>
      <sheetName val="SAP_017"/>
      <sheetName val="Page_14"/>
      <sheetName val="Page_24"/>
      <sheetName val="LINK_MOR4"/>
      <sheetName val="H_-_Local_Curr_Data_Input_BS3"/>
      <sheetName val="INPUT_AGING3"/>
      <sheetName val="S1_Info3"/>
      <sheetName val="S2_Index3"/>
      <sheetName val="S3_TB3"/>
      <sheetName val="S4_IS3"/>
      <sheetName val="S5_SOFP3"/>
      <sheetName val="S6_PPE_&amp;_IA3"/>
      <sheetName val="S7_SOCIE3"/>
      <sheetName val="S8_PPE_Input3"/>
      <sheetName val="S9_Invst3"/>
      <sheetName val="S10_TR3"/>
      <sheetName val="S11_Loans3"/>
      <sheetName val="S12_IC3"/>
      <sheetName val="S13_Tax3"/>
      <sheetName val="S14_OROP3"/>
      <sheetName val="S15_OFF_BS3"/>
      <sheetName val="S16_Others3"/>
      <sheetName val="S17_C&amp;B3"/>
      <sheetName val="List_(C&amp;B)3"/>
      <sheetName val="Map_C&amp;B3"/>
      <sheetName val="E3_-_5yr_Asset_Plan_Dropdown2"/>
      <sheetName val="PORTS_PL_(%)2"/>
      <sheetName val="prj_1_and_24"/>
      <sheetName val="Revenue_(2)4"/>
      <sheetName val="Range_data2"/>
      <sheetName val="Pre-opening_exp开办费2"/>
      <sheetName val="BANK_COMPARISON2"/>
      <sheetName val="nonvat_1031"/>
      <sheetName val="Data_Input1"/>
      <sheetName val="Summ_091"/>
      <sheetName val="4_-_Depreciation1"/>
      <sheetName val="Aquaman_Financial_Projections1"/>
      <sheetName val="Superman_Financial_Projections1"/>
      <sheetName val="co_10"/>
      <sheetName val="BEV"/>
      <sheetName val="Eng. rapport_20210901"/>
      <sheetName val="Eng__rapport_20210901"/>
      <sheetName val="COA"/>
      <sheetName val="Credit Calc"/>
      <sheetName val="Menu"/>
      <sheetName val="Démol."/>
      <sheetName val="Ravalement"/>
      <sheetName val="Fillform"/>
      <sheetName val="BS"/>
      <sheetName val="AFRGBP"/>
      <sheetName val="AFREUR"/>
      <sheetName val="A430"/>
      <sheetName val="CONTENTS"/>
      <sheetName val="WORKING"/>
      <sheetName val="Chronos SDV-CF Utilisateur"/>
      <sheetName val="SAGA"/>
      <sheetName val="资产负债表"/>
      <sheetName val="Link"/>
      <sheetName val="APL_MTH"/>
      <sheetName val="CABALO"/>
      <sheetName val="營業額比較表"/>
      <sheetName val="C_x0002__x0000__x0000__x0000_¨m"/>
      <sheetName val="C_x005f_x0002__x005f_x0000__x00"/>
      <sheetName val="固定资产"/>
      <sheetName val="营业预算"/>
      <sheetName val="icc"/>
      <sheetName val="Index"/>
      <sheetName val="Summary of Receiving Reports-01"/>
      <sheetName val="SHIPMENT IN TRANSIT"/>
      <sheetName val="Monthly highlights"/>
      <sheetName val="1803ADJ3"/>
      <sheetName val="links"/>
      <sheetName val="lead"/>
      <sheetName val="oe30"/>
      <sheetName val="ded30"/>
      <sheetName val="ded15"/>
      <sheetName val="oe15"/>
      <sheetName val="acc-pre"/>
      <sheetName val="Cost Centers"/>
      <sheetName val="ratio report"/>
      <sheetName val="rent_agree"/>
      <sheetName val="BSS GLP Pricelist"/>
      <sheetName val="BSS AM Page"/>
      <sheetName val="1.3 GP"/>
      <sheetName val="Cashflow"/>
      <sheetName val="cvat"/>
      <sheetName val="x-rate"/>
      <sheetName val="ACUMULADO"/>
      <sheetName val="EXCHRATE"/>
      <sheetName val="MRP"/>
      <sheetName val="#REF!"/>
      <sheetName val="00 FG breakdown"/>
      <sheetName val="01 FG breakdown"/>
      <sheetName val="99 FG breakdown"/>
      <sheetName val="封面"/>
      <sheetName val="Breakdown"/>
      <sheetName val="DBCSL"/>
      <sheetName val="DBGC"/>
      <sheetName val="管理组"/>
      <sheetName val="ADVOL"/>
      <sheetName val="1002-1031170406 Capital Account"/>
      <sheetName val="Bal Sheet-JW"/>
      <sheetName val="基础数据"/>
      <sheetName val="涉外收支交易代码"/>
      <sheetName val="营运中心及部门"/>
      <sheetName val="RefG"/>
      <sheetName val="GoEight"/>
      <sheetName val="GrFour"/>
      <sheetName val="MOne"/>
      <sheetName val="MTwo"/>
      <sheetName val="GrThree"/>
      <sheetName val="GoSeven"/>
      <sheetName val="JTwo"/>
      <sheetName val="KOne"/>
      <sheetName val="HTwo"/>
      <sheetName val="HOne"/>
      <sheetName val="JOne"/>
      <sheetName val="C_x005f_x005f_x005f_x0002__x005f_x005f_x005f_x0000__x00"/>
      <sheetName val="公司名单及项目性质等"/>
      <sheetName val="ASSO"/>
      <sheetName val="Input 3"/>
      <sheetName val="fx"/>
      <sheetName val="Données parametre"/>
      <sheetName val="Hyp  rates - volume"/>
      <sheetName val="C_x005f_x0002_"/>
      <sheetName val="SUD-SCT3"/>
      <sheetName val="S_650_515_0_集装箱吞吐量表_斯里兰卡CICT_2"/>
      <sheetName val="Basic_Details2"/>
      <sheetName val="process_(IX-XII)2"/>
      <sheetName val="BIRP_Non_acc2"/>
      <sheetName val="BCE-INC_OTHER2"/>
      <sheetName val="Data validation"/>
      <sheetName val="Selector"/>
      <sheetName val="Operations"/>
      <sheetName val="Equity"/>
      <sheetName val="DENOM"/>
      <sheetName val="MAJORS"/>
      <sheetName val="EXPENSES"/>
      <sheetName val="Subscription_Facility5"/>
      <sheetName val="Mapping_-_Investments5"/>
      <sheetName val="1601_Detail_information5"/>
      <sheetName val="Preferred_Equity5"/>
      <sheetName val="2016_(KPMG_Mod)_Entity_List3"/>
      <sheetName val="Lookups_&amp;_Dropdowns3"/>
      <sheetName val="Fact_Sheet2"/>
      <sheetName val="HIOS_93_thru_963"/>
      <sheetName val="1994_PE_Dots2"/>
      <sheetName val="Imob_custo2"/>
      <sheetName val="Under_20_Revenue_Sort3"/>
      <sheetName val="Under_20_Mkt_Value_Sort3"/>
      <sheetName val="Under_20_BV_Sort3"/>
      <sheetName val="Under_20_Total_Assets_Sort3"/>
      <sheetName val="Under_20_Volatility_Sort3"/>
      <sheetName val="Under_20_Net_Margin_Sort3"/>
      <sheetName val="Under_20_Dividends_Sort3"/>
      <sheetName val="Empire_Screening3"/>
      <sheetName val="YTD_Data2"/>
      <sheetName val="Pro_Forma_Magauez2"/>
      <sheetName val="Data_Validations2"/>
      <sheetName val="A1_-_Income_Statement2"/>
      <sheetName val="8132_Edm_USD2"/>
      <sheetName val="8133_Burl_USD2"/>
      <sheetName val="8134_Bel_USD2"/>
      <sheetName val="HydroBel_AJE2"/>
      <sheetName val="Motors_P&amp;L2"/>
      <sheetName val="Statement_of_Changes2"/>
      <sheetName val="Income_Allocation2"/>
      <sheetName val="Worksheet_12"/>
      <sheetName val="Reference_Sheet2"/>
      <sheetName val="MONTHLY_TABLE_NEW2"/>
      <sheetName val="Total_assets_DETAIL_2"/>
      <sheetName val="Q4_2018_PCAP2"/>
      <sheetName val="T2_Current1"/>
      <sheetName val="Appor_az_total1"/>
      <sheetName val="Bridge Template"/>
      <sheetName val="Carls Jr Development"/>
      <sheetName val="Business Desc"/>
      <sheetName val="Bank Template1"/>
      <sheetName val="Hardees Corp. Development"/>
      <sheetName val="YTD SSS"/>
      <sheetName val="Carls Real Estate"/>
      <sheetName val="Company Profile"/>
      <sheetName val="Growth Existing Markets"/>
      <sheetName val="Historical Cash Flows"/>
      <sheetName val="Financial Profile1"/>
      <sheetName val="rent_agree1"/>
      <sheetName val="beer-indstry"/>
      <sheetName val="Parameters"/>
      <sheetName val="Hypothèses GLA"/>
      <sheetName val="CODE"/>
      <sheetName val="수정시산표"/>
      <sheetName val="Equities"/>
      <sheetName val="Prof"/>
      <sheetName val="3.5 ReFCST Sales Cube"/>
      <sheetName val="Monitoring"/>
      <sheetName val="分级说明"/>
      <sheetName val="投资计划预实施计划表"/>
      <sheetName val="项目管控级填报说明"/>
      <sheetName val="Sheet470"/>
      <sheetName val="个各时点AR余额-Audited"/>
      <sheetName val="Ex Diff"/>
      <sheetName val="19.4disc"/>
      <sheetName val="基本资料(不打印)"/>
      <sheetName val="安全服务"/>
      <sheetName val="Canal_IS"/>
      <sheetName val="Fiber-Ind S BE"/>
      <sheetName val="Geographical revenue"/>
      <sheetName val="acom"/>
      <sheetName val="PieChart"/>
    </sheetNames>
    <sheetDataSet>
      <sheetData sheetId="0" refreshError="1"/>
      <sheetData sheetId="1" refreshError="1"/>
      <sheetData sheetId="2" refreshError="1">
        <row r="5">
          <cell r="B5" t="str">
            <v>Richfield marine  c/o Liner Class</v>
          </cell>
        </row>
        <row r="69">
          <cell r="C69">
            <v>4.7837014499999997</v>
          </cell>
          <cell r="D69">
            <v>4.7837014499999997</v>
          </cell>
        </row>
        <row r="70">
          <cell r="C70">
            <v>2.946913579999999</v>
          </cell>
          <cell r="D70">
            <v>2.946913579999999</v>
          </cell>
        </row>
        <row r="71">
          <cell r="C71">
            <v>2.5844150199999998</v>
          </cell>
          <cell r="D71">
            <v>3.0260697900000002</v>
          </cell>
        </row>
        <row r="72">
          <cell r="C72">
            <v>3.9133342399999997</v>
          </cell>
          <cell r="D72">
            <v>3.9133342399999997</v>
          </cell>
        </row>
        <row r="73">
          <cell r="C73">
            <v>2.62333755</v>
          </cell>
          <cell r="D73">
            <v>2.62333755</v>
          </cell>
        </row>
        <row r="74">
          <cell r="C74">
            <v>2.3457837400000003</v>
          </cell>
          <cell r="D74">
            <v>2.3457837400000003</v>
          </cell>
        </row>
        <row r="75">
          <cell r="C75">
            <v>1.4572855</v>
          </cell>
          <cell r="D75">
            <v>1.4572855</v>
          </cell>
        </row>
        <row r="76">
          <cell r="C76">
            <v>2.78504277</v>
          </cell>
          <cell r="D76">
            <v>2.78504277</v>
          </cell>
        </row>
        <row r="77">
          <cell r="C77">
            <v>1.5696284300000003</v>
          </cell>
          <cell r="D77">
            <v>1.5696284300000003</v>
          </cell>
        </row>
        <row r="78">
          <cell r="C78">
            <v>0.33798090000000003</v>
          </cell>
          <cell r="D78">
            <v>0.33798090000000003</v>
          </cell>
        </row>
        <row r="79">
          <cell r="C79">
            <v>1.1245943700000001</v>
          </cell>
          <cell r="D79">
            <v>1.1245943700000001</v>
          </cell>
        </row>
        <row r="80">
          <cell r="C80">
            <v>-26.472017550000004</v>
          </cell>
          <cell r="D80">
            <v>-26.913672320000007</v>
          </cell>
        </row>
      </sheetData>
      <sheetData sheetId="3" refreshError="1">
        <row r="5">
          <cell r="B5" t="str">
            <v>Richfield marine  c/o Liner Class</v>
          </cell>
        </row>
        <row r="164">
          <cell r="C164">
            <v>5.2789999999999999</v>
          </cell>
        </row>
        <row r="165">
          <cell r="C165">
            <v>3.4540000000000002</v>
          </cell>
        </row>
        <row r="166">
          <cell r="C166">
            <v>2.9180000000000001</v>
          </cell>
        </row>
        <row r="167">
          <cell r="C167">
            <v>2.4900000000000002</v>
          </cell>
        </row>
        <row r="168">
          <cell r="C168">
            <v>2.3879999999999999</v>
          </cell>
        </row>
        <row r="169">
          <cell r="C169">
            <v>2.1749999999999998</v>
          </cell>
        </row>
        <row r="170">
          <cell r="C170">
            <v>2.1680000000000001</v>
          </cell>
        </row>
        <row r="171">
          <cell r="C171">
            <v>1.9990000000000001</v>
          </cell>
        </row>
        <row r="172">
          <cell r="C172">
            <v>1.32</v>
          </cell>
        </row>
        <row r="173">
          <cell r="C173">
            <v>1.2889999999999999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ow r="5">
          <cell r="B5">
            <v>0</v>
          </cell>
        </row>
      </sheetData>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row r="5">
          <cell r="B5">
            <v>0</v>
          </cell>
        </row>
      </sheetData>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ow r="5">
          <cell r="B5">
            <v>0</v>
          </cell>
        </row>
      </sheetData>
      <sheetData sheetId="422">
        <row r="5">
          <cell r="B5">
            <v>0</v>
          </cell>
        </row>
      </sheetData>
      <sheetData sheetId="423">
        <row r="5">
          <cell r="B5">
            <v>0</v>
          </cell>
        </row>
      </sheetData>
      <sheetData sheetId="424">
        <row r="5">
          <cell r="B5">
            <v>0</v>
          </cell>
        </row>
      </sheetData>
      <sheetData sheetId="425">
        <row r="5">
          <cell r="B5">
            <v>0</v>
          </cell>
        </row>
      </sheetData>
      <sheetData sheetId="426">
        <row r="5">
          <cell r="B5">
            <v>0</v>
          </cell>
        </row>
      </sheetData>
      <sheetData sheetId="427">
        <row r="5">
          <cell r="B5">
            <v>0</v>
          </cell>
        </row>
      </sheetData>
      <sheetData sheetId="428">
        <row r="5">
          <cell r="B5">
            <v>0</v>
          </cell>
        </row>
      </sheetData>
      <sheetData sheetId="429">
        <row r="5">
          <cell r="B5">
            <v>0</v>
          </cell>
        </row>
      </sheetData>
      <sheetData sheetId="430">
        <row r="5">
          <cell r="B5">
            <v>0</v>
          </cell>
        </row>
      </sheetData>
      <sheetData sheetId="431">
        <row r="5">
          <cell r="B5">
            <v>0</v>
          </cell>
        </row>
      </sheetData>
      <sheetData sheetId="432">
        <row r="5">
          <cell r="B5">
            <v>0</v>
          </cell>
        </row>
      </sheetData>
      <sheetData sheetId="433">
        <row r="5">
          <cell r="B5">
            <v>0</v>
          </cell>
        </row>
      </sheetData>
      <sheetData sheetId="434">
        <row r="5">
          <cell r="B5">
            <v>0</v>
          </cell>
        </row>
      </sheetData>
      <sheetData sheetId="435">
        <row r="5">
          <cell r="B5">
            <v>0</v>
          </cell>
        </row>
      </sheetData>
      <sheetData sheetId="436">
        <row r="5">
          <cell r="B5">
            <v>0</v>
          </cell>
        </row>
      </sheetData>
      <sheetData sheetId="437">
        <row r="5">
          <cell r="B5">
            <v>0</v>
          </cell>
        </row>
      </sheetData>
      <sheetData sheetId="438">
        <row r="5">
          <cell r="B5">
            <v>0</v>
          </cell>
        </row>
      </sheetData>
      <sheetData sheetId="439">
        <row r="5">
          <cell r="B5">
            <v>0</v>
          </cell>
        </row>
      </sheetData>
      <sheetData sheetId="440">
        <row r="5">
          <cell r="B5">
            <v>0</v>
          </cell>
        </row>
      </sheetData>
      <sheetData sheetId="441">
        <row r="5">
          <cell r="B5">
            <v>0</v>
          </cell>
        </row>
      </sheetData>
      <sheetData sheetId="442">
        <row r="5">
          <cell r="B5">
            <v>0</v>
          </cell>
        </row>
      </sheetData>
      <sheetData sheetId="443">
        <row r="5">
          <cell r="B5">
            <v>0</v>
          </cell>
        </row>
      </sheetData>
      <sheetData sheetId="444">
        <row r="5">
          <cell r="B5">
            <v>0</v>
          </cell>
        </row>
      </sheetData>
      <sheetData sheetId="445">
        <row r="5">
          <cell r="B5">
            <v>0</v>
          </cell>
        </row>
      </sheetData>
      <sheetData sheetId="446">
        <row r="5">
          <cell r="B5">
            <v>0</v>
          </cell>
        </row>
      </sheetData>
      <sheetData sheetId="447">
        <row r="5">
          <cell r="B5">
            <v>0</v>
          </cell>
        </row>
      </sheetData>
      <sheetData sheetId="448">
        <row r="5">
          <cell r="B5">
            <v>0</v>
          </cell>
        </row>
      </sheetData>
      <sheetData sheetId="449">
        <row r="5">
          <cell r="B5">
            <v>0</v>
          </cell>
        </row>
      </sheetData>
      <sheetData sheetId="450">
        <row r="5">
          <cell r="B5">
            <v>0</v>
          </cell>
        </row>
      </sheetData>
      <sheetData sheetId="451">
        <row r="5">
          <cell r="B5">
            <v>0</v>
          </cell>
        </row>
      </sheetData>
      <sheetData sheetId="452">
        <row r="5">
          <cell r="B5">
            <v>0</v>
          </cell>
        </row>
      </sheetData>
      <sheetData sheetId="453">
        <row r="5">
          <cell r="B5">
            <v>0</v>
          </cell>
        </row>
      </sheetData>
      <sheetData sheetId="454">
        <row r="5">
          <cell r="B5">
            <v>0</v>
          </cell>
        </row>
      </sheetData>
      <sheetData sheetId="455" refreshError="1"/>
      <sheetData sheetId="456" refreshError="1"/>
      <sheetData sheetId="457" refreshError="1"/>
      <sheetData sheetId="458" refreshError="1"/>
      <sheetData sheetId="459" refreshError="1"/>
      <sheetData sheetId="460" refreshError="1"/>
      <sheetData sheetId="461" refreshError="1"/>
      <sheetData sheetId="462"/>
      <sheetData sheetId="463"/>
      <sheetData sheetId="464"/>
      <sheetData sheetId="465"/>
      <sheetData sheetId="466" refreshError="1"/>
      <sheetData sheetId="467" refreshError="1"/>
      <sheetData sheetId="468" refreshError="1"/>
      <sheetData sheetId="469"/>
      <sheetData sheetId="470"/>
      <sheetData sheetId="471"/>
      <sheetData sheetId="472"/>
      <sheetData sheetId="473">
        <row r="5">
          <cell r="B5">
            <v>0</v>
          </cell>
        </row>
      </sheetData>
      <sheetData sheetId="474">
        <row r="5">
          <cell r="B5">
            <v>0</v>
          </cell>
        </row>
      </sheetData>
      <sheetData sheetId="475">
        <row r="5">
          <cell r="B5">
            <v>0</v>
          </cell>
        </row>
      </sheetData>
      <sheetData sheetId="476">
        <row r="5">
          <cell r="B5">
            <v>0</v>
          </cell>
        </row>
      </sheetData>
      <sheetData sheetId="477">
        <row r="5">
          <cell r="B5">
            <v>0</v>
          </cell>
        </row>
      </sheetData>
      <sheetData sheetId="478">
        <row r="5">
          <cell r="B5">
            <v>0</v>
          </cell>
        </row>
      </sheetData>
      <sheetData sheetId="479">
        <row r="5">
          <cell r="B5">
            <v>0</v>
          </cell>
        </row>
      </sheetData>
      <sheetData sheetId="480">
        <row r="5">
          <cell r="B5">
            <v>0</v>
          </cell>
        </row>
      </sheetData>
      <sheetData sheetId="481">
        <row r="5">
          <cell r="B5">
            <v>0</v>
          </cell>
        </row>
      </sheetData>
      <sheetData sheetId="482">
        <row r="5">
          <cell r="B5">
            <v>0</v>
          </cell>
        </row>
      </sheetData>
      <sheetData sheetId="483" refreshError="1"/>
      <sheetData sheetId="484" refreshError="1"/>
      <sheetData sheetId="485" refreshError="1"/>
      <sheetData sheetId="486" refreshError="1"/>
      <sheetData sheetId="487" refreshError="1"/>
      <sheetData sheetId="488" refreshError="1"/>
      <sheetData sheetId="489" refreshError="1"/>
      <sheetData sheetId="490">
        <row r="5">
          <cell r="B5"/>
        </row>
      </sheetData>
      <sheetData sheetId="491" refreshError="1"/>
      <sheetData sheetId="492" refreshError="1"/>
      <sheetData sheetId="493" refreshError="1"/>
      <sheetData sheetId="494" refreshError="1"/>
      <sheetData sheetId="495" refreshError="1"/>
      <sheetData sheetId="496">
        <row r="5">
          <cell r="B5">
            <v>0</v>
          </cell>
        </row>
      </sheetData>
      <sheetData sheetId="497">
        <row r="5">
          <cell r="B5">
            <v>0</v>
          </cell>
        </row>
      </sheetData>
      <sheetData sheetId="498">
        <row r="5">
          <cell r="B5">
            <v>0</v>
          </cell>
        </row>
      </sheetData>
      <sheetData sheetId="499">
        <row r="5">
          <cell r="B5">
            <v>0</v>
          </cell>
        </row>
      </sheetData>
      <sheetData sheetId="500">
        <row r="5">
          <cell r="B5">
            <v>0</v>
          </cell>
        </row>
      </sheetData>
      <sheetData sheetId="501">
        <row r="5">
          <cell r="B5">
            <v>0</v>
          </cell>
        </row>
      </sheetData>
      <sheetData sheetId="502">
        <row r="5">
          <cell r="B5">
            <v>0</v>
          </cell>
        </row>
      </sheetData>
      <sheetData sheetId="503">
        <row r="5">
          <cell r="B5">
            <v>0</v>
          </cell>
        </row>
      </sheetData>
      <sheetData sheetId="504">
        <row r="5">
          <cell r="B5">
            <v>0</v>
          </cell>
        </row>
      </sheetData>
      <sheetData sheetId="505">
        <row r="5">
          <cell r="B5">
            <v>0</v>
          </cell>
        </row>
      </sheetData>
      <sheetData sheetId="506">
        <row r="5">
          <cell r="B5">
            <v>0</v>
          </cell>
        </row>
      </sheetData>
      <sheetData sheetId="507">
        <row r="5">
          <cell r="B5">
            <v>0</v>
          </cell>
        </row>
      </sheetData>
      <sheetData sheetId="508">
        <row r="5">
          <cell r="B5">
            <v>0</v>
          </cell>
        </row>
      </sheetData>
      <sheetData sheetId="509">
        <row r="5">
          <cell r="B5">
            <v>0</v>
          </cell>
        </row>
      </sheetData>
      <sheetData sheetId="510">
        <row r="5">
          <cell r="B5">
            <v>0</v>
          </cell>
        </row>
      </sheetData>
      <sheetData sheetId="511">
        <row r="5">
          <cell r="B5">
            <v>0</v>
          </cell>
        </row>
      </sheetData>
      <sheetData sheetId="512">
        <row r="5">
          <cell r="B5">
            <v>0</v>
          </cell>
        </row>
      </sheetData>
      <sheetData sheetId="513">
        <row r="5">
          <cell r="B5">
            <v>0</v>
          </cell>
        </row>
      </sheetData>
      <sheetData sheetId="514">
        <row r="5">
          <cell r="B5">
            <v>0</v>
          </cell>
        </row>
      </sheetData>
      <sheetData sheetId="515">
        <row r="5">
          <cell r="B5">
            <v>0</v>
          </cell>
        </row>
      </sheetData>
      <sheetData sheetId="516">
        <row r="5">
          <cell r="B5">
            <v>0</v>
          </cell>
        </row>
      </sheetData>
      <sheetData sheetId="517">
        <row r="5">
          <cell r="B5">
            <v>0</v>
          </cell>
        </row>
      </sheetData>
      <sheetData sheetId="518">
        <row r="5">
          <cell r="B5">
            <v>0</v>
          </cell>
        </row>
      </sheetData>
      <sheetData sheetId="519">
        <row r="5">
          <cell r="B5">
            <v>0</v>
          </cell>
        </row>
      </sheetData>
      <sheetData sheetId="520">
        <row r="5">
          <cell r="B5">
            <v>0</v>
          </cell>
        </row>
      </sheetData>
      <sheetData sheetId="521">
        <row r="5">
          <cell r="B5">
            <v>0</v>
          </cell>
        </row>
      </sheetData>
      <sheetData sheetId="522">
        <row r="5">
          <cell r="B5">
            <v>0</v>
          </cell>
        </row>
      </sheetData>
      <sheetData sheetId="523">
        <row r="5">
          <cell r="B5">
            <v>0</v>
          </cell>
        </row>
      </sheetData>
      <sheetData sheetId="524">
        <row r="5">
          <cell r="B5">
            <v>0</v>
          </cell>
        </row>
      </sheetData>
      <sheetData sheetId="525">
        <row r="5">
          <cell r="B5">
            <v>0</v>
          </cell>
        </row>
      </sheetData>
      <sheetData sheetId="526">
        <row r="5">
          <cell r="B5">
            <v>0</v>
          </cell>
        </row>
      </sheetData>
      <sheetData sheetId="527">
        <row r="5">
          <cell r="B5">
            <v>0</v>
          </cell>
        </row>
      </sheetData>
      <sheetData sheetId="528">
        <row r="5">
          <cell r="B5">
            <v>0</v>
          </cell>
        </row>
      </sheetData>
      <sheetData sheetId="529">
        <row r="5">
          <cell r="B5">
            <v>0</v>
          </cell>
        </row>
      </sheetData>
      <sheetData sheetId="530">
        <row r="5">
          <cell r="B5">
            <v>0</v>
          </cell>
        </row>
      </sheetData>
      <sheetData sheetId="531">
        <row r="5">
          <cell r="B5">
            <v>0</v>
          </cell>
        </row>
      </sheetData>
      <sheetData sheetId="532">
        <row r="5">
          <cell r="B5">
            <v>0</v>
          </cell>
        </row>
      </sheetData>
      <sheetData sheetId="533">
        <row r="5">
          <cell r="B5">
            <v>0</v>
          </cell>
        </row>
      </sheetData>
      <sheetData sheetId="534">
        <row r="5">
          <cell r="B5">
            <v>0</v>
          </cell>
        </row>
      </sheetData>
      <sheetData sheetId="535">
        <row r="5">
          <cell r="B5">
            <v>0</v>
          </cell>
        </row>
      </sheetData>
      <sheetData sheetId="536">
        <row r="5">
          <cell r="B5">
            <v>0</v>
          </cell>
        </row>
      </sheetData>
      <sheetData sheetId="537">
        <row r="5">
          <cell r="B5">
            <v>0</v>
          </cell>
        </row>
      </sheetData>
      <sheetData sheetId="538">
        <row r="5">
          <cell r="B5">
            <v>0</v>
          </cell>
        </row>
      </sheetData>
      <sheetData sheetId="539">
        <row r="5">
          <cell r="B5">
            <v>0</v>
          </cell>
        </row>
      </sheetData>
      <sheetData sheetId="540">
        <row r="5">
          <cell r="B5">
            <v>0</v>
          </cell>
        </row>
      </sheetData>
      <sheetData sheetId="541">
        <row r="5">
          <cell r="B5">
            <v>0</v>
          </cell>
        </row>
      </sheetData>
      <sheetData sheetId="542">
        <row r="5">
          <cell r="B5">
            <v>0</v>
          </cell>
        </row>
      </sheetData>
      <sheetData sheetId="543" refreshError="1"/>
      <sheetData sheetId="544">
        <row r="5">
          <cell r="B5">
            <v>0</v>
          </cell>
        </row>
      </sheetData>
      <sheetData sheetId="545">
        <row r="5">
          <cell r="B5">
            <v>0</v>
          </cell>
        </row>
      </sheetData>
      <sheetData sheetId="546">
        <row r="5">
          <cell r="B5">
            <v>0</v>
          </cell>
        </row>
      </sheetData>
      <sheetData sheetId="547">
        <row r="5">
          <cell r="B5">
            <v>0</v>
          </cell>
        </row>
      </sheetData>
      <sheetData sheetId="548">
        <row r="5">
          <cell r="B5">
            <v>0</v>
          </cell>
        </row>
      </sheetData>
      <sheetData sheetId="549">
        <row r="5">
          <cell r="B5">
            <v>0</v>
          </cell>
        </row>
      </sheetData>
      <sheetData sheetId="550">
        <row r="5">
          <cell r="B5">
            <v>0</v>
          </cell>
        </row>
      </sheetData>
      <sheetData sheetId="551">
        <row r="5">
          <cell r="B5">
            <v>0</v>
          </cell>
        </row>
      </sheetData>
      <sheetData sheetId="552">
        <row r="5">
          <cell r="B5">
            <v>0</v>
          </cell>
        </row>
      </sheetData>
      <sheetData sheetId="553">
        <row r="5">
          <cell r="B5">
            <v>0</v>
          </cell>
        </row>
      </sheetData>
      <sheetData sheetId="554">
        <row r="5">
          <cell r="B5">
            <v>0</v>
          </cell>
        </row>
      </sheetData>
      <sheetData sheetId="555">
        <row r="5">
          <cell r="B5">
            <v>0</v>
          </cell>
        </row>
      </sheetData>
      <sheetData sheetId="556">
        <row r="5">
          <cell r="B5">
            <v>0</v>
          </cell>
        </row>
      </sheetData>
      <sheetData sheetId="557">
        <row r="5">
          <cell r="B5">
            <v>0</v>
          </cell>
        </row>
      </sheetData>
      <sheetData sheetId="558">
        <row r="5">
          <cell r="B5">
            <v>0</v>
          </cell>
        </row>
      </sheetData>
      <sheetData sheetId="559">
        <row r="5">
          <cell r="B5">
            <v>0</v>
          </cell>
        </row>
      </sheetData>
      <sheetData sheetId="560">
        <row r="5">
          <cell r="B5">
            <v>0</v>
          </cell>
        </row>
      </sheetData>
      <sheetData sheetId="561">
        <row r="5">
          <cell r="B5">
            <v>0</v>
          </cell>
        </row>
      </sheetData>
      <sheetData sheetId="562">
        <row r="5">
          <cell r="B5">
            <v>0</v>
          </cell>
        </row>
      </sheetData>
      <sheetData sheetId="563">
        <row r="5">
          <cell r="B5">
            <v>0</v>
          </cell>
        </row>
      </sheetData>
      <sheetData sheetId="564">
        <row r="5">
          <cell r="B5">
            <v>0</v>
          </cell>
        </row>
      </sheetData>
      <sheetData sheetId="565">
        <row r="5">
          <cell r="B5">
            <v>0</v>
          </cell>
        </row>
      </sheetData>
      <sheetData sheetId="566">
        <row r="5">
          <cell r="B5">
            <v>0</v>
          </cell>
        </row>
      </sheetData>
      <sheetData sheetId="567">
        <row r="5">
          <cell r="B5">
            <v>0</v>
          </cell>
        </row>
      </sheetData>
      <sheetData sheetId="568">
        <row r="5">
          <cell r="B5">
            <v>0</v>
          </cell>
        </row>
      </sheetData>
      <sheetData sheetId="569">
        <row r="5">
          <cell r="B5">
            <v>0</v>
          </cell>
        </row>
      </sheetData>
      <sheetData sheetId="570">
        <row r="5">
          <cell r="B5">
            <v>0</v>
          </cell>
        </row>
      </sheetData>
      <sheetData sheetId="571">
        <row r="5">
          <cell r="B5">
            <v>0</v>
          </cell>
        </row>
      </sheetData>
      <sheetData sheetId="572">
        <row r="5">
          <cell r="B5">
            <v>0</v>
          </cell>
        </row>
      </sheetData>
      <sheetData sheetId="573">
        <row r="5">
          <cell r="B5">
            <v>0</v>
          </cell>
        </row>
      </sheetData>
      <sheetData sheetId="574">
        <row r="5">
          <cell r="B5">
            <v>0</v>
          </cell>
        </row>
      </sheetData>
      <sheetData sheetId="575">
        <row r="5">
          <cell r="B5">
            <v>0</v>
          </cell>
        </row>
      </sheetData>
      <sheetData sheetId="576">
        <row r="5">
          <cell r="B5">
            <v>0</v>
          </cell>
        </row>
      </sheetData>
      <sheetData sheetId="577">
        <row r="5">
          <cell r="B5">
            <v>0</v>
          </cell>
        </row>
      </sheetData>
      <sheetData sheetId="578">
        <row r="5">
          <cell r="B5">
            <v>0</v>
          </cell>
        </row>
      </sheetData>
      <sheetData sheetId="579">
        <row r="5">
          <cell r="B5">
            <v>0</v>
          </cell>
        </row>
      </sheetData>
      <sheetData sheetId="580">
        <row r="5">
          <cell r="B5">
            <v>0</v>
          </cell>
        </row>
      </sheetData>
      <sheetData sheetId="581">
        <row r="5">
          <cell r="B5">
            <v>0</v>
          </cell>
        </row>
      </sheetData>
      <sheetData sheetId="582">
        <row r="5">
          <cell r="B5">
            <v>0</v>
          </cell>
        </row>
      </sheetData>
      <sheetData sheetId="583">
        <row r="5">
          <cell r="B5">
            <v>0</v>
          </cell>
        </row>
      </sheetData>
      <sheetData sheetId="584">
        <row r="5">
          <cell r="B5">
            <v>0</v>
          </cell>
        </row>
      </sheetData>
      <sheetData sheetId="585" refreshError="1"/>
      <sheetData sheetId="586" refreshError="1"/>
      <sheetData sheetId="587" refreshError="1"/>
      <sheetData sheetId="588"/>
      <sheetData sheetId="589"/>
      <sheetData sheetId="590">
        <row r="69">
          <cell r="C69">
            <v>0</v>
          </cell>
        </row>
      </sheetData>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ow r="5">
          <cell r="B5">
            <v>0</v>
          </cell>
        </row>
      </sheetData>
      <sheetData sheetId="631">
        <row r="5">
          <cell r="B5">
            <v>0</v>
          </cell>
        </row>
      </sheetData>
      <sheetData sheetId="632" refreshError="1"/>
      <sheetData sheetId="633" refreshError="1"/>
      <sheetData sheetId="634">
        <row r="5">
          <cell r="B5">
            <v>0</v>
          </cell>
        </row>
      </sheetData>
      <sheetData sheetId="635">
        <row r="5">
          <cell r="B5">
            <v>0</v>
          </cell>
        </row>
      </sheetData>
      <sheetData sheetId="636">
        <row r="5">
          <cell r="B5">
            <v>0</v>
          </cell>
        </row>
      </sheetData>
      <sheetData sheetId="637">
        <row r="5">
          <cell r="B5">
            <v>0</v>
          </cell>
        </row>
      </sheetData>
      <sheetData sheetId="638">
        <row r="5">
          <cell r="B5">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ow r="15">
          <cell r="A15" t="str">
            <v>Total general</v>
          </cell>
        </row>
      </sheetData>
      <sheetData sheetId="716"/>
      <sheetData sheetId="717"/>
      <sheetData sheetId="718" refreshError="1"/>
      <sheetData sheetId="719" refreshError="1"/>
      <sheetData sheetId="720"/>
      <sheetData sheetId="721"/>
      <sheetData sheetId="722"/>
      <sheetData sheetId="723">
        <row r="5">
          <cell r="B5">
            <v>0</v>
          </cell>
        </row>
      </sheetData>
      <sheetData sheetId="724"/>
      <sheetData sheetId="725"/>
      <sheetData sheetId="726"/>
      <sheetData sheetId="727"/>
      <sheetData sheetId="728"/>
      <sheetData sheetId="729"/>
      <sheetData sheetId="730"/>
      <sheetData sheetId="731"/>
      <sheetData sheetId="732"/>
      <sheetData sheetId="733"/>
      <sheetData sheetId="734"/>
      <sheetData sheetId="735"/>
      <sheetData sheetId="736">
        <row r="5">
          <cell r="B5">
            <v>0</v>
          </cell>
        </row>
      </sheetData>
      <sheetData sheetId="737">
        <row r="5">
          <cell r="B5">
            <v>0</v>
          </cell>
        </row>
      </sheetData>
      <sheetData sheetId="738"/>
      <sheetData sheetId="739"/>
      <sheetData sheetId="740">
        <row r="5">
          <cell r="B5">
            <v>0</v>
          </cell>
        </row>
      </sheetData>
      <sheetData sheetId="741">
        <row r="5">
          <cell r="B5">
            <v>0</v>
          </cell>
        </row>
      </sheetData>
      <sheetData sheetId="742">
        <row r="5">
          <cell r="B5">
            <v>0</v>
          </cell>
        </row>
      </sheetData>
      <sheetData sheetId="743">
        <row r="5">
          <cell r="B5">
            <v>0</v>
          </cell>
        </row>
      </sheetData>
      <sheetData sheetId="744">
        <row r="5">
          <cell r="B5">
            <v>0</v>
          </cell>
        </row>
      </sheetData>
      <sheetData sheetId="745">
        <row r="5">
          <cell r="B5">
            <v>0</v>
          </cell>
        </row>
      </sheetData>
      <sheetData sheetId="746">
        <row r="5">
          <cell r="B5">
            <v>0</v>
          </cell>
        </row>
      </sheetData>
      <sheetData sheetId="747">
        <row r="5">
          <cell r="B5">
            <v>0</v>
          </cell>
        </row>
      </sheetData>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row r="5">
          <cell r="B5">
            <v>0</v>
          </cell>
        </row>
      </sheetData>
      <sheetData sheetId="774">
        <row r="5">
          <cell r="B5">
            <v>0</v>
          </cell>
        </row>
      </sheetData>
      <sheetData sheetId="775">
        <row r="5">
          <cell r="B5">
            <v>0</v>
          </cell>
        </row>
      </sheetData>
      <sheetData sheetId="776">
        <row r="5">
          <cell r="B5">
            <v>0</v>
          </cell>
        </row>
      </sheetData>
      <sheetData sheetId="777">
        <row r="5">
          <cell r="B5">
            <v>0</v>
          </cell>
        </row>
      </sheetData>
      <sheetData sheetId="778">
        <row r="5">
          <cell r="B5">
            <v>0</v>
          </cell>
        </row>
      </sheetData>
      <sheetData sheetId="779">
        <row r="5">
          <cell r="B5">
            <v>0</v>
          </cell>
        </row>
      </sheetData>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row r="5">
          <cell r="B5">
            <v>0</v>
          </cell>
        </row>
      </sheetData>
      <sheetData sheetId="794"/>
      <sheetData sheetId="795"/>
      <sheetData sheetId="796"/>
      <sheetData sheetId="797"/>
      <sheetData sheetId="798"/>
      <sheetData sheetId="799"/>
      <sheetData sheetId="800"/>
      <sheetData sheetId="801">
        <row r="5">
          <cell r="B5">
            <v>0</v>
          </cell>
        </row>
      </sheetData>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sheetData sheetId="819">
        <row r="5">
          <cell r="B5">
            <v>0</v>
          </cell>
        </row>
      </sheetData>
      <sheetData sheetId="820">
        <row r="5">
          <cell r="B5">
            <v>0</v>
          </cell>
        </row>
      </sheetData>
      <sheetData sheetId="821"/>
      <sheetData sheetId="822"/>
      <sheetData sheetId="823">
        <row r="5">
          <cell r="B5">
            <v>0</v>
          </cell>
        </row>
      </sheetData>
      <sheetData sheetId="824">
        <row r="5">
          <cell r="B5">
            <v>0</v>
          </cell>
        </row>
      </sheetData>
      <sheetData sheetId="825">
        <row r="5">
          <cell r="B5">
            <v>0</v>
          </cell>
        </row>
      </sheetData>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row r="5">
          <cell r="B5">
            <v>0</v>
          </cell>
        </row>
      </sheetData>
      <sheetData sheetId="853">
        <row r="5">
          <cell r="B5">
            <v>0</v>
          </cell>
        </row>
      </sheetData>
      <sheetData sheetId="854">
        <row r="5">
          <cell r="B5">
            <v>0</v>
          </cell>
        </row>
      </sheetData>
      <sheetData sheetId="855">
        <row r="5">
          <cell r="B5">
            <v>0</v>
          </cell>
        </row>
      </sheetData>
      <sheetData sheetId="856"/>
      <sheetData sheetId="857"/>
      <sheetData sheetId="858"/>
      <sheetData sheetId="859">
        <row r="5">
          <cell r="B5">
            <v>0</v>
          </cell>
        </row>
      </sheetData>
      <sheetData sheetId="860">
        <row r="5">
          <cell r="B5">
            <v>0</v>
          </cell>
        </row>
      </sheetData>
      <sheetData sheetId="861">
        <row r="5">
          <cell r="B5">
            <v>0</v>
          </cell>
        </row>
      </sheetData>
      <sheetData sheetId="862">
        <row r="5">
          <cell r="B5">
            <v>0</v>
          </cell>
        </row>
      </sheetData>
      <sheetData sheetId="863">
        <row r="5">
          <cell r="B5">
            <v>0</v>
          </cell>
        </row>
      </sheetData>
      <sheetData sheetId="864"/>
      <sheetData sheetId="865"/>
      <sheetData sheetId="866"/>
      <sheetData sheetId="867"/>
      <sheetData sheetId="868"/>
      <sheetData sheetId="869">
        <row r="5">
          <cell r="B5">
            <v>1.2889995574951172</v>
          </cell>
        </row>
      </sheetData>
      <sheetData sheetId="870">
        <row r="5">
          <cell r="B5">
            <v>0</v>
          </cell>
        </row>
      </sheetData>
      <sheetData sheetId="871">
        <row r="5">
          <cell r="B5">
            <v>0</v>
          </cell>
        </row>
      </sheetData>
      <sheetData sheetId="872">
        <row r="5">
          <cell r="B5">
            <v>0</v>
          </cell>
        </row>
      </sheetData>
      <sheetData sheetId="873">
        <row r="5">
          <cell r="B5">
            <v>0</v>
          </cell>
        </row>
      </sheetData>
      <sheetData sheetId="874">
        <row r="5">
          <cell r="B5">
            <v>0</v>
          </cell>
        </row>
      </sheetData>
      <sheetData sheetId="875">
        <row r="5">
          <cell r="B5">
            <v>0</v>
          </cell>
        </row>
      </sheetData>
      <sheetData sheetId="876">
        <row r="5">
          <cell r="B5">
            <v>0</v>
          </cell>
        </row>
      </sheetData>
      <sheetData sheetId="877">
        <row r="5">
          <cell r="B5">
            <v>0</v>
          </cell>
        </row>
      </sheetData>
      <sheetData sheetId="878">
        <row r="5">
          <cell r="B5">
            <v>0</v>
          </cell>
        </row>
      </sheetData>
      <sheetData sheetId="879">
        <row r="5">
          <cell r="B5">
            <v>0</v>
          </cell>
        </row>
      </sheetData>
      <sheetData sheetId="880">
        <row r="5">
          <cell r="B5">
            <v>0</v>
          </cell>
        </row>
      </sheetData>
      <sheetData sheetId="881">
        <row r="5">
          <cell r="B5">
            <v>0</v>
          </cell>
        </row>
      </sheetData>
      <sheetData sheetId="882">
        <row r="5">
          <cell r="B5">
            <v>0</v>
          </cell>
        </row>
      </sheetData>
      <sheetData sheetId="883">
        <row r="5">
          <cell r="B5">
            <v>0</v>
          </cell>
        </row>
      </sheetData>
      <sheetData sheetId="884">
        <row r="5">
          <cell r="B5">
            <v>0</v>
          </cell>
        </row>
      </sheetData>
      <sheetData sheetId="885">
        <row r="5">
          <cell r="B5">
            <v>0</v>
          </cell>
        </row>
      </sheetData>
      <sheetData sheetId="886">
        <row r="5">
          <cell r="B5">
            <v>0</v>
          </cell>
        </row>
      </sheetData>
      <sheetData sheetId="887">
        <row r="5">
          <cell r="B5">
            <v>0</v>
          </cell>
        </row>
      </sheetData>
      <sheetData sheetId="888">
        <row r="5">
          <cell r="B5">
            <v>0</v>
          </cell>
        </row>
      </sheetData>
      <sheetData sheetId="889">
        <row r="5">
          <cell r="B5">
            <v>0</v>
          </cell>
        </row>
      </sheetData>
      <sheetData sheetId="890">
        <row r="5">
          <cell r="B5">
            <v>0</v>
          </cell>
        </row>
      </sheetData>
      <sheetData sheetId="891">
        <row r="5">
          <cell r="B5">
            <v>0</v>
          </cell>
        </row>
      </sheetData>
      <sheetData sheetId="892"/>
      <sheetData sheetId="893"/>
      <sheetData sheetId="894"/>
      <sheetData sheetId="895"/>
      <sheetData sheetId="896"/>
      <sheetData sheetId="897"/>
      <sheetData sheetId="898"/>
      <sheetData sheetId="899"/>
      <sheetData sheetId="900"/>
      <sheetData sheetId="901"/>
      <sheetData sheetId="902"/>
      <sheetData sheetId="903"/>
      <sheetData sheetId="904">
        <row r="5">
          <cell r="B5">
            <v>0</v>
          </cell>
        </row>
      </sheetData>
      <sheetData sheetId="905">
        <row r="5">
          <cell r="B5">
            <v>0</v>
          </cell>
        </row>
      </sheetData>
      <sheetData sheetId="906">
        <row r="5">
          <cell r="B5">
            <v>0</v>
          </cell>
        </row>
      </sheetData>
      <sheetData sheetId="907">
        <row r="5">
          <cell r="B5">
            <v>0</v>
          </cell>
        </row>
      </sheetData>
      <sheetData sheetId="908">
        <row r="5">
          <cell r="B5">
            <v>0</v>
          </cell>
        </row>
      </sheetData>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row r="15">
          <cell r="A15" t="str">
            <v>Total general</v>
          </cell>
        </row>
      </sheetData>
      <sheetData sheetId="929"/>
      <sheetData sheetId="930"/>
      <sheetData sheetId="931"/>
      <sheetData sheetId="932"/>
      <sheetData sheetId="933"/>
      <sheetData sheetId="934"/>
      <sheetData sheetId="935"/>
      <sheetData sheetId="936"/>
      <sheetData sheetId="937"/>
      <sheetData sheetId="938" refreshError="1"/>
      <sheetData sheetId="939" refreshError="1"/>
      <sheetData sheetId="940" refreshError="1"/>
      <sheetData sheetId="941" refreshError="1"/>
      <sheetData sheetId="942"/>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sheetData sheetId="1183"/>
      <sheetData sheetId="1184"/>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q. Price"/>
      <sheetName val="Mezz Returns"/>
      <sheetName val="Amort &amp; Sweep"/>
      <sheetName val="Quarterly Covenants"/>
      <sheetName val="MAIN"/>
      <sheetName val="Sales and EBITDA breakdown"/>
      <sheetName val="Tax sheet"/>
      <sheetName val="DIV INC"/>
      <sheetName val="Do not delete !!"/>
      <sheetName val="IRRs"/>
      <sheetName val="EQ. IRR"/>
      <sheetName val="Mezz IRRs"/>
      <sheetName val="DCF 3"/>
      <sheetName val="Output"/>
      <sheetName val="Pitch Output"/>
      <sheetName val="Fin Sum Output"/>
      <sheetName val="S&amp;P"/>
      <sheetName val="Toggles"/>
      <sheetName val="Data"/>
      <sheetName val="Mezz IRRs 6 monthly interests"/>
      <sheetName val="dPrint"/>
      <sheetName val="DropZone"/>
      <sheetName val="mProcess"/>
      <sheetName val="mlError"/>
      <sheetName val="mGlobals"/>
      <sheetName val="mMain"/>
      <sheetName val="mToggles"/>
      <sheetName val="mcFunctions"/>
      <sheetName val="mMisc"/>
      <sheetName val="mdPrint"/>
      <sheetName val="useless"/>
      <sheetName val="Graph"/>
      <sheetName val="Sales"/>
      <sheetName val="Retraitements"/>
      <sheetName val="Hypothèses"/>
      <sheetName val="Acq__Price"/>
      <sheetName val="Mezz_Returns"/>
      <sheetName val="Amort_&amp;_Sweep"/>
      <sheetName val="Quarterly_Covenants"/>
      <sheetName val="Sales_and_EBITDA_breakdown"/>
      <sheetName val="Tax_sheet"/>
      <sheetName val="DIV_INC"/>
      <sheetName val="Do_not_delete_!!"/>
      <sheetName val="EQ__IRR"/>
      <sheetName val="Mezz_IRRs"/>
      <sheetName val="DCF_3"/>
      <sheetName val="Pitch_Output"/>
      <sheetName val="Fin_Sum_Output"/>
      <sheetName val="Mezz_IRRs_6_monthly_interests"/>
      <sheetName val="TargIS"/>
      <sheetName val="TargBSCF"/>
    </sheetNames>
    <sheetDataSet>
      <sheetData sheetId="0" refreshError="1"/>
      <sheetData sheetId="1" refreshError="1"/>
      <sheetData sheetId="2"/>
      <sheetData sheetId="3" refreshError="1"/>
      <sheetData sheetId="4">
        <row r="49">
          <cell r="V49">
            <v>2</v>
          </cell>
        </row>
      </sheetData>
      <sheetData sheetId="5"/>
      <sheetData sheetId="6" refreshError="1"/>
      <sheetData sheetId="7"/>
      <sheetData sheetId="8" refreshError="1"/>
      <sheetData sheetId="9"/>
      <sheetData sheetId="10"/>
      <sheetData sheetId="11" refreshError="1"/>
      <sheetData sheetId="12"/>
      <sheetData sheetId="13" refreshError="1"/>
      <sheetData sheetId="14" refreshError="1"/>
      <sheetData sheetId="15" refreshError="1"/>
      <sheetData sheetId="16"/>
      <sheetData sheetId="17"/>
      <sheetData sheetId="18"/>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EuroFigge"/>
      <sheetName val="Figge"/>
      <sheetName val="Div. Preview"/>
      <sheetName val="Q Preview"/>
      <sheetName val="Sheet1"/>
      <sheetName val="divEBITchart"/>
      <sheetName val="divsaleschart"/>
      <sheetName val="Div. tables"/>
      <sheetName val="Sheet2"/>
      <sheetName val="Sheet3"/>
      <sheetName val="interim upd"/>
      <sheetName val="geography"/>
      <sheetName val="Div__Preview"/>
      <sheetName val="Q_Preview"/>
      <sheetName val="Div__tables"/>
      <sheetName val="interim_upd"/>
      <sheetName val="useless"/>
      <sheetName val="MAIN"/>
      <sheetName val="Div__Preview1"/>
      <sheetName val="Q_Preview1"/>
      <sheetName val="Div__tables1"/>
      <sheetName val="interim_upd1"/>
      <sheetName val="FINANCIALS"/>
      <sheetName val="Div__Preview2"/>
      <sheetName val="Q_Preview2"/>
      <sheetName val="Div__tables2"/>
      <sheetName val="interim_upd2"/>
      <sheetName val="Div__Preview3"/>
      <sheetName val="Q_Preview3"/>
      <sheetName val="Div__tables3"/>
      <sheetName val="interim_upd3"/>
      <sheetName val="Graph"/>
      <sheetName val="Sales"/>
      <sheetName val="Ark1"/>
      <sheetName val="A"/>
      <sheetName val="S1"/>
      <sheetName val="S5"/>
      <sheetName val="S3"/>
      <sheetName val="S7"/>
      <sheetName val="S2"/>
      <sheetName val="Div__Preview4"/>
      <sheetName val="Q_Preview4"/>
      <sheetName val="Div__tables4"/>
      <sheetName val="interim_upd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refreshError="1"/>
      <sheetData sheetId="18" refreshError="1"/>
      <sheetData sheetId="19"/>
      <sheetData sheetId="20"/>
      <sheetData sheetId="21"/>
      <sheetData sheetId="22"/>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s"/>
      <sheetName val="DD Items &amp; Notes"/>
      <sheetName val="Input Sheet"/>
      <sheetName val="Debt Schedules"/>
      <sheetName val="IRR &amp; Primary vs Secondary"/>
      <sheetName val="AVP"/>
      <sheetName val="Module1"/>
      <sheetName val="Lookups"/>
      <sheetName val="All Mappings"/>
      <sheetName val="Tables"/>
      <sheetName val="Contribution"/>
      <sheetName val="DD_Items_&amp;_Notes"/>
      <sheetName val="Input_Sheet"/>
      <sheetName val="Debt_Schedules"/>
      <sheetName val="IRR_&amp;_Primary_vs_Secondary"/>
      <sheetName val="DD_Items_&amp;_Notes1"/>
      <sheetName val="Input_Sheet1"/>
      <sheetName val="Debt_Schedules1"/>
      <sheetName val="IRR_&amp;_Primary_vs_Secondary1"/>
      <sheetName val="All_Mappings"/>
      <sheetName val="JAN"/>
      <sheetName val="geography"/>
      <sheetName val="FxdChg"/>
      <sheetName val="Input"/>
      <sheetName val="Caroline%20Model.x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heetName val="STORCON"/>
      <sheetName val="BatACT"/>
      <sheetName val="Module1"/>
      <sheetName val="Internet"/>
      <sheetName val="WELCOME"/>
      <sheetName val="POWER-DEPT"/>
      <sheetName val="LANGUAGE"/>
      <sheetName val="STRCONBA"/>
      <sheetName val="E"/>
      <sheetName val="PointNo.5"/>
      <sheetName val="PW-BGT"/>
      <sheetName val="Exp"/>
      <sheetName val="Sheet2"/>
      <sheetName val="PointNo_5"/>
      <sheetName val="PointNo_51"/>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ning Archives"/>
      <sheetName val="#REF"/>
      <sheetName val="CSCCincSKR"/>
      <sheetName val="Proforma"/>
      <sheetName val="Mai 2003"/>
      <sheetName val="Avril 2003"/>
      <sheetName val="Mars 2003"/>
      <sheetName val="Février 2003"/>
      <sheetName val="Janvier 2003"/>
      <sheetName val="Décembre 2002"/>
      <sheetName val="Novembre 2002"/>
      <sheetName val="Octobre 2002"/>
      <sheetName val="septembre 2002"/>
      <sheetName val="Aout 2002"/>
      <sheetName val="Juillet 2002"/>
      <sheetName val="Juin 2002"/>
      <sheetName val="Mai 2002"/>
      <sheetName val="Avril 2002"/>
      <sheetName val="Mars 2002"/>
      <sheetName val="Février 2002"/>
      <sheetName val="Janvier 2002"/>
      <sheetName val="Décembre 2001"/>
      <sheetName val="Novembre 2001"/>
      <sheetName val="Octobre 2001"/>
      <sheetName val="septembre 2001"/>
      <sheetName val="Aout"/>
      <sheetName val="Juillet"/>
      <sheetName val="Juin"/>
      <sheetName val="Mai"/>
      <sheetName val="Avril"/>
      <sheetName val="Mars"/>
      <sheetName val="février"/>
      <sheetName val="Janvier"/>
      <sheetName val="Décembre"/>
      <sheetName val="Novembre"/>
      <sheetName val="Octobre"/>
      <sheetName val="Co. C"/>
      <sheetName val="CASH FLOW"/>
      <sheetName val="BS"/>
      <sheetName val="septembre 2003"/>
      <sheetName val="Aout 2003"/>
      <sheetName val="Juillet 2003"/>
      <sheetName val="Juin 2003"/>
      <sheetName val="PL"/>
      <sheetName val="FA"/>
      <sheetName val="Sundry-Exps"/>
      <sheetName val="Sheet1"/>
      <sheetName val="Ctrl"/>
      <sheetName val="P&amp;L"/>
      <sheetName val="BUDGET"/>
      <sheetName val="Planning_Archives"/>
      <sheetName val="Mai_2003"/>
      <sheetName val="Avril_2003"/>
      <sheetName val="Mars_2003"/>
      <sheetName val="Février_2003"/>
      <sheetName val="Janvier_2003"/>
      <sheetName val="Décembre_2002"/>
      <sheetName val="Novembre_2002"/>
      <sheetName val="Octobre_2002"/>
      <sheetName val="septembre_2002"/>
      <sheetName val="Aout_2002"/>
      <sheetName val="Juillet_2002"/>
      <sheetName val="Juin_2002"/>
      <sheetName val="Mai_2002"/>
      <sheetName val="Avril_2002"/>
      <sheetName val="Mars_2002"/>
      <sheetName val="Février_2002"/>
      <sheetName val="Janvier_2002"/>
      <sheetName val="Décembre_2001"/>
      <sheetName val="Novembre_2001"/>
      <sheetName val="Octobre_2001"/>
      <sheetName val="septembre_2001"/>
      <sheetName val="Co__C"/>
      <sheetName val="CASH_FLOW"/>
      <sheetName val="septembre_2003"/>
      <sheetName val="Aout_2003"/>
      <sheetName val="Juillet_2003"/>
      <sheetName val="Juin_2003"/>
      <sheetName val="Bonus and Sample"/>
      <sheetName val="DCF Analysis"/>
      <sheetName val="LIVE BG "/>
      <sheetName val="mancount"/>
      <sheetName val="PRESFMS"/>
      <sheetName val="Bonus_and_Sample"/>
      <sheetName val="DCF_Analysis"/>
      <sheetName val="LIVE_BG_"/>
      <sheetName val="Quantity"/>
      <sheetName val="Input"/>
      <sheetName val="fiscal year end"/>
      <sheetName val="Planning_Archives1"/>
      <sheetName val="Mai_20031"/>
      <sheetName val="Avril_20031"/>
      <sheetName val="Mars_20031"/>
      <sheetName val="Février_20031"/>
      <sheetName val="Janvier_20031"/>
      <sheetName val="Décembre_20021"/>
      <sheetName val="Novembre_20021"/>
      <sheetName val="Octobre_20021"/>
      <sheetName val="septembre_20021"/>
      <sheetName val="Aout_20021"/>
      <sheetName val="Juillet_20021"/>
      <sheetName val="Juin_20021"/>
      <sheetName val="Mai_20021"/>
      <sheetName val="Avril_20021"/>
      <sheetName val="Mars_20021"/>
      <sheetName val="Février_20021"/>
      <sheetName val="Janvier_20021"/>
      <sheetName val="Décembre_20011"/>
      <sheetName val="Novembre_20011"/>
      <sheetName val="Octobre_20011"/>
      <sheetName val="septembre_20011"/>
      <sheetName val="Co__C1"/>
      <sheetName val="CASH_FLOW1"/>
      <sheetName val="septembre_20031"/>
      <sheetName val="Aout_20031"/>
      <sheetName val="Juillet_20031"/>
      <sheetName val="Juin_20031"/>
      <sheetName val="Bonus_and_Sample1"/>
      <sheetName val="DCF_Analysis1"/>
      <sheetName val="LIVE_BG_1"/>
      <sheetName val="fiscal_year_end"/>
      <sheetName val="Income Statement"/>
      <sheetName val="fiscal_year_end1"/>
      <sheetName val="Income_Statement"/>
      <sheetName val="EXP"/>
      <sheetName val="Table000208"/>
      <sheetName val="CM"/>
      <sheetName val="CM Calc"/>
      <sheetName val="Data"/>
      <sheetName val="Orders"/>
      <sheetName val="Sales"/>
      <sheetName val="DIV INC"/>
      <sheetName val="DropZone"/>
      <sheetName val="MAIN"/>
      <sheetName val="01.01"/>
      <sheetName val="_REF"/>
      <sheetName val="Inactifs N+N 2008"/>
      <sheetName val="mes"/>
      <sheetName val="Referencia"/>
      <sheetName val="Statistics operations"/>
      <sheetName val="B2C WATERFALL"/>
      <sheetName val="Creditor days"/>
      <sheetName val="Monthly working capital"/>
      <sheetName val="Drivers"/>
      <sheetName val="WACC(T)"/>
      <sheetName val="Liste Catégories"/>
      <sheetName val="entitlements"/>
      <sheetName val="Model Inputs"/>
      <sheetName val="钻井(调整)"/>
      <sheetName val="Recovered_Sheet7"/>
      <sheetName val="Recovered_Sheet2"/>
      <sheetName val="Recovered_Sheet5"/>
      <sheetName val="Recovered_Sheet4"/>
      <sheetName val="Recovered_Sheet6"/>
      <sheetName val="upa"/>
      <sheetName val="132417"/>
      <sheetName val="MISBS"/>
      <sheetName val="BOD PL NEW"/>
      <sheetName val="CMA_Calculations"/>
      <sheetName val="power &amp; fuel (s)"/>
      <sheetName val="dobson corporate model"/>
      <sheetName val="Original Andrew___Data"/>
      <sheetName val="Other notes"/>
      <sheetName val="Assumptions &amp; Results"/>
      <sheetName val="P&amp;F"/>
      <sheetName val="Power &amp; Fuel(c)"/>
      <sheetName val="TB"/>
      <sheetName val="43B"/>
      <sheetName val="192"/>
      <sheetName val="194C"/>
      <sheetName val="PF Payable"/>
      <sheetName val="PM"/>
      <sheetName val="EXPENSES"/>
      <sheetName val="SUMMARY"/>
      <sheetName val="Debourses"/>
      <sheetName val="NOA Data"/>
      <sheetName val="beam-reinft-IIInd floor"/>
      <sheetName val="Feb_Prfl_28"/>
      <sheetName val="Hardware"/>
      <sheetName val="LANGUAGE"/>
      <sheetName val="Apr'05"/>
      <sheetName val="Aug'05"/>
      <sheetName val="Dec'05"/>
      <sheetName val="Feb'06"/>
      <sheetName val="Jan'06"/>
      <sheetName val="Mar'06"/>
      <sheetName val="May'05"/>
      <sheetName val="Nov'05"/>
      <sheetName val="Oct'05"/>
      <sheetName val="Sept'05"/>
      <sheetName val="TRIAL BALANCE"/>
      <sheetName val="Locked cell"/>
      <sheetName val="FPS"/>
      <sheetName val="Bal_Gr"/>
      <sheetName val="Sch 1-2"/>
      <sheetName val="TB2003_04"/>
      <sheetName val="pcQueryData"/>
      <sheetName val="DCF"/>
      <sheetName val="Amortization Schedules"/>
      <sheetName val="Taira Corp"/>
      <sheetName val="Exb II.3_MCM Inputs Taira"/>
      <sheetName val="Exb II.4_Comp Analy Taira"/>
      <sheetName val="Tables"/>
      <sheetName val="Contribution"/>
      <sheetName val="WIP Detail"/>
      <sheetName val="Assumptions and Inputs"/>
      <sheetName val="SPLICE HOURS"/>
      <sheetName val="EU Comps"/>
      <sheetName val="Planning_Archives2"/>
      <sheetName val="Mai_20032"/>
      <sheetName val="Avril_20032"/>
      <sheetName val="Mars_20032"/>
      <sheetName val="Février_20032"/>
      <sheetName val="Janvier_20032"/>
      <sheetName val="Décembre_20022"/>
      <sheetName val="Novembre_20022"/>
      <sheetName val="Octobre_20022"/>
      <sheetName val="septembre_20022"/>
      <sheetName val="Aout_20022"/>
      <sheetName val="Juillet_20022"/>
      <sheetName val="Juin_20022"/>
      <sheetName val="Mai_20022"/>
      <sheetName val="Avril_20022"/>
      <sheetName val="Mars_20022"/>
      <sheetName val="Février_20022"/>
      <sheetName val="Janvier_20022"/>
      <sheetName val="Décembre_20012"/>
      <sheetName val="Novembre_20012"/>
      <sheetName val="Octobre_20012"/>
      <sheetName val="septembre_20012"/>
      <sheetName val="Co__C2"/>
      <sheetName val="CASH_FLOW2"/>
      <sheetName val="septembre_20032"/>
      <sheetName val="Aout_20032"/>
      <sheetName val="Juillet_20032"/>
      <sheetName val="Juin_20032"/>
      <sheetName val="Bonus_and_Sample2"/>
      <sheetName val="DCF_Analysis2"/>
      <sheetName val="LIVE_BG_2"/>
      <sheetName val="fiscal_year_end2"/>
      <sheetName val="Income_Statement1"/>
      <sheetName val="CM_Calc"/>
      <sheetName val="DIV_INC"/>
      <sheetName val="01_01"/>
      <sheetName val="Inactifs_N+N_2008"/>
      <sheetName val="Statistics_operations"/>
      <sheetName val="B2C_WATERFALL"/>
      <sheetName val="Creditor_days"/>
      <sheetName val="Monthly_working_capital"/>
      <sheetName val="Liste_Catégories"/>
      <sheetName val="Model_Inputs"/>
      <sheetName val="BOD_PL_NEW"/>
      <sheetName val="power_&amp;_fuel_(s)"/>
      <sheetName val="dobson_corporate_model"/>
      <sheetName val="Original_Andrew___Data"/>
      <sheetName val="Other_notes"/>
      <sheetName val="Assumptions_&amp;_Results"/>
      <sheetName val="Power_&amp;_Fuel(c)"/>
      <sheetName val="PF_Payable"/>
      <sheetName val="NOA_Data"/>
      <sheetName val="beam-reinft-IIInd_floor"/>
      <sheetName val="TRIAL_BALANCE"/>
      <sheetName val="Locked_cell"/>
      <sheetName val="Sch_1-2"/>
      <sheetName val="Amortization_Schedules"/>
      <sheetName val="Taira_Corp"/>
      <sheetName val="Exb_II_3_MCM_Inputs_Taira"/>
      <sheetName val="Exb_II_4_Comp_Analy_Taira"/>
      <sheetName val="WIP_Detail"/>
      <sheetName val="Assumptions_and_Inputs"/>
      <sheetName val="SPLICE_HOURS"/>
      <sheetName val="EU_Comps"/>
      <sheetName val="vb 9&amp;10"/>
      <sheetName val="PA- Consutant "/>
      <sheetName val="YOEMAGUM"/>
      <sheetName val="Case 1B - 1"/>
      <sheetName val="Earnings Model"/>
      <sheetName val="Case_1B_-_1"/>
      <sheetName val="Earnings_Model"/>
      <sheetName val="capex"/>
      <sheetName val="FOIL"/>
      <sheetName val="P&amp;L Summary Page"/>
      <sheetName val="????&lt;?&gt;"/>
      <sheetName val="Apr'12 &amp; May'12"/>
      <sheetName val="Payroll reconciliation"/>
      <sheetName val="XREF"/>
      <sheetName val="profee"/>
      <sheetName val="Inv Summ"/>
      <sheetName val="Do not use"/>
      <sheetName val="Bloomberg Input"/>
      <sheetName val="Settings"/>
      <sheetName val="AffiliateA_Billings"/>
      <sheetName val="AffilliateB_Billings"/>
      <sheetName val="AffiliateC_Billings"/>
      <sheetName val="AffiliateD_Billings"/>
      <sheetName val="AffiliateE_Billings"/>
      <sheetName val="AffiliateA_Sales"/>
      <sheetName val="AffiliateB_Sales"/>
      <sheetName val="AffiliateC_Sales"/>
      <sheetName val="AffiliateD_Sales"/>
      <sheetName val="AffiliateE_Sales"/>
      <sheetName val="List"/>
      <sheetName val="TOTAL CAPEX BUDGET - DETAILS"/>
      <sheetName val="Reference"/>
      <sheetName val="Fleet%"/>
      <sheetName val="Ownership"/>
      <sheetName val="BSMONTH"/>
      <sheetName val="Set-up"/>
      <sheetName val="Power &amp; Fuel(new)"/>
      <sheetName val="SalaryData"/>
      <sheetName val="1"/>
      <sheetName val="Layout Aktiva"/>
      <sheetName val="AA_Lookup"/>
      <sheetName val="AE_Lookup"/>
      <sheetName val="PXMODEL"/>
      <sheetName val="Référentiel"/>
      <sheetName val="Actuals per month (EUR)"/>
      <sheetName val="Datasheet"/>
      <sheetName val="Sheet3"/>
      <sheetName val="Historical_Rev_Changes_02-11"/>
      <sheetName val="Variables"/>
      <sheetName val="Map Rider"/>
      <sheetName val="EV-EBITDA"/>
      <sheetName val="synthgraph"/>
      <sheetName val="Periods"/>
      <sheetName val="DK Jun 05"/>
      <sheetName val="Europe"/>
      <sheetName val="Lead BS"/>
      <sheetName val="Invested capital 2020"/>
      <sheetName val="Planning_Archives3"/>
      <sheetName val="Planning_Archives4"/>
      <sheetName val="Planning_Archives5"/>
      <sheetName val="Planning_Archives6"/>
      <sheetName val="Planning_Archives7"/>
      <sheetName val="Planning_Archives8"/>
      <sheetName val="Planning_Archives9"/>
      <sheetName val="DATA VALIDATION SOURCE"/>
      <sheetName val="vb_9&amp;10"/>
      <sheetName val="PA-_Consutant_"/>
      <sheetName val="P&amp;L_Summary_Page"/>
      <sheetName val="Apr'12_&amp;_May'12"/>
      <sheetName val="Payroll_reconciliation"/>
      <sheetName val="Map_Rider"/>
      <sheetName val="Share Prices"/>
      <sheetName val="A1 - Income Statement"/>
      <sheetName val="SetUp"/>
      <sheetName val="Analysis by Sector"/>
      <sheetName val="Dr Cr summary"/>
      <sheetName val="Tables and numb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sheetData sheetId="84"/>
      <sheetData sheetId="85"/>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refreshError="1"/>
      <sheetData sheetId="273" refreshError="1"/>
      <sheetData sheetId="274" refreshError="1"/>
      <sheetData sheetId="275" refreshError="1"/>
      <sheetData sheetId="276" refreshError="1"/>
      <sheetData sheetId="277"/>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sheetData sheetId="332"/>
      <sheetData sheetId="333"/>
      <sheetData sheetId="334"/>
      <sheetData sheetId="335"/>
      <sheetData sheetId="336" refreshError="1"/>
      <sheetData sheetId="337"/>
      <sheetData sheetId="338"/>
      <sheetData sheetId="339"/>
      <sheetData sheetId="340"/>
      <sheetData sheetId="341"/>
      <sheetData sheetId="342"/>
      <sheetData sheetId="343" refreshError="1"/>
      <sheetData sheetId="344" refreshError="1"/>
      <sheetData sheetId="345" refreshError="1"/>
      <sheetData sheetId="346" refreshError="1"/>
      <sheetData sheetId="347" refreshError="1"/>
      <sheetData sheetId="34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WORK"/>
      <sheetName val="SRF A170(GP)"/>
      <sheetName val="A220"/>
      <sheetName val="SRF-115 (471315)"/>
      <sheetName val="SRF100 (471315)"/>
      <sheetName val="SRF-115"/>
      <sheetName val="SRF-116"/>
      <sheetName val="SRF100"/>
      <sheetName val="SRF130"/>
      <sheetName val="SRF A170"/>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REF"/>
      <sheetName val="SRF_A170(GP)"/>
      <sheetName val="SRF-115_(471315)"/>
      <sheetName val="SRF100_(471315)"/>
      <sheetName val="SRF_A170"/>
      <sheetName val="SRF_A170(GP)1"/>
      <sheetName val="SRF-115_(471315)1"/>
      <sheetName val="SRF100_(471315)1"/>
      <sheetName val="SRF_A1701"/>
      <sheetName val="Financials"/>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sheetData sheetId="28"/>
      <sheetData sheetId="29"/>
      <sheetData sheetId="30"/>
      <sheetData sheetId="31"/>
      <sheetData sheetId="32"/>
      <sheetData sheetId="33"/>
      <sheetData sheetId="34"/>
      <sheetData sheetId="3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cc"/>
      <sheetName val="Demand"/>
      <sheetName val="Summ"/>
      <sheetName val="Supply"/>
      <sheetName val="ADR"/>
      <sheetName val="Ref"/>
      <sheetName val="BS-WORK"/>
      <sheetName val="9.Formula"/>
      <sheetName val="9.Data"/>
      <sheetName val="1.Notes"/>
      <sheetName val="00708~01"/>
    </sheetNames>
    <sheetDataSet>
      <sheetData sheetId="0" refreshError="1"/>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COVER"/>
      <sheetName val="INDEX"/>
      <sheetName val="INDEX-FIN"/>
      <sheetName val="5-FIN"/>
      <sheetName val="6-PVA"/>
      <sheetName val="7-NSM"/>
      <sheetName val="8-NSM2"/>
      <sheetName val="10-OVERH"/>
      <sheetName val="11-MAN"/>
      <sheetName val="12-BSHEET"/>
      <sheetName val="13-INV"/>
      <sheetName val="15-RAGE"/>
      <sheetName val="16-RAGM"/>
      <sheetName val="17-CFLOW"/>
      <sheetName val="18-CAPEX"/>
      <sheetName val="19-PERF"/>
      <sheetName val="20-EXP"/>
      <sheetName val="21-VSE"/>
      <sheetName val="Sheet1"/>
      <sheetName val="Sheet2"/>
      <sheetName val="Sheet3"/>
      <sheetName val="Occ"/>
      <sheetName val="Demand"/>
      <sheetName val="My97form"/>
      <sheetName val="Projects"/>
      <sheetName val="PROD GRAPH"/>
      <sheetName val="CAP"/>
      <sheetName val="90-120"/>
      <sheetName val="Challan"/>
      <sheetName val="PROD_GRAPH"/>
      <sheetName val="DATA 91-98"/>
      <sheetName val="1-OBJ98 "/>
      <sheetName val="VISION 2000"/>
      <sheetName val="Exhibit Q"/>
      <sheetName val="120RECV"/>
      <sheetName val="ROSTER AFS 02-2007"/>
      <sheetName val="EXP"/>
      <sheetName val="FS"/>
      <sheetName val="NSM"/>
      <sheetName val="11-INV"/>
      <sheetName val="4-PVA2"/>
      <sheetName val="3-PVA"/>
      <sheetName val="5-NSM"/>
      <sheetName val="8-OH"/>
      <sheetName val="5-F-PAR"/>
      <sheetName val="CONTRN BY DISTRICT"/>
      <sheetName val="D"/>
      <sheetName val="Co 59"/>
      <sheetName val="BAW(D)"/>
      <sheetName val="details"/>
      <sheetName val="90_120"/>
      <sheetName val="Trial Bal"/>
      <sheetName val="SUMMARY"/>
      <sheetName val="PROD_GRAPH1"/>
      <sheetName val="DATA_91-98"/>
      <sheetName val="1-OBJ98_"/>
      <sheetName val="VISION_2000"/>
      <sheetName val="CONTRN_BY_DISTRICT"/>
      <sheetName val="Exhibit_Q"/>
      <sheetName val="ROSTER_AFS_02-2007"/>
      <sheetName val="130-UNIDADES"/>
      <sheetName val="Setup"/>
      <sheetName val="Fcst vs Budgets"/>
      <sheetName val="adp-budget"/>
      <sheetName val="Pricing Notes"/>
      <sheetName val="Codes"/>
      <sheetName val="Input"/>
      <sheetName val="Transactions"/>
      <sheetName val="TG  "/>
      <sheetName val="Store Master Data"/>
      <sheetName val="98FORECAST (1)"/>
      <sheetName val="Parameters"/>
      <sheetName val="Debtors 120+"/>
      <sheetName val="L_PM"/>
      <sheetName val="CHARTS-RES"/>
      <sheetName val="SALE&amp;COST"/>
      <sheetName val="factor"/>
      <sheetName val="currency"/>
      <sheetName val="Long Formate "/>
      <sheetName val="Monthly Forecast"/>
      <sheetName val="SHIVAJI"/>
      <sheetName val="PROD"/>
      <sheetName val="Advertisment"/>
      <sheetName val="Assumptions"/>
      <sheetName val="Budget Output"/>
      <sheetName val="Chart BSC"/>
      <sheetName val="Cost Center Planning"/>
      <sheetName val="Energy"/>
      <sheetName val="Faced KDK"/>
      <sheetName val="Faced KDKG"/>
      <sheetName val="Facing Sales - Cost"/>
      <sheetName val="Facing Percent"/>
      <sheetName val="Forex"/>
      <sheetName val="Market Analysis"/>
      <sheetName val="Material"/>
      <sheetName val="Production"/>
      <sheetName val="Ratio Analysis"/>
      <sheetName val="Budget Output (Revised P&amp;L)"/>
      <sheetName val="Sales MT"/>
      <sheetName val="Travel"/>
      <sheetName val="UnFaced KDK"/>
      <sheetName val="Unfaced KDKG"/>
      <sheetName val="Net Working Capital"/>
      <sheetName val="PROD_GRAPH2"/>
      <sheetName val="DATA_91-981"/>
      <sheetName val="1-OBJ98_1"/>
      <sheetName val="VISION_20001"/>
      <sheetName val="Exhibit_Q1"/>
      <sheetName val="ROSTER_AFS_02-20071"/>
      <sheetName val="CONTRN_BY_DISTRICT1"/>
      <sheetName val="Co_59"/>
      <sheetName val="Trial_Bal"/>
      <sheetName val="Fcst_vs_Budgets"/>
      <sheetName val="Pricing_Notes"/>
      <sheetName val="TG__"/>
      <sheetName val="Store_Master_Data"/>
      <sheetName val="98FORECAST_(1)"/>
      <sheetName val="Debtors_120+"/>
      <sheetName val="Long_Formate_"/>
      <sheetName val="Monthly_Forecast"/>
      <sheetName val="Budget_Output"/>
      <sheetName val="Chart_BSC"/>
      <sheetName val="Cost_Center_Planning"/>
      <sheetName val="Faced_KDK"/>
      <sheetName val="Faced_KDKG"/>
      <sheetName val="Facing_Sales_-_Cost"/>
      <sheetName val="Facing_Percent"/>
      <sheetName val="Market_Analysis"/>
      <sheetName val="Ratio_Analysis"/>
      <sheetName val="Budget_Output_(Revised_P&amp;L)"/>
      <sheetName val="Sales_MT"/>
      <sheetName val="UnFaced_KDK"/>
      <sheetName val="Unfaced_KDKG"/>
      <sheetName val="Net_Working_Capital"/>
      <sheetName val="M.N.Rama Rao"/>
      <sheetName val="SG&amp;A Charts "/>
      <sheetName val="gVL"/>
      <sheetName val="TEL LINE INCENTIVES"/>
      <sheetName val="PRODN"/>
      <sheetName val="EXP LINE"/>
      <sheetName val="Input_Finance"/>
      <sheetName val="Abnormal Adjustments"/>
      <sheetName val="Free Credit"/>
      <sheetName val="Inputs"/>
      <sheetName val="JAN"/>
      <sheetName val="Ex-Rate"/>
      <sheetName val="a soga JAK"/>
      <sheetName val="soga JAK"/>
      <sheetName val="a soga JABO"/>
      <sheetName val="a soga BOT"/>
      <sheetName val="soga JABO"/>
      <sheetName val="soga BOT"/>
      <sheetName val="a sso JAK"/>
      <sheetName val="sso JAK"/>
      <sheetName val="a sso JABO"/>
      <sheetName val="a sso BOT"/>
      <sheetName val="sso JABO"/>
      <sheetName val="sso BOT"/>
      <sheetName val="a vlr JAK"/>
      <sheetName val="vlr JAK"/>
      <sheetName val="a vlr JABO"/>
      <sheetName val="a vlr BOT"/>
      <sheetName val="vlr JABO"/>
      <sheetName val="vlr BOT"/>
      <sheetName val="a rgu ga JAK"/>
      <sheetName val="rgu ga JAK"/>
      <sheetName val="a rgu ga JABO"/>
      <sheetName val="a rgu ga BOT"/>
      <sheetName val="rgu ga JABO"/>
      <sheetName val="rgu ga BOT"/>
      <sheetName val="a rev JAK"/>
      <sheetName val="rev JAK"/>
      <sheetName val="a rev BOT"/>
      <sheetName val="rev JABO"/>
      <sheetName val="rev BOT"/>
      <sheetName val="DETAIL ALL"/>
      <sheetName val="jbro"/>
      <sheetName val="CARRY OVER JBRO"/>
      <sheetName val="GAP JABO"/>
      <sheetName val="GAP BOT"/>
      <sheetName val="GAP JAK"/>
      <sheetName val="LOWSITE JBRO"/>
      <sheetName val="05_2003-compute"/>
      <sheetName val="Collection"/>
      <sheetName val="Daily Flash"/>
      <sheetName val="Salaries"/>
      <sheetName val="Fixed Prof Fees"/>
      <sheetName val="BillofMaterials"/>
      <sheetName val="Source"/>
      <sheetName val="deb"/>
      <sheetName val="spare final"/>
      <sheetName val="EXE-SUM"/>
      <sheetName val="TRIAL BALANCE"/>
      <sheetName val="CRITERIA1"/>
      <sheetName val="5 - CITICORP"/>
      <sheetName val="data 3A|6A"/>
      <sheetName val="A"/>
      <sheetName val="E"/>
      <sheetName val="C"/>
      <sheetName val="Total "/>
      <sheetName val="le_data"/>
      <sheetName val="final"/>
      <sheetName val="Internet"/>
      <sheetName val="VISION_20002"/>
      <sheetName val="1-OBJ98_2"/>
      <sheetName val="PROD_GRAPH3"/>
      <sheetName val="DATA_91-982"/>
      <sheetName val="Debtors_120+1"/>
      <sheetName val="Exhibit_Q2"/>
      <sheetName val="ROSTER_AFS_02-20072"/>
      <sheetName val="CONTRN_BY_DISTRICT2"/>
      <sheetName val="Co_591"/>
      <sheetName val="Trial_Bal1"/>
      <sheetName val="Fcst_vs_Budgets1"/>
      <sheetName val="Pricing_Notes1"/>
      <sheetName val="BanP"/>
      <sheetName val="F-4"/>
      <sheetName val="CashFlow"/>
      <sheetName val="EXPENSES"/>
      <sheetName val="B"/>
      <sheetName val="vb 9&amp;10"/>
      <sheetName val="P&amp;L"/>
      <sheetName val="DIVBUD99"/>
      <sheetName val="#REF"/>
      <sheetName val="Price inc$"/>
      <sheetName val="New Microsoft Excel Worksheet"/>
      <sheetName val="FAB별"/>
      <sheetName val="TN"/>
      <sheetName val="ASM"/>
      <sheetName val="AP"/>
      <sheetName val="BGPM"/>
      <sheetName val="BHR"/>
      <sheetName val="BTI"/>
      <sheetName val="HMCL"/>
      <sheetName val="HO"/>
      <sheetName val="KER"/>
      <sheetName val="KRNL"/>
      <sheetName val="LUDH"/>
      <sheetName val="PUNE"/>
      <sheetName val="NGPR"/>
      <sheetName val="ORI"/>
      <sheetName val="WELCOME"/>
      <sheetName val="Reference"/>
      <sheetName val="BS"/>
      <sheetName val="Pg.1 Marketing Info"/>
      <sheetName val="SPT vs PHI"/>
      <sheetName val="Grouping"/>
      <sheetName val="BS, PL, Sch 5 to 9"/>
      <sheetName val="FX Dump OP"/>
      <sheetName val="FACTORS"/>
      <sheetName val="PROD_GRAPH4"/>
      <sheetName val="DATA_91-983"/>
      <sheetName val="1-OBJ98_3"/>
      <sheetName val="VISION_20003"/>
      <sheetName val="Debtors_120+2"/>
      <sheetName val="Exhibit_Q3"/>
      <sheetName val="ROSTER_AFS_02-20073"/>
      <sheetName val="CONTRN_BY_DISTRICT3"/>
      <sheetName val="Co_592"/>
      <sheetName val="Trial_Bal2"/>
      <sheetName val="Fcst_vs_Budgets2"/>
      <sheetName val="Pricing_Notes2"/>
      <sheetName val="M_N_Rama_Rao"/>
      <sheetName val="EXP_LINE"/>
      <sheetName val="Daily_Flash"/>
      <sheetName val="SG&amp;A_Charts_"/>
      <sheetName val="TEL_LINE_INCENTIVES"/>
      <sheetName val="corporate"/>
      <sheetName val="TB 31 Mar 10 15 MTHS"/>
      <sheetName val="PROD_GRAPH5"/>
      <sheetName val="DATA_91-984"/>
      <sheetName val="1-OBJ98_4"/>
      <sheetName val="VISION_20004"/>
      <sheetName val="Exhibit_Q4"/>
      <sheetName val="ROSTER_AFS_02-20074"/>
      <sheetName val="CONTRN_BY_DISTRICT4"/>
      <sheetName val="Co_593"/>
      <sheetName val="Trial_Bal3"/>
      <sheetName val="Fcst_vs_Budgets3"/>
      <sheetName val="Pricing_Notes3"/>
      <sheetName val="TG__1"/>
      <sheetName val="Store_Master_Data1"/>
      <sheetName val="98FORECAST_(1)1"/>
      <sheetName val="Debtors_120+3"/>
      <sheetName val="Long_Formate_1"/>
      <sheetName val="Monthly_Forecast1"/>
      <sheetName val="Budget_Output1"/>
      <sheetName val="Chart_BSC1"/>
      <sheetName val="Cost_Center_Planning1"/>
      <sheetName val="Faced_KDK1"/>
      <sheetName val="Faced_KDKG1"/>
      <sheetName val="Facing_Sales_-_Cost1"/>
      <sheetName val="Facing_Percent1"/>
      <sheetName val="Market_Analysis1"/>
      <sheetName val="Ratio_Analysis1"/>
      <sheetName val="Budget_Output_(Revised_P&amp;L)1"/>
      <sheetName val="Sales_MT1"/>
      <sheetName val="UnFaced_KDK1"/>
      <sheetName val="Unfaced_KDKG1"/>
      <sheetName val="Net_Working_Capital1"/>
      <sheetName val="M_N_Rama_Rao1"/>
      <sheetName val="SG&amp;A_Charts_1"/>
      <sheetName val="TEL_LINE_INCENTIVES1"/>
      <sheetName val="EXP_LINE1"/>
      <sheetName val="Daily_Flash1"/>
      <sheetName val="Fixed_Prof_Fees"/>
      <sheetName val="spare_final"/>
      <sheetName val="TRIAL_BALANCE"/>
      <sheetName val="5_-_CITICORP"/>
      <sheetName val="data_3A|6A"/>
      <sheetName val="Total_"/>
      <sheetName val="Abnormal_Adjustments"/>
      <sheetName val="Free_Credit"/>
      <sheetName val="a_soga_JAK"/>
      <sheetName val="soga_JAK"/>
      <sheetName val="a_soga_JABO"/>
      <sheetName val="a_soga_BOT"/>
      <sheetName val="soga_JABO"/>
      <sheetName val="soga_BOT"/>
      <sheetName val="a_sso_JAK"/>
      <sheetName val="sso_JAK"/>
      <sheetName val="a_sso_JABO"/>
      <sheetName val="a_sso_BOT"/>
      <sheetName val="sso_JABO"/>
      <sheetName val="sso_BOT"/>
      <sheetName val="a_vlr_JAK"/>
      <sheetName val="vlr_JAK"/>
      <sheetName val="a_vlr_JABO"/>
      <sheetName val="a_vlr_BOT"/>
      <sheetName val="vlr_JABO"/>
      <sheetName val="vlr_BOT"/>
      <sheetName val="a_rgu_ga_JAK"/>
      <sheetName val="rgu_ga_JAK"/>
      <sheetName val="a_rgu_ga_JABO"/>
      <sheetName val="a_rgu_ga_BOT"/>
      <sheetName val="rgu_ga_JABO"/>
      <sheetName val="rgu_ga_BOT"/>
      <sheetName val="a_rev_JAK"/>
      <sheetName val="rev_JAK"/>
      <sheetName val="a_rev_BOT"/>
      <sheetName val="rev_JABO"/>
      <sheetName val="rev_BOT"/>
      <sheetName val="DETAIL_ALL"/>
      <sheetName val="CARRY_OVER_JBRO"/>
      <sheetName val="GAP_JABO"/>
      <sheetName val="GAP_BOT"/>
      <sheetName val="GAP_JAK"/>
      <sheetName val="LOWSITE_JBRO"/>
      <sheetName val="vb_9&amp;10"/>
      <sheetName val="Price_inc$"/>
      <sheetName val="New_Microsoft_Excel_Worksheet"/>
      <sheetName val="Pg_1_Marketing_Info"/>
      <sheetName val="SPT_vs_PHI"/>
      <sheetName val="BS,_PL,_Sch_5_to_9"/>
      <sheetName val="FX_Dump_OP"/>
      <sheetName val="TB_31_Mar_10_15_MTHS"/>
      <sheetName val="sdrs_mar"/>
      <sheetName val="Investment0804"/>
      <sheetName val="FUNDFLOW"/>
      <sheetName val="CF"/>
      <sheetName val="Name Refs"/>
      <sheetName val="OTC &amp; Diagnostics"/>
      <sheetName val="plbs"/>
      <sheetName val="MFG"/>
      <sheetName val="Photocopy"/>
      <sheetName val="MASTER"/>
      <sheetName val="BUDGET"/>
      <sheetName val="AF Spares data"/>
      <sheetName val="Trial Balance_16-17"/>
      <sheetName val="Profile"/>
      <sheetName val="Capital"/>
      <sheetName val="Debt"/>
      <sheetName val="Formats"/>
      <sheetName val="CapEx"/>
      <sheetName val="EAW Final Accounts - 99"/>
      <sheetName val="Sub-Grouping"/>
      <sheetName val="P &amp;L"/>
      <sheetName val="S 15_22"/>
      <sheetName val="XREF"/>
      <sheetName val="Page1"/>
      <sheetName val="DGP-2002"/>
      <sheetName val="ref"/>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efreshError="1"/>
      <sheetData sheetId="269" refreshError="1"/>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ostsheet-OLD"/>
      <sheetName val="flsh-feb"/>
      <sheetName val="CONSUMPTN."/>
      <sheetName val="costsheet "/>
      <sheetName val="SALES"/>
      <sheetName val="CONSUMPTN_"/>
      <sheetName val="costsheet_"/>
      <sheetName val="CONSUMPTN_1"/>
      <sheetName val="costsheet_1"/>
      <sheetName val="SS BOOK 2"/>
      <sheetName val="SS_BOOK_2"/>
      <sheetName val="Misc."/>
      <sheetName val="BUDGET"/>
    </sheetNames>
    <sheetDataSet>
      <sheetData sheetId="0" refreshError="1">
        <row r="6">
          <cell r="C6" t="str">
            <v>|</v>
          </cell>
          <cell r="G6" t="str">
            <v>|</v>
          </cell>
          <cell r="I6" t="str">
            <v>|</v>
          </cell>
        </row>
        <row r="7">
          <cell r="G7" t="str">
            <v>|</v>
          </cell>
          <cell r="I7" t="str">
            <v>|</v>
          </cell>
        </row>
        <row r="8">
          <cell r="G8" t="str">
            <v>|</v>
          </cell>
          <cell r="I8" t="str">
            <v>|</v>
          </cell>
        </row>
        <row r="9">
          <cell r="G9" t="str">
            <v>|</v>
          </cell>
          <cell r="I9" t="str">
            <v>|</v>
          </cell>
        </row>
        <row r="10">
          <cell r="G10" t="str">
            <v>|</v>
          </cell>
          <cell r="I10" t="str">
            <v>|</v>
          </cell>
        </row>
        <row r="11">
          <cell r="G11" t="str">
            <v>|</v>
          </cell>
          <cell r="I11" t="str">
            <v>|</v>
          </cell>
        </row>
        <row r="12">
          <cell r="G12" t="str">
            <v>|</v>
          </cell>
          <cell r="I12" t="str">
            <v>|</v>
          </cell>
        </row>
        <row r="13">
          <cell r="G13" t="str">
            <v>|</v>
          </cell>
          <cell r="I13" t="str">
            <v>|</v>
          </cell>
        </row>
        <row r="14">
          <cell r="G14" t="str">
            <v>|</v>
          </cell>
          <cell r="I14" t="str">
            <v>|</v>
          </cell>
        </row>
        <row r="15">
          <cell r="G15" t="str">
            <v>|</v>
          </cell>
          <cell r="I15" t="str">
            <v>|</v>
          </cell>
        </row>
        <row r="16">
          <cell r="G16" t="str">
            <v>|</v>
          </cell>
          <cell r="I16" t="str">
            <v>|</v>
          </cell>
        </row>
        <row r="17">
          <cell r="G17" t="str">
            <v>|</v>
          </cell>
          <cell r="I17" t="str">
            <v>|</v>
          </cell>
        </row>
        <row r="18">
          <cell r="G18" t="str">
            <v>|</v>
          </cell>
          <cell r="I18" t="str">
            <v>|</v>
          </cell>
        </row>
        <row r="19">
          <cell r="G19" t="str">
            <v>|</v>
          </cell>
          <cell r="I19" t="str">
            <v>|</v>
          </cell>
        </row>
        <row r="20">
          <cell r="G20" t="str">
            <v>|</v>
          </cell>
          <cell r="I20" t="str">
            <v>|</v>
          </cell>
        </row>
        <row r="21">
          <cell r="G21" t="str">
            <v>|</v>
          </cell>
          <cell r="I21" t="str">
            <v>|</v>
          </cell>
        </row>
        <row r="22">
          <cell r="G22" t="str">
            <v>|</v>
          </cell>
          <cell r="I22" t="str">
            <v>|</v>
          </cell>
        </row>
        <row r="23">
          <cell r="G23" t="str">
            <v>|</v>
          </cell>
          <cell r="I23" t="str">
            <v>|</v>
          </cell>
        </row>
        <row r="24">
          <cell r="G24" t="str">
            <v>|</v>
          </cell>
          <cell r="I24" t="str">
            <v>|</v>
          </cell>
        </row>
        <row r="25">
          <cell r="G25" t="str">
            <v>|</v>
          </cell>
          <cell r="I25" t="str">
            <v>|</v>
          </cell>
        </row>
        <row r="26">
          <cell r="G26" t="str">
            <v>|</v>
          </cell>
          <cell r="I26" t="str">
            <v>|</v>
          </cell>
        </row>
        <row r="27">
          <cell r="G27" t="str">
            <v>|</v>
          </cell>
          <cell r="I27" t="str">
            <v>|</v>
          </cell>
        </row>
        <row r="28">
          <cell r="G28" t="str">
            <v>|</v>
          </cell>
          <cell r="I28" t="str">
            <v>|</v>
          </cell>
        </row>
        <row r="29">
          <cell r="G29" t="str">
            <v>|</v>
          </cell>
          <cell r="I29" t="str">
            <v>|</v>
          </cell>
        </row>
        <row r="30">
          <cell r="G30" t="str">
            <v>|</v>
          </cell>
          <cell r="I30" t="str">
            <v>|</v>
          </cell>
        </row>
        <row r="31">
          <cell r="G31" t="str">
            <v>|</v>
          </cell>
          <cell r="I31" t="str">
            <v>|</v>
          </cell>
        </row>
        <row r="32">
          <cell r="G32" t="str">
            <v>|</v>
          </cell>
          <cell r="I32" t="str">
            <v>|</v>
          </cell>
        </row>
        <row r="33">
          <cell r="G33" t="str">
            <v>|</v>
          </cell>
          <cell r="I33" t="str">
            <v>|</v>
          </cell>
        </row>
        <row r="34">
          <cell r="G34" t="str">
            <v>|</v>
          </cell>
          <cell r="I34" t="str">
            <v>|</v>
          </cell>
        </row>
        <row r="35">
          <cell r="G35" t="str">
            <v>|</v>
          </cell>
          <cell r="I35" t="str">
            <v>|</v>
          </cell>
        </row>
        <row r="36">
          <cell r="G36" t="str">
            <v>|</v>
          </cell>
          <cell r="I36" t="str">
            <v>|</v>
          </cell>
        </row>
        <row r="37">
          <cell r="G37" t="str">
            <v>|</v>
          </cell>
          <cell r="I37" t="str">
            <v>|</v>
          </cell>
        </row>
        <row r="38">
          <cell r="G38" t="str">
            <v>|</v>
          </cell>
          <cell r="I38" t="str">
            <v>|</v>
          </cell>
        </row>
        <row r="39">
          <cell r="G39" t="str">
            <v>|</v>
          </cell>
          <cell r="I39" t="str">
            <v>|</v>
          </cell>
        </row>
        <row r="40">
          <cell r="G40" t="str">
            <v>|</v>
          </cell>
          <cell r="I40" t="str">
            <v>|</v>
          </cell>
        </row>
        <row r="41">
          <cell r="G41" t="str">
            <v>|</v>
          </cell>
          <cell r="I41" t="str">
            <v>|</v>
          </cell>
        </row>
        <row r="42">
          <cell r="G42" t="str">
            <v>|</v>
          </cell>
          <cell r="I42" t="str">
            <v>|</v>
          </cell>
        </row>
        <row r="43">
          <cell r="G43" t="str">
            <v>|</v>
          </cell>
          <cell r="I43" t="str">
            <v>|</v>
          </cell>
        </row>
        <row r="44">
          <cell r="G44" t="str">
            <v>|</v>
          </cell>
          <cell r="I44" t="str">
            <v>|</v>
          </cell>
        </row>
        <row r="45">
          <cell r="G45" t="str">
            <v>|</v>
          </cell>
          <cell r="I45" t="str">
            <v>|</v>
          </cell>
        </row>
        <row r="46">
          <cell r="G46" t="str">
            <v>|</v>
          </cell>
          <cell r="I46" t="str">
            <v>|</v>
          </cell>
        </row>
        <row r="47">
          <cell r="G47" t="str">
            <v>|</v>
          </cell>
          <cell r="I47" t="str">
            <v>|</v>
          </cell>
        </row>
        <row r="49">
          <cell r="G49" t="str">
            <v>|</v>
          </cell>
          <cell r="I49" t="str">
            <v>|</v>
          </cell>
        </row>
        <row r="50">
          <cell r="G50" t="str">
            <v>|</v>
          </cell>
          <cell r="I50" t="str">
            <v>|</v>
          </cell>
        </row>
        <row r="51">
          <cell r="G51" t="str">
            <v>|</v>
          </cell>
          <cell r="I51" t="str">
            <v>|</v>
          </cell>
        </row>
        <row r="52">
          <cell r="G52" t="str">
            <v>|</v>
          </cell>
          <cell r="I52" t="str">
            <v>|</v>
          </cell>
        </row>
        <row r="53">
          <cell r="G53" t="str">
            <v>|</v>
          </cell>
          <cell r="I53" t="str">
            <v>|</v>
          </cell>
        </row>
        <row r="54">
          <cell r="G54" t="str">
            <v>|</v>
          </cell>
          <cell r="I54" t="str">
            <v>|</v>
          </cell>
        </row>
        <row r="55">
          <cell r="G55" t="str">
            <v>|</v>
          </cell>
          <cell r="I55" t="str">
            <v>|</v>
          </cell>
        </row>
        <row r="56">
          <cell r="G56" t="str">
            <v>|</v>
          </cell>
          <cell r="I56" t="str">
            <v>|</v>
          </cell>
        </row>
        <row r="57">
          <cell r="G57" t="str">
            <v>|</v>
          </cell>
          <cell r="I57" t="str">
            <v>|</v>
          </cell>
        </row>
        <row r="58">
          <cell r="G58" t="str">
            <v>|</v>
          </cell>
          <cell r="I58" t="str">
            <v>|</v>
          </cell>
        </row>
        <row r="59">
          <cell r="G59" t="str">
            <v>|</v>
          </cell>
          <cell r="I59" t="str">
            <v>|</v>
          </cell>
        </row>
        <row r="60">
          <cell r="G60" t="str">
            <v>|</v>
          </cell>
          <cell r="I60" t="str">
            <v>|</v>
          </cell>
        </row>
        <row r="61">
          <cell r="G61" t="str">
            <v>|</v>
          </cell>
          <cell r="I61" t="str">
            <v>|</v>
          </cell>
        </row>
        <row r="62">
          <cell r="G62" t="str">
            <v>|</v>
          </cell>
          <cell r="I62" t="str">
            <v>|</v>
          </cell>
        </row>
        <row r="63">
          <cell r="G63" t="str">
            <v>|</v>
          </cell>
          <cell r="I63" t="str">
            <v>|</v>
          </cell>
        </row>
        <row r="64">
          <cell r="G64" t="str">
            <v>|</v>
          </cell>
          <cell r="I64" t="str">
            <v>|</v>
          </cell>
        </row>
        <row r="65">
          <cell r="G65" t="str">
            <v>|</v>
          </cell>
          <cell r="I65" t="str">
            <v>|</v>
          </cell>
        </row>
        <row r="66">
          <cell r="G66" t="str">
            <v>|</v>
          </cell>
          <cell r="I66" t="str">
            <v>|</v>
          </cell>
        </row>
        <row r="67">
          <cell r="G67" t="str">
            <v>|</v>
          </cell>
          <cell r="I67" t="str">
            <v>|</v>
          </cell>
        </row>
        <row r="68">
          <cell r="G68" t="str">
            <v>|</v>
          </cell>
          <cell r="I68" t="str">
            <v>|</v>
          </cell>
        </row>
        <row r="69">
          <cell r="G69" t="str">
            <v>|</v>
          </cell>
          <cell r="I69" t="str">
            <v>|</v>
          </cell>
        </row>
        <row r="70">
          <cell r="G70" t="str">
            <v>|</v>
          </cell>
          <cell r="I70" t="str">
            <v>|</v>
          </cell>
        </row>
        <row r="71">
          <cell r="G71" t="str">
            <v>|</v>
          </cell>
          <cell r="I71" t="str">
            <v>|</v>
          </cell>
        </row>
        <row r="72">
          <cell r="G72" t="str">
            <v>|</v>
          </cell>
          <cell r="I72" t="str">
            <v>|</v>
          </cell>
        </row>
        <row r="73">
          <cell r="G73" t="str">
            <v>|</v>
          </cell>
          <cell r="I73" t="str">
            <v>|</v>
          </cell>
        </row>
        <row r="74">
          <cell r="G74" t="str">
            <v>|</v>
          </cell>
          <cell r="I74" t="str">
            <v>|</v>
          </cell>
        </row>
        <row r="75">
          <cell r="G75" t="str">
            <v>|</v>
          </cell>
          <cell r="I75" t="str">
            <v>|</v>
          </cell>
        </row>
        <row r="76">
          <cell r="G76" t="str">
            <v>|</v>
          </cell>
          <cell r="I76" t="str">
            <v>|</v>
          </cell>
        </row>
        <row r="77">
          <cell r="G77" t="str">
            <v>|</v>
          </cell>
          <cell r="I77" t="str">
            <v>|</v>
          </cell>
        </row>
        <row r="78">
          <cell r="G78" t="str">
            <v>|</v>
          </cell>
          <cell r="I78" t="str">
            <v>|</v>
          </cell>
        </row>
        <row r="79">
          <cell r="G79" t="str">
            <v>|</v>
          </cell>
          <cell r="I79" t="str">
            <v>|</v>
          </cell>
        </row>
        <row r="80">
          <cell r="G80" t="str">
            <v>|</v>
          </cell>
          <cell r="I80" t="str">
            <v>|</v>
          </cell>
        </row>
        <row r="81">
          <cell r="G81" t="str">
            <v>|</v>
          </cell>
          <cell r="I81" t="str">
            <v>|</v>
          </cell>
        </row>
        <row r="82">
          <cell r="G82" t="str">
            <v>|</v>
          </cell>
          <cell r="I82" t="str">
            <v>|</v>
          </cell>
        </row>
        <row r="83">
          <cell r="G83" t="str">
            <v>|</v>
          </cell>
          <cell r="I83" t="str">
            <v>|</v>
          </cell>
        </row>
        <row r="84">
          <cell r="G84" t="str">
            <v>|</v>
          </cell>
          <cell r="I84" t="str">
            <v>|</v>
          </cell>
        </row>
        <row r="85">
          <cell r="G85" t="str">
            <v>|</v>
          </cell>
          <cell r="I85" t="str">
            <v>|</v>
          </cell>
        </row>
        <row r="86">
          <cell r="G86" t="str">
            <v>|</v>
          </cell>
          <cell r="I86" t="str">
            <v>|</v>
          </cell>
        </row>
        <row r="87">
          <cell r="G87" t="str">
            <v>|</v>
          </cell>
          <cell r="I87" t="str">
            <v>|</v>
          </cell>
        </row>
        <row r="88">
          <cell r="G88" t="str">
            <v>|</v>
          </cell>
          <cell r="I88" t="str">
            <v>|</v>
          </cell>
        </row>
        <row r="89">
          <cell r="G89" t="str">
            <v>|</v>
          </cell>
          <cell r="I89" t="str">
            <v>|</v>
          </cell>
        </row>
        <row r="90">
          <cell r="G90" t="str">
            <v>|</v>
          </cell>
          <cell r="I90" t="str">
            <v>|</v>
          </cell>
        </row>
        <row r="91">
          <cell r="G91" t="str">
            <v>|</v>
          </cell>
          <cell r="I91" t="str">
            <v>|</v>
          </cell>
        </row>
        <row r="92">
          <cell r="G92" t="str">
            <v>|</v>
          </cell>
          <cell r="I92" t="str">
            <v>|</v>
          </cell>
        </row>
        <row r="93">
          <cell r="G93" t="str">
            <v>|</v>
          </cell>
          <cell r="I93" t="str">
            <v>|</v>
          </cell>
        </row>
        <row r="94">
          <cell r="G94" t="str">
            <v>|</v>
          </cell>
          <cell r="I94" t="str">
            <v>|</v>
          </cell>
        </row>
        <row r="95">
          <cell r="G95" t="str">
            <v>|</v>
          </cell>
          <cell r="I95" t="str">
            <v>|</v>
          </cell>
        </row>
        <row r="96">
          <cell r="G96" t="str">
            <v>|</v>
          </cell>
          <cell r="I96" t="str">
            <v>|</v>
          </cell>
        </row>
        <row r="97">
          <cell r="G97" t="str">
            <v>|</v>
          </cell>
          <cell r="I97" t="str">
            <v>|</v>
          </cell>
        </row>
        <row r="98">
          <cell r="G98" t="str">
            <v>|</v>
          </cell>
          <cell r="I98" t="str">
            <v>|</v>
          </cell>
        </row>
        <row r="99">
          <cell r="G99" t="str">
            <v>|</v>
          </cell>
          <cell r="I99" t="str">
            <v>|</v>
          </cell>
        </row>
        <row r="100">
          <cell r="G100" t="str">
            <v>|</v>
          </cell>
          <cell r="I100" t="str">
            <v>|</v>
          </cell>
        </row>
        <row r="101">
          <cell r="G101" t="str">
            <v>|</v>
          </cell>
          <cell r="I101" t="str">
            <v>|</v>
          </cell>
        </row>
        <row r="102">
          <cell r="G102" t="str">
            <v>|</v>
          </cell>
          <cell r="I102" t="str">
            <v>|</v>
          </cell>
        </row>
        <row r="103">
          <cell r="G103" t="str">
            <v>|</v>
          </cell>
          <cell r="I103" t="str">
            <v>|</v>
          </cell>
        </row>
        <row r="104">
          <cell r="G104" t="str">
            <v>|</v>
          </cell>
          <cell r="I104" t="str">
            <v>|</v>
          </cell>
        </row>
        <row r="105">
          <cell r="G105" t="str">
            <v>|</v>
          </cell>
          <cell r="I105" t="str">
            <v>|</v>
          </cell>
        </row>
      </sheetData>
      <sheetData sheetId="1" refreshError="1"/>
      <sheetData sheetId="2" refreshError="1"/>
      <sheetData sheetId="3" refreshError="1"/>
      <sheetData sheetId="4" refreshError="1"/>
      <sheetData sheetId="5" refreshError="1"/>
      <sheetData sheetId="6"/>
      <sheetData sheetId="7"/>
      <sheetData sheetId="8"/>
      <sheetData sheetId="9"/>
      <sheetData sheetId="10" refreshError="1"/>
      <sheetData sheetId="11"/>
      <sheetData sheetId="12" refreshError="1"/>
      <sheetData sheetId="1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9-00"/>
      <sheetName val="1999-00_ACETRENE"/>
      <sheetName val="1998-99_AUDIT"/>
      <sheetName val="1999-00_AUDIT"/>
      <sheetName val="1999-00_CRYSTAL"/>
      <sheetName val="1998-99_CRYSTAL (2)"/>
      <sheetName val="1998-99"/>
      <sheetName val="CON_PSEUDO"/>
      <sheetName val="A"/>
      <sheetName val="1998-99_CRYSTAL_(2)"/>
      <sheetName val="1998-99_CRYSTAL_(2)1"/>
      <sheetName val="#REF"/>
    </sheetNames>
    <sheetDataSet>
      <sheetData sheetId="0" refreshError="1"/>
      <sheetData sheetId="1"/>
      <sheetData sheetId="2"/>
      <sheetData sheetId="3"/>
      <sheetData sheetId="4"/>
      <sheetData sheetId="5"/>
      <sheetData sheetId="6"/>
      <sheetData sheetId="7"/>
      <sheetData sheetId="8" refreshError="1"/>
      <sheetData sheetId="9"/>
      <sheetData sheetId="10"/>
      <sheetData sheetId="1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 &amp; Fuel(SMS)"/>
      <sheetName val="Uniuon Bank"/>
      <sheetName val="Allocation Of Funds"/>
      <sheetName val="Table Of Contents"/>
      <sheetName val="Capacity "/>
      <sheetName val="Inter Transfer"/>
      <sheetName val="base(I)"/>
      <sheetName val="Base (E)"/>
      <sheetName val="COP CPP"/>
      <sheetName val="Sales"/>
      <sheetName val="Basic Assumption"/>
      <sheetName val="COP"/>
      <sheetName val="Cost &amp; Means"/>
      <sheetName val="Land &amp; Site Development"/>
      <sheetName val="Civil Const."/>
      <sheetName val="Plant &amp; Machinery"/>
      <sheetName val="Summary of Plant &amp; Machinery"/>
      <sheetName val="Miscellaneous"/>
      <sheetName val="Preliminary &amp; preoperative"/>
      <sheetName val="Working Capital"/>
      <sheetName val="Term Loan"/>
      <sheetName val="Term Loan (CPP)"/>
      <sheetName val="Term Loan(EAF)"/>
      <sheetName val="Term Loan(S)"/>
      <sheetName val="Term Loan(m)"/>
      <sheetName val="Raw Materials"/>
      <sheetName val="Power &amp; Fuel (S)"/>
      <sheetName val="Power &amp; Fuel(MBF)"/>
      <sheetName val="Power &amp; Fuel(E)"/>
      <sheetName val="Salary Wages (S)"/>
      <sheetName val="Salary &amp; Wages(M)"/>
      <sheetName val="Salary &amp; Wages(E)"/>
      <sheetName val="Salary &amp; Wages(P)"/>
      <sheetName val="Factory Overheads (S)"/>
      <sheetName val="Factory Overheads(M)"/>
      <sheetName val="Factory Overheads(E)"/>
      <sheetName val="Depreciation (S)"/>
      <sheetName val="Decmbf"/>
      <sheetName val="Depreciation(E)"/>
      <sheetName val="Depreciation(M)"/>
      <sheetName val="Depreciation(CPP)"/>
      <sheetName val="Sensitivity"/>
      <sheetName val="CAS Balance Sheet"/>
      <sheetName val="CA &amp; CL"/>
      <sheetName val="MPBF"/>
      <sheetName val="CAS Fund Flow"/>
      <sheetName val="Parameters"/>
      <sheetName val="Rec'd Statements"/>
      <sheetName val="Power _ Fuel_SMS_"/>
      <sheetName val="Power _ Fuel_E_"/>
      <sheetName val="synthgraph"/>
      <sheetName val="Power &amp; Fuel(new)"/>
      <sheetName val="KISSAN"/>
      <sheetName val="1999-00"/>
      <sheetName val="Uniuon_Bank"/>
      <sheetName val="Allocation_Of_Funds"/>
      <sheetName val="Table_Of_Contents"/>
      <sheetName val="Capacity_"/>
      <sheetName val="Inter_Transfer"/>
      <sheetName val="Base_(E)"/>
      <sheetName val="COP_CPP"/>
      <sheetName val="Basic_Assumption"/>
      <sheetName val="Cost_&amp;_Means"/>
      <sheetName val="Land_&amp;_Site_Development"/>
      <sheetName val="Civil_Const_"/>
      <sheetName val="Plant_&amp;_Machinery"/>
      <sheetName val="Summary_of_Plant_&amp;_Machinery"/>
      <sheetName val="Preliminary_&amp;_preoperative"/>
      <sheetName val="Working_Capital"/>
      <sheetName val="Term_Loan"/>
      <sheetName val="Term_Loan_(CPP)"/>
      <sheetName val="Term_Loan(EAF)"/>
      <sheetName val="Term_Loan(S)"/>
      <sheetName val="Term_Loan(m)"/>
      <sheetName val="Raw_Materials"/>
      <sheetName val="Power_&amp;_Fuel_(S)"/>
      <sheetName val="Power_&amp;_Fuel(SMS)"/>
      <sheetName val="Power_&amp;_Fuel(MBF)"/>
      <sheetName val="Power_&amp;_Fuel(E)"/>
      <sheetName val="Salary_Wages_(S)"/>
      <sheetName val="Salary_&amp;_Wages(M)"/>
      <sheetName val="Salary_&amp;_Wages(E)"/>
      <sheetName val="Salary_&amp;_Wages(P)"/>
      <sheetName val="Factory_Overheads_(S)"/>
      <sheetName val="Factory_Overheads(M)"/>
      <sheetName val="Factory_Overheads(E)"/>
      <sheetName val="Depreciation_(S)"/>
      <sheetName val="CAS_Balance_Sheet"/>
      <sheetName val="CA_&amp;_CL"/>
      <sheetName val="CAS_Fund_Flow"/>
      <sheetName val="Rec'd_Statements"/>
      <sheetName val="Power___Fuel_SMS_"/>
      <sheetName val="Power___Fuel_E_"/>
      <sheetName val="Power_&amp;_Fuel(new)"/>
      <sheetName val="Uniuon_Bank1"/>
      <sheetName val="Allocation_Of_Funds1"/>
      <sheetName val="Table_Of_Contents1"/>
      <sheetName val="Capacity_1"/>
      <sheetName val="Inter_Transfer1"/>
      <sheetName val="Base_(E)1"/>
      <sheetName val="COP_CPP1"/>
      <sheetName val="Basic_Assumption1"/>
      <sheetName val="Cost_&amp;_Means1"/>
      <sheetName val="Land_&amp;_Site_Development1"/>
      <sheetName val="Civil_Const_1"/>
      <sheetName val="Plant_&amp;_Machinery1"/>
      <sheetName val="Summary_of_Plant_&amp;_Machinery1"/>
      <sheetName val="Preliminary_&amp;_preoperative1"/>
      <sheetName val="Working_Capital1"/>
      <sheetName val="Term_Loan1"/>
      <sheetName val="Term_Loan_(CPP)1"/>
      <sheetName val="Term_Loan(EAF)1"/>
      <sheetName val="Term_Loan(S)1"/>
      <sheetName val="Term_Loan(m)1"/>
      <sheetName val="Raw_Materials1"/>
      <sheetName val="Power_&amp;_Fuel_(S)1"/>
      <sheetName val="Power_&amp;_Fuel(SMS)1"/>
      <sheetName val="Power_&amp;_Fuel(MBF)1"/>
      <sheetName val="Power_&amp;_Fuel(E)1"/>
      <sheetName val="Salary_Wages_(S)1"/>
      <sheetName val="Salary_&amp;_Wages(M)1"/>
      <sheetName val="Salary_&amp;_Wages(E)1"/>
      <sheetName val="Salary_&amp;_Wages(P)1"/>
      <sheetName val="Factory_Overheads_(S)1"/>
      <sheetName val="Factory_Overheads(M)1"/>
      <sheetName val="Factory_Overheads(E)1"/>
      <sheetName val="Depreciation_(S)1"/>
      <sheetName val="CAS_Balance_Sheet1"/>
      <sheetName val="CA_&amp;_CL1"/>
      <sheetName val="CAS_Fund_Flow1"/>
      <sheetName val="Rec'd_Statements1"/>
      <sheetName val="Power___Fuel_SMS_1"/>
      <sheetName val="Power___Fuel_E_1"/>
      <sheetName val="Power_&amp;_Fuel(new)1"/>
      <sheetName val="Office"/>
      <sheetName val="Data"/>
      <sheetName val="BS-WORK"/>
      <sheetName val="Account Value"/>
    </sheetNames>
    <sheetDataSet>
      <sheetData sheetId="0" refreshError="1"/>
      <sheetData sheetId="1" refreshError="1"/>
      <sheetData sheetId="2" refreshError="1"/>
      <sheetData sheetId="3" refreshError="1"/>
      <sheetData sheetId="4"/>
      <sheetData sheetId="5"/>
      <sheetData sheetId="6"/>
      <sheetData sheetId="7" refreshError="1"/>
      <sheetData sheetId="8"/>
      <sheetData sheetId="9"/>
      <sheetData sheetId="10"/>
      <sheetData sheetId="1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sheetData sheetId="34"/>
      <sheetData sheetId="35"/>
      <sheetData sheetId="36"/>
      <sheetData sheetId="37"/>
      <sheetData sheetId="38"/>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 Prices"/>
      <sheetName val="Treasury Cashflow"/>
      <sheetName val="Reference"/>
      <sheetName val="Assumptions and Inputs"/>
      <sheetName val="Revenue Detail"/>
      <sheetName val="GEN Inputs"/>
      <sheetName val="GraphMain"/>
      <sheetName val="5 Indirect"/>
      <sheetName val="Cntmrs-Recruit"/>
      <sheetName val="Inputs"/>
      <sheetName val="Pricing"/>
      <sheetName val="KeyMultInputs"/>
      <sheetName val="WMCAP"/>
      <sheetName val="ROIC"/>
      <sheetName val="1. ROIC"/>
      <sheetName val="Mult-3yr"/>
      <sheetName val="RUL2"/>
      <sheetName val="E_CLECs"/>
      <sheetName val="Paging"/>
      <sheetName val="DWMC"/>
      <sheetName val="FAR"/>
      <sheetName val="Accounts"/>
      <sheetName val="I&amp;E-2003-MFC PEG"/>
      <sheetName val="Asset Detail"/>
      <sheetName val="2-"/>
      <sheetName val="Intangibles"/>
      <sheetName val="Assum (Ruud)"/>
      <sheetName val="WACC (Ruud)"/>
      <sheetName val="Tech-BetaLED"/>
      <sheetName val="Assum"/>
      <sheetName val="Ex_Rates"/>
      <sheetName val="WP_Hist ABC"/>
      <sheetName val="P&amp;L98YTD -Farinaceo"/>
      <sheetName val="P&amp;L99YTD - Farinaceo"/>
      <sheetName val="Orbismodel"/>
      <sheetName val="Control Panel"/>
      <sheetName val="Extraction_in_Percent_by_Enterp"/>
      <sheetName val="CCP"/>
      <sheetName val="Treasury_Cashflow"/>
      <sheetName val="GEN_Inputs"/>
      <sheetName val="5_Indirect"/>
      <sheetName val="1__ROIC"/>
      <sheetName val="I&amp;E-2003-MFC_PEG"/>
      <sheetName val="Asset_Detail"/>
      <sheetName val="Assum_(Ruud)"/>
      <sheetName val="WACC_(Ruud)"/>
      <sheetName val="WP_Hist_ABC"/>
      <sheetName val="P&amp;L98YTD_-Farinaceo"/>
      <sheetName val="P&amp;L99YTD_-_Farinaceo"/>
      <sheetName val="Control_Panel"/>
      <sheetName val="Assumptions_and_Inputs"/>
      <sheetName val="Revenue_Detail"/>
      <sheetName val="Fleet%"/>
      <sheetName val="Summary"/>
      <sheetName val="Validations"/>
      <sheetName val="Quarterly Treasury Cashflow Dec"/>
      <sheetName val="IncidentsEAP"/>
      <sheetName val="Assumptions"/>
      <sheetName val="Agreement Summaries"/>
      <sheetName val="Cover"/>
      <sheetName val="FAB별"/>
      <sheetName val="Sheet1"/>
      <sheetName val="Follow-Up"/>
      <sheetName val="Office Submissions"/>
      <sheetName val="New_Dealer P&amp;L"/>
      <sheetName val="mappings"/>
      <sheetName val="Lookup"/>
      <sheetName val="YOEMAGUM"/>
      <sheetName val="Winn Dixie Stores Inc"/>
      <sheetName val="Hannaford Brothers"/>
      <sheetName val="Ingels Markets"/>
      <sheetName val="Marsh Supermarkets"/>
      <sheetName val="Ruddick Corp"/>
      <sheetName val="Weis Markets "/>
      <sheetName val="Whole Foods Markets Inc"/>
      <sheetName val="Shaws Supermarkets"/>
      <sheetName val="Mult-LTM"/>
      <sheetName val="Mult-LTM (adj)"/>
      <sheetName val="Mult-3yr (adj)"/>
      <sheetName val="General Dialog"/>
      <sheetName val="Comps Dialog"/>
      <sheetName val="Mar&amp;GrowthAnaly"/>
      <sheetName val="Size_Growth_Adj"/>
      <sheetName val="Proj. Financials"/>
      <sheetName val="Ratio Analy"/>
      <sheetName val="Common_BS"/>
      <sheetName val="Common_IS"/>
      <sheetName val="FSEdit Dialog"/>
      <sheetName val="Mult Dialog"/>
      <sheetName val="Exb&amp;WP Dialog"/>
      <sheetName val="Comp_Mult"/>
      <sheetName val="Std Fin Template"/>
      <sheetName val="Comp_Desc"/>
      <sheetName val="key_inputs"/>
      <sheetName val="FCall Header"/>
      <sheetName val="POPLAN"/>
      <sheetName val="tb1 BALANCE SHEET"/>
      <sheetName val="Monthly Summary by Acct"/>
      <sheetName val="Bldg Model"/>
      <sheetName val="CapEx"/>
      <sheetName val="Builder"/>
      <sheetName val="EC Total"/>
      <sheetName val="Projected Gross Demand"/>
      <sheetName val="CREDITS"/>
      <sheetName val="SPECIAL_ITEM_ADJ"/>
      <sheetName val="Budget Fall"/>
      <sheetName val="Guideline Fall"/>
      <sheetName val="Lists &amp; Checks"/>
      <sheetName val="Assumpt."/>
      <sheetName val="Fifo"/>
      <sheetName val="Inventario Europort"/>
      <sheetName val="ALFMULT"/>
      <sheetName val="EMEA"/>
      <sheetName val="Treasury_Cashflow1"/>
      <sheetName val="Share_Prices"/>
      <sheetName val="GEN_Inputs1"/>
      <sheetName val="5_Indirect1"/>
      <sheetName val="I&amp;E-2003-MFC_PEG1"/>
      <sheetName val="Asset_Detail1"/>
      <sheetName val="1__ROIC1"/>
      <sheetName val="Assum_(Ruud)1"/>
      <sheetName val="WACC_(Ruud)1"/>
      <sheetName val="WP_Hist_ABC1"/>
      <sheetName val="P&amp;L98YTD_-Farinaceo1"/>
      <sheetName val="P&amp;L99YTD_-_Farinaceo1"/>
      <sheetName val="Control_Panel1"/>
      <sheetName val="Assumptions_and_Inputs1"/>
      <sheetName val="Revenue_Detail1"/>
      <sheetName val="Debt Indices"/>
      <sheetName val="Lists"/>
      <sheetName val="Quarterly_Treasury_Cashflow_Dec"/>
      <sheetName val="Agreement_Summaries"/>
      <sheetName val="New_Dealer_P&amp;L"/>
      <sheetName val="FCall_Header"/>
      <sheetName val="Winn_Dixie_Stores_Inc"/>
      <sheetName val="Hannaford_Brothers"/>
      <sheetName val="Ingels_Markets"/>
      <sheetName val="Marsh_Supermarkets"/>
      <sheetName val="Ruddick_Corp"/>
      <sheetName val="Weis_Markets_"/>
      <sheetName val="Whole_Foods_Markets_Inc"/>
      <sheetName val="Shaws_Supermarkets"/>
      <sheetName val="Mult-LTM_(adj)"/>
      <sheetName val="Mult-3yr_(adj)"/>
      <sheetName val="General_Dialog"/>
      <sheetName val="Comps_Dialog"/>
      <sheetName val="Proj__Financials"/>
      <sheetName val="Ratio_Analy"/>
      <sheetName val="FSEdit_Dialog"/>
      <sheetName val="Mult_Dialog"/>
      <sheetName val="Exb&amp;WP_Dialog"/>
      <sheetName val="Std_Fin_Template"/>
      <sheetName val="Bldg_Model"/>
      <sheetName val="tb1_BALANCE_SHEET"/>
      <sheetName val="Monthly_Summary_by_Acct"/>
      <sheetName val="EC_Total"/>
      <sheetName val="Projected_Gross_Demand"/>
      <sheetName val="Budget_Fall"/>
      <sheetName val="Guideline_Fall"/>
      <sheetName val="Lists_&amp;_Checks"/>
      <sheetName val="Inventario_Europort"/>
      <sheetName val="Assumpt_"/>
      <sheetName val="Calculo valoracion"/>
      <sheetName val="유통망계획"/>
      <sheetName val="?????"/>
      <sheetName val="RATE"/>
      <sheetName val="Power &amp; Fuel(SMS)"/>
      <sheetName val="00-020 General"/>
      <sheetName val="Drop Down Menus"/>
      <sheetName val="composiz.moduli"/>
      <sheetName val="Global inputs"/>
      <sheetName val="ShareBasedCompOpEx x Grant"/>
      <sheetName val="sq ftg detail"/>
      <sheetName val="ePSM Header Data Page"/>
      <sheetName val="Cap 02"/>
      <sheetName val="IP1-Summary (all)"/>
      <sheetName val="FJ vs Plan"/>
      <sheetName val="FJ_vs_Plan"/>
      <sheetName val="Parameter"/>
      <sheetName val="Hierarchy"/>
      <sheetName val="Rates &amp; Schedules"/>
      <sheetName val="A1 - Income Statement"/>
      <sheetName val="T-313 Deferreds"/>
      <sheetName val="WCFF"/>
      <sheetName val="Config"/>
      <sheetName val="Control"/>
      <sheetName val="PSEUDO DATA"/>
      <sheetName val="01-040 Rental Real Estate 8825"/>
      <sheetName val="2001"/>
      <sheetName val="DB Termination LC"/>
      <sheetName val="DS_Industry_Specif"/>
      <sheetName val="DIV INC"/>
      <sheetName val="LTM"/>
      <sheetName val="DropZone"/>
      <sheetName val="1998"/>
      <sheetName val="Treasury_Cashflow2"/>
      <sheetName val="GEN_Inputs2"/>
      <sheetName val="Share_Prices1"/>
      <sheetName val="5_Indirect2"/>
      <sheetName val="I&amp;E-2003-MFC_PEG2"/>
      <sheetName val="Asset_Detail2"/>
      <sheetName val="1__ROIC2"/>
      <sheetName val="Assum_(Ruud)2"/>
      <sheetName val="WACC_(Ruud)2"/>
      <sheetName val="WP_Hist_ABC2"/>
      <sheetName val="P&amp;L98YTD_-Farinaceo2"/>
      <sheetName val="P&amp;L99YTD_-_Farinaceo2"/>
      <sheetName val="Control_Panel2"/>
      <sheetName val="Assumptions_and_Inputs2"/>
      <sheetName val="Revenue_Detail2"/>
      <sheetName val="Quarterly_Treasury_Cashflow_De1"/>
      <sheetName val="Agreement_Summaries1"/>
      <sheetName val="New_Dealer_P&amp;L1"/>
      <sheetName val="FCall_Header1"/>
      <sheetName val="Winn_Dixie_Stores_Inc1"/>
      <sheetName val="Hannaford_Brothers1"/>
      <sheetName val="Ingels_Markets1"/>
      <sheetName val="Marsh_Supermarkets1"/>
      <sheetName val="Ruddick_Corp1"/>
      <sheetName val="Weis_Markets_1"/>
      <sheetName val="Whole_Foods_Markets_Inc1"/>
      <sheetName val="Shaws_Supermarkets1"/>
      <sheetName val="Mult-LTM_(adj)1"/>
      <sheetName val="Mult-3yr_(adj)1"/>
      <sheetName val="General_Dialog1"/>
      <sheetName val="Comps_Dialog1"/>
      <sheetName val="Proj__Financials1"/>
      <sheetName val="Ratio_Analy1"/>
      <sheetName val="FSEdit_Dialog1"/>
      <sheetName val="Mult_Dialog1"/>
      <sheetName val="Exb&amp;WP_Dialog1"/>
      <sheetName val="Std_Fin_Template1"/>
      <sheetName val="Bldg_Model1"/>
      <sheetName val="tb1_BALANCE_SHEET1"/>
      <sheetName val="Monthly_Summary_by_Acct1"/>
      <sheetName val="EC_Total1"/>
      <sheetName val="Projected_Gross_Demand1"/>
      <sheetName val="Budget_Fall1"/>
      <sheetName val="Guideline_Fall1"/>
      <sheetName val="Lists_&amp;_Checks1"/>
      <sheetName val="Inventario_Europort1"/>
      <sheetName val="Assumpt_1"/>
      <sheetName val="Debt_Indices"/>
      <sheetName val="Office_Submissions"/>
      <sheetName val="Calculo_valoracion"/>
      <sheetName val="Power_&amp;_Fuel(SMS)"/>
      <sheetName val="00-020_General"/>
      <sheetName val="Drop_Down_Menus"/>
      <sheetName val="composiz_moduli"/>
      <sheetName val="Global_inputs"/>
      <sheetName val="ShareBasedCompOpEx_x_Grant"/>
      <sheetName val="sq_ftg_detail"/>
      <sheetName val="ePSM_Header_Data_Page"/>
      <sheetName val="Cap_02"/>
      <sheetName val="IP1-Summary_(all)"/>
      <sheetName val="FJ_vs_Plan1"/>
      <sheetName val="Rates_&amp;_Schedules"/>
      <sheetName val="A1_-_Income_Statement"/>
      <sheetName val="T-313_Deferreds"/>
      <sheetName val="PSEUDO_DATA"/>
      <sheetName val="01-040_Rental_Real_Estate_8825"/>
      <sheetName val="DB_Termination_LC"/>
      <sheetName val="DIV_INC"/>
      <sheetName val="Latv DS"/>
      <sheetName val="O1"/>
      <sheetName val="M1"/>
      <sheetName val="H1"/>
      <sheetName val="LUp"/>
      <sheetName val="Code1"/>
      <sheetName val="BEV"/>
      <sheetName val="Marlborough Annual Model"/>
      <sheetName val="DEPRECIATION SCHEDULE"/>
      <sheetName val="COSTOMAT.XLS"/>
      <sheetName val="BP GR Assumptions"/>
      <sheetName val="Cnsld"/>
      <sheetName val="Skyy A-23 and A-24"/>
      <sheetName val="Variables"/>
      <sheetName val="Rev Growth Rate"/>
      <sheetName val="PlumtrFore"/>
      <sheetName val="Forecasts_VDF"/>
      <sheetName val="MAIN"/>
      <sheetName val="Loan Amortization Schedule"/>
      <sheetName val="Sheet2"/>
      <sheetName val="FOB Lookup"/>
      <sheetName val="New Customer Schedule"/>
      <sheetName val="Scrap Paper"/>
      <sheetName val="royalties"/>
      <sheetName val="GST"/>
      <sheetName val="Assump Input"/>
      <sheetName val="Customer List"/>
      <sheetName val="Forecast"/>
      <sheetName val="Ukupni prihod"/>
      <sheetName val="DATATABLES"/>
      <sheetName val="INFO"/>
      <sheetName val="Index"/>
      <sheetName val="Sales Seasonality by Month"/>
      <sheetName val="CONTROLS"/>
      <sheetName val="Finalized Data 2.27.2015"/>
      <sheetName val="Entity by Tranche -MPL"/>
      <sheetName val="By tranche Inputs (KPMG)"/>
      <sheetName val="Leasing Costs rollfwd"/>
      <sheetName val="BS"/>
      <sheetName val="pivot inc state"/>
      <sheetName val="Blade &amp; Tower cost"/>
      <sheetName val="flow"/>
      <sheetName val="forecast quick"/>
      <sheetName val="Flags"/>
      <sheetName val="MOTOR2"/>
      <sheetName val="MOTOR1"/>
      <sheetName val="기본정보"/>
      <sheetName val="현장"/>
      <sheetName val="감가상각"/>
      <sheetName val="Severity"/>
      <sheetName val="Checks &amp; Lists (PPl)"/>
      <sheetName val="Checks &amp; Lists"/>
      <sheetName val="Treasury_Cashflow3"/>
      <sheetName val="GEN_Inputs3"/>
      <sheetName val="Share_Prices2"/>
      <sheetName val="5_Indirect3"/>
      <sheetName val="I&amp;E-2003-MFC_PEG3"/>
      <sheetName val="Asset_Detail3"/>
      <sheetName val="1__ROIC3"/>
      <sheetName val="Assum_(Ruud)3"/>
      <sheetName val="WACC_(Ruud)3"/>
      <sheetName val="WP_Hist_ABC3"/>
      <sheetName val="P&amp;L98YTD_-Farinaceo3"/>
      <sheetName val="P&amp;L99YTD_-_Farinaceo3"/>
      <sheetName val="Control_Panel3"/>
      <sheetName val="Assumptions_and_Inputs3"/>
      <sheetName val="Revenue_Detail3"/>
      <sheetName val="Quarterly_Treasury_Cashflow_De2"/>
      <sheetName val="Agreement_Summaries2"/>
      <sheetName val="New_Dealer_P&amp;L2"/>
      <sheetName val="FCall_Header2"/>
      <sheetName val="Winn_Dixie_Stores_Inc2"/>
      <sheetName val="Hannaford_Brothers2"/>
      <sheetName val="Ingels_Markets2"/>
      <sheetName val="Marsh_Supermarkets2"/>
      <sheetName val="Ruddick_Corp2"/>
      <sheetName val="Weis_Markets_2"/>
      <sheetName val="Whole_Foods_Markets_Inc2"/>
      <sheetName val="Shaws_Supermarkets2"/>
      <sheetName val="Mult-LTM_(adj)2"/>
      <sheetName val="Mult-3yr_(adj)2"/>
      <sheetName val="General_Dialog2"/>
      <sheetName val="Comps_Dialog2"/>
      <sheetName val="Proj__Financials2"/>
      <sheetName val="Ratio_Analy2"/>
      <sheetName val="FSEdit_Dialog2"/>
      <sheetName val="Mult_Dialog2"/>
      <sheetName val="Exb&amp;WP_Dialog2"/>
      <sheetName val="Std_Fin_Template2"/>
      <sheetName val="Bldg_Model2"/>
      <sheetName val="tb1_BALANCE_SHEET2"/>
      <sheetName val="Monthly_Summary_by_Acct2"/>
      <sheetName val="EC_Total2"/>
      <sheetName val="Projected_Gross_Demand2"/>
      <sheetName val="Budget_Fall2"/>
      <sheetName val="Guideline_Fall2"/>
      <sheetName val="Lists_&amp;_Checks2"/>
      <sheetName val="Inventario_Europort2"/>
      <sheetName val="Assumpt_2"/>
      <sheetName val="Debt_Indices1"/>
      <sheetName val="Office_Submissions1"/>
      <sheetName val="Calculo_valoracion1"/>
      <sheetName val="00-020_General1"/>
      <sheetName val="composiz_moduli1"/>
      <sheetName val="Global_inputs1"/>
      <sheetName val="ShareBasedCompOpEx_x_Grant1"/>
      <sheetName val="sq_ftg_detail1"/>
      <sheetName val="ePSM_Header_Data_Page1"/>
      <sheetName val="Cap_021"/>
      <sheetName val="IP1-Summary_(all)1"/>
      <sheetName val="Drop_Down_Menus1"/>
      <sheetName val="Rates_&amp;_Schedules1"/>
      <sheetName val="A1_-_Income_Statement1"/>
      <sheetName val="T-313_Deferreds1"/>
      <sheetName val="FJ_vs_Plan2"/>
      <sheetName val="Power_&amp;_Fuel(SMS)1"/>
      <sheetName val="DB_Termination_LC1"/>
      <sheetName val="PSEUDO_DATA1"/>
      <sheetName val="01-040_Rental_Real_Estate_88251"/>
      <sheetName val="DIV_INC1"/>
      <sheetName val="Latv_DS"/>
      <sheetName val="Marlborough_Annual_Model"/>
      <sheetName val="DEPRECIATION_SCHEDULE"/>
      <sheetName val="COSTOMAT_XLS"/>
      <sheetName val="BP_GR_Assumptions"/>
      <sheetName val="FOB_Lookup"/>
      <sheetName val="Loan_Amortization_Schedule"/>
      <sheetName val="Skyy_A-23_and_A-24"/>
      <sheetName val="Rev_Growth_Rate"/>
      <sheetName val="Assump_Input"/>
      <sheetName val="Customer_List"/>
      <sheetName val="New_Customer_Schedule"/>
      <sheetName val="Scrap_Paper"/>
      <sheetName val="Ukupni_prihod"/>
      <sheetName val="Sales_Seasonality_by_Month"/>
      <sheetName val="IR1598"/>
      <sheetName val="#¡REF"/>
      <sheetName val="Infra, CS, and CIOPMO"/>
      <sheetName val="综合"/>
      <sheetName val="3-1-1现金"/>
      <sheetName val="Cost Approach"/>
      <sheetName val="PARAM"/>
      <sheetName val="#REF"/>
      <sheetName val="CREDIT STATS"/>
      <sheetName val="AE_Kommentar"/>
      <sheetName val="E_Umsatzentwicklung"/>
      <sheetName val="Treasury_Cashflow4"/>
      <sheetName val="GEN_Inputs4"/>
      <sheetName val="Share_Prices3"/>
      <sheetName val="5_Indirect4"/>
      <sheetName val="I&amp;E-2003-MFC_PEG4"/>
      <sheetName val="Asset_Detail4"/>
      <sheetName val="1__ROIC4"/>
      <sheetName val="Assum_(Ruud)4"/>
      <sheetName val="WACC_(Ruud)4"/>
      <sheetName val="WP_Hist_ABC4"/>
      <sheetName val="P&amp;L98YTD_-Farinaceo4"/>
      <sheetName val="P&amp;L99YTD_-_Farinaceo4"/>
      <sheetName val="Control_Panel4"/>
      <sheetName val="Assumptions_and_Inputs4"/>
      <sheetName val="Revenue_Detail4"/>
      <sheetName val="Quarterly_Treasury_Cashflow_De3"/>
      <sheetName val="Agreement_Summaries3"/>
      <sheetName val="New_Dealer_P&amp;L3"/>
      <sheetName val="FCall_Header3"/>
      <sheetName val="Winn_Dixie_Stores_Inc3"/>
      <sheetName val="Hannaford_Brothers3"/>
      <sheetName val="Ingels_Markets3"/>
      <sheetName val="Marsh_Supermarkets3"/>
      <sheetName val="Ruddick_Corp3"/>
      <sheetName val="Weis_Markets_3"/>
      <sheetName val="Whole_Foods_Markets_Inc3"/>
      <sheetName val="Shaws_Supermarkets3"/>
      <sheetName val="Mult-LTM_(adj)3"/>
      <sheetName val="Mult-3yr_(adj)3"/>
      <sheetName val="General_Dialog3"/>
      <sheetName val="Comps_Dialog3"/>
      <sheetName val="Proj__Financials3"/>
      <sheetName val="Ratio_Analy3"/>
      <sheetName val="FSEdit_Dialog3"/>
      <sheetName val="Mult_Dialog3"/>
      <sheetName val="Exb&amp;WP_Dialog3"/>
      <sheetName val="Std_Fin_Template3"/>
      <sheetName val="Bldg_Model3"/>
      <sheetName val="tb1_BALANCE_SHEET3"/>
      <sheetName val="Monthly_Summary_by_Acct3"/>
      <sheetName val="EC_Total3"/>
      <sheetName val="Projected_Gross_Demand3"/>
      <sheetName val="Budget_Fall3"/>
      <sheetName val="Guideline_Fall3"/>
      <sheetName val="Lists_&amp;_Checks3"/>
      <sheetName val="Inventario_Europort3"/>
      <sheetName val="Assumpt_3"/>
      <sheetName val="Debt_Indices2"/>
      <sheetName val="Office_Submissions2"/>
      <sheetName val="Calculo_valoracion2"/>
      <sheetName val="00-020_General2"/>
      <sheetName val="Drop_Down_Menus2"/>
      <sheetName val="Global_inputs2"/>
      <sheetName val="ShareBasedCompOpEx_x_Grant2"/>
      <sheetName val="composiz_moduli2"/>
      <sheetName val="sq_ftg_detail2"/>
      <sheetName val="ePSM_Header_Data_Page2"/>
      <sheetName val="Cap_022"/>
      <sheetName val="IP1-Summary_(all)2"/>
      <sheetName val="Rates_&amp;_Schedules2"/>
      <sheetName val="A1_-_Income_Statement2"/>
      <sheetName val="T-313_Deferreds2"/>
      <sheetName val="FJ_vs_Plan3"/>
      <sheetName val="Power_&amp;_Fuel(SMS)2"/>
      <sheetName val="PSEUDO_DATA2"/>
      <sheetName val="01-040_Rental_Real_Estate_88252"/>
      <sheetName val="DB_Termination_LC2"/>
      <sheetName val="DIV_INC2"/>
      <sheetName val="Latv_DS1"/>
      <sheetName val="Marlborough_Annual_Model1"/>
      <sheetName val="DEPRECIATION_SCHEDULE1"/>
      <sheetName val="COSTOMAT_XLS1"/>
      <sheetName val="BP_GR_Assumptions1"/>
      <sheetName val="Skyy_A-23_and_A-241"/>
      <sheetName val="Rev_Growth_Rate1"/>
      <sheetName val="Loan_Amortization_Schedule1"/>
      <sheetName val="FOB_Lookup1"/>
      <sheetName val="New_Customer_Schedule1"/>
      <sheetName val="Scrap_Paper1"/>
      <sheetName val="Assump_Input1"/>
      <sheetName val="Ukupni_prihod1"/>
      <sheetName val="Customer_List1"/>
      <sheetName val="VZB (flegacy)"/>
      <sheetName val="East Non-Reg sum"/>
      <sheetName val="P05"/>
      <sheetName val="VZB (nSAP) sum"/>
      <sheetName val="East Non Reg TDS"/>
      <sheetName val="Other"/>
      <sheetName val="_____"/>
      <sheetName val="Munka3"/>
      <sheetName val="InvFin"/>
      <sheetName val="CashFlowAnalysis"/>
      <sheetName val="C0001 State"/>
      <sheetName val="C0008 State"/>
      <sheetName val="AssetsHierarchy"/>
      <sheetName val="DCF"/>
      <sheetName val="NAVREC"/>
      <sheetName val="GSF"/>
      <sheetName val="Comparable Business Description"/>
      <sheetName val="Regularpricing"/>
      <sheetName val="Master Matrix 2000"/>
      <sheetName val="DATA"/>
      <sheetName val="football_field"/>
      <sheetName val="3월상세"/>
      <sheetName val="FLORIDAADDITIONS"/>
      <sheetName val="Total Budget"/>
      <sheetName val="2-asi-00"/>
      <sheetName val="EquityTemplate"/>
      <sheetName val="EurotoolsXRates"/>
      <sheetName val="SQL_Data"/>
      <sheetName val="graph"/>
      <sheetName val="DCF "/>
      <sheetName val="Revenue-Revised"/>
      <sheetName val="CBM-proj"/>
      <sheetName val="lbo-sum"/>
      <sheetName val="M3 - BS"/>
      <sheetName val="M3 - PL"/>
      <sheetName val="D-M"/>
      <sheetName val="D-Q"/>
      <sheetName val="D-Q-PES"/>
      <sheetName val="D-Y-PES"/>
      <sheetName val="D-Y"/>
      <sheetName val="D-M-AGI"/>
      <sheetName val="D-Y-AGI"/>
      <sheetName val="D-Q-AGI"/>
      <sheetName val="D-M-PES"/>
      <sheetName val="Finance Group"/>
      <sheetName val="Low Tax Country Earnings"/>
      <sheetName val="Major Country Earnings"/>
      <sheetName val="Mid-Size Country Earnings"/>
      <sheetName val="Remaining Entities"/>
      <sheetName val="INPUT"/>
      <sheetName val="states"/>
      <sheetName val="Detail "/>
      <sheetName val="Ass"/>
      <sheetName val="Mechanics"/>
      <sheetName val="Opacr971"/>
      <sheetName val="GTR"/>
      <sheetName val="FOF Code-Reconciliation"/>
      <sheetName val="2012 IP List-Reconciliation"/>
      <sheetName val="Menu"/>
      <sheetName val="Hoja2"/>
      <sheetName val="Shareholder"/>
      <sheetName val="lbo"/>
      <sheetName val="LTUS"/>
      <sheetName val="Sheet Details"/>
      <sheetName val="Fund of Fund"/>
      <sheetName val="IS History"/>
      <sheetName val="Foreclosure"/>
      <sheetName val="Bs_dft"/>
      <sheetName val="P&amp;l_dft"/>
      <sheetName val="Sch_dft"/>
      <sheetName val="Detail"/>
      <sheetName val="Pd 10 '04"/>
      <sheetName val="Pd 9 '04"/>
      <sheetName val="Rpt_Info"/>
      <sheetName val="Dep"/>
      <sheetName val="T_C__2_"/>
      <sheetName val="Consol view"/>
      <sheetName val="EPS Growth"/>
      <sheetName val="TTA"/>
      <sheetName val="SBU Summaries"/>
      <sheetName val="Checks_&amp;_Lists_(PPl)"/>
      <sheetName val="Checks_&amp;_Lists"/>
      <sheetName val="Checks_&amp;_Lists_(PPl)1"/>
      <sheetName val="Checks_&amp;_Lists1"/>
      <sheetName val="PopCache"/>
      <sheetName val="BS(4)"/>
      <sheetName val="5 Yr. Disc."/>
      <sheetName val="1996"/>
      <sheetName val="TemplateReports"/>
      <sheetName val="grp "/>
      <sheetName val="A4.1 1-9"/>
      <sheetName val="Templates"/>
      <sheetName val="NA DSO"/>
      <sheetName val="Intel Corporation - Annualized"/>
      <sheetName val="Analysis of Investments at Cost"/>
      <sheetName val="매출"/>
      <sheetName val="US Headcount"/>
      <sheetName val="fa"/>
      <sheetName val="consol cash flow"/>
      <sheetName val="KISSAN"/>
      <sheetName val="Output"/>
      <sheetName val="Film-by-Film Admissions"/>
      <sheetName val="Occ"/>
      <sheetName val="Demand"/>
      <sheetName val="TaxRates"/>
      <sheetName val=" BS A-9"/>
      <sheetName val="Summary A"/>
      <sheetName val="9.Formula"/>
      <sheetName val="9.Data"/>
      <sheetName val="1.Notes"/>
      <sheetName val="Comp equip"/>
      <sheetName val="Texts"/>
      <sheetName val="Validation"/>
      <sheetName val="7月资产明细"/>
      <sheetName val="Data Retrieval (paste data)"/>
      <sheetName val="Lookup Table"/>
      <sheetName val="资产评估结果分类汇总表 (2)"/>
      <sheetName val="Mult-LTM-1"/>
      <sheetName val="BoM"/>
      <sheetName val="pswzParams"/>
      <sheetName val="Frame Data"/>
      <sheetName val="Part_Datum"/>
      <sheetName val="Total Fixed Cost (Detailed)"/>
      <sheetName val="Non-operating Items (Detailed)"/>
      <sheetName val="Sum Entry Overall Breakdown"/>
      <sheetName val="Sum Entry Overall"/>
      <sheetName val="Variable Costs by Cost Ctr"/>
      <sheetName val="Sample Rev"/>
      <sheetName val="Sample IS"/>
      <sheetName val="Probability View"/>
      <sheetName val="FY04ExpDetail"/>
      <sheetName val="Input Page"/>
      <sheetName val="08GPB_RU"/>
      <sheetName val="IF13"/>
      <sheetName val="File_Name_Check"/>
      <sheetName val="Def.Tax."/>
      <sheetName val="OEM-Product Data"/>
      <sheetName val="Lead"/>
      <sheetName val="START"/>
      <sheetName val="SUBJECTCO"/>
      <sheetName val="PRINT FROM HERE&gt;&gt;&gt;"/>
      <sheetName val="ｺﾝY条件BD"/>
      <sheetName val="Anleitung"/>
      <sheetName val="wp_HGB"/>
      <sheetName val="wp_IAS"/>
      <sheetName val="F-6-1"/>
      <sheetName val="F-15_IAS"/>
      <sheetName val="F-15_1_IAS"/>
      <sheetName val="F-15_2_IAS"/>
      <sheetName val="F-15_3_IAS"/>
      <sheetName val="FF-51_IAS"/>
      <sheetName val="L-40_IAS"/>
      <sheetName val="L-41_IAS"/>
      <sheetName val="F-32-1_IAS"/>
      <sheetName val="F-32-4_IAS"/>
      <sheetName val="F-121"/>
      <sheetName val="J-4"/>
      <sheetName val="J-5"/>
      <sheetName val="A-15"/>
      <sheetName val="F-12_IAS"/>
      <sheetName val="A-16"/>
      <sheetName val="B-10"/>
      <sheetName val="B-20"/>
      <sheetName val="B-21"/>
      <sheetName val="B-22"/>
      <sheetName val="L-10-1-1"/>
      <sheetName val="L-10-1-2"/>
      <sheetName val="L-10-2"/>
      <sheetName val="L-11"/>
      <sheetName val="L-11-1-1"/>
      <sheetName val="L-11-1-2"/>
      <sheetName val="L-11-1-3"/>
      <sheetName val="L-11-1-4"/>
      <sheetName val="L-11-2-1"/>
      <sheetName val="L-11-2-2"/>
      <sheetName val="L-11-2-3"/>
      <sheetName val="L-11-2-4"/>
      <sheetName val="L-13"/>
      <sheetName val="L-20"/>
      <sheetName val="L-30"/>
      <sheetName val="M-10"/>
      <sheetName val="M-11"/>
      <sheetName val="M-28"/>
      <sheetName val="M-29"/>
      <sheetName val="M-31-1"/>
      <sheetName val="N-10"/>
      <sheetName val="N-30"/>
      <sheetName val="N-50"/>
      <sheetName val="N-110_IAS"/>
      <sheetName val="U-5"/>
      <sheetName val="U-80_IAS"/>
      <sheetName val="U-81_IAS"/>
      <sheetName val="U-82_IAS"/>
      <sheetName val="BB-10"/>
      <sheetName val="BB-22"/>
      <sheetName val="CC-5_1_IAS"/>
      <sheetName val="CC-5"/>
      <sheetName val="DD-10"/>
      <sheetName val="DD-10-1"/>
      <sheetName val="DD-10-2"/>
      <sheetName val="DD-30_IAS"/>
      <sheetName val="FF-50_IAS"/>
      <sheetName val="SS-10"/>
      <sheetName val="SS-10_IAS"/>
      <sheetName val="10"/>
      <sheetName val="40"/>
      <sheetName val="40-1"/>
      <sheetName val="50"/>
      <sheetName val="80"/>
      <sheetName val="90"/>
      <sheetName val="90-1_IAS"/>
      <sheetName val="100"/>
      <sheetName val="100-1"/>
      <sheetName val="110"/>
      <sheetName val="130"/>
      <sheetName val="Eingabe_IAS"/>
      <sheetName val="O"/>
      <sheetName val="Konsern1q99"/>
      <sheetName val="2060"/>
      <sheetName val="2080"/>
      <sheetName val="3010"/>
      <sheetName val="3200"/>
      <sheetName val="2130"/>
      <sheetName val="2161"/>
      <sheetName val="2190"/>
      <sheetName val="3150"/>
      <sheetName val="3120"/>
      <sheetName val="2110"/>
      <sheetName val="2120"/>
      <sheetName val="3130"/>
      <sheetName val="2220"/>
      <sheetName val="2160"/>
      <sheetName val="3050"/>
      <sheetName val="2180"/>
      <sheetName val="1999 Plan Summary"/>
      <sheetName val="obrazac"/>
      <sheetName val="PROFORMA"/>
      <sheetName val="Domestic Model"/>
      <sheetName val="inventories"/>
      <sheetName val="PROGRAM"/>
      <sheetName val="CASHFLOW"/>
      <sheetName val="Sales"/>
      <sheetName val="Sources_Uses"/>
      <sheetName val="Returns_Calcul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 Prices"/>
      <sheetName val="Description"/>
      <sheetName val="Multiples"/>
      <sheetName val="Operating Results"/>
      <sheetName val="Margins"/>
      <sheetName val="Market Cap"/>
      <sheetName val="Betas"/>
      <sheetName val="Prices"/>
      <sheetName val="CoTrans"/>
      <sheetName val="PCPI"/>
      <sheetName val="LT prices"/>
      <sheetName val="Operating_Results"/>
      <sheetName val="Market_Cap"/>
      <sheetName val="Share_Prices"/>
      <sheetName val="LT_prices"/>
      <sheetName val="Operating_Results1"/>
      <sheetName val="Market_Cap1"/>
      <sheetName val="Share_Prices1"/>
      <sheetName val="LT_prices1"/>
      <sheetName val="BB Fundamentals"/>
      <sheetName val="SALES"/>
      <sheetName val="India"/>
      <sheetName val="SG+JP"/>
      <sheetName val="SH+HK"/>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row r="3">
          <cell r="I3">
            <v>36893</v>
          </cell>
        </row>
      </sheetData>
      <sheetData sheetId="18"/>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PACC CHECKS"/>
      <sheetName val="Sheet2"/>
      <sheetName val="SUMMARY"/>
      <sheetName val="Investment Summary"/>
      <sheetName val="Waterfall - Summary"/>
      <sheetName val="6.12.13 DIST tracker"/>
      <sheetName val="Nvidia1"/>
      <sheetName val="Waterfall - Nvidia NEW (2)"/>
      <sheetName val="OSI"/>
      <sheetName val="OYO"/>
      <sheetName val="Improbable"/>
      <sheetName val="PingAn"/>
      <sheetName val="Flipkart"/>
      <sheetName val="Waterfall - PAYTM"/>
      <sheetName val="Waterfall - Asgard"/>
      <sheetName val="6.12.12"/>
      <sheetName val="WeWork"/>
      <sheetName val="FVA"/>
      <sheetName val="Capital Activity"/>
      <sheetName val="For Aztec"/>
      <sheetName val="Valuations"/>
      <sheetName val="Loan Facility"/>
      <sheetName val="Contributions - Feb 18"/>
      <sheetName val="Workings"/>
      <sheetName val="Drawdowns"/>
      <sheetName val="Fund &amp; AIV M1_DIST3 (PEC)"/>
      <sheetName val="PIF Workings"/>
      <sheetName val="NVIDIA-contributions"/>
      <sheetName val="ROC"/>
      <sheetName val="BS_INP"/>
      <sheetName val="SVF - mgmt fee - 30 Sep 2017"/>
      <sheetName val="SVF - coupon -30 Sep 2017"/>
      <sheetName val="AIV - coupon - 30 Sep 2017"/>
      <sheetName val="Performance fee (Nvidia) - G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 &amp; Fuel (S)"/>
      <sheetName val="Uniuon Bank"/>
      <sheetName val="Allocation Of Funds"/>
      <sheetName val="Table Of Contents"/>
      <sheetName val="Capacity "/>
      <sheetName val="Inter Transfer"/>
      <sheetName val="base"/>
      <sheetName val="Base (2)"/>
      <sheetName val="Basic Assumption"/>
      <sheetName val="COP"/>
      <sheetName val="Breakup PC"/>
      <sheetName val="Cost &amp; Means"/>
      <sheetName val="Land &amp; Site Development"/>
      <sheetName val="Civil Const."/>
      <sheetName val="Plant &amp; Machinery"/>
      <sheetName val="Summary of Plant &amp; Machinery"/>
      <sheetName val="Miscellaneous"/>
      <sheetName val="Contingencies"/>
      <sheetName val="Preliminary &amp; preoperative"/>
      <sheetName val="Working Capital"/>
      <sheetName val="Raw Materials"/>
      <sheetName val="Power &amp; Fuel"/>
      <sheetName val="Salary Wages Sponge"/>
      <sheetName val="Salary &amp; Wages"/>
      <sheetName val="Factory Overheads (S)"/>
      <sheetName val="Factory Overheads"/>
      <sheetName val="Depreciation (S)"/>
      <sheetName val="Depreciation"/>
      <sheetName val="Working Results"/>
      <sheetName val="Sales"/>
      <sheetName val="Term Loan"/>
      <sheetName val="Income Tax"/>
      <sheetName val="Cash Flow"/>
      <sheetName val="Balance Sheet"/>
      <sheetName val="Internal Rate"/>
      <sheetName val="DSCR"/>
      <sheetName val="Break Even"/>
      <sheetName val="Sensitivity"/>
      <sheetName val="CAS Operating Statement"/>
      <sheetName val="CAS Balance Sheet"/>
      <sheetName val="CA &amp; CL"/>
      <sheetName val="MPBF"/>
      <sheetName val="CAS Fund Flow"/>
      <sheetName val="Parameters"/>
      <sheetName val="base(I)"/>
      <sheetName val="COP CPP"/>
      <sheetName val="Base (E)"/>
      <sheetName val="Power &amp; Fuel(MBF)"/>
      <sheetName val="Power &amp; Fuel(E)"/>
      <sheetName val="Salary Wages (S)"/>
      <sheetName val="Salary &amp; Wages(M)"/>
      <sheetName val="Salary &amp; Wages(E)"/>
      <sheetName val="Salary &amp; Wages(P)"/>
      <sheetName val="Factory Overheads(M)"/>
      <sheetName val="Factory Overheads(E)"/>
      <sheetName val="Decmbf"/>
      <sheetName val="Depreciation(E)"/>
      <sheetName val="Depreciation(M)"/>
      <sheetName val="Depreciation(CPP)"/>
      <sheetName val="IS"/>
      <sheetName val="THREE VARIABLES"/>
      <sheetName val="TargIS"/>
      <sheetName val="TargBSCF"/>
      <sheetName val="Integrated 25-11-04"/>
      <sheetName val="Uniuon_Bank"/>
      <sheetName val="Allocation_Of_Funds"/>
      <sheetName val="Table_Of_Contents"/>
      <sheetName val="Capacity_"/>
      <sheetName val="Inter_Transfer"/>
      <sheetName val="Base_(2)"/>
      <sheetName val="Basic_Assumption"/>
      <sheetName val="Breakup_PC"/>
      <sheetName val="Cost_&amp;_Means"/>
      <sheetName val="Land_&amp;_Site_Development"/>
      <sheetName val="Civil_Const_"/>
      <sheetName val="Plant_&amp;_Machinery"/>
      <sheetName val="Summary_of_Plant_&amp;_Machinery"/>
      <sheetName val="Preliminary_&amp;_preoperative"/>
      <sheetName val="Working_Capital"/>
      <sheetName val="Raw_Materials"/>
      <sheetName val="Power_&amp;_Fuel_(S)"/>
      <sheetName val="Power_&amp;_Fuel"/>
      <sheetName val="Salary_Wages_Sponge"/>
      <sheetName val="Salary_&amp;_Wages"/>
      <sheetName val="Factory_Overheads_(S)"/>
      <sheetName val="Factory_Overheads"/>
      <sheetName val="Depreciation_(S)"/>
      <sheetName val="Working_Results"/>
      <sheetName val="Term_Loan"/>
      <sheetName val="Income_Tax"/>
      <sheetName val="Cash_Flow"/>
      <sheetName val="Balance_Sheet"/>
      <sheetName val="Internal_Rate"/>
      <sheetName val="Break_Even"/>
      <sheetName val="CAS_Operating_Statement"/>
      <sheetName val="CAS_Balance_Sheet"/>
      <sheetName val="CA_&amp;_CL"/>
      <sheetName val="CAS_Fund_Flow"/>
      <sheetName val="COP_CPP"/>
      <sheetName val="Base_(E)"/>
      <sheetName val="Power_&amp;_Fuel(MBF)"/>
      <sheetName val="Power_&amp;_Fuel(E)"/>
      <sheetName val="Salary_Wages_(S)"/>
      <sheetName val="Salary_&amp;_Wages(M)"/>
      <sheetName val="Salary_&amp;_Wages(E)"/>
      <sheetName val="Salary_&amp;_Wages(P)"/>
      <sheetName val="Factory_Overheads(M)"/>
      <sheetName val="Factory_Overheads(E)"/>
      <sheetName val="Integrated_25-11-04"/>
      <sheetName val="SalaryData"/>
      <sheetName val="Assm"/>
      <sheetName val="Original_Andrew___Data"/>
      <sheetName val="Assumptions"/>
      <sheetName val="Controls"/>
      <sheetName val="Scen"/>
      <sheetName val="TargetOverview"/>
      <sheetName val="CWIP_status"/>
      <sheetName val="July"/>
      <sheetName val="Cochin_Invoice_File"/>
      <sheetName val="PF_Assumptions"/>
      <sheetName val="FXRATES"/>
      <sheetName val="May_01"/>
      <sheetName val="Control"/>
      <sheetName val="Assistance"/>
      <sheetName val="Sum_proj"/>
      <sheetName val="PRINT-BL"/>
      <sheetName val="FY2002"/>
      <sheetName val="FY2004"/>
      <sheetName val="YTD2005"/>
      <sheetName val="Target"/>
      <sheetName val="Sales_by_Month"/>
      <sheetName val="MASTER"/>
      <sheetName val="KISSAN"/>
      <sheetName val="Additions"/>
      <sheetName val="Share Prices"/>
      <sheetName val="Uniuon_Bank1"/>
      <sheetName val="Allocation_Of_Funds1"/>
      <sheetName val="Table_Of_Contents1"/>
      <sheetName val="Capacity_1"/>
      <sheetName val="Inter_Transfer1"/>
      <sheetName val="Base_(2)1"/>
      <sheetName val="Basic_Assumption1"/>
      <sheetName val="Breakup_PC1"/>
      <sheetName val="Cost_&amp;_Means1"/>
      <sheetName val="Land_&amp;_Site_Development1"/>
      <sheetName val="Civil_Const_1"/>
      <sheetName val="Plant_&amp;_Machinery1"/>
      <sheetName val="Summary_of_Plant_&amp;_Machinery1"/>
      <sheetName val="Preliminary_&amp;_preoperative1"/>
      <sheetName val="Working_Capital1"/>
      <sheetName val="Raw_Materials1"/>
      <sheetName val="Power_&amp;_Fuel_(S)1"/>
      <sheetName val="Power_&amp;_Fuel1"/>
      <sheetName val="Salary_Wages_Sponge1"/>
      <sheetName val="Salary_&amp;_Wages1"/>
      <sheetName val="Factory_Overheads_(S)1"/>
      <sheetName val="Factory_Overheads1"/>
      <sheetName val="Depreciation_(S)1"/>
      <sheetName val="Working_Results1"/>
      <sheetName val="Term_Loan1"/>
      <sheetName val="Income_Tax1"/>
      <sheetName val="Cash_Flow1"/>
      <sheetName val="Balance_Sheet1"/>
      <sheetName val="Internal_Rate1"/>
      <sheetName val="Break_Even1"/>
      <sheetName val="CAS_Operating_Statement1"/>
      <sheetName val="CAS_Balance_Sheet1"/>
      <sheetName val="CA_&amp;_CL1"/>
      <sheetName val="CAS_Fund_Flow1"/>
      <sheetName val="COP_CPP1"/>
      <sheetName val="Base_(E)1"/>
      <sheetName val="Power_&amp;_Fuel(MBF)1"/>
      <sheetName val="Power_&amp;_Fuel(E)1"/>
      <sheetName val="Salary_Wages_(S)1"/>
      <sheetName val="Salary_&amp;_Wages(M)1"/>
      <sheetName val="Salary_&amp;_Wages(E)1"/>
      <sheetName val="Salary_&amp;_Wages(P)1"/>
      <sheetName val="Factory_Overheads(M)1"/>
      <sheetName val="Factory_Overheads(E)1"/>
      <sheetName val="THREE_VARIABLES"/>
      <sheetName val="Integrated_25-11-041"/>
      <sheetName val="Share_Prices"/>
      <sheetName val="Set-up"/>
      <sheetName val="option II"/>
      <sheetName val="BSHEET"/>
      <sheetName val="Uniuon_Bank2"/>
      <sheetName val="Allocation_Of_Funds2"/>
      <sheetName val="Table_Of_Contents2"/>
      <sheetName val="Capacity_2"/>
      <sheetName val="Inter_Transfer2"/>
      <sheetName val="Base_(2)2"/>
      <sheetName val="Basic_Assumption2"/>
      <sheetName val="Breakup_PC2"/>
      <sheetName val="Cost_&amp;_Means2"/>
      <sheetName val="Land_&amp;_Site_Development2"/>
      <sheetName val="Civil_Const_2"/>
      <sheetName val="Plant_&amp;_Machinery2"/>
      <sheetName val="Summary_of_Plant_&amp;_Machinery2"/>
      <sheetName val="Preliminary_&amp;_preoperative2"/>
      <sheetName val="Working_Capital2"/>
      <sheetName val="Raw_Materials2"/>
      <sheetName val="Power_&amp;_Fuel_(S)2"/>
      <sheetName val="Power_&amp;_Fuel2"/>
      <sheetName val="Salary_Wages_Sponge2"/>
      <sheetName val="Salary_&amp;_Wages2"/>
      <sheetName val="Factory_Overheads_(S)2"/>
      <sheetName val="Factory_Overheads2"/>
      <sheetName val="Depreciation_(S)2"/>
      <sheetName val="Working_Results2"/>
      <sheetName val="Term_Loan2"/>
      <sheetName val="Income_Tax2"/>
      <sheetName val="Cash_Flow2"/>
      <sheetName val="Balance_Sheet2"/>
      <sheetName val="Internal_Rate2"/>
      <sheetName val="Break_Even2"/>
      <sheetName val="CAS_Operating_Statement2"/>
      <sheetName val="CAS_Balance_Sheet2"/>
      <sheetName val="CA_&amp;_CL2"/>
      <sheetName val="CAS_Fund_Flow2"/>
      <sheetName val="COP_CPP2"/>
      <sheetName val="Base_(E)2"/>
      <sheetName val="Power_&amp;_Fuel(MBF)2"/>
      <sheetName val="Power_&amp;_Fuel(E)2"/>
      <sheetName val="Salary_Wages_(S)2"/>
      <sheetName val="Salary_&amp;_Wages(M)2"/>
      <sheetName val="Salary_&amp;_Wages(E)2"/>
      <sheetName val="Salary_&amp;_Wages(P)2"/>
      <sheetName val="Factory_Overheads(M)2"/>
      <sheetName val="Factory_Overheads(E)2"/>
      <sheetName val="THREE_VARIABLES1"/>
      <sheetName val="Integrated_25-11-042"/>
      <sheetName val="Share_Prices1"/>
      <sheetName val="option_II"/>
      <sheetName val="EBITDA Bridge"/>
      <sheetName val="REALLOCATIONS"/>
      <sheetName val="CURRENT QUARTER"/>
      <sheetName val="CY1999"/>
      <sheetName val="Integrated%2025-11-04.xls"/>
      <sheetName val="Chart"/>
      <sheetName val="Flow"/>
      <sheetName val="1999-00"/>
      <sheetName val="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
      <sheetName val="addition I.TAX"/>
      <sheetName val="addition"/>
      <sheetName val="SUMMARY"/>
      <sheetName val="coa_ramco_168"/>
      <sheetName val="5(a)"/>
      <sheetName val="AG00060"/>
      <sheetName val="Power &amp; Fuel (S)"/>
      <sheetName val="addition_I_TAX"/>
      <sheetName val="Power_&amp;_Fuel_(S)"/>
      <sheetName val="Assumptions US-Rev"/>
      <sheetName val="tables"/>
      <sheetName val="addition_I_TAX1"/>
      <sheetName val="Assumptions"/>
      <sheetName val="TB APJ"/>
      <sheetName val="Purchase Order"/>
      <sheetName val="Directors"/>
      <sheetName val="FORM-16"/>
      <sheetName val="Data"/>
      <sheetName val="Lead"/>
      <sheetName val="Fill this out first..."/>
      <sheetName val="Sheet2"/>
      <sheetName val="8-Liabilities"/>
      <sheetName val="addition_I_TAX2"/>
      <sheetName val="Power_&amp;_Fuel_(S)1"/>
      <sheetName val="Assumptions_US-Rev"/>
      <sheetName val="TB_APJ"/>
      <sheetName val="Purchase_Order"/>
      <sheetName val="Fill_this_out_first___"/>
      <sheetName val="SCALING"/>
      <sheetName val="Setting"/>
      <sheetName val="ScheduleE 0607"/>
      <sheetName val="FX Rate - Current Month Rates"/>
      <sheetName val="ICICI &amp; TMBL interest"/>
      <sheetName val="Pur"/>
      <sheetName val="Cash Flow-WSL Base Fcst"/>
      <sheetName val="Balancesheet"/>
      <sheetName val="dec01"/>
      <sheetName val="Volumes"/>
      <sheetName val="Material"/>
      <sheetName val="Reference"/>
      <sheetName val="USA"/>
      <sheetName val="WKSHEET"/>
      <sheetName val="CHANGES"/>
      <sheetName val="sapactivexlhiddensheet"/>
      <sheetName val="koersen"/>
      <sheetName val="SUM-wdv"/>
      <sheetName val="Settings"/>
      <sheetName val="IS01"/>
      <sheetName val="Improvements"/>
      <sheetName val="TRIAL BALANCE"/>
      <sheetName val="Page 2"/>
      <sheetName val="IE CWKT"/>
      <sheetName val="PL"/>
      <sheetName val="working"/>
      <sheetName val="Subscription"/>
      <sheetName val="4219020-SIE Advert"/>
      <sheetName val="Dont Alter"/>
      <sheetName val="INPUT"/>
      <sheetName val="Original format"/>
      <sheetName val="Material "/>
      <sheetName val="Labour &amp; Plant"/>
      <sheetName val="Rate Analysis"/>
      <sheetName val="form26"/>
      <sheetName val="bba"/>
      <sheetName val="Masters"/>
      <sheetName val="BAL RAW BS"/>
      <sheetName val="#REF"/>
      <sheetName val="Feb'10"/>
      <sheetName val="2 - I (Capex)"/>
      <sheetName val="wdr bldg"/>
      <sheetName val="base-noncontra"/>
      <sheetName val="Capex - Hry"/>
      <sheetName val="Deduction_and_Rebate"/>
      <sheetName val="words"/>
      <sheetName val="A91_97"/>
      <sheetName val="2003"/>
      <sheetName val="AsstBA2100Mar2003"/>
      <sheetName val="analysis"/>
      <sheetName val="BUDGET"/>
      <sheetName val="Tender Summary"/>
      <sheetName val="BOQ (2)"/>
      <sheetName val="Power &amp; Fuel(SMS)"/>
      <sheetName val="For Aztec"/>
    </sheetNames>
    <sheetDataSet>
      <sheetData sheetId="0" refreshError="1">
        <row r="2653">
          <cell r="A2653">
            <v>1</v>
          </cell>
        </row>
        <row r="2654">
          <cell r="A2654">
            <v>2</v>
          </cell>
        </row>
        <row r="2655">
          <cell r="A2655">
            <v>3</v>
          </cell>
        </row>
        <row r="2656">
          <cell r="A2656">
            <v>4</v>
          </cell>
        </row>
        <row r="2657">
          <cell r="A2657">
            <v>5</v>
          </cell>
        </row>
        <row r="2658">
          <cell r="A2658">
            <v>6</v>
          </cell>
        </row>
        <row r="2659">
          <cell r="A2659">
            <v>7</v>
          </cell>
        </row>
        <row r="2660">
          <cell r="A2660">
            <v>8</v>
          </cell>
        </row>
        <row r="2661">
          <cell r="A2661">
            <v>9</v>
          </cell>
        </row>
        <row r="2662">
          <cell r="A2662">
            <v>10</v>
          </cell>
        </row>
        <row r="2663">
          <cell r="A2663">
            <v>11</v>
          </cell>
        </row>
        <row r="2664">
          <cell r="A2664">
            <v>12</v>
          </cell>
        </row>
        <row r="2665">
          <cell r="A2665">
            <v>13</v>
          </cell>
        </row>
        <row r="2666">
          <cell r="A2666">
            <v>14</v>
          </cell>
        </row>
        <row r="2667">
          <cell r="A2667">
            <v>15</v>
          </cell>
        </row>
        <row r="2668">
          <cell r="A2668">
            <v>16</v>
          </cell>
        </row>
        <row r="2669">
          <cell r="A2669">
            <v>17</v>
          </cell>
        </row>
        <row r="2670">
          <cell r="A2670">
            <v>18</v>
          </cell>
        </row>
        <row r="2671">
          <cell r="A2671">
            <v>19</v>
          </cell>
        </row>
        <row r="2672">
          <cell r="A2672">
            <v>20</v>
          </cell>
        </row>
        <row r="2674">
          <cell r="A2674">
            <v>21</v>
          </cell>
        </row>
        <row r="2675">
          <cell r="A2675">
            <v>22</v>
          </cell>
        </row>
        <row r="2676">
          <cell r="A2676">
            <v>23</v>
          </cell>
        </row>
        <row r="2677">
          <cell r="A2677">
            <v>24</v>
          </cell>
        </row>
        <row r="2678">
          <cell r="A2678">
            <v>25</v>
          </cell>
        </row>
        <row r="2680">
          <cell r="A2680">
            <v>26</v>
          </cell>
        </row>
        <row r="2681">
          <cell r="A2681">
            <v>27</v>
          </cell>
        </row>
        <row r="2682">
          <cell r="A2682">
            <v>28</v>
          </cell>
        </row>
        <row r="2683">
          <cell r="A2683">
            <v>29</v>
          </cell>
        </row>
        <row r="2684">
          <cell r="A2684">
            <v>30</v>
          </cell>
        </row>
        <row r="2685">
          <cell r="A2685">
            <v>31</v>
          </cell>
        </row>
        <row r="2686">
          <cell r="A2686">
            <v>32</v>
          </cell>
        </row>
        <row r="2687">
          <cell r="A2687">
            <v>33</v>
          </cell>
        </row>
        <row r="2688">
          <cell r="A2688">
            <v>34</v>
          </cell>
        </row>
        <row r="2689">
          <cell r="A2689">
            <v>35</v>
          </cell>
        </row>
        <row r="2690">
          <cell r="A2690">
            <v>36</v>
          </cell>
        </row>
        <row r="2691">
          <cell r="A2691">
            <v>37</v>
          </cell>
        </row>
        <row r="2692">
          <cell r="A2692">
            <v>38</v>
          </cell>
        </row>
        <row r="2694">
          <cell r="A2694">
            <v>39</v>
          </cell>
        </row>
        <row r="2695">
          <cell r="A2695">
            <v>40</v>
          </cell>
        </row>
        <row r="2696">
          <cell r="A2696">
            <v>41</v>
          </cell>
        </row>
        <row r="2697">
          <cell r="A2697">
            <v>42</v>
          </cell>
        </row>
        <row r="2698">
          <cell r="A2698">
            <v>43</v>
          </cell>
        </row>
        <row r="2699">
          <cell r="A2699">
            <v>44</v>
          </cell>
        </row>
        <row r="2700">
          <cell r="A2700">
            <v>45</v>
          </cell>
        </row>
        <row r="2701">
          <cell r="A2701">
            <v>46</v>
          </cell>
        </row>
        <row r="2702">
          <cell r="A2702">
            <v>47</v>
          </cell>
        </row>
        <row r="2703">
          <cell r="A2703">
            <v>48</v>
          </cell>
        </row>
        <row r="2704">
          <cell r="A2704">
            <v>49</v>
          </cell>
        </row>
        <row r="2705">
          <cell r="A2705">
            <v>50</v>
          </cell>
        </row>
        <row r="2706">
          <cell r="A2706">
            <v>51</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Title"/>
      <sheetName val="CPI"/>
      <sheetName val="1997"/>
      <sheetName val="1998"/>
      <sheetName val="1999"/>
      <sheetName val="2000"/>
      <sheetName val="2001"/>
      <sheetName val="AFR Analysis"/>
      <sheetName val="Host Average"/>
      <sheetName val="H1"/>
      <sheetName val="H2"/>
      <sheetName val="H3"/>
      <sheetName val="Master Cost Comps"/>
      <sheetName val="STR Graph"/>
      <sheetName val="Master Utilization Comps"/>
      <sheetName val="Visitation"/>
      <sheetName val="Lodg"/>
      <sheetName val="Camp"/>
      <sheetName val="FB"/>
      <sheetName val="Retail"/>
      <sheetName val="S Station"/>
      <sheetName val="Fin Bases"/>
      <sheetName val="P&amp;L - SQ"/>
      <sheetName val="Lodg (S)"/>
      <sheetName val="Camp (S)"/>
      <sheetName val="FB (S)"/>
      <sheetName val="Retail (S)"/>
      <sheetName val="S Station (S)"/>
      <sheetName val="Fin Bases (S)"/>
      <sheetName val="CFIP"/>
      <sheetName val="Scenarios"/>
      <sheetName val="P&amp;L (S)"/>
      <sheetName val="CB"/>
      <sheetName val="S&amp;P"/>
      <sheetName val="PreOpen"/>
      <sheetName val="FFA"/>
      <sheetName val="IRR"/>
      <sheetName val="Control"/>
      <sheetName val="Matrix Builder"/>
      <sheetName val="MC1"/>
      <sheetName val="CRITERIA1"/>
      <sheetName val="YTD"/>
      <sheetName val="AFR_Analysis"/>
      <sheetName val="Host_Average"/>
      <sheetName val="Master_Cost_Comps"/>
      <sheetName val="STR_Graph"/>
      <sheetName val="Master_Utilization_Comps"/>
      <sheetName val="S_Station"/>
      <sheetName val="Fin_Bases"/>
      <sheetName val="P&amp;L_-_SQ"/>
      <sheetName val="Lodg_(S)"/>
      <sheetName val="Camp_(S)"/>
      <sheetName val="FB_(S)"/>
      <sheetName val="Retail_(S)"/>
      <sheetName val="S_Station_(S)"/>
      <sheetName val="Fin_Bases_(S)"/>
      <sheetName val="P&amp;L_(S)"/>
      <sheetName val="Matrix_Builder"/>
      <sheetName val="Share Prices"/>
      <sheetName val="REALLOCATIONS"/>
      <sheetName val="CURRENT QUAR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 Sum Output"/>
      <sheetName val="Pitch Output"/>
      <sheetName val="Memo output (2)"/>
      <sheetName val="MAIN"/>
      <sheetName val="FCC"/>
      <sheetName val="CovenantsAnn"/>
      <sheetName val="CovenantsQuart"/>
      <sheetName val="DIV INC"/>
      <sheetName val="PitchTables"/>
      <sheetName val="SimCahflow"/>
      <sheetName val="SuppCalc"/>
      <sheetName val="EQ. IRR"/>
      <sheetName val="S&amp;P"/>
      <sheetName val="Toggles"/>
      <sheetName val="IRR"/>
      <sheetName val="IRR secondary LBO"/>
      <sheetName val="Multiple"/>
      <sheetName val="Perpetuity"/>
      <sheetName val="DCF 3"/>
      <sheetName val="WACC II"/>
      <sheetName val="Developer Notes"/>
      <sheetName val="COVEN"/>
      <sheetName val="SUMMARY"/>
      <sheetName val="Reconciliations"/>
      <sheetName val="LTM"/>
      <sheetName val="CREDIT STATS"/>
      <sheetName val="Data"/>
      <sheetName val="dPrint"/>
      <sheetName val="DropZone"/>
      <sheetName val="mProcess"/>
      <sheetName val="mlError"/>
      <sheetName val="mGlobals"/>
      <sheetName val="mMain"/>
      <sheetName val="mToggles"/>
      <sheetName val="mcFunctions"/>
      <sheetName val="mMisc"/>
      <sheetName val="mdPrint"/>
      <sheetName val="useless"/>
      <sheetName val="Fin_Sum_Output"/>
      <sheetName val="Pitch_Output"/>
      <sheetName val="Memo_output_(2)"/>
      <sheetName val="DIV_INC"/>
      <sheetName val="EQ__IRR"/>
      <sheetName val="IRR_secondary_LBO"/>
      <sheetName val="DCF_3"/>
      <sheetName val="WACC_II"/>
      <sheetName val="Developer_Notes"/>
      <sheetName val="CREDIT_STATS"/>
      <sheetName val="Matrix"/>
      <sheetName val="synthgraph COMPS"/>
      <sheetName val="Divisional IS"/>
      <sheetName val="Cellular"/>
      <sheetName val="Fin_Sum_Output1"/>
      <sheetName val="Pitch_Output1"/>
      <sheetName val="Memo_output_(2)1"/>
      <sheetName val="DIV_INC1"/>
      <sheetName val="EQ__IRR1"/>
      <sheetName val="IRR_secondary_LBO1"/>
      <sheetName val="DCF_31"/>
      <sheetName val="WACC_II1"/>
      <sheetName val="Developer_Notes1"/>
      <sheetName val="CREDIT_STATS1"/>
      <sheetName val="synthgraph_COMPS"/>
      <sheetName val="Divisional_IS"/>
      <sheetName val="Fin_Sum_Output2"/>
      <sheetName val="Pitch_Output2"/>
      <sheetName val="Memo_output_(2)2"/>
      <sheetName val="DIV_INC2"/>
      <sheetName val="EQ__IRR2"/>
      <sheetName val="IRR_secondary_LBO2"/>
      <sheetName val="DCF_32"/>
      <sheetName val="WACC_II2"/>
      <sheetName val="Developer_Notes2"/>
      <sheetName val="CREDIT_STATS2"/>
      <sheetName val="synthgraph_COMPS1"/>
      <sheetName val="Divisional_IS1"/>
      <sheetName val="Power &amp; Fuel (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461">
          <cell r="G461">
            <v>0</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ntity"/>
      <sheetName val="Sum"/>
      <sheetName val="KP_List"/>
      <sheetName val="PU_ITALY "/>
      <sheetName val="Prices"/>
      <sheetName val="Module1"/>
      <sheetName val="Module2"/>
      <sheetName val="JP_List"/>
      <sheetName val="SUBS"/>
      <sheetName val="Feeds"/>
      <sheetName val="final list 2005"/>
      <sheetName val="6787CWFASE2CASE2_00"/>
      <sheetName val="PU_ITALY_"/>
      <sheetName val="final_list_2005"/>
      <sheetName val="Ref"/>
      <sheetName val="#REF"/>
      <sheetName val="XL4Poppy"/>
      <sheetName val="Contents"/>
      <sheetName val="Tro giup"/>
      <sheetName val="PU_ITALY_1"/>
      <sheetName val="final_list_20051"/>
      <sheetName val="Tro_giup"/>
      <sheetName val="WORKINGS"/>
      <sheetName val="Factor_sheet"/>
      <sheetName val="Labour Summary"/>
      <sheetName val="CWN_Consol"/>
      <sheetName val="PU_ITALY_2"/>
      <sheetName val="final_list_20052"/>
      <sheetName val="Tro_giup1"/>
      <sheetName val="PU_ITALY_3"/>
      <sheetName val="final_list_20053"/>
      <sheetName val="Tro_giup2"/>
      <sheetName val="PU_ITALY_4"/>
      <sheetName val="final_list_20054"/>
      <sheetName val="Tro_giup3"/>
      <sheetName val="PU_ITALY_5"/>
      <sheetName val="final_list_20055"/>
      <sheetName val="Tro_giup4"/>
      <sheetName val="Labour_Summary"/>
      <sheetName val="PU_ITALY_9"/>
      <sheetName val="final_list_20059"/>
      <sheetName val="Tro_giup8"/>
      <sheetName val="PU_ITALY_6"/>
      <sheetName val="final_list_20056"/>
      <sheetName val="Tro_giup5"/>
      <sheetName val="PU_ITALY_7"/>
      <sheetName val="final_list_20057"/>
      <sheetName val="Tro_giup6"/>
      <sheetName val="PU_ITALY_8"/>
      <sheetName val="final_list_20058"/>
      <sheetName val="Tro_giup7"/>
      <sheetName val="PMS"/>
      <sheetName val="DIV INC"/>
      <sheetName val="DropZone"/>
      <sheetName val="A1 - Income Statement"/>
      <sheetName val="Deff_Tax_Sept01"/>
      <sheetName val="DATA"/>
      <sheetName val="custScore"/>
      <sheetName val="corpGoalsSchedule0708"/>
      <sheetName val="Sheet2"/>
      <sheetName val="1999"/>
      <sheetName val="2000"/>
      <sheetName val="2001"/>
      <sheetName val="2002"/>
      <sheetName val="YTD 12'2003"/>
      <sheetName val="YTD 06'2003"/>
      <sheetName val="YTD 03'2003"/>
      <sheetName val="YTD 09'2003"/>
      <sheetName val="PU_ITALY_10"/>
      <sheetName val="final_list_200510"/>
      <sheetName val="Tro_giup9"/>
      <sheetName val="Labour_Summary1"/>
      <sheetName val="PU_ITALY_11"/>
      <sheetName val="final_list_200511"/>
      <sheetName val="Tro_giup10"/>
      <sheetName val="Labour_Summary2"/>
      <sheetName val="PU_ITALY_12"/>
      <sheetName val="final_list_200512"/>
      <sheetName val="Tro_giup11"/>
      <sheetName val="Labour_Summary3"/>
      <sheetName val="PU_ITALY_13"/>
      <sheetName val="final_list_200513"/>
      <sheetName val="Tro_giup12"/>
      <sheetName val="Labour_Summary4"/>
      <sheetName val="PU_ITALY_14"/>
      <sheetName val="final_list_200514"/>
      <sheetName val="Tro_giup13"/>
      <sheetName val="Labour_Summary5"/>
      <sheetName val="PU_ITALY_15"/>
      <sheetName val="final_list_200515"/>
      <sheetName val="Tro_giup14"/>
      <sheetName val="Labour_Summary6"/>
      <sheetName val="PU_ITALY_21"/>
      <sheetName val="final_list_200521"/>
      <sheetName val="Tro_giup20"/>
      <sheetName val="Labour_Summary12"/>
      <sheetName val="PU_ITALY_16"/>
      <sheetName val="final_list_200516"/>
      <sheetName val="Tro_giup15"/>
      <sheetName val="Labour_Summary7"/>
      <sheetName val="PU_ITALY_17"/>
      <sheetName val="final_list_200517"/>
      <sheetName val="Tro_giup16"/>
      <sheetName val="Labour_Summary8"/>
      <sheetName val="PU_ITALY_18"/>
      <sheetName val="final_list_200518"/>
      <sheetName val="Tro_giup17"/>
      <sheetName val="Labour_Summary9"/>
      <sheetName val="PU_ITALY_19"/>
      <sheetName val="final_list_200519"/>
      <sheetName val="Tro_giup18"/>
      <sheetName val="Labour_Summary10"/>
      <sheetName val="PU_ITALY_20"/>
      <sheetName val="final_list_200520"/>
      <sheetName val="Tro_giup19"/>
      <sheetName val="Labour_Summary11"/>
      <sheetName val="deferred taxes"/>
      <sheetName val="Purchase Order"/>
      <sheetName val="Breadown-Nop"/>
      <sheetName val="B-111"/>
      <sheetName val="sales current month"/>
      <sheetName val="View Variance"/>
      <sheetName val="KEYFIG"/>
      <sheetName val="Inventory data"/>
      <sheetName val="sales_current_month"/>
      <sheetName val="View_Variance"/>
      <sheetName val="Inventory_data"/>
      <sheetName val="Active"/>
      <sheetName val="Macrow"/>
      <sheetName val="console"/>
      <sheetName val="Ratios"/>
      <sheetName val="_Parameters"/>
      <sheetName val="Cash Flow"/>
      <sheetName val="PU_ITALY_22"/>
      <sheetName val="final_list_200522"/>
      <sheetName val="Tro_giup21"/>
      <sheetName val="DIV_INC"/>
      <sheetName val="Labour_Summary13"/>
      <sheetName val="A1_-_Income_Statement"/>
      <sheetName val="YTD_12'2003"/>
      <sheetName val="YTD_06'2003"/>
      <sheetName val="YTD_03'2003"/>
      <sheetName val="YTD_09'2003"/>
      <sheetName val="deferred_taxes"/>
      <sheetName val="Purchase_Order"/>
      <sheetName val="sales_current_month1"/>
      <sheetName val="View_Variance1"/>
      <sheetName val="Inventory_data1"/>
      <sheetName val="Cash_Flow"/>
      <sheetName val="F-200"/>
      <sheetName val="F-300"/>
      <sheetName val="FORECAST x FAMILIA"/>
      <sheetName val="RIMEAbyBU"/>
      <sheetName val="sales_current_month2"/>
      <sheetName val="View_Variance2"/>
      <sheetName val="Inventory_data2"/>
      <sheetName val="Space Analysis"/>
      <sheetName val="sales_current_month3"/>
      <sheetName val="View_Variance3"/>
      <sheetName val="Inventory_data3"/>
      <sheetName val="FORECAST_x_FAMILIA"/>
      <sheetName val="Space_Analysis"/>
      <sheetName val="sales_current_month4"/>
      <sheetName val="View_Variance4"/>
      <sheetName val="Inventory_data4"/>
      <sheetName val="FORECAST_x_FAMILIA1"/>
      <sheetName val="Space_Analysis1"/>
      <sheetName val="sales_current_month5"/>
      <sheetName val="View_Variance5"/>
      <sheetName val="Inventory_data5"/>
      <sheetName val="FORECAST_x_FAMILIA2"/>
      <sheetName val="Space_Analysis2"/>
      <sheetName val="sales_current_month6"/>
      <sheetName val="View_Variance6"/>
      <sheetName val="Inventory_data6"/>
      <sheetName val="FORECAST_x_FAMILIA3"/>
      <sheetName val="Space_Analysis3"/>
      <sheetName val="sales_current_month7"/>
      <sheetName val="View_Variance7"/>
      <sheetName val="Inventory_data7"/>
      <sheetName val="FORECAST_x_FAMILIA4"/>
      <sheetName val="Space_Analysis4"/>
      <sheetName val="sales_current_month8"/>
      <sheetName val="View_Variance8"/>
      <sheetName val="Inventory_data8"/>
      <sheetName val="FORECAST_x_FAMILIA5"/>
      <sheetName val="Space_Analysis5"/>
      <sheetName val="sales_current_month9"/>
      <sheetName val="View_Variance9"/>
      <sheetName val="Inventory_data9"/>
      <sheetName val="FORECAST_x_FAMILIA6"/>
      <sheetName val="Space_Analysis6"/>
      <sheetName val="sales_current_month11"/>
      <sheetName val="View_Variance11"/>
      <sheetName val="Inventory_data11"/>
      <sheetName val="FORECAST_x_FAMILIA8"/>
      <sheetName val="Space_Analysis8"/>
      <sheetName val="sales_current_month10"/>
      <sheetName val="View_Variance10"/>
      <sheetName val="Inventory_data10"/>
      <sheetName val="FORECAST_x_FAMILIA7"/>
      <sheetName val="Space_Analysis7"/>
      <sheetName val="sales_current_month12"/>
      <sheetName val="View_Variance12"/>
      <sheetName val="Inventory_data12"/>
      <sheetName val="FORECAST_x_FAMILIA9"/>
      <sheetName val="Space_Analysis9"/>
      <sheetName val="sales_current_month13"/>
      <sheetName val="View_Variance13"/>
      <sheetName val="Inventory_data13"/>
      <sheetName val="FORECAST_x_FAMILIA10"/>
      <sheetName val="Space_Analysis10"/>
      <sheetName val="sales_current_month14"/>
      <sheetName val="View_Variance14"/>
      <sheetName val="Inventory_data14"/>
      <sheetName val="FORECAST_x_FAMILIA11"/>
      <sheetName val="Space_Analysis11"/>
      <sheetName val="sales_current_month15"/>
      <sheetName val="View_Variance15"/>
      <sheetName val="Inventory_data15"/>
      <sheetName val="FORECAST_x_FAMILIA12"/>
      <sheetName val="Space_Analysis12"/>
      <sheetName val="sales_current_month16"/>
      <sheetName val="View_Variance16"/>
      <sheetName val="Inventory_data16"/>
      <sheetName val="FORECAST_x_FAMILIA13"/>
      <sheetName val="Space_Analysis13"/>
      <sheetName val="A-16"/>
      <sheetName val="A-15"/>
      <sheetName val="sales_current_month17"/>
      <sheetName val="View_Variance17"/>
      <sheetName val="Inventory_data17"/>
      <sheetName val="FORECAST_x_FAMILIA14"/>
      <sheetName val="Space_Analysis14"/>
      <sheetName val="sales_current_month18"/>
      <sheetName val="View_Variance18"/>
      <sheetName val="Inventory_data18"/>
      <sheetName val="FORECAST_x_FAMILIA15"/>
      <sheetName val="Space_Analysis15"/>
      <sheetName val="sales_current_month19"/>
      <sheetName val="View_Variance19"/>
      <sheetName val="Inventory_data19"/>
      <sheetName val="FORECAST_x_FAMILIA16"/>
      <sheetName val="Space_Analysis16"/>
      <sheetName val="sales_current_month20"/>
      <sheetName val="View_Variance20"/>
      <sheetName val="Inventory_data20"/>
      <sheetName val="FORECAST_x_FAMILIA17"/>
      <sheetName val="Space_Analysis17"/>
      <sheetName val="sales_current_month21"/>
      <sheetName val="View_Variance21"/>
      <sheetName val="Inventory_data21"/>
      <sheetName val="FORECAST_x_FAMILIA18"/>
      <sheetName val="Space_Analysis18"/>
      <sheetName val="sales_current_month22"/>
      <sheetName val="View_Variance22"/>
      <sheetName val="Inventory_data22"/>
      <sheetName val="FORECAST_x_FAMILIA19"/>
      <sheetName val="Space_Analysis19"/>
      <sheetName val="PU_ITALY_23"/>
      <sheetName val="sales_current_month23"/>
      <sheetName val="View_Variance23"/>
      <sheetName val="Inventory_data23"/>
      <sheetName val="FORECAST_x_FAMILIA20"/>
      <sheetName val="Space_Analysis20"/>
      <sheetName val="CTDZ6kv (gd1) "/>
      <sheetName val="CTDZ 0.4+cto (GD1)"/>
      <sheetName val="CTTBA (gd1)"/>
      <sheetName val="VL,NC,MTC"/>
      <sheetName val="BP DECLINE IT"/>
      <sheetName val="EXPENSES"/>
      <sheetName val="DETAIL MIX % REPORT"/>
      <sheetName val="LBO"/>
      <sheetName val="DSUM2004"/>
      <sheetName val="Input List"/>
      <sheetName val="THDZ0,4"/>
      <sheetName val="TH DZ35"/>
      <sheetName val="THTram"/>
      <sheetName val="조명시설"/>
      <sheetName val="Sheet1"/>
      <sheetName val="Don gia"/>
      <sheetName val="SILICATE"/>
      <sheetName val="DG"/>
      <sheetName val="DC"/>
      <sheetName val="NL"/>
      <sheetName val="DON GIA TRAM (3)"/>
      <sheetName val="dongia"/>
      <sheetName val="TONGKE-HT"/>
      <sheetName val="ptnc"/>
      <sheetName val="ptvl"/>
      <sheetName val="ptm"/>
      <sheetName val="chi tiet TBA"/>
      <sheetName val="Input"/>
      <sheetName val="DON GIA CAN THO"/>
      <sheetName val="RAB AR&amp;STR"/>
      <sheetName val="Earthwork"/>
      <sheetName val="DANHPHAP"/>
      <sheetName val="chi tiet C"/>
      <sheetName val="Control"/>
      <sheetName val="THVATTU"/>
      <sheetName val="7606 DZ"/>
      <sheetName val="gvl"/>
      <sheetName val="Don gia chi tiet"/>
      <sheetName val="물량표S"/>
      <sheetName val="공통가설"/>
      <sheetName val="Customize Your Purchase Order"/>
      <sheetName val="내역서"/>
      <sheetName val="RAB_AR&amp;STR"/>
      <sheetName val="chi_tiet_TBA"/>
      <sheetName val="chi_tiet_C"/>
      <sheetName val="TH_DZ35"/>
      <sheetName val="Customize_Your_Purchase_Order"/>
      <sheetName val="Shdet1"/>
      <sheetName val="402"/>
      <sheetName val="XT_Buoc 3"/>
      <sheetName val="BG"/>
      <sheetName val="FitOutConfCentre"/>
      <sheetName val="KLHT"/>
      <sheetName val="CHITIET VL-NC-TT -1p"/>
      <sheetName val="CHITIET VL-NC-TT-3p"/>
      <sheetName val="TONG HOP VL-NC TT"/>
      <sheetName val="TDTKP1"/>
      <sheetName val="KPVC-BD "/>
      <sheetName val="TinhGiaMTC"/>
      <sheetName val="TinhGiaNC"/>
      <sheetName val="dnc4"/>
      <sheetName val="침하계"/>
      <sheetName val="BETON"/>
      <sheetName val="갑지"/>
      <sheetName val="24-ACMV"/>
      <sheetName val="Adix A"/>
      <sheetName val="Mall"/>
      <sheetName val="DON_GIA_CAN_THO"/>
      <sheetName val="TH_DZ351"/>
      <sheetName val="DON_GIA_CAN_THO1"/>
      <sheetName val="TH_DZ352"/>
      <sheetName val="DON_GIA_CAN_THO2"/>
      <sheetName val="Don_gia_chi_tiet"/>
      <sheetName val="Don_gia"/>
      <sheetName val="DON_GIA_TRAM_(3)"/>
      <sheetName val="7606_DZ"/>
      <sheetName val="TONG_HOP_VL-NC_TT"/>
      <sheetName val="CHITIET_VL-NC-TT_-1p"/>
      <sheetName val="KPVC-BD_"/>
      <sheetName val="dongia (2)"/>
      <sheetName val="chiet tinh"/>
      <sheetName val="dg67-1"/>
      <sheetName val="Ky Lam Bridge"/>
      <sheetName val="Provisional Sums Item"/>
      <sheetName val="Gas Pressure Welding"/>
      <sheetName val="General Item&amp;General Requiremen"/>
      <sheetName val="General Items"/>
      <sheetName val="Regenral Requirements"/>
      <sheetName val="DGTH"/>
      <sheetName val="HĐ ngoài"/>
      <sheetName val="Ng.hàng xà+bulong"/>
      <sheetName val="S-curve "/>
      <sheetName val="TH_CNO"/>
      <sheetName val="NK_CHUNG"/>
      <sheetName val="SYSTEMS"/>
      <sheetName val="OT"/>
      <sheetName val="DBASE"/>
      <sheetName val="Valid data revised"/>
      <sheetName val="BUDGET"/>
      <sheetName val="FORM-16"/>
      <sheetName val="STAX"/>
      <sheetName val="GRN"/>
      <sheetName val="dwbulk"/>
      <sheetName val="XREF"/>
      <sheetName val="H"/>
      <sheetName val="STATC"/>
      <sheetName val="ReadFirst"/>
      <sheetName val="PU_ITALY_24"/>
      <sheetName val="final_list_200523"/>
      <sheetName val="Tro_giup22"/>
      <sheetName val="Labour_Summary14"/>
      <sheetName val="DIV_INC1"/>
      <sheetName val="sales_current_month24"/>
      <sheetName val="View_Variance24"/>
      <sheetName val="Inventory_data24"/>
      <sheetName val="YTD_12'20031"/>
      <sheetName val="YTD_06'20031"/>
      <sheetName val="YTD_03'20031"/>
      <sheetName val="YTD_09'20031"/>
      <sheetName val="deferred_taxes1"/>
      <sheetName val="Purchase_Order1"/>
      <sheetName val="Cash_Flow1"/>
      <sheetName val="A1_-_Income_Statement1"/>
      <sheetName val="FORECAST_x_FAMILIA21"/>
      <sheetName val="Space_Analysis21"/>
      <sheetName val="CTDZ6kv_(gd1)_"/>
      <sheetName val="CTDZ_0_4+cto_(GD1)"/>
      <sheetName val="CTTBA_(gd1)"/>
      <sheetName val="BP_DECLINE_IT"/>
      <sheetName val="Input_List"/>
      <sheetName val="TH_DZ353"/>
      <sheetName val="Don_gia1"/>
      <sheetName val="DON_GIA_TRAM_(3)1"/>
      <sheetName val="chi_tiet_TBA1"/>
      <sheetName val="DON_GIA_CAN_THO3"/>
      <sheetName val="RAB_AR&amp;STR1"/>
      <sheetName val="chi_tiet_C1"/>
      <sheetName val="7606_DZ1"/>
      <sheetName val="Don_gia_chi_tiet1"/>
      <sheetName val="Customize_Your_Purchase_Order1"/>
      <sheetName val="XT_Buoc_3"/>
      <sheetName val="CHITIET_VL-NC-TT_-1p1"/>
      <sheetName val="CHITIET_VL-NC-TT-3p"/>
      <sheetName val="TONG_HOP_VL-NC_TT1"/>
      <sheetName val="KPVC-BD_1"/>
      <sheetName val="Adix_A"/>
      <sheetName val="dongia_(2)"/>
      <sheetName val="chiet_tinh"/>
      <sheetName val="Ky_Lam_Bridge"/>
      <sheetName val="Provisional_Sums_Item"/>
      <sheetName val="Gas_Pressure_Welding"/>
      <sheetName val="General_Item&amp;General_Requiremen"/>
      <sheetName val="General_Items"/>
      <sheetName val="Regenral_Requirements"/>
      <sheetName val="HĐ_ngoài"/>
      <sheetName val="Ng_hàng_xà+bulong"/>
      <sheetName val="S-curve_"/>
      <sheetName val="Valid_data_revised"/>
      <sheetName val="DETAIL_MIX_%_REPORT"/>
      <sheetName val="Settings"/>
      <sheetName val="OC5-Push Diag"/>
      <sheetName val="Franchise Input"/>
      <sheetName val="DATAENTRY"/>
      <sheetName val="current month"/>
      <sheetName val="Blng. Vs Coll."/>
      <sheetName val="final_list_200524"/>
      <sheetName val="Tro_giup23"/>
      <sheetName val="Labour_Summary15"/>
      <sheetName val="LV data"/>
      <sheetName val="客户(基本资料)"/>
      <sheetName val="银行(基本资料)"/>
      <sheetName val="Summary Page_VDF"/>
      <sheetName val="Invested capital_VDF"/>
      <sheetName val="外勤汇总表3"/>
      <sheetName val="Director"/>
      <sheetName val="AC_CODE99"/>
      <sheetName val="CRITERIA1"/>
      <sheetName val="Design"/>
      <sheetName val="Blore"/>
      <sheetName val="Chnai"/>
      <sheetName val="Pune"/>
      <sheetName val="CoverSheet"/>
      <sheetName val="Merit &amp; Market Grid"/>
      <sheetName val="Menu"/>
      <sheetName val="MTO REV.2(ARMOR)"/>
      <sheetName val="BS-DET"/>
      <sheetName val="Table"/>
      <sheetName val="Fill this out first..."/>
      <sheetName val="SL"/>
      <sheetName val="CTG"/>
      <sheetName val="실행철강하도"/>
      <sheetName val="project management"/>
      <sheetName val="chitimc"/>
      <sheetName val="giathanh1"/>
      <sheetName val="DONVIBAN"/>
      <sheetName val="NGUON"/>
      <sheetName val="phuluc1"/>
      <sheetName val="THVT"/>
      <sheetName val="Du_lieu"/>
      <sheetName val="O20"/>
      <sheetName val="CAT_5"/>
      <sheetName val="BQMP"/>
      <sheetName val="산근"/>
      <sheetName val="inter"/>
      <sheetName val="대비"/>
      <sheetName val="REINF."/>
      <sheetName val="SKETCH"/>
      <sheetName val="LOADS"/>
      <sheetName val="Titles"/>
      <sheetName val="Rates 2009"/>
      <sheetName val="P"/>
      <sheetName val="So doi chieu LC"/>
      <sheetName val="MAIN GATE HOUSE"/>
      <sheetName val="Commercial value"/>
      <sheetName val="VL"/>
      <sheetName val="CBKC-110"/>
      <sheetName val="NC"/>
      <sheetName val="Du toan"/>
      <sheetName val="Keothep"/>
      <sheetName val="Re-bar"/>
      <sheetName val="집계표"/>
      <sheetName val="Dulieu"/>
      <sheetName val="SITE-E"/>
      <sheetName val="DLDTLN"/>
      <sheetName val="차액보증"/>
      <sheetName val="Config"/>
      <sheetName val="DMCP"/>
      <sheetName val="HS_TDT"/>
      <sheetName val="ALLOWANCE"/>
      <sheetName val="MH RATE"/>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Database"/>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Source"/>
      <sheetName val="sochitiettaikhoan "/>
      <sheetName val="Perform1"/>
      <sheetName val="Share price data"/>
      <sheetName val="DIL4"/>
      <sheetName val="CANDOI"/>
      <sheetName val="Bang KL"/>
      <sheetName val="TONG HOP VL-NC"/>
      <sheetName val="lam-moi"/>
      <sheetName val="KPTH-T12"/>
      <sheetName val="Thamgia-T10"/>
      <sheetName val="BGD"/>
      <sheetName val="KCS"/>
      <sheetName val="KD"/>
      <sheetName val="KT"/>
      <sheetName val="KTNL"/>
      <sheetName val="KH"/>
      <sheetName val="PX-SX"/>
      <sheetName val="TC"/>
      <sheetName val="Lcau - Lxuc"/>
      <sheetName val="Sheet3"/>
      <sheetName val="DG-VL"/>
      <sheetName val="PTDGCT"/>
      <sheetName val="금융비용"/>
      <sheetName val="입찰안"/>
      <sheetName val="TBA"/>
      <sheetName val="DM 6061"/>
      <sheetName val="Gia"/>
      <sheetName val="dm366"/>
      <sheetName val="DG thep ma kem"/>
      <sheetName val="May"/>
      <sheetName val="So_doi_chieu_LC"/>
      <sheetName val="CT vat lieu"/>
      <sheetName val="vcdngan"/>
      <sheetName val="K95"/>
      <sheetName val="K98"/>
      <sheetName val="PTDG"/>
      <sheetName val="LaborPY"/>
      <sheetName val="LaborKH"/>
      <sheetName val="Equip "/>
      <sheetName val="Material"/>
      <sheetName val="A1.CN"/>
      <sheetName val="PROFILE"/>
      <sheetName val="Đầu vào"/>
      <sheetName val="Ts"/>
      <sheetName val="EXTERNAL"/>
      <sheetName val="Chi tiet XD TBA"/>
      <sheetName val="damgiua"/>
      <sheetName val="dgct"/>
      <sheetName val="WT-LIST"/>
      <sheetName val="TONG HOP T5 1998"/>
      <sheetName val="366"/>
      <sheetName val="Trạm biến áp"/>
      <sheetName val="Đơn Giá "/>
      <sheetName val="Giá"/>
      <sheetName val="DM1776"/>
      <sheetName val="DM228"/>
      <sheetName val="DM4970"/>
      <sheetName val="Camay_DP"/>
      <sheetName val="DM6061"/>
      <sheetName val="Luong2"/>
      <sheetName val="CT-35"/>
      <sheetName val="CT-0.4KV"/>
      <sheetName val="ironmongery"/>
      <sheetName val="Chenh lech vat tu"/>
      <sheetName val="Diện tích"/>
      <sheetName val="1_Khái toán"/>
      <sheetName val="KL Chi tiết Xây tô"/>
      <sheetName val="DM"/>
      <sheetName val="DG DZ"/>
      <sheetName val="DG TBA"/>
      <sheetName val="DGXD"/>
      <sheetName val="07Base Cost"/>
      <sheetName val="rate material"/>
      <sheetName val="DTOAN"/>
      <sheetName val="Chi tiet KL"/>
      <sheetName val="Tổng hợp KL"/>
      <sheetName val="Barrem"/>
      <sheetName val="BM"/>
      <sheetName val="Xay lapduongR3"/>
      <sheetName val="Equipment"/>
      <sheetName val="DT_THAU"/>
      <sheetName val="말뚝지지력산정"/>
      <sheetName val="04 - XUONG DET B"/>
      <sheetName val="CTGX"/>
      <sheetName val="CTG-1"/>
      <sheetName val="Bill 1_Quy dinh chung"/>
      <sheetName val="1.R18 BF"/>
      <sheetName val="A"/>
      <sheetName val="G"/>
      <sheetName val="F-B"/>
      <sheetName val="H-J"/>
      <sheetName val="6.External works-R18"/>
      <sheetName val="Phan khai KLuong"/>
      <sheetName val="Duphong"/>
      <sheetName val="01"/>
      <sheetName val="02"/>
      <sheetName val=" 03"/>
      <sheetName val="04"/>
      <sheetName val="05"/>
      <sheetName val="06"/>
      <sheetName val="07"/>
      <sheetName val="08"/>
      <sheetName val="09"/>
      <sheetName val="chieu day san"/>
      <sheetName val="Podium Concrete Works"/>
      <sheetName val="KLCT- TOWER"/>
      <sheetName val="KLCT- PODIUM"/>
      <sheetName val="MATK"/>
      <sheetName val="NHATKY"/>
      <sheetName val="Standardwerte"/>
      <sheetName val="Gia thanh chuoi su"/>
      <sheetName val="Tiep dia"/>
      <sheetName val="Don gia vung III-Can Tho"/>
      <sheetName val="base"/>
      <sheetName val="DGG"/>
      <sheetName val="INDEX"/>
      <sheetName val="Area Cal"/>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PAGE 1"/>
      <sheetName val="BKBANRA"/>
      <sheetName val="BKMUAVAO"/>
      <sheetName val="INFO"/>
      <sheetName val="Summary"/>
      <sheetName val="Cp&gt;10-Ln&lt;10"/>
      <sheetName val="Ln&lt;20"/>
      <sheetName val="EIRR&gt;1&lt;1"/>
      <sheetName val="EIRR&gt; 2"/>
      <sheetName val="EIRR&lt;2"/>
      <sheetName val="負荷集計（断熱不燃）"/>
      <sheetName val="GAEYO"/>
      <sheetName val="7606-TBA"/>
      <sheetName val="7606-ĐZ"/>
      <sheetName val="DM 67"/>
      <sheetName val="Đầu tư"/>
      <sheetName val="DL"/>
      <sheetName val="????"/>
      <sheetName val="CE(E)"/>
      <sheetName val="CE(M)"/>
      <sheetName val="Project Data"/>
      <sheetName val="chiettinh"/>
      <sheetName val="Data Input"/>
      <sheetName val="실행"/>
      <sheetName val="6787CWFASE2CASE2_00.xls"/>
      <sheetName val="T&amp;D"/>
      <sheetName val="list"/>
      <sheetName val="BIDDING-SU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inpukeoI"/>
      <sheetName val="Tower - Concrete Works"/>
      <sheetName val="Duc_bk"/>
      <sheetName val="Bill-04 ket cau thap- UNI"/>
      <sheetName val="DTICH"/>
      <sheetName val="Loại Vật tư"/>
      <sheetName val="tonghop"/>
      <sheetName val="DATA2"/>
      <sheetName val="PEDESB"/>
      <sheetName val="TH Vat tu"/>
      <sheetName val="Cửa"/>
      <sheetName val="dg tphcm"/>
      <sheetName val="DUCVIETPQ"/>
      <sheetName val="INFOR-ST"/>
      <sheetName val="T.KÊ K.CẤU"/>
      <sheetName val="Bill 01 - CTN"/>
      <sheetName val="Bill 2.2 Villa 2 beds"/>
      <sheetName val="D&amp;W"/>
      <sheetName val="4.PTDG"/>
      <sheetName val="A1, May"/>
      <sheetName val="Máy"/>
      <sheetName val="Vat lieu"/>
      <sheetName val="Bang trong luong rieng thep"/>
      <sheetName val="갑지1"/>
      <sheetName val="LEGEND"/>
      <sheetName val="6PILE  (돌출)"/>
      <sheetName val="6MONTHS"/>
      <sheetName val="???S"/>
      <sheetName val="???"/>
      <sheetName val="??"/>
      <sheetName val="HÐ ngoài"/>
      <sheetName val="??????"/>
      <sheetName val="HÐ_ngoài"/>
      <sheetName val="DTXL"/>
      <sheetName val="gia cong tac"/>
      <sheetName val="____"/>
      <sheetName val="Measure 1306"/>
      <sheetName val="0"/>
      <sheetName val="DTXD"/>
      <sheetName val="PRI-LS"/>
      <sheetName val="NKC6"/>
      <sheetName val="Cước VC + ĐM CP Tư vấn"/>
      <sheetName val="Hệ số"/>
      <sheetName val="Door and window"/>
      <sheetName val="DETAIL "/>
      <sheetName val="GV1-D13 (Casement door)"/>
      <sheetName val="MTL$-INTER"/>
      <sheetName val="Gia vat tu"/>
      <sheetName val="bt19"/>
      <sheetName val="Btr25"/>
      <sheetName val="ESTI."/>
      <sheetName val="CPDDII"/>
      <sheetName val="NVL"/>
      <sheetName val="Note"/>
      <sheetName val="DLdauvao"/>
      <sheetName val="CẤP THOÁT NƯỚC"/>
      <sheetName val="TH MTC"/>
      <sheetName val="TH N.Cong"/>
      <sheetName val="project_management"/>
      <sheetName val="MAIN_GATE_HOUSE"/>
      <sheetName val="REINF_"/>
      <sheetName val="Rates_2009"/>
      <sheetName val="Du_toan"/>
      <sheetName val="Commercial_value"/>
      <sheetName val="TONG_HOP_VL-NC"/>
      <sheetName val="Bang_KL"/>
      <sheetName val="MH_RATE"/>
      <sheetName val="Lcau_-_Lxuc"/>
      <sheetName val="DG-TNHC-85"/>
      <sheetName val="Dia"/>
      <sheetName val="SP10"/>
      <sheetName val="THDT goi thau TB"/>
      <sheetName val="Tien do TV"/>
      <sheetName val="QD957"/>
      <sheetName val="Harga ME "/>
      <sheetName val="토공"/>
      <sheetName val="Alat"/>
      <sheetName val="Analisa Gabungan"/>
      <sheetName val="Sub"/>
      <sheetName val="dg7606"/>
      <sheetName val="DGsuyrong"/>
      <sheetName val="PhanTichVua"/>
      <sheetName val="PhanTichVT"/>
      <sheetName val="KhoiluongDT"/>
      <sheetName val="Sheet4"/>
      <sheetName val="Supplier"/>
      <sheetName val=" Bill.5-Earthing.2 - Add Works"/>
      <sheetName val="bridge # 1"/>
      <sheetName val="DK"/>
      <sheetName val="Isolasi Luar Dalam"/>
      <sheetName val="Isolasi Luar"/>
      <sheetName val="TK-COL"/>
      <sheetName val="02_Dulieu_Cua"/>
      <sheetName val="HMCV"/>
      <sheetName val="CauKien"/>
      <sheetName val="XD"/>
      <sheetName val="Cuongricc"/>
      <sheetName val="KL san lap"/>
      <sheetName val="Chi tiet"/>
      <sheetName val="DonGiaLD"/>
      <sheetName val="Setting"/>
      <sheetName val="Chenh lech ca may"/>
      <sheetName val="TLg CN&amp;Laixe"/>
      <sheetName val="TLg CN&amp;Laixe (2)"/>
      <sheetName val="TLg Laitau"/>
      <sheetName val="TLg Laitau (2)"/>
      <sheetName val="Equipment list (PAC)"/>
      <sheetName val="計算条件"/>
      <sheetName val="TINH KHOI LUONG"/>
      <sheetName val="DATA BASE"/>
      <sheetName val="Mat_Source"/>
      <sheetName val="入力作成表"/>
      <sheetName val="CPA"/>
      <sheetName val="CT_vat_lieu"/>
      <sheetName val="DM_6061"/>
      <sheetName val="DG_thep_ma_kem"/>
      <sheetName val="DG_DZ"/>
      <sheetName val="DG_TBA"/>
      <sheetName val="Data_Input"/>
      <sheetName val="DG1426"/>
      <sheetName val="KH-Q1,Q2,01"/>
      <sheetName val="PS-Labour_M"/>
      <sheetName val="VND"/>
      <sheetName val="Buy vs. Lease Car"/>
      <sheetName val="___S"/>
      <sheetName val="___"/>
      <sheetName val="__"/>
      <sheetName val="______"/>
      <sheetName val="daf-3(OK)"/>
      <sheetName val="daf-7(OK)"/>
      <sheetName val="Bang 3_Chi tiet phan Dz"/>
      <sheetName val="KHOI LUONG"/>
      <sheetName val="DG7606DZ"/>
      <sheetName val="GTTBA"/>
      <sheetName val="BẢNG KHỐI LƯỢNG TỔNG HỢP"/>
      <sheetName val="Hardware"/>
      <sheetName val="HWW"/>
      <sheetName val="TH_CPTB"/>
      <sheetName val="CP Khac cuoc VC"/>
      <sheetName val="新规"/>
      <sheetName val="Code"/>
      <sheetName val="Budget Code"/>
      <sheetName val="Master"/>
      <sheetName val="CTKL KTX HT"/>
      <sheetName val="2.Chiet tinh"/>
      <sheetName val="I-KAMAR"/>
      <sheetName val="subcon sched"/>
      <sheetName val="NHÀ NHẬP LIỆU"/>
      <sheetName val="MÓNG SILO"/>
      <sheetName val="PRE (E)"/>
      <sheetName val="HVAC.BLOCK B4"/>
      <sheetName val="TK chi tiet"/>
      <sheetName val="SourceData"/>
      <sheetName val="SEX"/>
      <sheetName val="CT1"/>
      <sheetName val="Z"/>
      <sheetName val="Tong du toan"/>
      <sheetName val="Bill 2 - ketcau"/>
      <sheetName val="A1"/>
      <sheetName val="13-Cốt thép (10mm&lt;D≤18mm) FO16"/>
      <sheetName val="du lieu du toan"/>
      <sheetName val="IBASE"/>
      <sheetName val="DANHMUC"/>
      <sheetName val="RAB_AR&amp;STR2"/>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A1_CN"/>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plan&amp;section_of_foundation"/>
      <sheetName val="design_criteria"/>
      <sheetName val="Bond_수수료_계산_포맷"/>
      <sheetName val="ITB_COST"/>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6PILE__(돌출)"/>
      <sheetName val="HÐ_ngoài1"/>
      <sheetName val="Xay_lapduongR3"/>
      <sheetName val="wsLists"/>
      <sheetName val="Chi tiet lan can"/>
      <sheetName val="TH_DZ354"/>
      <sheetName val="CHITIET_VL-NC-TT_-1p2"/>
      <sheetName val="TONG_HOP_VL-NC_TT2"/>
      <sheetName val="KPVC-BD_2"/>
      <sheetName val="Don_gia2"/>
      <sheetName val="DON_GIA_CAN_THO4"/>
      <sheetName val="DON_GIA_TRAM_(3)2"/>
      <sheetName val="Don_gia_chi_tiet2"/>
      <sheetName val="7606_DZ2"/>
      <sheetName val="project_management1"/>
      <sheetName val="REINF_1"/>
      <sheetName val="Rates_20091"/>
      <sheetName val="Du_toan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7606"/>
      <sheetName val="BOQ THAN"/>
      <sheetName val="DL ĐẦU VÀO"/>
      <sheetName val="CTEMCOST"/>
      <sheetName val="DongiaVL2"/>
      <sheetName val="1_MV"/>
      <sheetName val="D &amp; W sizes"/>
      <sheetName val="Analisa &amp; Upah"/>
      <sheetName val="Ktmo"/>
      <sheetName val="Unit_Div6"/>
      <sheetName val="Main"/>
      <sheetName val="경비2내역"/>
      <sheetName val="Du lieu"/>
      <sheetName val="Cash2"/>
      <sheetName val="dghn"/>
      <sheetName val="Markup"/>
      <sheetName val="BOQ건축"/>
      <sheetName val="Formwork"/>
      <sheetName val="DETAIL_"/>
      <sheetName val="BocXep"/>
      <sheetName val="VCBo"/>
      <sheetName val="VCThuy"/>
      <sheetName val="Phan tich"/>
      <sheetName val="Luong NII"/>
      <sheetName val="Cpbetong"/>
      <sheetName val="366fun"/>
      <sheetName val="DM_60606061"/>
      <sheetName val="DINH MUC THI NGHIEM"/>
      <sheetName val="CUOCVC"/>
      <sheetName val="Luong NI"/>
      <sheetName val="Vatlieu"/>
      <sheetName val="CT"/>
      <sheetName val="don_giaQB"/>
      <sheetName val="INPUT-STR"/>
      <sheetName val="CT Thang Mo"/>
      <sheetName val="CT  PL"/>
      <sheetName val="DTCTchung"/>
      <sheetName val="dongia _2_"/>
      <sheetName val="FAB별"/>
      <sheetName val="Thép CKN"/>
      <sheetName val="GOC-KO IN"/>
      <sheetName val="TMinh"/>
      <sheetName val="MAU 8A"/>
      <sheetName val="MAU 8B"/>
      <sheetName val="MAU 9"/>
      <sheetName val="MAU 10"/>
      <sheetName val="TLuong"/>
      <sheetName val="cash budget"/>
      <sheetName val="Criteria"/>
      <sheetName val="ICGSIP"/>
      <sheetName val="DM_60611"/>
      <sheetName val="DG_thep_ma_kem1"/>
      <sheetName val="CT_vat_lieu1"/>
      <sheetName val="DG_DZ1"/>
      <sheetName val="DG_TBA1"/>
      <sheetName val="_Bill_5-Earthing_2_-_Add_Works"/>
      <sheetName val="Data_Input1"/>
      <sheetName val="LV_data"/>
      <sheetName val="ESTI_"/>
      <sheetName val="KL_san_lap"/>
      <sheetName val="Equipment_list_(PAC)"/>
      <sheetName val="TINH_KHOI_LUONG"/>
      <sheetName val="DATA_BASE"/>
      <sheetName val="Gia_vat_tu"/>
      <sheetName val="Chenh_lech_ca_may"/>
      <sheetName val="TLg_CN&amp;Laixe"/>
      <sheetName val="TLg_CN&amp;Laixe_(2)"/>
      <sheetName val="TLg_Laitau"/>
      <sheetName val="TLg_Laitau_(2)"/>
      <sheetName val="Bang_3_Chi_tiet_phan_Dz"/>
      <sheetName val="KHOI_LUONG"/>
      <sheetName val="TH_MTC"/>
      <sheetName val="TH_N_Cong"/>
      <sheetName val="Chi_tiet"/>
      <sheetName val="PRE_(E)"/>
      <sheetName val="subcon_sched"/>
      <sheetName val="HVAC_BLOCK_B4"/>
      <sheetName val="SORT"/>
      <sheetName val="Dlieu dau vao"/>
      <sheetName val="外気負荷"/>
      <sheetName val="BANCO (2)"/>
      <sheetName val="MT DPin (2)"/>
      <sheetName val="CHI PHI"/>
      <sheetName val="MDA"/>
      <sheetName val="MKH"/>
      <sheetName val="DMNV"/>
      <sheetName val="DMNCC"/>
      <sheetName val="MHH"/>
      <sheetName val="02. PTDG"/>
      <sheetName val="Chiết tính"/>
      <sheetName val="DK1.Don gia"/>
      <sheetName val="Income Statement"/>
      <sheetName val="Shareholders' Equity"/>
      <sheetName val="Gia_vat_tu1"/>
      <sheetName val="Income_Statement1"/>
      <sheetName val="Shareholders'_Equity1"/>
      <sheetName val="Income_Statement"/>
      <sheetName val="Shareholders'_Equity"/>
      <sheetName val="VC.xd"/>
      <sheetName val="Gia.VLTB"/>
      <sheetName val="B.Luong"/>
      <sheetName val="C.May"/>
      <sheetName val="Don gia (khong in)"/>
      <sheetName val="1.MONG 1-2"/>
      <sheetName val="TB NẶNG"/>
      <sheetName val="Du tru CP-Bieu 01"/>
      <sheetName val="DM7606"/>
      <sheetName val="XDM22"/>
      <sheetName val="dm 366"/>
      <sheetName val="DM 6060"/>
      <sheetName val="DinhMuc"/>
      <sheetName val="Gvlch"/>
      <sheetName val="DGLX"/>
      <sheetName val="TK-TUBU"/>
      <sheetName val="DGIA"/>
      <sheetName val="TT"/>
      <sheetName val="DM_4970"/>
      <sheetName val="Dự thầu"/>
      <sheetName val="Nhap VT oto"/>
      <sheetName val="MTL(AG)"/>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BẢNG_KHỐI_LƯỢNG_TỔNG_HỢP"/>
      <sheetName val="CP_Khac_cuoc_VC"/>
      <sheetName val="Budget_Code"/>
      <sheetName val="CTKL_KTX_HT"/>
      <sheetName val="2_Chiet_tinh"/>
      <sheetName val="NHÀ_NHẬP_LIỆU"/>
      <sheetName val="MÓNG_SILO"/>
      <sheetName val="CDTK"/>
      <sheetName val="sort2"/>
      <sheetName val="소일위대가코드표"/>
      <sheetName val="DATA1"/>
      <sheetName val="TH TN"/>
      <sheetName val="Bill No.3 - Prov. Sum (Ph2&amp;3)"/>
      <sheetName val="RAB_AR&amp;STR3"/>
      <sheetName val="chi_tiet_TBA3"/>
      <sheetName val="chi_tiet_C3"/>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LV_data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subcon_sched1"/>
      <sheetName val="Bang_3_Chi_tiet_phan_Dz1"/>
      <sheetName val="KHOI_LUONG1"/>
      <sheetName val="HVAC_BLOCK_B41"/>
      <sheetName val="PRE_(E)1"/>
      <sheetName val="Tong_du_toan"/>
      <sheetName val="Bill_2_-_ketcau"/>
      <sheetName val="Chi_tiet_lan_can"/>
      <sheetName val="Analisa_&amp;_Upah"/>
      <sheetName val="13-Cốt_thép_(10mm&lt;D≤18mm)_FO16"/>
      <sheetName val="du_lieu_du_toan"/>
      <sheetName val="DL_ĐẦU_VÀO"/>
      <sheetName val="BOQ_THAN"/>
      <sheetName val="D_&amp;_W_sizes"/>
      <sheetName val="Du_lieu1"/>
      <sheetName val="cash_budget"/>
      <sheetName val="Luong_NII"/>
      <sheetName val="DINH_MUC_THI_NGHIEM"/>
      <sheetName val="Luong_NI"/>
      <sheetName val="Phan_tich"/>
      <sheetName val="CT_Thang_Mo"/>
      <sheetName val="CT__PL"/>
      <sheetName val="dongia__2_"/>
      <sheetName val="Thép_CKN"/>
      <sheetName val="GOC-KO_IN"/>
      <sheetName val="MAU_8A"/>
      <sheetName val="MAU_8B"/>
      <sheetName val="MAU_9"/>
      <sheetName val="MAU_10"/>
      <sheetName val="Don_gia_(khong_in)"/>
      <sheetName val="Dlieu_dau_vao"/>
      <sheetName val="DK1_Don_gia"/>
      <sheetName val="1_MONG_1-2"/>
      <sheetName val="BANCO_(2)"/>
      <sheetName val="MT_DPin_(2)"/>
      <sheetName val="02__PTDG"/>
      <sheetName val="Chiết_tính"/>
      <sheetName val="RAB_AR&amp;STR4"/>
      <sheetName val="chi_tiet_TBA4"/>
      <sheetName val="chi_tiet_C4"/>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Hao phí"/>
      <sheetName val="Structure data"/>
      <sheetName val="đọc số"/>
      <sheetName val="Ma don vi"/>
      <sheetName val="bang cc"/>
      <sheetName val="CP Du phong"/>
      <sheetName val="THCP Lap dat"/>
      <sheetName val="THCP xay dung"/>
      <sheetName val="Tong hop kinh phi"/>
      <sheetName val="QD79"/>
      <sheetName val="CP HMC"/>
      <sheetName val="HỆ THỐNG PHÒNG CHÁY CHỮA CHÁY"/>
      <sheetName val="HỆ THỐNG CẤP THOÁT NƯỚC"/>
      <sheetName val="HỆ THỐNG ĐHKK"/>
      <sheetName val="MÁY PHÁT ĐIỆN"/>
      <sheetName val="HỆ THỐNG ĐIỆN"/>
      <sheetName val="Thiết bị chính"/>
      <sheetName val="Dongiaxd"/>
      <sheetName val="Ｎｏ.13"/>
      <sheetName val="tra_vat_lieu"/>
      <sheetName val="DGchitiet "/>
      <sheetName val="wk prgs"/>
      <sheetName val="AG Pipe Qty Analysis"/>
      <sheetName val="Tongke"/>
      <sheetName val="2.1Warehouse 1"/>
      <sheetName val="CĂN HỘ T16-17 "/>
      <sheetName val="TRỤC ĐỨNG THOÁT BẨN T15-17"/>
      <sheetName val="TRỤC ĐỨNG TM T15-17"/>
      <sheetName val="Brick"/>
      <sheetName val="Bill 2-Road HR2"/>
      <sheetName val="Bill 3 - Softscape HR2"/>
      <sheetName val="見積書"/>
      <sheetName val="TNHC"/>
      <sheetName val="THEP TAM"/>
      <sheetName val="THEP HÌNH"/>
      <sheetName val="THEP HINH"/>
      <sheetName val="XA GO"/>
      <sheetName val="BANG TRA"/>
      <sheetName val="trialth"/>
      <sheetName val="1"/>
      <sheetName val="PCCC"/>
      <sheetName val="Est"/>
      <sheetName val="E-Breakdown"/>
      <sheetName val="CostData"/>
      <sheetName val="costingsheet"/>
      <sheetName val="Wind"/>
      <sheetName val="Main Bldg-Rev02"/>
      <sheetName val="D&amp;W def."/>
      <sheetName val="Nhan cong"/>
      <sheetName val="Thiet bi"/>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nkc"/>
      <sheetName val="Móng, nền "/>
      <sheetName val="1.Requisition(E)"/>
      <sheetName val="So lieu chung"/>
      <sheetName val="NHATKYC"/>
      <sheetName val="BCX_NL"/>
      <sheetName val="TONG HOP"/>
      <sheetName val="Tổng GT"/>
      <sheetName val="GT"/>
      <sheetName val="KL"/>
      <sheetName val="Chi tiết KL"/>
      <sheetName val="ca máy"/>
      <sheetName val="khấu trừ phạt"/>
      <sheetName val="GT  KHAU TRU"/>
      <sheetName val="HAO HUT VAT TU (2)"/>
      <sheetName val="cao độ"/>
      <sheetName val="Specs"/>
      <sheetName val="Data.Wall"/>
      <sheetName val="Dự toán"/>
      <sheetName val="Đơn Giá TH"/>
      <sheetName val="Nhân công"/>
      <sheetName val="Phân tích"/>
      <sheetName val="C.P Thiết bị"/>
      <sheetName val="T.H Kinh phí"/>
      <sheetName val="Vật tư"/>
      <sheetName val="Trang bìa"/>
      <sheetName val="phan tic chi tiet"/>
      <sheetName val="Thongtin"/>
      <sheetName val="DG 1426"/>
      <sheetName val="Dongia7606new"/>
      <sheetName val="Theo doi Doanh thu 2017"/>
      <sheetName val="gui BKCT"/>
      <sheetName val="VT190111"/>
      <sheetName val="Gia vat lieu"/>
      <sheetName val="Precios unitarios AXH"/>
      <sheetName val="ĐNTT"/>
      <sheetName val="GTH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
      <sheetName val="INF"/>
      <sheetName val="물량표"/>
      <sheetName val="Don gia chi tiet DIEN 2"/>
      <sheetName val="lam_moi"/>
      <sheetName val="7606(TT01)"/>
      <sheetName val="7606TBA(TT01)"/>
      <sheetName val="DG7606TBA"/>
      <sheetName val="CTTN"/>
      <sheetName val="Luong_Cnhan"/>
      <sheetName val="DMTN"/>
      <sheetName val="VatTU"/>
      <sheetName val="Door_and_window1"/>
      <sheetName val="TK_chi_tiet"/>
      <sheetName val="CHI_PHI"/>
      <sheetName val="Income_Statement2"/>
      <sheetName val="Shareholders'_Equity2"/>
      <sheetName val="VC_xd"/>
      <sheetName val="Gia_VLTB"/>
      <sheetName val="B_Luong"/>
      <sheetName val="C_May"/>
      <sheetName val="TB_NẶNG"/>
      <sheetName val="Du_tru_CP-Bieu_01"/>
      <sheetName val="dm_366"/>
      <sheetName val="DM_6060"/>
      <sheetName val="Dự_thầu"/>
      <sheetName val="Nhap_VT_oto"/>
      <sheetName val="Classification"/>
      <sheetName val="0. Input"/>
      <sheetName val="Danh mục"/>
      <sheetName val="Q.A01.2-Sh"/>
      <sheetName val="3. CNT"/>
      <sheetName val="unit price list(M)"/>
      <sheetName val="DMCT"/>
      <sheetName val="PNT_QUOT__3"/>
      <sheetName val="COAT_WRAP_QIOT__3"/>
      <sheetName val="Notes"/>
      <sheetName val="1.2 Staff Schedule"/>
      <sheetName val="BẢNG ÁP GIÁ (in)"/>
      <sheetName val="NT (KL) IN"/>
      <sheetName val="DOM D2"/>
      <sheetName val="nhà ăn"/>
      <sheetName val="Công nhật"/>
      <sheetName val="btkt cột"/>
      <sheetName val="THÉP"/>
      <sheetName val="125x125"/>
      <sheetName val="Bảng đo bóc KL OLK-09"/>
      <sheetName val="6.3 CHI TIET OLK-09"/>
      <sheetName val="NHAP"/>
      <sheetName val="Rate1"/>
      <sheetName val="TH VL, NC, DDHT Thanhphuoc"/>
      <sheetName val="전기"/>
      <sheetName val="Doi so"/>
      <sheetName val="SPEC"/>
      <sheetName val="VO-PS02-XD"/>
      <sheetName val="Chi tiet -tong 9 thang"/>
      <sheetName val="BangMa"/>
      <sheetName val="Ma_don_vi"/>
      <sheetName val="bang_cc"/>
      <sheetName val="유림콘도"/>
      <sheetName val="유림골조"/>
      <sheetName val="Btra"/>
      <sheetName val="DGiaT"/>
      <sheetName val="DGiaTN"/>
      <sheetName val="NEW-PANEL"/>
      <sheetName val="DuToan"/>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THKL"/>
      <sheetName val="DGCT SƠN BẢ TƯỜNG NLV"/>
      <sheetName val="DGKL TRẦN NHN"/>
      <sheetName val="T2-3"/>
      <sheetName val="Open"/>
      <sheetName val="Function"/>
      <sheetName val="Noisuy-LLL"/>
      <sheetName val="Cotthep.NPT"/>
      <sheetName val="vl.nc.mtc"/>
      <sheetName val="BQ-E20-02(Rp)"/>
      <sheetName val="F4-F7"/>
      <sheetName val="KL THEP  GIAM DO DUNG COUPLER"/>
      <sheetName val="01.KL THÉP NHẬP VỀ"/>
      <sheetName val="BBLMHT"/>
      <sheetName val="2. NT VLDV"/>
      <sheetName val="GHI CHU"/>
      <sheetName val="1.BB LMHT"/>
      <sheetName val="Bê tông bảo vệ"/>
      <sheetName val="01. Data"/>
      <sheetName val="Neo, nối cốt thép dầm, cột"/>
      <sheetName val="Uốn móc cốt thép"/>
      <sheetName val="Tiêu chuẩn cốt thép"/>
      <sheetName val="PERSONNELIST"/>
      <sheetName val="1. Office"/>
      <sheetName val="1.Civil (Org)"/>
      <sheetName val="villa"/>
      <sheetName val="A6"/>
      <sheetName val="KL thep lam sat"/>
      <sheetName val="Steel"/>
      <sheetName val="Order"/>
      <sheetName val="Data-year2001i"/>
      <sheetName val="Tien Thuong"/>
      <sheetName val="NC XL 6T cuoi 01 CTy"/>
      <sheetName val="Data -6T dau"/>
      <sheetName val="Cong 6T"/>
      <sheetName val="Bill Prelim-CDT"/>
      <sheetName val="Prelims"/>
      <sheetName val="Bill BPTC-CDT"/>
      <sheetName val="Chi tiết BPTC"/>
      <sheetName val="Bill BPTC-CDT (PA MCT CDT)"/>
      <sheetName val="Chi tiết BPTC (PA MCT CDT)"/>
      <sheetName val="TOSHIBA-Structure"/>
      <sheetName val="DM-VNT ko sd"/>
      <sheetName val="M1-XL-1c"/>
      <sheetName val="RAB_AR&amp;STR5"/>
      <sheetName val="chi_tiet_TBA5"/>
      <sheetName val="chi_tiet_C5"/>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7606_DZ5"/>
      <sheetName val="project_management4"/>
      <sheetName val="Don_gia_chi_tiet5"/>
      <sheetName val="Adix_A4"/>
      <sheetName val="S-curve_4"/>
      <sheetName val="REINF_4"/>
      <sheetName val="Rates_20094"/>
      <sheetName val="So_doi_chieu_LC4"/>
      <sheetName val="MAIN_GATE_HOUSE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DM_60614"/>
      <sheetName val="DG_thep_ma_kem4"/>
      <sheetName val="Lcau_-_Lxuc4"/>
      <sheetName val="Đầu_vào3"/>
      <sheetName val="Equip_3"/>
      <sheetName val="A1_CN3"/>
      <sheetName val="CT_vat_lieu4"/>
      <sheetName val="Trạm_biến_áp3"/>
      <sheetName val="Đơn_Giá_3"/>
      <sheetName val="Chi_tiet_XD_TBA3"/>
      <sheetName val="Chenh_lech_vat_tu3"/>
      <sheetName val="Diện_tích3"/>
      <sheetName val="1_Khái_toán3"/>
      <sheetName val="TONG_HOP_T5_19983"/>
      <sheetName val="CT-0_4KV3"/>
      <sheetName val="rate_material3"/>
      <sheetName val="KL_Chi_tiết_Xây_tô3"/>
      <sheetName val="DG_DZ4"/>
      <sheetName val="DG_TBA4"/>
      <sheetName val="04_-_XUONG_DET_B3"/>
      <sheetName val="Chi_tiet_KL3"/>
      <sheetName val="Tổng_hợp_KL3"/>
      <sheetName val="Bill_1_Quy_dinh_chung3"/>
      <sheetName val="1_R18_BF3"/>
      <sheetName val="6_External_works-R183"/>
      <sheetName val="07Base_Cost3"/>
      <sheetName val="_033"/>
      <sheetName val="chieu_day_san3"/>
      <sheetName val="Podium_Concrete_Works3"/>
      <sheetName val="KLCT-_TOWER3"/>
      <sheetName val="KLCT-_PODIUM3"/>
      <sheetName val="Gia_thanh_chuoi_su3"/>
      <sheetName val="Tiep_dia3"/>
      <sheetName val="Don_gia_vung_III-Can_Tho3"/>
      <sheetName val="Phan_khai_KLuong3"/>
      <sheetName val="Area_Cal3"/>
      <sheetName val="Elect_(3)3"/>
      <sheetName val="plan&amp;section_of_foundation3"/>
      <sheetName val="design_criteria3"/>
      <sheetName val="Bond_수수료_계산_포맷3"/>
      <sheetName val="ITB_COST3"/>
      <sheetName val="PAGE_13"/>
      <sheetName val="DM_673"/>
      <sheetName val="Đầu_tư3"/>
      <sheetName val="Loại_Vật_tư3"/>
      <sheetName val="EIRR&gt;_23"/>
      <sheetName val="Xay_lapduongR33"/>
      <sheetName val="dg_tphcm3"/>
      <sheetName val="T_KÊ_K_CẤU3"/>
      <sheetName val="Bill_01_-_CTN3"/>
      <sheetName val="Bill_2_2_Villa_2_beds3"/>
      <sheetName val="Data_Input4"/>
      <sheetName val="6787CWFASE2CASE2_00_xls3"/>
      <sheetName val="Project_Data3"/>
      <sheetName val="CẤP_THOÁT_NƯỚC3"/>
      <sheetName val="Cước_VC_+_ĐM_CP_Tư_vấn3"/>
      <sheetName val="Hệ_số3"/>
      <sheetName val="Vat_tu_XD3"/>
      <sheetName val="HÐ_ngoài4"/>
      <sheetName val="6PILE__(돌출)3"/>
      <sheetName val="THDT_goi_thau_TB3"/>
      <sheetName val="Tien_do_TV3"/>
      <sheetName val="Harga_ME_3"/>
      <sheetName val="Analisa_Gabungan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Tower_-_Concrete_Works3"/>
      <sheetName val="Bill-04_ket_cau_thap-_UNI3"/>
      <sheetName val="TH_Vat_tu3"/>
      <sheetName val="4_PTDG3"/>
      <sheetName val="A1,_May3"/>
      <sheetName val="Vat_lieu3"/>
      <sheetName val="Bang_trong_luong_rieng_thep3"/>
      <sheetName val="gia_cong_tac3"/>
      <sheetName val="Measure_13063"/>
      <sheetName val="GV1-D13_(Casement_door)3"/>
      <sheetName val="bridge_#_13"/>
      <sheetName val="LV_data3"/>
      <sheetName val="ESTI_3"/>
      <sheetName val="DETAIL_3"/>
      <sheetName val="Gia_vat_tu3"/>
      <sheetName val="Isolasi_Luar_Dalam3"/>
      <sheetName val="Isolasi_Luar3"/>
      <sheetName val="TH_MTC3"/>
      <sheetName val="TH_N_Cong3"/>
      <sheetName val="_Bill_5-Earthing_2_-_Add_Works3"/>
      <sheetName val="DATA_BASE3"/>
      <sheetName val="Equipment_list_(PAC)3"/>
      <sheetName val="KL_san_lap3"/>
      <sheetName val="Chenh_lech_ca_may3"/>
      <sheetName val="TLg_CN&amp;Laixe3"/>
      <sheetName val="TLg_CN&amp;Laixe_(2)3"/>
      <sheetName val="TLg_Laitau3"/>
      <sheetName val="TLg_Laitau_(2)3"/>
      <sheetName val="TINH_KHOI_LUONG3"/>
      <sheetName val="Buy_vs__Lease_Car3"/>
      <sheetName val="CP_Khac_cuoc_VC2"/>
      <sheetName val="Budget_Code2"/>
      <sheetName val="subcon_sched3"/>
      <sheetName val="Chi_tiet3"/>
      <sheetName val="Bang_3_Chi_tiet_phan_Dz3"/>
      <sheetName val="KHOI_LUONG3"/>
      <sheetName val="HVAC_BLOCK_B43"/>
      <sheetName val="PRE_(E)3"/>
      <sheetName val="BẢNG_KHỐI_LƯỢNG_TỔNG_HỢP2"/>
      <sheetName val="CTKL_KTX_HT2"/>
      <sheetName val="2_Chiet_tinh2"/>
      <sheetName val="NHÀ_NHẬP_LIỆU2"/>
      <sheetName val="MÓNG_SILO2"/>
      <sheetName val="Tong_du_toan2"/>
      <sheetName val="Bill_2_-_ketcau2"/>
      <sheetName val="Analisa_&amp;_Upah2"/>
      <sheetName val="BOQ_THAN2"/>
      <sheetName val="Chi_tiet_lan_can2"/>
      <sheetName val="13-Cốt_thép_(10mm&lt;D≤18mm)_FO162"/>
      <sheetName val="du_lieu_du_toan2"/>
      <sheetName val="Purchase_Order2"/>
      <sheetName val="D_&amp;_W_sizes2"/>
      <sheetName val="DL_ĐẦU_VÀO2"/>
      <sheetName val="Du_lieu3"/>
      <sheetName val="cash_budget2"/>
      <sheetName val="Phan_tich2"/>
      <sheetName val="Luong_NII2"/>
      <sheetName val="DINH_MUC_THI_NGHIEM2"/>
      <sheetName val="Luong_NI2"/>
      <sheetName val="CT_Thang_Mo2"/>
      <sheetName val="CT__PL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02__PTDG2"/>
      <sheetName val="BANCO_(2)2"/>
      <sheetName val="MT_DPin_(2)2"/>
      <sheetName val="Dlieu_dau_vao2"/>
      <sheetName val="Don_gia_(khong_in)2"/>
      <sheetName val="DK1_Don_gia2"/>
      <sheetName val="1_MONG_1-22"/>
      <sheetName val="Chiết_tính2"/>
      <sheetName val="wk_prgs"/>
      <sheetName val="TH_TN"/>
      <sheetName val="Bill_No_3_-_Prov__Sum_(Ph2&amp;3)"/>
      <sheetName val="2_1Warehouse_1"/>
      <sheetName val="đọc_số"/>
      <sheetName val="Data_Wall"/>
      <sheetName val="AG_Pipe_Qty_Analysis"/>
      <sheetName val="Hao_phí"/>
      <sheetName val="THEP_TAM"/>
      <sheetName val="THEP_HÌNH"/>
      <sheetName val="THEP_HINH"/>
      <sheetName val="XA_GO"/>
      <sheetName val="BANG_TRA"/>
      <sheetName val="CP_HMC"/>
      <sheetName val="Ｎｏ_13"/>
      <sheetName val="DGchitiet_"/>
      <sheetName val="Bill_2-Road_HR2"/>
      <sheetName val="Bill_3_-_Softscape_HR2"/>
      <sheetName val="CĂN_HỘ_T16-17_"/>
      <sheetName val="TRỤC_ĐỨNG_THOÁT_BẨN_T15-17"/>
      <sheetName val="TRỤC_ĐỨNG_TM_T15-17"/>
      <sheetName val="Chi_tiet_cong_no"/>
      <sheetName val="PHÁT_SINH_TẦNG_1_"/>
      <sheetName val="PHÁT_SINH_TẦNG_2"/>
      <sheetName val="Hầm_chuyển_psinh"/>
      <sheetName val="Ống_thẳng"/>
      <sheetName val="Côn_thu"/>
      <sheetName val="Vuông_tròn"/>
      <sheetName val="Chân_rẽ"/>
      <sheetName val="Chạc_ba"/>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날개벽수량표"/>
      <sheetName val="Pric塅䕃"/>
      <sheetName val="B3A - TOWER A"/>
      <sheetName val="Annex B"/>
      <sheetName val="음료실행"/>
      <sheetName val="내역서을지"/>
      <sheetName val="TLG Type"/>
      <sheetName val="1.San "/>
      <sheetName val="Tong hop vat tu"/>
      <sheetName val="Assumptions"/>
      <sheetName val="XLR_NoRangeSheet"/>
      <sheetName val="工艺分类库"/>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Trichluc"/>
      <sheetName val="dodat"/>
      <sheetName val="Dieutra"/>
      <sheetName val="catdoc"/>
      <sheetName val="diahinh"/>
      <sheetName val="Thop Ksat"/>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KHOI LUONG15-4"/>
      <sheetName val="HS"/>
      <sheetName val="Dot 4"/>
      <sheetName val="DLDT"/>
      <sheetName val="Dgia vat tu"/>
      <sheetName val="Don gia_III"/>
      <sheetName val="D÷ liÖu"/>
      <sheetName val="Chi phi van chuyen"/>
      <sheetName val="HRG BHN"/>
      <sheetName val="CĂN ĐH"/>
      <sheetName val="PV Graph Data"/>
      <sheetName val="GJ_06"/>
      <sheetName val="#REF!"/>
      <sheetName val="TH các CC"/>
      <sheetName val="dgtn"/>
      <sheetName val="Div26 - Elect"/>
      <sheetName val="DT hợp đồng"/>
      <sheetName val="Bảng KL đợt 1"/>
      <sheetName val="2.CDPS"/>
      <sheetName val="cuocbd"/>
      <sheetName val="CUOC"/>
      <sheetName val="DM_336cai tao"/>
      <sheetName val="개산공사비"/>
      <sheetName val="Gld"/>
      <sheetName val="Gxd"/>
      <sheetName val="Duthau"/>
      <sheetName val="7.Khau tru "/>
      <sheetName val="4 CĂN"/>
      <sheetName val="Calculation"/>
      <sheetName val="待摊费用明细表"/>
      <sheetName val="One Pager"/>
      <sheetName val="Dropdown"/>
      <sheetName val="PU_ITALY_25"/>
      <sheetName val="sales_current_month25"/>
      <sheetName val="View_Variance25"/>
      <sheetName val="Inventory_data25"/>
      <sheetName val="FORECAST_x_FAMILIA22"/>
      <sheetName val="Space_Analysis22"/>
      <sheetName val="Family"/>
      <sheetName val="CADE DETAIL"/>
      <sheetName val="PU_ITALY_26"/>
      <sheetName val="sales_current_month26"/>
      <sheetName val="View_Variance26"/>
      <sheetName val="Inventory_data26"/>
      <sheetName val="FORECAST_x_FAMILIA23"/>
      <sheetName val="Space_Analysis23"/>
      <sheetName val="PU_ITALY_27"/>
      <sheetName val="sales_current_month27"/>
      <sheetName val="View_Variance27"/>
      <sheetName val="Inventory_data27"/>
      <sheetName val="FORECAST_x_FAMILIA24"/>
      <sheetName val="Space_Analysis24"/>
      <sheetName val="CADE_DETAIL"/>
      <sheetName val="PU_ITALY_28"/>
      <sheetName val="sales_current_month28"/>
      <sheetName val="View_Variance28"/>
      <sheetName val="Inventory_data28"/>
      <sheetName val="FORECAST_x_FAMILIA25"/>
      <sheetName val="Space_Analysis25"/>
      <sheetName val="CADE_DETAIL1"/>
      <sheetName val="PRB Expense Q4 2013"/>
      <sheetName val="PU_ITALY_29"/>
      <sheetName val="sales_current_month29"/>
      <sheetName val="View_Variance29"/>
      <sheetName val="Inventory_data29"/>
      <sheetName val="FORECAST_x_FAMILIA26"/>
      <sheetName val="Space_Analysis26"/>
      <sheetName val="CADE_DETAIL2"/>
      <sheetName val="PU_ITALY_30"/>
      <sheetName val="sales_current_month30"/>
      <sheetName val="View_Variance30"/>
      <sheetName val="Inventory_data30"/>
      <sheetName val="FORECAST_x_FAMILIA27"/>
      <sheetName val="Space_Analysis27"/>
      <sheetName val="CADE_DETAIL3"/>
      <sheetName val="PRB_Expense_Q4_2013"/>
      <sheetName val="PU_ITALY_32"/>
      <sheetName val="sales_current_month32"/>
      <sheetName val="View_Variance32"/>
      <sheetName val="Inventory_data32"/>
      <sheetName val="FORECAST_x_FAMILIA29"/>
      <sheetName val="Space_Analysis29"/>
      <sheetName val="CADE_DETAIL5"/>
      <sheetName val="PRB_Expense_Q4_20132"/>
      <sheetName val="PU_ITALY_31"/>
      <sheetName val="sales_current_month31"/>
      <sheetName val="View_Variance31"/>
      <sheetName val="Inventory_data31"/>
      <sheetName val="FORECAST_x_FAMILIA28"/>
      <sheetName val="Space_Analysis28"/>
      <sheetName val="CADE_DETAIL4"/>
      <sheetName val="PRB_Expense_Q4_20131"/>
      <sheetName val="PU_ITALY_33"/>
      <sheetName val="sales_current_month33"/>
      <sheetName val="View_Variance33"/>
      <sheetName val="Inventory_data33"/>
      <sheetName val="FORECAST_x_FAMILIA30"/>
      <sheetName val="Space_Analysis30"/>
      <sheetName val="CADE_DETAIL6"/>
      <sheetName val="PRB_Expense_Q4_20133"/>
      <sheetName val="PU_ITALY_34"/>
      <sheetName val="sales_current_month34"/>
      <sheetName val="View_Variance34"/>
      <sheetName val="Inventory_data34"/>
      <sheetName val="FORECAST_x_FAMILIA31"/>
      <sheetName val="Space_Analysis31"/>
      <sheetName val="CADE_DETAIL7"/>
      <sheetName val="PRB_Expense_Q4_20134"/>
      <sheetName val="PU_ITALY_35"/>
      <sheetName val="sales_current_month35"/>
      <sheetName val="View_Variance35"/>
      <sheetName val="Inventory_data35"/>
      <sheetName val="FORECAST_x_FAMILIA32"/>
      <sheetName val="Space_Analysis32"/>
      <sheetName val="CADE_DETAIL8"/>
      <sheetName val="PRB_Expense_Q4_20135"/>
      <sheetName val="PU_ITALY_36"/>
      <sheetName val="sales_current_month36"/>
      <sheetName val="View_Variance36"/>
      <sheetName val="Inventory_data36"/>
      <sheetName val="FORECAST_x_FAMILIA33"/>
      <sheetName val="Space_Analysis33"/>
      <sheetName val="CADE_DETAIL9"/>
      <sheetName val="PRB_Expense_Q4_20136"/>
      <sheetName val="PU_ITALY_37"/>
      <sheetName val="sales_current_month37"/>
      <sheetName val="View_Variance37"/>
      <sheetName val="Inventory_data37"/>
      <sheetName val="FORECAST_x_FAMILIA34"/>
      <sheetName val="Space_Analysis34"/>
      <sheetName val="CADE_DETAIL10"/>
      <sheetName val="PRB_Expense_Q4_20137"/>
      <sheetName val="PU_ITALY_38"/>
      <sheetName val="sales_current_month38"/>
      <sheetName val="View_Variance38"/>
      <sheetName val="Inventory_data38"/>
      <sheetName val="FORECAST_x_FAMILIA35"/>
      <sheetName val="Space_Analysis35"/>
      <sheetName val="CADE_DETAIL11"/>
      <sheetName val="PRB_Expense_Q4_20138"/>
      <sheetName val="PU_ITALY_39"/>
      <sheetName val="sales_current_month39"/>
      <sheetName val="View_Variance39"/>
      <sheetName val="Inventory_data39"/>
      <sheetName val="FORECAST_x_FAMILIA36"/>
      <sheetName val="Space_Analysis36"/>
      <sheetName val="CADE_DETAIL12"/>
      <sheetName val="PRB_Expense_Q4_20139"/>
      <sheetName val="PU_ITALY_40"/>
      <sheetName val="sales_current_month40"/>
      <sheetName val="View_Variance40"/>
      <sheetName val="Inventory_data40"/>
      <sheetName val="FORECAST_x_FAMILIA37"/>
      <sheetName val="Space_Analysis37"/>
      <sheetName val="CADE_DETAIL13"/>
      <sheetName val="PRB_Expense_Q4_201310"/>
      <sheetName val="s"/>
      <sheetName val="SCB - Annexure A"/>
      <sheetName val="PL6-Revenue Bridge"/>
      <sheetName val="APR-MAR-03-04"/>
      <sheetName val="YOEMAGUM"/>
      <sheetName val="MAT"/>
      <sheetName val="Validation"/>
      <sheetName val="유통망계획"/>
      <sheetName val="Results"/>
      <sheetName val="PLGroupings"/>
      <sheetName val="Setup"/>
      <sheetName val="Full PBD"/>
      <sheetName val="BOM"/>
      <sheetName val="Dep"/>
      <sheetName val="Currency"/>
      <sheetName val="Non-Statistical Sampling"/>
      <sheetName val="PREV_RICAVI"/>
      <sheetName val="03 Detailed"/>
      <sheetName val="01 Bid Price summary"/>
      <sheetName val="FX"/>
      <sheetName val="Details Sales (local)"/>
      <sheetName val="03_Detailed"/>
      <sheetName val="01_Bid_Price_summary"/>
      <sheetName val="MTO_REV_2(ARMOR)"/>
      <sheetName val="Details_Sales_(local)"/>
      <sheetName val="ReservePayout"/>
      <sheetName val="03_Detailed1"/>
      <sheetName val="01_Bid_Price_summary1"/>
      <sheetName val="MTO_REV_2(ARMOR)1"/>
      <sheetName val="Details_Sales_(local)1"/>
      <sheetName val="Inputs"/>
      <sheetName val="KeyMultInputs"/>
      <sheetName val="O1"/>
      <sheetName val="M1"/>
      <sheetName val="H1"/>
      <sheetName val="To tied 2001 opening RE"/>
      <sheetName val="SLA cost distr FEB 2020"/>
      <sheetName val="Legal entities details"/>
      <sheetName val="Invoice base FEB 2020"/>
      <sheetName val="Le317 into 8050"/>
      <sheetName val="Changelog"/>
      <sheetName val="Basic principles to the distr."/>
      <sheetName val="Cost elements"/>
      <sheetName val="Ref rate change"/>
      <sheetName val="Synergi life credit"/>
      <sheetName val="Change in NH"/>
      <sheetName val="NPS to O&amp;G"/>
      <sheetName val="concil"/>
      <sheetName val="PU_ITALY_41"/>
      <sheetName val="sales_current_month41"/>
      <sheetName val="View_Variance41"/>
      <sheetName val="Inventory_data41"/>
      <sheetName val="FORECAST_x_FAMILIA38"/>
      <sheetName val="Space_Analysis38"/>
      <sheetName val="CADE_DETAIL14"/>
      <sheetName val="PRB_Expense_Q4_201311"/>
      <sheetName val="XPRODUCT"/>
      <sheetName val="Lists"/>
      <sheetName val="REVENUE_405C"/>
      <sheetName val="MTD_DSD"/>
      <sheetName val="QTD_DSD"/>
      <sheetName val="CentralAreaCategories"/>
      <sheetName val="PU_ITALY_42"/>
      <sheetName val="sales_current_month42"/>
      <sheetName val="View_Variance42"/>
      <sheetName val="Inventory_data42"/>
      <sheetName val="FORECAST_x_FAMILIA39"/>
      <sheetName val="Space_Analysis39"/>
      <sheetName val="final_list_200525"/>
      <sheetName val="Tro_giup24"/>
      <sheetName val="Labour_Summary16"/>
      <sheetName val="CADE_DETAIL15"/>
      <sheetName val="PRB_Expense_Q4_201312"/>
      <sheetName val="P&amp;L by Month"/>
      <sheetName val="Committed Items"/>
      <sheetName val="PU_ITALY_43"/>
      <sheetName val="sales_current_month43"/>
      <sheetName val="View_Variance43"/>
      <sheetName val="Inventory_data43"/>
      <sheetName val="FORECAST_x_FAMILIA40"/>
      <sheetName val="Space_Analysis40"/>
      <sheetName val="final_list_200526"/>
      <sheetName val="Tro_giup25"/>
      <sheetName val="Labour_Summary17"/>
      <sheetName val="CADE_DETAIL16"/>
      <sheetName val="PRB_Expense_Q4_201313"/>
      <sheetName val="PU_ITALY_44"/>
      <sheetName val="sales_current_month44"/>
      <sheetName val="View_Variance44"/>
      <sheetName val="Inventory_data44"/>
      <sheetName val="FORECAST_x_FAMILIA41"/>
      <sheetName val="Space_Analysis41"/>
      <sheetName val="final_list_200527"/>
      <sheetName val="Tro_giup26"/>
      <sheetName val="Labour_Summary18"/>
      <sheetName val="CADE_DETAIL17"/>
      <sheetName val="PRB_Expense_Q4_201314"/>
      <sheetName val="synthese"/>
      <sheetName val="PU_ITALY_45"/>
      <sheetName val="sales_current_month45"/>
      <sheetName val="View_Variance45"/>
      <sheetName val="Inventory_data45"/>
      <sheetName val="FORECAST_x_FAMILIA42"/>
      <sheetName val="Space_Analysis42"/>
      <sheetName val="final_list_200528"/>
      <sheetName val="Tro_giup27"/>
      <sheetName val="Labour_Summary19"/>
      <sheetName val="CADE_DETAIL18"/>
      <sheetName val="PRB_Expense_Q4_201315"/>
      <sheetName val="P&amp;L_by_Month"/>
      <sheetName val="Committed_Items"/>
      <sheetName val="dlvoid"/>
      <sheetName val="PU_ITALY_46"/>
      <sheetName val="sales_current_month46"/>
      <sheetName val="View_Variance46"/>
      <sheetName val="Inventory_data46"/>
      <sheetName val="FORECAST_x_FAMILIA43"/>
      <sheetName val="Space_Analysis43"/>
      <sheetName val="final_list_200529"/>
      <sheetName val="Tro_giup28"/>
      <sheetName val="Labour_Summary20"/>
      <sheetName val="CADE_DETAIL19"/>
      <sheetName val="PRB_Expense_Q4_201316"/>
      <sheetName val="P&amp;L_by_Month1"/>
      <sheetName val="Committed_Items1"/>
      <sheetName val="Risk Assessment"/>
      <sheetName val="Exhibit 2"/>
      <sheetName val="Share Price 2002"/>
      <sheetName val="Case"/>
      <sheetName val="SumVal"/>
      <sheetName val="Bank Rev"/>
      <sheetName val="Charts"/>
      <sheetName val="Fixed asset register"/>
      <sheetName val="YTD"/>
      <sheetName val="Eqpmnt Plng"/>
      <sheetName val="TRIAL BALANCE"/>
      <sheetName val="DPR 31st march"/>
      <sheetName val="CONSTANTES"/>
      <sheetName val="Merit_&amp;_Market_Grid"/>
      <sheetName val="current_month"/>
      <sheetName val="Blng__Vs_Coll_"/>
      <sheetName val="repeatative rejection"/>
      <sheetName val="ﾃﾞ-ﾀ"/>
      <sheetName val="Dec-18"/>
      <sheetName val="General Info"/>
      <sheetName val="98FORECAST (1)"/>
      <sheetName val="Scraps"/>
      <sheetName val="Mth-Vana"/>
      <sheetName val="DUMP"/>
      <sheetName val="AN 2000"/>
      <sheetName val="Utilization"/>
      <sheetName val="ING"/>
      <sheetName val="Process"/>
      <sheetName val="2020 RFS Summary"/>
      <sheetName val="Well Construction Summary"/>
      <sheetName val="Subsurface"/>
      <sheetName val="Offshore"/>
      <sheetName val="Logistics"/>
      <sheetName val="RFS 2020 - Details and Notes"/>
      <sheetName val="1. Questionnaire"/>
      <sheetName val="Sch2 - BalSht Summary"/>
      <sheetName val="Sch1 - P&amp;L Summary"/>
      <sheetName val="Cost of DM Water"/>
      <sheetName val="Imports-dataload"/>
      <sheetName val="Name"/>
      <sheetName val=" Payroll Empl (Wkng)"/>
      <sheetName val="CUSTOMER GROUP WISE"/>
      <sheetName val="Power &amp; Fuel (S)"/>
      <sheetName val="July 06-Mar 07"/>
      <sheetName val="TB"/>
      <sheetName val="Names"/>
      <sheetName val="43B"/>
      <sheetName val="Simulator Detail"/>
      <sheetName val="Trnf to Reimb."/>
      <sheetName val="Other assumptions"/>
      <sheetName val="Project ODC_NDEU"/>
      <sheetName val="DataValidation"/>
      <sheetName val="Sch 18 Bank"/>
      <sheetName val="Stock details"/>
      <sheetName val="Part A General"/>
      <sheetName val="DMSC"/>
      <sheetName val="Heso DZ"/>
      <sheetName val="DGiaDZ"/>
      <sheetName val="gtrinh"/>
      <sheetName val="A6,MAY"/>
      <sheetName val="DG_BINH THUAN"/>
      <sheetName val="Inputs_Sens"/>
      <sheetName val="IS_Sum_CM"/>
      <sheetName val="gia vt,nc,may"/>
      <sheetName val="Method_BouyancyFactor"/>
      <sheetName val="Method_PressureArea"/>
      <sheetName val="InputData"/>
      <sheetName val="B-2  (DPP)"/>
      <sheetName val="Huong dan"/>
      <sheetName val="Kyhieuloptratsonba"/>
      <sheetName val="KCCP"/>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gui_BKCT"/>
      <sheetName val="DG_1426"/>
      <sheetName val="1_2_Staff_Schedule"/>
      <sheetName val="BẢNG_ÁP_GIÁ_(in)"/>
      <sheetName val="NT_(KL)_IN"/>
      <sheetName val="DOM_D2"/>
      <sheetName val="nhà_ăn"/>
      <sheetName val="Công_nhật"/>
      <sheetName val="btkt_cột"/>
      <sheetName val="Chi_tiet_-tong_9_thang"/>
      <sheetName val="Don_gia_chi_tiet_DIEN_2"/>
      <sheetName val="0__Input"/>
      <sheetName val="Tong_hop_vat_tu"/>
      <sheetName val="Theo_doi_Doanh_thu_2017"/>
      <sheetName val="Gia_vat_lieu"/>
      <sheetName val="So_lieu_chung"/>
      <sheetName val="Precios_unitarios_AXH"/>
      <sheetName val="3__CNT"/>
      <sheetName val="unit_price_list(M)"/>
      <sheetName val="TH_VL,_NC,_DDHT_Thanhphuoc"/>
      <sheetName val="Bieu gia HD"/>
      <sheetName val="Don gia NC"/>
      <sheetName val="RAB_AR&amp;STR6"/>
      <sheetName val="chi_tiet_TBA6"/>
      <sheetName val="chi_tiet_C6"/>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TK_chi_tiet1"/>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TONG_HOP1"/>
      <sheetName val="phan_tic_chi_tiet1"/>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Financ. Overview"/>
      <sheetName val="Toolbox"/>
      <sheetName val="TINH GIA - SAN XUAT Vertico"/>
      <sheetName val="Dây"/>
      <sheetName val="Nuoc5T"/>
      <sheetName val="Dien5T"/>
      <sheetName val="CAP NUOC"/>
      <sheetName val="cấp nước trục nhà vs"/>
      <sheetName val="THOAT NUOC"/>
      <sheetName val="THOAT MUA"/>
      <sheetName val="Cáp phòng"/>
      <sheetName val="TMC ĐIỆN_Phi"/>
      <sheetName val="TMC Tổng"/>
      <sheetName val="TH Đèn Phòng L1"/>
      <sheetName val="TH Đèn Hầm L1"/>
      <sheetName val="TỦ MODULE T1"/>
      <sheetName val="APTOMAT"/>
      <sheetName val="DGIAgoi1"/>
      <sheetName val="BTK-Dai Hoc Kien Giang"/>
      <sheetName val="doanh thu"/>
      <sheetName val="Dutoan KL"/>
      <sheetName val="MB.DT.02"/>
      <sheetName val="01-&gt;12"/>
      <sheetName val="Article"/>
      <sheetName val="COVER"/>
      <sheetName val="13.BANG CT"/>
      <sheetName val="14.MMUS GIUA NHIP"/>
      <sheetName val="4.HSPBngang"/>
      <sheetName val="6.Tinh tai"/>
      <sheetName val="2 NSl"/>
      <sheetName val="17.US CHU tho a_b"/>
      <sheetName val="15.MMUS GOI"/>
      <sheetName val="5.2.1 Đo bóc KL OLK-06"/>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Tổng hợp KPHM"/>
      <sheetName val="Cong"/>
      <sheetName val="DZ 22KV"/>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BANRA"/>
      <sheetName val="Tabela1"/>
      <sheetName val="Danh mục khối"/>
      <sheetName val="Danh mục đơn vị -phòng chức năn"/>
      <sheetName val="Kê 0,4"/>
      <sheetName val="TH 0,4"/>
      <sheetName val="Kê 22"/>
      <sheetName val="TH 22"/>
      <sheetName val="TBA CAI TAO"/>
      <sheetName val="TBA XDM"/>
      <sheetName val="V-N-M"/>
      <sheetName val="TONG HOP DU TOAN"/>
      <sheetName val="Thop XAY DUNG"/>
      <sheetName val="CP HANG MUC CHUNG"/>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BT3"/>
      <sheetName val="QUO"/>
      <sheetName val="DT"/>
      <sheetName val="Giathau"/>
      <sheetName val="KS tuyen"/>
      <sheetName val="THTL"/>
      <sheetName val="CP(dz)"/>
      <sheetName val="THCT"/>
      <sheetName val="Bang chiet tinh TBA"/>
      <sheetName val="Dinh muc"/>
      <sheetName val="TDTKP"/>
      <sheetName val="DK-KH"/>
      <sheetName val="Annual_CFs_Asset"/>
      <sheetName val="PTVT"/>
      <sheetName val="GIÁ DỰ THẦU 30 CĂN"/>
      <sheetName val="datatt"/>
      <sheetName val="Hệ_qố2"/>
      <sheetName val="CTDZTA(5)"/>
      <sheetName val="THONG SO"/>
      <sheetName val="Đơn giá chi tiết TN 39"/>
      <sheetName val="Gia VT-TB"/>
      <sheetName val="noi suy xa"/>
      <sheetName val="noi suy xa thu hoi"/>
      <sheetName val="Painting"/>
      <sheetName val="EQUIP LIST"/>
      <sheetName val="영동(D)"/>
      <sheetName val="electrical"/>
      <sheetName val="So sanh"/>
      <sheetName val="DG Chi tiet"/>
      <sheetName val=" 1710 HOINGHINLD"/>
      <sheetName val="99"/>
      <sheetName val="99 (2)"/>
      <sheetName val="134 "/>
      <sheetName val="DG-1776KV4"/>
      <sheetName val="DG 4970"/>
      <sheetName val="DM-1776"/>
      <sheetName val="Electrical Works"/>
      <sheetName val="H_T_ INCOMING SYSTEM"/>
      <sheetName val="DT. NHA XUONG"/>
      <sheetName val="DI_ESTI"/>
      <sheetName val="4.2.1 Đo bóc KL OLK-06"/>
      <sheetName val="4.1.1 CHI TIET OLK-06"/>
      <sheetName val="CAUDIT"/>
      <sheetName val="EQT-ESTN"/>
      <sheetName val="Yield"/>
      <sheetName val="說明"/>
      <sheetName val="SUMDETAIL"/>
      <sheetName val="Factory"/>
      <sheetName val="Matchung"/>
      <sheetName val="BU LONG"/>
      <sheetName val="ĐNVT"/>
      <sheetName val="ĐNBL"/>
      <sheetName val="CTLK"/>
      <sheetName val="Thuyết minh"/>
      <sheetName val="Đơn giá máy"/>
      <sheetName val="Tính giá NC"/>
      <sheetName val="SL cước"/>
      <sheetName val="Items"/>
      <sheetName val="Detail"/>
      <sheetName val="¥ "/>
      <sheetName val="KLall"/>
      <sheetName val="THKP957"/>
      <sheetName val="Tiên lượng"/>
      <sheetName val="ABUT수량-A1"/>
      <sheetName val="DCQ"/>
      <sheetName val="DCS"/>
      <sheetName val="DD"/>
      <sheetName val="dulieumong"/>
      <sheetName val="係数"/>
      <sheetName val="8521"/>
      <sheetName val="Package1"/>
      <sheetName val="Bill No.1.6"/>
      <sheetName val="Bill No.1.10"/>
      <sheetName val="Bill No.3.3"/>
      <sheetName val="Bill No.1.4"/>
      <sheetName val="Bill No.1.7"/>
      <sheetName val="Summary Bill No. 3"/>
      <sheetName val="Tong DT"/>
      <sheetName val="phan tich don gia"/>
      <sheetName val="Unit price"/>
      <sheetName val="설계내역서"/>
      <sheetName val="BID"/>
      <sheetName val="현장별"/>
      <sheetName val="데리네이타현황"/>
      <sheetName val="112016"/>
      <sheetName val="Bán đợt 1 trang"/>
      <sheetName val="基本"/>
      <sheetName val="149-2"/>
      <sheetName val="DI-ESTI"/>
      <sheetName val="3. KC - PODIUM"/>
      <sheetName val="RAB_AR&amp;STR7"/>
      <sheetName val="chi_tiet_TBA7"/>
      <sheetName val="chi_tiet_C7"/>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Don_gia_chi_tiet7"/>
      <sheetName val="project_management6"/>
      <sheetName val="Adix_A6"/>
      <sheetName val="S-curve_6"/>
      <sheetName val="REINF_6"/>
      <sheetName val="Rates_20096"/>
      <sheetName val="MAIN_GATE_HOUSE6"/>
      <sheetName val="So_doi_chieu_LC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Bang_KL6"/>
      <sheetName val="TONG_HOP_VL-NC6"/>
      <sheetName val="MH_RATE6"/>
      <sheetName val="Lcau_-_Lxuc6"/>
      <sheetName val="CT_vat_lieu6"/>
      <sheetName val="Equip_5"/>
      <sheetName val="A1_CN5"/>
      <sheetName val="DG_thep_ma_kem6"/>
      <sheetName val="Đầu_vào5"/>
      <sheetName val="DM_60616"/>
      <sheetName val="Trạm_biến_áp5"/>
      <sheetName val="Đơn_Giá_5"/>
      <sheetName val="Chi_tiet_XD_TBA5"/>
      <sheetName val="Chenh_lech_vat_tu5"/>
      <sheetName val="Diện_tích5"/>
      <sheetName val="1_Khái_toán5"/>
      <sheetName val="TONG_HOP_T5_19985"/>
      <sheetName val="CT-0_4KV5"/>
      <sheetName val="KL_Chi_tiết_Xây_tô5"/>
      <sheetName val="rate_material5"/>
      <sheetName val="04_-_XUONG_DET_B5"/>
      <sheetName val="DG_DZ6"/>
      <sheetName val="DG_TBA6"/>
      <sheetName val="Bill_1_Quy_dinh_chung5"/>
      <sheetName val="1_R18_BF5"/>
      <sheetName val="6_External_works-R185"/>
      <sheetName val="07Base_Cost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Area_Cal5"/>
      <sheetName val="Phan_khai_KLuong5"/>
      <sheetName val="Elect_(3)5"/>
      <sheetName val="plan&amp;section_of_foundation5"/>
      <sheetName val="design_criteria5"/>
      <sheetName val="Bond_수수료_계산_포맷5"/>
      <sheetName val="ITB_COST5"/>
      <sheetName val="PAGE_15"/>
      <sheetName val="DM_675"/>
      <sheetName val="Đầu_tư5"/>
      <sheetName val="Loại_Vật_tư5"/>
      <sheetName val="Xay_lapduongR35"/>
      <sheetName val="EIRR&gt;_25"/>
      <sheetName val="6787CWFASE2CASE2_00_xls5"/>
      <sheetName val="Project_Data5"/>
      <sheetName val="4_PTDG5"/>
      <sheetName val="A1,_May5"/>
      <sheetName val="Vat_lieu5"/>
      <sheetName val="Data_Input6"/>
      <sheetName val="dg_tphcm5"/>
      <sheetName val="T_KÊ_K_CẤU5"/>
      <sheetName val="Bill_01_-_CTN5"/>
      <sheetName val="Bill_2_2_Villa_2_beds5"/>
      <sheetName val="Bill_02_-_Xay_gach-Pou_5"/>
      <sheetName val="Bill_03-Chống_thấm-Pou5"/>
      <sheetName val="Bill_04-Kim_loại-Pou5"/>
      <sheetName val="Bill_05_-_Hoan_thien-Pou_5"/>
      <sheetName val="Bill_02_-_Xay_gach-Tower5"/>
      <sheetName val="Bill_03-Chống_thấm-Tower5"/>
      <sheetName val="Bill_04-Kim_loại-Tower5"/>
      <sheetName val="Bill_05_-_Hoan_thien-Tower5"/>
      <sheetName val="KL-_KHAC5"/>
      <sheetName val="BILL_3_-_KẾT_CẤU_HẦM5"/>
      <sheetName val="PTĐG_LTBT5"/>
      <sheetName val="CTG-PRECHEx1_45"/>
      <sheetName val="CTG-AB_(2)5"/>
      <sheetName val="CTG-AB_(3)5"/>
      <sheetName val="CTG-PLP-1_085"/>
      <sheetName val="Pre_Đội_nhóm5"/>
      <sheetName val="Vat_tu_XD5"/>
      <sheetName val="Tower_-_Concrete_Works5"/>
      <sheetName val="Bill-04_ket_cau_thap-_UNI5"/>
      <sheetName val="TH_Vat_tu5"/>
      <sheetName val="Bang_trong_luong_rieng_thep5"/>
      <sheetName val="gia_cong_tac5"/>
      <sheetName val="Measure_13065"/>
      <sheetName val="ESTI_5"/>
      <sheetName val="KL_san_lap5"/>
      <sheetName val="HÐ_ngoài6"/>
      <sheetName val="6PILE__(돌출)5"/>
      <sheetName val="CẤP_THOÁT_NƯỚC5"/>
      <sheetName val="Cước_VC_+_ĐM_CP_Tư_vấn5"/>
      <sheetName val="Hệ_số5"/>
      <sheetName val="Harga_ME_5"/>
      <sheetName val="Analisa_Gabungan5"/>
      <sheetName val="bridge_#_15"/>
      <sheetName val="THDT_goi_thau_TB5"/>
      <sheetName val="Tien_do_TV5"/>
      <sheetName val="GV1-D13_(Casement_door)5"/>
      <sheetName val="Isolasi_Luar_Dalam5"/>
      <sheetName val="Isolasi_Luar5"/>
      <sheetName val="DATA_BASE5"/>
      <sheetName val="Equipment_list_(PAC)5"/>
      <sheetName val="DETAIL_5"/>
      <sheetName val="_Bill_5-Earthing_2_-_Add_Works5"/>
      <sheetName val="LV_data5"/>
      <sheetName val="Gia_vat_tu5"/>
      <sheetName val="TINH_KHOI_LUONG5"/>
      <sheetName val="TH_MTC5"/>
      <sheetName val="TH_N_Cong5"/>
      <sheetName val="Chi_tiet5"/>
      <sheetName val="Buy_vs__Lease_Car5"/>
      <sheetName val="NHÀ_NHẬP_LIỆU4"/>
      <sheetName val="MÓNG_SILO4"/>
      <sheetName val="Chenh_lech_ca_may5"/>
      <sheetName val="TLg_CN&amp;Laixe5"/>
      <sheetName val="TLg_CN&amp;Laixe_(2)5"/>
      <sheetName val="TLg_Laitau5"/>
      <sheetName val="TLg_Laitau_(2)5"/>
      <sheetName val="Bang_3_Chi_tiet_phan_Dz5"/>
      <sheetName val="KHOI_LUONG5"/>
      <sheetName val="Budget_Code4"/>
      <sheetName val="CP_Khac_cuoc_VC4"/>
      <sheetName val="subcon_sched5"/>
      <sheetName val="PRE_(E)5"/>
      <sheetName val="CTKL_KTX_HT4"/>
      <sheetName val="BOQ_THAN4"/>
      <sheetName val="2_Chiet_tinh4"/>
      <sheetName val="BẢNG_KHỐI_LƯỢNG_TỔNG_HỢP4"/>
      <sheetName val="HVAC_BLOCK_B45"/>
      <sheetName val="Tong_du_toan4"/>
      <sheetName val="Bill_2_-_ketcau4"/>
      <sheetName val="Chi_tiet_lan_can4"/>
      <sheetName val="13-Cốt_thép_(10mm&lt;D≤18mm)_FO164"/>
      <sheetName val="du_lieu_du_toan4"/>
      <sheetName val="D_&amp;_W_sizes4"/>
      <sheetName val="Analisa_&amp;_Upah4"/>
      <sheetName val="Purchase_Order4"/>
      <sheetName val="DL_ĐẦU_VÀO4"/>
      <sheetName val="Du_lieu5"/>
      <sheetName val="cash_budget4"/>
      <sheetName val="Luong_NII4"/>
      <sheetName val="DINH_MUC_THI_NGHIEM4"/>
      <sheetName val="Luong_NI4"/>
      <sheetName val="Phan_tich4"/>
      <sheetName val="CT_Thang_Mo4"/>
      <sheetName val="CT__PL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on_gia_(khong_in)4"/>
      <sheetName val="Dlieu_dau_vao4"/>
      <sheetName val="DK1_Don_gia4"/>
      <sheetName val="1_MONG_1-24"/>
      <sheetName val="BANCO_(2)4"/>
      <sheetName val="MT_DPin_(2)4"/>
      <sheetName val="02__PTDG4"/>
      <sheetName val="Chiết_tính4"/>
      <sheetName val="Nhap_VT_oto2"/>
      <sheetName val="dm_3662"/>
      <sheetName val="DM_60602"/>
      <sheetName val="Bill_No_3_-_Prov__Sum_(Ph2&amp;3)2"/>
      <sheetName val="Du_tru_CP-Bieu_012"/>
      <sheetName val="TB_NẶNG2"/>
      <sheetName val="TH_TN2"/>
      <sheetName val="wk_prgs2"/>
      <sheetName val="Ma_don_vi2"/>
      <sheetName val="bang_cc2"/>
      <sheetName val="Income_Statement4"/>
      <sheetName val="Shareholders'_Equity4"/>
      <sheetName val="VC_xd2"/>
      <sheetName val="Gia_VLTB2"/>
      <sheetName val="B_Luong2"/>
      <sheetName val="C_May2"/>
      <sheetName val="AG_Pipe_Qty_Analysis2"/>
      <sheetName val="THEP_TAM2"/>
      <sheetName val="THEP_HÌNH2"/>
      <sheetName val="THEP_HINH2"/>
      <sheetName val="XA_GO2"/>
      <sheetName val="BANG_TRA2"/>
      <sheetName val="2_1Warehouse_12"/>
      <sheetName val="đọc_số2"/>
      <sheetName val="Data_Wall2"/>
      <sheetName val="Hao_phí2"/>
      <sheetName val="CĂN_HỘ_T16-17_2"/>
      <sheetName val="TRỤC_ĐỨNG_THOÁT_BẨN_T15-172"/>
      <sheetName val="TRỤC_ĐỨNG_TM_T15-172"/>
      <sheetName val="Ｎｏ_132"/>
      <sheetName val="DGchitiet_2"/>
      <sheetName val="Bill_2-Road_HR22"/>
      <sheetName val="Bill_3_-_Softscape_HR22"/>
      <sheetName val="TK_chi_tiet2"/>
      <sheetName val="Dự_thầu2"/>
      <sheetName val="CP_HMC2"/>
      <sheetName val="Structure_data2"/>
      <sheetName val="CP_Du_phong2"/>
      <sheetName val="THCP_Lap_dat2"/>
      <sheetName val="THCP_xay_dung2"/>
      <sheetName val="Tong_hop_kinh_phi2"/>
      <sheetName val="HỆ_THỐNG_PHÒNG_CHÁY_CHỮA_CHÁY2"/>
      <sheetName val="HỆ_THỐNG_CẤP_THOÁT_NƯỚC2"/>
      <sheetName val="HỆ_THỐNG_ĐHKK2"/>
      <sheetName val="MÁY_PHÁT_ĐIỆN2"/>
      <sheetName val="HỆ_THỐNG_ĐIỆN2"/>
      <sheetName val="Thiết_bị_chính2"/>
      <sheetName val="CHI_PHI2"/>
      <sheetName val="Chi_tiet_-tong_9_thang1"/>
      <sheetName val="Don_gia_chi_tiet_DIEN_21"/>
      <sheetName val="Móng,_nền_2"/>
      <sheetName val="Main_Bldg-Rev022"/>
      <sheetName val="D&amp;W_def_2"/>
      <sheetName val="Nhan_cong2"/>
      <sheetName val="Thiet_bi2"/>
      <sheetName val="Vat_tu2"/>
      <sheetName val="DM_ChiPhi2"/>
      <sheetName val="May_TC2"/>
      <sheetName val="TH_Kinh_phi2"/>
      <sheetName val="Ptvl_2"/>
      <sheetName val="DG_14261"/>
      <sheetName val="1_Requisition(E)2"/>
      <sheetName val="Tổng_GT2"/>
      <sheetName val="Chi_tiết_KL2"/>
      <sheetName val="ca_máy2"/>
      <sheetName val="khấu_trừ_phạt2"/>
      <sheetName val="GT__KHAU_TRU2"/>
      <sheetName val="HAO_HUT_VAT_TU_(2)2"/>
      <sheetName val="cao_độ2"/>
      <sheetName val="gui_BKCT1"/>
      <sheetName val="Theo_doi_Doanh_thu_20171"/>
      <sheetName val="Chi_tiet_cong_no2"/>
      <sheetName val="PHÁT_SINH_TẦNG_1_2"/>
      <sheetName val="PHÁT_SINH_TẦNG_22"/>
      <sheetName val="Hầm_chuyển_psinh2"/>
      <sheetName val="Ống_thẳng2"/>
      <sheetName val="Côn_thu2"/>
      <sheetName val="Vuông_tròn2"/>
      <sheetName val="Chân_rẽ2"/>
      <sheetName val="Chạc_ba2"/>
      <sheetName val="Dự_toán2"/>
      <sheetName val="Đơn_Giá_TH2"/>
      <sheetName val="Nhân_công2"/>
      <sheetName val="Phân_tích2"/>
      <sheetName val="C_P_Thiết_bị2"/>
      <sheetName val="T_H_Kinh_phí2"/>
      <sheetName val="Vật_tư2"/>
      <sheetName val="Trang_bìa2"/>
      <sheetName val="TONG_HOP2"/>
      <sheetName val="phan_tic_chi_tiet2"/>
      <sheetName val="Precios_unitarios_AXH1"/>
      <sheetName val="BẢNG_ÁP_GIÁ_(in)1"/>
      <sheetName val="NT_(KL)_IN1"/>
      <sheetName val="DOM_D21"/>
      <sheetName val="nhà_ăn1"/>
      <sheetName val="Công_nhật1"/>
      <sheetName val="btkt_cột1"/>
      <sheetName val="TH_các_CC1"/>
      <sheetName val="0__Input1"/>
      <sheetName val="1_2_Staff_Schedule1"/>
      <sheetName val="Bill_Prelim-CDT1"/>
      <sheetName val="Bill_BPTC-CDT1"/>
      <sheetName val="Chi_tiết_BPTC1"/>
      <sheetName val="Bill_BPTC-CDT_(PA_MCT_CDT)1"/>
      <sheetName val="Chi_tiết_BPTC_(PA_MCT_CDT)1"/>
      <sheetName val="3__CNT1"/>
      <sheetName val="unit_price_list(M)1"/>
      <sheetName val="Gia_vat_lieu1"/>
      <sheetName val="So_lieu_chung1"/>
      <sheetName val="TH_VL,_NC,_DDHT_Thanhphuoc1"/>
      <sheetName val="Doi_so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DM-VNT_ko_sd1"/>
      <sheetName val="Bảng_đo_bóc_KL_OLK-091"/>
      <sheetName val="6_3_CHI_TIET_OLK-091"/>
      <sheetName val="Cotthep_NPT1"/>
      <sheetName val="vl_nc_mtc1"/>
      <sheetName val="1_Civil_(Org)1"/>
      <sheetName val="KL_THEP__GIAM_DO_DUNG_COUPLER1"/>
      <sheetName val="01_KL_THÉP_NHẬP_VỀ1"/>
      <sheetName val="2__NT_VLDV1"/>
      <sheetName val="GHI_CHU1"/>
      <sheetName val="1_BB_LMHT1"/>
      <sheetName val="Bê_tông_bảo_vệ1"/>
      <sheetName val="01__Data1"/>
      <sheetName val="Neo,_nối_cốt_thép_dầm,_cột1"/>
      <sheetName val="Uốn_móc_cốt_thép1"/>
      <sheetName val="Tiêu_chuẩn_cốt_thép1"/>
      <sheetName val="1__Office1"/>
      <sheetName val="KL_thep_lam_sat1"/>
      <sheetName val="Tien_Thuong1"/>
      <sheetName val="NC_XL_6T_cuoi_01_CTy1"/>
      <sheetName val="Data_-6T_dau1"/>
      <sheetName val="Cong_6T1"/>
      <sheetName val="1_San_1"/>
      <sheetName val="Tong_hop_vat_tu1"/>
      <sheetName val="B3A_-_TOWER_A1"/>
      <sheetName val="Annex_B1"/>
      <sheetName val="TLG_Type1"/>
      <sheetName val="KHOI_LUONG15-41"/>
      <sheetName val="Dgia_vat_tu1"/>
      <sheetName val="Don_gia_III1"/>
      <sheetName val="D÷_liÖu1"/>
      <sheetName val="Dot_4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2_CDPS1"/>
      <sheetName val="Heso_DZ1"/>
      <sheetName val="DM_336cai_tao1"/>
      <sheetName val="DG_BINH_THUAN1"/>
      <sheetName val="7_Khau_tru_1"/>
      <sheetName val="4_CĂN1"/>
      <sheetName val="HRG_BHN1"/>
      <sheetName val="CĂN_ĐH1"/>
      <sheetName val="Q_A01_2-Sh1"/>
      <sheetName val="B-2__(DPP)1"/>
      <sheetName val="Div26_-_Elect1"/>
      <sheetName val="DT_hợp_đồng"/>
      <sheetName val="Bảng_KL_đợt_1"/>
      <sheetName val="Danh_mục"/>
      <sheetName val="Don_gia_NC1"/>
      <sheetName val="Bieu_gia_HD"/>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13_BANG_CT"/>
      <sheetName val="14_MMUS_GIUA_NHIP"/>
      <sheetName val="4_HSPBngang"/>
      <sheetName val="6_Tinh_tai"/>
      <sheetName val="2_NSl"/>
      <sheetName val="17_US_CHU_tho_a_b"/>
      <sheetName val="15_MMUS_GOI"/>
      <sheetName val="Financ__Overview"/>
      <sheetName val="gia_vt,nc,may"/>
      <sheetName val="TINH_GIA_-_SAN_XUAT_Vertico"/>
      <sheetName val="Huong_dan"/>
      <sheetName val="DZ_22KV"/>
      <sheetName val="BTK-Dai_Hoc_Kien_Giang"/>
      <sheetName val="PV_Graph_Data"/>
      <sheetName val="doanh_thu"/>
      <sheetName val="Dutoan_KL"/>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Tổng_hợp_KPHM"/>
      <sheetName val="Dinh_muc"/>
      <sheetName val="5_2_1_Đo_bóc_KL_OLK-06"/>
      <sheetName val="KS_tuyen"/>
      <sheetName val="Bang_chiet_tinh_TBA"/>
      <sheetName val="GIÁ_DỰ_THẦU_30_CĂN"/>
      <sheetName val="MB_DT_02"/>
      <sheetName val="So_sanh"/>
      <sheetName val="DT__NHA_XUONG"/>
      <sheetName val="dg-VTu"/>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BU_LONG"/>
      <sheetName val="DG_Chi_tiet"/>
      <sheetName val="_1710_HOINGHINLD"/>
      <sheetName val="99_(2)"/>
      <sheetName val="134_"/>
      <sheetName val="DG_4970"/>
      <sheetName val="Electrical_Works"/>
      <sheetName val="H_T__INCOMING_SYSTEM"/>
      <sheetName val="THONG_SO"/>
      <sheetName val="Đơn_giá_chi_tiết_TN_39"/>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Links"/>
      <sheetName val="Lead"/>
      <sheetName val="DT san XD-So lieu cu"/>
      <sheetName val="FF-2 (1)"/>
      <sheetName val="FSA"/>
      <sheetName val="DSKH"/>
      <sheetName val="ThongtinDN"/>
      <sheetName val="DM DU AN"/>
      <sheetName val="DM TP."/>
      <sheetName val="File Chi tiet"/>
      <sheetName val="DW"/>
      <sheetName val="DWD"/>
      <sheetName val="DW1"/>
      <sheetName val="pctg"/>
      <sheetName val="M-work"/>
      <sheetName val="WORK"/>
      <sheetName val="DWi"/>
      <sheetName val="PC=FLAT"/>
      <sheetName val="Cert1"/>
      <sheetName val="dats"/>
      <sheetName val="CHITIET VL-NCHT1 (2)"/>
      <sheetName val="tuong"/>
      <sheetName val="Tien Luong"/>
      <sheetName val="Bù giá CM"/>
      <sheetName val="Chiet tinh dz35"/>
      <sheetName val="DG3285"/>
      <sheetName val="CashFlows"/>
      <sheetName val="Breakdown (B)"/>
      <sheetName val="U.P_Breakdown"/>
      <sheetName val="기안"/>
      <sheetName val="선가03C"/>
      <sheetName val="갑지(추정)"/>
      <sheetName val="Home Office Manhours"/>
      <sheetName val="Field SPV Barchart"/>
      <sheetName val="95D"/>
      <sheetName val="94D"/>
      <sheetName val="SucChiuTaiCuaCoc"/>
      <sheetName val="Bordereau"/>
      <sheetName val="Solieu"/>
      <sheetName val="Unit price(Updateting)"/>
      <sheetName val="Cost List"/>
      <sheetName val="Detail Cost"/>
      <sheetName val="IC Price New"/>
      <sheetName val="QUOTE-IC"/>
      <sheetName val="Summary Table"/>
      <sheetName val="Sales Person"/>
      <sheetName val="Bidding Entity"/>
      <sheetName val="DOA"/>
      <sheetName val="MES"/>
      <sheetName val="CAN DOI - KET QUA"/>
      <sheetName val="Duties"/>
      <sheetName val="GSR"/>
      <sheetName val="GR"/>
      <sheetName val="Tables"/>
      <sheetName val="Pivot Financials"/>
      <sheetName val="Instructions"/>
      <sheetName val="Review 2015"/>
      <sheetName val="Content"/>
      <sheetName val="ScoreCard"/>
      <sheetName val="People "/>
      <sheetName val="Production volumes"/>
      <sheetName val="KPIs"/>
      <sheetName val="Salary increase budget assump."/>
      <sheetName val="Production initiative"/>
      <sheetName val="Quality"/>
      <sheetName val="Prod. KPI - OEE%"/>
      <sheetName val="B&amp;P.KPI"/>
      <sheetName val="Customer SC"/>
      <sheetName val="Production KPIs"/>
      <sheetName val="Total losses"/>
      <sheetName val="Savings overview"/>
      <sheetName val="Prod FTE Dev."/>
      <sheetName val="Log FTE Dev."/>
      <sheetName val="Loss tree"/>
      <sheetName val="Inventory development"/>
      <sheetName val="DPO"/>
      <sheetName val="CAPEX"/>
      <sheetName val="Capex Phasing"/>
      <sheetName val="Std to Std MC only"/>
      <sheetName val="Top 20 BOM"/>
      <sheetName val="MC Development OLD"/>
      <sheetName val="PVM"/>
      <sheetName val="NMC &amp; Log Ass."/>
      <sheetName val=" Material Ass."/>
      <sheetName val="GtN"/>
      <sheetName val="COGS Dev."/>
      <sheetName val="MC Dev."/>
      <sheetName val="NMC Dev."/>
      <sheetName val="NMC Development OLD"/>
      <sheetName val="Log Dev."/>
      <sheetName val="Prod. capex overview"/>
      <sheetName val="Production - Risks &amp; Opport."/>
      <sheetName val="AOCM Overview"/>
      <sheetName val="AOCM Cost Group Summary"/>
      <sheetName val="Sievo Saving"/>
      <sheetName val="AOCM Sub-group"/>
      <sheetName val="Quality RFT"/>
      <sheetName val="Back-up "/>
      <sheetName val="Absorption Phasing"/>
      <sheetName val="One off"/>
      <sheetName val="Reporting changes"/>
      <sheetName val="Prod. KPI - OEE% by line"/>
      <sheetName val="Key dependencies"/>
      <sheetName val="Orgex and restructuring"/>
      <sheetName val="OCM"/>
      <sheetName val="ROIC"/>
      <sheetName val="COGS movement"/>
      <sheetName val="Back-up HR"/>
      <sheetName val="2016 FTE Variability"/>
      <sheetName val="2.Sievo saving recon. vs bridge"/>
      <sheetName val="1. PPV recon. T04 vs bridges"/>
      <sheetName val="INPUT &amp; Guidance"/>
      <sheetName val="data for deck, thinkcell"/>
      <sheetName val="Flash call deck"/>
      <sheetName val="Supply chain bridge"/>
      <sheetName val="COS bridge"/>
      <sheetName val="3.Gross &amp; Net efficiency report"/>
      <sheetName val="PVM report"/>
      <sheetName val="Capex comments"/>
      <sheetName val="Log bridge"/>
      <sheetName val="Option 1,Data(from HFM) "/>
      <sheetName val="Option 2, Data( Manual Input)"/>
      <sheetName val="FX &amp; HIERARCHY"/>
      <sheetName val="FA list"/>
      <sheetName val="080 (2)"/>
      <sheetName val="Opening"/>
      <sheetName val="DepRate"/>
      <sheetName val="Quote-ExtMG-Y1"/>
      <sheetName val="Inter connect Revenue"/>
      <sheetName val="Enc 3A"/>
      <sheetName val="OC5-Push_Diag"/>
      <sheetName val="Franchise_Input"/>
      <sheetName val="DPT-PW"/>
      <sheetName val="712"/>
      <sheetName val="Resort1"/>
      <sheetName val="Field Lists"/>
      <sheetName val="Book details"/>
      <sheetName val="Control_Panel"/>
      <sheetName val="Q4 2009 History"/>
      <sheetName val="Dashboard"/>
      <sheetName val="RscList"/>
      <sheetName val=" Final Balance Sheet"/>
      <sheetName val="summery-FINAL"/>
      <sheetName val="DCF"/>
      <sheetName val="drs"/>
      <sheetName val="Valuations Dec 2018"/>
      <sheetName val="INPUT-Trial Balance"/>
      <sheetName val="Ã«ÀûÂÊ·ÖÎö±í"/>
      <sheetName val="JUly97"/>
      <sheetName val="P301"/>
      <sheetName val="R"/>
      <sheetName val="BB(ACT08)"/>
      <sheetName val="BB Contribution by store_T  "/>
      <sheetName val="BB(ACT09)"/>
      <sheetName val="Adj entries "/>
      <sheetName val="Annexure 1"/>
      <sheetName val="Annexure 2"/>
      <sheetName val="Updated 2018 COA"/>
      <sheetName val="IC Listing"/>
      <sheetName val="Vadislines"/>
      <sheetName val="Other"/>
      <sheetName val="Cognos_Office_Connection_Cache"/>
      <sheetName val="RENCERT"/>
      <sheetName val="RC Revenue"/>
      <sheetName val="AOP 2020"/>
      <sheetName val="START"/>
      <sheetName val="LE0030"/>
      <sheetName val="LE1000"/>
      <sheetName val="LE8530"/>
      <sheetName val="LE1330"/>
      <sheetName val="LE2030"/>
      <sheetName val="LE8030+8050"/>
      <sheetName val="LE6610"/>
      <sheetName val="LE8680"/>
      <sheetName val="LE5090"/>
      <sheetName val="LE2130"/>
      <sheetName val="END"/>
      <sheetName val="DATA LE"/>
      <sheetName val="DATA LE (LY)"/>
      <sheetName val="DATA RC"/>
      <sheetName val="DATA RC (LY)"/>
      <sheetName val="LE Test"/>
      <sheetName val="DATA (RC ORG)"/>
      <sheetName val="DATA (TESTING 1)"/>
      <sheetName val="DATA (TESTING CHRSPR)"/>
      <sheetName val="LE0041"/>
      <sheetName val="2018 VADIS"/>
      <sheetName val="표지"/>
      <sheetName val="직종인원"/>
      <sheetName val="총원dB"/>
      <sheetName val="INVDAYS"/>
      <sheetName val="P&amp;L"/>
      <sheetName val="A91_97"/>
      <sheetName val="DDT_TDS_TCS"/>
      <sheetName val="FRINGE_BENEFIT_INFO"/>
      <sheetName val="OTHER_INFORMATION"/>
      <sheetName val="GENERAL2"/>
      <sheetName val="80G"/>
      <sheetName val="QUANTITATIVE_DETAILS"/>
      <sheetName val="IT_FBT_DDTP"/>
      <sheetName val="PART_C"/>
      <sheetName val="Chao gia T12_RE"/>
      <sheetName val="tifico"/>
      <sheetName val="COAT&amp;WRAP-QIOT-#3"/>
      <sheetName val="Luong BN"/>
      <sheetName val="Luong TB"/>
      <sheetName val="Ca may TB"/>
      <sheetName val="Ca máy BN"/>
      <sheetName val="Vật liệu"/>
      <sheetName val="LX -TT05"/>
      <sheetName val="NC Moi TT05"/>
      <sheetName val="Bangia"/>
      <sheetName val="D+W"/>
      <sheetName val="IMF Code"/>
      <sheetName val="Main_Mech"/>
      <sheetName val="Sub_Mech"/>
      <sheetName val="Subsidiary Calculation"/>
      <sheetName val="don gia 1426"/>
      <sheetName val="ERECIN"/>
      <sheetName val="주식"/>
      <sheetName val="SGC RATE"/>
      <sheetName val="Cau tao gia xay to"/>
      <sheetName val="Tru TT"/>
      <sheetName val="Thg 04"/>
      <sheetName val="Thg 05"/>
      <sheetName val="Thg 06"/>
      <sheetName val="Thg 07"/>
      <sheetName val="Thg 08"/>
      <sheetName val="Thg 09"/>
      <sheetName val="Thg 10"/>
      <sheetName val="Thg 11"/>
      <sheetName val="Thg 12"/>
      <sheetName val="5.2.1 Đo bóc KL OLK-10"/>
      <sheetName val="Y-WORK"/>
      <sheetName val="Khai toan"/>
      <sheetName val="Phu luc 01.1 EPC P11-14"/>
      <sheetName val="Bìa"/>
      <sheetName val="TM"/>
      <sheetName val="TH"/>
      <sheetName val="TDT P11-P14"/>
      <sheetName val="CPXD"/>
      <sheetName val="Chi phi khac "/>
      <sheetName val="Hang muc Chung"/>
      <sheetName val="ĐGNC"/>
      <sheetName val="DGMTC"/>
      <sheetName val="Bia Phu Luc"/>
      <sheetName val="DATA.1 CHUNG"/>
      <sheetName val="Muc luc"/>
      <sheetName val="Tra cuu 957"/>
      <sheetName val="Abutment"/>
      <sheetName val="inputcua"/>
      <sheetName val="Phu Bai Bridge"/>
      <sheetName val="beam"/>
      <sheetName val="DSNV"/>
      <sheetName val="THPDMoi  (2)"/>
      <sheetName val="thao-go"/>
      <sheetName val="t-h HA THE"/>
      <sheetName val="TH XL"/>
      <sheetName val="chitiet"/>
      <sheetName val="Tiepdia"/>
      <sheetName val="CHITIET VL-NC"/>
      <sheetName val="변경내역"/>
      <sheetName val="kl3p"/>
      <sheetName val="kl3pct"/>
      <sheetName val="kl3pcto"/>
      <sheetName val="Bia lot"/>
      <sheetName val="Takeoff"/>
      <sheetName val="NTCV1"/>
      <sheetName val="THÔNG TIN"/>
      <sheetName val="Chu dau tu"/>
      <sheetName val="CTGS"/>
      <sheetName val="Bán_đợt_1_trang"/>
      <sheetName val="Tong_DT"/>
      <sheetName val="phan_tich_don_gia"/>
      <sheetName val="Cost_List"/>
      <sheetName val="Detail_Cost"/>
      <sheetName val="IC_Price_New"/>
      <sheetName val="Summary_Table"/>
      <sheetName val="Sales_Person"/>
      <sheetName val="Bidding_Entity"/>
      <sheetName val="Tcd"/>
      <sheetName val="w't table"/>
      <sheetName val="BẢNG DIỄN GIẢI KL (7)"/>
      <sheetName val="COST_ACC"/>
      <sheetName val="Probbl - Production"/>
      <sheetName val="Backup"/>
      <sheetName val="내역"/>
      <sheetName val="CHI PHÍ NHÔM"/>
      <sheetName val="Currency Rate"/>
      <sheetName val="BQ"/>
      <sheetName val="TABLE-A"/>
      <sheetName val="Aging Sept"/>
      <sheetName val="Invoice"/>
      <sheetName val="Aging_Sept"/>
      <sheetName val="Door_and_window3"/>
      <sheetName val="DT_san_XD-So_lieu_cu"/>
      <sheetName val="BILL 34Āᐁë"/>
      <sheetName val="BILL 34Āᐁë_x0000__x0000__x0001__x0000__x0000__x0000_ HẦM"/>
      <sheetName val="Cot"/>
      <sheetName val="toyota"/>
      <sheetName val="RAB_AR&amp;STR8"/>
      <sheetName val="chi_tiet_TBA8"/>
      <sheetName val="chi_tiet_C8"/>
      <sheetName val="TH_DZ3510"/>
      <sheetName val="Customize_Your_Purchase_Order8"/>
      <sheetName val="CHITIET_VL-NC-TT_-1p8"/>
      <sheetName val="CHITIET_VL-NC-TT-3p7"/>
      <sheetName val="TONG_HOP_VL-NC_TT8"/>
      <sheetName val="KPVC-BD_8"/>
      <sheetName val="Don_gia8"/>
      <sheetName val="DON_GIA_TRAM_(3)8"/>
      <sheetName val="DON_GIA_CAN_THO10"/>
      <sheetName val="HĐ_ngoài7"/>
      <sheetName val="XT_Buoc_37"/>
      <sheetName val="dongia_(2)7"/>
      <sheetName val="Don_gia_chi_tiet8"/>
      <sheetName val="7606_DZ8"/>
      <sheetName val="project_management7"/>
      <sheetName val="Adix_A7"/>
      <sheetName val="S-curve_7"/>
      <sheetName val="REINF_7"/>
      <sheetName val="Rates_20097"/>
      <sheetName val="Commercial_value7"/>
      <sheetName val="So_doi_chieu_LC7"/>
      <sheetName val="MAIN_GATE_HOUSE7"/>
      <sheetName val="Du_toan7"/>
      <sheetName val="Ky_Lam_Bridge7"/>
      <sheetName val="Provisional_Sums_Item7"/>
      <sheetName val="Gas_Pressure_Welding7"/>
      <sheetName val="General_Item&amp;General_Requireme7"/>
      <sheetName val="General_Items7"/>
      <sheetName val="Regenral_Requirements7"/>
      <sheetName val="TONG_HOP_VL-NC7"/>
      <sheetName val="MH_RATE7"/>
      <sheetName val="Ng_hàng_xà+bulong7"/>
      <sheetName val="chiet_tinh7"/>
      <sheetName val="Bang_KL7"/>
      <sheetName val="Lcau_-_Lxuc7"/>
      <sheetName val="Equip_6"/>
      <sheetName val="A1_CN6"/>
      <sheetName val="DG_thep_ma_kem7"/>
      <sheetName val="Đầu_vào6"/>
      <sheetName val="Chi_tiet_XD_TBA6"/>
      <sheetName val="DM_60617"/>
      <sheetName val="CT_vat_lieu7"/>
      <sheetName val="Trạm_biến_áp6"/>
      <sheetName val="Đơn_Giá_6"/>
      <sheetName val="TONG_HOP_T5_19986"/>
      <sheetName val="Chenh_lech_vat_tu6"/>
      <sheetName val="Diện_tích6"/>
      <sheetName val="1_Khái_toán6"/>
      <sheetName val="CT-0_4KV6"/>
      <sheetName val="rate_material6"/>
      <sheetName val="DG_DZ7"/>
      <sheetName val="DG_TBA7"/>
      <sheetName val="KL_Chi_tiết_Xây_tô6"/>
      <sheetName val="Bill_01_-_CTN6"/>
      <sheetName val="Bill_1_Quy_dinh_chung6"/>
      <sheetName val="1_R18_BF6"/>
      <sheetName val="6_External_works-R186"/>
      <sheetName val="Chi_tiet_KL6"/>
      <sheetName val="Tổng_hợp_KL6"/>
      <sheetName val="04_-_XUONG_DET_B6"/>
      <sheetName val="07Base_Cost6"/>
      <sheetName val="_036"/>
      <sheetName val="chieu_day_san6"/>
      <sheetName val="Podium_Concrete_Works6"/>
      <sheetName val="KLCT-_TOWER6"/>
      <sheetName val="KLCT-_PODIUM6"/>
      <sheetName val="Gia_thanh_chuoi_su6"/>
      <sheetName val="Tiep_dia6"/>
      <sheetName val="Don_gia_vung_III-Can_Tho6"/>
      <sheetName val="Bill_2_2_Villa_2_beds6"/>
      <sheetName val="Elect_(3)6"/>
      <sheetName val="plan&amp;section_of_foundation6"/>
      <sheetName val="design_criteria6"/>
      <sheetName val="Bond_수수료_계산_포맷6"/>
      <sheetName val="ITB_COST6"/>
      <sheetName val="PAGE_16"/>
      <sheetName val="Phan_khai_KLuong6"/>
      <sheetName val="Loại_Vật_tư6"/>
      <sheetName val="Area_Cal6"/>
      <sheetName val="gia_cong_tac6"/>
      <sheetName val="EIRR&gt;_26"/>
      <sheetName val="dg_tphcm6"/>
      <sheetName val="Xay_lapduongR36"/>
      <sheetName val="DM_676"/>
      <sheetName val="Đầu_tư6"/>
      <sheetName val="6787CWFASE2CASE2_00_xls6"/>
      <sheetName val="Project_Data6"/>
      <sheetName val="Harga_ME_6"/>
      <sheetName val="Analisa_Gabungan6"/>
      <sheetName val="Data_Input7"/>
      <sheetName val="T_KÊ_K_CẤU6"/>
      <sheetName val="CẤP_THOÁT_NƯỚC6"/>
      <sheetName val="Cước_VC_+_ĐM_CP_Tư_vấn6"/>
      <sheetName val="Hệ_số6"/>
      <sheetName val="Vat_tu_XD6"/>
      <sheetName val="HÐ_ngoài7"/>
      <sheetName val="6PILE__(돌출)6"/>
      <sheetName val="THDT_goi_thau_TB6"/>
      <sheetName val="Tien_do_TV6"/>
      <sheetName val="Bill_02_-_Xay_gach-Pou_6"/>
      <sheetName val="Bill_03-Chống_thấm-Pou6"/>
      <sheetName val="Bill_04-Kim_loại-Pou6"/>
      <sheetName val="Bill_05_-_Hoan_thien-Pou_6"/>
      <sheetName val="Bill_02_-_Xay_gach-Tower6"/>
      <sheetName val="Bill_03-Chống_thấm-Tower6"/>
      <sheetName val="Bill_04-Kim_loại-Tower6"/>
      <sheetName val="Bill_05_-_Hoan_thien-Tower6"/>
      <sheetName val="KL-_KHAC6"/>
      <sheetName val="BILL_3_-_KẾT_CẤU_HẦM6"/>
      <sheetName val="PTĐG_LTBT6"/>
      <sheetName val="CTG-PRECHEx1_46"/>
      <sheetName val="CTG-AB_(2)6"/>
      <sheetName val="CTG-AB_(3)6"/>
      <sheetName val="CTG-PLP-1_086"/>
      <sheetName val="Pre_Đội_nhóm6"/>
      <sheetName val="Tower_-_Concrete_Works6"/>
      <sheetName val="Bill-04_ket_cau_thap-_UNI6"/>
      <sheetName val="TH_Vat_tu6"/>
      <sheetName val="4_PTDG6"/>
      <sheetName val="A1,_May6"/>
      <sheetName val="Vat_lieu6"/>
      <sheetName val="Bang_trong_luong_rieng_thep6"/>
      <sheetName val="Measure_13066"/>
      <sheetName val="Door_and_window4"/>
      <sheetName val="DETAIL_6"/>
      <sheetName val="GV1-D13_(Casement_door)6"/>
      <sheetName val="Gia_vat_tu6"/>
      <sheetName val="TH_MTC6"/>
      <sheetName val="TH_N_Cong6"/>
      <sheetName val="Isolasi_Luar_Dalam6"/>
      <sheetName val="Isolasi_Luar6"/>
      <sheetName val="LV_data6"/>
      <sheetName val="ESTI_6"/>
      <sheetName val="_Bill_5-Earthing_2_-_Add_Works6"/>
      <sheetName val="bridge_#_16"/>
      <sheetName val="Buy_vs__Lease_Car6"/>
      <sheetName val="PRE_(E)6"/>
      <sheetName val="Equipment_list_(PAC)6"/>
      <sheetName val="TINH_KHOI_LUONG6"/>
      <sheetName val="DATA_BASE6"/>
      <sheetName val="KL_san_lap6"/>
      <sheetName val="Chenh_lech_ca_may6"/>
      <sheetName val="TLg_CN&amp;Laixe6"/>
      <sheetName val="TLg_CN&amp;Laixe_(2)6"/>
      <sheetName val="TLg_Laitau6"/>
      <sheetName val="TLg_Laitau_(2)6"/>
      <sheetName val="CTKL_KTX_HT5"/>
      <sheetName val="Chi_tiet6"/>
      <sheetName val="Bang_3_Chi_tiet_phan_Dz6"/>
      <sheetName val="KHOI_LUONG6"/>
      <sheetName val="subcon_sched6"/>
      <sheetName val="NHÀ_NHẬP_LIỆU5"/>
      <sheetName val="MÓNG_SILO5"/>
      <sheetName val="HVAC_BLOCK_B46"/>
      <sheetName val="2_Chiet_tinh5"/>
      <sheetName val="BẢNG_KHỐI_LƯỢNG_TỔNG_HỢP5"/>
      <sheetName val="CP_Khac_cuoc_VC5"/>
      <sheetName val="Budget_Code5"/>
      <sheetName val="Tong_du_toan5"/>
      <sheetName val="Bill_2_-_ketcau5"/>
      <sheetName val="13-Cốt_thép_(10mm&lt;D≤18mm)_FO165"/>
      <sheetName val="du_lieu_du_toan5"/>
      <sheetName val="Chi_tiet_lan_can5"/>
      <sheetName val="D_&amp;_W_sizes5"/>
      <sheetName val="BOQ_THAN5"/>
      <sheetName val="Purchase_Order5"/>
      <sheetName val="Analisa_&amp;_Upah5"/>
      <sheetName val="DL_ĐẦU_VÀO5"/>
      <sheetName val="Du_lieu6"/>
      <sheetName val="cash_budget5"/>
      <sheetName val="1_MONG_1-25"/>
      <sheetName val="Luong_NII5"/>
      <sheetName val="DINH_MUC_THI_NGHIEM5"/>
      <sheetName val="Luong_NI5"/>
      <sheetName val="Phan_tich5"/>
      <sheetName val="CT_Thang_Mo5"/>
      <sheetName val="CT__PL5"/>
      <sheetName val="dongia__2_5"/>
      <sheetName val="Thép_CKN5"/>
      <sheetName val="GOC-KO_IN5"/>
      <sheetName val="MAU_8A5"/>
      <sheetName val="MAU_8B5"/>
      <sheetName val="MAU_95"/>
      <sheetName val="MAU_105"/>
      <sheetName val="sochitiettaikhoan_5"/>
      <sheetName val="Share_price_data5"/>
      <sheetName val="19_35"/>
      <sheetName val="20_35"/>
      <sheetName val="Chieu_4_35"/>
      <sheetName val="Cow_req5"/>
      <sheetName val="TỔNG_HỢP5"/>
      <sheetName val="14-LẦN_3-CHIỀU5"/>
      <sheetName val="14-LẦN_1-SÁNG5"/>
      <sheetName val="14-LẦN_2-TRƯA5"/>
      <sheetName val="1_3+1_4-TOTAL_-_Ko_IN5"/>
      <sheetName val="2_1-LẦN_3-CHIỀU5"/>
      <sheetName val="2_1-LẦN_1-SÁNG5"/>
      <sheetName val="2_1-LẦN_2-TRƯA5"/>
      <sheetName val="2_1-TOTAL-Ko_IN5"/>
      <sheetName val="1_3(TMR_4)5"/>
      <sheetName val="CHO_DE5"/>
      <sheetName val="1_1+1_2+2_2+2_3(TMR_3)5"/>
      <sheetName val="CK1+CK2_(VS_SAN_CHOI_23)5"/>
      <sheetName val="CK1+CK2_(2)5"/>
      <sheetName val="12-16_THÁNG5"/>
      <sheetName val="CAN_SỮA5"/>
      <sheetName val="54+55+56(SAU_CAI_SỮA-6)5"/>
      <sheetName val="BÊ_71-90_NGÀY5"/>
      <sheetName val="BÊ_12-16_tháng5"/>
      <sheetName val="BÊ_6-125"/>
      <sheetName val="BÊ_1-35"/>
      <sheetName val="F01-BC_KHAU_PHAN_SANG_20_35"/>
      <sheetName val="F01-BC_KHAU_PHAN_CHIEU_19_35"/>
      <sheetName val="dinh_mưc_cty5"/>
      <sheetName val="Giá_thành5"/>
      <sheetName val="Thong_ke5"/>
      <sheetName val="Energy_for_milk_prod5"/>
      <sheetName val="DE_NGHI_XUAT_5"/>
      <sheetName val="phieu_xuat_mau5"/>
      <sheetName val="PHIEU_XUAT_CHIEU5"/>
      <sheetName val="11_rai_them_cỏ5"/>
      <sheetName val="PHU_LUC_02-_HDSD_CAC_BIEU_MAU5"/>
      <sheetName val="PhU_LUC_01-_MA_CAC_NHOM_BO5"/>
      <sheetName val="F03-BC_THUC_TRON_SANG_20_35"/>
      <sheetName val="F03-BC_THUC_TRON_CHIEU_19_35"/>
      <sheetName val="F02-BC_THEO_DOI_THUC_AN_DU5"/>
      <sheetName val="Tham_khao-_Bao_cao_xuat_thuc_a5"/>
      <sheetName val="02__PTDG5"/>
      <sheetName val="Bill_2-Road_HR23"/>
      <sheetName val="Bill_3_-_Softscape_HR23"/>
      <sheetName val="Nhap_VT_oto3"/>
      <sheetName val="dm_3663"/>
      <sheetName val="DM_60603"/>
      <sheetName val="Dự_thầu3"/>
      <sheetName val="DK1_Don_gia5"/>
      <sheetName val="Don_gia_(khong_in)5"/>
      <sheetName val="Dlieu_dau_vao5"/>
      <sheetName val="BANCO_(2)5"/>
      <sheetName val="MT_DPin_(2)5"/>
      <sheetName val="Chiết_tính5"/>
      <sheetName val="Du_tru_CP-Bieu_013"/>
      <sheetName val="TB_NẶNG3"/>
      <sheetName val="Bill_No_3_-_Prov__Sum_(Ph2&amp;3)3"/>
      <sheetName val="TH_TN3"/>
      <sheetName val="Income_Statement5"/>
      <sheetName val="Shareholders'_Equity5"/>
      <sheetName val="VC_xd3"/>
      <sheetName val="Gia_VLTB3"/>
      <sheetName val="B_Luong3"/>
      <sheetName val="C_May3"/>
      <sheetName val="AG_Pipe_Qty_Analysis3"/>
      <sheetName val="TK_chi_tiet3"/>
      <sheetName val="wk_prgs3"/>
      <sheetName val="Ma_don_vi3"/>
      <sheetName val="bang_cc3"/>
      <sheetName val="DG_14262"/>
      <sheetName val="Hao_phí3"/>
      <sheetName val="BẢNG_ÁP_GIÁ_(in)2"/>
      <sheetName val="NT_(KL)_IN2"/>
      <sheetName val="DOM_D22"/>
      <sheetName val="nhà_ăn2"/>
      <sheetName val="Công_nhật2"/>
      <sheetName val="btkt_cột2"/>
      <sheetName val="Ｎｏ_133"/>
      <sheetName val="DGchitiet_3"/>
      <sheetName val="CP_HMC3"/>
      <sheetName val="gui_BKCT2"/>
      <sheetName val="đọc_số3"/>
      <sheetName val="TH_các_CC2"/>
      <sheetName val="HỆ_THỐNG_PHÒNG_CHÁY_CHỮA_CHÁY3"/>
      <sheetName val="HỆ_THỐNG_CẤP_THOÁT_NƯỚC3"/>
      <sheetName val="HỆ_THỐNG_ĐHKK3"/>
      <sheetName val="MÁY_PHÁT_ĐIỆN3"/>
      <sheetName val="HỆ_THỐNG_ĐIỆN3"/>
      <sheetName val="Thiết_bị_chính3"/>
      <sheetName val="Structure_data3"/>
      <sheetName val="CP_Du_phong3"/>
      <sheetName val="THCP_Lap_dat3"/>
      <sheetName val="THCP_xay_dung3"/>
      <sheetName val="Tong_hop_kinh_phi3"/>
      <sheetName val="2_1Warehouse_13"/>
      <sheetName val="CHI_PHI3"/>
      <sheetName val="THEP_TAM3"/>
      <sheetName val="THEP_HÌNH3"/>
      <sheetName val="THEP_HINH3"/>
      <sheetName val="XA_GO3"/>
      <sheetName val="BANG_TRA3"/>
      <sheetName val="CĂN_HỘ_T16-17_3"/>
      <sheetName val="TRỤC_ĐỨNG_THOÁT_BẨN_T15-173"/>
      <sheetName val="TRỤC_ĐỨNG_TM_T15-173"/>
      <sheetName val="Móng,_nền_3"/>
      <sheetName val="Main_Bldg-Rev023"/>
      <sheetName val="D&amp;W_def_3"/>
      <sheetName val="Nhan_cong3"/>
      <sheetName val="Thiet_bi3"/>
      <sheetName val="Vat_tu3"/>
      <sheetName val="DM_ChiPhi3"/>
      <sheetName val="May_TC3"/>
      <sheetName val="TH_Kinh_phi3"/>
      <sheetName val="Ptvl_3"/>
      <sheetName val="1_Requisition(E)3"/>
      <sheetName val="TONG_HOP3"/>
      <sheetName val="Tổng_GT3"/>
      <sheetName val="Chi_tiết_KL3"/>
      <sheetName val="ca_máy3"/>
      <sheetName val="khấu_trừ_phạt3"/>
      <sheetName val="GT__KHAU_TRU3"/>
      <sheetName val="HAO_HUT_VAT_TU_(2)3"/>
      <sheetName val="cao_độ3"/>
      <sheetName val="Data_Wall3"/>
      <sheetName val="Dự_toán3"/>
      <sheetName val="Đơn_Giá_TH3"/>
      <sheetName val="Nhân_công3"/>
      <sheetName val="Phân_tích3"/>
      <sheetName val="C_P_Thiết_bị3"/>
      <sheetName val="T_H_Kinh_phí3"/>
      <sheetName val="Vật_tư3"/>
      <sheetName val="Trang_bìa3"/>
      <sheetName val="phan_tic_chi_tiet3"/>
      <sheetName val="Chi_tiet_cong_no3"/>
      <sheetName val="PHÁT_SINH_TẦNG_1_3"/>
      <sheetName val="PHÁT_SINH_TẦNG_23"/>
      <sheetName val="Hầm_chuyển_psinh3"/>
      <sheetName val="Ống_thẳng3"/>
      <sheetName val="Côn_thu3"/>
      <sheetName val="Vuông_tròn3"/>
      <sheetName val="Chân_rẽ3"/>
      <sheetName val="Chạc_ba3"/>
      <sheetName val="Don_gia_chi_tiet_DIEN_22"/>
      <sheetName val="0__Input2"/>
      <sheetName val="3__CNT2"/>
      <sheetName val="unit_price_list(M)2"/>
      <sheetName val="Theo_doi_Doanh_thu_20172"/>
      <sheetName val="Gia_vat_lieu2"/>
      <sheetName val="Chi_tiet_-tong_9_thang2"/>
      <sheetName val="1_2_Staff_Schedule2"/>
      <sheetName val="TH_VL,_NC,_DDHT_Thanhphuoc2"/>
      <sheetName val="1__Office2"/>
      <sheetName val="KL_THEP__GIAM_DO_DUNG_COUPLER2"/>
      <sheetName val="01_KL_THÉP_NHẬP_VỀ2"/>
      <sheetName val="2__NT_VLDV2"/>
      <sheetName val="GHI_CHU2"/>
      <sheetName val="1_BB_LMHT2"/>
      <sheetName val="Bê_tông_bảo_vệ2"/>
      <sheetName val="01__Data2"/>
      <sheetName val="Neo,_nối_cốt_thép_dầm,_cột2"/>
      <sheetName val="Uốn_móc_cốt_thép2"/>
      <sheetName val="Tiêu_chuẩn_cốt_thép2"/>
      <sheetName val="Doi_so2"/>
      <sheetName val="1_Civil_(Org)2"/>
      <sheetName val="Precios_unitarios_AXH2"/>
      <sheetName val="So_lieu_chung2"/>
      <sheetName val="Bill_Prelim-CDT2"/>
      <sheetName val="Bill_BPTC-CDT2"/>
      <sheetName val="Chi_tiết_BPTC2"/>
      <sheetName val="Bill_BPTC-CDT_(PA_MCT_CDT)2"/>
      <sheetName val="Chi_tiết_BPTC_(PA_MCT_CDT)2"/>
      <sheetName val="Thop_Ksat2"/>
      <sheetName val="Thu_hoi_2"/>
      <sheetName val="HM_chung2"/>
      <sheetName val="CP_xd-thiet_bi2"/>
      <sheetName val="TH-TN_LD_TB2"/>
      <sheetName val="CP_xaydung2"/>
      <sheetName val="Thao_ha_phu_kien2"/>
      <sheetName val="VL-NC-MTC_ket_cau2"/>
      <sheetName val="KHOI_LUONG_TONG2"/>
      <sheetName val="TK_22KV2"/>
      <sheetName val="DM_366-17772"/>
      <sheetName val="Thi_nhiem2"/>
      <sheetName val="Gia_goc_VT-TB2"/>
      <sheetName val="Gia_vc_den_chan_CT2"/>
      <sheetName val="culy_222"/>
      <sheetName val="Luong_20502"/>
      <sheetName val="ca_may_QN2"/>
      <sheetName val="TNHC1246_2"/>
      <sheetName val="Ca_may_TT06_20102"/>
      <sheetName val="Don_gia_VLXD_dia_phuong2"/>
      <sheetName val="Bang_luong_SCL2"/>
      <sheetName val="Dinh_muc_TN14262"/>
      <sheetName val="DM_336cai_tao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MTO_REV_2(ARMOR)2"/>
      <sheetName val="Cotthep_NPT2"/>
      <sheetName val="vl_nc_mtc2"/>
      <sheetName val="KL_thep_lam_sat2"/>
      <sheetName val="Tien_Thuong2"/>
      <sheetName val="NC_XL_6T_cuoi_01_CTy2"/>
      <sheetName val="Data_-6T_dau2"/>
      <sheetName val="Cong_6T2"/>
      <sheetName val="DM-VNT_ko_sd2"/>
      <sheetName val="Bảng_đo_bóc_KL_OLK-092"/>
      <sheetName val="6_3_CHI_TIET_OLK-092"/>
      <sheetName val="Tong_hop_vat_tu2"/>
      <sheetName val="PV_Graph_Data1"/>
      <sheetName val="Danh_mục1"/>
      <sheetName val="Q_A01_2-Sh2"/>
      <sheetName val="Dutoan_KL1"/>
      <sheetName val="doanh_thu1"/>
      <sheetName val="BTK-Dai_Hoc_Kien_Giang1"/>
      <sheetName val="1_San_2"/>
      <sheetName val="Chi_phi_van_chuyen2"/>
      <sheetName val="TLG_Type2"/>
      <sheetName val="KHOI_LUONG15-42"/>
      <sheetName val="B3A_-_TOWER_A2"/>
      <sheetName val="Annex_B2"/>
      <sheetName val="Dot_42"/>
      <sheetName val="4_CĂN2"/>
      <sheetName val="Dgia_vat_tu2"/>
      <sheetName val="Don_gia_III2"/>
      <sheetName val="D÷_liÖu2"/>
      <sheetName val="GIÁ_DỰ_THẦU_30_CĂN1"/>
      <sheetName val="Div26_-_Elect2"/>
      <sheetName val="2_CDPS2"/>
      <sheetName val="Heso_DZ2"/>
      <sheetName val="HRG_BHN2"/>
      <sheetName val="CĂN_ĐH2"/>
      <sheetName val="Don_gia_NC2"/>
      <sheetName val="DG_BINH_THUAN2"/>
      <sheetName val="7_Khau_tru_2"/>
      <sheetName val="DT_hợp_đồng1"/>
      <sheetName val="Bảng_KL_đợt_11"/>
      <sheetName val="DG_Chi_tiet1"/>
      <sheetName val="Kê_0,41"/>
      <sheetName val="TH_0,41"/>
      <sheetName val="Kê_221"/>
      <sheetName val="TH_221"/>
      <sheetName val="TBA_CAI_TAO1"/>
      <sheetName val="TBA_XDM1"/>
      <sheetName val="TONG_HOP_DU_TOAN1"/>
      <sheetName val="Thop_XAY_DUNG1"/>
      <sheetName val="CP_HANG_MUC_CHUNG1"/>
      <sheetName val="CHI_PHI_XD1"/>
      <sheetName val="CHI_PHI_THI_NGHIEM1"/>
      <sheetName val="VLDIEN_221"/>
      <sheetName val="Dao_dat1"/>
      <sheetName val="TH_Denbu1"/>
      <sheetName val="Do_ve_DC1"/>
      <sheetName val="TH_Bommin1"/>
      <sheetName val="CHI_PHI_THI_NGHIEM-LD_thiet_bi1"/>
      <sheetName val="Luong_TT011"/>
      <sheetName val="Camay_QB1"/>
      <sheetName val="gia_ca_may_BXD1"/>
      <sheetName val="BANG_LUONG_KY_SU1"/>
      <sheetName val="Bang_luong_NHOM_I1"/>
      <sheetName val="Bangluong_NHOM_II_1"/>
      <sheetName val="09-GIA_nhien_lieu-ko_in1"/>
      <sheetName val="Tinh_V_cot_chiem_cho1"/>
      <sheetName val="ĐM_13541"/>
      <sheetName val="KHOAN_MAU1"/>
      <sheetName val="ĐO_ĐỊA_VẬT_LÝ1"/>
      <sheetName val="khoan_tiep_dia1"/>
      <sheetName val="DZ_22KV1"/>
      <sheetName val="_1710_HOINGHINLD1"/>
      <sheetName val="99_(2)1"/>
      <sheetName val="134_1"/>
      <sheetName val="DG_49701"/>
      <sheetName val="Financ__Overview1"/>
      <sheetName val="TINH_GIA_-_SAN_XUAT_Vertico1"/>
      <sheetName val="13_BANG_CT1"/>
      <sheetName val="14_MMUS_GIUA_NHIP1"/>
      <sheetName val="4_HSPBngang1"/>
      <sheetName val="6_Tinh_tai1"/>
      <sheetName val="2_NSl1"/>
      <sheetName val="17_US_CHU_tho_a_b1"/>
      <sheetName val="15_MMUS_GOI1"/>
      <sheetName val="Summary_Sheet1"/>
      <sheetName val="Finishing-Tower_A1"/>
      <sheetName val="Finishing-Tower_B1"/>
      <sheetName val="Finishing-Tower_C1"/>
      <sheetName val="Finishing-Tower_D1"/>
      <sheetName val="MEP-Tower_A1"/>
      <sheetName val="MEP-Tower_B1"/>
      <sheetName val="MEP-Tower_C1"/>
      <sheetName val="MEP-Tower_D1"/>
      <sheetName val="Cost_Report_Sum1"/>
      <sheetName val="Detail_Cost_Sum1"/>
      <sheetName val="RVO-VO_Sum1"/>
      <sheetName val="Potential_VOs_Sum1"/>
      <sheetName val="Cash_Flow_Sum1"/>
      <sheetName val="B-2__(DPP)2"/>
      <sheetName val="CAP_NUOC1"/>
      <sheetName val="cấp_nước_trục_nhà_vs1"/>
      <sheetName val="THOAT_NUOC1"/>
      <sheetName val="THOAT_MUA1"/>
      <sheetName val="Cáp_phòng1"/>
      <sheetName val="TMC_ĐIỆN_Phi1"/>
      <sheetName val="TMC_Tổng1"/>
      <sheetName val="TH_Đèn_Phòng_L11"/>
      <sheetName val="TH_Đèn_Hầm_L11"/>
      <sheetName val="TỦ_MODULE_T11"/>
      <sheetName val="Huong_dan1"/>
      <sheetName val="gia_vt,nc,may1"/>
      <sheetName val="Bieu_gia_HD1"/>
      <sheetName val="Tổng_hợp_KPHM1"/>
      <sheetName val="5_2_1_Đo_bóc_KL_OLK-061"/>
      <sheetName val="Dinh_muc1"/>
      <sheetName val="KS_tuyen1"/>
      <sheetName val="Bang_chiet_tinh_TBA1"/>
      <sheetName val="MB_DT_021"/>
      <sheetName val="So_sanh1"/>
      <sheetName val="EQUIP_LIST1"/>
      <sheetName val="Electrical_Works1"/>
      <sheetName val="H_T__INCOMING_SYSTEM1"/>
      <sheetName val="THONG_SO1"/>
      <sheetName val="Đơn_giá_chi_tiết_TN_391"/>
      <sheetName val="DT__NHA_XUONG1"/>
      <sheetName val="4_2_1_Đo_bóc_KL_OLK-061"/>
      <sheetName val="4_1_1_CHI_TIET_OLK-061"/>
      <sheetName val="BU_LONG1"/>
      <sheetName val="Thuyết_minh1"/>
      <sheetName val="Đơn_giá_máy1"/>
      <sheetName val="Tính_giá_NC1"/>
      <sheetName val="SL_cước1"/>
      <sheetName val="CauHinh"/>
      <sheetName val="Dashboard - BQL - VHL"/>
      <sheetName val="DG05new"/>
      <sheetName val="DLTA"/>
      <sheetName val="KEILA TP 2020-07"/>
      <sheetName val="CFA (ME)"/>
      <sheetName val="MEP Building"/>
      <sheetName val="2. BBNT KLHT"/>
      <sheetName val="TH khoi luong"/>
      <sheetName val="Chi tiet khoi luong"/>
      <sheetName val="TK thep"/>
      <sheetName val="CT THOÁT WC VP"/>
      <sheetName val="CT CẤP WC VP"/>
      <sheetName val="CT THOÁT MƯA VP TRỤC LỚN"/>
      <sheetName val="CT THOÁT MƯA VP TRỤC NHỎ"/>
      <sheetName val="Breakdown"/>
      <sheetName val="DTCT"/>
      <sheetName val="TKXM"/>
      <sheetName val="lookups"/>
      <sheetName val="AASHTO92"/>
      <sheetName val="BANGTRA"/>
      <sheetName val="CHITIET VL-NC-TT1p"/>
      <sheetName val="CFA"/>
      <sheetName val="TKLD"/>
      <sheetName val="NHOM KINH"/>
      <sheetName val="LUONG SCL"/>
      <sheetName val="HERD_MOVEMENTFARM13"/>
      <sheetName val="HERD_MOVEMENTFARM23"/>
      <sheetName val="CALVES_2-43"/>
      <sheetName val="Cavles_2-43"/>
      <sheetName val="CALVES_4-73"/>
      <sheetName val="HEIFER_7-12m3"/>
      <sheetName val="HEIFER_12+3"/>
      <sheetName val="FRESH_COW_2017-183"/>
      <sheetName val="HP_COW_20183"/>
      <sheetName val="LP_COW_2017-183"/>
      <sheetName val="DRY_COW3"/>
      <sheetName val="FIELD_CROPS3"/>
      <sheetName val="Gia_VT-TB1"/>
      <sheetName val="noi_suy_xa1"/>
      <sheetName val="noi_suy_xa_thu_hoi1"/>
      <sheetName val="¥_1"/>
      <sheetName val="CHITIET_VL-NCHT1_(2)"/>
      <sheetName val="Unit_price"/>
      <sheetName val="Bill_No_1_61"/>
      <sheetName val="Bill_No_1_101"/>
      <sheetName val="Bill_No_3_31"/>
      <sheetName val="Bill_No_1_41"/>
      <sheetName val="Bill_No_1_71"/>
      <sheetName val="Summary_Bill_No__31"/>
      <sheetName val="3__KC_-_PODIUM"/>
      <sheetName val="Tien_Luong"/>
      <sheetName val="Chiet_tinh_dz35"/>
      <sheetName val="Bù_giá_CM"/>
      <sheetName val="B3A-APARTMENT"/>
      <sheetName val="QSUM"/>
      <sheetName val="BP"/>
      <sheetName val="Gia-VL"/>
      <sheetName val="chitietCS"/>
      <sheetName val="chitietTD"/>
      <sheetName val="PL02"/>
      <sheetName val="Chênh lệch máy thi công"/>
      <sheetName val="Chênh lệch nhân công"/>
      <sheetName val="Chênh lệch vật liệu"/>
      <sheetName val="DoanhNghiệp"/>
      <sheetName val="ThôngTin"/>
      <sheetName val="CFS3"/>
      <sheetName val="재료비단가(VALVE)"/>
      <sheetName val="BOM-13.11-Other(PS1+PS2)"/>
      <sheetName val="Tra_thep"/>
      <sheetName val="PAINT_SPEC"/>
      <sheetName val="SCHEDULE"/>
      <sheetName val="BC chi tiết TT"/>
      <sheetName val=" "/>
      <sheetName val="DP"/>
      <sheetName val="calcul"/>
      <sheetName val="O_Insulation"/>
      <sheetName val="Project_ODC_NDEU"/>
    </sheetNames>
    <sheetDataSet>
      <sheetData sheetId="0" refreshError="1"/>
      <sheetData sheetId="1">
        <row r="9">
          <cell r="A9" t="str">
            <v>A</v>
          </cell>
        </row>
      </sheetData>
      <sheetData sheetId="2"/>
      <sheetData sheetId="3"/>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sheetData sheetId="27">
        <row r="9">
          <cell r="A9" t="str">
            <v>A</v>
          </cell>
        </row>
      </sheetData>
      <sheetData sheetId="28"/>
      <sheetData sheetId="29"/>
      <sheetData sheetId="30">
        <row r="9">
          <cell r="A9" t="str">
            <v>A</v>
          </cell>
        </row>
      </sheetData>
      <sheetData sheetId="31"/>
      <sheetData sheetId="32">
        <row r="9">
          <cell r="A9" t="str">
            <v>A</v>
          </cell>
        </row>
      </sheetData>
      <sheetData sheetId="33">
        <row r="9">
          <cell r="A9" t="str">
            <v>A</v>
          </cell>
        </row>
      </sheetData>
      <sheetData sheetId="34" refreshError="1"/>
      <sheetData sheetId="35">
        <row r="9">
          <cell r="A9" t="str">
            <v>A</v>
          </cell>
        </row>
      </sheetData>
      <sheetData sheetId="36">
        <row r="9">
          <cell r="A9" t="str">
            <v>A</v>
          </cell>
        </row>
      </sheetData>
      <sheetData sheetId="37">
        <row r="9">
          <cell r="A9" t="str">
            <v>A</v>
          </cell>
        </row>
      </sheetData>
      <sheetData sheetId="38" refreshError="1"/>
      <sheetData sheetId="39">
        <row r="9">
          <cell r="A9" t="str">
            <v>A</v>
          </cell>
        </row>
      </sheetData>
      <sheetData sheetId="40"/>
      <sheetData sheetId="41">
        <row r="9">
          <cell r="A9" t="str">
            <v>A</v>
          </cell>
        </row>
      </sheetData>
      <sheetData sheetId="42">
        <row r="9">
          <cell r="A9" t="str">
            <v>A</v>
          </cell>
        </row>
      </sheetData>
      <sheetData sheetId="43">
        <row r="9">
          <cell r="A9" t="str">
            <v>A</v>
          </cell>
        </row>
      </sheetData>
      <sheetData sheetId="44">
        <row r="9">
          <cell r="A9" t="str">
            <v>A</v>
          </cell>
        </row>
      </sheetData>
      <sheetData sheetId="45">
        <row r="9">
          <cell r="A9" t="str">
            <v>A</v>
          </cell>
        </row>
      </sheetData>
      <sheetData sheetId="46"/>
      <sheetData sheetId="47" refreshError="1"/>
      <sheetData sheetId="48">
        <row r="9">
          <cell r="A9" t="str">
            <v>A</v>
          </cell>
        </row>
      </sheetData>
      <sheetData sheetId="49"/>
      <sheetData sheetId="50">
        <row r="9">
          <cell r="A9" t="str">
            <v>A</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row r="9">
          <cell r="A9" t="str">
            <v>A</v>
          </cell>
        </row>
      </sheetData>
      <sheetData sheetId="145"/>
      <sheetData sheetId="146"/>
      <sheetData sheetId="147"/>
      <sheetData sheetId="148"/>
      <sheetData sheetId="149" refreshError="1"/>
      <sheetData sheetId="150" refreshError="1"/>
      <sheetData sheetId="151" refreshError="1"/>
      <sheetData sheetId="152" refreshError="1"/>
      <sheetData sheetId="153"/>
      <sheetData sheetId="154"/>
      <sheetData sheetId="155"/>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sheetData sheetId="330"/>
      <sheetData sheetId="331"/>
      <sheetData sheetId="332"/>
      <sheetData sheetId="333"/>
      <sheetData sheetId="334"/>
      <sheetData sheetId="335" refreshError="1"/>
      <sheetData sheetId="336"/>
      <sheetData sheetId="337"/>
      <sheetData sheetId="338"/>
      <sheetData sheetId="339"/>
      <sheetData sheetId="340" refreshError="1"/>
      <sheetData sheetId="341"/>
      <sheetData sheetId="342" refreshError="1"/>
      <sheetData sheetId="343" refreshError="1"/>
      <sheetData sheetId="344" refreshError="1"/>
      <sheetData sheetId="345"/>
      <sheetData sheetId="346" refreshError="1"/>
      <sheetData sheetId="347" refreshError="1"/>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ow r="9">
          <cell r="A9" t="str">
            <v>A</v>
          </cell>
        </row>
      </sheetData>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refreshError="1"/>
      <sheetData sheetId="425" refreshError="1"/>
      <sheetData sheetId="426" refreshError="1"/>
      <sheetData sheetId="427" refreshError="1"/>
      <sheetData sheetId="428" refreshError="1"/>
      <sheetData sheetId="429" refreshError="1"/>
      <sheetData sheetId="430"/>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ow r="9">
          <cell r="A9" t="str">
            <v>A</v>
          </cell>
        </row>
      </sheetData>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ow r="9">
          <cell r="A9" t="str">
            <v>A</v>
          </cell>
        </row>
      </sheetData>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ow r="9">
          <cell r="A9" t="str">
            <v>A</v>
          </cell>
        </row>
      </sheetData>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efreshError="1"/>
      <sheetData sheetId="1013" refreshError="1"/>
      <sheetData sheetId="1014" refreshError="1"/>
      <sheetData sheetId="1015" refreshError="1"/>
      <sheetData sheetId="1016">
        <row r="9">
          <cell r="A9" t="str">
            <v>A</v>
          </cell>
        </row>
      </sheetData>
      <sheetData sheetId="1017" refreshError="1"/>
      <sheetData sheetId="1018" refreshError="1"/>
      <sheetData sheetId="1019" refreshError="1"/>
      <sheetData sheetId="1020" refreshError="1"/>
      <sheetData sheetId="1021" refreshError="1"/>
      <sheetData sheetId="1022" refreshError="1"/>
      <sheetData sheetId="1023">
        <row r="9">
          <cell r="A9" t="str">
            <v>A</v>
          </cell>
        </row>
      </sheetData>
      <sheetData sheetId="1024" refreshError="1"/>
      <sheetData sheetId="1025" refreshError="1"/>
      <sheetData sheetId="1026" refreshError="1"/>
      <sheetData sheetId="1027" refreshError="1"/>
      <sheetData sheetId="1028" refreshError="1"/>
      <sheetData sheetId="1029">
        <row r="9">
          <cell r="A9" t="str">
            <v>A</v>
          </cell>
        </row>
      </sheetData>
      <sheetData sheetId="1030">
        <row r="9">
          <cell r="A9" t="str">
            <v>A</v>
          </cell>
        </row>
      </sheetData>
      <sheetData sheetId="1031" refreshError="1"/>
      <sheetData sheetId="1032" refreshError="1"/>
      <sheetData sheetId="1033" refreshError="1"/>
      <sheetData sheetId="1034" refreshError="1"/>
      <sheetData sheetId="1035" refreshError="1"/>
      <sheetData sheetId="1036" refreshError="1"/>
      <sheetData sheetId="1037">
        <row r="9">
          <cell r="A9" t="str">
            <v>A</v>
          </cell>
        </row>
      </sheetData>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ow r="9">
          <cell r="A9" t="str">
            <v>A</v>
          </cell>
        </row>
      </sheetData>
      <sheetData sheetId="1053" refreshError="1"/>
      <sheetData sheetId="1054" refreshError="1"/>
      <sheetData sheetId="1055">
        <row r="9">
          <cell r="A9" t="str">
            <v>A</v>
          </cell>
        </row>
      </sheetData>
      <sheetData sheetId="1056">
        <row r="9">
          <cell r="A9" t="str">
            <v>A</v>
          </cell>
        </row>
      </sheetData>
      <sheetData sheetId="1057" refreshError="1"/>
      <sheetData sheetId="1058" refreshError="1"/>
      <sheetData sheetId="1059" refreshError="1"/>
      <sheetData sheetId="1060" refreshError="1"/>
      <sheetData sheetId="1061" refreshError="1"/>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efreshError="1"/>
      <sheetData sheetId="1183" refreshError="1"/>
      <sheetData sheetId="1184" refreshError="1"/>
      <sheetData sheetId="1185" refreshError="1"/>
      <sheetData sheetId="1186" refreshError="1"/>
      <sheetData sheetId="1187" refreshError="1"/>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ow r="9">
          <cell r="A9" t="str">
            <v>A</v>
          </cell>
        </row>
      </sheetData>
      <sheetData sheetId="1311">
        <row r="9">
          <cell r="A9" t="str">
            <v>A</v>
          </cell>
        </row>
      </sheetData>
      <sheetData sheetId="1312">
        <row r="9">
          <cell r="A9" t="str">
            <v>A</v>
          </cell>
        </row>
      </sheetData>
      <sheetData sheetId="1313">
        <row r="9">
          <cell r="A9" t="str">
            <v>A</v>
          </cell>
        </row>
      </sheetData>
      <sheetData sheetId="1314">
        <row r="9">
          <cell r="A9" t="str">
            <v>A</v>
          </cell>
        </row>
      </sheetData>
      <sheetData sheetId="1315">
        <row r="9">
          <cell r="A9" t="str">
            <v>A</v>
          </cell>
        </row>
      </sheetData>
      <sheetData sheetId="1316">
        <row r="9">
          <cell r="A9" t="str">
            <v>A</v>
          </cell>
        </row>
      </sheetData>
      <sheetData sheetId="1317">
        <row r="9">
          <cell r="A9" t="str">
            <v>A</v>
          </cell>
        </row>
      </sheetData>
      <sheetData sheetId="1318">
        <row r="9">
          <cell r="A9" t="str">
            <v>A</v>
          </cell>
        </row>
      </sheetData>
      <sheetData sheetId="1319">
        <row r="9">
          <cell r="A9" t="str">
            <v>A</v>
          </cell>
        </row>
      </sheetData>
      <sheetData sheetId="1320">
        <row r="9">
          <cell r="A9" t="str">
            <v>A</v>
          </cell>
        </row>
      </sheetData>
      <sheetData sheetId="1321">
        <row r="9">
          <cell r="A9" t="str">
            <v>A</v>
          </cell>
        </row>
      </sheetData>
      <sheetData sheetId="1322">
        <row r="9">
          <cell r="A9" t="str">
            <v>A</v>
          </cell>
        </row>
      </sheetData>
      <sheetData sheetId="1323">
        <row r="9">
          <cell r="A9" t="str">
            <v>A</v>
          </cell>
        </row>
      </sheetData>
      <sheetData sheetId="1324">
        <row r="9">
          <cell r="A9" t="str">
            <v>A</v>
          </cell>
        </row>
      </sheetData>
      <sheetData sheetId="1325">
        <row r="9">
          <cell r="A9" t="str">
            <v>A</v>
          </cell>
        </row>
      </sheetData>
      <sheetData sheetId="1326">
        <row r="9">
          <cell r="A9" t="str">
            <v>A</v>
          </cell>
        </row>
      </sheetData>
      <sheetData sheetId="1327">
        <row r="9">
          <cell r="A9" t="str">
            <v>A</v>
          </cell>
        </row>
      </sheetData>
      <sheetData sheetId="1328">
        <row r="9">
          <cell r="A9" t="str">
            <v>A</v>
          </cell>
        </row>
      </sheetData>
      <sheetData sheetId="1329">
        <row r="9">
          <cell r="A9" t="str">
            <v>A</v>
          </cell>
        </row>
      </sheetData>
      <sheetData sheetId="1330">
        <row r="9">
          <cell r="A9" t="str">
            <v>A</v>
          </cell>
        </row>
      </sheetData>
      <sheetData sheetId="1331">
        <row r="9">
          <cell r="A9" t="str">
            <v>A</v>
          </cell>
        </row>
      </sheetData>
      <sheetData sheetId="1332">
        <row r="9">
          <cell r="A9" t="str">
            <v>A</v>
          </cell>
        </row>
      </sheetData>
      <sheetData sheetId="1333">
        <row r="9">
          <cell r="A9" t="str">
            <v>A</v>
          </cell>
        </row>
      </sheetData>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ow r="9">
          <cell r="A9" t="str">
            <v>A</v>
          </cell>
        </row>
      </sheetData>
      <sheetData sheetId="1339">
        <row r="9">
          <cell r="A9" t="str">
            <v>A</v>
          </cell>
        </row>
      </sheetData>
      <sheetData sheetId="1340">
        <row r="9">
          <cell r="A9" t="str">
            <v>A</v>
          </cell>
        </row>
      </sheetData>
      <sheetData sheetId="1341">
        <row r="9">
          <cell r="A9" t="str">
            <v>A</v>
          </cell>
        </row>
      </sheetData>
      <sheetData sheetId="1342">
        <row r="9">
          <cell r="A9" t="str">
            <v>A</v>
          </cell>
        </row>
      </sheetData>
      <sheetData sheetId="1343">
        <row r="9">
          <cell r="A9" t="str">
            <v>A</v>
          </cell>
        </row>
      </sheetData>
      <sheetData sheetId="1344">
        <row r="9">
          <cell r="A9" t="str">
            <v>A</v>
          </cell>
        </row>
      </sheetData>
      <sheetData sheetId="1345">
        <row r="9">
          <cell r="A9" t="str">
            <v>A</v>
          </cell>
        </row>
      </sheetData>
      <sheetData sheetId="1346">
        <row r="9">
          <cell r="A9" t="str">
            <v>A</v>
          </cell>
        </row>
      </sheetData>
      <sheetData sheetId="1347">
        <row r="9">
          <cell r="A9" t="str">
            <v>A</v>
          </cell>
        </row>
      </sheetData>
      <sheetData sheetId="1348">
        <row r="9">
          <cell r="A9" t="str">
            <v>A</v>
          </cell>
        </row>
      </sheetData>
      <sheetData sheetId="1349">
        <row r="9">
          <cell r="A9" t="str">
            <v>A</v>
          </cell>
        </row>
      </sheetData>
      <sheetData sheetId="1350">
        <row r="9">
          <cell r="A9" t="str">
            <v>A</v>
          </cell>
        </row>
      </sheetData>
      <sheetData sheetId="1351">
        <row r="9">
          <cell r="A9" t="str">
            <v>A</v>
          </cell>
        </row>
      </sheetData>
      <sheetData sheetId="1352">
        <row r="9">
          <cell r="A9" t="str">
            <v>A</v>
          </cell>
        </row>
      </sheetData>
      <sheetData sheetId="1353">
        <row r="9">
          <cell r="A9" t="str">
            <v>A</v>
          </cell>
        </row>
      </sheetData>
      <sheetData sheetId="1354">
        <row r="9">
          <cell r="A9" t="str">
            <v>A</v>
          </cell>
        </row>
      </sheetData>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row r="9">
          <cell r="A9" t="str">
            <v>A</v>
          </cell>
        </row>
      </sheetData>
      <sheetData sheetId="1365">
        <row r="9">
          <cell r="A9" t="str">
            <v>A</v>
          </cell>
        </row>
      </sheetData>
      <sheetData sheetId="1366">
        <row r="9">
          <cell r="A9" t="str">
            <v>A</v>
          </cell>
        </row>
      </sheetData>
      <sheetData sheetId="1367">
        <row r="9">
          <cell r="A9" t="str">
            <v>A</v>
          </cell>
        </row>
      </sheetData>
      <sheetData sheetId="1368">
        <row r="9">
          <cell r="A9" t="str">
            <v>A</v>
          </cell>
        </row>
      </sheetData>
      <sheetData sheetId="1369">
        <row r="9">
          <cell r="A9" t="str">
            <v>A</v>
          </cell>
        </row>
      </sheetData>
      <sheetData sheetId="1370">
        <row r="9">
          <cell r="A9" t="str">
            <v>A</v>
          </cell>
        </row>
      </sheetData>
      <sheetData sheetId="1371">
        <row r="9">
          <cell r="A9" t="str">
            <v>A</v>
          </cell>
        </row>
      </sheetData>
      <sheetData sheetId="1372">
        <row r="9">
          <cell r="A9" t="str">
            <v>A</v>
          </cell>
        </row>
      </sheetData>
      <sheetData sheetId="1373">
        <row r="9">
          <cell r="A9" t="str">
            <v>A</v>
          </cell>
        </row>
      </sheetData>
      <sheetData sheetId="1374">
        <row r="9">
          <cell r="A9" t="str">
            <v>A</v>
          </cell>
        </row>
      </sheetData>
      <sheetData sheetId="1375">
        <row r="9">
          <cell r="A9" t="str">
            <v>A</v>
          </cell>
        </row>
      </sheetData>
      <sheetData sheetId="1376">
        <row r="9">
          <cell r="A9" t="str">
            <v>A</v>
          </cell>
        </row>
      </sheetData>
      <sheetData sheetId="1377">
        <row r="9">
          <cell r="A9" t="str">
            <v>A</v>
          </cell>
        </row>
      </sheetData>
      <sheetData sheetId="1378">
        <row r="9">
          <cell r="A9" t="str">
            <v>A</v>
          </cell>
        </row>
      </sheetData>
      <sheetData sheetId="1379">
        <row r="9">
          <cell r="A9" t="str">
            <v>A</v>
          </cell>
        </row>
      </sheetData>
      <sheetData sheetId="1380">
        <row r="9">
          <cell r="A9" t="str">
            <v>A</v>
          </cell>
        </row>
      </sheetData>
      <sheetData sheetId="1381">
        <row r="9">
          <cell r="A9" t="str">
            <v>A</v>
          </cell>
        </row>
      </sheetData>
      <sheetData sheetId="1382">
        <row r="9">
          <cell r="A9" t="str">
            <v>A</v>
          </cell>
        </row>
      </sheetData>
      <sheetData sheetId="1383">
        <row r="9">
          <cell r="A9" t="str">
            <v>A</v>
          </cell>
        </row>
      </sheetData>
      <sheetData sheetId="1384">
        <row r="9">
          <cell r="A9" t="str">
            <v>A</v>
          </cell>
        </row>
      </sheetData>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ow r="9">
          <cell r="A9" t="str">
            <v>A</v>
          </cell>
        </row>
      </sheetData>
      <sheetData sheetId="1637">
        <row r="9">
          <cell r="A9" t="str">
            <v>A</v>
          </cell>
        </row>
      </sheetData>
      <sheetData sheetId="1638" refreshError="1"/>
      <sheetData sheetId="1639" refreshError="1"/>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efreshError="1"/>
      <sheetData sheetId="1646" refreshError="1"/>
      <sheetData sheetId="1647" refreshError="1"/>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ow r="9">
          <cell r="A9" t="str">
            <v>A</v>
          </cell>
        </row>
      </sheetData>
      <sheetData sheetId="1708">
        <row r="9">
          <cell r="A9" t="str">
            <v>A</v>
          </cell>
        </row>
      </sheetData>
      <sheetData sheetId="1709">
        <row r="9">
          <cell r="A9" t="str">
            <v>A</v>
          </cell>
        </row>
      </sheetData>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ow r="9">
          <cell r="A9" t="str">
            <v>A</v>
          </cell>
        </row>
      </sheetData>
      <sheetData sheetId="1733">
        <row r="9">
          <cell r="A9" t="str">
            <v>A</v>
          </cell>
        </row>
      </sheetData>
      <sheetData sheetId="1734">
        <row r="9">
          <cell r="A9" t="str">
            <v>A</v>
          </cell>
        </row>
      </sheetData>
      <sheetData sheetId="1735">
        <row r="9">
          <cell r="A9" t="str">
            <v>A</v>
          </cell>
        </row>
      </sheetData>
      <sheetData sheetId="1736">
        <row r="9">
          <cell r="A9" t="str">
            <v>A</v>
          </cell>
        </row>
      </sheetData>
      <sheetData sheetId="1737">
        <row r="9">
          <cell r="A9" t="str">
            <v>A</v>
          </cell>
        </row>
      </sheetData>
      <sheetData sheetId="1738">
        <row r="9">
          <cell r="A9" t="str">
            <v>A</v>
          </cell>
        </row>
      </sheetData>
      <sheetData sheetId="1739">
        <row r="9">
          <cell r="A9" t="str">
            <v>A</v>
          </cell>
        </row>
      </sheetData>
      <sheetData sheetId="1740">
        <row r="9">
          <cell r="A9" t="str">
            <v>A</v>
          </cell>
        </row>
      </sheetData>
      <sheetData sheetId="1741">
        <row r="9">
          <cell r="A9" t="str">
            <v>A</v>
          </cell>
        </row>
      </sheetData>
      <sheetData sheetId="1742">
        <row r="9">
          <cell r="A9" t="str">
            <v>A</v>
          </cell>
        </row>
      </sheetData>
      <sheetData sheetId="1743">
        <row r="9">
          <cell r="A9" t="str">
            <v>A</v>
          </cell>
        </row>
      </sheetData>
      <sheetData sheetId="1744">
        <row r="9">
          <cell r="A9" t="str">
            <v>A</v>
          </cell>
        </row>
      </sheetData>
      <sheetData sheetId="1745">
        <row r="9">
          <cell r="A9" t="str">
            <v>A</v>
          </cell>
        </row>
      </sheetData>
      <sheetData sheetId="1746">
        <row r="9">
          <cell r="A9" t="str">
            <v>A</v>
          </cell>
        </row>
      </sheetData>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ow r="9">
          <cell r="A9" t="str">
            <v>A</v>
          </cell>
        </row>
      </sheetData>
      <sheetData sheetId="1764">
        <row r="9">
          <cell r="A9" t="str">
            <v>A</v>
          </cell>
        </row>
      </sheetData>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ow r="9">
          <cell r="A9" t="str">
            <v>A</v>
          </cell>
        </row>
      </sheetData>
      <sheetData sheetId="1778">
        <row r="9">
          <cell r="A9" t="str">
            <v>A</v>
          </cell>
        </row>
      </sheetData>
      <sheetData sheetId="1779" refreshError="1"/>
      <sheetData sheetId="1780" refreshError="1"/>
      <sheetData sheetId="1781" refreshError="1"/>
      <sheetData sheetId="1782">
        <row r="9">
          <cell r="A9" t="str">
            <v>A</v>
          </cell>
        </row>
      </sheetData>
      <sheetData sheetId="1783">
        <row r="9">
          <cell r="A9" t="str">
            <v>A</v>
          </cell>
        </row>
      </sheetData>
      <sheetData sheetId="1784" refreshError="1"/>
      <sheetData sheetId="1785" refreshError="1"/>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efreshError="1"/>
      <sheetData sheetId="1839" refreshError="1"/>
      <sheetData sheetId="1840" refreshError="1"/>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ow r="9">
          <cell r="A9" t="str">
            <v>A</v>
          </cell>
        </row>
      </sheetData>
      <sheetData sheetId="1860">
        <row r="9">
          <cell r="A9" t="str">
            <v>A</v>
          </cell>
        </row>
      </sheetData>
      <sheetData sheetId="1861">
        <row r="9">
          <cell r="A9" t="str">
            <v>A</v>
          </cell>
        </row>
      </sheetData>
      <sheetData sheetId="1862">
        <row r="9">
          <cell r="A9" t="str">
            <v>A</v>
          </cell>
        </row>
      </sheetData>
      <sheetData sheetId="1863">
        <row r="9">
          <cell r="A9" t="str">
            <v>A</v>
          </cell>
        </row>
      </sheetData>
      <sheetData sheetId="1864">
        <row r="9">
          <cell r="A9" t="str">
            <v>A</v>
          </cell>
        </row>
      </sheetData>
      <sheetData sheetId="1865">
        <row r="9">
          <cell r="A9" t="str">
            <v>A</v>
          </cell>
        </row>
      </sheetData>
      <sheetData sheetId="1866">
        <row r="9">
          <cell r="A9" t="str">
            <v>A</v>
          </cell>
        </row>
      </sheetData>
      <sheetData sheetId="1867">
        <row r="9">
          <cell r="A9" t="str">
            <v>A</v>
          </cell>
        </row>
      </sheetData>
      <sheetData sheetId="1868">
        <row r="9">
          <cell r="A9" t="str">
            <v>A</v>
          </cell>
        </row>
      </sheetData>
      <sheetData sheetId="1869">
        <row r="9">
          <cell r="A9" t="str">
            <v>A</v>
          </cell>
        </row>
      </sheetData>
      <sheetData sheetId="1870">
        <row r="9">
          <cell r="A9" t="str">
            <v>A</v>
          </cell>
        </row>
      </sheetData>
      <sheetData sheetId="1871">
        <row r="9">
          <cell r="A9" t="str">
            <v>A</v>
          </cell>
        </row>
      </sheetData>
      <sheetData sheetId="1872">
        <row r="9">
          <cell r="A9" t="str">
            <v>A</v>
          </cell>
        </row>
      </sheetData>
      <sheetData sheetId="1873">
        <row r="9">
          <cell r="A9" t="str">
            <v>A</v>
          </cell>
        </row>
      </sheetData>
      <sheetData sheetId="1874">
        <row r="9">
          <cell r="A9" t="str">
            <v>A</v>
          </cell>
        </row>
      </sheetData>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ow r="9">
          <cell r="A9" t="str">
            <v>A</v>
          </cell>
        </row>
      </sheetData>
      <sheetData sheetId="1887">
        <row r="9">
          <cell r="A9" t="str">
            <v>A</v>
          </cell>
        </row>
      </sheetData>
      <sheetData sheetId="1888">
        <row r="9">
          <cell r="A9" t="str">
            <v>A</v>
          </cell>
        </row>
      </sheetData>
      <sheetData sheetId="1889">
        <row r="9">
          <cell r="A9" t="str">
            <v>A</v>
          </cell>
        </row>
      </sheetData>
      <sheetData sheetId="1890">
        <row r="9">
          <cell r="A9" t="str">
            <v>A</v>
          </cell>
        </row>
      </sheetData>
      <sheetData sheetId="1891">
        <row r="9">
          <cell r="A9" t="str">
            <v>A</v>
          </cell>
        </row>
      </sheetData>
      <sheetData sheetId="1892">
        <row r="9">
          <cell r="A9" t="str">
            <v>A</v>
          </cell>
        </row>
      </sheetData>
      <sheetData sheetId="1893">
        <row r="9">
          <cell r="A9" t="str">
            <v>A</v>
          </cell>
        </row>
      </sheetData>
      <sheetData sheetId="1894">
        <row r="9">
          <cell r="A9" t="str">
            <v>A</v>
          </cell>
        </row>
      </sheetData>
      <sheetData sheetId="1895">
        <row r="9">
          <cell r="A9" t="str">
            <v>A</v>
          </cell>
        </row>
      </sheetData>
      <sheetData sheetId="1896">
        <row r="9">
          <cell r="A9" t="str">
            <v>A</v>
          </cell>
        </row>
      </sheetData>
      <sheetData sheetId="1897">
        <row r="9">
          <cell r="A9" t="str">
            <v>A</v>
          </cell>
        </row>
      </sheetData>
      <sheetData sheetId="1898">
        <row r="9">
          <cell r="A9" t="str">
            <v>A</v>
          </cell>
        </row>
      </sheetData>
      <sheetData sheetId="1899">
        <row r="9">
          <cell r="A9" t="str">
            <v>A</v>
          </cell>
        </row>
      </sheetData>
      <sheetData sheetId="1900">
        <row r="9">
          <cell r="A9" t="str">
            <v>A</v>
          </cell>
        </row>
      </sheetData>
      <sheetData sheetId="1901">
        <row r="9">
          <cell r="A9" t="str">
            <v>A</v>
          </cell>
        </row>
      </sheetData>
      <sheetData sheetId="1902">
        <row r="9">
          <cell r="A9" t="str">
            <v>A</v>
          </cell>
        </row>
      </sheetData>
      <sheetData sheetId="1903">
        <row r="9">
          <cell r="A9" t="str">
            <v>A</v>
          </cell>
        </row>
      </sheetData>
      <sheetData sheetId="1904">
        <row r="9">
          <cell r="A9" t="str">
            <v>A</v>
          </cell>
        </row>
      </sheetData>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ow r="9">
          <cell r="A9" t="str">
            <v>A</v>
          </cell>
        </row>
      </sheetData>
      <sheetData sheetId="1910">
        <row r="9">
          <cell r="A9" t="str">
            <v>A</v>
          </cell>
        </row>
      </sheetData>
      <sheetData sheetId="1911">
        <row r="9">
          <cell r="A9" t="str">
            <v>A</v>
          </cell>
        </row>
      </sheetData>
      <sheetData sheetId="1912">
        <row r="9">
          <cell r="A9" t="str">
            <v>A</v>
          </cell>
        </row>
      </sheetData>
      <sheetData sheetId="1913">
        <row r="9">
          <cell r="A9" t="str">
            <v>A</v>
          </cell>
        </row>
      </sheetData>
      <sheetData sheetId="1914">
        <row r="9">
          <cell r="A9" t="str">
            <v>A</v>
          </cell>
        </row>
      </sheetData>
      <sheetData sheetId="1915">
        <row r="9">
          <cell r="A9" t="str">
            <v>A</v>
          </cell>
        </row>
      </sheetData>
      <sheetData sheetId="1916">
        <row r="9">
          <cell r="A9" t="str">
            <v>A</v>
          </cell>
        </row>
      </sheetData>
      <sheetData sheetId="1917">
        <row r="9">
          <cell r="A9" t="str">
            <v>A</v>
          </cell>
        </row>
      </sheetData>
      <sheetData sheetId="1918">
        <row r="9">
          <cell r="A9" t="str">
            <v>A</v>
          </cell>
        </row>
      </sheetData>
      <sheetData sheetId="1919">
        <row r="9">
          <cell r="A9" t="str">
            <v>A</v>
          </cell>
        </row>
      </sheetData>
      <sheetData sheetId="1920">
        <row r="9">
          <cell r="A9" t="str">
            <v>A</v>
          </cell>
        </row>
      </sheetData>
      <sheetData sheetId="1921">
        <row r="9">
          <cell r="A9" t="str">
            <v>A</v>
          </cell>
        </row>
      </sheetData>
      <sheetData sheetId="1922">
        <row r="9">
          <cell r="A9" t="str">
            <v>A</v>
          </cell>
        </row>
      </sheetData>
      <sheetData sheetId="1923">
        <row r="9">
          <cell r="A9" t="str">
            <v>A</v>
          </cell>
        </row>
      </sheetData>
      <sheetData sheetId="1924">
        <row r="9">
          <cell r="A9" t="str">
            <v>A</v>
          </cell>
        </row>
      </sheetData>
      <sheetData sheetId="1925">
        <row r="9">
          <cell r="A9" t="str">
            <v>A</v>
          </cell>
        </row>
      </sheetData>
      <sheetData sheetId="1926">
        <row r="9">
          <cell r="A9" t="str">
            <v>A</v>
          </cell>
        </row>
      </sheetData>
      <sheetData sheetId="1927">
        <row r="9">
          <cell r="A9" t="str">
            <v>A</v>
          </cell>
        </row>
      </sheetData>
      <sheetData sheetId="1928">
        <row r="9">
          <cell r="A9" t="str">
            <v>A</v>
          </cell>
        </row>
      </sheetData>
      <sheetData sheetId="1929">
        <row r="9">
          <cell r="A9" t="str">
            <v>A</v>
          </cell>
        </row>
      </sheetData>
      <sheetData sheetId="1930">
        <row r="9">
          <cell r="A9" t="str">
            <v>A</v>
          </cell>
        </row>
      </sheetData>
      <sheetData sheetId="1931">
        <row r="9">
          <cell r="A9" t="str">
            <v>A</v>
          </cell>
        </row>
      </sheetData>
      <sheetData sheetId="1932">
        <row r="9">
          <cell r="A9" t="str">
            <v>A</v>
          </cell>
        </row>
      </sheetData>
      <sheetData sheetId="1933">
        <row r="9">
          <cell r="A9" t="str">
            <v>A</v>
          </cell>
        </row>
      </sheetData>
      <sheetData sheetId="1934">
        <row r="9">
          <cell r="A9" t="str">
            <v>A</v>
          </cell>
        </row>
      </sheetData>
      <sheetData sheetId="1935">
        <row r="9">
          <cell r="A9" t="str">
            <v>A</v>
          </cell>
        </row>
      </sheetData>
      <sheetData sheetId="1936">
        <row r="9">
          <cell r="A9" t="str">
            <v>A</v>
          </cell>
        </row>
      </sheetData>
      <sheetData sheetId="1937">
        <row r="9">
          <cell r="A9" t="str">
            <v>A</v>
          </cell>
        </row>
      </sheetData>
      <sheetData sheetId="1938">
        <row r="9">
          <cell r="A9" t="str">
            <v>A</v>
          </cell>
        </row>
      </sheetData>
      <sheetData sheetId="1939">
        <row r="9">
          <cell r="A9" t="str">
            <v>A</v>
          </cell>
        </row>
      </sheetData>
      <sheetData sheetId="1940">
        <row r="9">
          <cell r="A9" t="str">
            <v>A</v>
          </cell>
        </row>
      </sheetData>
      <sheetData sheetId="1941">
        <row r="9">
          <cell r="A9" t="str">
            <v>A</v>
          </cell>
        </row>
      </sheetData>
      <sheetData sheetId="1942">
        <row r="9">
          <cell r="A9" t="str">
            <v>A</v>
          </cell>
        </row>
      </sheetData>
      <sheetData sheetId="1943">
        <row r="9">
          <cell r="A9" t="str">
            <v>A</v>
          </cell>
        </row>
      </sheetData>
      <sheetData sheetId="1944">
        <row r="9">
          <cell r="A9" t="str">
            <v>A</v>
          </cell>
        </row>
      </sheetData>
      <sheetData sheetId="1945">
        <row r="9">
          <cell r="A9" t="str">
            <v>A</v>
          </cell>
        </row>
      </sheetData>
      <sheetData sheetId="1946">
        <row r="9">
          <cell r="A9" t="str">
            <v>A</v>
          </cell>
        </row>
      </sheetData>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ow r="9">
          <cell r="A9" t="str">
            <v>A</v>
          </cell>
        </row>
      </sheetData>
      <sheetData sheetId="1962">
        <row r="9">
          <cell r="A9" t="str">
            <v>A</v>
          </cell>
        </row>
      </sheetData>
      <sheetData sheetId="1963">
        <row r="9">
          <cell r="A9" t="str">
            <v>A</v>
          </cell>
        </row>
      </sheetData>
      <sheetData sheetId="1964">
        <row r="9">
          <cell r="A9" t="str">
            <v>A</v>
          </cell>
        </row>
      </sheetData>
      <sheetData sheetId="1965">
        <row r="9">
          <cell r="A9" t="str">
            <v>A</v>
          </cell>
        </row>
      </sheetData>
      <sheetData sheetId="1966">
        <row r="9">
          <cell r="A9" t="str">
            <v>A</v>
          </cell>
        </row>
      </sheetData>
      <sheetData sheetId="1967">
        <row r="9">
          <cell r="A9" t="str">
            <v>A</v>
          </cell>
        </row>
      </sheetData>
      <sheetData sheetId="1968">
        <row r="9">
          <cell r="A9" t="str">
            <v>A</v>
          </cell>
        </row>
      </sheetData>
      <sheetData sheetId="1969">
        <row r="9">
          <cell r="A9" t="str">
            <v>A</v>
          </cell>
        </row>
      </sheetData>
      <sheetData sheetId="1970">
        <row r="9">
          <cell r="A9" t="str">
            <v>A</v>
          </cell>
        </row>
      </sheetData>
      <sheetData sheetId="1971">
        <row r="9">
          <cell r="A9" t="str">
            <v>A</v>
          </cell>
        </row>
      </sheetData>
      <sheetData sheetId="1972">
        <row r="9">
          <cell r="A9" t="str">
            <v>A</v>
          </cell>
        </row>
      </sheetData>
      <sheetData sheetId="1973">
        <row r="9">
          <cell r="A9" t="str">
            <v>A</v>
          </cell>
        </row>
      </sheetData>
      <sheetData sheetId="1974">
        <row r="9">
          <cell r="A9" t="str">
            <v>A</v>
          </cell>
        </row>
      </sheetData>
      <sheetData sheetId="1975">
        <row r="9">
          <cell r="A9" t="str">
            <v>A</v>
          </cell>
        </row>
      </sheetData>
      <sheetData sheetId="1976">
        <row r="9">
          <cell r="A9" t="str">
            <v>A</v>
          </cell>
        </row>
      </sheetData>
      <sheetData sheetId="1977">
        <row r="9">
          <cell r="A9" t="str">
            <v>A</v>
          </cell>
        </row>
      </sheetData>
      <sheetData sheetId="1978">
        <row r="9">
          <cell r="A9" t="str">
            <v>A</v>
          </cell>
        </row>
      </sheetData>
      <sheetData sheetId="1979">
        <row r="9">
          <cell r="A9" t="str">
            <v>A</v>
          </cell>
        </row>
      </sheetData>
      <sheetData sheetId="1980">
        <row r="9">
          <cell r="A9" t="str">
            <v>A</v>
          </cell>
        </row>
      </sheetData>
      <sheetData sheetId="1981">
        <row r="9">
          <cell r="A9" t="str">
            <v>A</v>
          </cell>
        </row>
      </sheetData>
      <sheetData sheetId="1982">
        <row r="9">
          <cell r="A9" t="str">
            <v>A</v>
          </cell>
        </row>
      </sheetData>
      <sheetData sheetId="1983">
        <row r="9">
          <cell r="A9" t="str">
            <v>A</v>
          </cell>
        </row>
      </sheetData>
      <sheetData sheetId="1984">
        <row r="9">
          <cell r="A9" t="str">
            <v>A</v>
          </cell>
        </row>
      </sheetData>
      <sheetData sheetId="1985">
        <row r="9">
          <cell r="A9" t="str">
            <v>A</v>
          </cell>
        </row>
      </sheetData>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ow r="9">
          <cell r="A9" t="str">
            <v>A</v>
          </cell>
        </row>
      </sheetData>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ow r="9">
          <cell r="A9" t="str">
            <v>A</v>
          </cell>
        </row>
      </sheetData>
      <sheetData sheetId="1997">
        <row r="9">
          <cell r="A9" t="str">
            <v>A</v>
          </cell>
        </row>
      </sheetData>
      <sheetData sheetId="1998">
        <row r="9">
          <cell r="A9" t="str">
            <v>A</v>
          </cell>
        </row>
      </sheetData>
      <sheetData sheetId="1999">
        <row r="9">
          <cell r="A9" t="str">
            <v>A</v>
          </cell>
        </row>
      </sheetData>
      <sheetData sheetId="2000">
        <row r="9">
          <cell r="A9" t="str">
            <v>A</v>
          </cell>
        </row>
      </sheetData>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ow r="9">
          <cell r="A9" t="str">
            <v>A</v>
          </cell>
        </row>
      </sheetData>
      <sheetData sheetId="2006">
        <row r="9">
          <cell r="A9" t="str">
            <v>A</v>
          </cell>
        </row>
      </sheetData>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ow r="9">
          <cell r="A9" t="str">
            <v>A</v>
          </cell>
        </row>
      </sheetData>
      <sheetData sheetId="2013">
        <row r="9">
          <cell r="A9" t="str">
            <v>A</v>
          </cell>
        </row>
      </sheetData>
      <sheetData sheetId="2014">
        <row r="9">
          <cell r="A9" t="str">
            <v>A</v>
          </cell>
        </row>
      </sheetData>
      <sheetData sheetId="2015">
        <row r="9">
          <cell r="A9" t="str">
            <v>A</v>
          </cell>
        </row>
      </sheetData>
      <sheetData sheetId="2016">
        <row r="9">
          <cell r="A9" t="str">
            <v>A</v>
          </cell>
        </row>
      </sheetData>
      <sheetData sheetId="2017">
        <row r="9">
          <cell r="A9" t="str">
            <v>A</v>
          </cell>
        </row>
      </sheetData>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ow r="9">
          <cell r="A9" t="str">
            <v>A</v>
          </cell>
        </row>
      </sheetData>
      <sheetData sheetId="2038">
        <row r="9">
          <cell r="A9" t="str">
            <v>A</v>
          </cell>
        </row>
      </sheetData>
      <sheetData sheetId="2039">
        <row r="9">
          <cell r="A9" t="str">
            <v>A</v>
          </cell>
        </row>
      </sheetData>
      <sheetData sheetId="2040">
        <row r="9">
          <cell r="A9" t="str">
            <v>A</v>
          </cell>
        </row>
      </sheetData>
      <sheetData sheetId="2041">
        <row r="9">
          <cell r="A9" t="str">
            <v>A</v>
          </cell>
        </row>
      </sheetData>
      <sheetData sheetId="2042">
        <row r="9">
          <cell r="A9" t="str">
            <v>A</v>
          </cell>
        </row>
      </sheetData>
      <sheetData sheetId="2043">
        <row r="9">
          <cell r="A9" t="str">
            <v>A</v>
          </cell>
        </row>
      </sheetData>
      <sheetData sheetId="2044">
        <row r="9">
          <cell r="A9" t="str">
            <v>A</v>
          </cell>
        </row>
      </sheetData>
      <sheetData sheetId="2045">
        <row r="9">
          <cell r="A9" t="str">
            <v>A</v>
          </cell>
        </row>
      </sheetData>
      <sheetData sheetId="2046">
        <row r="9">
          <cell r="A9" t="str">
            <v>A</v>
          </cell>
        </row>
      </sheetData>
      <sheetData sheetId="2047">
        <row r="9">
          <cell r="A9" t="str">
            <v>A</v>
          </cell>
        </row>
      </sheetData>
      <sheetData sheetId="2048">
        <row r="9">
          <cell r="A9" t="str">
            <v>A</v>
          </cell>
        </row>
      </sheetData>
      <sheetData sheetId="2049">
        <row r="9">
          <cell r="A9" t="str">
            <v>A</v>
          </cell>
        </row>
      </sheetData>
      <sheetData sheetId="2050">
        <row r="9">
          <cell r="A9" t="str">
            <v>A</v>
          </cell>
        </row>
      </sheetData>
      <sheetData sheetId="2051">
        <row r="9">
          <cell r="A9" t="str">
            <v>A</v>
          </cell>
        </row>
      </sheetData>
      <sheetData sheetId="2052">
        <row r="9">
          <cell r="A9" t="str">
            <v>A</v>
          </cell>
        </row>
      </sheetData>
      <sheetData sheetId="2053">
        <row r="9">
          <cell r="A9" t="str">
            <v>A</v>
          </cell>
        </row>
      </sheetData>
      <sheetData sheetId="2054">
        <row r="9">
          <cell r="A9" t="str">
            <v>A</v>
          </cell>
        </row>
      </sheetData>
      <sheetData sheetId="2055">
        <row r="9">
          <cell r="A9" t="str">
            <v>A</v>
          </cell>
        </row>
      </sheetData>
      <sheetData sheetId="2056">
        <row r="9">
          <cell r="A9" t="str">
            <v>A</v>
          </cell>
        </row>
      </sheetData>
      <sheetData sheetId="2057">
        <row r="9">
          <cell r="A9" t="str">
            <v>A</v>
          </cell>
        </row>
      </sheetData>
      <sheetData sheetId="2058">
        <row r="9">
          <cell r="A9" t="str">
            <v>A</v>
          </cell>
        </row>
      </sheetData>
      <sheetData sheetId="2059">
        <row r="9">
          <cell r="A9" t="str">
            <v>A</v>
          </cell>
        </row>
      </sheetData>
      <sheetData sheetId="2060">
        <row r="9">
          <cell r="A9" t="str">
            <v>A</v>
          </cell>
        </row>
      </sheetData>
      <sheetData sheetId="2061">
        <row r="9">
          <cell r="A9" t="str">
            <v>A</v>
          </cell>
        </row>
      </sheetData>
      <sheetData sheetId="2062">
        <row r="9">
          <cell r="A9" t="str">
            <v>A</v>
          </cell>
        </row>
      </sheetData>
      <sheetData sheetId="2063">
        <row r="9">
          <cell r="A9" t="str">
            <v>A</v>
          </cell>
        </row>
      </sheetData>
      <sheetData sheetId="2064">
        <row r="9">
          <cell r="A9" t="str">
            <v>A</v>
          </cell>
        </row>
      </sheetData>
      <sheetData sheetId="2065">
        <row r="9">
          <cell r="A9" t="str">
            <v>A</v>
          </cell>
        </row>
      </sheetData>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ow r="9">
          <cell r="A9" t="str">
            <v>A</v>
          </cell>
        </row>
      </sheetData>
      <sheetData sheetId="2071">
        <row r="9">
          <cell r="A9" t="str">
            <v>A</v>
          </cell>
        </row>
      </sheetData>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ow r="9">
          <cell r="A9" t="str">
            <v>A</v>
          </cell>
        </row>
      </sheetData>
      <sheetData sheetId="2077">
        <row r="9">
          <cell r="A9" t="str">
            <v>A</v>
          </cell>
        </row>
      </sheetData>
      <sheetData sheetId="2078">
        <row r="9">
          <cell r="A9" t="str">
            <v>A</v>
          </cell>
        </row>
      </sheetData>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row r="9">
          <cell r="A9" t="str">
            <v>A</v>
          </cell>
        </row>
      </sheetData>
      <sheetData sheetId="2084">
        <row r="9">
          <cell r="A9" t="str">
            <v>A</v>
          </cell>
        </row>
      </sheetData>
      <sheetData sheetId="2085">
        <row r="9">
          <cell r="A9" t="str">
            <v>A</v>
          </cell>
        </row>
      </sheetData>
      <sheetData sheetId="2086">
        <row r="9">
          <cell r="A9" t="str">
            <v>A</v>
          </cell>
        </row>
      </sheetData>
      <sheetData sheetId="2087">
        <row r="9">
          <cell r="A9" t="str">
            <v>A</v>
          </cell>
        </row>
      </sheetData>
      <sheetData sheetId="2088">
        <row r="9">
          <cell r="A9" t="str">
            <v>A</v>
          </cell>
        </row>
      </sheetData>
      <sheetData sheetId="2089">
        <row r="9">
          <cell r="A9" t="str">
            <v>A</v>
          </cell>
        </row>
      </sheetData>
      <sheetData sheetId="2090">
        <row r="9">
          <cell r="A9" t="str">
            <v>A</v>
          </cell>
        </row>
      </sheetData>
      <sheetData sheetId="2091">
        <row r="9">
          <cell r="A9" t="str">
            <v>A</v>
          </cell>
        </row>
      </sheetData>
      <sheetData sheetId="2092">
        <row r="9">
          <cell r="A9" t="str">
            <v>A</v>
          </cell>
        </row>
      </sheetData>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ow r="9">
          <cell r="A9" t="str">
            <v>A</v>
          </cell>
        </row>
      </sheetData>
      <sheetData sheetId="2100">
        <row r="9">
          <cell r="A9" t="str">
            <v>A</v>
          </cell>
        </row>
      </sheetData>
      <sheetData sheetId="2101">
        <row r="9">
          <cell r="A9" t="str">
            <v>A</v>
          </cell>
        </row>
      </sheetData>
      <sheetData sheetId="2102">
        <row r="9">
          <cell r="A9" t="str">
            <v>A</v>
          </cell>
        </row>
      </sheetData>
      <sheetData sheetId="2103">
        <row r="9">
          <cell r="A9" t="str">
            <v>A</v>
          </cell>
        </row>
      </sheetData>
      <sheetData sheetId="2104">
        <row r="9">
          <cell r="A9" t="str">
            <v>A</v>
          </cell>
        </row>
      </sheetData>
      <sheetData sheetId="2105">
        <row r="9">
          <cell r="A9" t="str">
            <v>A</v>
          </cell>
        </row>
      </sheetData>
      <sheetData sheetId="2106">
        <row r="9">
          <cell r="A9" t="str">
            <v>A</v>
          </cell>
        </row>
      </sheetData>
      <sheetData sheetId="2107">
        <row r="9">
          <cell r="A9" t="str">
            <v>A</v>
          </cell>
        </row>
      </sheetData>
      <sheetData sheetId="2108">
        <row r="9">
          <cell r="A9" t="str">
            <v>A</v>
          </cell>
        </row>
      </sheetData>
      <sheetData sheetId="2109">
        <row r="9">
          <cell r="A9" t="str">
            <v>A</v>
          </cell>
        </row>
      </sheetData>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ow r="9">
          <cell r="A9" t="str">
            <v>A</v>
          </cell>
        </row>
      </sheetData>
      <sheetData sheetId="2138">
        <row r="9">
          <cell r="A9" t="str">
            <v>A</v>
          </cell>
        </row>
      </sheetData>
      <sheetData sheetId="2139">
        <row r="9">
          <cell r="A9" t="str">
            <v>A</v>
          </cell>
        </row>
      </sheetData>
      <sheetData sheetId="2140">
        <row r="9">
          <cell r="A9" t="str">
            <v>A</v>
          </cell>
        </row>
      </sheetData>
      <sheetData sheetId="2141">
        <row r="9">
          <cell r="A9" t="str">
            <v>A</v>
          </cell>
        </row>
      </sheetData>
      <sheetData sheetId="2142">
        <row r="9">
          <cell r="A9" t="str">
            <v>A</v>
          </cell>
        </row>
      </sheetData>
      <sheetData sheetId="2143">
        <row r="9">
          <cell r="A9" t="str">
            <v>A</v>
          </cell>
        </row>
      </sheetData>
      <sheetData sheetId="2144">
        <row r="9">
          <cell r="A9" t="str">
            <v>A</v>
          </cell>
        </row>
      </sheetData>
      <sheetData sheetId="2145">
        <row r="9">
          <cell r="A9" t="str">
            <v>A</v>
          </cell>
        </row>
      </sheetData>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ow r="9">
          <cell r="A9" t="str">
            <v>A</v>
          </cell>
        </row>
      </sheetData>
      <sheetData sheetId="2159">
        <row r="9">
          <cell r="A9" t="str">
            <v>A</v>
          </cell>
        </row>
      </sheetData>
      <sheetData sheetId="2160">
        <row r="9">
          <cell r="A9" t="str">
            <v>A</v>
          </cell>
        </row>
      </sheetData>
      <sheetData sheetId="2161">
        <row r="9">
          <cell r="A9" t="str">
            <v>A</v>
          </cell>
        </row>
      </sheetData>
      <sheetData sheetId="2162">
        <row r="9">
          <cell r="A9" t="str">
            <v>A</v>
          </cell>
        </row>
      </sheetData>
      <sheetData sheetId="2163">
        <row r="9">
          <cell r="A9" t="str">
            <v>A</v>
          </cell>
        </row>
      </sheetData>
      <sheetData sheetId="2164">
        <row r="9">
          <cell r="A9" t="str">
            <v>A</v>
          </cell>
        </row>
      </sheetData>
      <sheetData sheetId="2165">
        <row r="9">
          <cell r="A9" t="str">
            <v>A</v>
          </cell>
        </row>
      </sheetData>
      <sheetData sheetId="2166">
        <row r="9">
          <cell r="A9" t="str">
            <v>A</v>
          </cell>
        </row>
      </sheetData>
      <sheetData sheetId="2167">
        <row r="9">
          <cell r="A9" t="str">
            <v>A</v>
          </cell>
        </row>
      </sheetData>
      <sheetData sheetId="2168">
        <row r="9">
          <cell r="A9" t="str">
            <v>A</v>
          </cell>
        </row>
      </sheetData>
      <sheetData sheetId="2169">
        <row r="9">
          <cell r="A9" t="str">
            <v>A</v>
          </cell>
        </row>
      </sheetData>
      <sheetData sheetId="2170">
        <row r="9">
          <cell r="A9" t="str">
            <v>A</v>
          </cell>
        </row>
      </sheetData>
      <sheetData sheetId="2171">
        <row r="9">
          <cell r="A9" t="str">
            <v>A</v>
          </cell>
        </row>
      </sheetData>
      <sheetData sheetId="2172">
        <row r="9">
          <cell r="A9" t="str">
            <v>A</v>
          </cell>
        </row>
      </sheetData>
      <sheetData sheetId="2173">
        <row r="9">
          <cell r="A9" t="str">
            <v>A</v>
          </cell>
        </row>
      </sheetData>
      <sheetData sheetId="2174" refreshError="1"/>
      <sheetData sheetId="2175" refreshError="1"/>
      <sheetData sheetId="2176" refreshError="1"/>
      <sheetData sheetId="2177">
        <row r="9">
          <cell r="A9" t="str">
            <v>A</v>
          </cell>
        </row>
      </sheetData>
      <sheetData sheetId="2178" refreshError="1"/>
      <sheetData sheetId="2179">
        <row r="9">
          <cell r="A9" t="str">
            <v>A</v>
          </cell>
        </row>
      </sheetData>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ow r="9">
          <cell r="A9" t="str">
            <v>A</v>
          </cell>
        </row>
      </sheetData>
      <sheetData sheetId="2190">
        <row r="9">
          <cell r="A9" t="str">
            <v>A</v>
          </cell>
        </row>
      </sheetData>
      <sheetData sheetId="2191">
        <row r="9">
          <cell r="A9" t="str">
            <v>A</v>
          </cell>
        </row>
      </sheetData>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ow r="9">
          <cell r="A9" t="str">
            <v>A</v>
          </cell>
        </row>
      </sheetData>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ow r="9">
          <cell r="A9" t="str">
            <v>A</v>
          </cell>
        </row>
      </sheetData>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sheetData sheetId="2243"/>
      <sheetData sheetId="2244"/>
      <sheetData sheetId="2245"/>
      <sheetData sheetId="2246"/>
      <sheetData sheetId="2247"/>
      <sheetData sheetId="2248" refreshError="1"/>
      <sheetData sheetId="2249" refreshError="1"/>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refreshError="1"/>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sheetData sheetId="2388"/>
      <sheetData sheetId="2389"/>
      <sheetData sheetId="2390"/>
      <sheetData sheetId="2391" refreshError="1"/>
      <sheetData sheetId="2392"/>
      <sheetData sheetId="2393"/>
      <sheetData sheetId="2394">
        <row r="9">
          <cell r="A9" t="str">
            <v>A</v>
          </cell>
        </row>
      </sheetData>
      <sheetData sheetId="2395"/>
      <sheetData sheetId="2396" refreshError="1"/>
      <sheetData sheetId="2397" refreshError="1"/>
      <sheetData sheetId="2398" refreshError="1"/>
      <sheetData sheetId="2399" refreshError="1"/>
      <sheetData sheetId="2400" refreshError="1"/>
      <sheetData sheetId="2401" refreshError="1"/>
      <sheetData sheetId="2402"/>
      <sheetData sheetId="2403"/>
      <sheetData sheetId="2404"/>
      <sheetData sheetId="2405"/>
      <sheetData sheetId="2406"/>
      <sheetData sheetId="2407"/>
      <sheetData sheetId="2408"/>
      <sheetData sheetId="2409"/>
      <sheetData sheetId="2410"/>
      <sheetData sheetId="2411"/>
      <sheetData sheetId="2412"/>
      <sheetData sheetId="2413" refreshError="1"/>
      <sheetData sheetId="2414"/>
      <sheetData sheetId="2415"/>
      <sheetData sheetId="2416"/>
      <sheetData sheetId="2417"/>
      <sheetData sheetId="2418"/>
      <sheetData sheetId="2419"/>
      <sheetData sheetId="2420"/>
      <sheetData sheetId="2421"/>
      <sheetData sheetId="2422" refreshError="1"/>
      <sheetData sheetId="2423" refreshError="1"/>
      <sheetData sheetId="2424" refreshError="1"/>
      <sheetData sheetId="2425" refreshError="1"/>
      <sheetData sheetId="2426" refreshError="1"/>
      <sheetData sheetId="2427" refreshError="1"/>
      <sheetData sheetId="2428"/>
      <sheetData sheetId="2429"/>
      <sheetData sheetId="2430"/>
      <sheetData sheetId="2431"/>
      <sheetData sheetId="2432"/>
      <sheetData sheetId="2433"/>
      <sheetData sheetId="2434"/>
      <sheetData sheetId="2435"/>
      <sheetData sheetId="2436"/>
      <sheetData sheetId="2437"/>
      <sheetData sheetId="2438"/>
      <sheetData sheetId="2439" refreshError="1"/>
      <sheetData sheetId="2440" refreshError="1"/>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refreshError="1"/>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refreshError="1"/>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sheetData sheetId="2505"/>
      <sheetData sheetId="2506"/>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sheetData sheetId="2518"/>
      <sheetData sheetId="2519"/>
      <sheetData sheetId="2520"/>
      <sheetData sheetId="2521"/>
      <sheetData sheetId="2522"/>
      <sheetData sheetId="2523"/>
      <sheetData sheetId="2524"/>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ow r="9">
          <cell r="A9" t="str">
            <v>A</v>
          </cell>
        </row>
      </sheetData>
      <sheetData sheetId="2557">
        <row r="9">
          <cell r="A9" t="str">
            <v>A</v>
          </cell>
        </row>
      </sheetData>
      <sheetData sheetId="2558" refreshError="1"/>
      <sheetData sheetId="2559" refreshError="1"/>
      <sheetData sheetId="2560" refreshError="1"/>
      <sheetData sheetId="2561" refreshError="1"/>
      <sheetData sheetId="2562">
        <row r="9">
          <cell r="A9" t="str">
            <v>A</v>
          </cell>
        </row>
      </sheetData>
      <sheetData sheetId="2563">
        <row r="9">
          <cell r="A9" t="str">
            <v>A</v>
          </cell>
        </row>
      </sheetData>
      <sheetData sheetId="2564">
        <row r="9">
          <cell r="A9" t="str">
            <v>A</v>
          </cell>
        </row>
      </sheetData>
      <sheetData sheetId="2565">
        <row r="9">
          <cell r="A9" t="str">
            <v>A</v>
          </cell>
        </row>
      </sheetData>
      <sheetData sheetId="2566">
        <row r="9">
          <cell r="A9" t="str">
            <v>A</v>
          </cell>
        </row>
      </sheetData>
      <sheetData sheetId="2567">
        <row r="9">
          <cell r="A9" t="str">
            <v>A</v>
          </cell>
        </row>
      </sheetData>
      <sheetData sheetId="2568">
        <row r="9">
          <cell r="A9" t="str">
            <v>A</v>
          </cell>
        </row>
      </sheetData>
      <sheetData sheetId="2569">
        <row r="9">
          <cell r="A9" t="str">
            <v>A</v>
          </cell>
        </row>
      </sheetData>
      <sheetData sheetId="2570">
        <row r="9">
          <cell r="A9" t="str">
            <v>A</v>
          </cell>
        </row>
      </sheetData>
      <sheetData sheetId="2571">
        <row r="9">
          <cell r="A9" t="str">
            <v>A</v>
          </cell>
        </row>
      </sheetData>
      <sheetData sheetId="2572">
        <row r="9">
          <cell r="A9" t="str">
            <v>A</v>
          </cell>
        </row>
      </sheetData>
      <sheetData sheetId="2573">
        <row r="9">
          <cell r="A9" t="str">
            <v>A</v>
          </cell>
        </row>
      </sheetData>
      <sheetData sheetId="2574">
        <row r="9">
          <cell r="A9" t="str">
            <v>A</v>
          </cell>
        </row>
      </sheetData>
      <sheetData sheetId="2575">
        <row r="9">
          <cell r="A9" t="str">
            <v>A</v>
          </cell>
        </row>
      </sheetData>
      <sheetData sheetId="2576">
        <row r="9">
          <cell r="A9" t="str">
            <v>A</v>
          </cell>
        </row>
      </sheetData>
      <sheetData sheetId="2577">
        <row r="9">
          <cell r="A9" t="str">
            <v>A</v>
          </cell>
        </row>
      </sheetData>
      <sheetData sheetId="2578">
        <row r="9">
          <cell r="A9" t="str">
            <v>A</v>
          </cell>
        </row>
      </sheetData>
      <sheetData sheetId="2579">
        <row r="9">
          <cell r="A9" t="str">
            <v>A</v>
          </cell>
        </row>
      </sheetData>
      <sheetData sheetId="2580">
        <row r="9">
          <cell r="A9" t="str">
            <v>A</v>
          </cell>
        </row>
      </sheetData>
      <sheetData sheetId="2581">
        <row r="9">
          <cell r="A9" t="str">
            <v>A</v>
          </cell>
        </row>
      </sheetData>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ow r="9">
          <cell r="A9" t="str">
            <v>A</v>
          </cell>
        </row>
      </sheetData>
      <sheetData sheetId="2605">
        <row r="9">
          <cell r="A9" t="str">
            <v>A</v>
          </cell>
        </row>
      </sheetData>
      <sheetData sheetId="2606">
        <row r="9">
          <cell r="A9" t="str">
            <v>A</v>
          </cell>
        </row>
      </sheetData>
      <sheetData sheetId="2607">
        <row r="9">
          <cell r="A9" t="str">
            <v>A</v>
          </cell>
        </row>
      </sheetData>
      <sheetData sheetId="2608">
        <row r="9">
          <cell r="A9" t="str">
            <v>A</v>
          </cell>
        </row>
      </sheetData>
      <sheetData sheetId="2609">
        <row r="9">
          <cell r="A9" t="str">
            <v>A</v>
          </cell>
        </row>
      </sheetData>
      <sheetData sheetId="2610">
        <row r="9">
          <cell r="A9" t="str">
            <v>A</v>
          </cell>
        </row>
      </sheetData>
      <sheetData sheetId="2611">
        <row r="9">
          <cell r="A9" t="str">
            <v>A</v>
          </cell>
        </row>
      </sheetData>
      <sheetData sheetId="2612">
        <row r="9">
          <cell r="A9" t="str">
            <v>A</v>
          </cell>
        </row>
      </sheetData>
      <sheetData sheetId="2613">
        <row r="9">
          <cell r="A9" t="str">
            <v>A</v>
          </cell>
        </row>
      </sheetData>
      <sheetData sheetId="2614">
        <row r="9">
          <cell r="A9" t="str">
            <v>A</v>
          </cell>
        </row>
      </sheetData>
      <sheetData sheetId="2615">
        <row r="9">
          <cell r="A9" t="str">
            <v>A</v>
          </cell>
        </row>
      </sheetData>
      <sheetData sheetId="2616">
        <row r="9">
          <cell r="A9" t="str">
            <v>A</v>
          </cell>
        </row>
      </sheetData>
      <sheetData sheetId="2617">
        <row r="9">
          <cell r="A9" t="str">
            <v>A</v>
          </cell>
        </row>
      </sheetData>
      <sheetData sheetId="2618">
        <row r="9">
          <cell r="A9" t="str">
            <v>A</v>
          </cell>
        </row>
      </sheetData>
      <sheetData sheetId="2619">
        <row r="9">
          <cell r="A9" t="str">
            <v>A</v>
          </cell>
        </row>
      </sheetData>
      <sheetData sheetId="2620">
        <row r="9">
          <cell r="A9" t="str">
            <v>A</v>
          </cell>
        </row>
      </sheetData>
      <sheetData sheetId="2621">
        <row r="9">
          <cell r="A9" t="str">
            <v>A</v>
          </cell>
        </row>
      </sheetData>
      <sheetData sheetId="2622">
        <row r="9">
          <cell r="A9" t="str">
            <v>A</v>
          </cell>
        </row>
      </sheetData>
      <sheetData sheetId="2623">
        <row r="9">
          <cell r="A9" t="str">
            <v>A</v>
          </cell>
        </row>
      </sheetData>
      <sheetData sheetId="2624">
        <row r="9">
          <cell r="A9" t="str">
            <v>A</v>
          </cell>
        </row>
      </sheetData>
      <sheetData sheetId="2625">
        <row r="9">
          <cell r="A9" t="str">
            <v>A</v>
          </cell>
        </row>
      </sheetData>
      <sheetData sheetId="2626">
        <row r="9">
          <cell r="A9" t="str">
            <v>A</v>
          </cell>
        </row>
      </sheetData>
      <sheetData sheetId="2627">
        <row r="9">
          <cell r="A9" t="str">
            <v>A</v>
          </cell>
        </row>
      </sheetData>
      <sheetData sheetId="2628">
        <row r="9">
          <cell r="A9" t="str">
            <v>A</v>
          </cell>
        </row>
      </sheetData>
      <sheetData sheetId="2629">
        <row r="9">
          <cell r="A9" t="str">
            <v>A</v>
          </cell>
        </row>
      </sheetData>
      <sheetData sheetId="2630">
        <row r="9">
          <cell r="A9" t="str">
            <v>A</v>
          </cell>
        </row>
      </sheetData>
      <sheetData sheetId="2631">
        <row r="9">
          <cell r="A9" t="str">
            <v>A</v>
          </cell>
        </row>
      </sheetData>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row r="9">
          <cell r="A9" t="str">
            <v>A</v>
          </cell>
        </row>
      </sheetData>
      <sheetData sheetId="2637">
        <row r="9">
          <cell r="A9" t="str">
            <v>A</v>
          </cell>
        </row>
      </sheetData>
      <sheetData sheetId="2638">
        <row r="9">
          <cell r="A9" t="str">
            <v>A</v>
          </cell>
        </row>
      </sheetData>
      <sheetData sheetId="2639">
        <row r="9">
          <cell r="A9" t="str">
            <v>A</v>
          </cell>
        </row>
      </sheetData>
      <sheetData sheetId="2640">
        <row r="9">
          <cell r="A9" t="str">
            <v>A</v>
          </cell>
        </row>
      </sheetData>
      <sheetData sheetId="2641">
        <row r="9">
          <cell r="A9" t="str">
            <v>A</v>
          </cell>
        </row>
      </sheetData>
      <sheetData sheetId="2642">
        <row r="9">
          <cell r="A9" t="str">
            <v>A</v>
          </cell>
        </row>
      </sheetData>
      <sheetData sheetId="2643">
        <row r="9">
          <cell r="A9" t="str">
            <v>A</v>
          </cell>
        </row>
      </sheetData>
      <sheetData sheetId="2644">
        <row r="9">
          <cell r="A9" t="str">
            <v>A</v>
          </cell>
        </row>
      </sheetData>
      <sheetData sheetId="2645">
        <row r="9">
          <cell r="A9" t="str">
            <v>A</v>
          </cell>
        </row>
      </sheetData>
      <sheetData sheetId="2646">
        <row r="9">
          <cell r="A9" t="str">
            <v>A</v>
          </cell>
        </row>
      </sheetData>
      <sheetData sheetId="2647">
        <row r="9">
          <cell r="A9" t="str">
            <v>A</v>
          </cell>
        </row>
      </sheetData>
      <sheetData sheetId="2648">
        <row r="9">
          <cell r="A9" t="str">
            <v>A</v>
          </cell>
        </row>
      </sheetData>
      <sheetData sheetId="2649">
        <row r="9">
          <cell r="A9" t="str">
            <v>A</v>
          </cell>
        </row>
      </sheetData>
      <sheetData sheetId="2650">
        <row r="9">
          <cell r="A9" t="str">
            <v>A</v>
          </cell>
        </row>
      </sheetData>
      <sheetData sheetId="2651">
        <row r="9">
          <cell r="A9" t="str">
            <v>A</v>
          </cell>
        </row>
      </sheetData>
      <sheetData sheetId="2652">
        <row r="9">
          <cell r="A9" t="str">
            <v>A</v>
          </cell>
        </row>
      </sheetData>
      <sheetData sheetId="2653">
        <row r="9">
          <cell r="A9" t="str">
            <v>A</v>
          </cell>
        </row>
      </sheetData>
      <sheetData sheetId="2654">
        <row r="9">
          <cell r="A9" t="str">
            <v>A</v>
          </cell>
        </row>
      </sheetData>
      <sheetData sheetId="2655">
        <row r="9">
          <cell r="A9" t="str">
            <v>A</v>
          </cell>
        </row>
      </sheetData>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ow r="9">
          <cell r="A9" t="str">
            <v>A</v>
          </cell>
        </row>
      </sheetData>
      <sheetData sheetId="2662">
        <row r="9">
          <cell r="A9" t="str">
            <v>A</v>
          </cell>
        </row>
      </sheetData>
      <sheetData sheetId="2663">
        <row r="9">
          <cell r="A9" t="str">
            <v>A</v>
          </cell>
        </row>
      </sheetData>
      <sheetData sheetId="2664">
        <row r="9">
          <cell r="A9" t="str">
            <v>A</v>
          </cell>
        </row>
      </sheetData>
      <sheetData sheetId="2665">
        <row r="9">
          <cell r="A9" t="str">
            <v>A</v>
          </cell>
        </row>
      </sheetData>
      <sheetData sheetId="2666">
        <row r="9">
          <cell r="A9" t="str">
            <v>A</v>
          </cell>
        </row>
      </sheetData>
      <sheetData sheetId="2667">
        <row r="9">
          <cell r="A9" t="str">
            <v>A</v>
          </cell>
        </row>
      </sheetData>
      <sheetData sheetId="2668">
        <row r="9">
          <cell r="A9" t="str">
            <v>A</v>
          </cell>
        </row>
      </sheetData>
      <sheetData sheetId="2669">
        <row r="9">
          <cell r="A9" t="str">
            <v>A</v>
          </cell>
        </row>
      </sheetData>
      <sheetData sheetId="2670">
        <row r="9">
          <cell r="A9" t="str">
            <v>A</v>
          </cell>
        </row>
      </sheetData>
      <sheetData sheetId="2671">
        <row r="9">
          <cell r="A9" t="str">
            <v>A</v>
          </cell>
        </row>
      </sheetData>
      <sheetData sheetId="2672">
        <row r="9">
          <cell r="A9" t="str">
            <v>A</v>
          </cell>
        </row>
      </sheetData>
      <sheetData sheetId="2673">
        <row r="9">
          <cell r="A9" t="str">
            <v>A</v>
          </cell>
        </row>
      </sheetData>
      <sheetData sheetId="2674">
        <row r="9">
          <cell r="A9" t="str">
            <v>A</v>
          </cell>
        </row>
      </sheetData>
      <sheetData sheetId="2675">
        <row r="9">
          <cell r="A9" t="str">
            <v>A</v>
          </cell>
        </row>
      </sheetData>
      <sheetData sheetId="2676">
        <row r="9">
          <cell r="A9" t="str">
            <v>A</v>
          </cell>
        </row>
      </sheetData>
      <sheetData sheetId="2677">
        <row r="9">
          <cell r="A9" t="str">
            <v>A</v>
          </cell>
        </row>
      </sheetData>
      <sheetData sheetId="2678">
        <row r="9">
          <cell r="A9" t="str">
            <v>A</v>
          </cell>
        </row>
      </sheetData>
      <sheetData sheetId="2679">
        <row r="9">
          <cell r="A9" t="str">
            <v>A</v>
          </cell>
        </row>
      </sheetData>
      <sheetData sheetId="2680">
        <row r="9">
          <cell r="A9" t="str">
            <v>A</v>
          </cell>
        </row>
      </sheetData>
      <sheetData sheetId="2681">
        <row r="9">
          <cell r="A9" t="str">
            <v>A</v>
          </cell>
        </row>
      </sheetData>
      <sheetData sheetId="2682">
        <row r="9">
          <cell r="A9" t="str">
            <v>A</v>
          </cell>
        </row>
      </sheetData>
      <sheetData sheetId="2683">
        <row r="9">
          <cell r="A9" t="str">
            <v>A</v>
          </cell>
        </row>
      </sheetData>
      <sheetData sheetId="2684">
        <row r="9">
          <cell r="A9" t="str">
            <v>A</v>
          </cell>
        </row>
      </sheetData>
      <sheetData sheetId="2685">
        <row r="9">
          <cell r="A9" t="str">
            <v>A</v>
          </cell>
        </row>
      </sheetData>
      <sheetData sheetId="2686">
        <row r="9">
          <cell r="A9" t="str">
            <v>A</v>
          </cell>
        </row>
      </sheetData>
      <sheetData sheetId="2687">
        <row r="9">
          <cell r="A9" t="str">
            <v>A</v>
          </cell>
        </row>
      </sheetData>
      <sheetData sheetId="2688">
        <row r="9">
          <cell r="A9" t="str">
            <v>A</v>
          </cell>
        </row>
      </sheetData>
      <sheetData sheetId="2689">
        <row r="9">
          <cell r="A9" t="str">
            <v>A</v>
          </cell>
        </row>
      </sheetData>
      <sheetData sheetId="2690">
        <row r="9">
          <cell r="A9" t="str">
            <v>A</v>
          </cell>
        </row>
      </sheetData>
      <sheetData sheetId="2691">
        <row r="9">
          <cell r="A9" t="str">
            <v>A</v>
          </cell>
        </row>
      </sheetData>
      <sheetData sheetId="2692">
        <row r="9">
          <cell r="A9" t="str">
            <v>A</v>
          </cell>
        </row>
      </sheetData>
      <sheetData sheetId="2693">
        <row r="9">
          <cell r="A9" t="str">
            <v>A</v>
          </cell>
        </row>
      </sheetData>
      <sheetData sheetId="2694">
        <row r="9">
          <cell r="A9" t="str">
            <v>A</v>
          </cell>
        </row>
      </sheetData>
      <sheetData sheetId="2695">
        <row r="9">
          <cell r="A9" t="str">
            <v>A</v>
          </cell>
        </row>
      </sheetData>
      <sheetData sheetId="2696">
        <row r="9">
          <cell r="A9" t="str">
            <v>A</v>
          </cell>
        </row>
      </sheetData>
      <sheetData sheetId="2697">
        <row r="9">
          <cell r="A9" t="str">
            <v>A</v>
          </cell>
        </row>
      </sheetData>
      <sheetData sheetId="2698">
        <row r="9">
          <cell r="A9" t="str">
            <v>A</v>
          </cell>
        </row>
      </sheetData>
      <sheetData sheetId="2699">
        <row r="9">
          <cell r="A9" t="str">
            <v>A</v>
          </cell>
        </row>
      </sheetData>
      <sheetData sheetId="2700">
        <row r="9">
          <cell r="A9" t="str">
            <v>A</v>
          </cell>
        </row>
      </sheetData>
      <sheetData sheetId="2701">
        <row r="9">
          <cell r="A9" t="str">
            <v>A</v>
          </cell>
        </row>
      </sheetData>
      <sheetData sheetId="2702">
        <row r="9">
          <cell r="A9" t="str">
            <v>A</v>
          </cell>
        </row>
      </sheetData>
      <sheetData sheetId="2703">
        <row r="9">
          <cell r="A9" t="str">
            <v>A</v>
          </cell>
        </row>
      </sheetData>
      <sheetData sheetId="2704">
        <row r="9">
          <cell r="A9" t="str">
            <v>A</v>
          </cell>
        </row>
      </sheetData>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efreshError="1"/>
      <sheetData sheetId="3046" refreshError="1"/>
      <sheetData sheetId="3047" refreshError="1"/>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ow r="9">
          <cell r="A9" t="str">
            <v>A</v>
          </cell>
        </row>
      </sheetData>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ow r="9">
          <cell r="A9" t="str">
            <v>A</v>
          </cell>
        </row>
      </sheetData>
      <sheetData sheetId="3135">
        <row r="9">
          <cell r="A9" t="str">
            <v>A</v>
          </cell>
        </row>
      </sheetData>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9">
          <cell r="A9" t="str">
            <v>A</v>
          </cell>
        </row>
      </sheetData>
      <sheetData sheetId="3166"/>
      <sheetData sheetId="3167">
        <row r="9">
          <cell r="A9" t="str">
            <v>A</v>
          </cell>
        </row>
      </sheetData>
      <sheetData sheetId="3168">
        <row r="9">
          <cell r="A9" t="str">
            <v>A</v>
          </cell>
        </row>
      </sheetData>
      <sheetData sheetId="3169">
        <row r="9">
          <cell r="A9" t="str">
            <v>A</v>
          </cell>
        </row>
      </sheetData>
      <sheetData sheetId="3170"/>
      <sheetData sheetId="3171">
        <row r="9">
          <cell r="A9" t="str">
            <v>A</v>
          </cell>
        </row>
      </sheetData>
      <sheetData sheetId="3172" refreshError="1"/>
      <sheetData sheetId="3173" refreshError="1"/>
      <sheetData sheetId="3174" refreshError="1"/>
      <sheetData sheetId="3175" refreshError="1"/>
      <sheetData sheetId="3176"/>
      <sheetData sheetId="3177"/>
      <sheetData sheetId="3178"/>
      <sheetData sheetId="3179"/>
      <sheetData sheetId="3180" refreshError="1"/>
      <sheetData sheetId="3181" refreshError="1"/>
      <sheetData sheetId="3182" refreshError="1"/>
      <sheetData sheetId="3183">
        <row r="9">
          <cell r="A9" t="str">
            <v>A</v>
          </cell>
        </row>
      </sheetData>
      <sheetData sheetId="3184">
        <row r="9">
          <cell r="A9" t="str">
            <v>A</v>
          </cell>
        </row>
      </sheetData>
      <sheetData sheetId="3185">
        <row r="9">
          <cell r="A9" t="str">
            <v>A</v>
          </cell>
        </row>
      </sheetData>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ow r="9">
          <cell r="A9" t="str">
            <v>A</v>
          </cell>
        </row>
      </sheetData>
      <sheetData sheetId="3210"/>
      <sheetData sheetId="3211"/>
      <sheetData sheetId="3212">
        <row r="9">
          <cell r="A9" t="str">
            <v>A</v>
          </cell>
        </row>
      </sheetData>
      <sheetData sheetId="3213">
        <row r="9">
          <cell r="A9" t="str">
            <v>A</v>
          </cell>
        </row>
      </sheetData>
      <sheetData sheetId="3214">
        <row r="9">
          <cell r="A9" t="str">
            <v>A</v>
          </cell>
        </row>
      </sheetData>
      <sheetData sheetId="3215"/>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ow r="9">
          <cell r="A9" t="str">
            <v>A</v>
          </cell>
        </row>
      </sheetData>
      <sheetData sheetId="3226">
        <row r="9">
          <cell r="A9" t="str">
            <v>A</v>
          </cell>
        </row>
      </sheetData>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ow r="9">
          <cell r="A9" t="str">
            <v>A</v>
          </cell>
        </row>
      </sheetData>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ow r="9">
          <cell r="A9" t="str">
            <v>A</v>
          </cell>
        </row>
      </sheetData>
      <sheetData sheetId="3334">
        <row r="9">
          <cell r="A9" t="str">
            <v>A</v>
          </cell>
        </row>
      </sheetData>
      <sheetData sheetId="3335">
        <row r="9">
          <cell r="A9" t="str">
            <v>A</v>
          </cell>
        </row>
      </sheetData>
      <sheetData sheetId="3336">
        <row r="9">
          <cell r="A9" t="str">
            <v>A</v>
          </cell>
        </row>
      </sheetData>
      <sheetData sheetId="3337">
        <row r="9">
          <cell r="A9" t="str">
            <v>A</v>
          </cell>
        </row>
      </sheetData>
      <sheetData sheetId="3338">
        <row r="9">
          <cell r="A9" t="str">
            <v>A</v>
          </cell>
        </row>
      </sheetData>
      <sheetData sheetId="3339">
        <row r="9">
          <cell r="A9" t="str">
            <v>A</v>
          </cell>
        </row>
      </sheetData>
      <sheetData sheetId="3340">
        <row r="9">
          <cell r="A9" t="str">
            <v>A</v>
          </cell>
        </row>
      </sheetData>
      <sheetData sheetId="3341">
        <row r="9">
          <cell r="A9" t="str">
            <v>A</v>
          </cell>
        </row>
      </sheetData>
      <sheetData sheetId="3342">
        <row r="9">
          <cell r="A9" t="str">
            <v>A</v>
          </cell>
        </row>
      </sheetData>
      <sheetData sheetId="3343">
        <row r="9">
          <cell r="A9" t="str">
            <v>A</v>
          </cell>
        </row>
      </sheetData>
      <sheetData sheetId="3344">
        <row r="9">
          <cell r="A9" t="str">
            <v>A</v>
          </cell>
        </row>
      </sheetData>
      <sheetData sheetId="3345">
        <row r="9">
          <cell r="A9" t="str">
            <v>A</v>
          </cell>
        </row>
      </sheetData>
      <sheetData sheetId="3346">
        <row r="9">
          <cell r="A9" t="str">
            <v>A</v>
          </cell>
        </row>
      </sheetData>
      <sheetData sheetId="3347">
        <row r="9">
          <cell r="A9" t="str">
            <v>A</v>
          </cell>
        </row>
      </sheetData>
      <sheetData sheetId="3348">
        <row r="9">
          <cell r="A9" t="str">
            <v>A</v>
          </cell>
        </row>
      </sheetData>
      <sheetData sheetId="3349">
        <row r="9">
          <cell r="A9" t="str">
            <v>A</v>
          </cell>
        </row>
      </sheetData>
      <sheetData sheetId="3350">
        <row r="9">
          <cell r="A9" t="str">
            <v>A</v>
          </cell>
        </row>
      </sheetData>
      <sheetData sheetId="3351">
        <row r="9">
          <cell r="A9" t="str">
            <v>A</v>
          </cell>
        </row>
      </sheetData>
      <sheetData sheetId="3352">
        <row r="9">
          <cell r="A9" t="str">
            <v>A</v>
          </cell>
        </row>
      </sheetData>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ow r="9">
          <cell r="A9" t="str">
            <v>A</v>
          </cell>
        </row>
      </sheetData>
      <sheetData sheetId="3407">
        <row r="9">
          <cell r="A9" t="str">
            <v>A</v>
          </cell>
        </row>
      </sheetData>
      <sheetData sheetId="3408">
        <row r="9">
          <cell r="A9" t="str">
            <v>A</v>
          </cell>
        </row>
      </sheetData>
      <sheetData sheetId="3409">
        <row r="9">
          <cell r="A9" t="str">
            <v>A</v>
          </cell>
        </row>
      </sheetData>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row r="9">
          <cell r="A9" t="str">
            <v>A</v>
          </cell>
        </row>
      </sheetData>
      <sheetData sheetId="3506">
        <row r="9">
          <cell r="A9" t="str">
            <v>A</v>
          </cell>
        </row>
      </sheetData>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ow r="9">
          <cell r="A9" t="str">
            <v>A</v>
          </cell>
        </row>
      </sheetData>
      <sheetData sheetId="3544">
        <row r="9">
          <cell r="A9" t="str">
            <v>A</v>
          </cell>
        </row>
      </sheetData>
      <sheetData sheetId="3545">
        <row r="9">
          <cell r="A9" t="str">
            <v>A</v>
          </cell>
        </row>
      </sheetData>
      <sheetData sheetId="3546">
        <row r="9">
          <cell r="A9" t="str">
            <v>A</v>
          </cell>
        </row>
      </sheetData>
      <sheetData sheetId="3547">
        <row r="9">
          <cell r="A9" t="str">
            <v>A</v>
          </cell>
        </row>
      </sheetData>
      <sheetData sheetId="3548">
        <row r="9">
          <cell r="A9" t="str">
            <v>A</v>
          </cell>
        </row>
      </sheetData>
      <sheetData sheetId="3549">
        <row r="9">
          <cell r="A9" t="str">
            <v>A</v>
          </cell>
        </row>
      </sheetData>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ow r="9">
          <cell r="A9" t="str">
            <v>A</v>
          </cell>
        </row>
      </sheetData>
      <sheetData sheetId="3588">
        <row r="9">
          <cell r="A9" t="str">
            <v>A</v>
          </cell>
        </row>
      </sheetData>
      <sheetData sheetId="3589">
        <row r="9">
          <cell r="A9" t="str">
            <v>A</v>
          </cell>
        </row>
      </sheetData>
      <sheetData sheetId="3590">
        <row r="9">
          <cell r="A9" t="str">
            <v>A</v>
          </cell>
        </row>
      </sheetData>
      <sheetData sheetId="3591">
        <row r="9">
          <cell r="A9" t="str">
            <v>A</v>
          </cell>
        </row>
      </sheetData>
      <sheetData sheetId="3592">
        <row r="9">
          <cell r="A9" t="str">
            <v>A</v>
          </cell>
        </row>
      </sheetData>
      <sheetData sheetId="3593">
        <row r="9">
          <cell r="A9" t="str">
            <v>A</v>
          </cell>
        </row>
      </sheetData>
      <sheetData sheetId="3594">
        <row r="9">
          <cell r="A9" t="str">
            <v>A</v>
          </cell>
        </row>
      </sheetData>
      <sheetData sheetId="3595">
        <row r="9">
          <cell r="A9" t="str">
            <v>A</v>
          </cell>
        </row>
      </sheetData>
      <sheetData sheetId="3596">
        <row r="9">
          <cell r="A9" t="str">
            <v>A</v>
          </cell>
        </row>
      </sheetData>
      <sheetData sheetId="3597">
        <row r="9">
          <cell r="A9" t="str">
            <v>A</v>
          </cell>
        </row>
      </sheetData>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sheetData sheetId="3711">
        <row r="9">
          <cell r="A9" t="str">
            <v>A</v>
          </cell>
        </row>
      </sheetData>
      <sheetData sheetId="3712"/>
      <sheetData sheetId="3713"/>
      <sheetData sheetId="3714"/>
      <sheetData sheetId="3715">
        <row r="9">
          <cell r="A9" t="str">
            <v>A</v>
          </cell>
        </row>
      </sheetData>
      <sheetData sheetId="3716"/>
      <sheetData sheetId="3717"/>
      <sheetData sheetId="3718" refreshError="1"/>
      <sheetData sheetId="3719">
        <row r="9">
          <cell r="A9" t="str">
            <v>A</v>
          </cell>
        </row>
      </sheetData>
      <sheetData sheetId="3720"/>
      <sheetData sheetId="3721">
        <row r="9">
          <cell r="A9" t="str">
            <v>A</v>
          </cell>
        </row>
      </sheetData>
      <sheetData sheetId="3722"/>
      <sheetData sheetId="3723"/>
      <sheetData sheetId="3724"/>
      <sheetData sheetId="3725"/>
      <sheetData sheetId="3726"/>
      <sheetData sheetId="3727">
        <row r="9">
          <cell r="A9" t="str">
            <v>A</v>
          </cell>
        </row>
      </sheetData>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row r="9">
          <cell r="A9" t="str">
            <v>A</v>
          </cell>
        </row>
      </sheetData>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row r="9">
          <cell r="A9" t="str">
            <v>A</v>
          </cell>
        </row>
      </sheetData>
      <sheetData sheetId="3756"/>
      <sheetData sheetId="3757"/>
      <sheetData sheetId="3758"/>
      <sheetData sheetId="3759" refreshError="1"/>
      <sheetData sheetId="3760" refreshError="1"/>
      <sheetData sheetId="3761" refreshError="1"/>
      <sheetData sheetId="3762" refreshError="1"/>
      <sheetData sheetId="3763" refreshError="1"/>
      <sheetData sheetId="3764" refreshError="1"/>
      <sheetData sheetId="3765"/>
      <sheetData sheetId="3766"/>
      <sheetData sheetId="3767"/>
      <sheetData sheetId="3768"/>
      <sheetData sheetId="3769">
        <row r="9">
          <cell r="A9" t="str">
            <v>A</v>
          </cell>
        </row>
      </sheetData>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sheetData sheetId="4031"/>
      <sheetData sheetId="4032"/>
      <sheetData sheetId="4033"/>
      <sheetData sheetId="4034"/>
      <sheetData sheetId="4035"/>
      <sheetData sheetId="4036"/>
      <sheetData sheetId="4037"/>
      <sheetData sheetId="4038"/>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sheetData sheetId="4053"/>
      <sheetData sheetId="4054"/>
      <sheetData sheetId="4055" refreshError="1"/>
      <sheetData sheetId="4056" refreshError="1"/>
      <sheetData sheetId="4057" refreshError="1"/>
      <sheetData sheetId="4058" refreshError="1"/>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refreshError="1"/>
      <sheetData sheetId="4588" refreshError="1"/>
      <sheetData sheetId="4589" refreshError="1"/>
      <sheetData sheetId="4590" refreshError="1"/>
      <sheetData sheetId="4591"/>
      <sheetData sheetId="4592" refreshError="1"/>
      <sheetData sheetId="4593" refreshError="1"/>
      <sheetData sheetId="4594" refreshError="1"/>
      <sheetData sheetId="4595"/>
      <sheetData sheetId="4596"/>
      <sheetData sheetId="4597"/>
      <sheetData sheetId="4598"/>
      <sheetData sheetId="4599"/>
      <sheetData sheetId="4600"/>
      <sheetData sheetId="460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ning Archives"/>
      <sheetName val="#REF"/>
      <sheetName val="CSCCincSKR"/>
      <sheetName val="Proforma"/>
      <sheetName val="Mai 2003"/>
      <sheetName val="Avril 2003"/>
      <sheetName val="Mars 2003"/>
      <sheetName val="Février 2003"/>
      <sheetName val="Janvier 2003"/>
      <sheetName val="Décembre 2002"/>
      <sheetName val="Novembre 2002"/>
      <sheetName val="Octobre 2002"/>
      <sheetName val="septembre 2002"/>
      <sheetName val="Aout 2002"/>
      <sheetName val="Juillet 2002"/>
      <sheetName val="Juin 2002"/>
      <sheetName val="Mai 2002"/>
      <sheetName val="Avril 2002"/>
      <sheetName val="Mars 2002"/>
      <sheetName val="Février 2002"/>
      <sheetName val="Janvier 2002"/>
      <sheetName val="Décembre 2001"/>
      <sheetName val="Novembre 2001"/>
      <sheetName val="Octobre 2001"/>
      <sheetName val="septembre 2001"/>
      <sheetName val="Aout"/>
      <sheetName val="Juillet"/>
      <sheetName val="Juin"/>
      <sheetName val="Mai"/>
      <sheetName val="Avril"/>
      <sheetName val="Mars"/>
      <sheetName val="février"/>
      <sheetName val="Janvier"/>
      <sheetName val="Décembre"/>
      <sheetName val="Novembre"/>
      <sheetName val="Octobre"/>
      <sheetName val="CASH FLOW"/>
      <sheetName val="BS"/>
      <sheetName val="Co. C"/>
      <sheetName val="Quantity"/>
      <sheetName val="Input"/>
      <sheetName val="fiscal year end"/>
      <sheetName val="Planning_Archives"/>
      <sheetName val="Mai_2003"/>
      <sheetName val="Avril_2003"/>
      <sheetName val="Mars_2003"/>
      <sheetName val="Février_2003"/>
      <sheetName val="Janvier_2003"/>
      <sheetName val="Décembre_2002"/>
      <sheetName val="Novembre_2002"/>
      <sheetName val="Octobre_2002"/>
      <sheetName val="septembre_2002"/>
      <sheetName val="Aout_2002"/>
      <sheetName val="Juillet_2002"/>
      <sheetName val="Juin_2002"/>
      <sheetName val="Mai_2002"/>
      <sheetName val="Avril_2002"/>
      <sheetName val="Mars_2002"/>
      <sheetName val="Février_2002"/>
      <sheetName val="Janvier_2002"/>
      <sheetName val="Décembre_2001"/>
      <sheetName val="Novembre_2001"/>
      <sheetName val="Octobre_2001"/>
      <sheetName val="septembre_2001"/>
      <sheetName val="CASH_FLOW"/>
      <sheetName val="Co__C"/>
      <sheetName val="fiscal_year_end"/>
      <sheetName val="Income Statement"/>
      <sheetName val="Ctrl"/>
      <sheetName val="P&amp;L"/>
      <sheetName val="septembre 2003"/>
      <sheetName val="Aout 2003"/>
      <sheetName val="Juillet 2003"/>
      <sheetName val="Juin 2003"/>
      <sheetName val="PL"/>
      <sheetName val="FA"/>
      <sheetName val="Sundry-Exps"/>
      <sheetName val="Sheet1"/>
      <sheetName val="Bonus and Sample"/>
      <sheetName val="DCF Analysis"/>
      <sheetName val="LIVE BG "/>
      <sheetName val="mancount"/>
      <sheetName val="PRESFMS"/>
      <sheetName val="septembre_2003"/>
      <sheetName val="Aout_2003"/>
      <sheetName val="Juillet_2003"/>
      <sheetName val="Juin_2003"/>
      <sheetName val="Bonus_and_Sample"/>
      <sheetName val="DCF_Analysis"/>
      <sheetName val="LIVE_BG_"/>
      <sheetName val="BUDGET"/>
      <sheetName val="Planning_Archives1"/>
      <sheetName val="Mai_20031"/>
      <sheetName val="Avril_20031"/>
      <sheetName val="Mars_20031"/>
      <sheetName val="Février_20031"/>
      <sheetName val="Janvier_20031"/>
      <sheetName val="Décembre_20021"/>
      <sheetName val="Novembre_20021"/>
      <sheetName val="Octobre_20021"/>
      <sheetName val="septembre_20021"/>
      <sheetName val="Aout_20021"/>
      <sheetName val="Juillet_20021"/>
      <sheetName val="Juin_20021"/>
      <sheetName val="Mai_20021"/>
      <sheetName val="Avril_20021"/>
      <sheetName val="Mars_20021"/>
      <sheetName val="Février_20021"/>
      <sheetName val="Janvier_20021"/>
      <sheetName val="Décembre_20011"/>
      <sheetName val="Novembre_20011"/>
      <sheetName val="Octobre_20011"/>
      <sheetName val="septembre_20011"/>
      <sheetName val="CASH_FLOW1"/>
      <sheetName val="Co__C1"/>
      <sheetName val="fiscal_year_end1"/>
      <sheetName val="Income_Statement"/>
      <sheetName val="septembre_20031"/>
      <sheetName val="Aout_20031"/>
      <sheetName val="Juillet_20031"/>
      <sheetName val="Juin_20031"/>
      <sheetName val="Bonus_and_Sample1"/>
      <sheetName val="DCF_Analysis1"/>
      <sheetName val="LIVE_BG_1"/>
      <sheetName val="EXP"/>
      <sheetName val="Table000208"/>
      <sheetName val="CM"/>
      <sheetName val="CM Calc"/>
      <sheetName val="Data"/>
      <sheetName val="Orders"/>
      <sheetName val="Sales"/>
      <sheetName val="DIV INC"/>
      <sheetName val="DropZone"/>
      <sheetName val="MAIN"/>
      <sheetName val="01.01"/>
      <sheetName val="_REF"/>
      <sheetName val="Inactifs N+N 2008"/>
      <sheetName val="mes"/>
      <sheetName val="Referencia"/>
      <sheetName val="Statistics operations"/>
      <sheetName val="B2C WATERFALL"/>
      <sheetName val="Creditor days"/>
      <sheetName val="Monthly working capital"/>
      <sheetName val="Drivers"/>
      <sheetName val="WACC(T)"/>
      <sheetName val="Liste Catégories"/>
      <sheetName val="DCF"/>
      <sheetName val="Amortization Schedules"/>
      <sheetName val="Other notes"/>
      <sheetName val="P&amp;F"/>
      <sheetName val="Assumptions &amp; Results"/>
      <sheetName val="TB"/>
      <sheetName val="43B"/>
      <sheetName val="192"/>
      <sheetName val="194C"/>
      <sheetName val="entitlements"/>
      <sheetName val="Power &amp; Fuel(c)"/>
      <sheetName val="132417"/>
      <sheetName val="MISBS"/>
      <sheetName val="BOD PL NEW"/>
      <sheetName val="CMA_Calculations"/>
      <sheetName val="Taira Corp"/>
      <sheetName val="Exb II.3_MCM Inputs Taira"/>
      <sheetName val="Exb II.4_Comp Analy Taira"/>
      <sheetName val="EXPENSES"/>
      <sheetName val="SUMMARY"/>
      <sheetName val="Debourses"/>
      <sheetName val="power &amp; fuel (s)"/>
      <sheetName val="钻井(调整)"/>
      <sheetName val="Recovered_Sheet7"/>
      <sheetName val="Recovered_Sheet2"/>
      <sheetName val="Recovered_Sheet5"/>
      <sheetName val="Recovered_Sheet4"/>
      <sheetName val="Recovered_Sheet6"/>
      <sheetName val="upa"/>
      <sheetName val="Model Inputs"/>
      <sheetName val="PF Payable"/>
      <sheetName val="dobson corporate model"/>
      <sheetName val="Original Andrew___Data"/>
      <sheetName val="vb 9&amp;10"/>
      <sheetName val="PA- Consutant "/>
      <sheetName val="YOEMAGUM"/>
      <sheetName val="FOIL"/>
      <sheetName val="PM"/>
      <sheetName val="P&amp;L Summary Page"/>
      <sheetName val="????&lt;?&gt;"/>
      <sheetName val="Apr'12 &amp; May'12"/>
      <sheetName val="Payroll reconciliation"/>
      <sheetName val="LANGUAGE"/>
      <sheetName val="Apr'05"/>
      <sheetName val="Aug'05"/>
      <sheetName val="Dec'05"/>
      <sheetName val="Feb'06"/>
      <sheetName val="Jan'06"/>
      <sheetName val="Mar'06"/>
      <sheetName val="May'05"/>
      <sheetName val="Nov'05"/>
      <sheetName val="Oct'05"/>
      <sheetName val="Sept'05"/>
      <sheetName val="TRIAL BALANCE"/>
      <sheetName val="Locked cell"/>
      <sheetName val="FPS"/>
      <sheetName val="Bal_Gr"/>
      <sheetName val="Sch 1-2"/>
      <sheetName val="TB2003_04"/>
      <sheetName val="pcQueryData"/>
      <sheetName val="WIP Detail"/>
      <sheetName val="Assumptions and Inputs"/>
      <sheetName val="Datasheet"/>
      <sheetName val="Sheet3"/>
      <sheetName val="Historical_Rev_Changes_02-11"/>
      <sheetName val="Variables"/>
      <sheetName val="Map Rider"/>
      <sheetName val="EV-EBITDA"/>
      <sheetName val="capex"/>
      <sheetName val="Planning_Archives2"/>
      <sheetName val="Mai_20032"/>
      <sheetName val="Avril_20032"/>
      <sheetName val="Mars_20032"/>
      <sheetName val="Février_20032"/>
      <sheetName val="Janvier_20032"/>
      <sheetName val="Décembre_20022"/>
      <sheetName val="Novembre_20022"/>
      <sheetName val="Octobre_20022"/>
      <sheetName val="septembre_20022"/>
      <sheetName val="Aout_20022"/>
      <sheetName val="Juillet_20022"/>
      <sheetName val="Juin_20022"/>
      <sheetName val="Mai_20022"/>
      <sheetName val="Avril_20022"/>
      <sheetName val="Mars_20022"/>
      <sheetName val="Février_20022"/>
      <sheetName val="Janvier_20022"/>
      <sheetName val="Décembre_20012"/>
      <sheetName val="Novembre_20012"/>
      <sheetName val="Octobre_20012"/>
      <sheetName val="septembre_20012"/>
      <sheetName val="CASH_FLOW2"/>
      <sheetName val="Co__C2"/>
      <sheetName val="fiscal_year_end2"/>
      <sheetName val="Income_Statement1"/>
      <sheetName val="septembre_20032"/>
      <sheetName val="Aout_20032"/>
      <sheetName val="Juillet_20032"/>
      <sheetName val="Juin_20032"/>
      <sheetName val="Bonus_and_Sample2"/>
      <sheetName val="DCF_Analysis2"/>
      <sheetName val="LIVE_BG_2"/>
      <sheetName val="CM_Calc"/>
      <sheetName val="DIV_INC"/>
      <sheetName val="01_01"/>
      <sheetName val="Inactifs_N+N_2008"/>
      <sheetName val="Statistics_operations"/>
      <sheetName val="B2C_WATERFALL"/>
      <sheetName val="Creditor_days"/>
      <sheetName val="Monthly_working_capital"/>
      <sheetName val="Liste_Catégories"/>
      <sheetName val="Amortization_Schedules"/>
      <sheetName val="Other_notes"/>
      <sheetName val="Assumptions_&amp;_Results"/>
      <sheetName val="Power_&amp;_Fuel(c)"/>
      <sheetName val="BOD_PL_NEW"/>
      <sheetName val="Taira_Corp"/>
      <sheetName val="Exb_II_3_MCM_Inputs_Taira"/>
      <sheetName val="Exb_II_4_Comp_Analy_Taira"/>
      <sheetName val="power_&amp;_fuel_(s)"/>
      <sheetName val="Model_Inputs"/>
      <sheetName val="PF_Payable"/>
      <sheetName val="dobson_corporate_model"/>
      <sheetName val="Original_Andrew___Data"/>
      <sheetName val="vb_9&amp;10"/>
      <sheetName val="PA-_Consutant_"/>
      <sheetName val="P&amp;L_Summary_Page"/>
      <sheetName val="Apr'12_&amp;_May'12"/>
      <sheetName val="Payroll_reconciliation"/>
      <sheetName val="TRIAL_BALANCE"/>
      <sheetName val="Locked_cell"/>
      <sheetName val="Sch_1-2"/>
      <sheetName val="WIP_Detail"/>
      <sheetName val="Assumptions_and_Inputs"/>
      <sheetName val="Map_Rider"/>
      <sheetName val="NOA Data"/>
      <sheetName val="beam-reinft-IIInd floor"/>
      <sheetName val="Feb_Prfl_28"/>
      <sheetName val="Hardware"/>
      <sheetName val="Tables"/>
      <sheetName val="Contribution"/>
      <sheetName val="SPLICE HOURS"/>
      <sheetName val="EU Comps"/>
      <sheetName val="Share Prices"/>
      <sheetName val="AffiliateA_Billings"/>
      <sheetName val="AffilliateB_Billings"/>
      <sheetName val="AffiliateC_Billings"/>
      <sheetName val="AffiliateD_Billings"/>
      <sheetName val="AffiliateE_Billings"/>
      <sheetName val="AffiliateA_Sales"/>
      <sheetName val="AffiliateB_Sales"/>
      <sheetName val="AffiliateC_Sales"/>
      <sheetName val="AffiliateD_Sales"/>
      <sheetName val="AffiliateE_Sales"/>
      <sheetName val="Case 1B - 1"/>
      <sheetName val="Earnings Model"/>
      <sheetName val="Case_1B_-_1"/>
      <sheetName val="Earnings_Model"/>
      <sheetName val="BSMONTH"/>
      <sheetName val="TOTAL CAPEX BUDGET - DETAILS"/>
      <sheetName val="Ownership"/>
      <sheetName val="List"/>
      <sheetName val="Reference"/>
      <sheetName val="Fleet%"/>
      <sheetName val="XREF"/>
      <sheetName val="profee"/>
      <sheetName val="Inv Summ"/>
      <sheetName val="Do not use"/>
      <sheetName val="Bloomberg Input"/>
      <sheetName val="Settings"/>
      <sheetName val="synthgraph"/>
      <sheetName val="Periods"/>
      <sheetName val="DK Jun 05"/>
      <sheetName val="Europe"/>
      <sheetName val="Lead BS"/>
      <sheetName val="Invested capital 2020"/>
      <sheetName val="Planning_Archives3"/>
      <sheetName val="Planning_Archives4"/>
      <sheetName val="Planning_Archives5"/>
      <sheetName val="Planning_Archives6"/>
      <sheetName val="Planning_Archives7"/>
      <sheetName val="Planning_Archives8"/>
      <sheetName val="Planning_Archives9"/>
      <sheetName val="DATA VALIDATION SOURCE"/>
      <sheetName val="PeerGroupM&amp;A"/>
      <sheetName val="Set-up"/>
      <sheetName val="NOA_Data"/>
      <sheetName val="beam-reinft-IIInd_floor"/>
      <sheetName val="A1 - Income Statement"/>
      <sheetName val="SetUp"/>
      <sheetName val="Analysis by Sector"/>
      <sheetName val="Dr Cr summary"/>
      <sheetName val="Tables and numbers"/>
      <sheetName val="SPLICE_HOURS"/>
      <sheetName val="EU_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sheetData sheetId="324"/>
      <sheetData sheetId="325"/>
      <sheetData sheetId="326"/>
      <sheetData sheetId="327"/>
      <sheetData sheetId="328"/>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sheetData sheetId="340"/>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erence"/>
      <sheetName val="BALANCE SHEET"/>
      <sheetName val="SIG_LANGUE"/>
      <sheetName val="SIG_VOCABLE"/>
      <sheetName val="Kontennachweis HGB"/>
      <sheetName val="List of accounts Report"/>
      <sheetName val="INCOME STATEMENT"/>
      <sheetName val="ADDITIONAL INFO"/>
      <sheetName val="GROSS VALUE FIXED ASSETS"/>
      <sheetName val="FIXED ASSETS DEPRECIATION"/>
      <sheetName val="CURRENT ASSETS DEPRECIATION"/>
      <sheetName val="RISKS AND CHARGES PROVISIONS"/>
      <sheetName val="RSt AG 30.06.2004"/>
      <sheetName val="Kontennachweis_HGB"/>
      <sheetName val="List_of_accounts_Report"/>
      <sheetName val="BALANCE_SHEET"/>
      <sheetName val="INCOME_STATEMENT"/>
      <sheetName val="ADDITIONAL_INFO"/>
      <sheetName val="GROSS_VALUE_FIXED_ASSETS"/>
      <sheetName val="FIXED_ASSETS_DEPRECIATION"/>
      <sheetName val="CURRENT_ASSETS_DEPRECIATION"/>
      <sheetName val="RISKS_AND_CHARGES_PROVISIONS"/>
      <sheetName val="RSt_AG_30_06_2004"/>
      <sheetName val="Share Prices"/>
      <sheetName val="Proforma"/>
      <sheetName val="Earnings model"/>
      <sheetName val="Instructions"/>
      <sheetName val="Exh B-2"/>
      <sheetName val="Exh B-8"/>
      <sheetName val="Exh B-5"/>
      <sheetName val="Kontennachweis_HGB1"/>
      <sheetName val="List_of_accounts_Report1"/>
      <sheetName val="BALANCE_SHEET1"/>
      <sheetName val="INCOME_STATEMENT1"/>
      <sheetName val="ADDITIONAL_INFO1"/>
      <sheetName val="GROSS_VALUE_FIXED_ASSETS1"/>
      <sheetName val="FIXED_ASSETS_DEPRECIATION1"/>
      <sheetName val="CURRENT_ASSETS_DEPRECIATION1"/>
      <sheetName val="RISKS_AND_CHARGES_PROVISIONS1"/>
      <sheetName val="RSt_AG_30_06_20041"/>
      <sheetName val="Share_Prices"/>
      <sheetName val="Earnings_model"/>
      <sheetName val="Exh_B-2"/>
      <sheetName val="Exh_B-8"/>
      <sheetName val="Exh_B-5"/>
      <sheetName val="Kontennachweis_HGB2"/>
      <sheetName val="List_of_accounts_Report2"/>
      <sheetName val="BALANCE_SHEET2"/>
      <sheetName val="INCOME_STATEMENT2"/>
      <sheetName val="ADDITIONAL_INFO2"/>
      <sheetName val="GROSS_VALUE_FIXED_ASSETS2"/>
      <sheetName val="FIXED_ASSETS_DEPRECIATION2"/>
      <sheetName val="CURRENT_ASSETS_DEPRECIATION2"/>
      <sheetName val="RISKS_AND_CHARGES_PROVISIONS2"/>
      <sheetName val="RSt_AG_30_06_20042"/>
      <sheetName val="Share_Prices1"/>
      <sheetName val="Earnings_model1"/>
      <sheetName val="Exh_B-21"/>
      <sheetName val="Exh_B-81"/>
      <sheetName val="Exh_B-51"/>
      <sheetName val="Fin_Inputs"/>
      <sheetName val="Monthly Data"/>
      <sheetName val="Monthly Seasonal Index"/>
      <sheetName val="Sum"/>
      <sheetName val="Input_Operating"/>
      <sheetName val="Lookup"/>
      <sheetName val="YTD"/>
      <sheetName val="DIST2"/>
      <sheetName val="Account Data"/>
      <sheetName val="DIV INC"/>
      <sheetName val="DropZone"/>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vCo BS-Consolidated"/>
      <sheetName val="Assmp summary"/>
      <sheetName val="ServCo CF-Consolidated"/>
      <sheetName val="ServCo-FA-New Schools"/>
      <sheetName val="Disclaimer"/>
      <sheetName val="Model_Structure"/>
      <sheetName val="Rajiv1"/>
      <sheetName val="Rajiv2"/>
      <sheetName val="PPT Charts"/>
      <sheetName val="CBSE RoCE"/>
      <sheetName val="Assmp"/>
      <sheetName val="Pg break1"/>
      <sheetName val="rough - to be deleted"/>
      <sheetName val="Trust P&amp;L-Consolidated"/>
      <sheetName val="Trust BS-Consolidated"/>
      <sheetName val="Trust CF-Consolidated"/>
      <sheetName val="Pg break (2)"/>
      <sheetName val="ServCo  P&amp;L-Consolidated"/>
      <sheetName val="Pg break 3"/>
      <sheetName val="Trust P&amp;L-Existing Schools"/>
      <sheetName val="Trust BS-Existing Schools"/>
      <sheetName val="Trust CF-Existing Schools"/>
      <sheetName val="ServCo P&amp;L-Existing Schools"/>
      <sheetName val="Pg break 4"/>
      <sheetName val="Trust P&amp;L-New Schools"/>
      <sheetName val="Trust BS-New Schools"/>
      <sheetName val="Trust CF-New Schools"/>
      <sheetName val="ServCo P&amp;L- New Schools"/>
      <sheetName val="AC DS"/>
      <sheetName val="Non AC DS"/>
      <sheetName val="Non AC Residential"/>
      <sheetName val="FY2011 summary"/>
      <sheetName val="Pg break (4)"/>
      <sheetName val="MIS_FY2011"/>
      <sheetName val="MIS_FY2010"/>
      <sheetName val="Income_FY2010"/>
      <sheetName val="Trust-Dbt&amp;Ivmt-Existing Schools"/>
      <sheetName val="Trust FA-Existing Schools"/>
      <sheetName val="Trust-WC-Existing schools"/>
      <sheetName val="Tax-Existing Schools"/>
      <sheetName val="Pg break (5)"/>
      <sheetName val="Trust-Dbt&amp;Ivmt-New Schools"/>
      <sheetName val="Trust FA-New Schools"/>
      <sheetName val="Trust-WC-New schools"/>
      <sheetName val="Tax-New Schools"/>
      <sheetName val="Pg break (6)"/>
      <sheetName val="Existing schools_Details"/>
      <sheetName val="AC Residential"/>
      <sheetName val="Timing"/>
      <sheetName val="Sheet1"/>
      <sheetName val="Reference"/>
      <sheetName val="BALANCE SHEET"/>
      <sheetName val="PPT_Charts"/>
      <sheetName val="CBSE_RoCE"/>
      <sheetName val="Assmp_summary"/>
      <sheetName val="Pg_break1"/>
      <sheetName val="rough_-_to_be_deleted"/>
      <sheetName val="Trust_P&amp;L-Consolidated"/>
      <sheetName val="Trust_BS-Consolidated"/>
      <sheetName val="Trust_CF-Consolidated"/>
      <sheetName val="Pg_break_(2)"/>
      <sheetName val="ServCo__P&amp;L-Consolidated"/>
      <sheetName val="ServCo_BS-Consolidated"/>
      <sheetName val="ServCo_CF-Consolidated"/>
      <sheetName val="Pg_break_3"/>
      <sheetName val="Trust_P&amp;L-Existing_Schools"/>
      <sheetName val="Trust_BS-Existing_Schools"/>
      <sheetName val="Trust_CF-Existing_Schools"/>
      <sheetName val="ServCo_P&amp;L-Existing_Schools"/>
      <sheetName val="Pg_break_4"/>
      <sheetName val="Trust_P&amp;L-New_Schools"/>
      <sheetName val="Trust_BS-New_Schools"/>
      <sheetName val="Trust_CF-New_Schools"/>
      <sheetName val="ServCo_P&amp;L-_New_Schools"/>
      <sheetName val="AC_DS"/>
      <sheetName val="Non_AC_DS"/>
      <sheetName val="Non_AC_Residential"/>
      <sheetName val="FY2011_summary"/>
      <sheetName val="Pg_break_(4)"/>
      <sheetName val="Trust-Dbt&amp;Ivmt-Existing_Schools"/>
      <sheetName val="Trust_FA-Existing_Schools"/>
      <sheetName val="Trust-WC-Existing_schools"/>
      <sheetName val="Tax-Existing_Schools"/>
      <sheetName val="Pg_break_(5)"/>
      <sheetName val="Trust-Dbt&amp;Ivmt-New_Schools"/>
      <sheetName val="Trust_FA-New_Schools"/>
      <sheetName val="ServCo-FA-New_Schools"/>
      <sheetName val="Trust-WC-New_schools"/>
      <sheetName val="Tax-New_Schools"/>
      <sheetName val="Pg_break_(6)"/>
      <sheetName val="Existing_schools_Details"/>
      <sheetName val="AC_Residential"/>
      <sheetName val="BALANCE_SHEET"/>
      <sheetName val="PPT_Charts1"/>
      <sheetName val="CBSE_RoCE1"/>
      <sheetName val="Assmp_summary1"/>
      <sheetName val="Pg_break11"/>
      <sheetName val="rough_-_to_be_deleted1"/>
      <sheetName val="Trust_P&amp;L-Consolidated1"/>
      <sheetName val="Trust_BS-Consolidated1"/>
      <sheetName val="Trust_CF-Consolidated1"/>
      <sheetName val="Pg_break_(2)1"/>
      <sheetName val="ServCo__P&amp;L-Consolidated1"/>
      <sheetName val="ServCo_BS-Consolidated1"/>
      <sheetName val="ServCo_CF-Consolidated1"/>
      <sheetName val="Pg_break_31"/>
      <sheetName val="Trust_P&amp;L-Existing_Schools1"/>
      <sheetName val="Trust_BS-Existing_Schools1"/>
      <sheetName val="Trust_CF-Existing_Schools1"/>
      <sheetName val="ServCo_P&amp;L-Existing_Schools1"/>
      <sheetName val="Pg_break_41"/>
      <sheetName val="Trust_P&amp;L-New_Schools1"/>
      <sheetName val="Trust_BS-New_Schools1"/>
      <sheetName val="Trust_CF-New_Schools1"/>
      <sheetName val="ServCo_P&amp;L-_New_Schools1"/>
      <sheetName val="AC_DS1"/>
      <sheetName val="Non_AC_DS1"/>
      <sheetName val="Non_AC_Residential1"/>
      <sheetName val="FY2011_summary1"/>
      <sheetName val="Pg_break_(4)1"/>
      <sheetName val="Trust-Dbt&amp;Ivmt-Existing_School1"/>
      <sheetName val="Trust_FA-Existing_Schools1"/>
      <sheetName val="Trust-WC-Existing_schools1"/>
      <sheetName val="Tax-Existing_Schools1"/>
      <sheetName val="Pg_break_(5)1"/>
      <sheetName val="Trust-Dbt&amp;Ivmt-New_Schools1"/>
      <sheetName val="Trust_FA-New_Schools1"/>
      <sheetName val="ServCo-FA-New_Schools1"/>
      <sheetName val="Trust-WC-New_schools1"/>
      <sheetName val="Tax-New_Schools1"/>
      <sheetName val="Pg_break_(6)1"/>
      <sheetName val="Existing_schools_Details1"/>
      <sheetName val="AC_Residential1"/>
      <sheetName val="BALANCE_SHEET1"/>
      <sheetName val="Matrix"/>
      <sheetName val="References"/>
      <sheetName val="Quantity"/>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44">
          <cell r="E44">
            <v>1</v>
          </cell>
        </row>
      </sheetData>
      <sheetData sheetId="34">
        <row r="49">
          <cell r="AE49">
            <v>0</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_負債内訳"/>
      <sheetName val="確認"/>
      <sheetName val="Microsoft PowerPoint 内のグラフ"/>
      <sheetName val="Sheet1"/>
      <sheetName val="Sheet2"/>
      <sheetName val="data"/>
      <sheetName val="Summary"/>
      <sheetName val="Summary_TN"/>
      <sheetName val="金利12末"/>
      <sheetName val="WAL"/>
      <sheetName val="daily"/>
      <sheetName val="Market"/>
      <sheetName val="Port_G_data"/>
      <sheetName val="Port_List"/>
      <sheetName val="G_List"/>
      <sheetName val="G_List_Mid_BVAL"/>
      <sheetName val="G_Data"/>
      <sheetName val="G_Data_BVAL"/>
      <sheetName val="G_Graph_Y"/>
      <sheetName val="G_Graph_SP"/>
      <sheetName val="JPY List"/>
      <sheetName val="JPY_Graph_JSDA"/>
      <sheetName val="JPY_Graph_JSP"/>
      <sheetName val="CDS"/>
      <sheetName val="Credit Index"/>
      <sheetName val="Credit OAS"/>
      <sheetName val="Port_Data"/>
      <sheetName val="JPY"/>
      <sheetName val="JPY_JSP"/>
      <sheetName val="Rating"/>
      <sheetName val="ref"/>
      <sheetName val="為替レート"/>
      <sheetName val="資金化_全体"/>
      <sheetName val="資金化_SBKK"/>
      <sheetName val="負債圧縮"/>
      <sheetName val="株主還元"/>
      <sheetName val="SOTP_CFO室1016"/>
      <sheetName val="SOTP_試算"/>
      <sheetName val="SVF"/>
      <sheetName val="ARM"/>
      <sheetName val="NS"/>
      <sheetName val="LTV&amp;Cash_CFO室1019"/>
      <sheetName val="Market Summary"/>
      <sheetName val="USD and EUR"/>
      <sheetName val="JPY Senior"/>
      <sheetName val="JPY_Historical"/>
      <sheetName val="JPY_Hyb_Secondary"/>
      <sheetName val="JPY_Hyb_Secondary_JSP"/>
      <sheetName val="Net debt"/>
      <sheetName val="LTV"/>
      <sheetName val="データ"/>
      <sheetName val="Sheet3"/>
      <sheetName val="集計"/>
      <sheetName val="Event Date"/>
      <sheetName val="為替前提"/>
      <sheetName val="現預金内訳"/>
      <sheetName val="保有資産価値内訳"/>
      <sheetName val="Debt内訳"/>
      <sheetName val="&gt;&gt;CM debt list"/>
      <sheetName val="Debt_Summary"/>
      <sheetName val="&gt;&gt;CFOO data"/>
      <sheetName val="集計(JPY)_加工"/>
      <sheetName val="上場比率"/>
      <sheetName val="前提説明"/>
      <sheetName val="Web（一株あたり情報）"/>
      <sheetName val="集計(USD)"/>
      <sheetName val="集計(JPY)"/>
      <sheetName val="TMUS_DT"/>
      <sheetName val="Asset Finance"/>
      <sheetName val="Assets→"/>
      <sheetName val="SBKK"/>
      <sheetName val="Alibaba"/>
      <sheetName val="SVF1"/>
      <sheetName val="SVF2"/>
      <sheetName val="Latam"/>
      <sheetName val="Other(Public)"/>
      <sheetName val="Other(Private)"/>
      <sheetName val="PSF"/>
      <sheetName val="Stock Price"/>
      <sheetName val="assumption"/>
      <sheetName val="USR-055"/>
      <sheetName val="Cコードマスタ"/>
      <sheetName val="Northstar BS"/>
      <sheetName val="TAFANG 1Q"/>
      <sheetName val="CIQ_LinkingNames"/>
      <sheetName val="Calc_負債・手元"/>
      <sheetName val="Dec20_Calc_負債・手元"/>
      <sheetName val="IR-BS"/>
      <sheetName val="ストレステスト①"/>
      <sheetName val="⇒Data"/>
      <sheetName val="Model_Assets"/>
      <sheetName val="FV Tracker"/>
      <sheetName val="Apollo　Ox"/>
      <sheetName val="NAV LTV"/>
      <sheetName val="増減分析(1)"/>
      <sheetName val="増減分析_年間"/>
      <sheetName val="増減分析(2)"/>
      <sheetName val="為替影響(4Q累計)"/>
      <sheetName val="為替影響(4Q単体)"/>
      <sheetName val="為替影響(3Q累計)"/>
      <sheetName val="為替影響(3Q単体) "/>
      <sheetName val="Input→"/>
      <sheetName val="4Q末DTアセット"/>
      <sheetName val="3Q末DTアセット"/>
      <sheetName val="4QCash_通貨別"/>
      <sheetName val="3QCash_通貨別"/>
      <sheetName val="社債"/>
      <sheetName val="調達＆投資"/>
      <sheetName val="CF"/>
      <sheetName val="Summary_FY22Q3"/>
      <sheetName val="TMUS保証額2203末"/>
      <sheetName val="LTVグラフ"/>
      <sheetName val="LTV推移"/>
      <sheetName val="LTV推移(value)"/>
      <sheetName val="インカバ推移"/>
      <sheetName val="インカバ推移(Value)"/>
      <sheetName val="Distribution推移"/>
      <sheetName val="FY22Q2"/>
      <sheetName val="FY22Q2手元流動性"/>
      <sheetName val="FY22Q2グロスデット"/>
      <sheetName val="FY22Q2ネットデット"/>
      <sheetName val="FY22Q2SBG単体手元流動性内訳"/>
      <sheetName val="FY22Q1"/>
      <sheetName val="FY22Q1手元流動性"/>
      <sheetName val="FY22Q1グロスデット"/>
      <sheetName val="FY22Q1ネットデット"/>
      <sheetName val="FY22Q1SBG単体手元流動性内訳"/>
      <sheetName val="FY21Q4&gt;&gt;&gt;"/>
      <sheetName val="Q4Distribution"/>
      <sheetName val="Q4手元流動性"/>
      <sheetName val="Q4グロスデット"/>
      <sheetName val="Q4ネットデット"/>
      <sheetName val="Q4SVF拠出"/>
      <sheetName val="FY21Q4SBG単体手元流動性内訳"/>
      <sheetName val="FY21Q3&gt;&gt;&gt;"/>
      <sheetName val="Q3手元流動性 "/>
      <sheetName val="Q3グロスデット "/>
      <sheetName val="Q3ネットデット "/>
      <sheetName val="Q3SVF拠出"/>
      <sheetName val="Q3インカバ"/>
      <sheetName val="Q3Distribution"/>
      <sheetName val="Q3T-Mo ML保証"/>
      <sheetName val="FY21Q2&gt;&gt;&gt; "/>
      <sheetName val="Q2手元流動性"/>
      <sheetName val="Q2グロスデット"/>
      <sheetName val="Q2ネットデット"/>
      <sheetName val="SVF拠出"/>
      <sheetName val="Distribution"/>
      <sheetName val="インカバ"/>
      <sheetName val="T-Mo ML保証"/>
      <sheetName val="FY21Q1&gt;&gt;&gt;"/>
      <sheetName val="Q1グロスデット"/>
      <sheetName val="Q1手元流動性"/>
      <sheetName val="Q1ネットデット"/>
      <sheetName val="自社株買い"/>
      <sheetName val="＞参照"/>
      <sheetName val="為替インパクト"/>
      <sheetName val="為替影響(1Q累計) "/>
      <sheetName val="為替影響(1Q単体)"/>
      <sheetName val="社債_4Q"/>
      <sheetName val="1Q末DTアセット"/>
      <sheetName val="1QCash_通貨別"/>
      <sheetName val="手元資料"/>
      <sheetName val="手元流動性"/>
      <sheetName val="負債内訳 "/>
      <sheetName val="銀行預金"/>
      <sheetName val="金利過去推移"/>
      <sheetName val="外債_BBG"/>
      <sheetName val="CDS_BBG"/>
      <sheetName val="外債_Value"/>
      <sheetName val="CDS_Value"/>
      <sheetName val="Pane 1"/>
      <sheetName val="まとめ"/>
      <sheetName val="増減分析(1)_単体"/>
      <sheetName val="戦略投資"/>
      <sheetName val="投資の取得による支出"/>
      <sheetName val="SVFによる投資の取得による支出"/>
      <sheetName val="社債発行による収入"/>
      <sheetName val="社債償還による支出"/>
      <sheetName val="長期借入による収入"/>
      <sheetName val="更新履歴"/>
      <sheetName val="前提条件"/>
      <sheetName val="Output&gt;"/>
      <sheetName val="IRR"/>
      <sheetName val="金融機関別シェア"/>
      <sheetName val="株式先渡金融負債"/>
      <sheetName val="資金化ベース_コスト控除後"/>
      <sheetName val="現物決済ベース_コスト控除前"/>
      <sheetName val="Graph&gt;"/>
      <sheetName val="Amount_Graph"/>
      <sheetName val="Ownership_Graph"/>
      <sheetName val="IRR_Graph"/>
      <sheetName val="Price_Graph"/>
      <sheetName val="Input&gt;"/>
      <sheetName val="未利用株式_20230929"/>
      <sheetName val="VPF&amp;PSF"/>
      <sheetName val="Price"/>
      <sheetName val="FXUSD_202305"/>
      <sheetName val="20240331"/>
      <sheetName val="20230331"/>
      <sheetName val="20220331"/>
      <sheetName val="20210331"/>
      <sheetName val="20200331"/>
      <sheetName val="20190331"/>
      <sheetName val="20180331"/>
      <sheetName val="20170331"/>
      <sheetName val="四半期"/>
      <sheetName val="案件マスタ案"/>
      <sheetName val="Loan等_旧"/>
      <sheetName val="確認事項"/>
      <sheetName val="Debt List関連=&gt;"/>
      <sheetName val="vs Debt List差分"/>
      <sheetName val="案件漏れ"/>
      <sheetName val="Gross Debt=&gt;"/>
      <sheetName val="案件マスタ"/>
      <sheetName val="コメント"/>
      <sheetName val="check"/>
      <sheetName val="Bond"/>
      <sheetName val="ADTB"/>
      <sheetName val="Forward Value"/>
      <sheetName val="決算マスタ"/>
      <sheetName val="input"/>
      <sheetName val="参照先前提"/>
      <sheetName val="4月24日確認事項"/>
      <sheetName val="バックデータ=&gt;"/>
      <sheetName val="Debt List"/>
      <sheetName val="Ticker割り振り用"/>
      <sheetName val="経理本締DATA"/>
      <sheetName val="経理本締ADTB"/>
      <sheetName val="SBG投資"/>
      <sheetName val="SVF投資"/>
      <sheetName val="グラフデータ"/>
      <sheetName val="以下参照資料"/>
      <sheetName val="ノーススター"/>
      <sheetName val="Q1短期有利子負債の収入サマリー"/>
      <sheetName val="経理部依頼資料"/>
      <sheetName val="戦略投資Summary"/>
      <sheetName val="短期借入CP発行収入"/>
      <sheetName val="長期借入返済による支出"/>
      <sheetName val="自己株式の取得支出"/>
      <sheetName val="Q1経理部依頼資料"/>
      <sheetName val="戦略投資SummaryQ1"/>
      <sheetName val="Q1社債発行による収入"/>
      <sheetName val="Q1長期借入による収入"/>
      <sheetName val="Q1短期借入返済CP償還支出"/>
      <sheetName val="Q1社債償還による支出"/>
      <sheetName val="その他の資本性金融商品の償還による支出"/>
      <sheetName val="子会社の支配喪失による収入"/>
      <sheetName val="法人所得税の支払い"/>
      <sheetName val="手元資料用"/>
      <sheetName val="old&gt;&gt;"/>
      <sheetName val="有利子負債"/>
      <sheetName val="決算マスタ参照"/>
      <sheetName val="BABAデリバ&gt;&gt;"/>
      <sheetName val="Summary_20240513"/>
      <sheetName val="As of 20240513"/>
      <sheetName val="Summary_20231231"/>
      <sheetName val="As of 20231231"/>
      <sheetName val="社債発行一覧"/>
      <sheetName val="分析"/>
      <sheetName val="2年分の社債償還"/>
      <sheetName val="x年以内償還債（一覧）"/>
      <sheetName val="商品性別まとめ&gt;&gt;"/>
      <sheetName val="ハイブリッド"/>
      <sheetName val="国内_残存銘柄一覧"/>
      <sheetName val="国内リテールシニア債一覧"/>
      <sheetName val="国内_償還済銘柄一覧"/>
      <sheetName val="国内リテール_発行償還累積"/>
      <sheetName val="計算過程"/>
      <sheetName val="3rd party guarantee"/>
      <sheetName val="2023.12"/>
      <sheetName val="2023.09"/>
      <sheetName val="2023.06"/>
      <sheetName val="2023.3"/>
      <sheetName val="2022.12"/>
      <sheetName val="2022.09"/>
      <sheetName val="2022.06"/>
      <sheetName val="2022.03"/>
      <sheetName val="2021.12"/>
      <sheetName val="2021.9"/>
      <sheetName val="2021.6"/>
      <sheetName val="2021.3"/>
      <sheetName val="2020.12"/>
      <sheetName val="2019.06"/>
      <sheetName val="Asset Sales"/>
      <sheetName val="NAV"/>
      <sheetName val="表"/>
      <sheetName val="棒グラフ"/>
      <sheetName val="投資額推移"/>
    </sheetNames>
    <definedNames>
      <definedName name="Header1"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sheetData sheetId="26"/>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mpus wise summary"/>
      <sheetName val="Cover"/>
      <sheetName val="Disclaimer"/>
      <sheetName val="Model Structure"/>
      <sheetName val="Sec. A - Trust snapshot"/>
      <sheetName val="Trust_Revenue assumptions"/>
      <sheetName val="Trust_Expenses assumptions"/>
      <sheetName val="Trust_FY10 MIS"/>
      <sheetName val="College wise summary"/>
      <sheetName val="Sec. B - Consl. financials"/>
      <sheetName val="Summary"/>
      <sheetName val="Trust_Consol P&amp;L"/>
      <sheetName val="ServCo_Consol P&amp;L"/>
      <sheetName val="Sec. C - Trust campuswise P&amp;Ls"/>
      <sheetName val="Shraddha Park - G_P&amp;L"/>
      <sheetName val="Shraddha Park - PG_P&amp;L"/>
      <sheetName val="Digdoh Campus - G_P&amp;L"/>
      <sheetName val="Digdoh Campus - PG_P&amp;L"/>
      <sheetName val="Nagpur_ Other Campuses - G_P&amp;L"/>
      <sheetName val="Nagpur_ Other Campuses - PG_P&amp;L"/>
      <sheetName val="Sukali Campus - Schools_P&amp;L"/>
      <sheetName val="Hingna Road - Schools_P&amp;L"/>
      <sheetName val="Amravati Campus - G_P&amp;L"/>
      <sheetName val="Amravati Campus - PG_P&amp;L"/>
      <sheetName val="Jalgaon Campus - G_P&amp;L"/>
      <sheetName val="Jalgaon Campus - PG_P&amp;L"/>
      <sheetName val="Raipur Campus - G_P&amp;L"/>
      <sheetName val="Raipur Campus - PG_P&amp;L"/>
      <sheetName val="Pune Campus - G_P&amp;L"/>
      <sheetName val="Pune Campus - PG_P&amp;L"/>
      <sheetName val="Ahmdngr Campus - G_P&amp;L"/>
      <sheetName val="Ahmdngr Campus - PG_P&amp;L"/>
      <sheetName val="% allocation ServCo. to Trust"/>
      <sheetName val="Sec. D - ServCo financials"/>
      <sheetName val="SGR EduVentures_P&amp;L"/>
      <sheetName val="Quality Concern_P&amp;L"/>
      <sheetName val="SGR Ventures_P&amp;L"/>
      <sheetName val="Sec. E - Trust workings"/>
      <sheetName val="Trust_FY10 loans"/>
      <sheetName val="TrustCo. Consl_P&amp;L_FY10"/>
      <sheetName val="TrustCo. Consl_P&amp;L_FY09"/>
      <sheetName val="TrustCo. Consl_BS_FY09"/>
      <sheetName val="Sec. F - ServCo workings"/>
      <sheetName val="ServCo. Consol_FY10"/>
      <sheetName val="ServCo_loan details"/>
      <sheetName val="ServCo_Asst &amp; Depr"/>
      <sheetName val="Sparkle_Financial Model_13Aug10"/>
      <sheetName val="Model_Structure"/>
      <sheetName val="Sec__A_-_Trust_snapshot"/>
      <sheetName val="Trust_Revenue_assumptions"/>
      <sheetName val="Trust_Expenses_assumptions"/>
      <sheetName val="Trust_FY10_MIS"/>
      <sheetName val="Campus_wise_summary"/>
      <sheetName val="College_wise_summary"/>
      <sheetName val="Sec__B_-_Consl__financials"/>
      <sheetName val="Trust_Consol_P&amp;L"/>
      <sheetName val="ServCo_Consol_P&amp;L"/>
      <sheetName val="Sec__C_-_Trust_campuswise_P&amp;Ls"/>
      <sheetName val="Shraddha_Park_-_G_P&amp;L"/>
      <sheetName val="Shraddha_Park_-_PG_P&amp;L"/>
      <sheetName val="Digdoh_Campus_-_G_P&amp;L"/>
      <sheetName val="Digdoh_Campus_-_PG_P&amp;L"/>
      <sheetName val="Nagpur__Other_Campuses_-_G_P&amp;L"/>
      <sheetName val="Nagpur__Other_Campuses_-_PG_P&amp;L"/>
      <sheetName val="Sukali_Campus_-_Schools_P&amp;L"/>
      <sheetName val="Hingna_Road_-_Schools_P&amp;L"/>
      <sheetName val="Amravati_Campus_-_G_P&amp;L"/>
      <sheetName val="Amravati_Campus_-_PG_P&amp;L"/>
      <sheetName val="Jalgaon_Campus_-_G_P&amp;L"/>
      <sheetName val="Jalgaon_Campus_-_PG_P&amp;L"/>
      <sheetName val="Raipur_Campus_-_G_P&amp;L"/>
      <sheetName val="Raipur_Campus_-_PG_P&amp;L"/>
      <sheetName val="Pune_Campus_-_G_P&amp;L"/>
      <sheetName val="Pune_Campus_-_PG_P&amp;L"/>
      <sheetName val="Ahmdngr_Campus_-_G_P&amp;L"/>
      <sheetName val="Ahmdngr_Campus_-_PG_P&amp;L"/>
      <sheetName val="%_allocation_ServCo__to_Trust"/>
      <sheetName val="Sec__D_-_ServCo_financials"/>
      <sheetName val="SGR_EduVentures_P&amp;L"/>
      <sheetName val="Quality_Concern_P&amp;L"/>
      <sheetName val="SGR_Ventures_P&amp;L"/>
      <sheetName val="Sec__E_-_Trust_workings"/>
      <sheetName val="Trust_FY10_loans"/>
      <sheetName val="TrustCo__Consl_P&amp;L_FY10"/>
      <sheetName val="TrustCo__Consl_P&amp;L_FY09"/>
      <sheetName val="TrustCo__Consl_BS_FY09"/>
      <sheetName val="Sec__F_-_ServCo_workings"/>
      <sheetName val="ServCo__Consol_FY10"/>
      <sheetName val="ServCo_loan_details"/>
      <sheetName val="ServCo_Asst_&amp;_Depr"/>
      <sheetName val="Sparkle_Financial_Model_13Aug10"/>
      <sheetName val="Model_Structure1"/>
      <sheetName val="Sec__A_-_Trust_snapshot1"/>
      <sheetName val="Trust_Revenue_assumptions1"/>
      <sheetName val="Trust_Expenses_assumptions1"/>
      <sheetName val="Trust_FY10_MIS1"/>
      <sheetName val="Campus_wise_summary1"/>
      <sheetName val="College_wise_summary1"/>
      <sheetName val="Sec__B_-_Consl__financials1"/>
      <sheetName val="Trust_Consol_P&amp;L1"/>
      <sheetName val="ServCo_Consol_P&amp;L1"/>
      <sheetName val="Sec__C_-_Trust_campuswise_P&amp;Ls1"/>
      <sheetName val="Shraddha_Park_-_G_P&amp;L1"/>
      <sheetName val="Shraddha_Park_-_PG_P&amp;L1"/>
      <sheetName val="Digdoh_Campus_-_G_P&amp;L1"/>
      <sheetName val="Digdoh_Campus_-_PG_P&amp;L1"/>
      <sheetName val="Nagpur__Other_Campuses_-_G_P&amp;L1"/>
      <sheetName val="Nagpur__Other_Campuses_-_PG_P&amp;1"/>
      <sheetName val="Sukali_Campus_-_Schools_P&amp;L1"/>
      <sheetName val="Hingna_Road_-_Schools_P&amp;L1"/>
      <sheetName val="Amravati_Campus_-_G_P&amp;L1"/>
      <sheetName val="Amravati_Campus_-_PG_P&amp;L1"/>
      <sheetName val="Jalgaon_Campus_-_G_P&amp;L1"/>
      <sheetName val="Jalgaon_Campus_-_PG_P&amp;L1"/>
      <sheetName val="Raipur_Campus_-_G_P&amp;L1"/>
      <sheetName val="Raipur_Campus_-_PG_P&amp;L1"/>
      <sheetName val="Pune_Campus_-_G_P&amp;L1"/>
      <sheetName val="Pune_Campus_-_PG_P&amp;L1"/>
      <sheetName val="Ahmdngr_Campus_-_G_P&amp;L1"/>
      <sheetName val="Ahmdngr_Campus_-_PG_P&amp;L1"/>
      <sheetName val="%_allocation_ServCo__to_Trust1"/>
      <sheetName val="Sec__D_-_ServCo_financials1"/>
      <sheetName val="SGR_EduVentures_P&amp;L1"/>
      <sheetName val="Quality_Concern_P&amp;L1"/>
      <sheetName val="SGR_Ventures_P&amp;L1"/>
      <sheetName val="Sec__E_-_Trust_workings1"/>
      <sheetName val="Trust_FY10_loans1"/>
      <sheetName val="TrustCo__Consl_P&amp;L_FY101"/>
      <sheetName val="TrustCo__Consl_P&amp;L_FY091"/>
      <sheetName val="TrustCo__Consl_BS_FY091"/>
      <sheetName val="Sec__F_-_ServCo_workings1"/>
      <sheetName val="ServCo__Consol_FY101"/>
      <sheetName val="ServCo_loan_details1"/>
      <sheetName val="ServCo_Asst_&amp;_Depr1"/>
      <sheetName val="Sparkle_Financial_Model_13Aug11"/>
      <sheetName val="Non-Statistical Sampling Master"/>
      <sheetName val="Comp equip"/>
      <sheetName val="Base Info"/>
      <sheetName val="Data"/>
      <sheetName val="Quantity"/>
      <sheetName val="List"/>
      <sheetName val="Reference"/>
      <sheetName val="BALANCE SHEE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lgChooseHotel"/>
      <sheetName val="Procedures"/>
      <sheetName val="Welcome"/>
      <sheetName val="Perfclaus"/>
      <sheetName val="05AMF-YE Proj"/>
      <sheetName val="AFC - Variances"/>
      <sheetName val="Total"/>
      <sheetName val="Rooms"/>
      <sheetName val="F&amp;B"/>
      <sheetName val="Casino"/>
      <sheetName val="PBX"/>
      <sheetName val="Spa"/>
      <sheetName val="Garage"/>
      <sheetName val="Liquor"/>
      <sheetName val="Valet"/>
      <sheetName val="Condo"/>
      <sheetName val="ExibHall"/>
      <sheetName val="BizCenter"/>
      <sheetName val="Rentals"/>
      <sheetName val="Gift"/>
      <sheetName val="Flower"/>
      <sheetName val="GuestSvc"/>
      <sheetName val="Recreation"/>
      <sheetName val="Golf"/>
      <sheetName val="Catamaran"/>
      <sheetName val="Tennis"/>
      <sheetName val="Stables"/>
      <sheetName val="UnionStation"/>
      <sheetName val="Tower"/>
      <sheetName val="Other"/>
      <sheetName val="A&amp;G"/>
      <sheetName val="Marketing"/>
      <sheetName val="HL&amp;P"/>
      <sheetName val="R&amp;M"/>
      <sheetName val="PT&amp;EB"/>
      <sheetName val="Laundry"/>
      <sheetName val="Mall"/>
      <sheetName val="EST1"/>
      <sheetName val="LocalMktg"/>
      <sheetName val="F&amp;BRevenueFactors"/>
      <sheetName val="Forecast %"/>
      <sheetName val="Expenses"/>
      <sheetName val="Lists"/>
      <sheetName val="market potential"/>
      <sheetName val="Campus wise summary"/>
      <sheetName val="05AMF-YE_Proj"/>
      <sheetName val="AFC_-_Variances"/>
      <sheetName val="Forecast_%"/>
      <sheetName val="market_potential"/>
      <sheetName val="Campus_wise_summary"/>
      <sheetName val="Q2 YTD OG Sales Analysis"/>
      <sheetName val="Occ and Rate"/>
      <sheetName val="EST1 (2)"/>
      <sheetName val="YTD-AMF"/>
      <sheetName val="Module1"/>
      <sheetName val="Kitchen"/>
      <sheetName val="Stewarding"/>
      <sheetName val="F&amp;B Analysis"/>
      <sheetName val="Macros"/>
      <sheetName val="01ACT-YE FEES PROJ"/>
      <sheetName val="Cover"/>
      <sheetName val="Highlights"/>
      <sheetName val="Rm Size"/>
      <sheetName val="Deal Summary"/>
      <sheetName val="Occ &amp; Rate Projections"/>
      <sheetName val="Competitive Set"/>
      <sheetName val="Competitive Set (2)"/>
      <sheetName val="Retail Space"/>
      <sheetName val="Proforma Calc"/>
      <sheetName val="Historicals"/>
      <sheetName val="T12"/>
      <sheetName val="Proforma"/>
      <sheetName val="PIP"/>
      <sheetName val="RE Cash Flows"/>
      <sheetName val="BP Cash Flows"/>
      <sheetName val="Debt"/>
      <sheetName val="Bridge"/>
      <sheetName val="Swag 2006 Bridge"/>
      <sheetName val="2008 &amp; 2009 w Reno (608rms)"/>
      <sheetName val="2008 &amp; 2009 w Reno (596rms)"/>
      <sheetName val="2008 wo reno"/>
      <sheetName val="2008 w reno &amp; 2009 after reno"/>
      <sheetName val="Paramount 2008  2009 reno 09-13"/>
      <sheetName val="Matrix"/>
      <sheetName val="List"/>
      <sheetName val="Annual Report"/>
      <sheetName val="Data 1"/>
      <sheetName val="Cost Approach"/>
      <sheetName val="ServCo BS-Consolidated"/>
      <sheetName val="Assmp summary"/>
      <sheetName val="ServCo CF-Consolidated"/>
      <sheetName val="ServCo-FA-New Schools"/>
      <sheetName val="05AMF-YE_Proj1"/>
      <sheetName val="AFC_-_Variances1"/>
      <sheetName val="Forecast_%1"/>
      <sheetName val="market_potential1"/>
      <sheetName val="Campus_wise_summary1"/>
      <sheetName val="Q2_YTD_OG_Sales_Analysis"/>
      <sheetName val="Occ_and_Rate"/>
      <sheetName val="EST1_(2)"/>
      <sheetName val="F&amp;B_Analysis"/>
      <sheetName val="01ACT-YE_FEES_PROJ"/>
      <sheetName val="Rm_Size"/>
      <sheetName val="Deal_Summary"/>
      <sheetName val="Occ_&amp;_Rate_Projections"/>
      <sheetName val="Competitive_Set"/>
      <sheetName val="Competitive_Set_(2)"/>
      <sheetName val="Retail_Space"/>
      <sheetName val="Proforma_Calc"/>
      <sheetName val="RE_Cash_Flows"/>
      <sheetName val="BP_Cash_Flows"/>
      <sheetName val="Swag_2006_Bridge"/>
      <sheetName val="2008_&amp;_2009_w_Reno_(608rms)"/>
      <sheetName val="2008_&amp;_2009_w_Reno_(596rms)"/>
      <sheetName val="2008_wo_reno"/>
      <sheetName val="2008_w_reno_&amp;_2009_after_reno"/>
      <sheetName val="Paramount_2008__2009_reno_09-13"/>
      <sheetName val="Annual_Report"/>
      <sheetName val="Data_1"/>
      <sheetName val="Cost_Approach"/>
      <sheetName val="ServCo_BS-Consolidated"/>
      <sheetName val="Assmp_summary"/>
      <sheetName val="ServCo_CF-Consolidated"/>
      <sheetName val="ServCo-FA-New_Schoo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refreshError="1"/>
      <sheetData sheetId="51" refreshError="1"/>
      <sheetData sheetId="52"/>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ntity"/>
      <sheetName val="Sum"/>
      <sheetName val="Sheet2"/>
      <sheetName val="6823 PS 1700"/>
      <sheetName val="PU_ITALY "/>
      <sheetName val="Module1"/>
      <sheetName val="Module2"/>
      <sheetName val="KP_LIST"/>
      <sheetName val="sheet12"/>
      <sheetName val=""/>
      <sheetName val="6823_PS_1700"/>
      <sheetName val="PU_ITALY_"/>
      <sheetName val="6823_PS_17001"/>
      <sheetName val="PU_ITALY_1"/>
      <sheetName val="DATABANK"/>
      <sheetName val="KVM"/>
      <sheetName val="SAP YTD TB"/>
      <sheetName val="Circle Master"/>
      <sheetName val="Actual-Circlewise"/>
      <sheetName val="Graph Data"/>
      <sheetName val="TMP"/>
      <sheetName val="Circle Details"/>
      <sheetName val="Master"/>
      <sheetName val="IGAAP Group"/>
      <sheetName val="Details"/>
      <sheetName val="Names"/>
      <sheetName val="ct"/>
      <sheetName val="6823_PS_17002"/>
      <sheetName val="PU_ITALY_2"/>
      <sheetName val="SAP_YTD_TB"/>
      <sheetName val="Circle_Master"/>
      <sheetName val="Graph_Data"/>
      <sheetName val="Circle_Details"/>
      <sheetName val="Control_TB check"/>
      <sheetName val="Sheet1"/>
      <sheetName val="Data"/>
      <sheetName val="workings"/>
      <sheetName val="dep pre"/>
      <sheetName val="daywork- Tham khao"/>
      <sheetName val="6823_PS_17003"/>
      <sheetName val="PU_ITALY_3"/>
      <sheetName val="SAP_YTD_TB1"/>
      <sheetName val="Circle_Master1"/>
      <sheetName val="Graph_Data1"/>
      <sheetName val="Circle_Details1"/>
      <sheetName val="IGAAP_Group"/>
      <sheetName val="6823_PS_17004"/>
      <sheetName val="PU_ITALY_4"/>
      <sheetName val="SAP_YTD_TB2"/>
      <sheetName val="Circle_Master2"/>
      <sheetName val="Graph_Data2"/>
      <sheetName val="Circle_Details2"/>
      <sheetName val="IGAAP_Group1"/>
      <sheetName val="6823_PS_17005"/>
      <sheetName val="PU_ITALY_5"/>
      <sheetName val="SAP_YTD_TB3"/>
      <sheetName val="Circle_Master3"/>
      <sheetName val="Graph_Data3"/>
      <sheetName val="Circle_Details3"/>
      <sheetName val="IGAAP_Group2"/>
      <sheetName val="Exchange Rates"/>
      <sheetName val="6823_PS_17006"/>
      <sheetName val="PU_ITALY_6"/>
      <sheetName val="SAP_YTD_TB4"/>
      <sheetName val="Circle_Master4"/>
      <sheetName val="Graph_Data4"/>
      <sheetName val="Circle_Details4"/>
      <sheetName val="IGAAP_Group3"/>
      <sheetName val="Control_TB_check"/>
      <sheetName val="Exchange_Rates"/>
      <sheetName val="Admin inputs"/>
      <sheetName val="6823_PS_170010"/>
      <sheetName val="PU_ITALY_10"/>
      <sheetName val="SAP_YTD_TB8"/>
      <sheetName val="Circle_Master8"/>
      <sheetName val="Graph_Data8"/>
      <sheetName val="Circle_Details8"/>
      <sheetName val="IGAAP_Group7"/>
      <sheetName val="6823_PS_17007"/>
      <sheetName val="PU_ITALY_7"/>
      <sheetName val="SAP_YTD_TB5"/>
      <sheetName val="Circle_Master5"/>
      <sheetName val="Graph_Data5"/>
      <sheetName val="Circle_Details5"/>
      <sheetName val="IGAAP_Group4"/>
      <sheetName val="Control_TB_check2"/>
      <sheetName val="6823_PS_17008"/>
      <sheetName val="PU_ITALY_8"/>
      <sheetName val="SAP_YTD_TB6"/>
      <sheetName val="Circle_Master6"/>
      <sheetName val="Graph_Data6"/>
      <sheetName val="Circle_Details6"/>
      <sheetName val="IGAAP_Group5"/>
      <sheetName val="6823_PS_17009"/>
      <sheetName val="PU_ITALY_9"/>
      <sheetName val="SAP_YTD_TB7"/>
      <sheetName val="Circle_Master7"/>
      <sheetName val="Graph_Data7"/>
      <sheetName val="Circle_Details7"/>
      <sheetName val="IGAAP_Group6"/>
      <sheetName val="Control_TB_check1"/>
      <sheetName val="Lists"/>
      <sheetName val=" SMU Table (2)"/>
      <sheetName val="F.A. Data Validation Inputs"/>
      <sheetName val="PO Copy"/>
      <sheetName val="#REF"/>
      <sheetName val="CREDIT STATS"/>
      <sheetName val="GiaVL"/>
      <sheetName val="Orig SG&amp;A Corp"/>
      <sheetName val="dep_pre"/>
      <sheetName val="daywork-_Tham_khao"/>
      <sheetName val="Orig_SG&amp;A_Corp"/>
      <sheetName val="Purchase_Order"/>
      <sheetName val="03 Detailed"/>
      <sheetName val="01 Bid Price summary"/>
      <sheetName val="gVL"/>
      <sheetName val="Breadown-Nop"/>
      <sheetName val="NEW-PANEL"/>
      <sheetName val="Capacity"/>
      <sheetName val="Hardware"/>
      <sheetName val="Base"/>
      <sheetName val="A-16"/>
      <sheetName val="Cover"/>
      <sheetName val="Group"/>
      <sheetName val="6823_PS_170011"/>
      <sheetName val="PU_ITALY_11"/>
      <sheetName val="SAP_YTD_TB9"/>
      <sheetName val="Circle_Master9"/>
      <sheetName val="Graph_Data9"/>
      <sheetName val="Circle_Details9"/>
      <sheetName val="IGAAP_Group8"/>
      <sheetName val="Control_TB_check3"/>
      <sheetName val="Exchange_Rates1"/>
      <sheetName val="6823_PS_170012"/>
      <sheetName val="PU_ITALY_12"/>
      <sheetName val="SAP_YTD_TB10"/>
      <sheetName val="Circle_Master10"/>
      <sheetName val="Graph_Data10"/>
      <sheetName val="Circle_Details10"/>
      <sheetName val="IGAAP_Group9"/>
      <sheetName val="Control_TB_check4"/>
      <sheetName val="Exchange_Rates2"/>
      <sheetName val="6823_PS_170013"/>
      <sheetName val="PU_ITALY_13"/>
      <sheetName val="SAP_YTD_TB11"/>
      <sheetName val="Circle_Master11"/>
      <sheetName val="Graph_Data11"/>
      <sheetName val="Circle_Details11"/>
      <sheetName val="IGAAP_Group10"/>
      <sheetName val="Control_TB_check5"/>
      <sheetName val="Exchange_Rates3"/>
      <sheetName val="LOCAL"/>
      <sheetName val="6823_PS_170014"/>
      <sheetName val="PU_ITALY_14"/>
      <sheetName val="SAP_YTD_TB12"/>
      <sheetName val="Circle_Master12"/>
      <sheetName val="Graph_Data12"/>
      <sheetName val="Circle_Details12"/>
      <sheetName val="IGAAP_Group11"/>
      <sheetName val="Control_TB_check6"/>
      <sheetName val="Exchange_Rates4"/>
      <sheetName val="Admin_inputs"/>
      <sheetName val="PO_Copy"/>
      <sheetName val="월별"/>
      <sheetName val="6823_PS_170015"/>
      <sheetName val="PU_ITALY_15"/>
      <sheetName val="SAP_YTD_TB13"/>
      <sheetName val="Circle_Master13"/>
      <sheetName val="Graph_Data13"/>
      <sheetName val="Circle_Details13"/>
      <sheetName val="IGAAP_Group12"/>
      <sheetName val="Control_TB_check7"/>
      <sheetName val="dep_pre1"/>
      <sheetName val="daywork-_Tham_khao1"/>
      <sheetName val="Exchange_Rates5"/>
      <sheetName val="Admin_inputs1"/>
      <sheetName val="_SMU_Table_(2)"/>
      <sheetName val="F_A__Data_Validation_Inputs"/>
      <sheetName val="PO_Copy1"/>
      <sheetName val="CREDIT_STATS"/>
      <sheetName val="Orig_SG&amp;A_Corp1"/>
      <sheetName val="03_Detailed"/>
      <sheetName val="01_Bid_Price_summary"/>
      <sheetName val="Timesheets"/>
      <sheetName val="TGT"/>
      <sheetName val="FormA"/>
      <sheetName val="NH-Badan"/>
      <sheetName val="INVOICE2"/>
      <sheetName val="Assessment Report (InDirectTax)"/>
      <sheetName val="YTD SALES"/>
      <sheetName val="PACK"/>
      <sheetName val="6823_PS_170016"/>
      <sheetName val="PU_ITALY_16"/>
      <sheetName val="SAP_YTD_TB14"/>
      <sheetName val="Circle_Master14"/>
      <sheetName val="Graph_Data14"/>
      <sheetName val="Circle_Details14"/>
      <sheetName val="IGAAP_Group13"/>
      <sheetName val="Control_TB_check8"/>
      <sheetName val="dep_pre2"/>
      <sheetName val="daywork-_Tham_khao2"/>
      <sheetName val="Exchange_Rates6"/>
      <sheetName val="Admin_inputs2"/>
      <sheetName val="_SMU_Table_(2)1"/>
      <sheetName val="F_A__Data_Validation_Inputs1"/>
      <sheetName val="PO_Copy2"/>
      <sheetName val="Orig_SG&amp;A_Corp2"/>
      <sheetName val="03_Detailed1"/>
      <sheetName val="01_Bid_Price_summary1"/>
      <sheetName val="CREDIT_STATS1"/>
      <sheetName val="Assessment_Report_(InDirectTax)"/>
      <sheetName val="YTD_SALES"/>
      <sheetName val="Back up"/>
      <sheetName val="Back end data"/>
      <sheetName val="2g_1GB"/>
      <sheetName val="3g_1GB"/>
      <sheetName val="Sheet3"/>
      <sheetName val="Working"/>
      <sheetName val="basic data"/>
      <sheetName val="Mappings"/>
      <sheetName val="list"/>
      <sheetName val="Lookup Tables"/>
      <sheetName val="Definitions"/>
      <sheetName val="Drop Down Listings"/>
      <sheetName val="Rates"/>
      <sheetName val="Variables"/>
      <sheetName val="Definition"/>
      <sheetName val="Material List "/>
      <sheetName val="CSCCincSKR"/>
      <sheetName val="Summary"/>
      <sheetName val="MoM"/>
      <sheetName val="Sale of Assets"/>
      <sheetName val="ANNE 8"/>
      <sheetName val="Capital activity Q4 2018"/>
      <sheetName val="6823_PS_170022"/>
      <sheetName val="PU_ITALY_22"/>
      <sheetName val="SAP_YTD_TB20"/>
      <sheetName val="Circle_Master20"/>
      <sheetName val="Graph_Data20"/>
      <sheetName val="Circle_Details20"/>
      <sheetName val="IGAAP_Group19"/>
      <sheetName val="Control_TB_check14"/>
      <sheetName val="Exchange_Rates12"/>
      <sheetName val="6823_PS_170017"/>
      <sheetName val="PU_ITALY_17"/>
      <sheetName val="SAP_YTD_TB15"/>
      <sheetName val="Circle_Master15"/>
      <sheetName val="Graph_Data15"/>
      <sheetName val="Circle_Details15"/>
      <sheetName val="IGAAP_Group14"/>
      <sheetName val="Control_TB_check9"/>
      <sheetName val="Exchange_Rates7"/>
      <sheetName val="6823_PS_170018"/>
      <sheetName val="PU_ITALY_18"/>
      <sheetName val="SAP_YTD_TB16"/>
      <sheetName val="Circle_Master16"/>
      <sheetName val="Graph_Data16"/>
      <sheetName val="Circle_Details16"/>
      <sheetName val="IGAAP_Group15"/>
      <sheetName val="Control_TB_check10"/>
      <sheetName val="Exchange_Rates8"/>
      <sheetName val="Admin_inputs3"/>
      <sheetName val="PO_Copy3"/>
      <sheetName val="6823_PS_170019"/>
      <sheetName val="PU_ITALY_19"/>
      <sheetName val="SAP_YTD_TB17"/>
      <sheetName val="Circle_Master17"/>
      <sheetName val="Graph_Data17"/>
      <sheetName val="Circle_Details17"/>
      <sheetName val="IGAAP_Group16"/>
      <sheetName val="Control_TB_check11"/>
      <sheetName val="Exchange_Rates9"/>
      <sheetName val="6823_PS_170020"/>
      <sheetName val="PU_ITALY_20"/>
      <sheetName val="SAP_YTD_TB18"/>
      <sheetName val="Circle_Master18"/>
      <sheetName val="Graph_Data18"/>
      <sheetName val="Circle_Details18"/>
      <sheetName val="IGAAP_Group17"/>
      <sheetName val="Control_TB_check12"/>
      <sheetName val="Exchange_Rates10"/>
      <sheetName val="6823_PS_170021"/>
      <sheetName val="PU_ITALY_21"/>
      <sheetName val="SAP_YTD_TB19"/>
      <sheetName val="Circle_Master19"/>
      <sheetName val="Graph_Data19"/>
      <sheetName val="Circle_Details19"/>
      <sheetName val="IGAAP_Group18"/>
      <sheetName val="Control_TB_check13"/>
      <sheetName val="Exchange_Rates11"/>
      <sheetName val="6823_PS_170025"/>
      <sheetName val="Dist (3)"/>
      <sheetName val="Dist (5)"/>
      <sheetName val="6823_PS_170023"/>
      <sheetName val="PU_ITALY_23"/>
      <sheetName val="SAP_YTD_TB21"/>
      <sheetName val="Circle_Master21"/>
      <sheetName val="Graph_Data21"/>
      <sheetName val="Circle_Details21"/>
      <sheetName val="IGAAP_Group20"/>
      <sheetName val="Control_TB_check15"/>
      <sheetName val="Exchange_Rates13"/>
      <sheetName val="Admin_inputs4"/>
      <sheetName val="PO_Copy4"/>
      <sheetName val="6823_PS_170024"/>
      <sheetName val="PU_ITALY_24"/>
      <sheetName val="SAP_YTD_TB22"/>
      <sheetName val="Circle_Master22"/>
      <sheetName val="Graph_Data22"/>
      <sheetName val="Circle_Details22"/>
      <sheetName val="IGAAP_Group21"/>
      <sheetName val="Control_TB_check16"/>
      <sheetName val="Exchange_Rates14"/>
      <sheetName val="Admin_inputs5"/>
      <sheetName val="PO_Copy5"/>
      <sheetName val="Input sheet"/>
      <sheetName val="PU_ITALY_25"/>
      <sheetName val="SAP_YTD_TB23"/>
      <sheetName val="Circle_Master23"/>
      <sheetName val="Graph_Data23"/>
      <sheetName val="Circle_Details23"/>
      <sheetName val="IGAAP_Group22"/>
      <sheetName val="Control_TB_check17"/>
      <sheetName val="Exchange_Rates15"/>
      <sheetName val="Admin_inputs6"/>
      <sheetName val="PO_Copy6"/>
      <sheetName val="Input"/>
      <sheetName val="Calculation"/>
      <sheetName val="Merit and Market Grid"/>
      <sheetName val="A-111A"/>
      <sheetName val="coastal"/>
      <sheetName val="daywork-_Tham_khao3"/>
      <sheetName val="daywork-_Tham_khao4"/>
      <sheetName val="daywork-_Tham_khao5"/>
      <sheetName val="daywork-_Tham_khao6"/>
      <sheetName val="daywork-_Tham_khao7"/>
      <sheetName val="daywork-_Tham_khao8"/>
      <sheetName val="daywork-_Tham_khao9"/>
      <sheetName val="MES"/>
      <sheetName val="daywork-_Tham_khao10"/>
      <sheetName val="daywork-_Tham_khao11"/>
      <sheetName val="daywork-_Tham_khao12"/>
      <sheetName val="Customers SAP"/>
      <sheetName val="daywork-_Tham_khao13"/>
      <sheetName val="Customers_SAP"/>
      <sheetName val="daywork-_Tham_khao14"/>
      <sheetName val="Customers_SAP1"/>
      <sheetName val="daywork-_Tham_khao15"/>
      <sheetName val="Customers_SAP2"/>
      <sheetName val="daywork-_Tham_khao16"/>
      <sheetName val="Customers_SAP3"/>
      <sheetName val="daywork-_Tham_khao17"/>
      <sheetName val="Customers_SAP4"/>
      <sheetName val="daywork-_Tham_khao18"/>
      <sheetName val="Customers_SAP5"/>
      <sheetName val="daywork-_Tham_khao19"/>
      <sheetName val="Customers_SAP6"/>
      <sheetName val="daywork-_Tham_khao20"/>
      <sheetName val="Customers_SAP7"/>
      <sheetName val="daywork-_Tham_khao21"/>
      <sheetName val="Customers_SAP8"/>
      <sheetName val="daywork-_Tham_khao22"/>
      <sheetName val="Customers_SAP9"/>
      <sheetName val="daywork-_Tham_khao23"/>
      <sheetName val="Customers_SAP10"/>
      <sheetName val="daywork-_Tham_khao24"/>
      <sheetName val="Graph_Data24"/>
      <sheetName val="Customers_SAP11"/>
      <sheetName val="daywork-_Tham_khao25"/>
      <sheetName val="Graph_Data25"/>
      <sheetName val="Customers_SAP12"/>
      <sheetName val="6823_PS_170026"/>
      <sheetName val="PU_ITALY_26"/>
      <sheetName val="daywork-_Tham_khao26"/>
      <sheetName val="Graph_Data26"/>
      <sheetName val="Customers_SAP13"/>
      <sheetName val="6823_PS_170027"/>
      <sheetName val="PU_ITALY_27"/>
      <sheetName val="daywork-_Tham_khao27"/>
      <sheetName val="Graph_Data27"/>
      <sheetName val="Customers_SAP14"/>
      <sheetName val="6823_PS_170028"/>
      <sheetName val="PU_ITALY_28"/>
      <sheetName val="daywork-_Tham_khao28"/>
      <sheetName val="Graph_Data28"/>
      <sheetName val="Customers_SAP15"/>
      <sheetName val="6823_PS_170030"/>
      <sheetName val="PU_ITALY_30"/>
      <sheetName val="daywork-_Tham_khao30"/>
      <sheetName val="Graph_Data30"/>
      <sheetName val="Customers_SAP17"/>
      <sheetName val="6823_PS_170029"/>
      <sheetName val="PU_ITALY_29"/>
      <sheetName val="daywork-_Tham_khao29"/>
      <sheetName val="Graph_Data29"/>
      <sheetName val="Customers_SAP16"/>
      <sheetName val="6823_PS_170031"/>
      <sheetName val="PU_ITALY_31"/>
      <sheetName val="daywork-_Tham_khao31"/>
      <sheetName val="Graph_Data31"/>
      <sheetName val="Customers_SAP18"/>
      <sheetName val="6823_PS_170032"/>
      <sheetName val="PU_ITALY_32"/>
      <sheetName val="daywork-_Tham_khao32"/>
      <sheetName val="Graph_Data32"/>
      <sheetName val="Customers_SAP19"/>
      <sheetName val="Admin_inputs7"/>
      <sheetName val="6823_PS_170033"/>
      <sheetName val="PU_ITALY_33"/>
      <sheetName val="daywork-_Tham_khao33"/>
      <sheetName val="Graph_Data33"/>
      <sheetName val="Customers_SAP20"/>
      <sheetName val="Admin_inputs8"/>
      <sheetName val="6823_PS_170034"/>
      <sheetName val="PU_ITALY_34"/>
      <sheetName val="daywork-_Tham_khao34"/>
      <sheetName val="Graph_Data34"/>
      <sheetName val="Customers_SAP21"/>
      <sheetName val="Admin_inputs9"/>
      <sheetName val="6823_PS_170035"/>
      <sheetName val="PU_ITALY_35"/>
      <sheetName val="daywork-_Tham_khao35"/>
      <sheetName val="Graph_Data35"/>
      <sheetName val="Customers_SAP22"/>
      <sheetName val="Admin_inputs10"/>
      <sheetName val="6823_PS_170036"/>
      <sheetName val="PU_ITALY_36"/>
      <sheetName val="daywork-_Tham_khao36"/>
      <sheetName val="Graph_Data36"/>
      <sheetName val="Customers_SAP23"/>
      <sheetName val="Admin_inputs11"/>
      <sheetName val="6823_PS_170037"/>
      <sheetName val="PU_ITALY_37"/>
      <sheetName val="daywork-_Tham_khao37"/>
      <sheetName val="Graph_Data37"/>
      <sheetName val="Customers_SAP24"/>
      <sheetName val="Admin_inputs12"/>
      <sheetName val="6823_PS_170038"/>
      <sheetName val="PU_ITALY_38"/>
      <sheetName val="daywork-_Tham_khao38"/>
      <sheetName val="Graph_Data38"/>
      <sheetName val="Customers_SAP25"/>
      <sheetName val="Admin_inputs13"/>
      <sheetName val="Opening check"/>
      <sheetName val="RecoveredExternalLink1"/>
      <sheetName val="关联交易-存款"/>
      <sheetName val="Understand the client"/>
      <sheetName val="Bokslutsprocessen"/>
      <sheetName val="Indata"/>
      <sheetName val="CRA"/>
      <sheetName val="POLYOLEFINS"/>
      <sheetName val="su03litmark"/>
      <sheetName val="su03litsourcing"/>
      <sheetName val="ANNEX1-3"/>
      <sheetName val="LEGAL GUJ"/>
      <sheetName val="VL"/>
      <sheetName val="TN"/>
      <sheetName val="ND"/>
      <sheetName val="LEGAL_GUJ"/>
      <sheetName val="LEGAL_GUJ1"/>
      <sheetName val="feb march dump"/>
      <sheetName val="Breadown"/>
      <sheetName val="SALES"/>
      <sheetName val="PEDESB"/>
      <sheetName val="MMR"/>
      <sheetName val="Pricing Notes"/>
      <sheetName val="FA Leadsheet &amp; Movement"/>
      <sheetName val="6823_PS_170039"/>
      <sheetName val="PU_ITALY_39"/>
      <sheetName val="daywork-_Tham_khao39"/>
      <sheetName val="Graph_Data39"/>
      <sheetName val="Customers_SAP26"/>
      <sheetName val="Admin_inputs14"/>
      <sheetName val="Line items maping"/>
      <sheetName val="control KPIs (RPH etc.)"/>
      <sheetName val="Drop Down - Do Not Delete"/>
      <sheetName val="List data"/>
      <sheetName val="3. For dropdowns-do not edit"/>
      <sheetName val="wk % looked up"/>
      <sheetName val="List of Values"/>
      <sheetName val="basic_data"/>
      <sheetName val="Lookup_Tables"/>
      <sheetName val="POV"/>
      <sheetName val="Drop Downs"/>
      <sheetName val="Nature of the Cost"/>
      <sheetName val="GL codes mapping"/>
      <sheetName val="Recap HNE YTD"/>
      <sheetName val="6823_PS_170040"/>
      <sheetName val="PU_ITALY_40"/>
      <sheetName val="daywork-_Tham_khao40"/>
      <sheetName val="Graph_Data40"/>
      <sheetName val="Customers_SAP27"/>
      <sheetName val="SAP_YTD_TB24"/>
      <sheetName val="Circle_Master24"/>
      <sheetName val="Circle_Details24"/>
      <sheetName val="IGAAP_Group23"/>
      <sheetName val="Control_TB_check18"/>
      <sheetName val="Exchange_Rates16"/>
      <sheetName val="Admin_inputs15"/>
      <sheetName val="E"/>
      <sheetName val="van khuon"/>
      <sheetName val="6823_PS_170041"/>
      <sheetName val="PU_ITALY_41"/>
      <sheetName val="daywork-_Tham_khao41"/>
      <sheetName val="Graph_Data41"/>
      <sheetName val="Customers_SAP28"/>
      <sheetName val="SAP_YTD_TB25"/>
      <sheetName val="Circle_Master25"/>
      <sheetName val="Circle_Details25"/>
      <sheetName val="IGAAP_Group24"/>
      <sheetName val="Control_TB_check19"/>
      <sheetName val="Exchange_Rates17"/>
      <sheetName val="Admin_inputs16"/>
      <sheetName val="Recap_HNE_YTD"/>
      <sheetName val="basic_data1"/>
      <sheetName val="Lookup_Tables1"/>
      <sheetName val="Drop_Down_Listings"/>
      <sheetName val="Line_items_maping"/>
      <sheetName val="control_KPIs_(RPH_etc_)"/>
      <sheetName val="Drop_Down_-_Do_Not_Delete"/>
      <sheetName val="List_data"/>
      <sheetName val="3__For_dropdowns-do_not_edit"/>
      <sheetName val="wk_%_looked_up"/>
      <sheetName val="List_of_Values"/>
      <sheetName val="Drop_Downs"/>
      <sheetName val="Nature_of_the_Cost"/>
      <sheetName val="GL_codes_mapping"/>
      <sheetName val="6823_PS_170042"/>
      <sheetName val="PU_ITALY_42"/>
      <sheetName val="daywork-_Tham_khao42"/>
      <sheetName val="Graph_Data42"/>
      <sheetName val="Customers_SAP29"/>
      <sheetName val="SAP_YTD_TB26"/>
      <sheetName val="Circle_Master26"/>
      <sheetName val="Circle_Details26"/>
      <sheetName val="IGAAP_Group25"/>
      <sheetName val="Control_TB_check20"/>
      <sheetName val="Exchange_Rates18"/>
      <sheetName val="Admin_inputs17"/>
      <sheetName val="Recap_HNE_YTD1"/>
      <sheetName val="_SMU_Table_(2)2"/>
      <sheetName val="F_A__Data_Validation_Inputs2"/>
      <sheetName val="basic_data2"/>
      <sheetName val="Lookup_Tables2"/>
      <sheetName val="Drop_Down_Listings1"/>
      <sheetName val="Line_items_maping1"/>
      <sheetName val="control_KPIs_(RPH_etc_)1"/>
      <sheetName val="Drop_Down_-_Do_Not_Delete1"/>
      <sheetName val="List_data1"/>
      <sheetName val="3__For_dropdowns-do_not_edit1"/>
      <sheetName val="wk_%_looked_up1"/>
      <sheetName val="List_of_Values1"/>
      <sheetName val="Drop_Downs1"/>
      <sheetName val="Nature_of_the_Cost1"/>
      <sheetName val="GL_codes_mapping1"/>
      <sheetName val="6823_PS_170043"/>
      <sheetName val="PU_ITALY_43"/>
      <sheetName val="daywork-_Tham_khao43"/>
      <sheetName val="Graph_Data43"/>
      <sheetName val="Customers_SAP30"/>
      <sheetName val="SAP_YTD_TB27"/>
      <sheetName val="Circle_Master27"/>
      <sheetName val="Circle_Details27"/>
      <sheetName val="IGAAP_Group26"/>
      <sheetName val="Control_TB_check21"/>
      <sheetName val="Exchange_Rates19"/>
      <sheetName val="Admin_inputs18"/>
      <sheetName val="_SMU_Table_(2)3"/>
      <sheetName val="F_A__Data_Validation_Inputs3"/>
      <sheetName val="basic_data3"/>
      <sheetName val="Lookup_Tables3"/>
      <sheetName val="Drop_Down_Listings2"/>
      <sheetName val="Line_items_maping2"/>
      <sheetName val="control_KPIs_(RPH_etc_)2"/>
      <sheetName val="Drop_Down_-_Do_Not_Delete2"/>
      <sheetName val="List_data2"/>
      <sheetName val="3__For_dropdowns-do_not_edit2"/>
      <sheetName val="wk_%_looked_up2"/>
      <sheetName val="List_of_Values2"/>
      <sheetName val="Drop_Downs2"/>
      <sheetName val="Nature_of_the_Cost2"/>
      <sheetName val="GL_codes_mapping2"/>
      <sheetName val="Recap_HNE_YTD2"/>
      <sheetName val="van_khuon"/>
      <sheetName val="STT-PSLIP"/>
      <sheetName val="Revised IT_Calc "/>
      <sheetName val="WoW Analysis"/>
      <sheetName val="2.1 Wallet share"/>
      <sheetName val="Table"/>
      <sheetName val="Options"/>
      <sheetName val="Mapping"/>
      <sheetName val="Cap Gain Bonds &amp; Sec. 332053 "/>
      <sheetName val="GDS Hours for GSA Adv - Graphs"/>
      <sheetName val="6823_PS_170044"/>
      <sheetName val="PU_ITALY_44"/>
      <sheetName val="daywork-_Tham_khao44"/>
      <sheetName val="Graph_Data44"/>
      <sheetName val="Customers_SAP31"/>
      <sheetName val="SAP_YTD_TB28"/>
      <sheetName val="Circle_Master28"/>
      <sheetName val="Circle_Details28"/>
      <sheetName val="IGAAP_Group27"/>
      <sheetName val="Control_TB_check22"/>
      <sheetName val="Exchange_Rates20"/>
      <sheetName val="Admin_inputs19"/>
      <sheetName val="_SMU_Table_(2)4"/>
      <sheetName val="F_A__Data_Validation_Inputs4"/>
      <sheetName val="basic_data4"/>
      <sheetName val="Lookup_Tables4"/>
      <sheetName val="Drop_Down_Listings3"/>
      <sheetName val="Line_items_maping3"/>
      <sheetName val="control_KPIs_(RPH_etc_)3"/>
      <sheetName val="Drop_Down_-_Do_Not_Delete3"/>
      <sheetName val="List_data3"/>
      <sheetName val="3__For_dropdowns-do_not_edit3"/>
      <sheetName val="wk_%_looked_up3"/>
      <sheetName val="List_of_Values3"/>
      <sheetName val="Drop_Downs3"/>
      <sheetName val="Nature_of_the_Cost3"/>
      <sheetName val="GL_codes_mapping3"/>
      <sheetName val="Recap_HNE_YTD3"/>
      <sheetName val="van_khuon1"/>
      <sheetName val="Revised_IT_Calc_"/>
      <sheetName val="WoW_Analysis"/>
      <sheetName val="2_1_Wallet_share"/>
      <sheetName val="Cap_Gain_Bonds_&amp;_Sec__332053_"/>
      <sheetName val="GDS_Hours_for_GSA_Adv_-_Graphs"/>
      <sheetName val="EP Dashboard"/>
      <sheetName val="1800 band"/>
      <sheetName val="SCH_VI POLY "/>
      <sheetName val="SCH_VI DTY"/>
      <sheetName val="Sch VI Plant CP 4_5"/>
      <sheetName val="SCH 6 CPP"/>
      <sheetName val="G1"/>
      <sheetName val="BS"/>
      <sheetName val="D.7"/>
      <sheetName val="2001"/>
      <sheetName val="chitimc"/>
      <sheetName val="MTO REV.2(ARMOR)"/>
      <sheetName val="CONTRIBUTION SHEETS"/>
      <sheetName val="dongia (2)"/>
      <sheetName val="TEMP&amp;HUM PRIMER BOOTH"/>
      <sheetName val="Summary Rating"/>
      <sheetName val="SYSTEMS"/>
      <sheetName val="1) COMMON FACILITIES"/>
      <sheetName val="TTDZ22"/>
      <sheetName val="ESI"/>
      <sheetName val="MI-7689A SWC M"/>
      <sheetName val="達成729"/>
      <sheetName val="Scraps"/>
      <sheetName val="98FORECAST (1)"/>
      <sheetName val="CTC"/>
      <sheetName val="SRP FH"/>
      <sheetName val="x"/>
      <sheetName val="DETAIL"/>
      <sheetName val="States"/>
      <sheetName val="All Centres (2)"/>
      <sheetName val="Validation Sheet"/>
      <sheetName val="ServCo BS-Consolidated"/>
      <sheetName val="Assmp summary"/>
      <sheetName val="ServCo CF-Consolidated"/>
      <sheetName val="ServCo-FA-New Schools"/>
      <sheetName val="Plan"/>
      <sheetName val="Allocation Key &amp; Definitions"/>
      <sheetName val="Supervisor Numbers"/>
      <sheetName val="Summary AC Paper"/>
      <sheetName val="Data lists"/>
      <sheetName val="Drop down lists"/>
      <sheetName val="2016 Draft Budget Summary"/>
      <sheetName val="LOC"/>
      <sheetName val="Input-Detailed Financials"/>
      <sheetName val="Proj Level Temp"/>
      <sheetName val="Investment Type"/>
      <sheetName val="3. Input-Detailed Financials"/>
      <sheetName val="XR"/>
      <sheetName val="Campus wise summary"/>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sheetData sheetId="62"/>
      <sheetData sheetId="63"/>
      <sheetData sheetId="64"/>
      <sheetData sheetId="65"/>
      <sheetData sheetId="66"/>
      <sheetData sheetId="67"/>
      <sheetData sheetId="68"/>
      <sheetData sheetId="69"/>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refreshError="1"/>
      <sheetData sheetId="291" refreshError="1"/>
      <sheetData sheetId="292" refreshError="1"/>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sheetData sheetId="333"/>
      <sheetData sheetId="334"/>
      <sheetData sheetId="335"/>
      <sheetData sheetId="336"/>
      <sheetData sheetId="337"/>
      <sheetData sheetId="338" refreshError="1"/>
      <sheetData sheetId="339"/>
      <sheetData sheetId="340"/>
      <sheetData sheetId="341"/>
      <sheetData sheetId="342" refreshError="1"/>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efreshError="1"/>
      <sheetData sheetId="360" refreshError="1"/>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sheetData sheetId="482" refreshError="1"/>
      <sheetData sheetId="483" refreshError="1"/>
      <sheetData sheetId="484" refreshError="1"/>
      <sheetData sheetId="485" refreshError="1"/>
      <sheetData sheetId="486" refreshError="1"/>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Working"/>
      <sheetName val="Graph"/>
      <sheetName val="Sales"/>
    </sheetNames>
    <sheetDataSet>
      <sheetData sheetId="0" refreshError="1"/>
      <sheetData sheetId="1" refreshError="1"/>
      <sheetData sheetId="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sheetName val="ASSETS (2)"/>
      <sheetName val="COM"/>
      <sheetName val="COC"/>
      <sheetName val="TIS"/>
      <sheetName val="RLE"/>
      <sheetName val="7000 ACC LANDSCAPE"/>
      <sheetName val="7000 ACCT12-97  1-98"/>
      <sheetName val="Set-up"/>
      <sheetName val="Property Info"/>
      <sheetName val="110910 RR"/>
      <sheetName val="HE Origination"/>
      <sheetName val="Debt Summary  11"/>
      <sheetName val="Dump"/>
      <sheetName val="JUL98.XLS"/>
      <sheetName val="JUL98"/>
      <sheetName val="Debt Sum"/>
      <sheetName val="CBRE Cashflow"/>
      <sheetName val="Cash Flow Working"/>
      <sheetName val="ASSETS_(2)"/>
      <sheetName val="7000_ACC_LANDSCAPE"/>
      <sheetName val="7000_ACCT12-97__1-98"/>
      <sheetName val="Property_Info"/>
      <sheetName val="110910_RR"/>
      <sheetName val="HE_Origination"/>
      <sheetName val="Debt_Summary__11"/>
      <sheetName val="JUL98_XLS"/>
      <sheetName val="Debt_Sum"/>
      <sheetName val="CBRE_Cashflow"/>
      <sheetName val="Cash_Flow_Working"/>
      <sheetName val="Campus wise summary"/>
      <sheetName val="Quantity"/>
    </sheetNames>
    <sheetDataSet>
      <sheetData sheetId="0" refreshError="1"/>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TITLES"/>
      <sheetName val="FLASH"/>
      <sheetName val="EFR "/>
      <sheetName val="PROFIT-PERF"/>
      <sheetName val="PVA"/>
      <sheetName val="BS"/>
      <sheetName val="C-FLOW"/>
      <sheetName val="CASHFLOW"/>
      <sheetName val="ASSET-WK"/>
      <sheetName val="ASSET-UT"/>
      <sheetName val="RECEIVABLES"/>
      <sheetName val="INVENTORY"/>
      <sheetName val="DISTRICT PRO"/>
      <sheetName val="OVERHEAD"/>
      <sheetName val="PERF"/>
      <sheetName val="EXP"/>
      <sheetName val="OHVAR"/>
      <sheetName val="OT"/>
      <sheetName val="FACTORY"/>
      <sheetName val="PRODN"/>
      <sheetName val="MANPOWER"/>
      <sheetName val="AFE"/>
      <sheetName val="VAR"/>
      <sheetName val="ASSETS"/>
      <sheetName val="Supporting Settings"/>
      <sheetName val="EFR_"/>
      <sheetName val="DISTRICT_PRO"/>
      <sheetName val="Supporting_Settings"/>
      <sheetName val="DEP99"/>
      <sheetName val="BAW(D)"/>
      <sheetName val="15121005"/>
      <sheetName val="15211005"/>
      <sheetName val="Chiet tinh"/>
      <sheetName val="Goodluck"/>
      <sheetName val="OH-SUM"/>
      <sheetName val="2005"/>
      <sheetName val="CONTROL"/>
      <sheetName val="Links"/>
      <sheetName val="adp-budget"/>
      <sheetName val="JAN"/>
      <sheetName val="Sheet1"/>
      <sheetName val="B&amp;S31-03-04"/>
      <sheetName val="Cover"/>
      <sheetName val="OPR-OCT"/>
      <sheetName val="PROD GRAPH"/>
      <sheetName val="#REF"/>
      <sheetName val="Kontensalden"/>
      <sheetName val="form26"/>
      <sheetName val="CON"/>
      <sheetName val="90-120"/>
      <sheetName val="90_120"/>
      <sheetName val="FINSUM"/>
      <sheetName val="11-INV"/>
      <sheetName val="4-PVA2"/>
      <sheetName val="3-PVA"/>
      <sheetName val="KHSX"/>
      <sheetName val="Comp equip"/>
      <sheetName val="Mach &amp; equip"/>
      <sheetName val="Building"/>
      <sheetName val="FFE"/>
      <sheetName val="MV"/>
      <sheetName val="Freezers"/>
      <sheetName val="Power &amp; Fuel (S)"/>
      <sheetName val="RPK TB"/>
      <sheetName val="Data"/>
      <sheetName val="Lead"/>
      <sheetName val="SALES-VAL"/>
      <sheetName val="data 3A|6A"/>
      <sheetName val="98FORECAST (1)"/>
      <sheetName val="P&amp;L"/>
      <sheetName val="Fund Flow"/>
      <sheetName val="Wor Cap"/>
      <sheetName val="Bal Sht"/>
      <sheetName val="C &amp; G RHS"/>
      <sheetName val="19-PERF"/>
      <sheetName val="Q2 YTD OG Sales Analysis"/>
      <sheetName val="PointNo.5"/>
      <sheetName val="contact_history_table"/>
      <sheetName val="TB_9_01"/>
      <sheetName val="Assumptions"/>
      <sheetName val="Stock"/>
      <sheetName val="Masters"/>
      <sheetName val="EXPENSES"/>
      <sheetName val="EFR_1"/>
      <sheetName val="DISTRICT_PRO1"/>
      <sheetName val="Supporting_Settings1"/>
      <sheetName val="Chiet_tinh"/>
      <sheetName val="PROD_GRAPH"/>
      <sheetName val="Comp_equip"/>
      <sheetName val="Mach_&amp;_equip"/>
      <sheetName val="Power_&amp;_Fuel_(S)"/>
      <sheetName val="RPK_TB"/>
      <sheetName val="DEPN"/>
      <sheetName val="CF"/>
      <sheetName val="BS JUL"/>
      <sheetName val="TEL LINE INCENTIVES"/>
      <sheetName val="其他"/>
      <sheetName val="Q2_YTD_OG_Sales_Analysis"/>
      <sheetName val="data_3A|6A"/>
      <sheetName val="handover290702"/>
      <sheetName val="MODEL"/>
      <sheetName val="Sheet4"/>
      <sheetName val="Campus wise summary"/>
      <sheetName val="Summary"/>
      <sheetName val="Setup"/>
      <sheetName val="A"/>
      <sheetName val="SAP jan"/>
      <sheetName val="PROD_GRAPH1"/>
      <sheetName val="Comp_equip1"/>
      <sheetName val="Mach_&amp;_equip1"/>
      <sheetName val="Power_&amp;_Fuel_(S)1"/>
      <sheetName val="Other cost"/>
      <sheetName val="5 - CITICORP"/>
      <sheetName val="Comps"/>
      <sheetName val="DEPRECIATION"/>
      <sheetName val="INPUTMISC"/>
      <sheetName val="MAT calculation final"/>
      <sheetName val="details of brought forward dep "/>
      <sheetName val="operting "/>
      <sheetName val="ytd"/>
      <sheetName val="analyoperat"/>
      <sheetName val="purblresul"/>
      <sheetName val="published sheet"/>
      <sheetName val="earnshare"/>
      <sheetName val="pend ent"/>
      <sheetName val="Cash Flow"/>
      <sheetName val="Balance Sheet"/>
      <sheetName val="Profit &amp; Loss"/>
      <sheetName val="Schd 1-4"/>
      <sheetName val="Schd -5"/>
      <sheetName val="Schd 5 "/>
      <sheetName val="Schd 6-9"/>
      <sheetName val="Schd 10-12"/>
      <sheetName val="Schd 13-15"/>
      <sheetName val="Schd 16-18"/>
      <sheetName val="subschp&amp;l"/>
      <sheetName val="subschbs"/>
      <sheetName val="adjustments"/>
      <sheetName val="prior period"/>
      <sheetName val="furn&amp;diesel"/>
      <sheetName val="s&amp;Cconsump"/>
      <sheetName val="julytojun'08"/>
      <sheetName val="to nov cons'07"/>
      <sheetName val="consudec'07"/>
      <sheetName val="consumption"/>
      <sheetName val="fifo"/>
      <sheetName val="consumjan12.02.08"/>
      <sheetName val="consumjune'08"/>
      <sheetName val="consum jan'08"/>
      <sheetName val="Sheet2"/>
      <sheetName val="Sheet3"/>
      <sheetName val="consanaly"/>
      <sheetName val="HBI NCD"/>
      <sheetName val="1-OBJ98 "/>
      <sheetName val="TB Jan-Dec96"/>
      <sheetName val="Managerial Remuneration-Dec96"/>
      <sheetName val="BS&amp;PL_DEC96"/>
      <sheetName val="Parameter"/>
      <sheetName val="S 15_22"/>
      <sheetName val="Sub-Grouping"/>
      <sheetName val="p&amp;l,bs div-wise"/>
      <sheetName val="M00100"/>
      <sheetName val="全社"/>
      <sheetName val="TB Bgl"/>
      <sheetName val="TB Goa"/>
      <sheetName val="Push Diag on Premise"/>
      <sheetName val="CChannel Attract Input"/>
      <sheetName val="FStratPlan"/>
      <sheetName val="TOTAL"/>
      <sheetName val="Financials"/>
      <sheetName val="Lakshmi GF"/>
      <sheetName val="CITICORP"/>
      <sheetName val="HDFC"/>
      <sheetName val="KOTAK"/>
      <sheetName val="L_PM"/>
      <sheetName val="grp "/>
      <sheetName val="TB2003_04"/>
      <sheetName val="Basic_Information"/>
      <sheetName val="KEY INPUTS"/>
      <sheetName val="master"/>
      <sheetName val="TB Jan-DEC97"/>
      <sheetName val="BS&amp;PL_97"/>
      <sheetName val="2002"/>
      <sheetName val="INVTREND"/>
      <sheetName val="KRRP"/>
      <sheetName val="KRRPC"/>
      <sheetName val="Costing"/>
      <sheetName val="Trial Balance - MARCH 2006"/>
      <sheetName val="EURO -  FRANCS"/>
      <sheetName val="コスト"/>
      <sheetName val="Assmp"/>
      <sheetName val="Maint Def Rev 03_04"/>
      <sheetName val="New_Growth Def Rev 03_04"/>
      <sheetName val="Perpetual Def Rev 03_04"/>
      <sheetName val="Renewal Def Rev 03_04"/>
      <sheetName val="Segment data"/>
      <sheetName val=" FG VALUATION"/>
      <sheetName val="MAT GRAPH"/>
      <sheetName val="1-8"/>
      <sheetName val="PVMCTC"/>
      <sheetName val="30.09.00"/>
      <sheetName val="NOTES"/>
      <sheetName val="Register"/>
      <sheetName val="C_&amp;_G_RHS"/>
      <sheetName val="PointNo_5"/>
      <sheetName val="5_-_CITICORP"/>
      <sheetName val="BS_JUL"/>
      <sheetName val="EXP LINE"/>
      <sheetName val="DATA 91-98"/>
      <sheetName val="Forecast %"/>
      <sheetName val="Factors"/>
      <sheetName val="Scenarios"/>
      <sheetName val="Penetration Curve"/>
      <sheetName val="Technology"/>
      <sheetName val="a soga JAK"/>
      <sheetName val="soga JAK"/>
      <sheetName val="a soga JABO"/>
      <sheetName val="a soga BOT"/>
      <sheetName val="soga JABO"/>
      <sheetName val="soga BOT"/>
      <sheetName val="a sso JAK"/>
      <sheetName val="sso JAK"/>
      <sheetName val="a sso JABO"/>
      <sheetName val="a sso BOT"/>
      <sheetName val="sso JABO"/>
      <sheetName val="sso BOT"/>
      <sheetName val="a vlr JAK"/>
      <sheetName val="vlr JAK"/>
      <sheetName val="a vlr JABO"/>
      <sheetName val="a vlr BOT"/>
      <sheetName val="vlr JABO"/>
      <sheetName val="vlr BOT"/>
      <sheetName val="a rgu ga JAK"/>
      <sheetName val="rgu ga JAK"/>
      <sheetName val="a rgu ga JABO"/>
      <sheetName val="a rgu ga BOT"/>
      <sheetName val="rgu ga JABO"/>
      <sheetName val="rgu ga BOT"/>
      <sheetName val="a rev JAK"/>
      <sheetName val="rev JAK"/>
      <sheetName val="a rev BOT"/>
      <sheetName val="rev JABO"/>
      <sheetName val="rev BOT"/>
      <sheetName val="DETAIL ALL"/>
      <sheetName val="jbro"/>
      <sheetName val="CARRY OVER JBRO"/>
      <sheetName val="GAP JABO"/>
      <sheetName val="GAP BOT"/>
      <sheetName val="GAP JAK"/>
      <sheetName val="LOWSITE JBRO"/>
      <sheetName val="WS_KONSOL"/>
      <sheetName val="xxdata"/>
      <sheetName val="Simple Coff."/>
      <sheetName val="lap_mar2004"/>
      <sheetName val="ServCo BS-Consolidated"/>
      <sheetName val="Assmp summary"/>
      <sheetName val="ServCo CF-Consolidated"/>
      <sheetName val="ServCo-FA-New Schools"/>
      <sheetName val="Cash Flow Work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P-2002"/>
      <sheetName val="MIT31.03.2002"/>
      <sheetName val="Sheet1"/>
      <sheetName val="MIT30.09.2001"/>
      <sheetName val="Sheet2"/>
      <sheetName val="SHOWA31032001"/>
      <sheetName val="EXCH DIFF 00-01"/>
      <sheetName val="Q022"/>
      <sheetName val="CASH REMMITTANCE"/>
      <sheetName val="SHOWA31032000"/>
      <sheetName val="IMPSPARES CAPTALISED"/>
      <sheetName val="SHOWA13206"/>
      <sheetName val="FWD31032001"/>
      <sheetName val="MIT31.03.2001"/>
      <sheetName val="LC OUTSTANDING"/>
      <sheetName val="INT ACC"/>
      <sheetName val="SALES"/>
      <sheetName val="MIT31_03_2002"/>
      <sheetName val="MIT30_09_2001"/>
      <sheetName val="EXCH_DIFF_00-01"/>
      <sheetName val="CASH_REMMITTANCE"/>
      <sheetName val="IMPSPARES_CAPTALISED"/>
      <sheetName val="MIT31_03_2001"/>
      <sheetName val="LC_OUTSTANDING"/>
      <sheetName val="INT_ACC"/>
      <sheetName val="MIT31_03_20021"/>
      <sheetName val="MIT30_09_20011"/>
      <sheetName val="EXCH_DIFF_00-011"/>
      <sheetName val="CASH_REMMITTANCE1"/>
      <sheetName val="IMPSPARES_CAPTALISED1"/>
      <sheetName val="MIT31_03_20011"/>
      <sheetName val="LC_OUTSTANDING1"/>
      <sheetName val="INT_ACC1"/>
      <sheetName val="智齿-UD人效对比分析"/>
      <sheetName val="Data Summary"/>
      <sheetName val="ClientLookupValues"/>
      <sheetName val="#REF"/>
      <sheetName val="Forecast %"/>
      <sheetName val="Cash Flow Working"/>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MAR"/>
      <sheetName val="results"/>
      <sheetName val="Sheet1"/>
      <sheetName val="REPAYMENT"/>
      <sheetName val="LC"/>
      <sheetName val="OLD-WORKING"/>
      <sheetName val="CMA-2004"/>
      <sheetName val="CMA-2004 (2)"/>
      <sheetName val="working"/>
      <sheetName val="Assumptions"/>
      <sheetName val="Company DEP "/>
      <sheetName val="DSCR Combined"/>
      <sheetName val="DGP-2002"/>
      <sheetName val="DCF"/>
      <sheetName val="schedules"/>
      <sheetName val="Summary"/>
      <sheetName val="CMA-2004_(2)"/>
      <sheetName val="Company_DEP_"/>
      <sheetName val="DSCR_Combined"/>
      <sheetName val="CMA-2004_(2)1"/>
      <sheetName val="Company_DEP_1"/>
      <sheetName val="DSCR_Combined1"/>
      <sheetName val="P&amp;L Core - M"/>
      <sheetName val="P&amp;L Core - Q &amp; FY"/>
      <sheetName val="General"/>
      <sheetName val="Trading Statement"/>
      <sheetName val="A"/>
      <sheetName val="outsourcing b-s"/>
      <sheetName val="Ex-Rate"/>
      <sheetName val="1997"/>
      <sheetName val="bs"/>
      <sheetName val="GROUPING"/>
      <sheetName val="Quantity"/>
      <sheetName val="ASSETS"/>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 &amp; Fuel(new)"/>
      <sheetName val="Basic Assumption (EN)"/>
      <sheetName val="Basic Assumption (EK))"/>
      <sheetName val="Cost of Production (EN)"/>
      <sheetName val="Cost of Production (K)"/>
      <sheetName val="Raw Materials (EN)"/>
      <sheetName val="Raw Materials (K)"/>
      <sheetName val="Power &amp; Fuel(EN)"/>
      <sheetName val="Power &amp; Fuel(K))"/>
      <sheetName val="Sales (EN)"/>
      <sheetName val="Sales (K))"/>
      <sheetName val="Working Results (CE)"/>
      <sheetName val="Term Loan (CE)"/>
      <sheetName val="Income Tax (CE)"/>
      <sheetName val="Working Capital (CE)"/>
      <sheetName val="DEP-WDV"/>
      <sheetName val="DEP-IT"/>
      <sheetName val="DEF-TAX"/>
      <sheetName val="Cash Flow (CE)"/>
      <sheetName val="CAS Operating Statement (CE)"/>
      <sheetName val="CAS Balance Sheet (CE)"/>
      <sheetName val="CA &amp; CL (CE)"/>
      <sheetName val="MPBF (CE)"/>
      <sheetName val="CAS Fund Flow (CE)"/>
      <sheetName val="Table Of Contents(new)"/>
      <sheetName val="Basic Assumption(new)"/>
      <sheetName val="Cost &amp; Means(new)"/>
      <sheetName val="Land &amp; Site Development(new)"/>
      <sheetName val="Civil Const.(new)"/>
      <sheetName val="Plant &amp; Machinery(new)"/>
      <sheetName val="Miscellaneous(new)"/>
      <sheetName val="Contingencies(new)"/>
      <sheetName val="Preliminary &amp; preoperative(new)"/>
      <sheetName val="Working Capital(new)"/>
      <sheetName val="Cost of Production(new)"/>
      <sheetName val="Raw Materials(new)"/>
      <sheetName val="Salary &amp; Wages(new)"/>
      <sheetName val="Factory Overheads(new)"/>
      <sheetName val="Power Plant aasumption(new)"/>
      <sheetName val="Depreciation(new)"/>
      <sheetName val="Working Results(new)"/>
      <sheetName val="Sales(new)"/>
      <sheetName val="Term Loan(new)"/>
      <sheetName val="Income Tax(new)"/>
      <sheetName val="Cash Flow(new)"/>
      <sheetName val="Balance Sheet(new)"/>
      <sheetName val="Internal Rate(new)"/>
      <sheetName val="DSCR(new)"/>
      <sheetName val="Break Even(new)"/>
      <sheetName val="Sensitivity(new)"/>
      <sheetName val="CAS Operating Statement(new)"/>
      <sheetName val="CA &amp; CL(new)"/>
      <sheetName val="CAS Balance Sheet(new)"/>
      <sheetName val="MPBF(new)"/>
      <sheetName val="CAS Fund Flow(new)"/>
      <sheetName val="CAS Operating Statement (CAW)"/>
      <sheetName val="CA &amp; CL (CAW)"/>
      <sheetName val="CAS Balance Sheet (CAW)"/>
      <sheetName val="MPBF (CAW)"/>
      <sheetName val="CAS Fund Flow (CAW)"/>
      <sheetName val="DSCR(CAW)"/>
      <sheetName val="Parameters"/>
      <sheetName val="Assistance"/>
      <sheetName val="Sheet1"/>
      <sheetName val="KISSAN"/>
      <sheetName val="CAUSTIC"/>
      <sheetName val="Proforma"/>
      <sheetName val="COSTMAR"/>
      <sheetName val="Basic_Assumption_(EN)"/>
      <sheetName val="Basic_Assumption_(EK))"/>
      <sheetName val="Cost_of_Production_(EN)"/>
      <sheetName val="Cost_of_Production_(K)"/>
      <sheetName val="Raw_Materials_(EN)"/>
      <sheetName val="Raw_Materials_(K)"/>
      <sheetName val="Power_&amp;_Fuel(EN)"/>
      <sheetName val="Power_&amp;_Fuel(K))"/>
      <sheetName val="Sales_(EN)"/>
      <sheetName val="Sales_(K))"/>
      <sheetName val="Working_Results_(CE)"/>
      <sheetName val="Term_Loan_(CE)"/>
      <sheetName val="Income_Tax_(CE)"/>
      <sheetName val="Working_Capital_(CE)"/>
      <sheetName val="Cash_Flow_(CE)"/>
      <sheetName val="CAS_Operating_Statement_(CE)"/>
      <sheetName val="CAS_Balance_Sheet_(CE)"/>
      <sheetName val="CA_&amp;_CL_(CE)"/>
      <sheetName val="MPBF_(CE)"/>
      <sheetName val="CAS_Fund_Flow_(CE)"/>
      <sheetName val="Table_Of_Contents(new)"/>
      <sheetName val="Basic_Assumption(new)"/>
      <sheetName val="Cost_&amp;_Means(new)"/>
      <sheetName val="Land_&amp;_Site_Development(new)"/>
      <sheetName val="Civil_Const_(new)"/>
      <sheetName val="Plant_&amp;_Machinery(new)"/>
      <sheetName val="Preliminary_&amp;_preoperative(new)"/>
      <sheetName val="Working_Capital(new)"/>
      <sheetName val="Cost_of_Production(new)"/>
      <sheetName val="Raw_Materials(new)"/>
      <sheetName val="Salary_&amp;_Wages(new)"/>
      <sheetName val="Factory_Overheads(new)"/>
      <sheetName val="Power_Plant_aasumption(new)"/>
      <sheetName val="Power_&amp;_Fuel(new)"/>
      <sheetName val="Working_Results(new)"/>
      <sheetName val="Term_Loan(new)"/>
      <sheetName val="Income_Tax(new)"/>
      <sheetName val="Cash_Flow(new)"/>
      <sheetName val="Balance_Sheet(new)"/>
      <sheetName val="Internal_Rate(new)"/>
      <sheetName val="Break_Even(new)"/>
      <sheetName val="CAS_Operating_Statement(new)"/>
      <sheetName val="CA_&amp;_CL(new)"/>
      <sheetName val="CAS_Balance_Sheet(new)"/>
      <sheetName val="CAS_Fund_Flow(new)"/>
      <sheetName val="CAS_Operating_Statement_(CAW)"/>
      <sheetName val="CA_&amp;_CL_(CAW)"/>
      <sheetName val="CAS_Balance_Sheet_(CAW)"/>
      <sheetName val="MPBF_(CAW)"/>
      <sheetName val="CAS_Fund_Flow_(CAW)"/>
      <sheetName val="BS"/>
      <sheetName val="U1BS2000.WK4"/>
      <sheetName val="Basic_Assumption_(EN)1"/>
      <sheetName val="Basic_Assumption_(EK))1"/>
      <sheetName val="Cost_of_Production_(EN)1"/>
      <sheetName val="Cost_of_Production_(K)1"/>
      <sheetName val="Raw_Materials_(EN)1"/>
      <sheetName val="Raw_Materials_(K)1"/>
      <sheetName val="Power_&amp;_Fuel(EN)1"/>
      <sheetName val="Power_&amp;_Fuel(K))1"/>
      <sheetName val="Sales_(EN)1"/>
      <sheetName val="Sales_(K))1"/>
      <sheetName val="Working_Results_(CE)1"/>
      <sheetName val="Term_Loan_(CE)1"/>
      <sheetName val="Income_Tax_(CE)1"/>
      <sheetName val="Working_Capital_(CE)1"/>
      <sheetName val="Cash_Flow_(CE)1"/>
      <sheetName val="CAS_Operating_Statement_(CE)1"/>
      <sheetName val="CAS_Balance_Sheet_(CE)1"/>
      <sheetName val="CA_&amp;_CL_(CE)1"/>
      <sheetName val="MPBF_(CE)1"/>
      <sheetName val="CAS_Fund_Flow_(CE)1"/>
      <sheetName val="Table_Of_Contents(new)1"/>
      <sheetName val="Basic_Assumption(new)1"/>
      <sheetName val="Cost_&amp;_Means(new)1"/>
      <sheetName val="Land_&amp;_Site_Development(new)1"/>
      <sheetName val="Civil_Const_(new)1"/>
      <sheetName val="Plant_&amp;_Machinery(new)1"/>
      <sheetName val="Preliminary_&amp;_preoperative(new1"/>
      <sheetName val="Working_Capital(new)1"/>
      <sheetName val="Cost_of_Production(new)1"/>
      <sheetName val="Raw_Materials(new)1"/>
      <sheetName val="Salary_&amp;_Wages(new)1"/>
      <sheetName val="Factory_Overheads(new)1"/>
      <sheetName val="Power_Plant_aasumption(new)1"/>
      <sheetName val="Power_&amp;_Fuel(new)1"/>
      <sheetName val="Working_Results(new)1"/>
      <sheetName val="Term_Loan(new)1"/>
      <sheetName val="Income_Tax(new)1"/>
      <sheetName val="Cash_Flow(new)1"/>
      <sheetName val="Balance_Sheet(new)1"/>
      <sheetName val="Internal_Rate(new)1"/>
      <sheetName val="Break_Even(new)1"/>
      <sheetName val="CAS_Operating_Statement(new)1"/>
      <sheetName val="CA_&amp;_CL(new)1"/>
      <sheetName val="CAS_Balance_Sheet(new)1"/>
      <sheetName val="CAS_Fund_Flow(new)1"/>
      <sheetName val="CAS_Operating_Statement_(CAW)1"/>
      <sheetName val="CA_&amp;_CL_(CAW)1"/>
      <sheetName val="CAS_Balance_Sheet_(CAW)1"/>
      <sheetName val="MPBF_(CAW)1"/>
      <sheetName val="CAS_Fund_Flow_(CAW)1"/>
      <sheetName val="U1BS2000_WK4"/>
      <sheetName val="SCRHill"/>
      <sheetName val="SCRKing"/>
      <sheetName val="IS"/>
      <sheetName val="Consolidated"/>
      <sheetName val="Intl def"/>
      <sheetName val="P&amp;L"/>
      <sheetName val="Data"/>
      <sheetName val="Nov"/>
      <sheetName val="MRS"/>
      <sheetName val="IS - 2005"/>
      <sheetName val="BS - 2005"/>
      <sheetName val="Cash Flow Working"/>
      <sheetName val="Masterlxl"/>
      <sheetName val="SALE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W"/>
      <sheetName val="SUMMARY"/>
      <sheetName val="ISBL"/>
      <sheetName val="OSBL"/>
      <sheetName val="EW"/>
      <sheetName val="TOWNSHIP"/>
      <sheetName val="FREE"/>
      <sheetName val="Sheet2"/>
      <sheetName val="Sheet1"/>
      <sheetName val="PROC"/>
      <sheetName val="ADMN."/>
      <sheetName val="CASHFLOW"/>
      <sheetName val="COMP"/>
      <sheetName val="HBI NCD"/>
      <sheetName val="Assumptions"/>
      <sheetName val="XLR_NoRangeSheet"/>
      <sheetName val="Model"/>
      <sheetName val="08 All Comp-BOOK"/>
      <sheetName val="ADMN_"/>
      <sheetName val="HBI_NCD"/>
      <sheetName val="08_All_Comp-BOOK"/>
      <sheetName val="ADMN_1"/>
      <sheetName val="HBI_NCD1"/>
      <sheetName val="08_All_Comp-BOOK1"/>
      <sheetName val="General"/>
      <sheetName val="SALES"/>
      <sheetName val="IOControl"/>
      <sheetName val="COSTMAR"/>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SIG_LANGUE"/>
      <sheetName val="SIG_VOCABLE"/>
      <sheetName val="INCOME STATEMENT"/>
      <sheetName val="ADDITIONAL INFO"/>
      <sheetName val="GROSS VALUE FIXED ASSETS"/>
      <sheetName val="FIXED ASSETS DEPRECIATION"/>
      <sheetName val="CURRENT ASSETS DEPRECIATION"/>
      <sheetName val=" PROVISIONS"/>
      <sheetName val="GT_Custom"/>
      <sheetName val="ACC_MGT_311205_V3"/>
      <sheetName val="PGW"/>
      <sheetName val="TOP 10 CUST (L)"/>
      <sheetName val="INCOME_STATEMENT"/>
      <sheetName val="BALANCE_SHEET"/>
      <sheetName val="ADDITIONAL_INFO"/>
      <sheetName val="GROSS_VALUE_FIXED_ASSETS"/>
      <sheetName val="FIXED_ASSETS_DEPRECIATION"/>
      <sheetName val="CURRENT_ASSETS_DEPRECIATION"/>
      <sheetName val="_PROVISIONS"/>
      <sheetName val="TOP_10_CUST_(L)"/>
      <sheetName val="INCOME_STATEMENT1"/>
      <sheetName val="BALANCE_SHEET1"/>
      <sheetName val="ADDITIONAL_INFO1"/>
      <sheetName val="GROSS_VALUE_FIXED_ASSETS1"/>
      <sheetName val="FIXED_ASSETS_DEPRECIATION1"/>
      <sheetName val="CURRENT_ASSETS_DEPRECIATION1"/>
      <sheetName val="_PROVISIONS1"/>
      <sheetName val="TOP_10_CUST_(L)1"/>
      <sheetName val="ER10_Old"/>
      <sheetName val="Occ"/>
      <sheetName val="Input_Operating"/>
      <sheetName val="DGP-2002"/>
      <sheetName val="Adjustments"/>
      <sheetName val="Power &amp; Fuel(new)"/>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SIG_LANGUE"/>
      <sheetName val="SIG_VOCABLE"/>
      <sheetName val="INCOME STATEMENT"/>
      <sheetName val="ADDITIONAL INFO"/>
      <sheetName val="GROSS VALUE FIXED ASSETS"/>
      <sheetName val="FIXED ASSETS DEPRECIATION"/>
      <sheetName val="CURRENT ASSETS DEPRECIATION"/>
      <sheetName val="RISKS AND CHARGES PROVISIONS"/>
      <sheetName val="INCOME_STATEMENT"/>
      <sheetName val="BALANCE_SHEET"/>
      <sheetName val="ADDITIONAL_INFO"/>
      <sheetName val="GROSS_VALUE_FIXED_ASSETS"/>
      <sheetName val="FIXED_ASSETS_DEPRECIATION"/>
      <sheetName val="CURRENT_ASSETS_DEPRECIATION"/>
      <sheetName val="RISKS_AND_CHARGES_PROVISIONS"/>
      <sheetName val="INCOME_STATEMENT1"/>
      <sheetName val="BALANCE_SHEET1"/>
      <sheetName val="ADDITIONAL_INFO1"/>
      <sheetName val="GROSS_VALUE_FIXED_ASSETS1"/>
      <sheetName val="FIXED_ASSETS_DEPRECIATION1"/>
      <sheetName val="CURRENT_ASSETS_DEPRECIATION1"/>
      <sheetName val="RISKS_AND_CHARGES_PROVISIONS1"/>
      <sheetName val="PGW"/>
      <sheetName val="COSTMAR"/>
      <sheetName val="SCRHill"/>
      <sheetName val="XLR_NoRangeSheet"/>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I"/>
      <sheetName val="Tabelle1"/>
      <sheetName val="UM"/>
      <sheetName val="UHG"/>
      <sheetName val="UA"/>
      <sheetName val="AAG"/>
      <sheetName val="UIT"/>
      <sheetName val="P&amp;L 2004- ALL"/>
      <sheetName val="BALANCE SHEET"/>
      <sheetName val="P&amp;L_2004-_ALL"/>
      <sheetName val="BALANCE_SHEET"/>
      <sheetName val="P&amp;L_2004-_ALL1"/>
      <sheetName val="BALANCE_SHEET1"/>
      <sheetName val="XREF"/>
      <sheetName val="Fixed asset register"/>
      <sheetName val="Power &amp; Fuel(new)"/>
      <sheetName val="PG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less"/>
      <sheetName val="Cust List"/>
      <sheetName val="TELEWEST"/>
      <sheetName val="PRIMACOM"/>
      <sheetName val="COMCAST"/>
      <sheetName val="TELE2"/>
      <sheetName val="Sheet1"/>
      <sheetName val="Sheet2"/>
      <sheetName val="Sheet3"/>
      <sheetName val="RU info matrix"/>
      <sheetName val="BEV"/>
      <sheetName val="Index"/>
      <sheetName val="Country premiums"/>
      <sheetName val="COBI"/>
      <sheetName val="External"/>
      <sheetName val="Below EBITDA"/>
      <sheetName val="BR IRL CR P&amp;L"/>
      <sheetName val="Bal Sheet"/>
      <sheetName val="BS P&amp;L"/>
      <sheetName val="CS P&amp;L"/>
      <sheetName val="HM P&amp;L"/>
      <sheetName val="HM Phased"/>
      <sheetName val="IT P&amp;L"/>
      <sheetName val="Wholesale"/>
      <sheetName val="NW P&amp;L"/>
      <sheetName val="Opex Divs"/>
      <sheetName val="P&amp;L Divs"/>
      <sheetName val="Phased"/>
      <sheetName val="Non recurring"/>
      <sheetName val="Control Sheet"/>
      <sheetName val="Control"/>
      <sheetName val="LBO"/>
      <sheetName val="Projections"/>
      <sheetName val="Sale_Division"/>
      <sheetName val="Inputs"/>
      <sheetName val="Days summary"/>
      <sheetName val="Legal Entity and Accountant"/>
      <sheetName val="by dept"/>
      <sheetName val="MEX95IB"/>
      <sheetName val="Table000208"/>
      <sheetName val="Trans Type"/>
      <sheetName val="Data"/>
      <sheetName val="Feeder for Fixed BN"/>
      <sheetName val="Feeder for Fixed Corporate2014"/>
      <sheetName val="Feeder for Fixed SME2014"/>
      <sheetName val="Feeder for Fixed Dealer2014"/>
      <sheetName val="Feeder for Fixed SMB2014"/>
      <sheetName val="Feeder for Fixed Operator2014"/>
      <sheetName val="Feeder for Fixed SI2014 "/>
      <sheetName val="Product feed"/>
      <sheetName val="Firmen"/>
      <sheetName val="Revenue at Risk"/>
      <sheetName val="Sum"/>
      <sheetName val="Apr09 BS"/>
      <sheetName val="Cust_List"/>
      <sheetName val="RU_info_matrix"/>
      <sheetName val="Country_premiums"/>
      <sheetName val="Below_EBITDA"/>
      <sheetName val="BR_IRL_CR_P&amp;L"/>
      <sheetName val="Bal_Sheet"/>
      <sheetName val="BS_P&amp;L"/>
      <sheetName val="CS_P&amp;L"/>
      <sheetName val="HM_P&amp;L"/>
      <sheetName val="HM_Phased"/>
      <sheetName val="IT_P&amp;L"/>
      <sheetName val="NW_P&amp;L"/>
      <sheetName val="Opex_Divs"/>
      <sheetName val="P&amp;L_Divs"/>
      <sheetName val="Non_recurring"/>
      <sheetName val="Control_Sheet"/>
      <sheetName val="Legal_Entity_and_Accountant"/>
      <sheetName val="Days_summary"/>
      <sheetName val="by_dept"/>
      <sheetName val="Trans_Type"/>
      <sheetName val="Feeder_for_Fixed_BN"/>
      <sheetName val="Feeder_for_Fixed_Corporate2014"/>
      <sheetName val="Feeder_for_Fixed_SME2014"/>
      <sheetName val="Feeder_for_Fixed_Dealer2014"/>
      <sheetName val="Feeder_for_Fixed_SMB2014"/>
      <sheetName val="Feeder_for_Fixed_Operator2014"/>
      <sheetName val="Feeder_for_Fixed_SI2014_"/>
      <sheetName val="Product_feed"/>
      <sheetName val="Categorization"/>
      <sheetName val="USI"/>
      <sheetName val="WV"/>
      <sheetName val="CSCCincSKR"/>
      <sheetName val="BusUnit_Mar15"/>
      <sheetName val="Drop down list"/>
      <sheetName val="P"/>
      <sheetName val="Combined Divisionals"/>
      <sheetName val="P&amp;L Tables For Report"/>
      <sheetName val="CHARTS for report"/>
      <sheetName val="SOP"/>
      <sheetName val="Support"/>
      <sheetName val="Lookup"/>
      <sheetName val="Input"/>
      <sheetName val="Key"/>
      <sheetName val="Lookups"/>
      <sheetName val="Drop-down Options"/>
      <sheetName val="Support_Tab"/>
      <sheetName val="CAPEX Smry"/>
      <sheetName val="CM"/>
      <sheetName val="Instalaciones"/>
      <sheetName val="Canibalizacion"/>
      <sheetName val="Churners"/>
      <sheetName val="Cuota"/>
      <sheetName val="Downgrades"/>
      <sheetName val="Upsells"/>
      <sheetName val="Upgrades"/>
      <sheetName val="Contents"/>
      <sheetName val="Target Alloc"/>
      <sheetName val="Event 1"/>
      <sheetName val="Event 2"/>
      <sheetName val="Event 3"/>
      <sheetName val="Event 4"/>
      <sheetName val="Event 5"/>
      <sheetName val="Event 5 Note"/>
      <sheetName val="List drop down"/>
      <sheetName val="TE"/>
      <sheetName val="Drop-down"/>
      <sheetName val="SASB categories"/>
      <sheetName val="Cust_List1"/>
      <sheetName val="RU_info_matrix1"/>
      <sheetName val="Country_premiums1"/>
      <sheetName val="Below_EBITDA1"/>
      <sheetName val="BR_IRL_CR_P&amp;L1"/>
      <sheetName val="Bal_Sheet1"/>
      <sheetName val="BS_P&amp;L1"/>
      <sheetName val="CS_P&amp;L1"/>
      <sheetName val="HM_P&amp;L1"/>
      <sheetName val="HM_Phased1"/>
      <sheetName val="IT_P&amp;L1"/>
      <sheetName val="NW_P&amp;L1"/>
      <sheetName val="Opex_Divs1"/>
      <sheetName val="P&amp;L_Divs1"/>
      <sheetName val="CAPEX_Smry"/>
      <sheetName val="Non_recurring1"/>
      <sheetName val="Control_Sheet1"/>
      <sheetName val="Legal_Entity_and_Accountant1"/>
      <sheetName val="Days_summary1"/>
      <sheetName val="by_dept1"/>
      <sheetName val="Trans_Type1"/>
      <sheetName val="Feeder_for_Fixed_BN1"/>
      <sheetName val="Feeder_for_Fixed_Corporate20141"/>
      <sheetName val="Feeder_for_Fixed_SME20141"/>
      <sheetName val="Feeder_for_Fixed_Dealer20141"/>
      <sheetName val="Feeder_for_Fixed_SMB20141"/>
      <sheetName val="Feeder_for_Fixed_Operator20141"/>
      <sheetName val="Feeder_for_Fixed_SI2014_1"/>
      <sheetName val="Product_feed1"/>
      <sheetName val="Revenue_at_Risk"/>
      <sheetName val="Apr09_BS"/>
      <sheetName val="Drop_down_list"/>
      <sheetName val="FX rates &amp; dropdown"/>
      <sheetName val="Status"/>
      <sheetName val="ÅRSAKER"/>
      <sheetName val="BIL"/>
      <sheetName val="Base table"/>
      <sheetName val="instructions"/>
      <sheetName val="Key Data"/>
      <sheetName val="Mapping tables &amp; FX"/>
      <sheetName val="Lists"/>
      <sheetName val="Listing data structure"/>
      <sheetName val="TÖRZS_STANDING DATA"/>
      <sheetName val="Settings"/>
      <sheetName val="EVA"/>
      <sheetName val="BS"/>
      <sheetName val="4. Equity"/>
      <sheetName val="BALANCE SHEET"/>
      <sheetName val="Cash Flow Fade"/>
      <sheetName val="DCF"/>
      <sheetName val="Parameters &amp; Results"/>
      <sheetName val="Chart Valuation"/>
      <sheetName val="Tableaux du Plan Affaire"/>
      <sheetName val="BRP"/>
      <sheetName val="03_LRP_Model_SCM_ALL"/>
      <sheetName val="Categories and Definitions"/>
      <sheetName val="Dropdowns"/>
      <sheetName val="5. FX"/>
      <sheetName val="Dropdown Menu"/>
      <sheetName val="Legend"/>
      <sheetName val="Cust_List2"/>
      <sheetName val="Power &amp; Fuel (S)"/>
      <sheetName val="PERIOD MIX"/>
      <sheetName val="YTD MIX"/>
      <sheetName val="Graphdata"/>
      <sheetName val="C. Servi"/>
      <sheetName val="Perf Summary"/>
      <sheetName val="Menu"/>
      <sheetName val="SG&amp;A - HR"/>
      <sheetName val="Input konsoll"/>
      <sheetName val="Summary"/>
      <sheetName val="Mapping"/>
      <sheetName val="P1 Summary"/>
      <sheetName val="Tables"/>
      <sheetName val="PL"/>
      <sheetName val="P&amp;L"/>
      <sheetName val="Dropdown"/>
      <sheetName val="Dropdown NEW"/>
      <sheetName val="Stock Chart"/>
      <sheetName val="Margins"/>
      <sheetName val="price v. semis v. us capex"/>
      <sheetName val="Tabellen"/>
      <sheetName val="JD Validation"/>
      <sheetName val="Summary &amp; Instructions"/>
      <sheetName val="Acquiror"/>
      <sheetName val="MAIN"/>
      <sheetName val="DIV INC"/>
      <sheetName val="DropZone"/>
      <sheetName val="Parameters"/>
      <sheetName val="Welcome"/>
      <sheetName val="US reconc"/>
      <sheetName val="Department&amp;CC"/>
      <sheetName val="Cover"/>
      <sheetName val="Sheet5"/>
      <sheetName val="DATA GRAFICAS"/>
      <sheetName val="Control Lists"/>
      <sheetName val="Exchange Rates"/>
      <sheetName val="RU_info_matrix2"/>
      <sheetName val="Country_premiums2"/>
      <sheetName val="Below_EBITDA2"/>
      <sheetName val="BR_IRL_CR_P&amp;L2"/>
      <sheetName val="Bal_Sheet2"/>
      <sheetName val="BS_P&amp;L2"/>
      <sheetName val="CS_P&amp;L2"/>
      <sheetName val="HM_P&amp;L2"/>
      <sheetName val="HM_Phased2"/>
      <sheetName val="IT_P&amp;L2"/>
      <sheetName val="NW_P&amp;L2"/>
      <sheetName val="Opex_Divs2"/>
      <sheetName val="P&amp;L_Divs2"/>
      <sheetName val="CAPEX_Smry1"/>
      <sheetName val="Non_recurring2"/>
      <sheetName val="Control_Sheet2"/>
      <sheetName val="Legal_Entity_and_Accountant2"/>
      <sheetName val="Days_summary2"/>
      <sheetName val="by_dept2"/>
      <sheetName val="Trans_Type2"/>
      <sheetName val="Feeder_for_Fixed_BN2"/>
      <sheetName val="Feeder_for_Fixed_Corporate20142"/>
      <sheetName val="Feeder_for_Fixed_SME20142"/>
      <sheetName val="Feeder_for_Fixed_Dealer20142"/>
      <sheetName val="Feeder_for_Fixed_SMB20142"/>
      <sheetName val="Feeder_for_Fixed_Operator20142"/>
      <sheetName val="Feeder_for_Fixed_SI2014_2"/>
      <sheetName val="Product_feed2"/>
      <sheetName val="Revenue_at_Risk1"/>
      <sheetName val="Apr09_BS1"/>
      <sheetName val="Drop_down_list1"/>
      <sheetName val="Combined_Divisionals"/>
      <sheetName val="P&amp;L_Tables_For_Report"/>
      <sheetName val="CHARTS_for_report"/>
      <sheetName val="Drop-down_Options"/>
      <sheetName val="Target_Alloc"/>
      <sheetName val="Event_1"/>
      <sheetName val="Event_2"/>
      <sheetName val="Event_3"/>
      <sheetName val="Event_4"/>
      <sheetName val="Event_5"/>
      <sheetName val="Event_5_Note"/>
      <sheetName val="List_drop_down"/>
      <sheetName val="SASB_categories"/>
      <sheetName val="FX_rates_&amp;_dropdown"/>
      <sheetName val="Base_table"/>
      <sheetName val="Mapping_tables_&amp;_FX"/>
      <sheetName val="Listing_data_structure"/>
      <sheetName val="TÖRZS_STANDING_DATA"/>
      <sheetName val="Key_Data"/>
      <sheetName val="4__Equity"/>
      <sheetName val="Cash_Flow_Fade"/>
      <sheetName val="Parameters_&amp;_Results"/>
      <sheetName val="Chart_Valuation"/>
      <sheetName val="Tableaux_du_Plan_Affaire"/>
      <sheetName val="BALANCE_SHEET"/>
      <sheetName val="Categories_and_Definitions"/>
      <sheetName val="5__FX"/>
      <sheetName val="Dropdown_Menu"/>
      <sheetName val="Cust_List3"/>
      <sheetName val="C__Servi"/>
      <sheetName val="Perf_Summary"/>
      <sheetName val="Input_konsoll"/>
      <sheetName val="DIV_INC"/>
      <sheetName val="US_reconc"/>
      <sheetName val="Exchange_Rates"/>
      <sheetName val="P1_Summary"/>
      <sheetName val="Dropdown_NEW"/>
      <sheetName val="Stock_Chart"/>
      <sheetName val="price_v__semis_v__us_capex"/>
      <sheetName val="JD_Validation"/>
      <sheetName val="Summary_&amp;_Instructions"/>
      <sheetName val="drops"/>
      <sheetName val="Parameter"/>
      <sheetName val="SUM-IN"/>
      <sheetName val="A"/>
      <sheetName val="B"/>
      <sheetName val="Q&amp;A"/>
      <sheetName val="Trading Ass"/>
      <sheetName val="CHG Overview"/>
      <sheetName val="ADVOL"/>
      <sheetName val="Portfolio'08"/>
      <sheetName val="HOSPICE OPSUM"/>
      <sheetName val="Monthly_UK"/>
      <sheetName val="KE30"/>
      <sheetName val="Opportunities thru 2.19.2021"/>
      <sheetName val="XLR_NoRangeSheet"/>
      <sheetName val="Rates"/>
      <sheetName val="Output"/>
      <sheetName val="Output_LCPR BAU"/>
      <sheetName val="Table"/>
      <sheetName val="Smart WiFi"/>
      <sheetName val="T&amp;I Structure"/>
      <sheetName val="C"/>
      <sheetName val="CATEGORY"/>
      <sheetName val="Instructions "/>
      <sheetName val="ConsultaSaldosMovimentos"/>
      <sheetName val="FO"/>
      <sheetName val="Steuerung"/>
      <sheetName val="Drop-Down List Lookups"/>
      <sheetName val="MERGER"/>
      <sheetName val="DGP-2002"/>
      <sheetName val="1601 Detail information"/>
      <sheetName val="Screen 5-6"/>
      <sheetName val="Data Validation and Adjustments"/>
      <sheetName val="1"/>
      <sheetName val="Ownership"/>
      <sheetName val="Overview"/>
      <sheetName val="Ratings &amp; Targets"/>
      <sheetName val="Prices"/>
      <sheetName val="Master 1.0"/>
      <sheetName val="Map"/>
      <sheetName val="CLOSE"/>
      <sheetName val="Outlook22-25"/>
      <sheetName val="PL1 - MA WS inv allocation"/>
      <sheetName val="Region"/>
      <sheetName val="RGU_2015-19"/>
      <sheetName val="Charts"/>
      <sheetName val="INPUTS - OpEx Deputy CEO"/>
      <sheetName val="Cost Center Hierarchy"/>
      <sheetName val="OPEX | HFM Accounts"/>
      <sheetName val="INGRESOS"/>
      <sheetName val="CONTRATACION"/>
      <sheetName val="OpModel"/>
      <sheetName val="BBDD_KPIs"/>
      <sheetName val="BBDD"/>
      <sheetName val="2019.12"/>
      <sheetName val="TSU_BS USD Mgt Acs 2020"/>
      <sheetName val="PL4"/>
      <sheetName val="XXX"/>
      <sheetName val="NO"/>
      <sheetName val="Results from Nov 98"/>
      <sheetName val="TargIS"/>
      <sheetName val="Drivers Maintenance"/>
      <sheetName val="Other OH split"/>
      <sheetName val="FTEs &amp; m2"/>
      <sheetName val="KF_Pannel"/>
      <sheetName val="Portfolio Verisure"/>
      <sheetName val="Portfolio Welcome"/>
      <sheetName val="P&amp;L Pannel"/>
      <sheetName val="Portfolio Classics"/>
      <sheetName val="Portfolio Vscam"/>
      <sheetName val="DADOS"/>
      <sheetName val="OUTROS_TD"/>
      <sheetName val="DISPONIVEIS_TD"/>
      <sheetName val="cost centers Oracle"/>
      <sheetName val="DASHBOARD"/>
      <sheetName val="Folha1"/>
      <sheetName val="CONTROLO KM VIATURAS_2021"/>
      <sheetName val="VIATURAS DE SUSBTITUIÇÃO"/>
      <sheetName val="CARTÕES GALP DELEGAÇÕES"/>
      <sheetName val="Gestão Sinistros_TD"/>
      <sheetName val="Gestão Sinistros_DADOS"/>
      <sheetName val="PEDIDOS DIVERSOS_TD"/>
      <sheetName val="PEDIDOS DIVERSOS_DADOS"/>
      <sheetName val="METER DADOS KM &gt;"/>
      <sheetName val="GESTÃO COIMAS_TD"/>
      <sheetName val="GESTÃO COIMAS_DADOS"/>
      <sheetName val="Registo de Via Verde"/>
      <sheetName val="Cartas condução"/>
      <sheetName val="01"/>
      <sheetName val="02"/>
      <sheetName val="03"/>
      <sheetName val="04"/>
      <sheetName val="05"/>
      <sheetName val="09"/>
      <sheetName val="10"/>
      <sheetName val="11"/>
      <sheetName val="12"/>
      <sheetName val="06"/>
      <sheetName val="07"/>
      <sheetName val="DADOS CAIXA TEXTO"/>
      <sheetName val="08"/>
      <sheetName val="Gross profit by region"/>
      <sheetName val="Q4202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efreshError="1"/>
      <sheetData sheetId="392"/>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VIII"/>
      <sheetName val="BAL SHEET-After Capitalisation"/>
      <sheetName val="BAL SHEET-Before Capitalization"/>
      <sheetName val="SCH I"/>
      <sheetName val="SCH II"/>
      <sheetName val="Dep Pivot (New)"/>
      <sheetName val="Dep Base (New)"/>
      <sheetName val="SCH III "/>
      <sheetName val="SCH V"/>
      <sheetName val="SCH IV"/>
      <sheetName val="Sch VI"/>
      <sheetName val="SCH VII"/>
      <sheetName val="Grouping"/>
      <sheetName val="TB-Apr'2008"/>
      <sheetName val="Entries"/>
      <sheetName val="Entries-After Apr'08"/>
      <sheetName val="Entries-GR IR"/>
      <sheetName val="Parties Account"/>
      <sheetName val="Scheule-Parties"/>
      <sheetName val="ICD-EOL"/>
      <sheetName val="FD-Banks"/>
      <sheetName val="Cl-Stock"/>
      <sheetName val="FF"/>
      <sheetName val="RECO-SAL"/>
      <sheetName val="RECO-EOL"/>
      <sheetName val="Stock-Ind"/>
      <sheetName val="Manual Entries"/>
      <sheetName val="cashflow working"/>
      <sheetName val="IDFC"/>
      <sheetName val="PFC"/>
      <sheetName val="Exp - aft 30.04.08"/>
      <sheetName val="Cashflow"/>
      <sheetName val="Invoice"/>
      <sheetName val="Fixed Charges"/>
      <sheetName val="DHS work Procedure for CF"/>
      <sheetName val="tb 28052008"/>
      <sheetName val="Dep Off Equip (New)"/>
      <sheetName val="Dep P&amp;M. (New)"/>
      <sheetName val="Dep Comp (New)"/>
      <sheetName val="Dep Furn (New)"/>
      <sheetName val="Reco of FA (New)"/>
      <sheetName val="deposit details"/>
      <sheetName val="Taxes on Other Inc"/>
      <sheetName val="TDS "/>
      <sheetName val="PROVISON 189220"/>
      <sheetName val="Vendor - Dr. Bal"/>
      <sheetName val="Vendors List Base"/>
      <sheetName val="Adv against Eq."/>
      <sheetName val="Pending Matters"/>
      <sheetName val="Int. Acc but not due"/>
      <sheetName val="Pivot Off Equp"/>
      <sheetName val="Off Equp"/>
      <sheetName val="reco march 08"/>
      <sheetName val="ch issued b n cleared"/>
      <sheetName val="Prov for FBT"/>
      <sheetName val="ch depo b n cleareed"/>
      <sheetName val="Break of Full &amp; Final Pymt"/>
      <sheetName val="FBT Calculation"/>
      <sheetName val="Dep Pivot"/>
      <sheetName val="Dep Base"/>
      <sheetName val="Dep Comp"/>
      <sheetName val="Dep Off Equip"/>
      <sheetName val="Dep P&amp;M."/>
      <sheetName val="Reco of FA"/>
      <sheetName val="XREF"/>
      <sheetName val="Cons-Ind Capital"/>
      <sheetName val="Cons-Imp Capital"/>
      <sheetName val="Cons-SS Ind"/>
      <sheetName val="Cons- SS Imp"/>
      <sheetName val="Commerica"/>
      <sheetName val="x-rate"/>
      <sheetName val="FE Variation - VPCL"/>
      <sheetName val="GT1 RD"/>
      <sheetName val="Taxes &amp; Deductions"/>
      <sheetName val="BAL_SHEET-After_Capitalisation"/>
      <sheetName val="BAL_SHEET-Before_Capitalization"/>
      <sheetName val="SCH_I"/>
      <sheetName val="SCH_II"/>
      <sheetName val="Dep_Pivot_(New)"/>
      <sheetName val="Dep_Base_(New)"/>
      <sheetName val="SCH_III_"/>
      <sheetName val="SCH_V"/>
      <sheetName val="SCH_IV"/>
      <sheetName val="Sch_VI"/>
      <sheetName val="SCH_VII"/>
      <sheetName val="SCH_VIII"/>
      <sheetName val="Entries-After_Apr'08"/>
      <sheetName val="Entries-GR_IR"/>
      <sheetName val="Parties_Account"/>
      <sheetName val="Manual_Entries"/>
      <sheetName val="cashflow_working"/>
      <sheetName val="Exp_-_aft_30_04_08"/>
      <sheetName val="Fixed_Charges"/>
      <sheetName val="DHS_work_Procedure_for_CF"/>
      <sheetName val="tb_28052008"/>
      <sheetName val="Dep_Off_Equip_(New)"/>
      <sheetName val="Dep_P&amp;M__(New)"/>
      <sheetName val="Dep_Comp_(New)"/>
      <sheetName val="Dep_Furn_(New)"/>
      <sheetName val="Reco_of_FA_(New)"/>
      <sheetName val="deposit_details"/>
      <sheetName val="Taxes_on_Other_Inc"/>
      <sheetName val="TDS_"/>
      <sheetName val="PROVISON_189220"/>
      <sheetName val="Vendor_-_Dr__Bal"/>
      <sheetName val="Vendors_List_Base"/>
      <sheetName val="Adv_against_Eq_"/>
      <sheetName val="Pending_Matters"/>
      <sheetName val="Int__Acc_but_not_due"/>
      <sheetName val="Pivot_Off_Equp"/>
      <sheetName val="Off_Equp"/>
      <sheetName val="reco_march_08"/>
      <sheetName val="ch_issued_b_n_cleared"/>
      <sheetName val="Prov_for_FBT"/>
      <sheetName val="ch_depo_b_n_cleareed"/>
      <sheetName val="Break_of_Full_&amp;_Final_Pymt"/>
      <sheetName val="FBT_Calculation"/>
      <sheetName val="Dep_Pivot"/>
      <sheetName val="Dep_Base"/>
      <sheetName val="Dep_Comp"/>
      <sheetName val="Dep_Off_Equip"/>
      <sheetName val="Dep_P&amp;M_"/>
      <sheetName val="Reco_of_FA"/>
      <sheetName val="Cons-Ind_Capital"/>
      <sheetName val="Cons-Imp_Capital"/>
      <sheetName val="Cons-SS_Ind"/>
      <sheetName val="Cons-_SS_Imp"/>
      <sheetName val="FE_Variation_-_VPCL"/>
      <sheetName val="GT1_RD"/>
      <sheetName val="Taxes_&amp;_Deductions"/>
      <sheetName val="BAL_SHEET-After_Capitalisation1"/>
      <sheetName val="BAL_SHEET-Before_Capitalizatio1"/>
      <sheetName val="SCH_I1"/>
      <sheetName val="SCH_II1"/>
      <sheetName val="Dep_Pivot_(New)1"/>
      <sheetName val="Dep_Base_(New)1"/>
      <sheetName val="SCH_III_1"/>
      <sheetName val="SCH_V1"/>
      <sheetName val="SCH_IV1"/>
      <sheetName val="Sch_VI1"/>
      <sheetName val="SCH_VII1"/>
      <sheetName val="SCH_VIII1"/>
      <sheetName val="Entries-After_Apr'081"/>
      <sheetName val="Entries-GR_IR1"/>
      <sheetName val="Parties_Account1"/>
      <sheetName val="Manual_Entries1"/>
      <sheetName val="cashflow_working1"/>
      <sheetName val="Exp_-_aft_30_04_081"/>
      <sheetName val="Fixed_Charges1"/>
      <sheetName val="DHS_work_Procedure_for_CF1"/>
      <sheetName val="tb_280520081"/>
      <sheetName val="Dep_Off_Equip_(New)1"/>
      <sheetName val="Dep_P&amp;M__(New)1"/>
      <sheetName val="Dep_Comp_(New)1"/>
      <sheetName val="Dep_Furn_(New)1"/>
      <sheetName val="Reco_of_FA_(New)1"/>
      <sheetName val="deposit_details1"/>
      <sheetName val="Taxes_on_Other_Inc1"/>
      <sheetName val="TDS_1"/>
      <sheetName val="PROVISON_1892201"/>
      <sheetName val="Vendor_-_Dr__Bal1"/>
      <sheetName val="Vendors_List_Base1"/>
      <sheetName val="Adv_against_Eq_1"/>
      <sheetName val="Pending_Matters1"/>
      <sheetName val="Int__Acc_but_not_due1"/>
      <sheetName val="Pivot_Off_Equp1"/>
      <sheetName val="Off_Equp1"/>
      <sheetName val="reco_march_081"/>
      <sheetName val="ch_issued_b_n_cleared1"/>
      <sheetName val="Prov_for_FBT1"/>
      <sheetName val="ch_depo_b_n_cleareed1"/>
      <sheetName val="Break_of_Full_&amp;_Final_Pymt1"/>
      <sheetName val="FBT_Calculation1"/>
      <sheetName val="Dep_Pivot1"/>
      <sheetName val="Dep_Base1"/>
      <sheetName val="Dep_Comp1"/>
      <sheetName val="Dep_Off_Equip1"/>
      <sheetName val="Dep_P&amp;M_1"/>
      <sheetName val="Reco_of_FA1"/>
      <sheetName val="Cons-Ind_Capital1"/>
      <sheetName val="Cons-Imp_Capital1"/>
      <sheetName val="Cons-SS_Ind1"/>
      <sheetName val="Cons-_SS_Imp1"/>
      <sheetName val="FE_Variation_-_VPCL1"/>
      <sheetName val="GT1_RD1"/>
      <sheetName val="Taxes_&amp;_Deductions1"/>
      <sheetName val="BALANCE SHEET"/>
      <sheetName val="INPUT Setup"/>
      <sheetName val="Data Check"/>
      <sheetName val="2 Offsetting Engine"/>
      <sheetName val="useless"/>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LOAN_SUM"/>
      <sheetName val="TERMLOANS "/>
      <sheetName val="UN_SECU.LOANS"/>
      <sheetName val="cur lia &amp; prov"/>
      <sheetName val="1611A.01 Overall Position (PBC)"/>
      <sheetName val="1611A.01a DHS op bal.-DUE"/>
      <sheetName val="1611A.01b DHS op bal - not due"/>
      <sheetName val="1611A.02 IDBI-FCL"/>
      <sheetName val="1611A.02a IDBI -FCL RATES comp "/>
      <sheetName val="1611A.03 IDBI_RTL"/>
      <sheetName val="1611A.03a IDBIRTL - Recomp DHS"/>
      <sheetName val="Summary ICICI - DHS"/>
      <sheetName val="icici fcl- dhs - "/>
      <sheetName val="1611A.04 ICICI-FCL"/>
      <sheetName val="icici con rtl - dhs"/>
      <sheetName val="1611A.05 ICICI conv.rtl"/>
      <sheetName val="icicifitl 30.09.04"/>
      <sheetName val="icici rtl - dhs"/>
      <sheetName val="ICICI_RTL"/>
      <sheetName val="icici stl - dhs"/>
      <sheetName val="icici- stl(niep)"/>
      <sheetName val="icici fitl"/>
      <sheetName val="IFCI_RTL"/>
      <sheetName val="IFCI-FCL"/>
      <sheetName val="IFCI_FITL"/>
      <sheetName val="lic"/>
      <sheetName val="oic rtl"/>
      <sheetName val="nic rtl "/>
      <sheetName val="nia rtl "/>
      <sheetName val="UII RTL"/>
      <sheetName val="gic rtl"/>
      <sheetName val="BANKS"/>
      <sheetName val="coffee-break"/>
      <sheetName val="libor"/>
      <sheetName val="oic rtl "/>
      <sheetName val="icici -fitl"/>
      <sheetName val="TOTAL INTT"/>
      <sheetName val="prov"/>
      <sheetName val="fitl -ifci dtl"/>
      <sheetName val="gic rtl paid 31_12_01"/>
      <sheetName val="gic rtl 31_12_01"/>
      <sheetName val="oic rtl apr'00"/>
      <sheetName val="oic rtl Mar'02 "/>
      <sheetName val="UII PAID 31.3.00"/>
      <sheetName val="repaid"/>
      <sheetName val="Sheet4"/>
      <sheetName val="edc reco"/>
      <sheetName val="Edc-reco"/>
      <sheetName val="Sheet1"/>
      <sheetName val="Sheet2"/>
      <sheetName val="Sheet3"/>
      <sheetName val="total- intt"/>
      <sheetName val="Intt accrued &amp; due "/>
      <sheetName val="intt accrued - not due"/>
      <sheetName val="total- intt (InstwISE)"/>
      <sheetName val="ICICI-FCL old"/>
      <sheetName val="conv.rtl (old)"/>
      <sheetName val="conv.rtl (22.10)"/>
      <sheetName val="NIEP-FCL"/>
      <sheetName val="aNALATICAL"/>
      <sheetName val="icici-reco"/>
      <sheetName val="icicifitl dhs (2)"/>
      <sheetName val="Tickmarks"/>
      <sheetName val="TERMLOANS_"/>
      <sheetName val="UN_SECU_LOANS"/>
      <sheetName val="cur_lia_&amp;_prov"/>
      <sheetName val="1611A_01_Overall_Position_(PBC)"/>
      <sheetName val="1611A_01a_DHS_op_bal_-DUE"/>
      <sheetName val="1611A_01b_DHS_op_bal_-_not_due"/>
      <sheetName val="1611A_02_IDBI-FCL"/>
      <sheetName val="1611A_02a_IDBI_-FCL_RATES_comp_"/>
      <sheetName val="1611A_03_IDBI_RTL"/>
      <sheetName val="1611A_03a_IDBIRTL_-_Recomp_DHS"/>
      <sheetName val="Summary_ICICI_-_DHS"/>
      <sheetName val="icici_fcl-_dhs_-_"/>
      <sheetName val="1611A_04_ICICI-FCL"/>
      <sheetName val="icici_con_rtl_-_dhs"/>
      <sheetName val="1611A_05_ICICI_conv_rtl"/>
      <sheetName val="icicifitl_30_09_04"/>
      <sheetName val="icici_rtl_-_dhs"/>
      <sheetName val="icici_stl_-_dhs"/>
      <sheetName val="icici-_stl(niep)"/>
      <sheetName val="icici_fitl"/>
      <sheetName val="oic_rtl"/>
      <sheetName val="nic_rtl_"/>
      <sheetName val="nia_rtl_"/>
      <sheetName val="UII_RTL"/>
      <sheetName val="gic_rtl"/>
      <sheetName val="oic_rtl_"/>
      <sheetName val="icici_-fitl"/>
      <sheetName val="TOTAL_INTT"/>
      <sheetName val="fitl_-ifci_dtl"/>
      <sheetName val="gic_rtl_paid_31_12_01"/>
      <sheetName val="gic_rtl_31_12_01"/>
      <sheetName val="oic_rtl_apr'00"/>
      <sheetName val="oic_rtl_Mar'02_"/>
      <sheetName val="UII_PAID_31_3_00"/>
      <sheetName val="edc_reco"/>
      <sheetName val="total-_intt"/>
      <sheetName val="Intt_accrued_&amp;_due_"/>
      <sheetName val="intt_accrued_-_not_due"/>
      <sheetName val="total-_intt_(InstwISE)"/>
      <sheetName val="ICICI-FCL_old"/>
      <sheetName val="conv_rtl_(old)"/>
      <sheetName val="conv_rtl_(22_10)"/>
      <sheetName val="icicifitl_dhs_(2)"/>
      <sheetName val="SCH IV"/>
      <sheetName val="SCH VIII"/>
      <sheetName val="TERMLOANS_1"/>
      <sheetName val="UN_SECU_LOANS1"/>
      <sheetName val="cur_lia_&amp;_prov1"/>
      <sheetName val="1611A_01_Overall_Position_(PBC1"/>
      <sheetName val="1611A_01a_DHS_op_bal_-DUE1"/>
      <sheetName val="1611A_01b_DHS_op_bal_-_not_due1"/>
      <sheetName val="1611A_02_IDBI-FCL1"/>
      <sheetName val="1611A_02a_IDBI_-FCL_RATES_comp1"/>
      <sheetName val="1611A_03_IDBI_RTL1"/>
      <sheetName val="1611A_03a_IDBIRTL_-_Recomp_DHS1"/>
      <sheetName val="Summary_ICICI_-_DHS1"/>
      <sheetName val="icici_fcl-_dhs_-_1"/>
      <sheetName val="1611A_04_ICICI-FCL1"/>
      <sheetName val="icici_con_rtl_-_dhs1"/>
      <sheetName val="1611A_05_ICICI_conv_rtl1"/>
      <sheetName val="icicifitl_30_09_041"/>
      <sheetName val="icici_rtl_-_dhs1"/>
      <sheetName val="icici_stl_-_dhs1"/>
      <sheetName val="icici-_stl(niep)1"/>
      <sheetName val="icici_fitl1"/>
      <sheetName val="oic_rtl1"/>
      <sheetName val="nic_rtl_1"/>
      <sheetName val="nia_rtl_1"/>
      <sheetName val="UII_RTL1"/>
      <sheetName val="gic_rtl1"/>
      <sheetName val="oic_rtl_1"/>
      <sheetName val="icici_-fitl1"/>
      <sheetName val="TOTAL_INTT1"/>
      <sheetName val="fitl_-ifci_dtl1"/>
      <sheetName val="gic_rtl_paid_31_12_011"/>
      <sheetName val="gic_rtl_31_12_011"/>
      <sheetName val="oic_rtl_apr'001"/>
      <sheetName val="oic_rtl_Mar'02_1"/>
      <sheetName val="UII_PAID_31_3_001"/>
      <sheetName val="edc_reco1"/>
      <sheetName val="total-_intt1"/>
      <sheetName val="Intt_accrued_&amp;_due_1"/>
      <sheetName val="intt_accrued_-_not_due1"/>
      <sheetName val="total-_intt_(InstwISE)1"/>
      <sheetName val="ICICI-FCL_old1"/>
      <sheetName val="conv_rtl_(old)1"/>
      <sheetName val="conv_rtl_(22_10)1"/>
      <sheetName val="icicifitl_dhs_(2)1"/>
      <sheetName val="SCH_IV"/>
      <sheetName val="SCH_VIII"/>
      <sheetName val="TERMLOANS_2"/>
      <sheetName val="UN_SECU_LOANS2"/>
      <sheetName val="cur_lia_&amp;_prov2"/>
      <sheetName val="1611A_01_Overall_Position_(PBC2"/>
      <sheetName val="1611A_01a_DHS_op_bal_-DUE2"/>
      <sheetName val="1611A_01b_DHS_op_bal_-_not_due2"/>
      <sheetName val="1611A_02_IDBI-FCL2"/>
      <sheetName val="1611A_02a_IDBI_-FCL_RATES_comp2"/>
      <sheetName val="1611A_03_IDBI_RTL2"/>
      <sheetName val="1611A_03a_IDBIRTL_-_Recomp_DHS2"/>
      <sheetName val="Summary_ICICI_-_DHS2"/>
      <sheetName val="icici_fcl-_dhs_-_2"/>
      <sheetName val="1611A_04_ICICI-FCL2"/>
      <sheetName val="icici_con_rtl_-_dhs2"/>
      <sheetName val="1611A_05_ICICI_conv_rtl2"/>
      <sheetName val="icicifitl_30_09_042"/>
      <sheetName val="icici_rtl_-_dhs2"/>
      <sheetName val="icici_stl_-_dhs2"/>
      <sheetName val="icici-_stl(niep)2"/>
      <sheetName val="icici_fitl2"/>
      <sheetName val="oic_rtl2"/>
      <sheetName val="nic_rtl_2"/>
      <sheetName val="nia_rtl_2"/>
      <sheetName val="UII_RTL2"/>
      <sheetName val="gic_rtl2"/>
      <sheetName val="oic_rtl_2"/>
      <sheetName val="icici_-fitl2"/>
      <sheetName val="TOTAL_INTT2"/>
      <sheetName val="fitl_-ifci_dtl2"/>
      <sheetName val="gic_rtl_paid_31_12_012"/>
      <sheetName val="gic_rtl_31_12_012"/>
      <sheetName val="oic_rtl_apr'002"/>
      <sheetName val="oic_rtl_Mar'02_2"/>
      <sheetName val="UII_PAID_31_3_002"/>
      <sheetName val="edc_reco2"/>
      <sheetName val="total-_intt2"/>
      <sheetName val="Intt_accrued_&amp;_due_2"/>
      <sheetName val="intt_accrued_-_not_due2"/>
      <sheetName val="total-_intt_(InstwISE)2"/>
      <sheetName val="ICICI-FCL_old2"/>
      <sheetName val="conv_rtl_(old)2"/>
      <sheetName val="conv_rtl_(22_10)2"/>
      <sheetName val="icicifitl_dhs_(2)2"/>
      <sheetName val="SCH_IV1"/>
      <sheetName val="SCH_VIII1"/>
      <sheetName val="1612.01AL - INT AM&amp;NIEP"/>
      <sheetName val="Commerica"/>
      <sheetName val="Adjustments"/>
      <sheetName val="PGW"/>
      <sheetName val="1611A INTEREST ACCRUED ON LOANS"/>
      <sheetName val="TAB 1"/>
      <sheetName val="5.Crs. TB"/>
      <sheetName val="TERMLOANS_3"/>
      <sheetName val="UN_SECU_LOANS3"/>
      <sheetName val="cur_lia_&amp;_prov3"/>
      <sheetName val="1611A_01_Overall_Position_(PBC3"/>
      <sheetName val="1611A_01a_DHS_op_bal_-DUE3"/>
      <sheetName val="1611A_01b_DHS_op_bal_-_not_due3"/>
      <sheetName val="1611A_02_IDBI-FCL3"/>
      <sheetName val="1611A_02a_IDBI_-FCL_RATES_comp3"/>
      <sheetName val="1611A_03_IDBI_RTL3"/>
      <sheetName val="1611A_03a_IDBIRTL_-_Recomp_DHS3"/>
      <sheetName val="Summary_ICICI_-_DHS3"/>
      <sheetName val="icici_fcl-_dhs_-_3"/>
      <sheetName val="1611A_04_ICICI-FCL3"/>
      <sheetName val="icici_con_rtl_-_dhs3"/>
      <sheetName val="1611A_05_ICICI_conv_rtl3"/>
      <sheetName val="icicifitl_30_09_043"/>
      <sheetName val="icici_rtl_-_dhs3"/>
      <sheetName val="icici_stl_-_dhs3"/>
      <sheetName val="icici-_stl(niep)3"/>
      <sheetName val="icici_fitl3"/>
      <sheetName val="oic_rtl3"/>
      <sheetName val="nic_rtl_3"/>
      <sheetName val="nia_rtl_3"/>
      <sheetName val="UII_RTL3"/>
      <sheetName val="gic_rtl3"/>
      <sheetName val="oic_rtl_3"/>
      <sheetName val="icici_-fitl3"/>
      <sheetName val="TOTAL_INTT3"/>
      <sheetName val="fitl_-ifci_dtl3"/>
      <sheetName val="gic_rtl_paid_31_12_013"/>
      <sheetName val="gic_rtl_31_12_013"/>
      <sheetName val="oic_rtl_apr'003"/>
      <sheetName val="oic_rtl_Mar'02_3"/>
      <sheetName val="UII_PAID_31_3_003"/>
      <sheetName val="edc_reco3"/>
      <sheetName val="total-_intt3"/>
      <sheetName val="Intt_accrued_&amp;_due_3"/>
      <sheetName val="intt_accrued_-_not_due3"/>
      <sheetName val="total-_intt_(InstwISE)3"/>
      <sheetName val="ICICI-FCL_old3"/>
      <sheetName val="conv_rtl_(old)3"/>
      <sheetName val="conv_rtl_(22_10)3"/>
      <sheetName val="icicifitl_dhs_(2)3"/>
      <sheetName val="SCH_IV2"/>
      <sheetName val="SCH_VIII2"/>
      <sheetName val="1612_01AL_-_INT_AM&amp;NIEP"/>
      <sheetName val="1611A_INTEREST_ACCRUED_ON_LOANS"/>
      <sheetName val="Sheet3 (2)"/>
      <sheetName val="TERMLOANS_4"/>
      <sheetName val="UN_SECU_LOANS4"/>
      <sheetName val="cur_lia_&amp;_prov4"/>
      <sheetName val="1611A_01_Overall_Position_(PBC4"/>
      <sheetName val="1611A_01a_DHS_op_bal_-DUE4"/>
      <sheetName val="1611A_01b_DHS_op_bal_-_not_due4"/>
      <sheetName val="1611A_02_IDBI-FCL4"/>
      <sheetName val="1611A_02a_IDBI_-FCL_RATES_comp4"/>
      <sheetName val="1611A_03_IDBI_RTL4"/>
      <sheetName val="1611A_03a_IDBIRTL_-_Recomp_DHS4"/>
      <sheetName val="Summary_ICICI_-_DHS4"/>
      <sheetName val="icici_fcl-_dhs_-_4"/>
      <sheetName val="1611A_04_ICICI-FCL4"/>
      <sheetName val="icici_con_rtl_-_dhs4"/>
      <sheetName val="1611A_05_ICICI_conv_rtl4"/>
      <sheetName val="icicifitl_30_09_044"/>
      <sheetName val="icici_rtl_-_dhs4"/>
      <sheetName val="icici_stl_-_dhs4"/>
      <sheetName val="icici-_stl(niep)4"/>
      <sheetName val="icici_fitl4"/>
      <sheetName val="oic_rtl4"/>
      <sheetName val="nic_rtl_4"/>
      <sheetName val="nia_rtl_4"/>
      <sheetName val="UII_RTL4"/>
      <sheetName val="gic_rtl4"/>
      <sheetName val="oic_rtl_4"/>
      <sheetName val="icici_-fitl4"/>
      <sheetName val="TOTAL_INTT4"/>
      <sheetName val="fitl_-ifci_dtl4"/>
      <sheetName val="gic_rtl_paid_31_12_014"/>
      <sheetName val="gic_rtl_31_12_014"/>
      <sheetName val="oic_rtl_apr'004"/>
      <sheetName val="oic_rtl_Mar'02_4"/>
      <sheetName val="UII_PAID_31_3_004"/>
      <sheetName val="edc_reco4"/>
      <sheetName val="total-_intt4"/>
      <sheetName val="Intt_accrued_&amp;_due_4"/>
      <sheetName val="intt_accrued_-_not_due4"/>
      <sheetName val="total-_intt_(InstwISE)4"/>
      <sheetName val="ICICI-FCL_old4"/>
      <sheetName val="conv_rtl_(old)4"/>
      <sheetName val="conv_rtl_(22_10)4"/>
      <sheetName val="icicifitl_dhs_(2)4"/>
      <sheetName val="SCH_IV3"/>
      <sheetName val="SCH_VIII3"/>
      <sheetName val="1612_01AL_-_INT_AM&amp;NIEP1"/>
      <sheetName val="1611A_INTEREST_ACCRUED_ON_LOAN1"/>
      <sheetName val="TAB_1"/>
      <sheetName val="5_Crs__TB"/>
      <sheetName val="TERMLOANS_5"/>
      <sheetName val="UN_SECU_LOANS5"/>
      <sheetName val="cur_lia_&amp;_prov5"/>
      <sheetName val="1611A_01_Overall_Position_(PBC5"/>
      <sheetName val="1611A_01a_DHS_op_bal_-DUE5"/>
      <sheetName val="1611A_01b_DHS_op_bal_-_not_due5"/>
      <sheetName val="1611A_02_IDBI-FCL5"/>
      <sheetName val="1611A_02a_IDBI_-FCL_RATES_comp5"/>
      <sheetName val="1611A_03_IDBI_RTL5"/>
      <sheetName val="1611A_03a_IDBIRTL_-_Recomp_DHS5"/>
      <sheetName val="Summary_ICICI_-_DHS5"/>
      <sheetName val="icici_fcl-_dhs_-_5"/>
      <sheetName val="1611A_04_ICICI-FCL5"/>
      <sheetName val="icici_con_rtl_-_dhs5"/>
      <sheetName val="1611A_05_ICICI_conv_rtl5"/>
      <sheetName val="icicifitl_30_09_045"/>
      <sheetName val="icici_rtl_-_dhs5"/>
      <sheetName val="icici_stl_-_dhs5"/>
      <sheetName val="icici-_stl(niep)5"/>
      <sheetName val="icici_fitl5"/>
      <sheetName val="oic_rtl5"/>
      <sheetName val="nic_rtl_5"/>
      <sheetName val="nia_rtl_5"/>
      <sheetName val="UII_RTL5"/>
      <sheetName val="gic_rtl5"/>
      <sheetName val="oic_rtl_5"/>
      <sheetName val="icici_-fitl5"/>
      <sheetName val="TOTAL_INTT5"/>
      <sheetName val="fitl_-ifci_dtl5"/>
      <sheetName val="gic_rtl_paid_31_12_015"/>
      <sheetName val="gic_rtl_31_12_015"/>
      <sheetName val="oic_rtl_apr'005"/>
      <sheetName val="oic_rtl_Mar'02_5"/>
      <sheetName val="UII_PAID_31_3_005"/>
      <sheetName val="edc_reco5"/>
      <sheetName val="total-_intt5"/>
      <sheetName val="Intt_accrued_&amp;_due_5"/>
      <sheetName val="intt_accrued_-_not_due5"/>
      <sheetName val="total-_intt_(InstwISE)5"/>
      <sheetName val="ICICI-FCL_old5"/>
      <sheetName val="conv_rtl_(old)5"/>
      <sheetName val="conv_rtl_(22_10)5"/>
      <sheetName val="icicifitl_dhs_(2)5"/>
      <sheetName val="SCH_IV4"/>
      <sheetName val="SCH_VIII4"/>
      <sheetName val="1612_01AL_-_INT_AM&amp;NIEP2"/>
      <sheetName val="1611A_INTEREST_ACCRUED_ON_LOAN2"/>
      <sheetName val="TAB_11"/>
      <sheetName val="5_Crs__TB1"/>
      <sheetName val="Fixed asset register"/>
      <sheetName val="TERMLOANS_6"/>
      <sheetName val="UN_SECU_LOANS6"/>
      <sheetName val="cur_lia_&amp;_prov6"/>
      <sheetName val="1611A_01_Overall_Position_(PBC6"/>
      <sheetName val="1611A_01a_DHS_op_bal_-DUE6"/>
      <sheetName val="1611A_01b_DHS_op_bal_-_not_due6"/>
      <sheetName val="1611A_02_IDBI-FCL6"/>
      <sheetName val="1611A_02a_IDBI_-FCL_RATES_comp6"/>
      <sheetName val="1611A_03_IDBI_RTL6"/>
      <sheetName val="1611A_03a_IDBIRTL_-_Recomp_DHS6"/>
      <sheetName val="Summary_ICICI_-_DHS6"/>
      <sheetName val="icici_fcl-_dhs_-_6"/>
      <sheetName val="1611A_04_ICICI-FCL6"/>
      <sheetName val="icici_con_rtl_-_dhs6"/>
      <sheetName val="1611A_05_ICICI_conv_rtl6"/>
      <sheetName val="icicifitl_30_09_046"/>
      <sheetName val="icici_rtl_-_dhs6"/>
      <sheetName val="icici_stl_-_dhs6"/>
      <sheetName val="icici-_stl(niep)6"/>
      <sheetName val="icici_fitl6"/>
      <sheetName val="oic_rtl6"/>
      <sheetName val="nic_rtl_6"/>
      <sheetName val="nia_rtl_6"/>
      <sheetName val="UII_RTL6"/>
      <sheetName val="gic_rtl6"/>
      <sheetName val="oic_rtl_6"/>
      <sheetName val="icici_-fitl6"/>
      <sheetName val="TOTAL_INTT6"/>
      <sheetName val="fitl_-ifci_dtl6"/>
      <sheetName val="gic_rtl_paid_31_12_016"/>
      <sheetName val="gic_rtl_31_12_016"/>
      <sheetName val="oic_rtl_apr'006"/>
      <sheetName val="oic_rtl_Mar'02_6"/>
      <sheetName val="UII_PAID_31_3_006"/>
      <sheetName val="edc_reco6"/>
      <sheetName val="total-_intt6"/>
      <sheetName val="Intt_accrued_&amp;_due_6"/>
      <sheetName val="intt_accrued_-_not_due6"/>
      <sheetName val="total-_intt_(InstwISE)6"/>
      <sheetName val="ICICI-FCL_old6"/>
      <sheetName val="conv_rtl_(old)6"/>
      <sheetName val="conv_rtl_(22_10)6"/>
      <sheetName val="icicifitl_dhs_(2)6"/>
      <sheetName val="SCH_IV5"/>
      <sheetName val="SCH_VIII5"/>
      <sheetName val="1612_01AL_-_INT_AM&amp;NIEP3"/>
      <sheetName val="1611A_INTEREST_ACCRUED_ON_LOAN3"/>
      <sheetName val="TAB_12"/>
      <sheetName val="5_Crs__TB2"/>
      <sheetName val="Sheet3_(2)"/>
      <sheetName val="Fixed_asset_register"/>
      <sheetName val="TERMLOANS_7"/>
      <sheetName val="UN_SECU_LOANS7"/>
      <sheetName val="cur_lia_&amp;_prov7"/>
      <sheetName val="1611A_01_Overall_Position_(PBC7"/>
      <sheetName val="1611A_01a_DHS_op_bal_-DUE7"/>
      <sheetName val="1611A_01b_DHS_op_bal_-_not_due7"/>
      <sheetName val="1611A_02_IDBI-FCL7"/>
      <sheetName val="1611A_02a_IDBI_-FCL_RATES_comp7"/>
      <sheetName val="1611A_03_IDBI_RTL7"/>
      <sheetName val="1611A_03a_IDBIRTL_-_Recomp_DHS7"/>
      <sheetName val="Summary_ICICI_-_DHS7"/>
      <sheetName val="icici_fcl-_dhs_-_7"/>
      <sheetName val="1611A_04_ICICI-FCL7"/>
      <sheetName val="icici_con_rtl_-_dhs7"/>
      <sheetName val="1611A_05_ICICI_conv_rtl7"/>
      <sheetName val="icicifitl_30_09_047"/>
      <sheetName val="icici_rtl_-_dhs7"/>
      <sheetName val="icici_stl_-_dhs7"/>
      <sheetName val="icici-_stl(niep)7"/>
      <sheetName val="icici_fitl7"/>
      <sheetName val="oic_rtl7"/>
      <sheetName val="nic_rtl_7"/>
      <sheetName val="nia_rtl_7"/>
      <sheetName val="UII_RTL7"/>
      <sheetName val="gic_rtl7"/>
      <sheetName val="oic_rtl_7"/>
      <sheetName val="icici_-fitl7"/>
      <sheetName val="TOTAL_INTT7"/>
      <sheetName val="fitl_-ifci_dtl7"/>
      <sheetName val="gic_rtl_paid_31_12_017"/>
      <sheetName val="gic_rtl_31_12_017"/>
      <sheetName val="oic_rtl_apr'007"/>
      <sheetName val="oic_rtl_Mar'02_7"/>
      <sheetName val="UII_PAID_31_3_007"/>
      <sheetName val="edc_reco7"/>
      <sheetName val="total-_intt7"/>
      <sheetName val="Intt_accrued_&amp;_due_7"/>
      <sheetName val="intt_accrued_-_not_due7"/>
      <sheetName val="total-_intt_(InstwISE)7"/>
      <sheetName val="ICICI-FCL_old7"/>
      <sheetName val="conv_rtl_(old)7"/>
      <sheetName val="conv_rtl_(22_10)7"/>
      <sheetName val="icicifitl_dhs_(2)7"/>
      <sheetName val="SCH_IV6"/>
      <sheetName val="SCH_VIII6"/>
      <sheetName val="1612_01AL_-_INT_AM&amp;NIEP4"/>
      <sheetName val="1611A_INTEREST_ACCRUED_ON_LOAN4"/>
      <sheetName val="TAB_13"/>
      <sheetName val="5_Crs__TB3"/>
      <sheetName val="Sheet3_(2)1"/>
      <sheetName val="Fixed_asset_register1"/>
      <sheetName val="Cash flow details"/>
      <sheetName val="Oustanding Balances"/>
      <sheetName val="2.Control Sheet"/>
      <sheetName val="Instruction Sheet"/>
      <sheetName val="Sept 06"/>
      <sheetName val="Current tax"/>
      <sheetName val="Deprn IT"/>
      <sheetName val="3.Summary"/>
      <sheetName val="Trial Balance - MARCH 2006"/>
      <sheetName val="GL Bal."/>
      <sheetName val="Inventory Count Sheet "/>
      <sheetName val="1. Procedure"/>
      <sheetName val="2_Control_Sheet"/>
      <sheetName val="Oustanding_Balances"/>
      <sheetName val="Spese Viaggio"/>
      <sheetName val="Data"/>
      <sheetName val="Sales"/>
      <sheetName val="LS"/>
      <sheetName val="HBI NCD"/>
      <sheetName val="Clause 9"/>
      <sheetName val="Consolidated"/>
      <sheetName val="Users Authorisations"/>
      <sheetName val="Invoices for February 2003"/>
      <sheetName val="Breakup Value Working"/>
      <sheetName val="1611A_INTEREST_A윦낺䭥ﺚ抺拺抪抺️扬ꑝ읅ⱑ膺伍"/>
      <sheetName val="FA Register_Detailed "/>
      <sheetName val="MASTER SCHEDULE F"/>
      <sheetName val="PL6-Revenue Bridge"/>
      <sheetName val="po-log - curr. rate"/>
      <sheetName val="encl to 21(ii)(B)"/>
      <sheetName val="230002"/>
      <sheetName val="Summary 30-09-09"/>
      <sheetName val="Cash Flow Statement in millions"/>
      <sheetName val="BS Schedule"/>
      <sheetName val="FA Schedule"/>
      <sheetName val="Analytical"/>
      <sheetName val="Additions"/>
      <sheetName val="Inventory_Count_Sheet_"/>
      <sheetName val="CFS"/>
      <sheetName val="3.Grouping - Profit &amp; Loss(mio)"/>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sheetData sheetId="493" refreshError="1"/>
      <sheetData sheetId="49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ch"/>
      <sheetName val="Sheet2"/>
      <sheetName val="Sheet3"/>
      <sheetName val="Sheet4"/>
      <sheetName val="Sheet5"/>
      <sheetName val="Sheet6"/>
      <sheetName val="Sheet1"/>
      <sheetName val="Sheet7"/>
      <sheetName val="XREF"/>
      <sheetName val="EJ Equity Mvt"/>
      <sheetName val="SCH VIII"/>
      <sheetName val="XR"/>
      <sheetName val="Fixed asset register"/>
    </sheetNames>
    <sheetDataSet>
      <sheetData sheetId="0" refreshError="1">
        <row r="1">
          <cell r="BB1">
            <v>2936863.0824899413</v>
          </cell>
        </row>
        <row r="2">
          <cell r="BB2">
            <v>2936863.0631775302</v>
          </cell>
        </row>
        <row r="3">
          <cell r="BB3">
            <v>1.9312411081045866E-2</v>
          </cell>
        </row>
        <row r="4">
          <cell r="AV4">
            <v>365</v>
          </cell>
          <cell r="BF4">
            <v>38095875.609999999</v>
          </cell>
        </row>
        <row r="5">
          <cell r="AV5">
            <v>365</v>
          </cell>
          <cell r="AX5">
            <v>366</v>
          </cell>
          <cell r="BB5">
            <v>39172</v>
          </cell>
        </row>
        <row r="6">
          <cell r="D6" t="str">
            <v>Place</v>
          </cell>
          <cell r="E6" t="str">
            <v>Floor</v>
          </cell>
          <cell r="F6" t="str">
            <v>Block</v>
          </cell>
          <cell r="G6" t="str">
            <v>Lab No.</v>
          </cell>
          <cell r="AV6" t="str">
            <v>Days</v>
          </cell>
          <cell r="AX6" t="str">
            <v>Days</v>
          </cell>
          <cell r="AZ6" t="str">
            <v>Ex Rate %</v>
          </cell>
          <cell r="BA6">
            <v>39172</v>
          </cell>
          <cell r="BB6" t="str">
            <v>PY 2006-07</v>
          </cell>
          <cell r="BC6">
            <v>38807</v>
          </cell>
          <cell r="BF6" t="str">
            <v>H2 ADDITIONS</v>
          </cell>
          <cell r="BJ6" t="str">
            <v>PROVISIONS</v>
          </cell>
        </row>
        <row r="8">
          <cell r="AX8">
            <v>1</v>
          </cell>
        </row>
        <row r="9">
          <cell r="AX9">
            <v>61</v>
          </cell>
        </row>
        <row r="10">
          <cell r="AX10">
            <v>366</v>
          </cell>
          <cell r="AZ10">
            <v>6.3299999999999995E-2</v>
          </cell>
          <cell r="BA10">
            <v>0</v>
          </cell>
          <cell r="BB10">
            <v>0</v>
          </cell>
        </row>
        <row r="11">
          <cell r="AX11">
            <v>366</v>
          </cell>
          <cell r="AZ11">
            <v>6.3299999999999995E-2</v>
          </cell>
          <cell r="BA11">
            <v>0</v>
          </cell>
          <cell r="BB11">
            <v>0</v>
          </cell>
        </row>
        <row r="12">
          <cell r="AX12">
            <v>366</v>
          </cell>
          <cell r="AZ12">
            <v>6.3299999999999995E-2</v>
          </cell>
          <cell r="BA12">
            <v>212</v>
          </cell>
          <cell r="BB12">
            <v>6502.0719452054791</v>
          </cell>
        </row>
        <row r="13">
          <cell r="AX13">
            <v>366</v>
          </cell>
          <cell r="AZ13">
            <v>6.3299999999999995E-2</v>
          </cell>
          <cell r="BA13">
            <v>214</v>
          </cell>
          <cell r="BB13">
            <v>6561.5566027397253</v>
          </cell>
        </row>
        <row r="14">
          <cell r="AX14">
            <v>317</v>
          </cell>
        </row>
        <row r="15">
          <cell r="AX15">
            <v>1</v>
          </cell>
        </row>
        <row r="17">
          <cell r="AX17">
            <v>310</v>
          </cell>
        </row>
        <row r="18">
          <cell r="AX18">
            <v>366</v>
          </cell>
          <cell r="AZ18">
            <v>6.3299999999999995E-2</v>
          </cell>
          <cell r="BA18">
            <v>201</v>
          </cell>
          <cell r="BB18">
            <v>3999.9963698630131</v>
          </cell>
        </row>
        <row r="19">
          <cell r="AX19">
            <v>366</v>
          </cell>
        </row>
        <row r="20">
          <cell r="AX20">
            <v>280</v>
          </cell>
        </row>
        <row r="21">
          <cell r="AX21">
            <v>366</v>
          </cell>
          <cell r="AZ21">
            <v>0.1</v>
          </cell>
          <cell r="BA21">
            <v>325</v>
          </cell>
          <cell r="BB21">
            <v>15582.993150684932</v>
          </cell>
        </row>
        <row r="22">
          <cell r="AX22">
            <v>153</v>
          </cell>
        </row>
        <row r="23">
          <cell r="AX23">
            <v>366</v>
          </cell>
          <cell r="AZ23">
            <v>0.16209999999999999</v>
          </cell>
          <cell r="BA23">
            <v>187</v>
          </cell>
          <cell r="BB23">
            <v>11184.971057534247</v>
          </cell>
        </row>
        <row r="24">
          <cell r="AX24">
            <v>188</v>
          </cell>
        </row>
        <row r="25">
          <cell r="AX25">
            <v>188</v>
          </cell>
        </row>
        <row r="26">
          <cell r="AV26">
            <v>365</v>
          </cell>
          <cell r="AX26">
            <v>365</v>
          </cell>
        </row>
        <row r="27">
          <cell r="AX27">
            <v>62</v>
          </cell>
        </row>
        <row r="28">
          <cell r="AX28">
            <v>366</v>
          </cell>
          <cell r="AZ28">
            <v>0.1</v>
          </cell>
          <cell r="BA28">
            <v>184</v>
          </cell>
          <cell r="BB28">
            <v>6250.5052054794523</v>
          </cell>
        </row>
        <row r="29">
          <cell r="AX29">
            <v>336</v>
          </cell>
        </row>
        <row r="30">
          <cell r="AX30">
            <v>107</v>
          </cell>
        </row>
        <row r="31">
          <cell r="AX31">
            <v>336</v>
          </cell>
        </row>
        <row r="32">
          <cell r="AX32">
            <v>366</v>
          </cell>
          <cell r="AZ32">
            <v>6.3299999999999995E-2</v>
          </cell>
          <cell r="BA32">
            <v>229</v>
          </cell>
          <cell r="BB32">
            <v>3062.9612671232876</v>
          </cell>
        </row>
        <row r="33">
          <cell r="AX33">
            <v>366</v>
          </cell>
          <cell r="AZ33">
            <v>0.1</v>
          </cell>
          <cell r="BA33">
            <v>365</v>
          </cell>
          <cell r="BB33">
            <v>13749.668</v>
          </cell>
          <cell r="BC33">
            <v>23</v>
          </cell>
        </row>
        <row r="34">
          <cell r="AX34">
            <v>366</v>
          </cell>
          <cell r="AZ34">
            <v>0.1</v>
          </cell>
          <cell r="BA34">
            <v>365</v>
          </cell>
          <cell r="BB34">
            <v>10854.5</v>
          </cell>
          <cell r="BC34">
            <v>21</v>
          </cell>
        </row>
        <row r="35">
          <cell r="AX35">
            <v>22</v>
          </cell>
        </row>
        <row r="36">
          <cell r="AX36">
            <v>71</v>
          </cell>
        </row>
        <row r="37">
          <cell r="AX37">
            <v>248</v>
          </cell>
        </row>
        <row r="38">
          <cell r="AV38">
            <v>365</v>
          </cell>
          <cell r="AX38">
            <v>366</v>
          </cell>
          <cell r="BA38">
            <v>365</v>
          </cell>
          <cell r="BB38">
            <v>424740</v>
          </cell>
          <cell r="BC38">
            <v>125</v>
          </cell>
        </row>
        <row r="39">
          <cell r="AX39">
            <v>366</v>
          </cell>
          <cell r="AZ39">
            <v>6.3299999999999995E-2</v>
          </cell>
          <cell r="BA39">
            <v>16</v>
          </cell>
          <cell r="BB39">
            <v>137.94058520547944</v>
          </cell>
        </row>
        <row r="40">
          <cell r="AX40">
            <v>41</v>
          </cell>
        </row>
        <row r="41">
          <cell r="AX41">
            <v>336</v>
          </cell>
        </row>
        <row r="42">
          <cell r="AX42">
            <v>60</v>
          </cell>
        </row>
        <row r="43">
          <cell r="AX43">
            <v>366</v>
          </cell>
          <cell r="AZ43">
            <v>6.3299999999999995E-2</v>
          </cell>
          <cell r="BA43">
            <v>247</v>
          </cell>
          <cell r="BB43">
            <v>1204.759417808219</v>
          </cell>
        </row>
        <row r="44">
          <cell r="AX44">
            <v>366</v>
          </cell>
          <cell r="AZ44">
            <v>6.3299999999999995E-2</v>
          </cell>
          <cell r="BA44">
            <v>247</v>
          </cell>
          <cell r="BB44">
            <v>963.80753424657541</v>
          </cell>
        </row>
        <row r="45">
          <cell r="E45" t="str">
            <v>FF</v>
          </cell>
          <cell r="AX45">
            <v>336</v>
          </cell>
        </row>
        <row r="46">
          <cell r="AX46">
            <v>276</v>
          </cell>
        </row>
        <row r="47">
          <cell r="AX47">
            <v>366</v>
          </cell>
          <cell r="AZ47">
            <v>6.3299999999999995E-2</v>
          </cell>
          <cell r="BA47">
            <v>212</v>
          </cell>
          <cell r="BB47">
            <v>1640.610440547945</v>
          </cell>
        </row>
        <row r="48">
          <cell r="AX48">
            <v>366</v>
          </cell>
          <cell r="AZ48">
            <v>6.3299999999999995E-2</v>
          </cell>
          <cell r="BA48">
            <v>229</v>
          </cell>
          <cell r="BB48">
            <v>1742.4625684931505</v>
          </cell>
        </row>
        <row r="49">
          <cell r="AX49">
            <v>366</v>
          </cell>
          <cell r="AZ49">
            <v>0.1</v>
          </cell>
          <cell r="BA49">
            <v>365</v>
          </cell>
          <cell r="BB49">
            <v>7960.5</v>
          </cell>
          <cell r="BC49">
            <v>11</v>
          </cell>
        </row>
        <row r="50">
          <cell r="AX50">
            <v>366</v>
          </cell>
          <cell r="AZ50">
            <v>6.3299999999999995E-2</v>
          </cell>
          <cell r="BA50">
            <v>151</v>
          </cell>
          <cell r="BB50">
            <v>1062.1497205479452</v>
          </cell>
        </row>
        <row r="51">
          <cell r="AX51">
            <v>153</v>
          </cell>
        </row>
        <row r="52">
          <cell r="AX52">
            <v>72</v>
          </cell>
        </row>
        <row r="53">
          <cell r="AX53">
            <v>153</v>
          </cell>
        </row>
        <row r="54">
          <cell r="AX54">
            <v>128</v>
          </cell>
        </row>
        <row r="55">
          <cell r="AX55">
            <v>32</v>
          </cell>
        </row>
        <row r="56">
          <cell r="AX56">
            <v>366</v>
          </cell>
        </row>
        <row r="57">
          <cell r="AX57">
            <v>366</v>
          </cell>
          <cell r="AZ57">
            <v>0.16209999999999999</v>
          </cell>
          <cell r="BA57">
            <v>175</v>
          </cell>
          <cell r="BB57">
            <v>3934.5333904109593</v>
          </cell>
        </row>
        <row r="58">
          <cell r="AX58">
            <v>12</v>
          </cell>
        </row>
        <row r="59">
          <cell r="AX59">
            <v>123</v>
          </cell>
        </row>
        <row r="60">
          <cell r="AX60">
            <v>366</v>
          </cell>
          <cell r="AZ60">
            <v>6.3299999999999995E-2</v>
          </cell>
          <cell r="BA60">
            <v>193</v>
          </cell>
          <cell r="BB60">
            <v>1049.3145616438355</v>
          </cell>
        </row>
        <row r="61">
          <cell r="AX61">
            <v>1</v>
          </cell>
        </row>
        <row r="62">
          <cell r="AX62">
            <v>41</v>
          </cell>
        </row>
        <row r="63">
          <cell r="AX63">
            <v>276</v>
          </cell>
        </row>
        <row r="64">
          <cell r="AX64">
            <v>69</v>
          </cell>
        </row>
        <row r="65">
          <cell r="AX65">
            <v>1</v>
          </cell>
        </row>
        <row r="66">
          <cell r="AX66">
            <v>130</v>
          </cell>
        </row>
        <row r="67">
          <cell r="AX67">
            <v>366</v>
          </cell>
        </row>
        <row r="68">
          <cell r="AX68">
            <v>336</v>
          </cell>
        </row>
        <row r="69">
          <cell r="AX69">
            <v>336</v>
          </cell>
        </row>
        <row r="70">
          <cell r="AX70">
            <v>337</v>
          </cell>
        </row>
        <row r="71">
          <cell r="AX71">
            <v>366</v>
          </cell>
          <cell r="AZ71">
            <v>0.16209999999999999</v>
          </cell>
          <cell r="BA71">
            <v>44</v>
          </cell>
          <cell r="BB71">
            <v>654.61753424657525</v>
          </cell>
        </row>
        <row r="72">
          <cell r="AX72">
            <v>337</v>
          </cell>
        </row>
        <row r="73">
          <cell r="AX73">
            <v>366</v>
          </cell>
          <cell r="AZ73">
            <v>6.3299999999999995E-2</v>
          </cell>
          <cell r="BA73">
            <v>219</v>
          </cell>
          <cell r="BB73">
            <v>970.16111999999987</v>
          </cell>
        </row>
        <row r="74">
          <cell r="AX74">
            <v>336</v>
          </cell>
        </row>
        <row r="75">
          <cell r="AX75">
            <v>244</v>
          </cell>
        </row>
        <row r="76">
          <cell r="AX76">
            <v>5</v>
          </cell>
        </row>
        <row r="77">
          <cell r="AX77">
            <v>280</v>
          </cell>
        </row>
        <row r="78">
          <cell r="AX78">
            <v>60</v>
          </cell>
        </row>
        <row r="79">
          <cell r="AX79">
            <v>366</v>
          </cell>
          <cell r="AZ79">
            <v>6.3299999999999995E-2</v>
          </cell>
          <cell r="BA79">
            <v>206</v>
          </cell>
          <cell r="BB79">
            <v>703.470415890411</v>
          </cell>
        </row>
        <row r="80">
          <cell r="AV80">
            <v>364</v>
          </cell>
        </row>
        <row r="81">
          <cell r="AX81">
            <v>32</v>
          </cell>
        </row>
        <row r="82">
          <cell r="AX82">
            <v>217</v>
          </cell>
        </row>
        <row r="83">
          <cell r="AX83">
            <v>366</v>
          </cell>
        </row>
        <row r="84">
          <cell r="AX84">
            <v>366</v>
          </cell>
          <cell r="AZ84">
            <v>0.1</v>
          </cell>
          <cell r="BA84">
            <v>15</v>
          </cell>
          <cell r="BB84">
            <v>91.894520547945206</v>
          </cell>
        </row>
        <row r="85">
          <cell r="AX85">
            <v>288</v>
          </cell>
        </row>
        <row r="86">
          <cell r="AX86">
            <v>366</v>
          </cell>
        </row>
        <row r="87">
          <cell r="AX87">
            <v>366</v>
          </cell>
          <cell r="AZ87">
            <v>0.1</v>
          </cell>
          <cell r="BA87">
            <v>247</v>
          </cell>
          <cell r="BB87">
            <v>1753.4293150684935</v>
          </cell>
        </row>
        <row r="88">
          <cell r="AX88">
            <v>41</v>
          </cell>
        </row>
        <row r="89">
          <cell r="AX89">
            <v>69</v>
          </cell>
        </row>
        <row r="90">
          <cell r="AX90">
            <v>366</v>
          </cell>
          <cell r="AZ90">
            <v>0.1</v>
          </cell>
          <cell r="BA90">
            <v>78</v>
          </cell>
          <cell r="BB90">
            <v>414.14794520547946</v>
          </cell>
        </row>
        <row r="91">
          <cell r="AX91">
            <v>290</v>
          </cell>
        </row>
        <row r="92">
          <cell r="AX92">
            <v>366</v>
          </cell>
          <cell r="AZ92">
            <v>0.16209999999999999</v>
          </cell>
          <cell r="BA92">
            <v>168</v>
          </cell>
          <cell r="BB92">
            <v>1566.8186301369863</v>
          </cell>
        </row>
        <row r="93">
          <cell r="AX93">
            <v>230</v>
          </cell>
        </row>
        <row r="94">
          <cell r="AX94">
            <v>337</v>
          </cell>
        </row>
        <row r="95">
          <cell r="AX95">
            <v>122</v>
          </cell>
        </row>
        <row r="96">
          <cell r="AX96">
            <v>60</v>
          </cell>
        </row>
        <row r="97">
          <cell r="AX97">
            <v>103</v>
          </cell>
        </row>
        <row r="98">
          <cell r="AX98">
            <v>366</v>
          </cell>
          <cell r="AZ98">
            <v>0.1</v>
          </cell>
          <cell r="BA98">
            <v>201</v>
          </cell>
          <cell r="BB98">
            <v>1002.7421917808221</v>
          </cell>
        </row>
        <row r="99">
          <cell r="AX99">
            <v>276</v>
          </cell>
        </row>
        <row r="100">
          <cell r="AX100">
            <v>366</v>
          </cell>
        </row>
        <row r="101">
          <cell r="BJ101" t="str">
            <v>PROVISION</v>
          </cell>
        </row>
        <row r="102">
          <cell r="AX102">
            <v>366</v>
          </cell>
        </row>
        <row r="103">
          <cell r="AX103">
            <v>214</v>
          </cell>
        </row>
        <row r="104">
          <cell r="AX104">
            <v>366</v>
          </cell>
          <cell r="AZ104">
            <v>0.1</v>
          </cell>
          <cell r="BA104">
            <v>331</v>
          </cell>
          <cell r="BB104">
            <v>1415.2290410958906</v>
          </cell>
        </row>
        <row r="105">
          <cell r="E105" t="str">
            <v>FF</v>
          </cell>
          <cell r="AX105">
            <v>336</v>
          </cell>
        </row>
        <row r="106">
          <cell r="AX106">
            <v>366</v>
          </cell>
          <cell r="AZ106">
            <v>6.3299999999999995E-2</v>
          </cell>
          <cell r="BA106">
            <v>16</v>
          </cell>
          <cell r="BB106">
            <v>21.976372602739723</v>
          </cell>
        </row>
        <row r="107">
          <cell r="AX107">
            <v>280</v>
          </cell>
        </row>
        <row r="108">
          <cell r="AX108">
            <v>276</v>
          </cell>
        </row>
        <row r="109">
          <cell r="AX109">
            <v>366</v>
          </cell>
          <cell r="AZ109">
            <v>6.3299999999999995E-2</v>
          </cell>
          <cell r="BA109">
            <v>58</v>
          </cell>
          <cell r="BB109">
            <v>70.712169863013699</v>
          </cell>
        </row>
        <row r="110">
          <cell r="AX110">
            <v>366</v>
          </cell>
          <cell r="AZ110">
            <v>0.1</v>
          </cell>
          <cell r="BA110">
            <v>70</v>
          </cell>
          <cell r="BB110">
            <v>181.42465753424656</v>
          </cell>
        </row>
        <row r="111">
          <cell r="AX111">
            <v>61</v>
          </cell>
        </row>
        <row r="112">
          <cell r="AX112">
            <v>366</v>
          </cell>
          <cell r="AZ112">
            <v>0.1</v>
          </cell>
          <cell r="BA112">
            <v>365</v>
          </cell>
          <cell r="BB112">
            <v>1300</v>
          </cell>
          <cell r="BC112">
            <v>13</v>
          </cell>
        </row>
        <row r="113">
          <cell r="AX113">
            <v>366</v>
          </cell>
          <cell r="AZ113">
            <v>0.1</v>
          </cell>
          <cell r="BA113">
            <v>59</v>
          </cell>
          <cell r="BB113">
            <v>141.92328767123288</v>
          </cell>
        </row>
        <row r="114">
          <cell r="AX114">
            <v>122</v>
          </cell>
        </row>
        <row r="115">
          <cell r="AX115">
            <v>361</v>
          </cell>
        </row>
        <row r="116">
          <cell r="AX116">
            <v>276</v>
          </cell>
        </row>
        <row r="117">
          <cell r="AX117">
            <v>366</v>
          </cell>
          <cell r="AZ117">
            <v>0.1</v>
          </cell>
          <cell r="BA117">
            <v>337</v>
          </cell>
          <cell r="BB117">
            <v>969.82136986301373</v>
          </cell>
        </row>
        <row r="118">
          <cell r="AX118">
            <v>336</v>
          </cell>
        </row>
        <row r="119">
          <cell r="AX119">
            <v>249</v>
          </cell>
        </row>
        <row r="120">
          <cell r="AV120">
            <v>365</v>
          </cell>
          <cell r="AX120">
            <v>1</v>
          </cell>
        </row>
        <row r="121">
          <cell r="AV121">
            <v>365</v>
          </cell>
          <cell r="AX121">
            <v>1</v>
          </cell>
        </row>
        <row r="122">
          <cell r="AV122">
            <v>365</v>
          </cell>
          <cell r="AX122">
            <v>1</v>
          </cell>
        </row>
        <row r="123">
          <cell r="AV123">
            <v>365</v>
          </cell>
          <cell r="AX123">
            <v>1</v>
          </cell>
        </row>
        <row r="124">
          <cell r="AV124">
            <v>365</v>
          </cell>
          <cell r="AX124">
            <v>1</v>
          </cell>
        </row>
        <row r="125">
          <cell r="AV125">
            <v>365</v>
          </cell>
          <cell r="AX125">
            <v>1</v>
          </cell>
        </row>
        <row r="126">
          <cell r="AV126">
            <v>365</v>
          </cell>
          <cell r="AX126">
            <v>1</v>
          </cell>
        </row>
        <row r="127">
          <cell r="AV127">
            <v>365</v>
          </cell>
          <cell r="AX127">
            <v>1</v>
          </cell>
        </row>
        <row r="128">
          <cell r="AV128">
            <v>365</v>
          </cell>
          <cell r="AX128">
            <v>1</v>
          </cell>
        </row>
        <row r="129">
          <cell r="AV129">
            <v>365</v>
          </cell>
          <cell r="AX129">
            <v>1</v>
          </cell>
        </row>
        <row r="130">
          <cell r="AV130">
            <v>365</v>
          </cell>
          <cell r="AX130">
            <v>1</v>
          </cell>
        </row>
        <row r="131">
          <cell r="AV131">
            <v>365</v>
          </cell>
          <cell r="AX131">
            <v>1</v>
          </cell>
        </row>
        <row r="132">
          <cell r="AX132">
            <v>366</v>
          </cell>
          <cell r="AZ132">
            <v>0.1</v>
          </cell>
          <cell r="BA132">
            <v>31</v>
          </cell>
          <cell r="BB132">
            <v>60.505205479452066</v>
          </cell>
        </row>
        <row r="133">
          <cell r="AX133">
            <v>181</v>
          </cell>
        </row>
        <row r="134">
          <cell r="AX134">
            <v>366</v>
          </cell>
        </row>
        <row r="135">
          <cell r="AX135">
            <v>153</v>
          </cell>
        </row>
        <row r="136">
          <cell r="AX136">
            <v>280</v>
          </cell>
        </row>
        <row r="137">
          <cell r="AX137">
            <v>366</v>
          </cell>
        </row>
        <row r="138">
          <cell r="AV138">
            <v>365</v>
          </cell>
          <cell r="AX138">
            <v>221</v>
          </cell>
        </row>
        <row r="139">
          <cell r="AX139">
            <v>314</v>
          </cell>
        </row>
        <row r="140">
          <cell r="AV140">
            <v>365</v>
          </cell>
          <cell r="AX140">
            <v>366</v>
          </cell>
          <cell r="AZ140">
            <v>6.3299999999999995E-2</v>
          </cell>
          <cell r="BA140">
            <v>73</v>
          </cell>
          <cell r="BB140">
            <v>56.969999999999992</v>
          </cell>
        </row>
        <row r="141">
          <cell r="AX141">
            <v>366</v>
          </cell>
          <cell r="AZ141">
            <v>0.1</v>
          </cell>
          <cell r="BA141">
            <v>158</v>
          </cell>
          <cell r="BB141">
            <v>300.67616438356168</v>
          </cell>
        </row>
        <row r="142">
          <cell r="AV142">
            <v>365</v>
          </cell>
          <cell r="AX142">
            <v>366</v>
          </cell>
          <cell r="AZ142">
            <v>6.3299999999999995E-2</v>
          </cell>
          <cell r="BA142">
            <v>162</v>
          </cell>
          <cell r="BB142">
            <v>127.69084109589039</v>
          </cell>
        </row>
        <row r="143">
          <cell r="AX143">
            <v>366</v>
          </cell>
          <cell r="AZ143">
            <v>0.1</v>
          </cell>
          <cell r="BA143">
            <v>341</v>
          </cell>
          <cell r="BB143">
            <v>792.98849315068492</v>
          </cell>
        </row>
        <row r="144">
          <cell r="AV144">
            <v>365</v>
          </cell>
          <cell r="AX144">
            <v>256</v>
          </cell>
        </row>
        <row r="145">
          <cell r="AX145">
            <v>366</v>
          </cell>
          <cell r="AZ145">
            <v>0.16209999999999999</v>
          </cell>
          <cell r="BA145">
            <v>61</v>
          </cell>
          <cell r="BB145">
            <v>159.8350410958904</v>
          </cell>
        </row>
        <row r="146">
          <cell r="AX146">
            <v>366</v>
          </cell>
          <cell r="AZ146">
            <v>0.1</v>
          </cell>
          <cell r="BA146">
            <v>121</v>
          </cell>
          <cell r="BB146">
            <v>190.71589041095893</v>
          </cell>
        </row>
        <row r="147">
          <cell r="AX147">
            <v>366</v>
          </cell>
          <cell r="AZ147">
            <v>0.1</v>
          </cell>
          <cell r="BA147">
            <v>92</v>
          </cell>
          <cell r="BB147">
            <v>136.46246575342465</v>
          </cell>
        </row>
        <row r="148">
          <cell r="AX148">
            <v>366</v>
          </cell>
          <cell r="AZ148">
            <v>0.1</v>
          </cell>
          <cell r="BA148">
            <v>1</v>
          </cell>
          <cell r="BB148">
            <v>1.3572602739726027</v>
          </cell>
        </row>
        <row r="149">
          <cell r="AX149">
            <v>366</v>
          </cell>
          <cell r="AZ149">
            <v>0.1</v>
          </cell>
          <cell r="BA149">
            <v>341</v>
          </cell>
          <cell r="BB149">
            <v>669.48109589041098</v>
          </cell>
        </row>
        <row r="150">
          <cell r="AV150">
            <v>365</v>
          </cell>
          <cell r="AX150">
            <v>307</v>
          </cell>
        </row>
        <row r="151">
          <cell r="AV151">
            <v>365</v>
          </cell>
          <cell r="AX151">
            <v>239</v>
          </cell>
        </row>
        <row r="152">
          <cell r="AV152">
            <v>365</v>
          </cell>
          <cell r="AX152">
            <v>215</v>
          </cell>
        </row>
        <row r="153">
          <cell r="AV153">
            <v>365</v>
          </cell>
          <cell r="AX153">
            <v>276</v>
          </cell>
        </row>
        <row r="154">
          <cell r="AV154">
            <v>365</v>
          </cell>
          <cell r="AX154">
            <v>252</v>
          </cell>
        </row>
        <row r="155">
          <cell r="AX155">
            <v>366</v>
          </cell>
        </row>
        <row r="156">
          <cell r="AX156">
            <v>188</v>
          </cell>
        </row>
        <row r="157">
          <cell r="AX157">
            <v>245</v>
          </cell>
        </row>
        <row r="158">
          <cell r="AX158">
            <v>366</v>
          </cell>
          <cell r="AZ158">
            <v>0.1</v>
          </cell>
          <cell r="BA158">
            <v>365</v>
          </cell>
          <cell r="BB158">
            <v>623.40000000000009</v>
          </cell>
          <cell r="BC158">
            <v>0</v>
          </cell>
        </row>
        <row r="159">
          <cell r="AX159">
            <v>153</v>
          </cell>
        </row>
        <row r="160">
          <cell r="AX160">
            <v>366</v>
          </cell>
        </row>
        <row r="161">
          <cell r="AV161">
            <v>365</v>
          </cell>
          <cell r="AX161">
            <v>221</v>
          </cell>
        </row>
        <row r="162">
          <cell r="AX162">
            <v>1</v>
          </cell>
        </row>
        <row r="163">
          <cell r="AX163">
            <v>252</v>
          </cell>
        </row>
        <row r="164">
          <cell r="AV164">
            <v>365</v>
          </cell>
          <cell r="AX164">
            <v>217</v>
          </cell>
        </row>
        <row r="165">
          <cell r="AX165">
            <v>366</v>
          </cell>
          <cell r="AZ165">
            <v>0.1</v>
          </cell>
          <cell r="BA165">
            <v>301</v>
          </cell>
          <cell r="BB165">
            <v>412.32876712328766</v>
          </cell>
        </row>
        <row r="166">
          <cell r="AX166">
            <v>184</v>
          </cell>
        </row>
        <row r="167">
          <cell r="AV167">
            <v>365</v>
          </cell>
          <cell r="AX167">
            <v>274</v>
          </cell>
        </row>
        <row r="168">
          <cell r="D168" t="str">
            <v>CO</v>
          </cell>
          <cell r="AV168">
            <v>365</v>
          </cell>
          <cell r="AX168">
            <v>366</v>
          </cell>
          <cell r="AZ168">
            <v>9.5000000000000001E-2</v>
          </cell>
          <cell r="BA168">
            <v>152</v>
          </cell>
          <cell r="BB168">
            <v>98323.502904109584</v>
          </cell>
        </row>
        <row r="169">
          <cell r="AX169">
            <v>307</v>
          </cell>
        </row>
        <row r="170">
          <cell r="AV170">
            <v>365</v>
          </cell>
          <cell r="AX170">
            <v>366</v>
          </cell>
          <cell r="AZ170">
            <v>0.16209999999999999</v>
          </cell>
          <cell r="BA170">
            <v>243</v>
          </cell>
          <cell r="BB170">
            <v>321.05792465753422</v>
          </cell>
        </row>
        <row r="171">
          <cell r="AX171">
            <v>366</v>
          </cell>
          <cell r="AZ171">
            <v>0.1</v>
          </cell>
          <cell r="BA171">
            <v>289</v>
          </cell>
          <cell r="BB171">
            <v>302.85616438356163</v>
          </cell>
        </row>
        <row r="172">
          <cell r="AX172">
            <v>366</v>
          </cell>
          <cell r="AZ172">
            <v>0.1</v>
          </cell>
          <cell r="BA172">
            <v>325</v>
          </cell>
          <cell r="BB172">
            <v>348.19520547945211</v>
          </cell>
        </row>
        <row r="173">
          <cell r="AV173">
            <v>365</v>
          </cell>
          <cell r="AX173">
            <v>365</v>
          </cell>
        </row>
        <row r="174">
          <cell r="AX174">
            <v>366</v>
          </cell>
          <cell r="AZ174">
            <v>0.1</v>
          </cell>
          <cell r="BA174">
            <v>365</v>
          </cell>
          <cell r="BB174">
            <v>410</v>
          </cell>
          <cell r="BC174">
            <v>8</v>
          </cell>
        </row>
        <row r="175">
          <cell r="AX175">
            <v>273</v>
          </cell>
        </row>
        <row r="176">
          <cell r="AX176">
            <v>136</v>
          </cell>
        </row>
        <row r="177">
          <cell r="AX177">
            <v>8</v>
          </cell>
        </row>
        <row r="178">
          <cell r="AX178">
            <v>366</v>
          </cell>
          <cell r="AZ178">
            <v>0.1</v>
          </cell>
          <cell r="BA178">
            <v>365</v>
          </cell>
          <cell r="BB178">
            <v>358.02</v>
          </cell>
          <cell r="BC178">
            <v>3</v>
          </cell>
        </row>
        <row r="179">
          <cell r="AX179">
            <v>366</v>
          </cell>
          <cell r="AZ179">
            <v>0.1</v>
          </cell>
          <cell r="BA179">
            <v>312</v>
          </cell>
          <cell r="BB179">
            <v>278.40657534246577</v>
          </cell>
        </row>
        <row r="180">
          <cell r="AV180">
            <v>365</v>
          </cell>
          <cell r="AX180">
            <v>366</v>
          </cell>
          <cell r="AZ180">
            <v>0.16209999999999999</v>
          </cell>
          <cell r="BA180">
            <v>338</v>
          </cell>
          <cell r="BB180">
            <v>360.26169863013695</v>
          </cell>
        </row>
        <row r="181">
          <cell r="AX181">
            <v>366</v>
          </cell>
          <cell r="AZ181">
            <v>0.1</v>
          </cell>
          <cell r="BA181">
            <v>169</v>
          </cell>
          <cell r="BB181">
            <v>123.7172602739726</v>
          </cell>
        </row>
        <row r="182">
          <cell r="AX182">
            <v>179</v>
          </cell>
        </row>
        <row r="183">
          <cell r="AX183">
            <v>366</v>
          </cell>
          <cell r="AZ183">
            <v>0.1</v>
          </cell>
          <cell r="BA183">
            <v>2</v>
          </cell>
          <cell r="BB183">
            <v>1.1178082191780823</v>
          </cell>
        </row>
        <row r="184">
          <cell r="AX184">
            <v>336</v>
          </cell>
        </row>
        <row r="185">
          <cell r="AX185">
            <v>1</v>
          </cell>
        </row>
        <row r="186">
          <cell r="AV186">
            <v>365</v>
          </cell>
          <cell r="AX186">
            <v>366</v>
          </cell>
          <cell r="AZ186">
            <v>0.16209999999999999</v>
          </cell>
          <cell r="BA186">
            <v>178</v>
          </cell>
          <cell r="BB186">
            <v>142.2927123287671</v>
          </cell>
        </row>
        <row r="187">
          <cell r="AX187">
            <v>273</v>
          </cell>
        </row>
        <row r="188">
          <cell r="AX188">
            <v>366</v>
          </cell>
          <cell r="AZ188">
            <v>0.1</v>
          </cell>
          <cell r="BA188">
            <v>329</v>
          </cell>
          <cell r="BB188">
            <v>211.82191780821918</v>
          </cell>
        </row>
        <row r="189">
          <cell r="AV189">
            <v>365</v>
          </cell>
          <cell r="AX189">
            <v>276</v>
          </cell>
        </row>
        <row r="190">
          <cell r="AX190">
            <v>366</v>
          </cell>
          <cell r="AZ190">
            <v>0.1</v>
          </cell>
          <cell r="BA190">
            <v>212</v>
          </cell>
          <cell r="BB190">
            <v>116.16438356164383</v>
          </cell>
        </row>
        <row r="191">
          <cell r="AX191">
            <v>274</v>
          </cell>
        </row>
        <row r="192">
          <cell r="AX192">
            <v>366</v>
          </cell>
          <cell r="AZ192">
            <v>0.1</v>
          </cell>
          <cell r="BA192">
            <v>61</v>
          </cell>
          <cell r="BB192">
            <v>28.043287671232878</v>
          </cell>
        </row>
        <row r="193">
          <cell r="AV193">
            <v>365</v>
          </cell>
          <cell r="AX193">
            <v>366</v>
          </cell>
          <cell r="AZ193">
            <v>6.3299999999999995E-2</v>
          </cell>
          <cell r="BA193">
            <v>365</v>
          </cell>
          <cell r="BB193">
            <v>135430.34999999998</v>
          </cell>
          <cell r="BC193">
            <v>76</v>
          </cell>
        </row>
        <row r="194">
          <cell r="AX194">
            <v>366</v>
          </cell>
          <cell r="AZ194">
            <v>0.1</v>
          </cell>
          <cell r="BA194">
            <v>92</v>
          </cell>
          <cell r="BB194">
            <v>43.076164383561647</v>
          </cell>
        </row>
        <row r="195">
          <cell r="AV195">
            <v>365</v>
          </cell>
          <cell r="AX195">
            <v>366</v>
          </cell>
          <cell r="AZ195">
            <v>0.16209999999999999</v>
          </cell>
          <cell r="BA195">
            <v>175</v>
          </cell>
          <cell r="BB195">
            <v>112.69280821917808</v>
          </cell>
        </row>
        <row r="196">
          <cell r="AX196">
            <v>341</v>
          </cell>
        </row>
        <row r="197">
          <cell r="AX197">
            <v>119</v>
          </cell>
        </row>
        <row r="198">
          <cell r="AX198">
            <v>366</v>
          </cell>
          <cell r="AZ198">
            <v>0.1</v>
          </cell>
          <cell r="BA198">
            <v>365</v>
          </cell>
          <cell r="BB198">
            <v>153.70000000000002</v>
          </cell>
          <cell r="BC198">
            <v>50</v>
          </cell>
        </row>
        <row r="199">
          <cell r="AX199">
            <v>350</v>
          </cell>
        </row>
        <row r="200">
          <cell r="AX200">
            <v>366</v>
          </cell>
          <cell r="AZ200">
            <v>0.1</v>
          </cell>
          <cell r="BA200">
            <v>45</v>
          </cell>
          <cell r="BB200">
            <v>8.1739726027397257</v>
          </cell>
        </row>
        <row r="201">
          <cell r="AX201">
            <v>153</v>
          </cell>
        </row>
        <row r="202">
          <cell r="AX202">
            <v>366</v>
          </cell>
          <cell r="AZ202">
            <v>0.1</v>
          </cell>
          <cell r="BA202">
            <v>365</v>
          </cell>
          <cell r="BB202">
            <v>52</v>
          </cell>
          <cell r="BC202">
            <v>37</v>
          </cell>
        </row>
        <row r="203">
          <cell r="AX203">
            <v>153</v>
          </cell>
        </row>
        <row r="204">
          <cell r="AX204">
            <v>179</v>
          </cell>
        </row>
        <row r="205">
          <cell r="AV205">
            <v>365</v>
          </cell>
          <cell r="AX205">
            <v>70</v>
          </cell>
        </row>
        <row r="206">
          <cell r="D206" t="str">
            <v>Utilities</v>
          </cell>
          <cell r="E206" t="str">
            <v>UTILITY</v>
          </cell>
          <cell r="AV206">
            <v>365</v>
          </cell>
          <cell r="AX206">
            <v>130</v>
          </cell>
        </row>
        <row r="207">
          <cell r="AV207">
            <v>365</v>
          </cell>
          <cell r="AX207">
            <v>130</v>
          </cell>
        </row>
        <row r="208">
          <cell r="AV208">
            <v>365</v>
          </cell>
          <cell r="AX208">
            <v>307</v>
          </cell>
        </row>
        <row r="209">
          <cell r="AV209">
            <v>365</v>
          </cell>
          <cell r="AX209">
            <v>267</v>
          </cell>
        </row>
        <row r="210">
          <cell r="AV210">
            <v>365</v>
          </cell>
          <cell r="AX210">
            <v>263</v>
          </cell>
        </row>
        <row r="211">
          <cell r="AV211">
            <v>365</v>
          </cell>
          <cell r="AX211">
            <v>366</v>
          </cell>
        </row>
        <row r="212">
          <cell r="D212" t="str">
            <v>Utilities</v>
          </cell>
          <cell r="E212" t="str">
            <v>UTILITY</v>
          </cell>
          <cell r="AV212">
            <v>365</v>
          </cell>
          <cell r="AX212">
            <v>130</v>
          </cell>
        </row>
        <row r="213">
          <cell r="AV213">
            <v>365</v>
          </cell>
          <cell r="AX213">
            <v>123</v>
          </cell>
        </row>
        <row r="214">
          <cell r="AV214">
            <v>365</v>
          </cell>
          <cell r="AX214">
            <v>130</v>
          </cell>
        </row>
        <row r="215">
          <cell r="AV215">
            <v>365</v>
          </cell>
          <cell r="AX215">
            <v>119</v>
          </cell>
        </row>
        <row r="216">
          <cell r="AV216">
            <v>365</v>
          </cell>
          <cell r="AX216">
            <v>312</v>
          </cell>
        </row>
        <row r="217">
          <cell r="AV217">
            <v>365</v>
          </cell>
          <cell r="AX217">
            <v>366</v>
          </cell>
        </row>
        <row r="218">
          <cell r="AV218">
            <v>365</v>
          </cell>
          <cell r="AX218">
            <v>26</v>
          </cell>
        </row>
        <row r="219">
          <cell r="AV219">
            <v>365</v>
          </cell>
          <cell r="AX219">
            <v>136</v>
          </cell>
        </row>
        <row r="220">
          <cell r="D220" t="str">
            <v>CO</v>
          </cell>
          <cell r="AV220">
            <v>365</v>
          </cell>
          <cell r="AX220">
            <v>366</v>
          </cell>
          <cell r="AZ220">
            <v>9.5000000000000001E-2</v>
          </cell>
          <cell r="BA220">
            <v>330</v>
          </cell>
          <cell r="BB220">
            <v>150576.54082191779</v>
          </cell>
        </row>
        <row r="221">
          <cell r="AV221">
            <v>365</v>
          </cell>
          <cell r="AX221">
            <v>366</v>
          </cell>
        </row>
        <row r="222">
          <cell r="AV222">
            <v>365</v>
          </cell>
          <cell r="AX222">
            <v>366</v>
          </cell>
        </row>
        <row r="223">
          <cell r="AV223">
            <v>365</v>
          </cell>
          <cell r="AX223">
            <v>366</v>
          </cell>
        </row>
        <row r="224">
          <cell r="AV224">
            <v>365</v>
          </cell>
          <cell r="AX224">
            <v>72</v>
          </cell>
        </row>
        <row r="225">
          <cell r="AV225">
            <v>365</v>
          </cell>
          <cell r="AX225">
            <v>336</v>
          </cell>
        </row>
        <row r="226">
          <cell r="AV226">
            <v>365</v>
          </cell>
          <cell r="AX226">
            <v>136</v>
          </cell>
        </row>
        <row r="227">
          <cell r="AV227">
            <v>365</v>
          </cell>
          <cell r="AX227">
            <v>276</v>
          </cell>
        </row>
        <row r="228">
          <cell r="AV228">
            <v>365</v>
          </cell>
          <cell r="AX228">
            <v>71</v>
          </cell>
        </row>
        <row r="229">
          <cell r="AV229">
            <v>365</v>
          </cell>
          <cell r="AX229">
            <v>147</v>
          </cell>
        </row>
        <row r="230">
          <cell r="AV230">
            <v>365</v>
          </cell>
          <cell r="AX230">
            <v>366</v>
          </cell>
        </row>
        <row r="231">
          <cell r="AV231">
            <v>365</v>
          </cell>
          <cell r="AX231">
            <v>366</v>
          </cell>
        </row>
        <row r="232">
          <cell r="AV232">
            <v>365</v>
          </cell>
          <cell r="AX232">
            <v>215</v>
          </cell>
        </row>
        <row r="233">
          <cell r="AV233">
            <v>365</v>
          </cell>
          <cell r="AX233">
            <v>256</v>
          </cell>
        </row>
        <row r="234">
          <cell r="AV234">
            <v>365</v>
          </cell>
          <cell r="AX234">
            <v>245</v>
          </cell>
        </row>
        <row r="235">
          <cell r="AV235">
            <v>365</v>
          </cell>
          <cell r="AX235">
            <v>42</v>
          </cell>
        </row>
        <row r="236">
          <cell r="AV236">
            <v>365</v>
          </cell>
          <cell r="AX236">
            <v>281</v>
          </cell>
        </row>
        <row r="237">
          <cell r="AV237">
            <v>365</v>
          </cell>
          <cell r="AX237">
            <v>33</v>
          </cell>
        </row>
        <row r="238">
          <cell r="AV238">
            <v>365</v>
          </cell>
          <cell r="AX238">
            <v>128</v>
          </cell>
        </row>
        <row r="239">
          <cell r="AV239">
            <v>365</v>
          </cell>
          <cell r="AX239">
            <v>130</v>
          </cell>
        </row>
        <row r="240">
          <cell r="AV240">
            <v>365</v>
          </cell>
          <cell r="AX240">
            <v>281</v>
          </cell>
        </row>
        <row r="241">
          <cell r="AV241">
            <v>365</v>
          </cell>
          <cell r="AX241">
            <v>155</v>
          </cell>
        </row>
        <row r="242">
          <cell r="AV242">
            <v>365</v>
          </cell>
          <cell r="AX242">
            <v>366</v>
          </cell>
        </row>
        <row r="243">
          <cell r="AV243">
            <v>365</v>
          </cell>
          <cell r="AX243">
            <v>130</v>
          </cell>
        </row>
        <row r="244">
          <cell r="AV244">
            <v>365</v>
          </cell>
          <cell r="AX244">
            <v>366</v>
          </cell>
        </row>
        <row r="245">
          <cell r="AV245">
            <v>365</v>
          </cell>
          <cell r="AX245">
            <v>123</v>
          </cell>
        </row>
        <row r="246">
          <cell r="AV246">
            <v>365</v>
          </cell>
          <cell r="AX246">
            <v>130</v>
          </cell>
        </row>
        <row r="247">
          <cell r="AV247">
            <v>365</v>
          </cell>
          <cell r="AX247">
            <v>130</v>
          </cell>
        </row>
        <row r="248">
          <cell r="AV248">
            <v>365</v>
          </cell>
          <cell r="AX248">
            <v>336</v>
          </cell>
        </row>
        <row r="249">
          <cell r="AV249">
            <v>365</v>
          </cell>
          <cell r="AX249">
            <v>1</v>
          </cell>
        </row>
        <row r="250">
          <cell r="AV250">
            <v>365</v>
          </cell>
          <cell r="AX250">
            <v>1</v>
          </cell>
        </row>
        <row r="251">
          <cell r="D251" t="str">
            <v>CO</v>
          </cell>
          <cell r="AV251">
            <v>365</v>
          </cell>
          <cell r="AX251">
            <v>366</v>
          </cell>
          <cell r="AZ251">
            <v>9.5000000000000001E-2</v>
          </cell>
          <cell r="BA251">
            <v>159</v>
          </cell>
          <cell r="BB251">
            <v>58401.102945205472</v>
          </cell>
        </row>
        <row r="252">
          <cell r="AV252">
            <v>365</v>
          </cell>
          <cell r="AX252">
            <v>267</v>
          </cell>
        </row>
        <row r="253">
          <cell r="AV253">
            <v>365</v>
          </cell>
          <cell r="AX253">
            <v>168</v>
          </cell>
        </row>
        <row r="254">
          <cell r="AV254">
            <v>365</v>
          </cell>
          <cell r="AX254">
            <v>366</v>
          </cell>
        </row>
        <row r="255">
          <cell r="AV255">
            <v>365</v>
          </cell>
          <cell r="AX255">
            <v>366</v>
          </cell>
        </row>
        <row r="256">
          <cell r="AV256">
            <v>365</v>
          </cell>
          <cell r="AX256">
            <v>130</v>
          </cell>
        </row>
        <row r="257">
          <cell r="AV257">
            <v>365</v>
          </cell>
          <cell r="AX257">
            <v>245</v>
          </cell>
        </row>
        <row r="258">
          <cell r="D258" t="str">
            <v>R&amp;D</v>
          </cell>
          <cell r="AV258">
            <v>365</v>
          </cell>
          <cell r="AX258">
            <v>366</v>
          </cell>
          <cell r="AZ258">
            <v>9.5000000000000001E-2</v>
          </cell>
          <cell r="BA258">
            <v>345</v>
          </cell>
          <cell r="BB258">
            <v>119549.91041095891</v>
          </cell>
        </row>
        <row r="259">
          <cell r="AV259">
            <v>365</v>
          </cell>
          <cell r="AX259">
            <v>130</v>
          </cell>
        </row>
        <row r="260">
          <cell r="AV260">
            <v>365</v>
          </cell>
          <cell r="AX260">
            <v>1</v>
          </cell>
        </row>
        <row r="261">
          <cell r="AV261">
            <v>365</v>
          </cell>
          <cell r="AX261">
            <v>366</v>
          </cell>
        </row>
        <row r="262">
          <cell r="AV262">
            <v>365</v>
          </cell>
          <cell r="AX262">
            <v>130</v>
          </cell>
        </row>
        <row r="263">
          <cell r="AV263">
            <v>365</v>
          </cell>
          <cell r="AX263">
            <v>130</v>
          </cell>
        </row>
        <row r="264">
          <cell r="AV264">
            <v>365</v>
          </cell>
          <cell r="AX264">
            <v>366</v>
          </cell>
        </row>
        <row r="265">
          <cell r="D265" t="str">
            <v>R&amp;D</v>
          </cell>
          <cell r="AV265">
            <v>365</v>
          </cell>
          <cell r="AX265">
            <v>366</v>
          </cell>
          <cell r="AZ265">
            <v>9.5000000000000001E-2</v>
          </cell>
          <cell r="BA265">
            <v>37</v>
          </cell>
          <cell r="BB265">
            <v>12076.856260273973</v>
          </cell>
        </row>
        <row r="266">
          <cell r="D266" t="str">
            <v>R&amp;D</v>
          </cell>
          <cell r="AV266">
            <v>365</v>
          </cell>
          <cell r="AX266">
            <v>366</v>
          </cell>
          <cell r="AZ266">
            <v>9.5000000000000001E-2</v>
          </cell>
          <cell r="BA266">
            <v>37</v>
          </cell>
          <cell r="BB266">
            <v>12076.856260273973</v>
          </cell>
        </row>
        <row r="267">
          <cell r="AV267">
            <v>365</v>
          </cell>
          <cell r="AX267">
            <v>336</v>
          </cell>
        </row>
        <row r="268">
          <cell r="AV268">
            <v>365</v>
          </cell>
          <cell r="AX268">
            <v>1</v>
          </cell>
        </row>
        <row r="269">
          <cell r="AV269">
            <v>365</v>
          </cell>
          <cell r="AX269">
            <v>366</v>
          </cell>
        </row>
        <row r="270">
          <cell r="AV270">
            <v>365</v>
          </cell>
          <cell r="AX270">
            <v>281</v>
          </cell>
        </row>
        <row r="271">
          <cell r="AV271">
            <v>365</v>
          </cell>
          <cell r="AX271">
            <v>130</v>
          </cell>
        </row>
        <row r="272">
          <cell r="AV272">
            <v>365</v>
          </cell>
          <cell r="AX272">
            <v>231</v>
          </cell>
        </row>
        <row r="273">
          <cell r="AV273">
            <v>365</v>
          </cell>
          <cell r="AX273">
            <v>130</v>
          </cell>
        </row>
        <row r="274">
          <cell r="AV274">
            <v>365</v>
          </cell>
          <cell r="AX274">
            <v>123</v>
          </cell>
        </row>
        <row r="275">
          <cell r="AV275">
            <v>365</v>
          </cell>
          <cell r="AX275">
            <v>366</v>
          </cell>
        </row>
        <row r="276">
          <cell r="E276" t="str">
            <v>FF</v>
          </cell>
          <cell r="F276" t="str">
            <v>Intermediate</v>
          </cell>
          <cell r="AV276">
            <v>305</v>
          </cell>
        </row>
        <row r="277">
          <cell r="E277" t="str">
            <v>Mezzanine</v>
          </cell>
          <cell r="F277" t="str">
            <v>Intermediate</v>
          </cell>
          <cell r="AV277">
            <v>305</v>
          </cell>
        </row>
        <row r="278">
          <cell r="E278" t="str">
            <v>FF</v>
          </cell>
          <cell r="F278" t="str">
            <v>Intermediate</v>
          </cell>
          <cell r="AV278">
            <v>305</v>
          </cell>
        </row>
        <row r="279">
          <cell r="E279" t="str">
            <v>FF</v>
          </cell>
          <cell r="F279" t="str">
            <v>Intermediate</v>
          </cell>
          <cell r="AV279">
            <v>305</v>
          </cell>
        </row>
        <row r="280">
          <cell r="E280" t="str">
            <v>FF</v>
          </cell>
          <cell r="F280" t="str">
            <v>Intermediate</v>
          </cell>
          <cell r="AV280">
            <v>305</v>
          </cell>
        </row>
        <row r="281">
          <cell r="AV281">
            <v>365</v>
          </cell>
          <cell r="AX281">
            <v>123</v>
          </cell>
        </row>
        <row r="282">
          <cell r="AV282">
            <v>365</v>
          </cell>
          <cell r="AX282">
            <v>112</v>
          </cell>
        </row>
        <row r="283">
          <cell r="E283" t="str">
            <v>FF</v>
          </cell>
          <cell r="F283" t="str">
            <v>Pharma</v>
          </cell>
          <cell r="AV283">
            <v>289</v>
          </cell>
        </row>
        <row r="284">
          <cell r="E284" t="str">
            <v>FF</v>
          </cell>
          <cell r="F284" t="str">
            <v>Pharma</v>
          </cell>
          <cell r="AV284">
            <v>289</v>
          </cell>
        </row>
        <row r="285">
          <cell r="E285" t="str">
            <v>FF</v>
          </cell>
          <cell r="F285" t="str">
            <v>Pharma</v>
          </cell>
          <cell r="AV285">
            <v>289</v>
          </cell>
        </row>
        <row r="286">
          <cell r="E286" t="str">
            <v>Mezzanine</v>
          </cell>
          <cell r="F286" t="str">
            <v>Intermediate</v>
          </cell>
          <cell r="AV286">
            <v>289</v>
          </cell>
        </row>
        <row r="287">
          <cell r="E287" t="str">
            <v>FF</v>
          </cell>
          <cell r="F287" t="str">
            <v>Intermediate</v>
          </cell>
          <cell r="AV287">
            <v>289</v>
          </cell>
        </row>
        <row r="288">
          <cell r="E288" t="str">
            <v>FF</v>
          </cell>
          <cell r="F288" t="str">
            <v>Intermediate</v>
          </cell>
          <cell r="AV288">
            <v>289</v>
          </cell>
        </row>
        <row r="289">
          <cell r="E289" t="str">
            <v>FF</v>
          </cell>
          <cell r="F289" t="str">
            <v>Intermediate</v>
          </cell>
          <cell r="AV289">
            <v>289</v>
          </cell>
        </row>
        <row r="290">
          <cell r="E290" t="str">
            <v>FF</v>
          </cell>
          <cell r="F290" t="str">
            <v>Intermediate</v>
          </cell>
          <cell r="AV290">
            <v>289</v>
          </cell>
        </row>
        <row r="291">
          <cell r="E291" t="str">
            <v>FF</v>
          </cell>
          <cell r="F291" t="str">
            <v>Intermediate</v>
          </cell>
          <cell r="AV291">
            <v>289</v>
          </cell>
        </row>
        <row r="292">
          <cell r="E292" t="str">
            <v>FF</v>
          </cell>
          <cell r="F292" t="str">
            <v>Intermediate</v>
          </cell>
          <cell r="AV292">
            <v>289</v>
          </cell>
        </row>
        <row r="293">
          <cell r="E293" t="str">
            <v>FF</v>
          </cell>
          <cell r="F293" t="str">
            <v>Intermediate</v>
          </cell>
          <cell r="AV293">
            <v>289</v>
          </cell>
        </row>
        <row r="294">
          <cell r="E294" t="str">
            <v>FF</v>
          </cell>
          <cell r="F294" t="str">
            <v>Intermediate</v>
          </cell>
          <cell r="AV294">
            <v>289</v>
          </cell>
        </row>
        <row r="295">
          <cell r="E295" t="str">
            <v>Mezzanine</v>
          </cell>
          <cell r="F295" t="str">
            <v>Intermediate</v>
          </cell>
          <cell r="AV295">
            <v>289</v>
          </cell>
        </row>
        <row r="296">
          <cell r="E296" t="str">
            <v>FF</v>
          </cell>
          <cell r="F296" t="str">
            <v>Intermediate</v>
          </cell>
          <cell r="AV296">
            <v>289</v>
          </cell>
        </row>
        <row r="297">
          <cell r="E297" t="str">
            <v>FF</v>
          </cell>
          <cell r="F297" t="str">
            <v>Intermediate</v>
          </cell>
          <cell r="AV297">
            <v>289</v>
          </cell>
        </row>
        <row r="298">
          <cell r="E298" t="str">
            <v>FF</v>
          </cell>
          <cell r="F298" t="str">
            <v>Intermediate</v>
          </cell>
          <cell r="AV298">
            <v>289</v>
          </cell>
        </row>
        <row r="299">
          <cell r="E299" t="str">
            <v>FF</v>
          </cell>
          <cell r="F299" t="str">
            <v>Intermediate</v>
          </cell>
          <cell r="AV299">
            <v>289</v>
          </cell>
        </row>
        <row r="300">
          <cell r="E300" t="str">
            <v>FF</v>
          </cell>
          <cell r="F300" t="str">
            <v>Intermediate</v>
          </cell>
          <cell r="AV300">
            <v>289</v>
          </cell>
        </row>
        <row r="301">
          <cell r="E301" t="str">
            <v>FF</v>
          </cell>
          <cell r="F301" t="str">
            <v>Intermediate</v>
          </cell>
          <cell r="AV301">
            <v>289</v>
          </cell>
        </row>
        <row r="302">
          <cell r="E302" t="str">
            <v>FF</v>
          </cell>
          <cell r="F302" t="str">
            <v>Intermediate</v>
          </cell>
          <cell r="AV302">
            <v>289</v>
          </cell>
        </row>
        <row r="303">
          <cell r="E303" t="str">
            <v>FF</v>
          </cell>
          <cell r="F303" t="str">
            <v>Intermediate</v>
          </cell>
          <cell r="AV303">
            <v>289</v>
          </cell>
        </row>
        <row r="304">
          <cell r="E304" t="str">
            <v>Tech Area</v>
          </cell>
          <cell r="F304" t="str">
            <v>Pharma</v>
          </cell>
          <cell r="AV304">
            <v>289</v>
          </cell>
        </row>
        <row r="305">
          <cell r="E305" t="str">
            <v>Tech Area</v>
          </cell>
          <cell r="F305" t="str">
            <v>Pharma</v>
          </cell>
          <cell r="AV305">
            <v>289</v>
          </cell>
        </row>
        <row r="306">
          <cell r="E306" t="str">
            <v>Tech Area</v>
          </cell>
          <cell r="F306" t="str">
            <v>Pharma</v>
          </cell>
          <cell r="AV306">
            <v>289</v>
          </cell>
        </row>
        <row r="307">
          <cell r="E307" t="str">
            <v>Tech Area</v>
          </cell>
          <cell r="F307" t="str">
            <v>Pharma</v>
          </cell>
          <cell r="AV307">
            <v>289</v>
          </cell>
        </row>
        <row r="308">
          <cell r="E308" t="str">
            <v>Tech Area</v>
          </cell>
          <cell r="F308" t="str">
            <v>Pharma</v>
          </cell>
          <cell r="AV308">
            <v>289</v>
          </cell>
        </row>
        <row r="309">
          <cell r="E309" t="str">
            <v>Mezzanine</v>
          </cell>
          <cell r="F309" t="str">
            <v>Intermediate</v>
          </cell>
          <cell r="AV309">
            <v>289</v>
          </cell>
        </row>
        <row r="310">
          <cell r="E310" t="str">
            <v>FF</v>
          </cell>
          <cell r="F310" t="str">
            <v>Intermediate</v>
          </cell>
          <cell r="AV310">
            <v>289</v>
          </cell>
        </row>
        <row r="311">
          <cell r="E311" t="str">
            <v>FF</v>
          </cell>
          <cell r="F311" t="str">
            <v>Pharma</v>
          </cell>
          <cell r="AV311">
            <v>289</v>
          </cell>
        </row>
        <row r="312">
          <cell r="E312" t="str">
            <v>FF</v>
          </cell>
          <cell r="F312" t="str">
            <v>Pharma</v>
          </cell>
          <cell r="AV312">
            <v>289</v>
          </cell>
        </row>
        <row r="313">
          <cell r="E313" t="str">
            <v>FF</v>
          </cell>
          <cell r="F313" t="str">
            <v>Pharma</v>
          </cell>
          <cell r="AV313">
            <v>289</v>
          </cell>
        </row>
        <row r="314">
          <cell r="AV314">
            <v>365</v>
          </cell>
          <cell r="AX314">
            <v>366</v>
          </cell>
        </row>
        <row r="315">
          <cell r="AV315">
            <v>365</v>
          </cell>
          <cell r="AX315">
            <v>139</v>
          </cell>
        </row>
        <row r="316">
          <cell r="AV316">
            <v>365</v>
          </cell>
          <cell r="AX316">
            <v>184</v>
          </cell>
        </row>
        <row r="317">
          <cell r="AV317">
            <v>365</v>
          </cell>
          <cell r="AX317">
            <v>137</v>
          </cell>
        </row>
        <row r="318">
          <cell r="AV318">
            <v>365</v>
          </cell>
          <cell r="AX318">
            <v>33</v>
          </cell>
        </row>
        <row r="319">
          <cell r="AV319">
            <v>365</v>
          </cell>
          <cell r="AX319">
            <v>116</v>
          </cell>
        </row>
        <row r="320">
          <cell r="AV320">
            <v>365</v>
          </cell>
          <cell r="AX320">
            <v>276</v>
          </cell>
        </row>
        <row r="321">
          <cell r="AV321">
            <v>365</v>
          </cell>
          <cell r="AX321">
            <v>130</v>
          </cell>
        </row>
        <row r="322">
          <cell r="E322" t="str">
            <v>FF</v>
          </cell>
          <cell r="F322" t="str">
            <v>Pharma</v>
          </cell>
          <cell r="AV322">
            <v>289</v>
          </cell>
        </row>
        <row r="323">
          <cell r="E323" t="str">
            <v>FF</v>
          </cell>
          <cell r="F323" t="str">
            <v>Pharma</v>
          </cell>
          <cell r="AV323">
            <v>289</v>
          </cell>
        </row>
        <row r="324">
          <cell r="E324" t="str">
            <v>FF</v>
          </cell>
          <cell r="F324" t="str">
            <v>Intermediate</v>
          </cell>
          <cell r="AV324">
            <v>289</v>
          </cell>
        </row>
        <row r="325">
          <cell r="AV325">
            <v>289</v>
          </cell>
        </row>
        <row r="326">
          <cell r="AV326">
            <v>365</v>
          </cell>
          <cell r="AX326">
            <v>273</v>
          </cell>
        </row>
        <row r="327">
          <cell r="AV327">
            <v>365</v>
          </cell>
          <cell r="AX327">
            <v>336</v>
          </cell>
        </row>
        <row r="328">
          <cell r="AV328">
            <v>365</v>
          </cell>
          <cell r="AX328">
            <v>366</v>
          </cell>
        </row>
        <row r="329">
          <cell r="AV329">
            <v>365</v>
          </cell>
          <cell r="AX329">
            <v>88</v>
          </cell>
        </row>
        <row r="330">
          <cell r="E330" t="str">
            <v>FF</v>
          </cell>
          <cell r="F330" t="str">
            <v>Intermediate</v>
          </cell>
          <cell r="AV330">
            <v>305</v>
          </cell>
        </row>
        <row r="331">
          <cell r="E331" t="str">
            <v>FF</v>
          </cell>
          <cell r="F331" t="str">
            <v>Intermediate</v>
          </cell>
          <cell r="AV331">
            <v>305</v>
          </cell>
        </row>
        <row r="332">
          <cell r="E332" t="str">
            <v>FF</v>
          </cell>
          <cell r="F332" t="str">
            <v>Intermediate</v>
          </cell>
          <cell r="AV332">
            <v>305</v>
          </cell>
        </row>
        <row r="333">
          <cell r="E333" t="str">
            <v>FF</v>
          </cell>
          <cell r="F333" t="str">
            <v>Intermediate</v>
          </cell>
          <cell r="AV333">
            <v>305</v>
          </cell>
        </row>
        <row r="334">
          <cell r="E334" t="str">
            <v>FF</v>
          </cell>
          <cell r="F334" t="str">
            <v>Intermediate</v>
          </cell>
          <cell r="AV334">
            <v>305</v>
          </cell>
        </row>
        <row r="335">
          <cell r="E335" t="str">
            <v>Mezzanine</v>
          </cell>
          <cell r="F335" t="str">
            <v>Intermediate</v>
          </cell>
          <cell r="AV335">
            <v>305</v>
          </cell>
        </row>
        <row r="336">
          <cell r="E336" t="str">
            <v>Mezzanine</v>
          </cell>
          <cell r="F336" t="str">
            <v>Intermediate</v>
          </cell>
          <cell r="AV336">
            <v>305</v>
          </cell>
        </row>
        <row r="337">
          <cell r="E337" t="str">
            <v>FF</v>
          </cell>
          <cell r="F337" t="str">
            <v>Intermediate</v>
          </cell>
          <cell r="AV337">
            <v>305</v>
          </cell>
        </row>
        <row r="338">
          <cell r="E338" t="str">
            <v>FF</v>
          </cell>
          <cell r="F338" t="str">
            <v>Pharma</v>
          </cell>
          <cell r="AV338">
            <v>305</v>
          </cell>
        </row>
        <row r="339">
          <cell r="E339" t="str">
            <v>FF</v>
          </cell>
          <cell r="F339" t="str">
            <v>Intermediate</v>
          </cell>
          <cell r="AV339">
            <v>305</v>
          </cell>
        </row>
        <row r="340">
          <cell r="AV340">
            <v>365</v>
          </cell>
          <cell r="AX340">
            <v>307</v>
          </cell>
        </row>
        <row r="341">
          <cell r="AV341">
            <v>365</v>
          </cell>
          <cell r="AX341">
            <v>76</v>
          </cell>
        </row>
        <row r="342">
          <cell r="E342" t="str">
            <v>FF</v>
          </cell>
          <cell r="AV342">
            <v>289</v>
          </cell>
        </row>
        <row r="343">
          <cell r="E343" t="str">
            <v>FF</v>
          </cell>
          <cell r="AV343">
            <v>289</v>
          </cell>
        </row>
        <row r="344">
          <cell r="E344" t="str">
            <v>FF</v>
          </cell>
          <cell r="F344" t="str">
            <v>Intermediate</v>
          </cell>
          <cell r="AV344">
            <v>289</v>
          </cell>
        </row>
        <row r="345">
          <cell r="E345" t="str">
            <v>FF</v>
          </cell>
          <cell r="F345" t="str">
            <v>Intermediate</v>
          </cell>
          <cell r="AV345">
            <v>289</v>
          </cell>
        </row>
        <row r="346">
          <cell r="E346" t="str">
            <v>FF</v>
          </cell>
          <cell r="F346" t="str">
            <v>Pharma</v>
          </cell>
          <cell r="AV346">
            <v>289</v>
          </cell>
        </row>
        <row r="347">
          <cell r="E347" t="str">
            <v>FF</v>
          </cell>
          <cell r="F347" t="str">
            <v>Intermediate</v>
          </cell>
          <cell r="AV347">
            <v>289</v>
          </cell>
        </row>
        <row r="348">
          <cell r="E348" t="str">
            <v>FF</v>
          </cell>
          <cell r="F348" t="str">
            <v>Intermediate</v>
          </cell>
          <cell r="AV348">
            <v>289</v>
          </cell>
        </row>
        <row r="349">
          <cell r="E349" t="str">
            <v>FF</v>
          </cell>
          <cell r="F349" t="str">
            <v>Intermediate</v>
          </cell>
          <cell r="AV349">
            <v>289</v>
          </cell>
        </row>
        <row r="350">
          <cell r="E350" t="str">
            <v>FF</v>
          </cell>
          <cell r="F350" t="str">
            <v>Intermediate</v>
          </cell>
          <cell r="AV350">
            <v>289</v>
          </cell>
        </row>
        <row r="351">
          <cell r="E351" t="str">
            <v>FF</v>
          </cell>
          <cell r="F351" t="str">
            <v>Intermediate</v>
          </cell>
          <cell r="AV351">
            <v>289</v>
          </cell>
        </row>
        <row r="352">
          <cell r="E352" t="str">
            <v>Mezzanine</v>
          </cell>
          <cell r="F352" t="str">
            <v>Intermediate</v>
          </cell>
          <cell r="AV352">
            <v>289</v>
          </cell>
        </row>
        <row r="353">
          <cell r="E353" t="str">
            <v>Mezzanine</v>
          </cell>
          <cell r="F353" t="str">
            <v>Intermediate</v>
          </cell>
          <cell r="AV353">
            <v>289</v>
          </cell>
        </row>
        <row r="354">
          <cell r="E354" t="str">
            <v>FF</v>
          </cell>
          <cell r="F354" t="str">
            <v>Intermediate</v>
          </cell>
          <cell r="AV354">
            <v>289</v>
          </cell>
        </row>
        <row r="355">
          <cell r="E355" t="str">
            <v>FF</v>
          </cell>
          <cell r="F355" t="str">
            <v>Intermediate</v>
          </cell>
          <cell r="AV355">
            <v>289</v>
          </cell>
        </row>
        <row r="356">
          <cell r="E356" t="str">
            <v>FF</v>
          </cell>
          <cell r="F356" t="str">
            <v>Intermediate</v>
          </cell>
          <cell r="AV356">
            <v>289</v>
          </cell>
        </row>
        <row r="357">
          <cell r="E357" t="str">
            <v>Tech Area</v>
          </cell>
          <cell r="F357" t="str">
            <v>Pharma</v>
          </cell>
          <cell r="AV357">
            <v>289</v>
          </cell>
        </row>
        <row r="358">
          <cell r="E358" t="str">
            <v>FF</v>
          </cell>
          <cell r="F358" t="str">
            <v>Intermediate</v>
          </cell>
          <cell r="AV358">
            <v>289</v>
          </cell>
        </row>
        <row r="359">
          <cell r="E359" t="str">
            <v>FF</v>
          </cell>
          <cell r="F359" t="str">
            <v>Intermediate</v>
          </cell>
          <cell r="AV359">
            <v>289</v>
          </cell>
        </row>
        <row r="360">
          <cell r="E360" t="str">
            <v>FF</v>
          </cell>
          <cell r="F360" t="str">
            <v>Intermediate</v>
          </cell>
          <cell r="AV360">
            <v>289</v>
          </cell>
        </row>
        <row r="361">
          <cell r="E361" t="str">
            <v>FF</v>
          </cell>
          <cell r="F361" t="str">
            <v>Intermediate</v>
          </cell>
          <cell r="AV361">
            <v>289</v>
          </cell>
        </row>
        <row r="362">
          <cell r="E362" t="str">
            <v>FF</v>
          </cell>
          <cell r="AV362">
            <v>365</v>
          </cell>
          <cell r="AX362">
            <v>179</v>
          </cell>
        </row>
        <row r="363">
          <cell r="AV363">
            <v>365</v>
          </cell>
          <cell r="AX363">
            <v>366</v>
          </cell>
        </row>
        <row r="364">
          <cell r="AV364">
            <v>365</v>
          </cell>
          <cell r="AX364">
            <v>366</v>
          </cell>
          <cell r="AZ364">
            <v>6.3299999999999995E-2</v>
          </cell>
          <cell r="BA364">
            <v>158</v>
          </cell>
          <cell r="BB364">
            <v>219.20876712328766</v>
          </cell>
        </row>
        <row r="365">
          <cell r="E365" t="str">
            <v>FF</v>
          </cell>
          <cell r="F365" t="str">
            <v>Intermediate</v>
          </cell>
          <cell r="AV365">
            <v>305</v>
          </cell>
        </row>
        <row r="366">
          <cell r="E366" t="str">
            <v>FF</v>
          </cell>
          <cell r="F366" t="str">
            <v>Intermediate</v>
          </cell>
          <cell r="AV366">
            <v>305</v>
          </cell>
        </row>
        <row r="367">
          <cell r="E367" t="str">
            <v>FF</v>
          </cell>
          <cell r="F367" t="str">
            <v>Intermediate</v>
          </cell>
          <cell r="AV367">
            <v>305</v>
          </cell>
        </row>
        <row r="368">
          <cell r="E368" t="str">
            <v>FF</v>
          </cell>
          <cell r="F368" t="str">
            <v>Pharma</v>
          </cell>
          <cell r="AV368">
            <v>305</v>
          </cell>
        </row>
        <row r="369">
          <cell r="AV369">
            <v>365</v>
          </cell>
          <cell r="AX369">
            <v>366</v>
          </cell>
        </row>
        <row r="370">
          <cell r="E370" t="str">
            <v>FF</v>
          </cell>
          <cell r="F370" t="str">
            <v>Intermediate</v>
          </cell>
          <cell r="AV370">
            <v>289</v>
          </cell>
        </row>
        <row r="371">
          <cell r="E371" t="str">
            <v>FF</v>
          </cell>
          <cell r="F371" t="str">
            <v>Intermediate</v>
          </cell>
          <cell r="AV371">
            <v>289</v>
          </cell>
        </row>
        <row r="372">
          <cell r="E372" t="str">
            <v>Mezzanine</v>
          </cell>
          <cell r="F372" t="str">
            <v>Intermediate</v>
          </cell>
          <cell r="AV372">
            <v>289</v>
          </cell>
        </row>
        <row r="373">
          <cell r="E373" t="str">
            <v>FF</v>
          </cell>
          <cell r="F373" t="str">
            <v>Intermediate</v>
          </cell>
          <cell r="AV373">
            <v>289</v>
          </cell>
        </row>
        <row r="374">
          <cell r="E374" t="str">
            <v>Mezzanine</v>
          </cell>
          <cell r="F374" t="str">
            <v>Intermediate</v>
          </cell>
          <cell r="AV374">
            <v>289</v>
          </cell>
        </row>
        <row r="375">
          <cell r="E375" t="str">
            <v>FF</v>
          </cell>
          <cell r="F375" t="str">
            <v>Pharma</v>
          </cell>
          <cell r="AV375">
            <v>289</v>
          </cell>
        </row>
        <row r="376">
          <cell r="E376" t="str">
            <v>FF</v>
          </cell>
          <cell r="F376" t="str">
            <v>Intermediate</v>
          </cell>
          <cell r="AV376">
            <v>289</v>
          </cell>
        </row>
        <row r="377">
          <cell r="E377" t="str">
            <v>FF</v>
          </cell>
          <cell r="F377" t="str">
            <v>Intermediate</v>
          </cell>
          <cell r="AV377">
            <v>289</v>
          </cell>
        </row>
        <row r="378">
          <cell r="E378" t="str">
            <v>FF</v>
          </cell>
          <cell r="F378" t="str">
            <v>Intermediate</v>
          </cell>
          <cell r="AV378">
            <v>289</v>
          </cell>
        </row>
        <row r="379">
          <cell r="D379" t="str">
            <v>GC-IB</v>
          </cell>
          <cell r="E379" t="str">
            <v>UTILITY</v>
          </cell>
          <cell r="AV379">
            <v>305</v>
          </cell>
        </row>
        <row r="380">
          <cell r="D380" t="str">
            <v>GC-IB</v>
          </cell>
          <cell r="E380" t="str">
            <v>UTILITY</v>
          </cell>
          <cell r="AV380">
            <v>305</v>
          </cell>
        </row>
        <row r="381">
          <cell r="D381" t="str">
            <v>GC-IB</v>
          </cell>
          <cell r="E381" t="str">
            <v>UTILITY</v>
          </cell>
          <cell r="AV381">
            <v>305</v>
          </cell>
        </row>
        <row r="382">
          <cell r="D382" t="str">
            <v>GC-IB</v>
          </cell>
          <cell r="E382" t="str">
            <v>UTILITY</v>
          </cell>
          <cell r="AV382">
            <v>305</v>
          </cell>
        </row>
        <row r="383">
          <cell r="D383" t="str">
            <v>GC-IB</v>
          </cell>
          <cell r="E383" t="str">
            <v>UTILITY</v>
          </cell>
          <cell r="AV383">
            <v>305</v>
          </cell>
        </row>
        <row r="384">
          <cell r="D384" t="str">
            <v>GC-IB</v>
          </cell>
          <cell r="E384" t="str">
            <v>UTILITY</v>
          </cell>
          <cell r="AV384">
            <v>305</v>
          </cell>
        </row>
        <row r="385">
          <cell r="D385" t="str">
            <v>GC-IB</v>
          </cell>
          <cell r="E385" t="str">
            <v>UTILITY</v>
          </cell>
          <cell r="AV385">
            <v>305</v>
          </cell>
        </row>
        <row r="386">
          <cell r="D386" t="str">
            <v>GC-IB</v>
          </cell>
          <cell r="E386" t="str">
            <v>UTILITY</v>
          </cell>
          <cell r="AV386">
            <v>305</v>
          </cell>
        </row>
        <row r="387">
          <cell r="D387" t="str">
            <v>GC-IB</v>
          </cell>
          <cell r="E387" t="str">
            <v>UTILITY</v>
          </cell>
          <cell r="AV387">
            <v>305</v>
          </cell>
        </row>
        <row r="388">
          <cell r="D388" t="str">
            <v>GC-IB</v>
          </cell>
          <cell r="E388" t="str">
            <v>UTILITY</v>
          </cell>
          <cell r="AV388">
            <v>305</v>
          </cell>
        </row>
        <row r="389">
          <cell r="D389" t="str">
            <v>GC-IB</v>
          </cell>
          <cell r="E389" t="str">
            <v>UTILITY</v>
          </cell>
          <cell r="AV389">
            <v>305</v>
          </cell>
        </row>
        <row r="390">
          <cell r="D390" t="str">
            <v>GC-IB</v>
          </cell>
          <cell r="E390" t="str">
            <v>UTILITY</v>
          </cell>
          <cell r="AV390">
            <v>305</v>
          </cell>
        </row>
        <row r="391">
          <cell r="D391" t="str">
            <v>GC-IB</v>
          </cell>
          <cell r="E391" t="str">
            <v>UTILITY</v>
          </cell>
          <cell r="AV391">
            <v>305</v>
          </cell>
        </row>
        <row r="392">
          <cell r="D392" t="str">
            <v>GC-IB</v>
          </cell>
          <cell r="E392" t="str">
            <v>UTILITY</v>
          </cell>
          <cell r="AV392">
            <v>305</v>
          </cell>
        </row>
        <row r="393">
          <cell r="AV393">
            <v>305</v>
          </cell>
        </row>
        <row r="394">
          <cell r="AV394">
            <v>305</v>
          </cell>
        </row>
        <row r="395">
          <cell r="AV395">
            <v>305</v>
          </cell>
        </row>
        <row r="396">
          <cell r="AV396">
            <v>305</v>
          </cell>
        </row>
        <row r="397">
          <cell r="AV397">
            <v>305</v>
          </cell>
        </row>
        <row r="398">
          <cell r="AV398">
            <v>305</v>
          </cell>
        </row>
        <row r="399">
          <cell r="AV399">
            <v>305</v>
          </cell>
        </row>
        <row r="400">
          <cell r="AV400">
            <v>305</v>
          </cell>
        </row>
        <row r="401">
          <cell r="AV401">
            <v>305</v>
          </cell>
        </row>
        <row r="402">
          <cell r="AV402">
            <v>305</v>
          </cell>
        </row>
        <row r="403">
          <cell r="D403" t="str">
            <v>GC-IB</v>
          </cell>
          <cell r="E403" t="str">
            <v>UTILITY</v>
          </cell>
          <cell r="AV403">
            <v>305</v>
          </cell>
        </row>
        <row r="404">
          <cell r="AV404">
            <v>305</v>
          </cell>
        </row>
        <row r="405">
          <cell r="AV405">
            <v>305</v>
          </cell>
        </row>
        <row r="406">
          <cell r="AV406">
            <v>305</v>
          </cell>
        </row>
        <row r="407">
          <cell r="D407" t="str">
            <v>GC-IB</v>
          </cell>
          <cell r="E407" t="str">
            <v>UTILITY</v>
          </cell>
          <cell r="AV407">
            <v>305</v>
          </cell>
        </row>
        <row r="408">
          <cell r="AV408">
            <v>365</v>
          </cell>
          <cell r="AX408">
            <v>249</v>
          </cell>
        </row>
        <row r="409">
          <cell r="AV409">
            <v>365</v>
          </cell>
          <cell r="AX409">
            <v>150</v>
          </cell>
        </row>
        <row r="410">
          <cell r="AV410">
            <v>259</v>
          </cell>
        </row>
        <row r="411">
          <cell r="AV411">
            <v>259</v>
          </cell>
        </row>
        <row r="412">
          <cell r="AV412">
            <v>365</v>
          </cell>
          <cell r="AX412">
            <v>366</v>
          </cell>
        </row>
        <row r="413">
          <cell r="AV413">
            <v>365</v>
          </cell>
          <cell r="AX413">
            <v>124</v>
          </cell>
        </row>
        <row r="414">
          <cell r="AV414">
            <v>365</v>
          </cell>
          <cell r="AX414">
            <v>245</v>
          </cell>
        </row>
        <row r="415">
          <cell r="E415" t="str">
            <v>FF</v>
          </cell>
          <cell r="F415" t="str">
            <v>Intermediate</v>
          </cell>
          <cell r="AV415">
            <v>335</v>
          </cell>
        </row>
        <row r="416">
          <cell r="E416" t="str">
            <v>FF</v>
          </cell>
          <cell r="F416" t="str">
            <v>Intermediate</v>
          </cell>
          <cell r="AV416">
            <v>335</v>
          </cell>
        </row>
        <row r="417">
          <cell r="E417" t="str">
            <v>FF</v>
          </cell>
          <cell r="F417" t="str">
            <v>Pharma</v>
          </cell>
          <cell r="AV417">
            <v>335</v>
          </cell>
        </row>
        <row r="418">
          <cell r="E418" t="str">
            <v>FF</v>
          </cell>
          <cell r="F418" t="str">
            <v>Pharma</v>
          </cell>
          <cell r="AV418">
            <v>335</v>
          </cell>
        </row>
        <row r="419">
          <cell r="E419" t="str">
            <v>FF</v>
          </cell>
          <cell r="F419" t="str">
            <v>Pharma</v>
          </cell>
          <cell r="AV419">
            <v>335</v>
          </cell>
        </row>
        <row r="420">
          <cell r="E420" t="str">
            <v>FF</v>
          </cell>
          <cell r="F420" t="str">
            <v>Pharma</v>
          </cell>
          <cell r="AV420">
            <v>335</v>
          </cell>
        </row>
        <row r="421">
          <cell r="D421" t="str">
            <v>GC-IB</v>
          </cell>
          <cell r="E421" t="str">
            <v>UTILITY</v>
          </cell>
          <cell r="AV421">
            <v>289</v>
          </cell>
        </row>
        <row r="422">
          <cell r="AV422">
            <v>365</v>
          </cell>
          <cell r="AX422">
            <v>267</v>
          </cell>
        </row>
        <row r="423">
          <cell r="AV423">
            <v>365</v>
          </cell>
          <cell r="AX423">
            <v>336</v>
          </cell>
        </row>
        <row r="424">
          <cell r="AV424">
            <v>365</v>
          </cell>
          <cell r="AX424">
            <v>276</v>
          </cell>
        </row>
        <row r="425">
          <cell r="AV425">
            <v>365</v>
          </cell>
          <cell r="AX425">
            <v>124</v>
          </cell>
        </row>
        <row r="426">
          <cell r="D426" t="str">
            <v>Utilities</v>
          </cell>
          <cell r="E426" t="str">
            <v>UTILITY</v>
          </cell>
          <cell r="AV426">
            <v>365</v>
          </cell>
          <cell r="AX426">
            <v>130</v>
          </cell>
        </row>
        <row r="427">
          <cell r="AV427">
            <v>365</v>
          </cell>
          <cell r="AX427">
            <v>366</v>
          </cell>
          <cell r="AZ427">
            <v>6.3299999999999995E-2</v>
          </cell>
          <cell r="BA427">
            <v>4</v>
          </cell>
          <cell r="BB427">
            <v>8.0212372602739723</v>
          </cell>
        </row>
        <row r="428">
          <cell r="AV428">
            <v>365</v>
          </cell>
          <cell r="AX428">
            <v>283</v>
          </cell>
        </row>
        <row r="429">
          <cell r="AV429">
            <v>335</v>
          </cell>
        </row>
        <row r="430">
          <cell r="AV430">
            <v>335</v>
          </cell>
        </row>
        <row r="431">
          <cell r="AV431">
            <v>335</v>
          </cell>
        </row>
        <row r="432">
          <cell r="AV432">
            <v>335</v>
          </cell>
        </row>
        <row r="433">
          <cell r="AV433">
            <v>335</v>
          </cell>
        </row>
        <row r="434">
          <cell r="AV434">
            <v>335</v>
          </cell>
        </row>
        <row r="435">
          <cell r="AV435">
            <v>335</v>
          </cell>
        </row>
        <row r="436">
          <cell r="AV436">
            <v>335</v>
          </cell>
        </row>
        <row r="437">
          <cell r="AV437">
            <v>335</v>
          </cell>
        </row>
        <row r="438">
          <cell r="AV438">
            <v>335</v>
          </cell>
        </row>
        <row r="439">
          <cell r="E439" t="str">
            <v>FF</v>
          </cell>
          <cell r="F439" t="str">
            <v>Intermediate</v>
          </cell>
          <cell r="AV439">
            <v>289</v>
          </cell>
        </row>
        <row r="440">
          <cell r="E440" t="str">
            <v>FF</v>
          </cell>
          <cell r="F440" t="str">
            <v>Intermediate</v>
          </cell>
          <cell r="AV440">
            <v>289</v>
          </cell>
        </row>
        <row r="441">
          <cell r="AV441">
            <v>365</v>
          </cell>
          <cell r="AX441">
            <v>366</v>
          </cell>
          <cell r="AZ441">
            <v>0.16209999999999999</v>
          </cell>
          <cell r="BA441">
            <v>0</v>
          </cell>
          <cell r="BB441">
            <v>0</v>
          </cell>
        </row>
        <row r="442">
          <cell r="AV442">
            <v>365</v>
          </cell>
          <cell r="AX442">
            <v>130</v>
          </cell>
        </row>
        <row r="443">
          <cell r="AV443">
            <v>365</v>
          </cell>
        </row>
        <row r="444">
          <cell r="AV444">
            <v>289</v>
          </cell>
        </row>
        <row r="445">
          <cell r="AV445">
            <v>289</v>
          </cell>
        </row>
        <row r="446">
          <cell r="AV446">
            <v>289</v>
          </cell>
        </row>
        <row r="447">
          <cell r="AV447">
            <v>289</v>
          </cell>
        </row>
        <row r="448">
          <cell r="AV448">
            <v>365</v>
          </cell>
          <cell r="AX448">
            <v>276</v>
          </cell>
        </row>
        <row r="449">
          <cell r="AV449">
            <v>365</v>
          </cell>
          <cell r="AX449">
            <v>336</v>
          </cell>
        </row>
        <row r="450">
          <cell r="AV450">
            <v>365</v>
          </cell>
          <cell r="AX450">
            <v>336</v>
          </cell>
        </row>
        <row r="451">
          <cell r="AV451">
            <v>365</v>
          </cell>
          <cell r="AX451">
            <v>130</v>
          </cell>
        </row>
        <row r="452">
          <cell r="AV452">
            <v>365</v>
          </cell>
          <cell r="AX452">
            <v>249</v>
          </cell>
        </row>
        <row r="453">
          <cell r="AV453">
            <v>365</v>
          </cell>
          <cell r="AX453">
            <v>130</v>
          </cell>
        </row>
        <row r="454">
          <cell r="AV454">
            <v>365</v>
          </cell>
          <cell r="AX454">
            <v>33</v>
          </cell>
        </row>
        <row r="455">
          <cell r="AV455">
            <v>365</v>
          </cell>
          <cell r="AX455">
            <v>366</v>
          </cell>
          <cell r="AZ455">
            <v>6.3299999999999995E-2</v>
          </cell>
          <cell r="BA455">
            <v>51</v>
          </cell>
          <cell r="BB455">
            <v>110.38132602739724</v>
          </cell>
        </row>
        <row r="456">
          <cell r="AV456">
            <v>365</v>
          </cell>
          <cell r="AX456">
            <v>1</v>
          </cell>
        </row>
        <row r="457">
          <cell r="AV457">
            <v>365</v>
          </cell>
          <cell r="AX457">
            <v>336</v>
          </cell>
        </row>
        <row r="458">
          <cell r="AV458">
            <v>365</v>
          </cell>
          <cell r="AX458">
            <v>109</v>
          </cell>
        </row>
        <row r="459">
          <cell r="AV459">
            <v>365</v>
          </cell>
          <cell r="AX459">
            <v>276</v>
          </cell>
        </row>
        <row r="460">
          <cell r="AV460">
            <v>365</v>
          </cell>
          <cell r="AX460">
            <v>366</v>
          </cell>
        </row>
        <row r="461">
          <cell r="AV461">
            <v>365</v>
          </cell>
          <cell r="AX461">
            <v>221</v>
          </cell>
        </row>
        <row r="462">
          <cell r="AV462">
            <v>365</v>
          </cell>
          <cell r="AX462">
            <v>109</v>
          </cell>
        </row>
        <row r="463">
          <cell r="E463" t="str">
            <v>FF</v>
          </cell>
          <cell r="F463" t="str">
            <v>Pharma</v>
          </cell>
          <cell r="AV463">
            <v>335</v>
          </cell>
        </row>
        <row r="464">
          <cell r="E464" t="str">
            <v>FF</v>
          </cell>
          <cell r="F464" t="str">
            <v>Pharma</v>
          </cell>
          <cell r="AV464">
            <v>335</v>
          </cell>
        </row>
        <row r="465">
          <cell r="E465" t="str">
            <v>FF</v>
          </cell>
          <cell r="F465" t="str">
            <v>Intermediate</v>
          </cell>
          <cell r="AV465">
            <v>335</v>
          </cell>
        </row>
        <row r="466">
          <cell r="E466" t="str">
            <v>FF</v>
          </cell>
          <cell r="F466" t="str">
            <v>Intermediate</v>
          </cell>
          <cell r="AV466">
            <v>335</v>
          </cell>
        </row>
        <row r="467">
          <cell r="AV467">
            <v>365</v>
          </cell>
          <cell r="AX467">
            <v>336</v>
          </cell>
        </row>
        <row r="468">
          <cell r="AV468">
            <v>365</v>
          </cell>
          <cell r="AX468">
            <v>246</v>
          </cell>
        </row>
        <row r="469">
          <cell r="AV469">
            <v>365</v>
          </cell>
          <cell r="AX469">
            <v>242</v>
          </cell>
        </row>
        <row r="470">
          <cell r="D470" t="str">
            <v>R&amp;D</v>
          </cell>
          <cell r="AV470">
            <v>365</v>
          </cell>
          <cell r="AX470">
            <v>366</v>
          </cell>
          <cell r="AZ470">
            <v>9.5000000000000001E-2</v>
          </cell>
          <cell r="BA470">
            <v>0</v>
          </cell>
          <cell r="BB470">
            <v>0</v>
          </cell>
        </row>
        <row r="471">
          <cell r="D471" t="str">
            <v>GC - IA</v>
          </cell>
          <cell r="E471" t="str">
            <v>GF</v>
          </cell>
          <cell r="F471" t="str">
            <v>Intermediate</v>
          </cell>
          <cell r="AV471">
            <v>335</v>
          </cell>
        </row>
        <row r="472">
          <cell r="D472" t="str">
            <v>GC-IB</v>
          </cell>
          <cell r="E472" t="str">
            <v>GF</v>
          </cell>
          <cell r="F472" t="str">
            <v>Intermediate</v>
          </cell>
          <cell r="AV472">
            <v>335</v>
          </cell>
        </row>
        <row r="473">
          <cell r="AV473">
            <v>365</v>
          </cell>
          <cell r="AX473">
            <v>153</v>
          </cell>
        </row>
        <row r="474">
          <cell r="AV474">
            <v>365</v>
          </cell>
          <cell r="AX474">
            <v>267</v>
          </cell>
        </row>
        <row r="475">
          <cell r="E475" t="str">
            <v>FF</v>
          </cell>
          <cell r="F475" t="str">
            <v>Intermediate</v>
          </cell>
          <cell r="AV475">
            <v>335</v>
          </cell>
        </row>
        <row r="476">
          <cell r="D476" t="str">
            <v>GC - IA</v>
          </cell>
          <cell r="E476" t="str">
            <v>GF</v>
          </cell>
          <cell r="F476" t="str">
            <v>Intermediate</v>
          </cell>
          <cell r="AV476">
            <v>305</v>
          </cell>
        </row>
        <row r="477">
          <cell r="D477" t="str">
            <v>GC - IA</v>
          </cell>
          <cell r="E477" t="str">
            <v>GF</v>
          </cell>
          <cell r="F477" t="str">
            <v>Intermediate</v>
          </cell>
          <cell r="AV477">
            <v>305</v>
          </cell>
        </row>
        <row r="478">
          <cell r="F478" t="str">
            <v>Zone-2</v>
          </cell>
          <cell r="AV478">
            <v>305</v>
          </cell>
        </row>
        <row r="479">
          <cell r="AV479">
            <v>365</v>
          </cell>
          <cell r="AX479">
            <v>366</v>
          </cell>
          <cell r="AZ479">
            <v>6.3299999999999995E-2</v>
          </cell>
          <cell r="BA479">
            <v>212</v>
          </cell>
          <cell r="BB479">
            <v>426.4859178082192</v>
          </cell>
        </row>
        <row r="480">
          <cell r="D480" t="str">
            <v>R&amp;D</v>
          </cell>
          <cell r="AV480">
            <v>365</v>
          </cell>
          <cell r="AX480">
            <v>245</v>
          </cell>
        </row>
        <row r="481">
          <cell r="AV481">
            <v>365</v>
          </cell>
          <cell r="AX481">
            <v>306</v>
          </cell>
        </row>
        <row r="482">
          <cell r="AV482">
            <v>365</v>
          </cell>
          <cell r="AX482">
            <v>33</v>
          </cell>
        </row>
        <row r="483">
          <cell r="AV483">
            <v>365</v>
          </cell>
          <cell r="AX483">
            <v>366</v>
          </cell>
        </row>
        <row r="484">
          <cell r="E484" t="str">
            <v>FF</v>
          </cell>
          <cell r="AV484">
            <v>365</v>
          </cell>
          <cell r="AX484">
            <v>266</v>
          </cell>
        </row>
        <row r="485">
          <cell r="AV485">
            <v>365</v>
          </cell>
          <cell r="AX485">
            <v>244</v>
          </cell>
        </row>
        <row r="486">
          <cell r="AV486">
            <v>365</v>
          </cell>
          <cell r="AX486">
            <v>123</v>
          </cell>
        </row>
        <row r="487">
          <cell r="AV487">
            <v>365</v>
          </cell>
          <cell r="AX487">
            <v>48</v>
          </cell>
        </row>
        <row r="488">
          <cell r="AV488">
            <v>365</v>
          </cell>
          <cell r="AX488">
            <v>275</v>
          </cell>
        </row>
        <row r="489">
          <cell r="D489" t="str">
            <v>GC-IB</v>
          </cell>
          <cell r="E489" t="str">
            <v>Intermediate</v>
          </cell>
          <cell r="AV489">
            <v>305</v>
          </cell>
        </row>
        <row r="490">
          <cell r="D490" t="str">
            <v>GC-IB</v>
          </cell>
          <cell r="E490" t="str">
            <v>Intermediate</v>
          </cell>
          <cell r="AV490">
            <v>305</v>
          </cell>
        </row>
        <row r="491">
          <cell r="D491" t="str">
            <v>GC-IB</v>
          </cell>
          <cell r="E491" t="str">
            <v>Intermediate</v>
          </cell>
          <cell r="AV491">
            <v>305</v>
          </cell>
        </row>
        <row r="492">
          <cell r="D492" t="str">
            <v>GC-IB</v>
          </cell>
          <cell r="E492" t="str">
            <v>Intermediate</v>
          </cell>
          <cell r="AV492">
            <v>305</v>
          </cell>
        </row>
        <row r="493">
          <cell r="AV493">
            <v>305</v>
          </cell>
        </row>
        <row r="494">
          <cell r="AV494">
            <v>305</v>
          </cell>
        </row>
        <row r="495">
          <cell r="AV495">
            <v>305</v>
          </cell>
        </row>
        <row r="496">
          <cell r="AV496">
            <v>305</v>
          </cell>
        </row>
        <row r="497">
          <cell r="AV497">
            <v>305</v>
          </cell>
        </row>
        <row r="498">
          <cell r="AV498">
            <v>365</v>
          </cell>
          <cell r="AX498">
            <v>366</v>
          </cell>
          <cell r="AZ498">
            <v>0.16209999999999999</v>
          </cell>
          <cell r="BA498">
            <v>206</v>
          </cell>
          <cell r="BB498">
            <v>631.25736986301365</v>
          </cell>
        </row>
        <row r="499">
          <cell r="AV499">
            <v>365</v>
          </cell>
          <cell r="AX499">
            <v>366</v>
          </cell>
        </row>
        <row r="500">
          <cell r="D500" t="str">
            <v>CO</v>
          </cell>
          <cell r="AV500">
            <v>365</v>
          </cell>
          <cell r="AX500">
            <v>22</v>
          </cell>
        </row>
        <row r="501">
          <cell r="E501" t="str">
            <v>FF</v>
          </cell>
          <cell r="F501" t="str">
            <v>Intermediate</v>
          </cell>
          <cell r="AV501">
            <v>305</v>
          </cell>
        </row>
        <row r="502">
          <cell r="E502" t="str">
            <v>FF</v>
          </cell>
          <cell r="F502" t="str">
            <v>Intermediate</v>
          </cell>
          <cell r="AV502">
            <v>305</v>
          </cell>
        </row>
        <row r="503">
          <cell r="E503" t="str">
            <v>FF</v>
          </cell>
          <cell r="F503" t="str">
            <v>Intermediate</v>
          </cell>
          <cell r="AV503">
            <v>305</v>
          </cell>
        </row>
        <row r="504">
          <cell r="E504" t="str">
            <v>Tech Area</v>
          </cell>
          <cell r="F504" t="str">
            <v>Pharma</v>
          </cell>
          <cell r="AV504">
            <v>305</v>
          </cell>
        </row>
        <row r="505">
          <cell r="E505" t="str">
            <v>FF</v>
          </cell>
          <cell r="F505" t="str">
            <v>Intermediate</v>
          </cell>
          <cell r="AV505">
            <v>305</v>
          </cell>
        </row>
        <row r="506">
          <cell r="E506" t="str">
            <v>FF</v>
          </cell>
          <cell r="F506" t="str">
            <v>Intermediate</v>
          </cell>
          <cell r="AV506">
            <v>305</v>
          </cell>
        </row>
        <row r="507">
          <cell r="E507" t="str">
            <v>FF</v>
          </cell>
          <cell r="F507" t="str">
            <v>Intermediate</v>
          </cell>
          <cell r="AV507">
            <v>305</v>
          </cell>
        </row>
        <row r="508">
          <cell r="E508" t="str">
            <v>Mezzanine</v>
          </cell>
          <cell r="F508" t="str">
            <v>Intermediate</v>
          </cell>
          <cell r="AV508">
            <v>305</v>
          </cell>
        </row>
        <row r="509">
          <cell r="E509" t="str">
            <v>FF</v>
          </cell>
          <cell r="F509" t="str">
            <v>Intermediate</v>
          </cell>
          <cell r="AV509">
            <v>305</v>
          </cell>
        </row>
        <row r="510">
          <cell r="E510" t="str">
            <v>FF</v>
          </cell>
          <cell r="F510" t="str">
            <v>Intermediate</v>
          </cell>
          <cell r="AV510">
            <v>305</v>
          </cell>
        </row>
        <row r="511">
          <cell r="E511" t="str">
            <v>Mezzanine</v>
          </cell>
          <cell r="F511" t="str">
            <v>Intermediate</v>
          </cell>
          <cell r="AV511">
            <v>305</v>
          </cell>
        </row>
        <row r="512">
          <cell r="E512" t="str">
            <v>Tech Area</v>
          </cell>
          <cell r="F512" t="str">
            <v>Pharma</v>
          </cell>
          <cell r="AV512">
            <v>305</v>
          </cell>
        </row>
        <row r="513">
          <cell r="E513" t="str">
            <v>Tech Area</v>
          </cell>
          <cell r="F513" t="str">
            <v>Pharma</v>
          </cell>
          <cell r="AV513">
            <v>305</v>
          </cell>
        </row>
        <row r="514">
          <cell r="E514" t="str">
            <v>Tech Area</v>
          </cell>
          <cell r="F514" t="str">
            <v>Pharma</v>
          </cell>
          <cell r="AV514">
            <v>305</v>
          </cell>
        </row>
        <row r="515">
          <cell r="E515" t="str">
            <v>Tech Area</v>
          </cell>
          <cell r="F515" t="str">
            <v>Pharma</v>
          </cell>
          <cell r="AV515">
            <v>305</v>
          </cell>
        </row>
        <row r="516">
          <cell r="E516" t="str">
            <v>Mezzanine</v>
          </cell>
          <cell r="F516" t="str">
            <v>Intermediate</v>
          </cell>
          <cell r="AV516">
            <v>305</v>
          </cell>
        </row>
        <row r="517">
          <cell r="E517" t="str">
            <v>FF</v>
          </cell>
          <cell r="F517" t="str">
            <v>Intermediate</v>
          </cell>
          <cell r="AV517">
            <v>305</v>
          </cell>
        </row>
        <row r="518">
          <cell r="E518" t="str">
            <v>FF</v>
          </cell>
          <cell r="F518" t="str">
            <v>Intermediate</v>
          </cell>
          <cell r="AV518">
            <v>305</v>
          </cell>
        </row>
        <row r="519">
          <cell r="E519" t="str">
            <v>FF</v>
          </cell>
          <cell r="F519" t="str">
            <v>Intermediate</v>
          </cell>
          <cell r="AV519">
            <v>305</v>
          </cell>
        </row>
        <row r="520">
          <cell r="E520" t="str">
            <v>Tech Area</v>
          </cell>
          <cell r="F520" t="str">
            <v>Pharma</v>
          </cell>
          <cell r="AV520">
            <v>305</v>
          </cell>
        </row>
        <row r="521">
          <cell r="E521" t="str">
            <v>FF</v>
          </cell>
          <cell r="F521" t="str">
            <v>Intermediate</v>
          </cell>
          <cell r="AV521">
            <v>305</v>
          </cell>
        </row>
        <row r="522">
          <cell r="E522" t="str">
            <v>Mezzanine</v>
          </cell>
          <cell r="F522" t="str">
            <v>Intermediate</v>
          </cell>
          <cell r="AV522">
            <v>305</v>
          </cell>
        </row>
        <row r="523">
          <cell r="E523" t="str">
            <v>FF</v>
          </cell>
          <cell r="F523" t="str">
            <v>Intermediate</v>
          </cell>
          <cell r="AV523">
            <v>305</v>
          </cell>
        </row>
        <row r="524">
          <cell r="E524" t="str">
            <v>FF</v>
          </cell>
          <cell r="F524" t="str">
            <v>Intermediate</v>
          </cell>
          <cell r="AV524">
            <v>305</v>
          </cell>
        </row>
        <row r="525">
          <cell r="AV525">
            <v>305</v>
          </cell>
        </row>
        <row r="526">
          <cell r="AV526">
            <v>305</v>
          </cell>
        </row>
        <row r="527">
          <cell r="AV527">
            <v>365</v>
          </cell>
          <cell r="AX527">
            <v>366</v>
          </cell>
          <cell r="AZ527">
            <v>6.3299999999999995E-2</v>
          </cell>
          <cell r="BA527">
            <v>169</v>
          </cell>
          <cell r="BB527">
            <v>395.66835616438357</v>
          </cell>
        </row>
        <row r="528">
          <cell r="AV528">
            <v>365</v>
          </cell>
          <cell r="AX528">
            <v>286</v>
          </cell>
        </row>
        <row r="529">
          <cell r="AV529">
            <v>365</v>
          </cell>
          <cell r="AX529">
            <v>1</v>
          </cell>
        </row>
        <row r="530">
          <cell r="AV530">
            <v>365</v>
          </cell>
          <cell r="AX530">
            <v>366</v>
          </cell>
        </row>
        <row r="531">
          <cell r="AV531">
            <v>365</v>
          </cell>
          <cell r="AX531">
            <v>1</v>
          </cell>
        </row>
        <row r="532">
          <cell r="AV532">
            <v>365</v>
          </cell>
          <cell r="AX532">
            <v>184</v>
          </cell>
        </row>
        <row r="533">
          <cell r="AV533">
            <v>289</v>
          </cell>
        </row>
        <row r="534">
          <cell r="AV534">
            <v>289</v>
          </cell>
        </row>
        <row r="535">
          <cell r="AV535">
            <v>289</v>
          </cell>
        </row>
        <row r="536">
          <cell r="AV536">
            <v>289</v>
          </cell>
        </row>
        <row r="537">
          <cell r="AV537">
            <v>289</v>
          </cell>
        </row>
        <row r="538">
          <cell r="AV538">
            <v>289</v>
          </cell>
        </row>
        <row r="539">
          <cell r="AV539">
            <v>289</v>
          </cell>
        </row>
        <row r="540">
          <cell r="AV540">
            <v>289</v>
          </cell>
        </row>
        <row r="541">
          <cell r="AV541">
            <v>289</v>
          </cell>
        </row>
        <row r="542">
          <cell r="AV542">
            <v>289</v>
          </cell>
        </row>
        <row r="543">
          <cell r="AV543">
            <v>289</v>
          </cell>
        </row>
        <row r="544">
          <cell r="AV544">
            <v>289</v>
          </cell>
        </row>
        <row r="545">
          <cell r="AV545">
            <v>289</v>
          </cell>
        </row>
        <row r="546">
          <cell r="AV546">
            <v>289</v>
          </cell>
        </row>
        <row r="547">
          <cell r="D547" t="str">
            <v>CO</v>
          </cell>
          <cell r="AV547">
            <v>365</v>
          </cell>
          <cell r="AX547">
            <v>275</v>
          </cell>
        </row>
        <row r="548">
          <cell r="E548" t="str">
            <v>FF</v>
          </cell>
          <cell r="F548" t="str">
            <v>Intermediate</v>
          </cell>
          <cell r="AV548">
            <v>305</v>
          </cell>
        </row>
        <row r="549">
          <cell r="E549" t="str">
            <v>FF</v>
          </cell>
          <cell r="F549" t="str">
            <v>Intermediate</v>
          </cell>
          <cell r="AV549">
            <v>305</v>
          </cell>
        </row>
        <row r="550">
          <cell r="E550" t="str">
            <v>FF</v>
          </cell>
          <cell r="F550" t="str">
            <v>Intermediate</v>
          </cell>
          <cell r="AV550">
            <v>305</v>
          </cell>
        </row>
        <row r="551">
          <cell r="E551" t="str">
            <v>FF</v>
          </cell>
          <cell r="F551" t="str">
            <v>Intermediate</v>
          </cell>
          <cell r="AV551">
            <v>305</v>
          </cell>
        </row>
        <row r="552">
          <cell r="E552" t="str">
            <v>FF</v>
          </cell>
          <cell r="F552" t="str">
            <v>Intermediate</v>
          </cell>
          <cell r="AV552">
            <v>305</v>
          </cell>
        </row>
        <row r="553">
          <cell r="E553" t="str">
            <v>Tech Area</v>
          </cell>
          <cell r="F553" t="str">
            <v>Pharma</v>
          </cell>
          <cell r="AV553">
            <v>305</v>
          </cell>
        </row>
        <row r="554">
          <cell r="E554" t="str">
            <v>Tech Area</v>
          </cell>
          <cell r="F554" t="str">
            <v>Pharma</v>
          </cell>
          <cell r="AV554">
            <v>305</v>
          </cell>
        </row>
        <row r="555">
          <cell r="E555" t="str">
            <v>Tech Area</v>
          </cell>
          <cell r="F555" t="str">
            <v>Pharma</v>
          </cell>
          <cell r="AV555">
            <v>305</v>
          </cell>
        </row>
        <row r="556">
          <cell r="E556" t="str">
            <v>Tech Area</v>
          </cell>
          <cell r="F556" t="str">
            <v>Pharma</v>
          </cell>
          <cell r="AV556">
            <v>305</v>
          </cell>
        </row>
        <row r="557">
          <cell r="E557" t="str">
            <v>Tech Area</v>
          </cell>
          <cell r="F557" t="str">
            <v>Pharma</v>
          </cell>
          <cell r="AV557">
            <v>305</v>
          </cell>
        </row>
        <row r="558">
          <cell r="AV558">
            <v>365</v>
          </cell>
          <cell r="AX558">
            <v>94</v>
          </cell>
        </row>
        <row r="559">
          <cell r="E559" t="str">
            <v>FF</v>
          </cell>
          <cell r="F559" t="str">
            <v>Intermediate</v>
          </cell>
          <cell r="AV559">
            <v>305</v>
          </cell>
        </row>
        <row r="560">
          <cell r="AV560">
            <v>365</v>
          </cell>
          <cell r="AX560">
            <v>366</v>
          </cell>
          <cell r="AZ560">
            <v>6.3299999999999995E-2</v>
          </cell>
          <cell r="BA560">
            <v>170</v>
          </cell>
          <cell r="BB560">
            <v>427.72763835616433</v>
          </cell>
        </row>
        <row r="561">
          <cell r="E561" t="str">
            <v>SF</v>
          </cell>
          <cell r="AV561">
            <v>365</v>
          </cell>
          <cell r="AX561">
            <v>21</v>
          </cell>
        </row>
        <row r="562">
          <cell r="AV562">
            <v>365</v>
          </cell>
          <cell r="AX562">
            <v>267</v>
          </cell>
        </row>
        <row r="563">
          <cell r="AV563">
            <v>335</v>
          </cell>
        </row>
        <row r="564">
          <cell r="AV564">
            <v>335</v>
          </cell>
        </row>
        <row r="565">
          <cell r="AV565">
            <v>335</v>
          </cell>
        </row>
        <row r="566">
          <cell r="AV566">
            <v>335</v>
          </cell>
        </row>
        <row r="567">
          <cell r="AV567">
            <v>335</v>
          </cell>
        </row>
        <row r="568">
          <cell r="D568" t="str">
            <v>GC- IC</v>
          </cell>
          <cell r="E568" t="str">
            <v>Intermediate</v>
          </cell>
          <cell r="AV568">
            <v>335</v>
          </cell>
        </row>
        <row r="569">
          <cell r="D569" t="str">
            <v>GC- IC</v>
          </cell>
          <cell r="E569" t="str">
            <v>Intermediate</v>
          </cell>
          <cell r="AV569">
            <v>335</v>
          </cell>
        </row>
        <row r="570">
          <cell r="AV570">
            <v>335</v>
          </cell>
        </row>
        <row r="571">
          <cell r="D571" t="str">
            <v>GC- IC</v>
          </cell>
          <cell r="E571" t="str">
            <v>Intermediate</v>
          </cell>
          <cell r="AV571">
            <v>335</v>
          </cell>
        </row>
        <row r="572">
          <cell r="AV572">
            <v>289</v>
          </cell>
        </row>
        <row r="573">
          <cell r="AV573">
            <v>289</v>
          </cell>
        </row>
        <row r="574">
          <cell r="AV574">
            <v>289</v>
          </cell>
        </row>
        <row r="575">
          <cell r="AV575">
            <v>289</v>
          </cell>
        </row>
        <row r="576">
          <cell r="D576" t="str">
            <v>GC-IB</v>
          </cell>
          <cell r="E576" t="str">
            <v>Pharma</v>
          </cell>
          <cell r="AV576">
            <v>289</v>
          </cell>
        </row>
        <row r="577">
          <cell r="AV577">
            <v>289</v>
          </cell>
        </row>
        <row r="578">
          <cell r="AV578">
            <v>289</v>
          </cell>
        </row>
        <row r="579">
          <cell r="AV579">
            <v>289</v>
          </cell>
        </row>
        <row r="580">
          <cell r="D580" t="str">
            <v>GC-IB</v>
          </cell>
          <cell r="E580" t="str">
            <v>Pharma</v>
          </cell>
          <cell r="AV580">
            <v>289</v>
          </cell>
        </row>
        <row r="581">
          <cell r="D581" t="str">
            <v>GC-IB</v>
          </cell>
          <cell r="E581" t="str">
            <v>Pharma</v>
          </cell>
          <cell r="AV581">
            <v>289</v>
          </cell>
        </row>
        <row r="582">
          <cell r="D582" t="str">
            <v>GC-IB</v>
          </cell>
          <cell r="E582" t="str">
            <v>Pharma</v>
          </cell>
          <cell r="AV582">
            <v>289</v>
          </cell>
        </row>
        <row r="583">
          <cell r="D583" t="str">
            <v>GC-IB</v>
          </cell>
          <cell r="E583" t="str">
            <v>Pharma</v>
          </cell>
          <cell r="AV583">
            <v>289</v>
          </cell>
        </row>
        <row r="584">
          <cell r="AV584">
            <v>289</v>
          </cell>
        </row>
        <row r="585">
          <cell r="AV585">
            <v>365</v>
          </cell>
          <cell r="AX585">
            <v>366</v>
          </cell>
        </row>
        <row r="586">
          <cell r="AV586">
            <v>365</v>
          </cell>
          <cell r="AX586">
            <v>276</v>
          </cell>
        </row>
        <row r="587">
          <cell r="AV587">
            <v>365</v>
          </cell>
          <cell r="AX587">
            <v>184</v>
          </cell>
        </row>
        <row r="588">
          <cell r="AV588">
            <v>365</v>
          </cell>
          <cell r="AX588">
            <v>130</v>
          </cell>
        </row>
        <row r="589">
          <cell r="AV589">
            <v>365</v>
          </cell>
          <cell r="AX589">
            <v>130</v>
          </cell>
        </row>
        <row r="590">
          <cell r="AV590">
            <v>365</v>
          </cell>
          <cell r="AX590">
            <v>62</v>
          </cell>
        </row>
        <row r="591">
          <cell r="AV591">
            <v>365</v>
          </cell>
          <cell r="AX591">
            <v>155</v>
          </cell>
        </row>
        <row r="592">
          <cell r="AV592">
            <v>365</v>
          </cell>
          <cell r="AX592">
            <v>130</v>
          </cell>
        </row>
        <row r="593">
          <cell r="AV593">
            <v>289</v>
          </cell>
        </row>
        <row r="594">
          <cell r="AV594">
            <v>289</v>
          </cell>
        </row>
        <row r="595">
          <cell r="AV595">
            <v>289</v>
          </cell>
        </row>
        <row r="596">
          <cell r="AV596">
            <v>289</v>
          </cell>
        </row>
        <row r="597">
          <cell r="AV597">
            <v>289</v>
          </cell>
        </row>
        <row r="598">
          <cell r="D598" t="str">
            <v>GC-IB</v>
          </cell>
          <cell r="E598" t="str">
            <v>UTILITY</v>
          </cell>
          <cell r="AV598">
            <v>289</v>
          </cell>
        </row>
        <row r="599">
          <cell r="AV599">
            <v>365</v>
          </cell>
          <cell r="AX599">
            <v>130</v>
          </cell>
        </row>
        <row r="600">
          <cell r="AV600">
            <v>365</v>
          </cell>
          <cell r="AX600">
            <v>180</v>
          </cell>
        </row>
        <row r="601">
          <cell r="AV601">
            <v>365</v>
          </cell>
          <cell r="AX601">
            <v>366</v>
          </cell>
          <cell r="AZ601">
            <v>0.16209999999999999</v>
          </cell>
          <cell r="BA601">
            <v>30</v>
          </cell>
          <cell r="BB601">
            <v>121.24191780821916</v>
          </cell>
        </row>
        <row r="602">
          <cell r="AV602">
            <v>365</v>
          </cell>
          <cell r="AX602">
            <v>54</v>
          </cell>
        </row>
        <row r="603">
          <cell r="AV603">
            <v>365</v>
          </cell>
          <cell r="AX603">
            <v>153</v>
          </cell>
        </row>
        <row r="604">
          <cell r="AV604">
            <v>305</v>
          </cell>
        </row>
        <row r="605">
          <cell r="E605" t="str">
            <v>GF</v>
          </cell>
          <cell r="F605" t="str">
            <v>Intermediate</v>
          </cell>
          <cell r="AV605">
            <v>305</v>
          </cell>
        </row>
        <row r="606">
          <cell r="AV606">
            <v>365</v>
          </cell>
          <cell r="AX606">
            <v>5</v>
          </cell>
        </row>
        <row r="607">
          <cell r="AV607">
            <v>365</v>
          </cell>
          <cell r="AX607">
            <v>197</v>
          </cell>
        </row>
        <row r="608">
          <cell r="AV608">
            <v>365</v>
          </cell>
          <cell r="AX608">
            <v>130</v>
          </cell>
        </row>
        <row r="609">
          <cell r="D609" t="str">
            <v>GC-IB</v>
          </cell>
          <cell r="E609" t="str">
            <v>GF</v>
          </cell>
          <cell r="F609" t="str">
            <v>Pharma</v>
          </cell>
          <cell r="AV609">
            <v>289</v>
          </cell>
        </row>
        <row r="610">
          <cell r="AV610">
            <v>289</v>
          </cell>
        </row>
        <row r="611">
          <cell r="AV611">
            <v>365</v>
          </cell>
          <cell r="AX611">
            <v>33</v>
          </cell>
        </row>
        <row r="612">
          <cell r="AV612">
            <v>365</v>
          </cell>
          <cell r="AX612">
            <v>306</v>
          </cell>
        </row>
        <row r="613">
          <cell r="AV613">
            <v>365</v>
          </cell>
          <cell r="AX613">
            <v>130</v>
          </cell>
        </row>
        <row r="614">
          <cell r="AV614">
            <v>365</v>
          </cell>
          <cell r="AX614">
            <v>130</v>
          </cell>
        </row>
        <row r="615">
          <cell r="AV615">
            <v>365</v>
          </cell>
          <cell r="AX615">
            <v>33</v>
          </cell>
        </row>
        <row r="616">
          <cell r="AV616">
            <v>365</v>
          </cell>
          <cell r="AX616">
            <v>18</v>
          </cell>
        </row>
        <row r="617">
          <cell r="AV617">
            <v>365</v>
          </cell>
          <cell r="AX617">
            <v>176</v>
          </cell>
        </row>
        <row r="618">
          <cell r="AV618">
            <v>365</v>
          </cell>
          <cell r="AX618">
            <v>366</v>
          </cell>
        </row>
        <row r="619">
          <cell r="AV619">
            <v>365</v>
          </cell>
          <cell r="AX619">
            <v>336</v>
          </cell>
        </row>
        <row r="620">
          <cell r="AV620">
            <v>365</v>
          </cell>
          <cell r="AX620">
            <v>366</v>
          </cell>
        </row>
        <row r="621">
          <cell r="AV621">
            <v>365</v>
          </cell>
          <cell r="AX621">
            <v>1</v>
          </cell>
        </row>
        <row r="622">
          <cell r="AV622">
            <v>365</v>
          </cell>
          <cell r="AX622">
            <v>1</v>
          </cell>
        </row>
        <row r="623">
          <cell r="AV623">
            <v>365</v>
          </cell>
          <cell r="AX623">
            <v>365</v>
          </cell>
        </row>
        <row r="624">
          <cell r="AV624">
            <v>365</v>
          </cell>
          <cell r="AX624">
            <v>365</v>
          </cell>
          <cell r="BA624">
            <v>365</v>
          </cell>
        </row>
        <row r="625">
          <cell r="AV625">
            <v>365</v>
          </cell>
          <cell r="AX625">
            <v>54</v>
          </cell>
        </row>
        <row r="626">
          <cell r="AV626">
            <v>365</v>
          </cell>
          <cell r="AX626">
            <v>317</v>
          </cell>
        </row>
        <row r="627">
          <cell r="AV627">
            <v>365</v>
          </cell>
          <cell r="AX627">
            <v>336</v>
          </cell>
        </row>
        <row r="628">
          <cell r="AV628">
            <v>365</v>
          </cell>
          <cell r="AX628">
            <v>267</v>
          </cell>
        </row>
        <row r="629">
          <cell r="AV629">
            <v>365</v>
          </cell>
          <cell r="AX629">
            <v>366</v>
          </cell>
        </row>
        <row r="630">
          <cell r="AV630">
            <v>365</v>
          </cell>
          <cell r="AX630">
            <v>130</v>
          </cell>
        </row>
        <row r="631">
          <cell r="AV631">
            <v>365</v>
          </cell>
          <cell r="AX631">
            <v>280</v>
          </cell>
        </row>
        <row r="632">
          <cell r="AV632">
            <v>365</v>
          </cell>
          <cell r="AX632">
            <v>80</v>
          </cell>
        </row>
        <row r="633">
          <cell r="AV633">
            <v>365</v>
          </cell>
          <cell r="AX633">
            <v>366</v>
          </cell>
        </row>
        <row r="634">
          <cell r="AV634">
            <v>365</v>
          </cell>
          <cell r="AX634">
            <v>366</v>
          </cell>
        </row>
        <row r="635">
          <cell r="E635" t="str">
            <v>SF</v>
          </cell>
          <cell r="AV635">
            <v>365</v>
          </cell>
          <cell r="AX635">
            <v>21</v>
          </cell>
        </row>
        <row r="636">
          <cell r="AV636">
            <v>365</v>
          </cell>
          <cell r="AX636">
            <v>336</v>
          </cell>
        </row>
        <row r="637">
          <cell r="AV637">
            <v>365</v>
          </cell>
          <cell r="AX637">
            <v>336</v>
          </cell>
        </row>
        <row r="638">
          <cell r="D638" t="str">
            <v>GC- IC</v>
          </cell>
          <cell r="E638" t="str">
            <v>Near OCB</v>
          </cell>
          <cell r="AV638">
            <v>335</v>
          </cell>
        </row>
        <row r="639">
          <cell r="AV639">
            <v>365</v>
          </cell>
          <cell r="AX639">
            <v>280</v>
          </cell>
        </row>
        <row r="640">
          <cell r="AV640">
            <v>365</v>
          </cell>
          <cell r="AX640">
            <v>33</v>
          </cell>
        </row>
        <row r="641">
          <cell r="E641" t="str">
            <v>Tech Area</v>
          </cell>
          <cell r="F641" t="str">
            <v>Pharma</v>
          </cell>
          <cell r="AV641">
            <v>335</v>
          </cell>
        </row>
        <row r="642">
          <cell r="E642" t="str">
            <v>Mezzanine</v>
          </cell>
          <cell r="F642" t="str">
            <v>Intermediate</v>
          </cell>
          <cell r="AV642">
            <v>335</v>
          </cell>
        </row>
        <row r="643">
          <cell r="E643" t="str">
            <v>FF</v>
          </cell>
          <cell r="F643" t="str">
            <v>Intermediate</v>
          </cell>
          <cell r="AV643">
            <v>335</v>
          </cell>
        </row>
        <row r="644">
          <cell r="E644" t="str">
            <v>FF</v>
          </cell>
          <cell r="F644" t="str">
            <v>Intermediate</v>
          </cell>
          <cell r="AV644">
            <v>335</v>
          </cell>
        </row>
        <row r="645">
          <cell r="E645" t="str">
            <v>FF</v>
          </cell>
          <cell r="F645" t="str">
            <v>Intermediate</v>
          </cell>
          <cell r="AV645">
            <v>335</v>
          </cell>
        </row>
        <row r="646">
          <cell r="E646" t="str">
            <v>FF</v>
          </cell>
          <cell r="F646" t="str">
            <v>Intermediate</v>
          </cell>
          <cell r="AV646">
            <v>335</v>
          </cell>
        </row>
        <row r="647">
          <cell r="E647" t="str">
            <v>FF</v>
          </cell>
          <cell r="F647" t="str">
            <v>Intermediate</v>
          </cell>
          <cell r="AV647">
            <v>335</v>
          </cell>
        </row>
        <row r="648">
          <cell r="E648" t="str">
            <v>FF</v>
          </cell>
          <cell r="F648" t="str">
            <v>Intermediate</v>
          </cell>
          <cell r="AV648">
            <v>335</v>
          </cell>
        </row>
        <row r="649">
          <cell r="AV649">
            <v>365</v>
          </cell>
          <cell r="AX649">
            <v>252</v>
          </cell>
        </row>
        <row r="650">
          <cell r="AV650">
            <v>365</v>
          </cell>
          <cell r="AX650">
            <v>306</v>
          </cell>
        </row>
        <row r="651">
          <cell r="AV651">
            <v>365</v>
          </cell>
          <cell r="AX651">
            <v>267</v>
          </cell>
        </row>
        <row r="652">
          <cell r="AV652">
            <v>289</v>
          </cell>
        </row>
        <row r="653">
          <cell r="D653" t="str">
            <v>GC-IB</v>
          </cell>
          <cell r="E653" t="str">
            <v>Pharma</v>
          </cell>
          <cell r="AV653">
            <v>289</v>
          </cell>
        </row>
        <row r="654">
          <cell r="D654" t="str">
            <v>GC-IB</v>
          </cell>
          <cell r="E654" t="str">
            <v>Pharma</v>
          </cell>
          <cell r="AV654">
            <v>289</v>
          </cell>
        </row>
        <row r="655">
          <cell r="D655" t="str">
            <v>GC-IB</v>
          </cell>
          <cell r="E655" t="str">
            <v>Pharma</v>
          </cell>
          <cell r="AV655">
            <v>289</v>
          </cell>
        </row>
        <row r="656">
          <cell r="D656" t="str">
            <v>GC-IB</v>
          </cell>
          <cell r="E656" t="str">
            <v>Pharma</v>
          </cell>
          <cell r="AV656">
            <v>289</v>
          </cell>
        </row>
        <row r="657">
          <cell r="AV657">
            <v>365</v>
          </cell>
          <cell r="AX657">
            <v>92</v>
          </cell>
        </row>
        <row r="658">
          <cell r="AV658">
            <v>365</v>
          </cell>
          <cell r="AX658">
            <v>131</v>
          </cell>
        </row>
        <row r="659">
          <cell r="AV659">
            <v>365</v>
          </cell>
          <cell r="AX659">
            <v>283</v>
          </cell>
        </row>
        <row r="660">
          <cell r="D660" t="str">
            <v>Solvent Recivery Block</v>
          </cell>
          <cell r="E660" t="str">
            <v>SF</v>
          </cell>
          <cell r="AV660">
            <v>335</v>
          </cell>
        </row>
        <row r="661">
          <cell r="D661" t="str">
            <v>Solvent Recivery Block</v>
          </cell>
          <cell r="E661" t="str">
            <v>FF</v>
          </cell>
          <cell r="AV661">
            <v>335</v>
          </cell>
        </row>
        <row r="662">
          <cell r="E662" t="str">
            <v>SF</v>
          </cell>
          <cell r="AV662">
            <v>335</v>
          </cell>
        </row>
        <row r="663">
          <cell r="E663" t="str">
            <v>SF</v>
          </cell>
          <cell r="AV663">
            <v>335</v>
          </cell>
        </row>
        <row r="664">
          <cell r="D664" t="str">
            <v>Solvent Recivery Block</v>
          </cell>
          <cell r="E664" t="str">
            <v>FF</v>
          </cell>
          <cell r="AV664">
            <v>335</v>
          </cell>
        </row>
        <row r="665">
          <cell r="D665" t="str">
            <v>Solvent Recivery Block</v>
          </cell>
          <cell r="E665" t="str">
            <v>SF</v>
          </cell>
          <cell r="AV665">
            <v>335</v>
          </cell>
        </row>
        <row r="666">
          <cell r="D666" t="str">
            <v>Solvent Recivery Block</v>
          </cell>
          <cell r="E666" t="str">
            <v>FF</v>
          </cell>
          <cell r="AV666">
            <v>335</v>
          </cell>
        </row>
        <row r="667">
          <cell r="D667" t="str">
            <v>Solvent Recivery Block</v>
          </cell>
          <cell r="E667" t="str">
            <v>SF</v>
          </cell>
          <cell r="AV667">
            <v>335</v>
          </cell>
        </row>
        <row r="668">
          <cell r="D668" t="str">
            <v>Solvent Recivery Block</v>
          </cell>
          <cell r="E668" t="str">
            <v>GF</v>
          </cell>
          <cell r="AV668">
            <v>335</v>
          </cell>
        </row>
        <row r="669">
          <cell r="D669" t="str">
            <v>Solvent Recivery Block</v>
          </cell>
          <cell r="E669" t="str">
            <v>GF</v>
          </cell>
          <cell r="AV669">
            <v>335</v>
          </cell>
        </row>
        <row r="670">
          <cell r="AV670">
            <v>365</v>
          </cell>
          <cell r="AX670">
            <v>366</v>
          </cell>
          <cell r="AZ670">
            <v>6.3299999999999995E-2</v>
          </cell>
          <cell r="BA670">
            <v>123</v>
          </cell>
          <cell r="BB670">
            <v>485.94681616438356</v>
          </cell>
        </row>
        <row r="671">
          <cell r="D671" t="str">
            <v>GC-IB</v>
          </cell>
          <cell r="E671" t="str">
            <v>GF</v>
          </cell>
          <cell r="F671" t="str">
            <v>Intermediate</v>
          </cell>
          <cell r="AV671">
            <v>335</v>
          </cell>
        </row>
        <row r="672">
          <cell r="D672" t="str">
            <v>GC - IA</v>
          </cell>
          <cell r="E672" t="str">
            <v>GF</v>
          </cell>
          <cell r="F672" t="str">
            <v>Intermediate</v>
          </cell>
          <cell r="AV672">
            <v>335</v>
          </cell>
        </row>
        <row r="673">
          <cell r="AV673">
            <v>365</v>
          </cell>
          <cell r="AX673">
            <v>131</v>
          </cell>
        </row>
        <row r="674">
          <cell r="AV674">
            <v>365</v>
          </cell>
          <cell r="AX674">
            <v>366</v>
          </cell>
        </row>
        <row r="675">
          <cell r="AV675">
            <v>365</v>
          </cell>
          <cell r="AX675">
            <v>366</v>
          </cell>
          <cell r="AZ675">
            <v>6.3299999999999995E-2</v>
          </cell>
          <cell r="BA675">
            <v>162</v>
          </cell>
          <cell r="BB675">
            <v>629.32339726027385</v>
          </cell>
        </row>
        <row r="676">
          <cell r="AV676">
            <v>365</v>
          </cell>
          <cell r="AX676">
            <v>42</v>
          </cell>
        </row>
        <row r="677">
          <cell r="AV677">
            <v>365</v>
          </cell>
          <cell r="AX677">
            <v>306</v>
          </cell>
        </row>
        <row r="678">
          <cell r="AV678">
            <v>365</v>
          </cell>
          <cell r="AX678">
            <v>336</v>
          </cell>
        </row>
        <row r="679">
          <cell r="AV679">
            <v>365</v>
          </cell>
          <cell r="AX679">
            <v>42</v>
          </cell>
        </row>
        <row r="680">
          <cell r="AV680">
            <v>365</v>
          </cell>
          <cell r="AX680">
            <v>130</v>
          </cell>
        </row>
        <row r="681">
          <cell r="D681" t="str">
            <v>R&amp;D</v>
          </cell>
          <cell r="AV681">
            <v>365</v>
          </cell>
          <cell r="AX681">
            <v>366</v>
          </cell>
          <cell r="AZ681">
            <v>9.5000000000000001E-2</v>
          </cell>
          <cell r="BA681">
            <v>248</v>
          </cell>
          <cell r="BB681">
            <v>37400.434958904108</v>
          </cell>
        </row>
        <row r="682">
          <cell r="AV682">
            <v>365</v>
          </cell>
          <cell r="AX682">
            <v>366</v>
          </cell>
          <cell r="AZ682">
            <v>9.5000000000000001E-2</v>
          </cell>
          <cell r="BA682">
            <v>248</v>
          </cell>
          <cell r="BB682">
            <v>37400.434958904108</v>
          </cell>
        </row>
        <row r="683">
          <cell r="D683" t="str">
            <v>GC- IC</v>
          </cell>
          <cell r="E683" t="str">
            <v>Intermediate</v>
          </cell>
          <cell r="AV683">
            <v>335</v>
          </cell>
        </row>
        <row r="684">
          <cell r="AV684">
            <v>335</v>
          </cell>
        </row>
        <row r="685">
          <cell r="D685" t="str">
            <v>R&amp;D</v>
          </cell>
          <cell r="AV685">
            <v>365</v>
          </cell>
          <cell r="AX685">
            <v>306</v>
          </cell>
        </row>
        <row r="686">
          <cell r="D686" t="str">
            <v>R&amp;D</v>
          </cell>
          <cell r="G686">
            <v>1038</v>
          </cell>
          <cell r="AV686">
            <v>365</v>
          </cell>
          <cell r="AX686">
            <v>306</v>
          </cell>
        </row>
        <row r="687">
          <cell r="AV687">
            <v>365</v>
          </cell>
          <cell r="AX687">
            <v>366</v>
          </cell>
          <cell r="AZ687">
            <v>9.5000000000000001E-2</v>
          </cell>
          <cell r="BA687">
            <v>348</v>
          </cell>
          <cell r="BB687">
            <v>51875.668767123287</v>
          </cell>
        </row>
        <row r="688">
          <cell r="AV688">
            <v>365</v>
          </cell>
          <cell r="AX688">
            <v>366</v>
          </cell>
          <cell r="AZ688">
            <v>9.5000000000000001E-2</v>
          </cell>
          <cell r="BA688">
            <v>348</v>
          </cell>
          <cell r="BB688">
            <v>51875.668767123287</v>
          </cell>
        </row>
        <row r="689">
          <cell r="AV689">
            <v>365</v>
          </cell>
          <cell r="AX689">
            <v>366</v>
          </cell>
          <cell r="AZ689">
            <v>6.3299999999999995E-2</v>
          </cell>
          <cell r="BA689">
            <v>212</v>
          </cell>
          <cell r="BB689">
            <v>827.23561643835626</v>
          </cell>
        </row>
        <row r="690">
          <cell r="D690" t="str">
            <v>R&amp;D</v>
          </cell>
          <cell r="AV690">
            <v>365</v>
          </cell>
          <cell r="AX690">
            <v>229</v>
          </cell>
        </row>
        <row r="691">
          <cell r="AV691">
            <v>365</v>
          </cell>
          <cell r="AX691">
            <v>107</v>
          </cell>
        </row>
        <row r="692">
          <cell r="D692" t="str">
            <v>R&amp;D</v>
          </cell>
          <cell r="AV692">
            <v>365</v>
          </cell>
          <cell r="AX692">
            <v>39</v>
          </cell>
        </row>
        <row r="693">
          <cell r="E693" t="str">
            <v>MF</v>
          </cell>
          <cell r="F693" t="str">
            <v>Intermediate</v>
          </cell>
          <cell r="AV693">
            <v>335</v>
          </cell>
        </row>
        <row r="694">
          <cell r="E694" t="str">
            <v>MF</v>
          </cell>
          <cell r="F694" t="str">
            <v>Intermediate</v>
          </cell>
          <cell r="AV694">
            <v>335</v>
          </cell>
        </row>
        <row r="695">
          <cell r="E695" t="str">
            <v>FF</v>
          </cell>
          <cell r="F695" t="str">
            <v>Intermediate</v>
          </cell>
          <cell r="AV695">
            <v>335</v>
          </cell>
        </row>
        <row r="696">
          <cell r="AV696">
            <v>305</v>
          </cell>
        </row>
        <row r="697">
          <cell r="D697" t="str">
            <v>R&amp;D</v>
          </cell>
          <cell r="AV697">
            <v>365</v>
          </cell>
          <cell r="AX697">
            <v>366</v>
          </cell>
          <cell r="AZ697">
            <v>9.5000000000000001E-2</v>
          </cell>
          <cell r="BA697">
            <v>182</v>
          </cell>
          <cell r="BB697">
            <v>26348.681013698631</v>
          </cell>
        </row>
        <row r="698">
          <cell r="AV698">
            <v>365</v>
          </cell>
          <cell r="AX698">
            <v>366</v>
          </cell>
          <cell r="AZ698">
            <v>6.3299999999999995E-2</v>
          </cell>
          <cell r="BA698">
            <v>162</v>
          </cell>
          <cell r="BB698">
            <v>670.6227452054793</v>
          </cell>
        </row>
        <row r="699">
          <cell r="AV699">
            <v>365</v>
          </cell>
          <cell r="AX699">
            <v>153</v>
          </cell>
        </row>
        <row r="700">
          <cell r="AV700">
            <v>365</v>
          </cell>
          <cell r="AX700">
            <v>366</v>
          </cell>
          <cell r="AZ700">
            <v>6.3299999999999995E-2</v>
          </cell>
          <cell r="BA700">
            <v>90</v>
          </cell>
          <cell r="BB700">
            <v>398.00958904109581</v>
          </cell>
        </row>
        <row r="701">
          <cell r="AV701">
            <v>365</v>
          </cell>
          <cell r="AX701">
            <v>307</v>
          </cell>
        </row>
        <row r="702">
          <cell r="AV702">
            <v>365</v>
          </cell>
          <cell r="AX702">
            <v>366</v>
          </cell>
        </row>
        <row r="703">
          <cell r="E703" t="str">
            <v>FF</v>
          </cell>
          <cell r="F703" t="str">
            <v>Pharma</v>
          </cell>
          <cell r="AV703">
            <v>305</v>
          </cell>
        </row>
        <row r="704">
          <cell r="E704" t="str">
            <v>Mezzanine</v>
          </cell>
          <cell r="F704" t="str">
            <v>Intermediate</v>
          </cell>
          <cell r="AV704">
            <v>305</v>
          </cell>
        </row>
        <row r="705">
          <cell r="E705" t="str">
            <v>Mezzanine</v>
          </cell>
          <cell r="F705" t="str">
            <v>Intermediate</v>
          </cell>
          <cell r="AV705">
            <v>305</v>
          </cell>
        </row>
        <row r="706">
          <cell r="AV706">
            <v>365</v>
          </cell>
          <cell r="AX706">
            <v>336</v>
          </cell>
        </row>
        <row r="707">
          <cell r="AV707">
            <v>365</v>
          </cell>
          <cell r="AX707">
            <v>366</v>
          </cell>
        </row>
        <row r="708">
          <cell r="AV708">
            <v>335</v>
          </cell>
        </row>
        <row r="709">
          <cell r="AV709">
            <v>365</v>
          </cell>
          <cell r="AX709">
            <v>366</v>
          </cell>
          <cell r="AZ709">
            <v>0.16209999999999999</v>
          </cell>
          <cell r="BA709">
            <v>1</v>
          </cell>
          <cell r="BB709">
            <v>6.3951780821917801</v>
          </cell>
        </row>
        <row r="710">
          <cell r="D710" t="str">
            <v>GC-IB</v>
          </cell>
          <cell r="E710" t="str">
            <v>Pharma</v>
          </cell>
          <cell r="AV710">
            <v>289</v>
          </cell>
        </row>
        <row r="711">
          <cell r="AV711">
            <v>289</v>
          </cell>
        </row>
        <row r="712">
          <cell r="AV712">
            <v>289</v>
          </cell>
        </row>
        <row r="713">
          <cell r="E713" t="str">
            <v>FF</v>
          </cell>
          <cell r="AV713">
            <v>335</v>
          </cell>
        </row>
        <row r="714">
          <cell r="AV714">
            <v>365</v>
          </cell>
          <cell r="AX714">
            <v>184</v>
          </cell>
        </row>
        <row r="715">
          <cell r="AV715">
            <v>365</v>
          </cell>
          <cell r="AX715">
            <v>33</v>
          </cell>
        </row>
        <row r="716">
          <cell r="AV716">
            <v>365</v>
          </cell>
          <cell r="AX716">
            <v>276</v>
          </cell>
        </row>
        <row r="717">
          <cell r="AV717">
            <v>365</v>
          </cell>
          <cell r="AX717">
            <v>276</v>
          </cell>
        </row>
        <row r="718">
          <cell r="AV718">
            <v>365</v>
          </cell>
          <cell r="AX718">
            <v>366</v>
          </cell>
        </row>
        <row r="719">
          <cell r="AV719">
            <v>365</v>
          </cell>
          <cell r="AX719">
            <v>33</v>
          </cell>
        </row>
        <row r="720">
          <cell r="AV720">
            <v>365</v>
          </cell>
          <cell r="AX720">
            <v>366</v>
          </cell>
        </row>
        <row r="721">
          <cell r="AV721">
            <v>365</v>
          </cell>
          <cell r="AX721">
            <v>267</v>
          </cell>
        </row>
        <row r="722">
          <cell r="AV722">
            <v>305</v>
          </cell>
        </row>
        <row r="723">
          <cell r="AV723">
            <v>365</v>
          </cell>
          <cell r="AX723">
            <v>82</v>
          </cell>
        </row>
        <row r="724">
          <cell r="AV724">
            <v>365</v>
          </cell>
          <cell r="AX724">
            <v>82</v>
          </cell>
        </row>
        <row r="725">
          <cell r="AV725">
            <v>365</v>
          </cell>
          <cell r="AX725">
            <v>1</v>
          </cell>
        </row>
        <row r="726">
          <cell r="AV726">
            <v>365</v>
          </cell>
          <cell r="AX726">
            <v>130</v>
          </cell>
        </row>
        <row r="727">
          <cell r="AV727">
            <v>365</v>
          </cell>
          <cell r="AX727">
            <v>130</v>
          </cell>
        </row>
        <row r="728">
          <cell r="F728" t="str">
            <v>Zone-5</v>
          </cell>
          <cell r="AV728">
            <v>335</v>
          </cell>
        </row>
        <row r="729">
          <cell r="AV729">
            <v>365</v>
          </cell>
          <cell r="AX729">
            <v>71</v>
          </cell>
        </row>
        <row r="730">
          <cell r="AV730">
            <v>365</v>
          </cell>
          <cell r="AX730">
            <v>71</v>
          </cell>
        </row>
        <row r="731">
          <cell r="AV731">
            <v>365</v>
          </cell>
          <cell r="AX731">
            <v>184</v>
          </cell>
        </row>
        <row r="732">
          <cell r="AV732">
            <v>365</v>
          </cell>
          <cell r="AX732">
            <v>366</v>
          </cell>
          <cell r="AZ732">
            <v>6.3299999999999995E-2</v>
          </cell>
          <cell r="BA732">
            <v>365</v>
          </cell>
          <cell r="BB732">
            <v>32045.625</v>
          </cell>
          <cell r="BC732">
            <v>86</v>
          </cell>
        </row>
        <row r="733">
          <cell r="AV733">
            <v>365</v>
          </cell>
          <cell r="AX733">
            <v>97</v>
          </cell>
        </row>
        <row r="734">
          <cell r="AV734">
            <v>365</v>
          </cell>
          <cell r="AX734">
            <v>366</v>
          </cell>
        </row>
        <row r="735">
          <cell r="AV735">
            <v>365</v>
          </cell>
          <cell r="AX735">
            <v>131</v>
          </cell>
        </row>
        <row r="736">
          <cell r="AV736">
            <v>365</v>
          </cell>
          <cell r="AX736">
            <v>183</v>
          </cell>
        </row>
        <row r="737">
          <cell r="AV737">
            <v>289</v>
          </cell>
        </row>
        <row r="738">
          <cell r="AV738">
            <v>289</v>
          </cell>
        </row>
        <row r="739">
          <cell r="AV739">
            <v>289</v>
          </cell>
        </row>
        <row r="740">
          <cell r="AV740">
            <v>289</v>
          </cell>
        </row>
        <row r="741">
          <cell r="AV741">
            <v>289</v>
          </cell>
        </row>
        <row r="742">
          <cell r="AV742">
            <v>289</v>
          </cell>
        </row>
        <row r="743">
          <cell r="AV743">
            <v>289</v>
          </cell>
        </row>
        <row r="744">
          <cell r="AV744">
            <v>289</v>
          </cell>
        </row>
        <row r="745">
          <cell r="AV745">
            <v>289</v>
          </cell>
        </row>
        <row r="746">
          <cell r="AV746">
            <v>289</v>
          </cell>
        </row>
        <row r="747">
          <cell r="AV747">
            <v>289</v>
          </cell>
        </row>
        <row r="748">
          <cell r="AV748">
            <v>289</v>
          </cell>
        </row>
        <row r="749">
          <cell r="AV749">
            <v>365</v>
          </cell>
          <cell r="AX749">
            <v>336</v>
          </cell>
        </row>
        <row r="750">
          <cell r="AV750">
            <v>365</v>
          </cell>
          <cell r="AX750">
            <v>33</v>
          </cell>
        </row>
        <row r="751">
          <cell r="D751" t="str">
            <v>GC - IA</v>
          </cell>
          <cell r="E751" t="str">
            <v>GF</v>
          </cell>
          <cell r="F751" t="str">
            <v>Intermediate</v>
          </cell>
          <cell r="AV751">
            <v>305</v>
          </cell>
        </row>
        <row r="752">
          <cell r="AV752">
            <v>365</v>
          </cell>
          <cell r="AX752">
            <v>183</v>
          </cell>
        </row>
        <row r="753">
          <cell r="AV753">
            <v>365</v>
          </cell>
          <cell r="AX753">
            <v>366</v>
          </cell>
          <cell r="AZ753">
            <v>6.3299999999999995E-2</v>
          </cell>
          <cell r="BA753">
            <v>201</v>
          </cell>
          <cell r="BB753">
            <v>939.432698630137</v>
          </cell>
        </row>
        <row r="754">
          <cell r="AV754">
            <v>365</v>
          </cell>
          <cell r="AX754">
            <v>23</v>
          </cell>
        </row>
        <row r="755">
          <cell r="E755" t="str">
            <v>FF</v>
          </cell>
          <cell r="F755" t="str">
            <v>Pharma</v>
          </cell>
          <cell r="AV755">
            <v>335</v>
          </cell>
        </row>
        <row r="756">
          <cell r="E756" t="str">
            <v>FF</v>
          </cell>
          <cell r="F756" t="str">
            <v>Pharma</v>
          </cell>
          <cell r="AV756">
            <v>335</v>
          </cell>
        </row>
        <row r="757">
          <cell r="AV757">
            <v>365</v>
          </cell>
          <cell r="AX757">
            <v>60</v>
          </cell>
        </row>
        <row r="758">
          <cell r="E758" t="str">
            <v>GF</v>
          </cell>
          <cell r="AV758">
            <v>365</v>
          </cell>
          <cell r="AX758">
            <v>336</v>
          </cell>
        </row>
        <row r="759">
          <cell r="AV759">
            <v>365</v>
          </cell>
          <cell r="AX759">
            <v>1</v>
          </cell>
        </row>
        <row r="760">
          <cell r="AV760">
            <v>365</v>
          </cell>
          <cell r="AX760">
            <v>1</v>
          </cell>
        </row>
        <row r="761">
          <cell r="AV761">
            <v>365</v>
          </cell>
          <cell r="AX761">
            <v>1</v>
          </cell>
        </row>
        <row r="762">
          <cell r="AV762">
            <v>365</v>
          </cell>
          <cell r="AX762">
            <v>1</v>
          </cell>
        </row>
        <row r="763">
          <cell r="AV763">
            <v>365</v>
          </cell>
          <cell r="AX763">
            <v>1</v>
          </cell>
        </row>
        <row r="764">
          <cell r="AV764">
            <v>365</v>
          </cell>
          <cell r="AX764">
            <v>1</v>
          </cell>
        </row>
        <row r="765">
          <cell r="AV765">
            <v>365</v>
          </cell>
          <cell r="AX765">
            <v>1</v>
          </cell>
        </row>
        <row r="766">
          <cell r="AV766">
            <v>365</v>
          </cell>
          <cell r="AX766">
            <v>1</v>
          </cell>
        </row>
        <row r="767">
          <cell r="AV767">
            <v>365</v>
          </cell>
          <cell r="AX767">
            <v>1</v>
          </cell>
        </row>
        <row r="768">
          <cell r="AV768">
            <v>365</v>
          </cell>
          <cell r="AX768">
            <v>1</v>
          </cell>
        </row>
        <row r="769">
          <cell r="AV769">
            <v>365</v>
          </cell>
          <cell r="AX769">
            <v>366</v>
          </cell>
        </row>
        <row r="770">
          <cell r="AV770">
            <v>365</v>
          </cell>
          <cell r="AX770">
            <v>366</v>
          </cell>
        </row>
        <row r="771">
          <cell r="AV771">
            <v>365</v>
          </cell>
          <cell r="AX771">
            <v>366</v>
          </cell>
        </row>
        <row r="772">
          <cell r="AV772">
            <v>365</v>
          </cell>
          <cell r="AX772">
            <v>365</v>
          </cell>
        </row>
        <row r="773">
          <cell r="AV773">
            <v>365</v>
          </cell>
          <cell r="AX773">
            <v>366</v>
          </cell>
        </row>
        <row r="774">
          <cell r="AV774">
            <v>289</v>
          </cell>
        </row>
        <row r="775">
          <cell r="AV775">
            <v>289</v>
          </cell>
        </row>
        <row r="776">
          <cell r="AV776">
            <v>289</v>
          </cell>
        </row>
        <row r="777">
          <cell r="AV777">
            <v>289</v>
          </cell>
        </row>
        <row r="778">
          <cell r="AV778">
            <v>289</v>
          </cell>
        </row>
        <row r="779">
          <cell r="AV779">
            <v>289</v>
          </cell>
        </row>
        <row r="780">
          <cell r="AV780">
            <v>289</v>
          </cell>
        </row>
        <row r="781">
          <cell r="AV781">
            <v>289</v>
          </cell>
        </row>
        <row r="782">
          <cell r="AV782">
            <v>289</v>
          </cell>
        </row>
        <row r="783">
          <cell r="AV783">
            <v>289</v>
          </cell>
        </row>
        <row r="784">
          <cell r="AV784">
            <v>289</v>
          </cell>
        </row>
        <row r="785">
          <cell r="AV785">
            <v>289</v>
          </cell>
        </row>
        <row r="786">
          <cell r="AV786">
            <v>289</v>
          </cell>
        </row>
        <row r="787">
          <cell r="AV787">
            <v>365</v>
          </cell>
          <cell r="AX787">
            <v>276</v>
          </cell>
        </row>
        <row r="788">
          <cell r="AV788">
            <v>365</v>
          </cell>
          <cell r="AX788">
            <v>366</v>
          </cell>
        </row>
        <row r="789">
          <cell r="AV789">
            <v>365</v>
          </cell>
          <cell r="AX789">
            <v>246</v>
          </cell>
        </row>
        <row r="790">
          <cell r="AV790">
            <v>365</v>
          </cell>
          <cell r="AX790">
            <v>1</v>
          </cell>
        </row>
        <row r="791">
          <cell r="AV791">
            <v>365</v>
          </cell>
          <cell r="AX791">
            <v>215</v>
          </cell>
        </row>
        <row r="792">
          <cell r="AV792">
            <v>365</v>
          </cell>
          <cell r="AX792">
            <v>166</v>
          </cell>
        </row>
        <row r="793">
          <cell r="AV793">
            <v>365</v>
          </cell>
          <cell r="AX793">
            <v>215</v>
          </cell>
        </row>
        <row r="794">
          <cell r="AV794">
            <v>365</v>
          </cell>
          <cell r="AX794">
            <v>366</v>
          </cell>
        </row>
        <row r="795">
          <cell r="AV795">
            <v>365</v>
          </cell>
          <cell r="AX795">
            <v>366</v>
          </cell>
        </row>
        <row r="796">
          <cell r="AV796">
            <v>365</v>
          </cell>
          <cell r="AX796">
            <v>366</v>
          </cell>
        </row>
        <row r="797">
          <cell r="AV797">
            <v>365</v>
          </cell>
          <cell r="AX797">
            <v>267</v>
          </cell>
        </row>
        <row r="798">
          <cell r="AV798">
            <v>365</v>
          </cell>
          <cell r="AX798">
            <v>326</v>
          </cell>
        </row>
        <row r="799">
          <cell r="AV799">
            <v>365</v>
          </cell>
          <cell r="AX799">
            <v>130</v>
          </cell>
        </row>
        <row r="800">
          <cell r="AV800">
            <v>365</v>
          </cell>
          <cell r="AX800">
            <v>366</v>
          </cell>
        </row>
        <row r="801">
          <cell r="E801" t="str">
            <v>GF</v>
          </cell>
          <cell r="F801" t="str">
            <v>Pharma</v>
          </cell>
          <cell r="AV801">
            <v>289</v>
          </cell>
        </row>
        <row r="802">
          <cell r="AV802">
            <v>365</v>
          </cell>
          <cell r="AX802">
            <v>130</v>
          </cell>
        </row>
        <row r="803">
          <cell r="E803" t="str">
            <v>GF</v>
          </cell>
          <cell r="F803" t="str">
            <v>Pharma</v>
          </cell>
          <cell r="AV803">
            <v>289</v>
          </cell>
        </row>
        <row r="804">
          <cell r="AV804">
            <v>305</v>
          </cell>
        </row>
        <row r="805">
          <cell r="AV805">
            <v>365</v>
          </cell>
          <cell r="AX805">
            <v>366</v>
          </cell>
          <cell r="AZ805">
            <v>6.3299999999999995E-2</v>
          </cell>
          <cell r="BA805">
            <v>244</v>
          </cell>
          <cell r="BB805">
            <v>1269.4684931506847</v>
          </cell>
        </row>
        <row r="806">
          <cell r="AV806">
            <v>365</v>
          </cell>
          <cell r="AX806">
            <v>33</v>
          </cell>
        </row>
        <row r="807">
          <cell r="AV807">
            <v>365</v>
          </cell>
          <cell r="AX807">
            <v>366</v>
          </cell>
          <cell r="AZ807">
            <v>0.16209999999999999</v>
          </cell>
          <cell r="BA807">
            <v>54</v>
          </cell>
          <cell r="BB807">
            <v>440.06819178082191</v>
          </cell>
        </row>
        <row r="808">
          <cell r="AV808">
            <v>305</v>
          </cell>
        </row>
        <row r="809">
          <cell r="AV809">
            <v>365</v>
          </cell>
          <cell r="AX809">
            <v>366</v>
          </cell>
          <cell r="AZ809">
            <v>6.3299999999999995E-2</v>
          </cell>
          <cell r="BA809">
            <v>90</v>
          </cell>
          <cell r="BB809">
            <v>548.62890410958903</v>
          </cell>
        </row>
        <row r="810">
          <cell r="AV810">
            <v>365</v>
          </cell>
          <cell r="AX810">
            <v>366</v>
          </cell>
        </row>
        <row r="811">
          <cell r="E811" t="str">
            <v>FF</v>
          </cell>
          <cell r="F811" t="str">
            <v>Intermediate</v>
          </cell>
          <cell r="AV811">
            <v>305</v>
          </cell>
        </row>
        <row r="812">
          <cell r="AV812">
            <v>365</v>
          </cell>
          <cell r="AX812">
            <v>265</v>
          </cell>
        </row>
        <row r="813">
          <cell r="AV813">
            <v>365</v>
          </cell>
          <cell r="AX813">
            <v>130</v>
          </cell>
        </row>
        <row r="814">
          <cell r="AV814">
            <v>365</v>
          </cell>
          <cell r="AX814">
            <v>130</v>
          </cell>
        </row>
        <row r="815">
          <cell r="AV815">
            <v>365</v>
          </cell>
          <cell r="AX815">
            <v>130</v>
          </cell>
        </row>
        <row r="816">
          <cell r="AV816">
            <v>365</v>
          </cell>
          <cell r="AX816">
            <v>336</v>
          </cell>
        </row>
        <row r="817">
          <cell r="AV817">
            <v>365</v>
          </cell>
          <cell r="AX817">
            <v>336</v>
          </cell>
        </row>
        <row r="818">
          <cell r="AV818">
            <v>365</v>
          </cell>
          <cell r="AX818">
            <v>336</v>
          </cell>
        </row>
        <row r="819">
          <cell r="AV819">
            <v>365</v>
          </cell>
          <cell r="AX819">
            <v>101</v>
          </cell>
        </row>
        <row r="820">
          <cell r="AV820">
            <v>365</v>
          </cell>
          <cell r="AX820">
            <v>267</v>
          </cell>
        </row>
        <row r="821">
          <cell r="AV821">
            <v>365</v>
          </cell>
          <cell r="AX821">
            <v>336</v>
          </cell>
        </row>
        <row r="822">
          <cell r="E822" t="str">
            <v>FF</v>
          </cell>
          <cell r="F822" t="str">
            <v>Pharma</v>
          </cell>
          <cell r="AV822">
            <v>305</v>
          </cell>
        </row>
        <row r="823">
          <cell r="AV823">
            <v>365</v>
          </cell>
          <cell r="AX823">
            <v>202</v>
          </cell>
        </row>
        <row r="824">
          <cell r="AV824">
            <v>365</v>
          </cell>
          <cell r="AX824">
            <v>161</v>
          </cell>
        </row>
        <row r="825">
          <cell r="AV825">
            <v>365</v>
          </cell>
          <cell r="AX825">
            <v>84</v>
          </cell>
        </row>
        <row r="826">
          <cell r="D826" t="str">
            <v>R&amp;D</v>
          </cell>
          <cell r="AV826">
            <v>365</v>
          </cell>
          <cell r="AX826">
            <v>84</v>
          </cell>
        </row>
        <row r="827">
          <cell r="AV827">
            <v>365</v>
          </cell>
          <cell r="AX827">
            <v>84</v>
          </cell>
        </row>
        <row r="828">
          <cell r="AV828">
            <v>305</v>
          </cell>
        </row>
        <row r="829">
          <cell r="AV829">
            <v>305</v>
          </cell>
        </row>
        <row r="830">
          <cell r="AV830">
            <v>305</v>
          </cell>
        </row>
        <row r="831">
          <cell r="D831" t="str">
            <v>R&amp;D</v>
          </cell>
          <cell r="AV831">
            <v>365</v>
          </cell>
          <cell r="AX831">
            <v>153</v>
          </cell>
        </row>
        <row r="832">
          <cell r="AV832">
            <v>365</v>
          </cell>
          <cell r="AX832">
            <v>33</v>
          </cell>
        </row>
        <row r="833">
          <cell r="D833" t="str">
            <v>CO</v>
          </cell>
          <cell r="AV833">
            <v>365</v>
          </cell>
          <cell r="AX833">
            <v>221</v>
          </cell>
        </row>
        <row r="834">
          <cell r="D834" t="str">
            <v>CO</v>
          </cell>
          <cell r="AV834">
            <v>365</v>
          </cell>
          <cell r="AX834">
            <v>221</v>
          </cell>
        </row>
        <row r="835">
          <cell r="D835" t="str">
            <v>R&amp;D</v>
          </cell>
          <cell r="AV835">
            <v>365</v>
          </cell>
          <cell r="AX835">
            <v>210</v>
          </cell>
        </row>
        <row r="836">
          <cell r="AV836">
            <v>365</v>
          </cell>
          <cell r="AX836">
            <v>33</v>
          </cell>
        </row>
        <row r="837">
          <cell r="AV837">
            <v>365</v>
          </cell>
          <cell r="AX837">
            <v>130</v>
          </cell>
        </row>
        <row r="838">
          <cell r="AV838">
            <v>365</v>
          </cell>
          <cell r="AX838">
            <v>267</v>
          </cell>
        </row>
        <row r="839">
          <cell r="AV839">
            <v>365</v>
          </cell>
          <cell r="AX839">
            <v>1</v>
          </cell>
        </row>
        <row r="840">
          <cell r="AV840">
            <v>198</v>
          </cell>
        </row>
        <row r="841">
          <cell r="AV841">
            <v>198</v>
          </cell>
        </row>
        <row r="842">
          <cell r="AV842">
            <v>198</v>
          </cell>
        </row>
        <row r="843">
          <cell r="AV843">
            <v>198</v>
          </cell>
        </row>
        <row r="844">
          <cell r="AV844">
            <v>198</v>
          </cell>
        </row>
        <row r="845">
          <cell r="AV845">
            <v>198</v>
          </cell>
        </row>
        <row r="846">
          <cell r="AV846">
            <v>198</v>
          </cell>
        </row>
        <row r="847">
          <cell r="AV847">
            <v>365</v>
          </cell>
          <cell r="AX847">
            <v>279</v>
          </cell>
        </row>
        <row r="848">
          <cell r="AV848">
            <v>365</v>
          </cell>
          <cell r="AX848">
            <v>123</v>
          </cell>
        </row>
        <row r="849">
          <cell r="AV849">
            <v>365</v>
          </cell>
        </row>
        <row r="850">
          <cell r="AV850">
            <v>305</v>
          </cell>
        </row>
        <row r="851">
          <cell r="AV851">
            <v>305</v>
          </cell>
        </row>
        <row r="852">
          <cell r="AV852">
            <v>305</v>
          </cell>
        </row>
        <row r="853">
          <cell r="AV853">
            <v>305</v>
          </cell>
        </row>
        <row r="854">
          <cell r="AV854">
            <v>305</v>
          </cell>
        </row>
        <row r="855">
          <cell r="D855" t="str">
            <v>R&amp;D</v>
          </cell>
          <cell r="AV855">
            <v>365</v>
          </cell>
          <cell r="AX855">
            <v>84</v>
          </cell>
        </row>
        <row r="856">
          <cell r="AV856">
            <v>365</v>
          </cell>
          <cell r="AX856">
            <v>267</v>
          </cell>
        </row>
        <row r="857">
          <cell r="AV857">
            <v>365</v>
          </cell>
          <cell r="AX857">
            <v>166</v>
          </cell>
        </row>
        <row r="858">
          <cell r="AV858">
            <v>365</v>
          </cell>
          <cell r="AX858">
            <v>366</v>
          </cell>
          <cell r="AZ858">
            <v>6.3299999999999995E-2</v>
          </cell>
          <cell r="BA858">
            <v>244</v>
          </cell>
          <cell r="BB858">
            <v>1507.5361512328766</v>
          </cell>
        </row>
        <row r="859">
          <cell r="AV859">
            <v>365</v>
          </cell>
          <cell r="AX859">
            <v>130</v>
          </cell>
        </row>
        <row r="860">
          <cell r="AX860">
            <v>366</v>
          </cell>
          <cell r="AZ860">
            <v>6.3299999999999995E-2</v>
          </cell>
          <cell r="BA860">
            <v>365</v>
          </cell>
          <cell r="BB860">
            <v>25006.285199999998</v>
          </cell>
          <cell r="BC860">
            <v>8</v>
          </cell>
        </row>
        <row r="861">
          <cell r="AV861">
            <v>289</v>
          </cell>
        </row>
        <row r="862">
          <cell r="AV862">
            <v>289</v>
          </cell>
        </row>
        <row r="863">
          <cell r="AV863">
            <v>289</v>
          </cell>
        </row>
        <row r="864">
          <cell r="AV864">
            <v>365</v>
          </cell>
          <cell r="AX864">
            <v>130</v>
          </cell>
        </row>
        <row r="865">
          <cell r="AV865">
            <v>198</v>
          </cell>
        </row>
        <row r="866">
          <cell r="D866" t="str">
            <v>SRV</v>
          </cell>
          <cell r="AV866">
            <v>198</v>
          </cell>
        </row>
        <row r="867">
          <cell r="D867" t="str">
            <v>SRV</v>
          </cell>
          <cell r="AV867">
            <v>198</v>
          </cell>
        </row>
        <row r="868">
          <cell r="AV868">
            <v>365</v>
          </cell>
          <cell r="AX868">
            <v>307</v>
          </cell>
        </row>
        <row r="869">
          <cell r="AV869">
            <v>365</v>
          </cell>
          <cell r="AX869">
            <v>307</v>
          </cell>
        </row>
        <row r="870">
          <cell r="AV870">
            <v>365</v>
          </cell>
          <cell r="AX870">
            <v>307</v>
          </cell>
        </row>
        <row r="871">
          <cell r="AV871">
            <v>365</v>
          </cell>
          <cell r="AX871">
            <v>307</v>
          </cell>
        </row>
        <row r="872">
          <cell r="AV872">
            <v>365</v>
          </cell>
          <cell r="AX872">
            <v>54</v>
          </cell>
        </row>
        <row r="873">
          <cell r="AV873">
            <v>365</v>
          </cell>
          <cell r="AX873">
            <v>130</v>
          </cell>
        </row>
        <row r="874">
          <cell r="AV874">
            <v>365</v>
          </cell>
          <cell r="AX874">
            <v>159</v>
          </cell>
        </row>
        <row r="875">
          <cell r="AV875">
            <v>305</v>
          </cell>
        </row>
        <row r="876">
          <cell r="AV876">
            <v>305</v>
          </cell>
        </row>
        <row r="877">
          <cell r="AV877">
            <v>305</v>
          </cell>
        </row>
        <row r="878">
          <cell r="AV878">
            <v>305</v>
          </cell>
        </row>
        <row r="879">
          <cell r="AV879">
            <v>365</v>
          </cell>
          <cell r="AX879">
            <v>275</v>
          </cell>
        </row>
        <row r="880">
          <cell r="AV880">
            <v>365</v>
          </cell>
          <cell r="AX880">
            <v>74</v>
          </cell>
        </row>
        <row r="881">
          <cell r="AV881">
            <v>365</v>
          </cell>
          <cell r="AX881">
            <v>1</v>
          </cell>
        </row>
        <row r="882">
          <cell r="AV882">
            <v>365</v>
          </cell>
          <cell r="AX882">
            <v>1</v>
          </cell>
        </row>
        <row r="883">
          <cell r="AV883">
            <v>365</v>
          </cell>
          <cell r="AX883">
            <v>1</v>
          </cell>
        </row>
        <row r="884">
          <cell r="AV884">
            <v>365</v>
          </cell>
          <cell r="AX884">
            <v>1</v>
          </cell>
        </row>
        <row r="885">
          <cell r="AV885">
            <v>365</v>
          </cell>
          <cell r="AX885">
            <v>1</v>
          </cell>
        </row>
        <row r="886">
          <cell r="AV886">
            <v>365</v>
          </cell>
          <cell r="AX886">
            <v>1</v>
          </cell>
        </row>
        <row r="887">
          <cell r="AV887">
            <v>365</v>
          </cell>
          <cell r="AX887">
            <v>1</v>
          </cell>
        </row>
        <row r="888">
          <cell r="AV888">
            <v>365</v>
          </cell>
          <cell r="AX888">
            <v>1</v>
          </cell>
        </row>
        <row r="889">
          <cell r="AV889">
            <v>365</v>
          </cell>
          <cell r="AX889">
            <v>88</v>
          </cell>
        </row>
        <row r="890">
          <cell r="AV890">
            <v>365</v>
          </cell>
          <cell r="AX890">
            <v>139</v>
          </cell>
        </row>
        <row r="891">
          <cell r="AV891">
            <v>365</v>
          </cell>
          <cell r="AX891">
            <v>76</v>
          </cell>
        </row>
        <row r="892">
          <cell r="AV892">
            <v>365</v>
          </cell>
          <cell r="AX892">
            <v>366</v>
          </cell>
        </row>
        <row r="893">
          <cell r="E893" t="str">
            <v>GF</v>
          </cell>
          <cell r="F893" t="str">
            <v>Intermediate</v>
          </cell>
          <cell r="AV893">
            <v>289</v>
          </cell>
        </row>
        <row r="894">
          <cell r="AV894">
            <v>365</v>
          </cell>
          <cell r="AX894">
            <v>246</v>
          </cell>
        </row>
        <row r="895">
          <cell r="AV895">
            <v>365</v>
          </cell>
          <cell r="AX895">
            <v>130</v>
          </cell>
        </row>
        <row r="896">
          <cell r="E896" t="str">
            <v>SF</v>
          </cell>
          <cell r="AV896">
            <v>365</v>
          </cell>
          <cell r="AX896">
            <v>276</v>
          </cell>
        </row>
        <row r="897">
          <cell r="AV897">
            <v>365</v>
          </cell>
          <cell r="AX897">
            <v>276</v>
          </cell>
        </row>
        <row r="898">
          <cell r="AV898">
            <v>365</v>
          </cell>
          <cell r="AX898">
            <v>119</v>
          </cell>
        </row>
        <row r="899">
          <cell r="AV899">
            <v>365</v>
          </cell>
          <cell r="AX899">
            <v>130</v>
          </cell>
        </row>
        <row r="900">
          <cell r="AV900">
            <v>365</v>
          </cell>
          <cell r="AX900">
            <v>40</v>
          </cell>
        </row>
        <row r="901">
          <cell r="AV901">
            <v>365</v>
          </cell>
          <cell r="AX901">
            <v>336</v>
          </cell>
        </row>
        <row r="902">
          <cell r="AV902">
            <v>365</v>
          </cell>
          <cell r="AX902">
            <v>366</v>
          </cell>
        </row>
        <row r="903">
          <cell r="AV903">
            <v>305</v>
          </cell>
        </row>
        <row r="904">
          <cell r="AV904">
            <v>305</v>
          </cell>
        </row>
        <row r="905">
          <cell r="AV905">
            <v>335</v>
          </cell>
        </row>
        <row r="906">
          <cell r="D906" t="str">
            <v>GC-IB</v>
          </cell>
          <cell r="E906" t="str">
            <v>Pharma</v>
          </cell>
          <cell r="AV906">
            <v>289</v>
          </cell>
        </row>
        <row r="907">
          <cell r="D907" t="str">
            <v>GC-IB</v>
          </cell>
          <cell r="E907" t="str">
            <v>Pharma</v>
          </cell>
          <cell r="AV907">
            <v>289</v>
          </cell>
        </row>
        <row r="908">
          <cell r="D908" t="str">
            <v>GC-IB</v>
          </cell>
          <cell r="E908" t="str">
            <v>Pharma</v>
          </cell>
          <cell r="AV908">
            <v>289</v>
          </cell>
        </row>
        <row r="909">
          <cell r="AV909">
            <v>289</v>
          </cell>
        </row>
        <row r="910">
          <cell r="AV910">
            <v>289</v>
          </cell>
        </row>
        <row r="911">
          <cell r="AV911">
            <v>289</v>
          </cell>
        </row>
        <row r="912">
          <cell r="AV912">
            <v>365</v>
          </cell>
          <cell r="AX912">
            <v>31</v>
          </cell>
        </row>
        <row r="913">
          <cell r="AV913">
            <v>365</v>
          </cell>
          <cell r="AX913">
            <v>306</v>
          </cell>
        </row>
        <row r="914">
          <cell r="AV914">
            <v>365</v>
          </cell>
          <cell r="AX914">
            <v>366</v>
          </cell>
        </row>
        <row r="915">
          <cell r="AV915">
            <v>365</v>
          </cell>
          <cell r="AX915">
            <v>276</v>
          </cell>
        </row>
        <row r="916">
          <cell r="AV916">
            <v>365</v>
          </cell>
          <cell r="AX916">
            <v>277</v>
          </cell>
        </row>
        <row r="917">
          <cell r="AV917">
            <v>365</v>
          </cell>
          <cell r="AX917">
            <v>276</v>
          </cell>
        </row>
        <row r="918">
          <cell r="AV918">
            <v>289</v>
          </cell>
        </row>
        <row r="919">
          <cell r="AV919">
            <v>365</v>
          </cell>
          <cell r="AX919">
            <v>366</v>
          </cell>
          <cell r="AZ919">
            <v>9.5000000000000001E-2</v>
          </cell>
          <cell r="BA919">
            <v>31</v>
          </cell>
          <cell r="BB919">
            <v>2723.6005479452056</v>
          </cell>
        </row>
        <row r="920">
          <cell r="AV920">
            <v>365</v>
          </cell>
          <cell r="AX920">
            <v>130</v>
          </cell>
        </row>
        <row r="921">
          <cell r="D921" t="str">
            <v>Sold</v>
          </cell>
          <cell r="AV921">
            <v>365</v>
          </cell>
          <cell r="AX921">
            <v>366</v>
          </cell>
          <cell r="AZ921">
            <v>9.5000000000000001E-2</v>
          </cell>
          <cell r="BA921">
            <v>260</v>
          </cell>
          <cell r="BB921">
            <v>22803.784383561644</v>
          </cell>
        </row>
        <row r="922">
          <cell r="D922" t="str">
            <v>Sold</v>
          </cell>
        </row>
        <row r="923">
          <cell r="D923" t="str">
            <v>Sold</v>
          </cell>
        </row>
        <row r="924">
          <cell r="D924" t="str">
            <v>Sold</v>
          </cell>
          <cell r="AV924">
            <v>365</v>
          </cell>
          <cell r="AX924">
            <v>366</v>
          </cell>
          <cell r="AZ924">
            <v>9.5000000000000001E-2</v>
          </cell>
          <cell r="BA924">
            <v>182</v>
          </cell>
          <cell r="BB924">
            <v>15555.268246575344</v>
          </cell>
        </row>
        <row r="925">
          <cell r="AV925">
            <v>365</v>
          </cell>
          <cell r="AX925">
            <v>130</v>
          </cell>
        </row>
        <row r="926">
          <cell r="AV926">
            <v>365</v>
          </cell>
          <cell r="AX926">
            <v>276</v>
          </cell>
        </row>
        <row r="927">
          <cell r="AV927">
            <v>365</v>
          </cell>
          <cell r="AX927">
            <v>276</v>
          </cell>
        </row>
        <row r="928">
          <cell r="AV928">
            <v>365</v>
          </cell>
          <cell r="AX928">
            <v>130</v>
          </cell>
        </row>
        <row r="929">
          <cell r="AV929">
            <v>365</v>
          </cell>
          <cell r="AX929">
            <v>130</v>
          </cell>
        </row>
        <row r="930">
          <cell r="AV930">
            <v>365</v>
          </cell>
          <cell r="AX930">
            <v>276</v>
          </cell>
        </row>
        <row r="931">
          <cell r="AV931">
            <v>365</v>
          </cell>
          <cell r="AX931">
            <v>24</v>
          </cell>
        </row>
        <row r="932">
          <cell r="AV932">
            <v>365</v>
          </cell>
          <cell r="AX932">
            <v>336</v>
          </cell>
        </row>
        <row r="933">
          <cell r="AV933">
            <v>365</v>
          </cell>
          <cell r="AX933">
            <v>336</v>
          </cell>
        </row>
        <row r="934">
          <cell r="E934" t="str">
            <v>FF</v>
          </cell>
          <cell r="F934" t="str">
            <v>Intermediate</v>
          </cell>
          <cell r="AV934">
            <v>305</v>
          </cell>
        </row>
        <row r="935">
          <cell r="E935" t="str">
            <v>FF</v>
          </cell>
          <cell r="F935" t="str">
            <v>Intermediate</v>
          </cell>
          <cell r="AV935">
            <v>305</v>
          </cell>
        </row>
        <row r="936">
          <cell r="E936" t="str">
            <v>GF</v>
          </cell>
          <cell r="F936" t="str">
            <v>Intermediate</v>
          </cell>
          <cell r="AV936">
            <v>305</v>
          </cell>
        </row>
        <row r="937">
          <cell r="E937" t="str">
            <v>GF</v>
          </cell>
          <cell r="F937" t="str">
            <v>Intermediate</v>
          </cell>
          <cell r="AV937">
            <v>305</v>
          </cell>
        </row>
        <row r="938">
          <cell r="E938" t="str">
            <v>GF</v>
          </cell>
          <cell r="F938" t="str">
            <v>Intermediate</v>
          </cell>
          <cell r="AV938">
            <v>305</v>
          </cell>
        </row>
        <row r="939">
          <cell r="E939" t="str">
            <v>GF</v>
          </cell>
          <cell r="F939" t="str">
            <v>Intermediate</v>
          </cell>
          <cell r="AV939">
            <v>365</v>
          </cell>
          <cell r="AX939">
            <v>130</v>
          </cell>
        </row>
        <row r="940">
          <cell r="E940" t="str">
            <v>GF</v>
          </cell>
          <cell r="AV940">
            <v>365</v>
          </cell>
          <cell r="AX940">
            <v>5</v>
          </cell>
        </row>
        <row r="941">
          <cell r="AV941">
            <v>365</v>
          </cell>
          <cell r="AX941">
            <v>366</v>
          </cell>
        </row>
        <row r="942">
          <cell r="AV942">
            <v>365</v>
          </cell>
          <cell r="AX942">
            <v>336</v>
          </cell>
        </row>
        <row r="943">
          <cell r="AV943">
            <v>365</v>
          </cell>
          <cell r="AX943">
            <v>336</v>
          </cell>
        </row>
        <row r="944">
          <cell r="AV944">
            <v>365</v>
          </cell>
          <cell r="AX944">
            <v>103</v>
          </cell>
        </row>
        <row r="945">
          <cell r="AV945">
            <v>365</v>
          </cell>
          <cell r="AX945">
            <v>258</v>
          </cell>
        </row>
        <row r="946">
          <cell r="AV946">
            <v>365</v>
          </cell>
          <cell r="AX946">
            <v>276</v>
          </cell>
        </row>
        <row r="947">
          <cell r="AV947">
            <v>365</v>
          </cell>
          <cell r="AX947">
            <v>276</v>
          </cell>
        </row>
        <row r="948">
          <cell r="AV948">
            <v>365</v>
          </cell>
          <cell r="AX948">
            <v>366</v>
          </cell>
        </row>
        <row r="949">
          <cell r="AV949">
            <v>365</v>
          </cell>
          <cell r="AX949">
            <v>246</v>
          </cell>
        </row>
        <row r="950">
          <cell r="AV950">
            <v>365</v>
          </cell>
          <cell r="AX950">
            <v>366</v>
          </cell>
          <cell r="AZ950">
            <v>0.16209999999999999</v>
          </cell>
          <cell r="BA950">
            <v>365</v>
          </cell>
          <cell r="BB950">
            <v>9482.85</v>
          </cell>
          <cell r="BC950">
            <v>91</v>
          </cell>
        </row>
        <row r="951">
          <cell r="AV951">
            <v>365</v>
          </cell>
          <cell r="AX951">
            <v>366</v>
          </cell>
          <cell r="AZ951">
            <v>0.16209999999999999</v>
          </cell>
          <cell r="BA951">
            <v>365</v>
          </cell>
          <cell r="BB951">
            <v>9482.85</v>
          </cell>
          <cell r="BC951">
            <v>91</v>
          </cell>
        </row>
        <row r="952">
          <cell r="AV952">
            <v>365</v>
          </cell>
          <cell r="AX952">
            <v>366</v>
          </cell>
          <cell r="AZ952">
            <v>0.16209999999999999</v>
          </cell>
          <cell r="BA952">
            <v>365</v>
          </cell>
          <cell r="BB952">
            <v>9482.85</v>
          </cell>
          <cell r="BC952">
            <v>91</v>
          </cell>
        </row>
        <row r="953">
          <cell r="AV953">
            <v>365</v>
          </cell>
          <cell r="AX953">
            <v>366</v>
          </cell>
          <cell r="AZ953">
            <v>0.16209999999999999</v>
          </cell>
          <cell r="BA953">
            <v>365</v>
          </cell>
          <cell r="BB953">
            <v>9482.85</v>
          </cell>
          <cell r="BC953">
            <v>91</v>
          </cell>
        </row>
        <row r="954">
          <cell r="AV954">
            <v>365</v>
          </cell>
          <cell r="AX954">
            <v>366</v>
          </cell>
          <cell r="AZ954">
            <v>0.16209999999999999</v>
          </cell>
          <cell r="BA954">
            <v>365</v>
          </cell>
          <cell r="BB954">
            <v>9482.85</v>
          </cell>
          <cell r="BC954">
            <v>91</v>
          </cell>
        </row>
        <row r="955">
          <cell r="AV955">
            <v>365</v>
          </cell>
          <cell r="AX955">
            <v>128</v>
          </cell>
        </row>
        <row r="956">
          <cell r="AV956">
            <v>305</v>
          </cell>
        </row>
        <row r="957">
          <cell r="AV957">
            <v>365</v>
          </cell>
          <cell r="AX957">
            <v>273</v>
          </cell>
        </row>
        <row r="958">
          <cell r="AV958">
            <v>365</v>
          </cell>
          <cell r="AX958">
            <v>80</v>
          </cell>
        </row>
        <row r="959">
          <cell r="AV959">
            <v>365</v>
          </cell>
          <cell r="AX959">
            <v>130</v>
          </cell>
        </row>
        <row r="960">
          <cell r="AV960">
            <v>365</v>
          </cell>
          <cell r="AX960">
            <v>249</v>
          </cell>
        </row>
        <row r="961">
          <cell r="AV961">
            <v>198</v>
          </cell>
        </row>
        <row r="962">
          <cell r="AV962">
            <v>362</v>
          </cell>
        </row>
        <row r="963">
          <cell r="AV963">
            <v>362</v>
          </cell>
        </row>
        <row r="964">
          <cell r="AV964">
            <v>365</v>
          </cell>
          <cell r="AX964">
            <v>307</v>
          </cell>
        </row>
        <row r="965">
          <cell r="AV965">
            <v>289</v>
          </cell>
        </row>
        <row r="966">
          <cell r="AV966">
            <v>289</v>
          </cell>
        </row>
        <row r="967">
          <cell r="AV967">
            <v>365</v>
          </cell>
          <cell r="AX967">
            <v>276</v>
          </cell>
        </row>
        <row r="968">
          <cell r="AV968">
            <v>305</v>
          </cell>
        </row>
        <row r="969">
          <cell r="AV969">
            <v>365</v>
          </cell>
          <cell r="AX969">
            <v>130</v>
          </cell>
        </row>
        <row r="970">
          <cell r="AV970">
            <v>365</v>
          </cell>
          <cell r="AX970">
            <v>103</v>
          </cell>
        </row>
        <row r="971">
          <cell r="AV971">
            <v>365</v>
          </cell>
          <cell r="AX971">
            <v>366</v>
          </cell>
          <cell r="AZ971">
            <v>6.3299999999999995E-2</v>
          </cell>
          <cell r="BA971">
            <v>16</v>
          </cell>
          <cell r="BB971">
            <v>166.48767123287669</v>
          </cell>
        </row>
        <row r="972">
          <cell r="AV972">
            <v>365</v>
          </cell>
          <cell r="AX972">
            <v>300</v>
          </cell>
        </row>
        <row r="973">
          <cell r="AV973">
            <v>365</v>
          </cell>
          <cell r="AX973">
            <v>125</v>
          </cell>
        </row>
        <row r="974">
          <cell r="AV974">
            <v>365</v>
          </cell>
          <cell r="AX974">
            <v>130</v>
          </cell>
        </row>
        <row r="975">
          <cell r="AV975">
            <v>365</v>
          </cell>
          <cell r="AX975">
            <v>41</v>
          </cell>
        </row>
        <row r="976">
          <cell r="AV976">
            <v>365</v>
          </cell>
          <cell r="AX976">
            <v>249</v>
          </cell>
        </row>
        <row r="977">
          <cell r="E977" t="str">
            <v>GF</v>
          </cell>
          <cell r="F977" t="str">
            <v>Intermediate</v>
          </cell>
          <cell r="AV977">
            <v>289</v>
          </cell>
        </row>
        <row r="978">
          <cell r="AV978">
            <v>365</v>
          </cell>
          <cell r="AX978">
            <v>1</v>
          </cell>
        </row>
        <row r="979">
          <cell r="AV979">
            <v>365</v>
          </cell>
          <cell r="AX979">
            <v>1</v>
          </cell>
        </row>
        <row r="980">
          <cell r="AV980">
            <v>365</v>
          </cell>
          <cell r="AX980">
            <v>1</v>
          </cell>
        </row>
        <row r="981">
          <cell r="AV981">
            <v>365</v>
          </cell>
          <cell r="AX981">
            <v>202</v>
          </cell>
        </row>
        <row r="982">
          <cell r="AV982">
            <v>365</v>
          </cell>
          <cell r="AX982">
            <v>141</v>
          </cell>
        </row>
        <row r="983">
          <cell r="AV983">
            <v>365</v>
          </cell>
          <cell r="AX983">
            <v>130</v>
          </cell>
        </row>
        <row r="984">
          <cell r="AV984">
            <v>365</v>
          </cell>
          <cell r="AX984">
            <v>366</v>
          </cell>
        </row>
        <row r="985">
          <cell r="AV985">
            <v>305</v>
          </cell>
        </row>
        <row r="986">
          <cell r="AV986">
            <v>365</v>
          </cell>
          <cell r="AX986">
            <v>130</v>
          </cell>
        </row>
        <row r="987">
          <cell r="AV987">
            <v>365</v>
          </cell>
          <cell r="AX987">
            <v>276</v>
          </cell>
        </row>
        <row r="988">
          <cell r="AV988">
            <v>365</v>
          </cell>
          <cell r="AX988">
            <v>68</v>
          </cell>
        </row>
        <row r="989">
          <cell r="AV989">
            <v>365</v>
          </cell>
          <cell r="AX989">
            <v>297</v>
          </cell>
        </row>
        <row r="990">
          <cell r="AV990">
            <v>365</v>
          </cell>
          <cell r="AX990">
            <v>130</v>
          </cell>
        </row>
        <row r="991">
          <cell r="AV991">
            <v>365</v>
          </cell>
          <cell r="AX991">
            <v>175</v>
          </cell>
        </row>
        <row r="992">
          <cell r="AV992">
            <v>365</v>
          </cell>
          <cell r="AX992">
            <v>64</v>
          </cell>
        </row>
        <row r="993">
          <cell r="AV993">
            <v>365</v>
          </cell>
          <cell r="AX993">
            <v>33</v>
          </cell>
        </row>
        <row r="994">
          <cell r="AV994">
            <v>365</v>
          </cell>
          <cell r="AX994">
            <v>275</v>
          </cell>
        </row>
        <row r="995">
          <cell r="AV995">
            <v>365</v>
          </cell>
          <cell r="AX995">
            <v>159</v>
          </cell>
        </row>
        <row r="996">
          <cell r="AV996">
            <v>365</v>
          </cell>
          <cell r="AX996">
            <v>244</v>
          </cell>
        </row>
        <row r="997">
          <cell r="AV997">
            <v>365</v>
          </cell>
          <cell r="AX997">
            <v>130</v>
          </cell>
        </row>
        <row r="998">
          <cell r="AV998">
            <v>365</v>
          </cell>
          <cell r="AX998">
            <v>366</v>
          </cell>
          <cell r="AZ998">
            <v>6.3299999999999995E-2</v>
          </cell>
          <cell r="BA998">
            <v>365</v>
          </cell>
          <cell r="BB998">
            <v>15809.174999999999</v>
          </cell>
          <cell r="BC998">
            <v>89</v>
          </cell>
        </row>
        <row r="999">
          <cell r="AV999">
            <v>365</v>
          </cell>
          <cell r="AX999">
            <v>366</v>
          </cell>
        </row>
        <row r="1000">
          <cell r="AV1000">
            <v>365</v>
          </cell>
          <cell r="AX1000">
            <v>366</v>
          </cell>
          <cell r="AZ1000">
            <v>6.3299999999999995E-2</v>
          </cell>
          <cell r="BA1000">
            <v>212</v>
          </cell>
          <cell r="BB1000">
            <v>2055.0738673972601</v>
          </cell>
        </row>
        <row r="1001">
          <cell r="AV1001">
            <v>365</v>
          </cell>
          <cell r="AX1001">
            <v>130</v>
          </cell>
        </row>
        <row r="1002">
          <cell r="AV1002">
            <v>365</v>
          </cell>
          <cell r="AX1002">
            <v>109</v>
          </cell>
        </row>
        <row r="1003">
          <cell r="AV1003">
            <v>365</v>
          </cell>
          <cell r="AX1003">
            <v>88</v>
          </cell>
        </row>
        <row r="1004">
          <cell r="AV1004">
            <v>365</v>
          </cell>
          <cell r="AX1004">
            <v>245</v>
          </cell>
        </row>
        <row r="1005">
          <cell r="AV1005">
            <v>289</v>
          </cell>
        </row>
        <row r="1006">
          <cell r="AV1006">
            <v>289</v>
          </cell>
        </row>
        <row r="1007">
          <cell r="AV1007">
            <v>289</v>
          </cell>
        </row>
        <row r="1008">
          <cell r="AV1008">
            <v>289</v>
          </cell>
        </row>
        <row r="1009">
          <cell r="E1009" t="str">
            <v>SF</v>
          </cell>
          <cell r="AV1009">
            <v>365</v>
          </cell>
          <cell r="AX1009">
            <v>165</v>
          </cell>
        </row>
        <row r="1010">
          <cell r="AV1010">
            <v>365</v>
          </cell>
          <cell r="AX1010">
            <v>176</v>
          </cell>
        </row>
        <row r="1011">
          <cell r="AV1011">
            <v>365</v>
          </cell>
          <cell r="AX1011">
            <v>276</v>
          </cell>
        </row>
        <row r="1012">
          <cell r="AV1012">
            <v>365</v>
          </cell>
          <cell r="AX1012">
            <v>276</v>
          </cell>
        </row>
        <row r="1013">
          <cell r="AV1013">
            <v>365</v>
          </cell>
          <cell r="AX1013">
            <v>366</v>
          </cell>
          <cell r="AZ1013">
            <v>6.3299999999999995E-2</v>
          </cell>
          <cell r="BA1013">
            <v>99</v>
          </cell>
          <cell r="BB1013">
            <v>1094.5263698630135</v>
          </cell>
        </row>
        <row r="1014">
          <cell r="AV1014">
            <v>365</v>
          </cell>
          <cell r="AX1014">
            <v>232</v>
          </cell>
        </row>
        <row r="1015">
          <cell r="AV1015">
            <v>365</v>
          </cell>
          <cell r="AX1015">
            <v>366</v>
          </cell>
          <cell r="AZ1015">
            <v>6.3299999999999995E-2</v>
          </cell>
          <cell r="BA1015">
            <v>169</v>
          </cell>
          <cell r="BB1015">
            <v>1764.0360756164382</v>
          </cell>
        </row>
        <row r="1016">
          <cell r="AV1016">
            <v>289</v>
          </cell>
        </row>
        <row r="1017">
          <cell r="E1017" t="str">
            <v>GF</v>
          </cell>
          <cell r="F1017" t="str">
            <v>Pharma</v>
          </cell>
          <cell r="AV1017">
            <v>289</v>
          </cell>
        </row>
        <row r="1018">
          <cell r="AV1018">
            <v>365</v>
          </cell>
          <cell r="AX1018">
            <v>366</v>
          </cell>
        </row>
        <row r="1019">
          <cell r="AV1019">
            <v>365</v>
          </cell>
          <cell r="AX1019">
            <v>34</v>
          </cell>
        </row>
        <row r="1020">
          <cell r="AV1020">
            <v>365</v>
          </cell>
          <cell r="AX1020">
            <v>130</v>
          </cell>
        </row>
        <row r="1021">
          <cell r="AV1021">
            <v>198</v>
          </cell>
        </row>
        <row r="1022">
          <cell r="AV1022">
            <v>198</v>
          </cell>
        </row>
        <row r="1023">
          <cell r="AV1023">
            <v>198</v>
          </cell>
        </row>
        <row r="1024">
          <cell r="D1024" t="str">
            <v>SRV</v>
          </cell>
          <cell r="AV1024">
            <v>198</v>
          </cell>
        </row>
        <row r="1025">
          <cell r="D1025" t="str">
            <v>SRV</v>
          </cell>
          <cell r="AV1025">
            <v>198</v>
          </cell>
        </row>
        <row r="1026">
          <cell r="AV1026">
            <v>198</v>
          </cell>
        </row>
        <row r="1027">
          <cell r="AV1027">
            <v>365</v>
          </cell>
          <cell r="AX1027">
            <v>33</v>
          </cell>
        </row>
        <row r="1028">
          <cell r="AV1028">
            <v>365</v>
          </cell>
          <cell r="AX1028">
            <v>366</v>
          </cell>
        </row>
        <row r="1029">
          <cell r="AV1029">
            <v>365</v>
          </cell>
          <cell r="AX1029">
            <v>123</v>
          </cell>
        </row>
        <row r="1030">
          <cell r="AV1030">
            <v>365</v>
          </cell>
          <cell r="AX1030">
            <v>123</v>
          </cell>
        </row>
        <row r="1031">
          <cell r="AV1031">
            <v>365</v>
          </cell>
          <cell r="AX1031">
            <v>123</v>
          </cell>
        </row>
        <row r="1032">
          <cell r="AV1032">
            <v>365</v>
          </cell>
          <cell r="AX1032">
            <v>123</v>
          </cell>
        </row>
        <row r="1033">
          <cell r="AV1033">
            <v>365</v>
          </cell>
          <cell r="AX1033">
            <v>123</v>
          </cell>
        </row>
        <row r="1034">
          <cell r="AV1034">
            <v>365</v>
          </cell>
          <cell r="AX1034">
            <v>279</v>
          </cell>
        </row>
        <row r="1035">
          <cell r="E1035" t="str">
            <v>FF</v>
          </cell>
          <cell r="AV1035">
            <v>365</v>
          </cell>
          <cell r="AX1035">
            <v>266</v>
          </cell>
        </row>
        <row r="1036">
          <cell r="AV1036">
            <v>289</v>
          </cell>
        </row>
        <row r="1037">
          <cell r="E1037" t="str">
            <v>FF</v>
          </cell>
          <cell r="F1037" t="str">
            <v>SUITE IV (NON - ONCO)</v>
          </cell>
          <cell r="AV1037">
            <v>289</v>
          </cell>
        </row>
        <row r="1038">
          <cell r="E1038" t="str">
            <v>FF</v>
          </cell>
          <cell r="F1038" t="str">
            <v>SUITE IV (NON - ONCO)</v>
          </cell>
          <cell r="AV1038">
            <v>289</v>
          </cell>
        </row>
        <row r="1039">
          <cell r="AV1039">
            <v>289</v>
          </cell>
        </row>
        <row r="1040">
          <cell r="AV1040">
            <v>365</v>
          </cell>
          <cell r="AX1040">
            <v>115</v>
          </cell>
        </row>
        <row r="1041">
          <cell r="AV1041">
            <v>365</v>
          </cell>
          <cell r="AX1041">
            <v>115</v>
          </cell>
        </row>
        <row r="1042">
          <cell r="AV1042">
            <v>365</v>
          </cell>
          <cell r="AX1042">
            <v>336</v>
          </cell>
        </row>
        <row r="1043">
          <cell r="AV1043">
            <v>365</v>
          </cell>
          <cell r="AX1043">
            <v>336</v>
          </cell>
        </row>
        <row r="1044">
          <cell r="E1044" t="str">
            <v>GF</v>
          </cell>
          <cell r="F1044" t="str">
            <v>Intermediate</v>
          </cell>
          <cell r="AV1044">
            <v>289</v>
          </cell>
        </row>
        <row r="1045">
          <cell r="AV1045">
            <v>365</v>
          </cell>
          <cell r="AX1045">
            <v>190</v>
          </cell>
        </row>
        <row r="1046">
          <cell r="E1046" t="str">
            <v>GF</v>
          </cell>
          <cell r="F1046" t="str">
            <v>Intermediate</v>
          </cell>
          <cell r="AV1046">
            <v>335</v>
          </cell>
        </row>
        <row r="1047">
          <cell r="AV1047">
            <v>365</v>
          </cell>
          <cell r="AX1047">
            <v>130</v>
          </cell>
        </row>
        <row r="1048">
          <cell r="E1048" t="str">
            <v>GF</v>
          </cell>
          <cell r="F1048" t="str">
            <v>Intermediate</v>
          </cell>
          <cell r="AV1048">
            <v>365</v>
          </cell>
          <cell r="AX1048">
            <v>33</v>
          </cell>
        </row>
        <row r="1049">
          <cell r="E1049" t="str">
            <v>GF</v>
          </cell>
          <cell r="F1049" t="str">
            <v>Intermediate</v>
          </cell>
          <cell r="AV1049">
            <v>335</v>
          </cell>
        </row>
        <row r="1050">
          <cell r="AV1050">
            <v>365</v>
          </cell>
          <cell r="AX1050">
            <v>130</v>
          </cell>
        </row>
        <row r="1051">
          <cell r="AV1051">
            <v>365</v>
          </cell>
          <cell r="AX1051">
            <v>267</v>
          </cell>
        </row>
        <row r="1052">
          <cell r="AV1052">
            <v>365</v>
          </cell>
          <cell r="AX1052">
            <v>136</v>
          </cell>
        </row>
        <row r="1053">
          <cell r="AV1053">
            <v>365</v>
          </cell>
          <cell r="AX1053">
            <v>119</v>
          </cell>
        </row>
        <row r="1054">
          <cell r="AV1054">
            <v>365</v>
          </cell>
          <cell r="AX1054">
            <v>19</v>
          </cell>
        </row>
        <row r="1055">
          <cell r="AV1055">
            <v>365</v>
          </cell>
          <cell r="AX1055">
            <v>92</v>
          </cell>
        </row>
        <row r="1056">
          <cell r="AV1056">
            <v>365</v>
          </cell>
          <cell r="AX1056">
            <v>276</v>
          </cell>
        </row>
        <row r="1057">
          <cell r="AV1057">
            <v>365</v>
          </cell>
          <cell r="AX1057">
            <v>307</v>
          </cell>
        </row>
        <row r="1058">
          <cell r="AV1058">
            <v>365</v>
          </cell>
          <cell r="AX1058">
            <v>33</v>
          </cell>
        </row>
        <row r="1059">
          <cell r="AV1059">
            <v>365</v>
          </cell>
          <cell r="AX1059">
            <v>366</v>
          </cell>
          <cell r="AZ1059">
            <v>0.16209999999999999</v>
          </cell>
          <cell r="BA1059">
            <v>187</v>
          </cell>
          <cell r="BB1059">
            <v>2936.5947178082188</v>
          </cell>
        </row>
        <row r="1060">
          <cell r="AV1060">
            <v>365</v>
          </cell>
          <cell r="AX1060">
            <v>175</v>
          </cell>
        </row>
        <row r="1061">
          <cell r="E1061" t="str">
            <v>GF</v>
          </cell>
          <cell r="F1061" t="str">
            <v>Intermediate</v>
          </cell>
          <cell r="AV1061">
            <v>335</v>
          </cell>
        </row>
        <row r="1062">
          <cell r="AV1062">
            <v>308</v>
          </cell>
        </row>
        <row r="1063">
          <cell r="AV1063">
            <v>365</v>
          </cell>
          <cell r="AX1063">
            <v>33</v>
          </cell>
        </row>
        <row r="1064">
          <cell r="AV1064">
            <v>365</v>
          </cell>
          <cell r="AX1064">
            <v>130</v>
          </cell>
        </row>
        <row r="1065">
          <cell r="AV1065">
            <v>365</v>
          </cell>
          <cell r="AX1065">
            <v>33</v>
          </cell>
        </row>
        <row r="1066">
          <cell r="AV1066">
            <v>365</v>
          </cell>
          <cell r="AX1066">
            <v>366</v>
          </cell>
          <cell r="AZ1066">
            <v>6.3299999999999995E-2</v>
          </cell>
          <cell r="BA1066">
            <v>365</v>
          </cell>
          <cell r="BB1066">
            <v>13308.824999999999</v>
          </cell>
          <cell r="BC1066">
            <v>89</v>
          </cell>
        </row>
        <row r="1067">
          <cell r="AV1067">
            <v>365</v>
          </cell>
          <cell r="AX1067">
            <v>31</v>
          </cell>
        </row>
        <row r="1068">
          <cell r="AV1068">
            <v>365</v>
          </cell>
          <cell r="AX1068">
            <v>307</v>
          </cell>
        </row>
        <row r="1069">
          <cell r="AV1069">
            <v>365</v>
          </cell>
          <cell r="AX1069">
            <v>366</v>
          </cell>
          <cell r="AZ1069">
            <v>0.16209999999999999</v>
          </cell>
          <cell r="BA1069">
            <v>338</v>
          </cell>
          <cell r="BB1069">
            <v>5283.838246575343</v>
          </cell>
        </row>
        <row r="1070">
          <cell r="E1070" t="str">
            <v>SF</v>
          </cell>
          <cell r="AV1070">
            <v>365</v>
          </cell>
          <cell r="AX1070">
            <v>1</v>
          </cell>
        </row>
        <row r="1071">
          <cell r="AV1071">
            <v>365</v>
          </cell>
          <cell r="AX1071">
            <v>183</v>
          </cell>
        </row>
        <row r="1072">
          <cell r="AV1072">
            <v>365</v>
          </cell>
          <cell r="AX1072">
            <v>366</v>
          </cell>
          <cell r="AZ1072">
            <v>0.16209999999999999</v>
          </cell>
          <cell r="BA1072">
            <v>187</v>
          </cell>
          <cell r="BB1072">
            <v>8553.9947945205477</v>
          </cell>
        </row>
        <row r="1073">
          <cell r="AV1073">
            <v>365</v>
          </cell>
          <cell r="AX1073">
            <v>366</v>
          </cell>
          <cell r="AZ1073">
            <v>0.16209999999999999</v>
          </cell>
          <cell r="BA1073">
            <v>187</v>
          </cell>
          <cell r="BB1073">
            <v>8553.9947945205477</v>
          </cell>
        </row>
        <row r="1074">
          <cell r="AV1074">
            <v>365</v>
          </cell>
          <cell r="AX1074">
            <v>272</v>
          </cell>
        </row>
        <row r="1075">
          <cell r="AV1075">
            <v>305</v>
          </cell>
        </row>
        <row r="1076">
          <cell r="AV1076">
            <v>365</v>
          </cell>
          <cell r="AX1076">
            <v>267</v>
          </cell>
        </row>
        <row r="1077">
          <cell r="AV1077">
            <v>365</v>
          </cell>
          <cell r="AX1077">
            <v>307</v>
          </cell>
        </row>
        <row r="1078">
          <cell r="AV1078">
            <v>365</v>
          </cell>
          <cell r="AX1078">
            <v>366</v>
          </cell>
        </row>
        <row r="1079">
          <cell r="AV1079">
            <v>365</v>
          </cell>
          <cell r="AX1079">
            <v>130</v>
          </cell>
        </row>
        <row r="1080">
          <cell r="AV1080">
            <v>365</v>
          </cell>
          <cell r="AX1080">
            <v>245</v>
          </cell>
        </row>
        <row r="1081">
          <cell r="AV1081">
            <v>365</v>
          </cell>
          <cell r="AX1081">
            <v>33</v>
          </cell>
        </row>
        <row r="1082">
          <cell r="AV1082">
            <v>365</v>
          </cell>
          <cell r="AX1082">
            <v>221</v>
          </cell>
        </row>
        <row r="1083">
          <cell r="E1083" t="str">
            <v>GF</v>
          </cell>
          <cell r="AV1083">
            <v>305</v>
          </cell>
        </row>
        <row r="1084">
          <cell r="AV1084">
            <v>305</v>
          </cell>
        </row>
        <row r="1085">
          <cell r="AV1085">
            <v>365</v>
          </cell>
          <cell r="AX1085">
            <v>130</v>
          </cell>
        </row>
        <row r="1086">
          <cell r="E1086" t="str">
            <v>FF</v>
          </cell>
          <cell r="AV1086">
            <v>365</v>
          </cell>
          <cell r="AX1086">
            <v>336</v>
          </cell>
        </row>
        <row r="1087">
          <cell r="E1087" t="str">
            <v>FF</v>
          </cell>
          <cell r="AV1087">
            <v>365</v>
          </cell>
          <cell r="AX1087">
            <v>336</v>
          </cell>
        </row>
        <row r="1088">
          <cell r="E1088" t="str">
            <v>FF</v>
          </cell>
          <cell r="AV1088">
            <v>365</v>
          </cell>
          <cell r="AX1088">
            <v>336</v>
          </cell>
        </row>
        <row r="1089">
          <cell r="AV1089">
            <v>198</v>
          </cell>
        </row>
        <row r="1090">
          <cell r="AV1090">
            <v>365</v>
          </cell>
          <cell r="AX1090">
            <v>366</v>
          </cell>
        </row>
        <row r="1091">
          <cell r="AV1091">
            <v>365</v>
          </cell>
          <cell r="AX1091">
            <v>366</v>
          </cell>
        </row>
        <row r="1092">
          <cell r="AV1092">
            <v>365</v>
          </cell>
          <cell r="AX1092">
            <v>366</v>
          </cell>
        </row>
        <row r="1093">
          <cell r="AV1093">
            <v>365</v>
          </cell>
          <cell r="AX1093">
            <v>366</v>
          </cell>
        </row>
        <row r="1094">
          <cell r="AV1094">
            <v>198</v>
          </cell>
        </row>
        <row r="1095">
          <cell r="AV1095">
            <v>198</v>
          </cell>
        </row>
        <row r="1096">
          <cell r="AV1096">
            <v>365</v>
          </cell>
          <cell r="AX1096">
            <v>215</v>
          </cell>
        </row>
        <row r="1097">
          <cell r="AV1097">
            <v>365</v>
          </cell>
          <cell r="AX1097">
            <v>183</v>
          </cell>
        </row>
        <row r="1098">
          <cell r="AV1098">
            <v>365</v>
          </cell>
          <cell r="AX1098">
            <v>276</v>
          </cell>
        </row>
        <row r="1099">
          <cell r="AV1099">
            <v>335</v>
          </cell>
        </row>
        <row r="1100">
          <cell r="AV1100">
            <v>365</v>
          </cell>
          <cell r="AX1100">
            <v>72</v>
          </cell>
        </row>
        <row r="1101">
          <cell r="AV1101">
            <v>365</v>
          </cell>
          <cell r="AX1101">
            <v>156</v>
          </cell>
        </row>
        <row r="1102">
          <cell r="AV1102">
            <v>365</v>
          </cell>
          <cell r="AX1102">
            <v>366</v>
          </cell>
          <cell r="AZ1102">
            <v>0.16209999999999999</v>
          </cell>
          <cell r="BA1102">
            <v>365</v>
          </cell>
          <cell r="BB1102">
            <v>30312.699999999997</v>
          </cell>
          <cell r="BC1102">
            <v>48</v>
          </cell>
        </row>
        <row r="1103">
          <cell r="AV1103">
            <v>365</v>
          </cell>
          <cell r="AX1103">
            <v>104</v>
          </cell>
        </row>
        <row r="1104">
          <cell r="AV1104">
            <v>365</v>
          </cell>
          <cell r="AX1104">
            <v>1</v>
          </cell>
        </row>
        <row r="1105">
          <cell r="AV1105">
            <v>365</v>
          </cell>
          <cell r="AX1105">
            <v>130</v>
          </cell>
        </row>
        <row r="1106">
          <cell r="AV1106">
            <v>365</v>
          </cell>
          <cell r="AX1106">
            <v>183</v>
          </cell>
        </row>
        <row r="1107">
          <cell r="AV1107">
            <v>365</v>
          </cell>
          <cell r="AX1107">
            <v>130</v>
          </cell>
        </row>
        <row r="1108">
          <cell r="AV1108">
            <v>365</v>
          </cell>
          <cell r="AX1108">
            <v>71</v>
          </cell>
        </row>
        <row r="1109">
          <cell r="E1109" t="str">
            <v>GF</v>
          </cell>
          <cell r="AV1109">
            <v>365</v>
          </cell>
          <cell r="AX1109">
            <v>266</v>
          </cell>
        </row>
        <row r="1110">
          <cell r="AV1110">
            <v>365</v>
          </cell>
          <cell r="AX1110">
            <v>130</v>
          </cell>
        </row>
        <row r="1111">
          <cell r="AV1111">
            <v>365</v>
          </cell>
          <cell r="AX1111">
            <v>130</v>
          </cell>
        </row>
        <row r="1112">
          <cell r="AV1112">
            <v>365</v>
          </cell>
          <cell r="AX1112">
            <v>130</v>
          </cell>
        </row>
        <row r="1113">
          <cell r="AV1113">
            <v>365</v>
          </cell>
          <cell r="AX1113">
            <v>57</v>
          </cell>
        </row>
        <row r="1114">
          <cell r="AV1114">
            <v>335</v>
          </cell>
        </row>
        <row r="1115">
          <cell r="AV1115">
            <v>335</v>
          </cell>
        </row>
        <row r="1116">
          <cell r="AV1116">
            <v>335</v>
          </cell>
        </row>
        <row r="1117">
          <cell r="AV1117">
            <v>335</v>
          </cell>
        </row>
        <row r="1118">
          <cell r="AV1118">
            <v>335</v>
          </cell>
        </row>
        <row r="1119">
          <cell r="AV1119">
            <v>335</v>
          </cell>
        </row>
        <row r="1120">
          <cell r="AV1120">
            <v>335</v>
          </cell>
        </row>
        <row r="1121">
          <cell r="AV1121">
            <v>365</v>
          </cell>
          <cell r="AX1121">
            <v>105</v>
          </cell>
        </row>
        <row r="1122">
          <cell r="AV1122">
            <v>365</v>
          </cell>
          <cell r="AX1122">
            <v>130</v>
          </cell>
        </row>
        <row r="1123">
          <cell r="AV1123">
            <v>335</v>
          </cell>
        </row>
        <row r="1124">
          <cell r="AV1124">
            <v>335</v>
          </cell>
        </row>
        <row r="1125">
          <cell r="AV1125">
            <v>335</v>
          </cell>
        </row>
        <row r="1126">
          <cell r="AV1126">
            <v>335</v>
          </cell>
        </row>
        <row r="1127">
          <cell r="AV1127">
            <v>335</v>
          </cell>
        </row>
        <row r="1128">
          <cell r="AV1128">
            <v>335</v>
          </cell>
        </row>
        <row r="1129">
          <cell r="AV1129">
            <v>335</v>
          </cell>
        </row>
        <row r="1130">
          <cell r="AV1130">
            <v>335</v>
          </cell>
        </row>
        <row r="1131">
          <cell r="AV1131">
            <v>365</v>
          </cell>
          <cell r="AX1131">
            <v>280</v>
          </cell>
        </row>
        <row r="1132">
          <cell r="E1132" t="str">
            <v>FF</v>
          </cell>
          <cell r="AV1132">
            <v>365</v>
          </cell>
          <cell r="AX1132">
            <v>5</v>
          </cell>
        </row>
        <row r="1133">
          <cell r="E1133" t="str">
            <v>FF</v>
          </cell>
          <cell r="AV1133">
            <v>365</v>
          </cell>
          <cell r="AX1133">
            <v>5</v>
          </cell>
        </row>
        <row r="1134">
          <cell r="E1134" t="str">
            <v>FF</v>
          </cell>
          <cell r="AV1134">
            <v>365</v>
          </cell>
          <cell r="AX1134">
            <v>5</v>
          </cell>
        </row>
        <row r="1135">
          <cell r="E1135" t="str">
            <v>FF</v>
          </cell>
          <cell r="AV1135">
            <v>365</v>
          </cell>
          <cell r="AX1135">
            <v>5</v>
          </cell>
        </row>
        <row r="1136">
          <cell r="E1136" t="str">
            <v>FF</v>
          </cell>
          <cell r="AV1136">
            <v>365</v>
          </cell>
          <cell r="AX1136">
            <v>5</v>
          </cell>
        </row>
        <row r="1137">
          <cell r="AV1137">
            <v>365</v>
          </cell>
          <cell r="AX1137">
            <v>366</v>
          </cell>
          <cell r="AZ1137">
            <v>6.3299999999999995E-2</v>
          </cell>
          <cell r="BA1137">
            <v>103</v>
          </cell>
          <cell r="BB1137">
            <v>1028.893808219178</v>
          </cell>
        </row>
        <row r="1138">
          <cell r="AV1138">
            <v>365</v>
          </cell>
          <cell r="AX1138">
            <v>317</v>
          </cell>
        </row>
        <row r="1139">
          <cell r="AV1139">
            <v>365</v>
          </cell>
          <cell r="AX1139">
            <v>317</v>
          </cell>
        </row>
        <row r="1140">
          <cell r="AV1140">
            <v>365</v>
          </cell>
          <cell r="AX1140">
            <v>317</v>
          </cell>
        </row>
        <row r="1141">
          <cell r="AV1141">
            <v>365</v>
          </cell>
          <cell r="AX1141">
            <v>317</v>
          </cell>
        </row>
        <row r="1142">
          <cell r="AV1142">
            <v>365</v>
          </cell>
          <cell r="AX1142">
            <v>366</v>
          </cell>
          <cell r="AZ1142">
            <v>6.3299999999999995E-2</v>
          </cell>
          <cell r="BA1142">
            <v>103</v>
          </cell>
          <cell r="BB1142">
            <v>666.28019178082184</v>
          </cell>
        </row>
        <row r="1143">
          <cell r="AV1143">
            <v>365</v>
          </cell>
          <cell r="AX1143">
            <v>366</v>
          </cell>
        </row>
        <row r="1144">
          <cell r="AV1144">
            <v>365</v>
          </cell>
          <cell r="AX1144">
            <v>251</v>
          </cell>
        </row>
        <row r="1145">
          <cell r="AV1145">
            <v>198</v>
          </cell>
        </row>
        <row r="1146">
          <cell r="AV1146">
            <v>365</v>
          </cell>
          <cell r="AX1146">
            <v>72</v>
          </cell>
        </row>
        <row r="1147">
          <cell r="AV1147">
            <v>365</v>
          </cell>
          <cell r="AX1147">
            <v>72</v>
          </cell>
        </row>
        <row r="1148">
          <cell r="AV1148">
            <v>365</v>
          </cell>
          <cell r="AX1148">
            <v>203</v>
          </cell>
        </row>
        <row r="1149">
          <cell r="AV1149">
            <v>365</v>
          </cell>
          <cell r="AX1149">
            <v>203</v>
          </cell>
        </row>
        <row r="1150">
          <cell r="AV1150">
            <v>365</v>
          </cell>
          <cell r="AX1150">
            <v>276</v>
          </cell>
        </row>
        <row r="1151">
          <cell r="AV1151">
            <v>365</v>
          </cell>
          <cell r="AX1151">
            <v>276</v>
          </cell>
        </row>
        <row r="1152">
          <cell r="AV1152">
            <v>365</v>
          </cell>
          <cell r="AX1152">
            <v>65</v>
          </cell>
        </row>
        <row r="1153">
          <cell r="AV1153">
            <v>365</v>
          </cell>
          <cell r="AX1153">
            <v>153</v>
          </cell>
        </row>
        <row r="1154">
          <cell r="AV1154">
            <v>365</v>
          </cell>
          <cell r="AX1154">
            <v>183</v>
          </cell>
        </row>
        <row r="1155">
          <cell r="AV1155">
            <v>198</v>
          </cell>
        </row>
        <row r="1156">
          <cell r="AV1156">
            <v>198</v>
          </cell>
        </row>
        <row r="1157">
          <cell r="AV1157">
            <v>335</v>
          </cell>
        </row>
        <row r="1158">
          <cell r="AV1158">
            <v>198</v>
          </cell>
        </row>
        <row r="1159">
          <cell r="E1159" t="str">
            <v>FF</v>
          </cell>
          <cell r="AV1159">
            <v>365</v>
          </cell>
          <cell r="AX1159">
            <v>225</v>
          </cell>
        </row>
        <row r="1160">
          <cell r="AV1160">
            <v>365</v>
          </cell>
          <cell r="AX1160">
            <v>33</v>
          </cell>
        </row>
        <row r="1161">
          <cell r="AV1161">
            <v>365</v>
          </cell>
          <cell r="AX1161">
            <v>276</v>
          </cell>
        </row>
        <row r="1162">
          <cell r="AV1162">
            <v>365</v>
          </cell>
          <cell r="AX1162">
            <v>122</v>
          </cell>
        </row>
        <row r="1163">
          <cell r="AV1163">
            <v>365</v>
          </cell>
          <cell r="AX1163">
            <v>137</v>
          </cell>
        </row>
        <row r="1164">
          <cell r="AV1164">
            <v>365</v>
          </cell>
          <cell r="AX1164">
            <v>336</v>
          </cell>
        </row>
        <row r="1165">
          <cell r="AV1165">
            <v>365</v>
          </cell>
          <cell r="AX1165">
            <v>130</v>
          </cell>
        </row>
        <row r="1166">
          <cell r="F1166" t="str">
            <v>Zone-4</v>
          </cell>
          <cell r="AV1166">
            <v>305</v>
          </cell>
        </row>
        <row r="1167">
          <cell r="AV1167">
            <v>365</v>
          </cell>
          <cell r="AX1167">
            <v>130</v>
          </cell>
        </row>
        <row r="1168">
          <cell r="AV1168">
            <v>365</v>
          </cell>
          <cell r="AX1168">
            <v>130</v>
          </cell>
        </row>
        <row r="1169">
          <cell r="AV1169">
            <v>365</v>
          </cell>
          <cell r="AX1169">
            <v>130</v>
          </cell>
        </row>
        <row r="1170">
          <cell r="AV1170">
            <v>365</v>
          </cell>
          <cell r="AX1170">
            <v>130</v>
          </cell>
        </row>
        <row r="1171">
          <cell r="AV1171">
            <v>365</v>
          </cell>
          <cell r="AX1171">
            <v>130</v>
          </cell>
        </row>
        <row r="1172">
          <cell r="AV1172">
            <v>365</v>
          </cell>
          <cell r="AX1172">
            <v>130</v>
          </cell>
        </row>
        <row r="1173">
          <cell r="AV1173">
            <v>365</v>
          </cell>
          <cell r="AX1173">
            <v>130</v>
          </cell>
        </row>
        <row r="1174">
          <cell r="AV1174">
            <v>365</v>
          </cell>
          <cell r="AX1174">
            <v>130</v>
          </cell>
        </row>
        <row r="1175">
          <cell r="AV1175">
            <v>365</v>
          </cell>
          <cell r="AX1175">
            <v>130</v>
          </cell>
        </row>
        <row r="1176">
          <cell r="AV1176">
            <v>365</v>
          </cell>
          <cell r="AX1176">
            <v>366</v>
          </cell>
        </row>
        <row r="1177">
          <cell r="AV1177">
            <v>365</v>
          </cell>
          <cell r="AX1177">
            <v>366</v>
          </cell>
        </row>
        <row r="1178">
          <cell r="AV1178">
            <v>365</v>
          </cell>
          <cell r="AX1178">
            <v>366</v>
          </cell>
        </row>
        <row r="1179">
          <cell r="AV1179">
            <v>365</v>
          </cell>
          <cell r="AX1179">
            <v>366</v>
          </cell>
        </row>
        <row r="1180">
          <cell r="AV1180">
            <v>365</v>
          </cell>
          <cell r="AX1180">
            <v>33</v>
          </cell>
        </row>
        <row r="1181">
          <cell r="E1181" t="str">
            <v>FF</v>
          </cell>
          <cell r="AV1181">
            <v>365</v>
          </cell>
          <cell r="AX1181">
            <v>266</v>
          </cell>
        </row>
        <row r="1182">
          <cell r="AV1182">
            <v>365</v>
          </cell>
          <cell r="AX1182">
            <v>183</v>
          </cell>
        </row>
        <row r="1183">
          <cell r="AV1183">
            <v>365</v>
          </cell>
          <cell r="AX1183">
            <v>131</v>
          </cell>
        </row>
        <row r="1184">
          <cell r="E1184" t="str">
            <v>FF</v>
          </cell>
          <cell r="AV1184">
            <v>365</v>
          </cell>
          <cell r="AX1184">
            <v>153</v>
          </cell>
        </row>
        <row r="1185">
          <cell r="E1185" t="str">
            <v>FF</v>
          </cell>
          <cell r="AV1185">
            <v>365</v>
          </cell>
          <cell r="AX1185">
            <v>153</v>
          </cell>
        </row>
        <row r="1186">
          <cell r="E1186" t="str">
            <v>FF</v>
          </cell>
          <cell r="AV1186">
            <v>365</v>
          </cell>
          <cell r="AX1186">
            <v>153</v>
          </cell>
        </row>
        <row r="1187">
          <cell r="E1187" t="str">
            <v>FF</v>
          </cell>
          <cell r="AV1187">
            <v>365</v>
          </cell>
          <cell r="AX1187">
            <v>153</v>
          </cell>
        </row>
        <row r="1188">
          <cell r="E1188" t="str">
            <v>FF</v>
          </cell>
          <cell r="AV1188">
            <v>365</v>
          </cell>
          <cell r="AX1188">
            <v>153</v>
          </cell>
        </row>
        <row r="1189">
          <cell r="E1189" t="str">
            <v>FF</v>
          </cell>
          <cell r="AV1189">
            <v>365</v>
          </cell>
          <cell r="AX1189">
            <v>153</v>
          </cell>
        </row>
        <row r="1190">
          <cell r="E1190" t="str">
            <v>FF</v>
          </cell>
          <cell r="AV1190">
            <v>365</v>
          </cell>
          <cell r="AX1190">
            <v>153</v>
          </cell>
        </row>
        <row r="1191">
          <cell r="E1191" t="str">
            <v>FF</v>
          </cell>
          <cell r="AV1191">
            <v>365</v>
          </cell>
          <cell r="AX1191">
            <v>153</v>
          </cell>
        </row>
        <row r="1192">
          <cell r="E1192" t="str">
            <v>FF</v>
          </cell>
          <cell r="AV1192">
            <v>365</v>
          </cell>
          <cell r="AX1192">
            <v>153</v>
          </cell>
        </row>
        <row r="1193">
          <cell r="E1193" t="str">
            <v>FF</v>
          </cell>
          <cell r="AV1193">
            <v>365</v>
          </cell>
          <cell r="AX1193">
            <v>153</v>
          </cell>
        </row>
        <row r="1194">
          <cell r="AV1194">
            <v>365</v>
          </cell>
          <cell r="AX1194">
            <v>267</v>
          </cell>
        </row>
        <row r="1195">
          <cell r="AV1195">
            <v>365</v>
          </cell>
          <cell r="AX1195">
            <v>267</v>
          </cell>
        </row>
        <row r="1196">
          <cell r="AV1196">
            <v>365</v>
          </cell>
          <cell r="AX1196">
            <v>130</v>
          </cell>
        </row>
        <row r="1197">
          <cell r="AV1197">
            <v>365</v>
          </cell>
          <cell r="AX1197">
            <v>130</v>
          </cell>
        </row>
        <row r="1198">
          <cell r="AV1198">
            <v>365</v>
          </cell>
          <cell r="AX1198">
            <v>130</v>
          </cell>
        </row>
        <row r="1199">
          <cell r="AV1199">
            <v>365</v>
          </cell>
          <cell r="AX1199">
            <v>123</v>
          </cell>
        </row>
        <row r="1200">
          <cell r="AV1200">
            <v>365</v>
          </cell>
          <cell r="AX1200">
            <v>306</v>
          </cell>
        </row>
        <row r="1201">
          <cell r="AV1201">
            <v>365</v>
          </cell>
          <cell r="AX1201">
            <v>80</v>
          </cell>
        </row>
        <row r="1202">
          <cell r="AV1202">
            <v>365</v>
          </cell>
          <cell r="AX1202">
            <v>80</v>
          </cell>
        </row>
        <row r="1203">
          <cell r="AV1203">
            <v>365</v>
          </cell>
          <cell r="AX1203">
            <v>80</v>
          </cell>
        </row>
        <row r="1204">
          <cell r="AV1204">
            <v>365</v>
          </cell>
          <cell r="AX1204">
            <v>80</v>
          </cell>
        </row>
        <row r="1205">
          <cell r="AV1205">
            <v>365</v>
          </cell>
          <cell r="AX1205">
            <v>80</v>
          </cell>
        </row>
        <row r="1206">
          <cell r="AV1206">
            <v>365</v>
          </cell>
          <cell r="AX1206">
            <v>80</v>
          </cell>
        </row>
        <row r="1207">
          <cell r="AV1207">
            <v>365</v>
          </cell>
          <cell r="AX1207">
            <v>80</v>
          </cell>
        </row>
        <row r="1208">
          <cell r="AV1208">
            <v>365</v>
          </cell>
          <cell r="AX1208">
            <v>80</v>
          </cell>
        </row>
        <row r="1209">
          <cell r="AV1209">
            <v>365</v>
          </cell>
          <cell r="AX1209">
            <v>107</v>
          </cell>
        </row>
        <row r="1210">
          <cell r="AV1210">
            <v>365</v>
          </cell>
          <cell r="AX1210">
            <v>107</v>
          </cell>
        </row>
        <row r="1211">
          <cell r="AV1211">
            <v>365</v>
          </cell>
          <cell r="AX1211">
            <v>33</v>
          </cell>
        </row>
        <row r="1212">
          <cell r="AV1212">
            <v>365</v>
          </cell>
          <cell r="AX1212">
            <v>366</v>
          </cell>
          <cell r="AZ1212">
            <v>6.3299999999999995E-2</v>
          </cell>
          <cell r="BA1212">
            <v>164</v>
          </cell>
          <cell r="BB1212">
            <v>3071.6975342465753</v>
          </cell>
        </row>
        <row r="1213">
          <cell r="AV1213">
            <v>365</v>
          </cell>
          <cell r="AX1213">
            <v>307</v>
          </cell>
        </row>
        <row r="1214">
          <cell r="AV1214">
            <v>365</v>
          </cell>
          <cell r="AX1214">
            <v>63</v>
          </cell>
        </row>
        <row r="1215">
          <cell r="AV1215">
            <v>365</v>
          </cell>
          <cell r="AX1215">
            <v>63</v>
          </cell>
        </row>
        <row r="1216">
          <cell r="AV1216">
            <v>365</v>
          </cell>
          <cell r="AX1216">
            <v>63</v>
          </cell>
        </row>
        <row r="1217">
          <cell r="E1217" t="str">
            <v>SF</v>
          </cell>
          <cell r="AV1217">
            <v>365</v>
          </cell>
          <cell r="AX1217">
            <v>21</v>
          </cell>
        </row>
        <row r="1218">
          <cell r="AV1218">
            <v>365</v>
          </cell>
          <cell r="AX1218">
            <v>306</v>
          </cell>
        </row>
        <row r="1219">
          <cell r="AV1219">
            <v>305</v>
          </cell>
        </row>
        <row r="1220">
          <cell r="AV1220">
            <v>365</v>
          </cell>
          <cell r="AX1220">
            <v>336</v>
          </cell>
        </row>
        <row r="1221">
          <cell r="AV1221">
            <v>305</v>
          </cell>
        </row>
        <row r="1222">
          <cell r="AV1222">
            <v>305</v>
          </cell>
        </row>
        <row r="1223">
          <cell r="AV1223">
            <v>365</v>
          </cell>
          <cell r="AX1223">
            <v>366</v>
          </cell>
        </row>
        <row r="1224">
          <cell r="AV1224">
            <v>365</v>
          </cell>
          <cell r="AX1224">
            <v>33</v>
          </cell>
        </row>
        <row r="1225">
          <cell r="AV1225">
            <v>365</v>
          </cell>
          <cell r="AX1225">
            <v>136</v>
          </cell>
        </row>
        <row r="1226">
          <cell r="AV1226">
            <v>365</v>
          </cell>
          <cell r="AX1226">
            <v>72</v>
          </cell>
        </row>
        <row r="1227">
          <cell r="AV1227">
            <v>365</v>
          </cell>
          <cell r="AX1227">
            <v>130</v>
          </cell>
        </row>
        <row r="1228">
          <cell r="AV1228">
            <v>365</v>
          </cell>
          <cell r="AX1228">
            <v>366</v>
          </cell>
          <cell r="AZ1228">
            <v>6.3299999999999995E-2</v>
          </cell>
          <cell r="BA1228">
            <v>214</v>
          </cell>
          <cell r="BB1228">
            <v>4095.8884126027401</v>
          </cell>
        </row>
        <row r="1229">
          <cell r="AV1229">
            <v>365</v>
          </cell>
          <cell r="AX1229">
            <v>336</v>
          </cell>
        </row>
        <row r="1230">
          <cell r="AV1230">
            <v>365</v>
          </cell>
          <cell r="AX1230">
            <v>336</v>
          </cell>
        </row>
        <row r="1231">
          <cell r="AV1231">
            <v>365</v>
          </cell>
          <cell r="AX1231">
            <v>336</v>
          </cell>
        </row>
        <row r="1232">
          <cell r="AV1232">
            <v>365</v>
          </cell>
          <cell r="AX1232">
            <v>336</v>
          </cell>
        </row>
        <row r="1233">
          <cell r="AV1233">
            <v>365</v>
          </cell>
          <cell r="AX1233">
            <v>366</v>
          </cell>
          <cell r="AZ1233">
            <v>6.3299999999999995E-2</v>
          </cell>
          <cell r="BA1233">
            <v>10</v>
          </cell>
          <cell r="BB1233">
            <v>234.02443561643832</v>
          </cell>
        </row>
        <row r="1234">
          <cell r="E1234" t="str">
            <v>SF</v>
          </cell>
          <cell r="AV1234">
            <v>365</v>
          </cell>
          <cell r="AX1234">
            <v>1</v>
          </cell>
        </row>
        <row r="1235">
          <cell r="E1235" t="str">
            <v>SF</v>
          </cell>
          <cell r="AV1235">
            <v>365</v>
          </cell>
          <cell r="AX1235">
            <v>1</v>
          </cell>
        </row>
        <row r="1236">
          <cell r="AV1236">
            <v>365</v>
          </cell>
          <cell r="AX1236">
            <v>75</v>
          </cell>
        </row>
        <row r="1237">
          <cell r="AV1237">
            <v>365</v>
          </cell>
          <cell r="AX1237">
            <v>75</v>
          </cell>
        </row>
        <row r="1238">
          <cell r="AV1238">
            <v>365</v>
          </cell>
          <cell r="AX1238">
            <v>75</v>
          </cell>
        </row>
        <row r="1239">
          <cell r="AV1239">
            <v>365</v>
          </cell>
          <cell r="AX1239">
            <v>75</v>
          </cell>
        </row>
        <row r="1240">
          <cell r="AV1240">
            <v>365</v>
          </cell>
          <cell r="AX1240">
            <v>75</v>
          </cell>
        </row>
        <row r="1241">
          <cell r="AV1241">
            <v>365</v>
          </cell>
          <cell r="AX1241">
            <v>75</v>
          </cell>
        </row>
        <row r="1242">
          <cell r="AV1242">
            <v>365</v>
          </cell>
          <cell r="AX1242">
            <v>75</v>
          </cell>
        </row>
        <row r="1243">
          <cell r="AV1243">
            <v>365</v>
          </cell>
          <cell r="AX1243">
            <v>366</v>
          </cell>
          <cell r="AZ1243">
            <v>6.3299999999999995E-2</v>
          </cell>
          <cell r="BA1243">
            <v>212</v>
          </cell>
          <cell r="BB1243">
            <v>4191.3271232876705</v>
          </cell>
        </row>
        <row r="1244">
          <cell r="AV1244">
            <v>365</v>
          </cell>
          <cell r="AX1244">
            <v>288</v>
          </cell>
        </row>
        <row r="1245">
          <cell r="AV1245">
            <v>365</v>
          </cell>
          <cell r="AX1245">
            <v>366</v>
          </cell>
          <cell r="AZ1245">
            <v>6.3299999999999995E-2</v>
          </cell>
          <cell r="BA1245">
            <v>365</v>
          </cell>
          <cell r="BB1245">
            <v>8862</v>
          </cell>
          <cell r="BC1245">
            <v>86</v>
          </cell>
        </row>
        <row r="1246">
          <cell r="AV1246">
            <v>365</v>
          </cell>
          <cell r="AX1246">
            <v>267</v>
          </cell>
        </row>
        <row r="1247">
          <cell r="AV1247">
            <v>365</v>
          </cell>
          <cell r="AX1247">
            <v>267</v>
          </cell>
        </row>
        <row r="1248">
          <cell r="AV1248">
            <v>365</v>
          </cell>
          <cell r="AX1248">
            <v>267</v>
          </cell>
        </row>
        <row r="1249">
          <cell r="AV1249">
            <v>365</v>
          </cell>
          <cell r="AX1249">
            <v>267</v>
          </cell>
        </row>
        <row r="1250">
          <cell r="AV1250">
            <v>365</v>
          </cell>
          <cell r="AX1250">
            <v>267</v>
          </cell>
        </row>
        <row r="1251">
          <cell r="AV1251">
            <v>365</v>
          </cell>
          <cell r="AX1251">
            <v>267</v>
          </cell>
        </row>
        <row r="1252">
          <cell r="AV1252">
            <v>365</v>
          </cell>
          <cell r="AX1252">
            <v>267</v>
          </cell>
        </row>
        <row r="1253">
          <cell r="AV1253">
            <v>365</v>
          </cell>
          <cell r="AX1253">
            <v>267</v>
          </cell>
        </row>
        <row r="1254">
          <cell r="AV1254">
            <v>355</v>
          </cell>
        </row>
        <row r="1255">
          <cell r="AV1255">
            <v>365</v>
          </cell>
          <cell r="AX1255">
            <v>336</v>
          </cell>
        </row>
        <row r="1256">
          <cell r="AV1256">
            <v>365</v>
          </cell>
          <cell r="AX1256">
            <v>336</v>
          </cell>
        </row>
        <row r="1257">
          <cell r="AV1257">
            <v>365</v>
          </cell>
          <cell r="AX1257">
            <v>245</v>
          </cell>
        </row>
        <row r="1258">
          <cell r="AV1258">
            <v>365</v>
          </cell>
          <cell r="AX1258">
            <v>245</v>
          </cell>
        </row>
        <row r="1259">
          <cell r="E1259" t="str">
            <v>GF</v>
          </cell>
          <cell r="AV1259">
            <v>365</v>
          </cell>
          <cell r="AX1259">
            <v>130</v>
          </cell>
        </row>
        <row r="1260">
          <cell r="AV1260">
            <v>365</v>
          </cell>
          <cell r="AX1260">
            <v>213</v>
          </cell>
        </row>
        <row r="1261">
          <cell r="E1261" t="str">
            <v>SF</v>
          </cell>
          <cell r="AV1261">
            <v>365</v>
          </cell>
          <cell r="AX1261">
            <v>183</v>
          </cell>
        </row>
        <row r="1262">
          <cell r="AV1262">
            <v>365</v>
          </cell>
          <cell r="AX1262">
            <v>366</v>
          </cell>
          <cell r="AZ1262">
            <v>0.16209999999999999</v>
          </cell>
          <cell r="BA1262">
            <v>365</v>
          </cell>
          <cell r="BB1262">
            <v>10957.068449999999</v>
          </cell>
          <cell r="BC1262">
            <v>48</v>
          </cell>
        </row>
        <row r="1263">
          <cell r="G1263">
            <v>1121</v>
          </cell>
          <cell r="AV1263">
            <v>365</v>
          </cell>
          <cell r="AX1263">
            <v>366</v>
          </cell>
          <cell r="AZ1263">
            <v>0.16209999999999999</v>
          </cell>
          <cell r="BA1263">
            <v>365</v>
          </cell>
          <cell r="BB1263">
            <v>10957.068449999999</v>
          </cell>
          <cell r="BC1263">
            <v>48</v>
          </cell>
        </row>
        <row r="1264">
          <cell r="AV1264">
            <v>365</v>
          </cell>
          <cell r="AX1264">
            <v>366</v>
          </cell>
        </row>
        <row r="1265">
          <cell r="AV1265">
            <v>365</v>
          </cell>
          <cell r="AX1265">
            <v>130</v>
          </cell>
        </row>
        <row r="1266">
          <cell r="E1266" t="str">
            <v>GF</v>
          </cell>
          <cell r="F1266" t="str">
            <v>Intermediate</v>
          </cell>
          <cell r="AV1266">
            <v>365</v>
          </cell>
          <cell r="AX1266">
            <v>129</v>
          </cell>
        </row>
        <row r="1267">
          <cell r="E1267" t="str">
            <v>GF</v>
          </cell>
          <cell r="F1267" t="str">
            <v>Intermediate</v>
          </cell>
          <cell r="AV1267">
            <v>365</v>
          </cell>
          <cell r="AX1267">
            <v>129</v>
          </cell>
        </row>
        <row r="1268">
          <cell r="E1268" t="str">
            <v>GF</v>
          </cell>
          <cell r="F1268" t="str">
            <v>Intermediate</v>
          </cell>
          <cell r="AV1268">
            <v>365</v>
          </cell>
          <cell r="AX1268">
            <v>129</v>
          </cell>
        </row>
        <row r="1269">
          <cell r="E1269" t="str">
            <v>GF</v>
          </cell>
          <cell r="F1269" t="str">
            <v>Intermediate</v>
          </cell>
          <cell r="AV1269">
            <v>365</v>
          </cell>
          <cell r="AX1269">
            <v>129</v>
          </cell>
        </row>
        <row r="1270">
          <cell r="AV1270">
            <v>365</v>
          </cell>
          <cell r="AX1270">
            <v>153</v>
          </cell>
        </row>
        <row r="1271">
          <cell r="AV1271">
            <v>365</v>
          </cell>
          <cell r="AX1271">
            <v>153</v>
          </cell>
        </row>
        <row r="1272">
          <cell r="AV1272">
            <v>365</v>
          </cell>
          <cell r="AX1272">
            <v>153</v>
          </cell>
        </row>
        <row r="1273">
          <cell r="AV1273">
            <v>365</v>
          </cell>
          <cell r="AX1273">
            <v>153</v>
          </cell>
        </row>
        <row r="1274">
          <cell r="AV1274">
            <v>365</v>
          </cell>
          <cell r="AX1274">
            <v>153</v>
          </cell>
        </row>
        <row r="1275">
          <cell r="AV1275">
            <v>365</v>
          </cell>
          <cell r="AX1275">
            <v>153</v>
          </cell>
        </row>
        <row r="1276">
          <cell r="AV1276">
            <v>365</v>
          </cell>
          <cell r="AX1276">
            <v>153</v>
          </cell>
        </row>
        <row r="1277">
          <cell r="AV1277">
            <v>365</v>
          </cell>
          <cell r="AX1277">
            <v>153</v>
          </cell>
        </row>
        <row r="1278">
          <cell r="AV1278">
            <v>335</v>
          </cell>
        </row>
        <row r="1279">
          <cell r="AV1279">
            <v>335</v>
          </cell>
        </row>
        <row r="1280">
          <cell r="AV1280">
            <v>335</v>
          </cell>
        </row>
        <row r="1281">
          <cell r="AV1281">
            <v>335</v>
          </cell>
        </row>
        <row r="1282">
          <cell r="E1282" t="str">
            <v>Terrace</v>
          </cell>
          <cell r="AV1282">
            <v>335</v>
          </cell>
        </row>
        <row r="1283">
          <cell r="AV1283">
            <v>365</v>
          </cell>
          <cell r="AX1283">
            <v>153</v>
          </cell>
        </row>
        <row r="1284">
          <cell r="AV1284">
            <v>365</v>
          </cell>
          <cell r="AX1284">
            <v>153</v>
          </cell>
        </row>
        <row r="1285">
          <cell r="AV1285">
            <v>365</v>
          </cell>
          <cell r="AX1285">
            <v>214</v>
          </cell>
        </row>
        <row r="1286">
          <cell r="E1286" t="str">
            <v>FF</v>
          </cell>
          <cell r="F1286" t="str">
            <v>Intermediate</v>
          </cell>
          <cell r="AV1286">
            <v>289</v>
          </cell>
        </row>
        <row r="1287">
          <cell r="E1287" t="str">
            <v>GF</v>
          </cell>
          <cell r="AV1287">
            <v>365</v>
          </cell>
          <cell r="AX1287">
            <v>351</v>
          </cell>
        </row>
        <row r="1288">
          <cell r="AX1288">
            <v>366</v>
          </cell>
          <cell r="AZ1288">
            <v>0.16209999999999999</v>
          </cell>
          <cell r="BA1288">
            <v>212</v>
          </cell>
          <cell r="BB1288">
            <v>6072.7545205479446</v>
          </cell>
        </row>
        <row r="1289">
          <cell r="AV1289">
            <v>365</v>
          </cell>
          <cell r="AX1289">
            <v>366</v>
          </cell>
          <cell r="AZ1289">
            <v>0.16209999999999999</v>
          </cell>
          <cell r="BA1289">
            <v>212</v>
          </cell>
          <cell r="BB1289">
            <v>111.09845479452055</v>
          </cell>
        </row>
        <row r="1290">
          <cell r="AX1290">
            <v>366</v>
          </cell>
          <cell r="AZ1290">
            <v>0.16209999999999999</v>
          </cell>
          <cell r="BA1290">
            <v>212</v>
          </cell>
          <cell r="BB1290">
            <v>6072.7545205479446</v>
          </cell>
        </row>
        <row r="1291">
          <cell r="E1291" t="str">
            <v>SF</v>
          </cell>
          <cell r="AV1291">
            <v>365</v>
          </cell>
          <cell r="AX1291">
            <v>21</v>
          </cell>
        </row>
        <row r="1292">
          <cell r="AV1292">
            <v>289</v>
          </cell>
        </row>
        <row r="1293">
          <cell r="AX1293">
            <v>366</v>
          </cell>
          <cell r="AZ1293">
            <v>0.16209999999999999</v>
          </cell>
          <cell r="BA1293">
            <v>274</v>
          </cell>
          <cell r="BB1293">
            <v>7848.7487671232866</v>
          </cell>
        </row>
        <row r="1294">
          <cell r="AX1294">
            <v>366</v>
          </cell>
          <cell r="AZ1294">
            <v>0.16209999999999999</v>
          </cell>
          <cell r="BA1294">
            <v>274</v>
          </cell>
          <cell r="BB1294">
            <v>7848.7487671232866</v>
          </cell>
        </row>
        <row r="1295">
          <cell r="AV1295">
            <v>365</v>
          </cell>
          <cell r="AX1295">
            <v>336</v>
          </cell>
        </row>
        <row r="1296">
          <cell r="AV1296">
            <v>365</v>
          </cell>
          <cell r="AX1296">
            <v>336</v>
          </cell>
        </row>
        <row r="1297">
          <cell r="AV1297">
            <v>365</v>
          </cell>
          <cell r="AX1297">
            <v>33</v>
          </cell>
        </row>
        <row r="1298">
          <cell r="AV1298">
            <v>365</v>
          </cell>
          <cell r="AX1298">
            <v>33</v>
          </cell>
        </row>
        <row r="1299">
          <cell r="AV1299">
            <v>365</v>
          </cell>
          <cell r="AX1299">
            <v>33</v>
          </cell>
        </row>
        <row r="1300">
          <cell r="AV1300">
            <v>365</v>
          </cell>
          <cell r="AX1300">
            <v>33</v>
          </cell>
        </row>
        <row r="1301">
          <cell r="AV1301">
            <v>365</v>
          </cell>
          <cell r="AX1301">
            <v>366</v>
          </cell>
        </row>
        <row r="1302">
          <cell r="AV1302">
            <v>365</v>
          </cell>
          <cell r="AX1302">
            <v>71</v>
          </cell>
        </row>
        <row r="1303">
          <cell r="AV1303">
            <v>365</v>
          </cell>
          <cell r="AX1303">
            <v>71</v>
          </cell>
        </row>
        <row r="1304">
          <cell r="AV1304">
            <v>365</v>
          </cell>
          <cell r="AX1304">
            <v>71</v>
          </cell>
        </row>
        <row r="1305">
          <cell r="AV1305">
            <v>365</v>
          </cell>
          <cell r="AX1305">
            <v>71</v>
          </cell>
        </row>
        <row r="1306">
          <cell r="AV1306">
            <v>365</v>
          </cell>
          <cell r="AX1306">
            <v>366</v>
          </cell>
          <cell r="AZ1306">
            <v>6.3299999999999995E-2</v>
          </cell>
          <cell r="BA1306">
            <v>91</v>
          </cell>
          <cell r="BB1306">
            <v>2259.7735808219177</v>
          </cell>
        </row>
        <row r="1307">
          <cell r="AV1307">
            <v>365</v>
          </cell>
          <cell r="AX1307">
            <v>33</v>
          </cell>
        </row>
        <row r="1308">
          <cell r="AV1308">
            <v>365</v>
          </cell>
        </row>
        <row r="1309">
          <cell r="AV1309">
            <v>365</v>
          </cell>
        </row>
        <row r="1310">
          <cell r="AV1310">
            <v>365</v>
          </cell>
        </row>
        <row r="1311">
          <cell r="AV1311">
            <v>365</v>
          </cell>
        </row>
        <row r="1312">
          <cell r="AV1312">
            <v>365</v>
          </cell>
        </row>
        <row r="1313">
          <cell r="AV1313">
            <v>365</v>
          </cell>
          <cell r="AX1313">
            <v>75</v>
          </cell>
        </row>
        <row r="1314">
          <cell r="AV1314">
            <v>365</v>
          </cell>
          <cell r="AX1314">
            <v>75</v>
          </cell>
        </row>
        <row r="1315">
          <cell r="AV1315">
            <v>365</v>
          </cell>
          <cell r="AX1315">
            <v>75</v>
          </cell>
        </row>
        <row r="1316">
          <cell r="E1316" t="str">
            <v>GF</v>
          </cell>
          <cell r="AV1316">
            <v>365</v>
          </cell>
          <cell r="AX1316">
            <v>266</v>
          </cell>
        </row>
        <row r="1317">
          <cell r="AV1317">
            <v>365</v>
          </cell>
          <cell r="AX1317">
            <v>267</v>
          </cell>
        </row>
        <row r="1318">
          <cell r="AV1318">
            <v>365</v>
          </cell>
          <cell r="AX1318">
            <v>267</v>
          </cell>
        </row>
        <row r="1319">
          <cell r="AV1319">
            <v>365</v>
          </cell>
          <cell r="AX1319">
            <v>267</v>
          </cell>
        </row>
        <row r="1320">
          <cell r="AV1320">
            <v>365</v>
          </cell>
          <cell r="AX1320">
            <v>267</v>
          </cell>
        </row>
        <row r="1321">
          <cell r="AV1321">
            <v>305</v>
          </cell>
        </row>
        <row r="1322">
          <cell r="AV1322">
            <v>335</v>
          </cell>
        </row>
        <row r="1323">
          <cell r="AV1323">
            <v>335</v>
          </cell>
        </row>
        <row r="1324">
          <cell r="AV1324">
            <v>335</v>
          </cell>
        </row>
        <row r="1325">
          <cell r="AV1325">
            <v>335</v>
          </cell>
        </row>
        <row r="1326">
          <cell r="AV1326">
            <v>335</v>
          </cell>
        </row>
        <row r="1327">
          <cell r="AV1327">
            <v>335</v>
          </cell>
        </row>
        <row r="1328">
          <cell r="AV1328">
            <v>335</v>
          </cell>
        </row>
        <row r="1329">
          <cell r="AV1329">
            <v>365</v>
          </cell>
          <cell r="AX1329">
            <v>267</v>
          </cell>
        </row>
        <row r="1330">
          <cell r="AV1330">
            <v>365</v>
          </cell>
          <cell r="AX1330">
            <v>31</v>
          </cell>
        </row>
        <row r="1331">
          <cell r="E1331" t="str">
            <v>AD</v>
          </cell>
          <cell r="AV1331">
            <v>365</v>
          </cell>
          <cell r="AX1331">
            <v>366</v>
          </cell>
          <cell r="AZ1331">
            <v>0.16209999999999999</v>
          </cell>
          <cell r="BA1331">
            <v>31</v>
          </cell>
          <cell r="BB1331">
            <v>1574.9902465753421</v>
          </cell>
        </row>
        <row r="1332">
          <cell r="AV1332">
            <v>365</v>
          </cell>
          <cell r="AX1332">
            <v>183</v>
          </cell>
        </row>
        <row r="1333">
          <cell r="AV1333">
            <v>365</v>
          </cell>
          <cell r="AX1333">
            <v>183</v>
          </cell>
        </row>
        <row r="1334">
          <cell r="AV1334">
            <v>365</v>
          </cell>
          <cell r="AX1334">
            <v>183</v>
          </cell>
        </row>
        <row r="1335">
          <cell r="AV1335">
            <v>365</v>
          </cell>
          <cell r="AX1335">
            <v>183</v>
          </cell>
        </row>
        <row r="1336">
          <cell r="AV1336">
            <v>365</v>
          </cell>
          <cell r="AX1336">
            <v>183</v>
          </cell>
        </row>
        <row r="1337">
          <cell r="AV1337">
            <v>365</v>
          </cell>
          <cell r="AX1337">
            <v>183</v>
          </cell>
        </row>
        <row r="1338">
          <cell r="AV1338">
            <v>365</v>
          </cell>
          <cell r="AX1338">
            <v>183</v>
          </cell>
        </row>
        <row r="1339">
          <cell r="AV1339">
            <v>289</v>
          </cell>
        </row>
        <row r="1340">
          <cell r="D1340" t="str">
            <v>GC-IB</v>
          </cell>
          <cell r="E1340" t="str">
            <v>Pharma</v>
          </cell>
          <cell r="AV1340">
            <v>289</v>
          </cell>
        </row>
        <row r="1341">
          <cell r="AV1341">
            <v>365</v>
          </cell>
          <cell r="AX1341">
            <v>244</v>
          </cell>
        </row>
        <row r="1342">
          <cell r="AV1342">
            <v>365</v>
          </cell>
          <cell r="AX1342">
            <v>244</v>
          </cell>
        </row>
        <row r="1343">
          <cell r="AV1343">
            <v>365</v>
          </cell>
          <cell r="AX1343">
            <v>244</v>
          </cell>
        </row>
        <row r="1344">
          <cell r="AV1344">
            <v>365</v>
          </cell>
          <cell r="AX1344">
            <v>244</v>
          </cell>
        </row>
        <row r="1345">
          <cell r="AV1345">
            <v>289</v>
          </cell>
        </row>
        <row r="1346">
          <cell r="AV1346">
            <v>365</v>
          </cell>
          <cell r="AX1346">
            <v>244</v>
          </cell>
        </row>
        <row r="1347">
          <cell r="AV1347">
            <v>365</v>
          </cell>
          <cell r="AX1347">
            <v>307</v>
          </cell>
        </row>
        <row r="1348">
          <cell r="E1348" t="str">
            <v>SF</v>
          </cell>
          <cell r="AV1348">
            <v>365</v>
          </cell>
          <cell r="AX1348">
            <v>21</v>
          </cell>
        </row>
        <row r="1349">
          <cell r="D1349" t="str">
            <v>Utilities</v>
          </cell>
          <cell r="E1349" t="str">
            <v>UTILITY</v>
          </cell>
          <cell r="AV1349">
            <v>365</v>
          </cell>
          <cell r="AX1349">
            <v>130</v>
          </cell>
        </row>
        <row r="1350">
          <cell r="AV1350">
            <v>365</v>
          </cell>
          <cell r="AX1350">
            <v>366</v>
          </cell>
          <cell r="AZ1350">
            <v>0.16209999999999999</v>
          </cell>
          <cell r="BA1350">
            <v>92</v>
          </cell>
          <cell r="BB1350">
            <v>2357.5113424657534</v>
          </cell>
        </row>
        <row r="1351">
          <cell r="AV1351">
            <v>365</v>
          </cell>
          <cell r="AX1351">
            <v>366</v>
          </cell>
          <cell r="AZ1351">
            <v>0.16209999999999999</v>
          </cell>
          <cell r="BA1351">
            <v>92</v>
          </cell>
          <cell r="BB1351">
            <v>2153.2209315068494</v>
          </cell>
        </row>
        <row r="1352">
          <cell r="AV1352">
            <v>365</v>
          </cell>
          <cell r="AX1352">
            <v>306</v>
          </cell>
        </row>
        <row r="1353">
          <cell r="AV1353">
            <v>365</v>
          </cell>
          <cell r="AX1353">
            <v>306</v>
          </cell>
        </row>
        <row r="1354">
          <cell r="AV1354">
            <v>365</v>
          </cell>
          <cell r="AX1354">
            <v>306</v>
          </cell>
        </row>
        <row r="1355">
          <cell r="AV1355">
            <v>365</v>
          </cell>
          <cell r="AX1355">
            <v>183</v>
          </cell>
        </row>
        <row r="1356">
          <cell r="AV1356">
            <v>335</v>
          </cell>
        </row>
        <row r="1357">
          <cell r="AV1357">
            <v>335</v>
          </cell>
        </row>
        <row r="1358">
          <cell r="AV1358">
            <v>365</v>
          </cell>
          <cell r="AX1358">
            <v>129</v>
          </cell>
        </row>
        <row r="1359">
          <cell r="AV1359">
            <v>365</v>
          </cell>
          <cell r="AX1359">
            <v>183</v>
          </cell>
        </row>
        <row r="1360">
          <cell r="AV1360">
            <v>365</v>
          </cell>
          <cell r="AX1360">
            <v>131</v>
          </cell>
        </row>
        <row r="1361">
          <cell r="AV1361">
            <v>365</v>
          </cell>
          <cell r="AX1361">
            <v>131</v>
          </cell>
        </row>
        <row r="1362">
          <cell r="AV1362">
            <v>365</v>
          </cell>
          <cell r="AX1362">
            <v>366</v>
          </cell>
        </row>
        <row r="1363">
          <cell r="AV1363">
            <v>365</v>
          </cell>
          <cell r="AX1363">
            <v>214</v>
          </cell>
        </row>
        <row r="1364">
          <cell r="AV1364">
            <v>365</v>
          </cell>
          <cell r="AX1364">
            <v>336</v>
          </cell>
        </row>
        <row r="1365">
          <cell r="AV1365">
            <v>365</v>
          </cell>
          <cell r="AX1365">
            <v>366</v>
          </cell>
        </row>
        <row r="1366">
          <cell r="E1366" t="str">
            <v>FF</v>
          </cell>
          <cell r="AV1366">
            <v>365</v>
          </cell>
          <cell r="AX1366">
            <v>225</v>
          </cell>
        </row>
        <row r="1367">
          <cell r="AV1367">
            <v>365</v>
          </cell>
          <cell r="AX1367">
            <v>103</v>
          </cell>
        </row>
        <row r="1368">
          <cell r="AV1368">
            <v>365</v>
          </cell>
          <cell r="AX1368">
            <v>33</v>
          </cell>
        </row>
        <row r="1369">
          <cell r="AV1369">
            <v>365</v>
          </cell>
          <cell r="AX1369">
            <v>33</v>
          </cell>
        </row>
        <row r="1370">
          <cell r="AV1370">
            <v>365</v>
          </cell>
          <cell r="AX1370">
            <v>33</v>
          </cell>
        </row>
        <row r="1371">
          <cell r="E1371" t="str">
            <v>GF</v>
          </cell>
          <cell r="AV1371">
            <v>365</v>
          </cell>
          <cell r="AX1371">
            <v>336</v>
          </cell>
        </row>
        <row r="1372">
          <cell r="E1372" t="str">
            <v>GF</v>
          </cell>
          <cell r="AV1372">
            <v>365</v>
          </cell>
          <cell r="AX1372">
            <v>141</v>
          </cell>
        </row>
        <row r="1373">
          <cell r="AV1373">
            <v>365</v>
          </cell>
          <cell r="AX1373">
            <v>366</v>
          </cell>
        </row>
        <row r="1374">
          <cell r="AV1374">
            <v>365</v>
          </cell>
          <cell r="AX1374">
            <v>264</v>
          </cell>
        </row>
        <row r="1375">
          <cell r="AV1375">
            <v>365</v>
          </cell>
          <cell r="AX1375">
            <v>317</v>
          </cell>
        </row>
        <row r="1376">
          <cell r="AV1376">
            <v>365</v>
          </cell>
          <cell r="AX1376">
            <v>317</v>
          </cell>
        </row>
        <row r="1377">
          <cell r="AV1377">
            <v>365</v>
          </cell>
          <cell r="AX1377">
            <v>317</v>
          </cell>
        </row>
        <row r="1378">
          <cell r="AV1378">
            <v>365</v>
          </cell>
          <cell r="AX1378">
            <v>317</v>
          </cell>
        </row>
        <row r="1379">
          <cell r="AV1379">
            <v>365</v>
          </cell>
          <cell r="AX1379">
            <v>317</v>
          </cell>
        </row>
        <row r="1380">
          <cell r="AV1380">
            <v>365</v>
          </cell>
          <cell r="AX1380">
            <v>317</v>
          </cell>
        </row>
        <row r="1381">
          <cell r="AV1381">
            <v>365</v>
          </cell>
          <cell r="AX1381">
            <v>317</v>
          </cell>
        </row>
        <row r="1382">
          <cell r="AV1382">
            <v>365</v>
          </cell>
          <cell r="AX1382">
            <v>317</v>
          </cell>
        </row>
        <row r="1383">
          <cell r="AV1383">
            <v>365</v>
          </cell>
          <cell r="AX1383">
            <v>366</v>
          </cell>
          <cell r="AZ1383">
            <v>0.16209999999999999</v>
          </cell>
          <cell r="BA1383">
            <v>175</v>
          </cell>
          <cell r="BB1383">
            <v>8050.929657534246</v>
          </cell>
        </row>
        <row r="1384">
          <cell r="AV1384">
            <v>365</v>
          </cell>
          <cell r="AX1384">
            <v>136</v>
          </cell>
        </row>
        <row r="1385">
          <cell r="AV1385">
            <v>365</v>
          </cell>
          <cell r="AX1385">
            <v>153</v>
          </cell>
        </row>
        <row r="1386">
          <cell r="E1386" t="str">
            <v>SF</v>
          </cell>
          <cell r="AV1386">
            <v>365</v>
          </cell>
          <cell r="AX1386">
            <v>21</v>
          </cell>
        </row>
        <row r="1387">
          <cell r="AV1387">
            <v>365</v>
          </cell>
          <cell r="AX1387">
            <v>336</v>
          </cell>
        </row>
        <row r="1388">
          <cell r="AV1388">
            <v>365</v>
          </cell>
          <cell r="AX1388">
            <v>253</v>
          </cell>
        </row>
        <row r="1389">
          <cell r="AV1389">
            <v>365</v>
          </cell>
          <cell r="AX1389">
            <v>366</v>
          </cell>
          <cell r="AZ1389">
            <v>6.3299999999999995E-2</v>
          </cell>
          <cell r="BA1389">
            <v>182</v>
          </cell>
          <cell r="BB1389">
            <v>1431.9001084931506</v>
          </cell>
        </row>
        <row r="1390">
          <cell r="AV1390">
            <v>365</v>
          </cell>
          <cell r="AX1390">
            <v>366</v>
          </cell>
          <cell r="AZ1390">
            <v>6.3299999999999995E-2</v>
          </cell>
          <cell r="BA1390">
            <v>182</v>
          </cell>
          <cell r="BB1390">
            <v>2973.9876542465754</v>
          </cell>
        </row>
        <row r="1391">
          <cell r="AV1391">
            <v>365</v>
          </cell>
          <cell r="AX1391">
            <v>366</v>
          </cell>
          <cell r="AZ1391">
            <v>6.3299999999999995E-2</v>
          </cell>
          <cell r="BA1391">
            <v>182</v>
          </cell>
          <cell r="BB1391">
            <v>556.58701479452054</v>
          </cell>
        </row>
        <row r="1392">
          <cell r="AV1392">
            <v>365</v>
          </cell>
          <cell r="AX1392">
            <v>366</v>
          </cell>
        </row>
        <row r="1393">
          <cell r="AV1393">
            <v>365</v>
          </cell>
          <cell r="AX1393">
            <v>53</v>
          </cell>
        </row>
        <row r="1394">
          <cell r="AV1394">
            <v>365</v>
          </cell>
          <cell r="AX1394">
            <v>123</v>
          </cell>
        </row>
        <row r="1395">
          <cell r="AV1395">
            <v>365</v>
          </cell>
          <cell r="AX1395">
            <v>21</v>
          </cell>
        </row>
        <row r="1396">
          <cell r="AV1396">
            <v>365</v>
          </cell>
          <cell r="AX1396">
            <v>366</v>
          </cell>
          <cell r="AZ1396">
            <v>6.3299999999999995E-2</v>
          </cell>
          <cell r="BA1396">
            <v>212</v>
          </cell>
          <cell r="BB1396">
            <v>937.53369863013688</v>
          </cell>
        </row>
        <row r="1397">
          <cell r="AV1397">
            <v>365</v>
          </cell>
          <cell r="AX1397">
            <v>366</v>
          </cell>
          <cell r="AZ1397">
            <v>6.3299999999999995E-2</v>
          </cell>
          <cell r="BA1397">
            <v>212</v>
          </cell>
          <cell r="BB1397">
            <v>937.53369863013688</v>
          </cell>
        </row>
        <row r="1398">
          <cell r="AV1398">
            <v>365</v>
          </cell>
          <cell r="AX1398">
            <v>366</v>
          </cell>
          <cell r="AZ1398">
            <v>6.3299999999999995E-2</v>
          </cell>
          <cell r="BA1398">
            <v>212</v>
          </cell>
          <cell r="BB1398">
            <v>937.53369863013688</v>
          </cell>
        </row>
        <row r="1399">
          <cell r="AV1399">
            <v>365</v>
          </cell>
          <cell r="AX1399">
            <v>366</v>
          </cell>
          <cell r="AZ1399">
            <v>6.3299999999999995E-2</v>
          </cell>
          <cell r="BA1399">
            <v>212</v>
          </cell>
          <cell r="BB1399">
            <v>937.53369863013688</v>
          </cell>
        </row>
        <row r="1400">
          <cell r="AV1400">
            <v>365</v>
          </cell>
          <cell r="AX1400">
            <v>366</v>
          </cell>
          <cell r="AZ1400">
            <v>6.3299999999999995E-2</v>
          </cell>
          <cell r="BA1400">
            <v>212</v>
          </cell>
          <cell r="BB1400">
            <v>937.53369863013688</v>
          </cell>
        </row>
        <row r="1401">
          <cell r="AV1401">
            <v>365</v>
          </cell>
          <cell r="AX1401">
            <v>366</v>
          </cell>
          <cell r="AZ1401">
            <v>6.3299999999999995E-2</v>
          </cell>
          <cell r="BA1401">
            <v>212</v>
          </cell>
          <cell r="BB1401">
            <v>1110.3340273972603</v>
          </cell>
        </row>
        <row r="1402">
          <cell r="AV1402">
            <v>365</v>
          </cell>
          <cell r="AX1402">
            <v>366</v>
          </cell>
          <cell r="AZ1402">
            <v>6.3299999999999995E-2</v>
          </cell>
          <cell r="BA1402">
            <v>365</v>
          </cell>
          <cell r="BB1402">
            <v>6203.3999999999987</v>
          </cell>
          <cell r="BC1402">
            <v>86</v>
          </cell>
        </row>
        <row r="1403">
          <cell r="AV1403">
            <v>365</v>
          </cell>
          <cell r="AX1403">
            <v>101</v>
          </cell>
        </row>
        <row r="1404">
          <cell r="E1404" t="str">
            <v>FF</v>
          </cell>
          <cell r="AV1404">
            <v>365</v>
          </cell>
          <cell r="AX1404">
            <v>284</v>
          </cell>
        </row>
        <row r="1405">
          <cell r="AV1405">
            <v>305</v>
          </cell>
        </row>
        <row r="1406">
          <cell r="AV1406">
            <v>365</v>
          </cell>
          <cell r="AX1406">
            <v>276</v>
          </cell>
        </row>
        <row r="1407">
          <cell r="AV1407">
            <v>305</v>
          </cell>
        </row>
        <row r="1408">
          <cell r="D1408" t="str">
            <v>Utilities</v>
          </cell>
          <cell r="E1408" t="str">
            <v>UTILITY</v>
          </cell>
          <cell r="AV1408">
            <v>365</v>
          </cell>
          <cell r="AX1408">
            <v>130</v>
          </cell>
        </row>
        <row r="1409">
          <cell r="AV1409">
            <v>365</v>
          </cell>
          <cell r="AX1409">
            <v>130</v>
          </cell>
        </row>
        <row r="1410">
          <cell r="AV1410">
            <v>365</v>
          </cell>
          <cell r="AX1410">
            <v>109</v>
          </cell>
        </row>
        <row r="1411">
          <cell r="AV1411">
            <v>365</v>
          </cell>
          <cell r="AX1411">
            <v>109</v>
          </cell>
        </row>
        <row r="1412">
          <cell r="AV1412">
            <v>365</v>
          </cell>
          <cell r="AX1412">
            <v>109</v>
          </cell>
        </row>
        <row r="1413">
          <cell r="E1413" t="str">
            <v>SF</v>
          </cell>
          <cell r="AV1413">
            <v>365</v>
          </cell>
          <cell r="AX1413">
            <v>317</v>
          </cell>
        </row>
        <row r="1414">
          <cell r="AV1414">
            <v>365</v>
          </cell>
          <cell r="AX1414">
            <v>214</v>
          </cell>
        </row>
        <row r="1415">
          <cell r="AV1415">
            <v>365</v>
          </cell>
          <cell r="AX1415">
            <v>69</v>
          </cell>
        </row>
        <row r="1416">
          <cell r="AV1416">
            <v>365</v>
          </cell>
          <cell r="AX1416">
            <v>88</v>
          </cell>
        </row>
        <row r="1417">
          <cell r="E1417" t="str">
            <v>TF</v>
          </cell>
          <cell r="AV1417">
            <v>365</v>
          </cell>
          <cell r="AX1417">
            <v>62</v>
          </cell>
        </row>
        <row r="1418">
          <cell r="AV1418">
            <v>365</v>
          </cell>
          <cell r="AX1418">
            <v>366</v>
          </cell>
          <cell r="AZ1418">
            <v>6.3299999999999995E-2</v>
          </cell>
          <cell r="BA1418">
            <v>213</v>
          </cell>
          <cell r="BB1418">
            <v>6133.7960136986294</v>
          </cell>
        </row>
        <row r="1419">
          <cell r="AV1419">
            <v>365</v>
          </cell>
          <cell r="AX1419">
            <v>246</v>
          </cell>
        </row>
        <row r="1420">
          <cell r="AV1420">
            <v>289</v>
          </cell>
        </row>
        <row r="1421">
          <cell r="AV1421">
            <v>365</v>
          </cell>
          <cell r="AX1421">
            <v>366</v>
          </cell>
        </row>
        <row r="1422">
          <cell r="AV1422">
            <v>365</v>
          </cell>
          <cell r="AX1422">
            <v>366</v>
          </cell>
          <cell r="AZ1422">
            <v>6.3299999999999995E-2</v>
          </cell>
          <cell r="BA1422">
            <v>339</v>
          </cell>
          <cell r="BB1422">
            <v>5349.9772602739722</v>
          </cell>
        </row>
        <row r="1423">
          <cell r="AV1423">
            <v>365</v>
          </cell>
          <cell r="AX1423">
            <v>183</v>
          </cell>
        </row>
        <row r="1424">
          <cell r="AV1424">
            <v>365</v>
          </cell>
          <cell r="AX1424">
            <v>74</v>
          </cell>
        </row>
        <row r="1425">
          <cell r="AV1425">
            <v>365</v>
          </cell>
          <cell r="AX1425">
            <v>74</v>
          </cell>
        </row>
        <row r="1426">
          <cell r="AV1426">
            <v>365</v>
          </cell>
          <cell r="AX1426">
            <v>74</v>
          </cell>
        </row>
        <row r="1427">
          <cell r="AV1427">
            <v>365</v>
          </cell>
          <cell r="AX1427">
            <v>74</v>
          </cell>
        </row>
        <row r="1428">
          <cell r="AV1428">
            <v>365</v>
          </cell>
          <cell r="AX1428">
            <v>74</v>
          </cell>
        </row>
        <row r="1429">
          <cell r="AV1429">
            <v>365</v>
          </cell>
          <cell r="AX1429">
            <v>74</v>
          </cell>
        </row>
        <row r="1430">
          <cell r="AV1430">
            <v>365</v>
          </cell>
          <cell r="AX1430">
            <v>26</v>
          </cell>
        </row>
        <row r="1431">
          <cell r="AV1431">
            <v>365</v>
          </cell>
          <cell r="AX1431">
            <v>117</v>
          </cell>
        </row>
        <row r="1432">
          <cell r="AV1432">
            <v>365</v>
          </cell>
          <cell r="AX1432">
            <v>130</v>
          </cell>
        </row>
        <row r="1433">
          <cell r="F1433" t="str">
            <v>Zone-6</v>
          </cell>
          <cell r="AV1433">
            <v>305</v>
          </cell>
        </row>
        <row r="1434">
          <cell r="AV1434">
            <v>365</v>
          </cell>
          <cell r="AX1434">
            <v>101</v>
          </cell>
        </row>
        <row r="1435">
          <cell r="E1435" t="str">
            <v>Water Tank</v>
          </cell>
          <cell r="AV1435">
            <v>365</v>
          </cell>
          <cell r="AX1435">
            <v>24</v>
          </cell>
        </row>
        <row r="1436">
          <cell r="AV1436">
            <v>365</v>
          </cell>
          <cell r="AX1436">
            <v>366</v>
          </cell>
          <cell r="AZ1436">
            <v>0.16209999999999999</v>
          </cell>
          <cell r="BA1436">
            <v>187</v>
          </cell>
          <cell r="BB1436">
            <v>8073.5592616438353</v>
          </cell>
        </row>
        <row r="1437">
          <cell r="D1437" t="str">
            <v>GC-IB</v>
          </cell>
          <cell r="E1437" t="str">
            <v>Intermediate</v>
          </cell>
          <cell r="AV1437">
            <v>305</v>
          </cell>
        </row>
        <row r="1438">
          <cell r="D1438" t="str">
            <v>Intermediate</v>
          </cell>
          <cell r="AV1438">
            <v>289</v>
          </cell>
        </row>
        <row r="1439">
          <cell r="D1439" t="str">
            <v>Intermediate</v>
          </cell>
          <cell r="AV1439">
            <v>289</v>
          </cell>
        </row>
        <row r="1440">
          <cell r="D1440" t="str">
            <v>Intermediate</v>
          </cell>
          <cell r="AV1440">
            <v>289</v>
          </cell>
        </row>
        <row r="1441">
          <cell r="AV1441">
            <v>305</v>
          </cell>
        </row>
        <row r="1442">
          <cell r="AV1442">
            <v>305</v>
          </cell>
        </row>
        <row r="1443">
          <cell r="AV1443">
            <v>305</v>
          </cell>
        </row>
        <row r="1444">
          <cell r="AV1444">
            <v>305</v>
          </cell>
        </row>
        <row r="1445">
          <cell r="AV1445">
            <v>289</v>
          </cell>
        </row>
        <row r="1446">
          <cell r="AX1446">
            <v>23</v>
          </cell>
        </row>
        <row r="1447">
          <cell r="AV1447">
            <v>365</v>
          </cell>
          <cell r="AX1447">
            <v>366</v>
          </cell>
          <cell r="AZ1447">
            <v>6.3299999999999995E-2</v>
          </cell>
          <cell r="BA1447">
            <v>219</v>
          </cell>
          <cell r="BB1447">
            <v>817.50525749999997</v>
          </cell>
        </row>
        <row r="1448">
          <cell r="AV1448">
            <v>365</v>
          </cell>
          <cell r="AX1448">
            <v>366</v>
          </cell>
          <cell r="AZ1448">
            <v>6.3299999999999995E-2</v>
          </cell>
          <cell r="BA1448">
            <v>219</v>
          </cell>
          <cell r="BB1448">
            <v>3978.1391399999998</v>
          </cell>
        </row>
        <row r="1449">
          <cell r="AV1449">
            <v>365</v>
          </cell>
          <cell r="AX1449">
            <v>366</v>
          </cell>
          <cell r="AZ1449">
            <v>6.3299999999999995E-2</v>
          </cell>
          <cell r="BA1449">
            <v>219</v>
          </cell>
          <cell r="BB1449">
            <v>2013.5334375</v>
          </cell>
        </row>
        <row r="1450">
          <cell r="AV1450">
            <v>244</v>
          </cell>
        </row>
        <row r="1451">
          <cell r="AV1451">
            <v>365</v>
          </cell>
          <cell r="AX1451">
            <v>366</v>
          </cell>
          <cell r="AZ1451">
            <v>6.3299999999999995E-2</v>
          </cell>
          <cell r="BA1451">
            <v>1</v>
          </cell>
          <cell r="BB1451">
            <v>38.045034246575341</v>
          </cell>
        </row>
        <row r="1452">
          <cell r="E1452" t="str">
            <v>SF</v>
          </cell>
          <cell r="AV1452">
            <v>365</v>
          </cell>
          <cell r="AX1452">
            <v>1</v>
          </cell>
        </row>
        <row r="1453">
          <cell r="E1453" t="str">
            <v>SF</v>
          </cell>
          <cell r="AV1453">
            <v>365</v>
          </cell>
          <cell r="AX1453">
            <v>1</v>
          </cell>
        </row>
        <row r="1454">
          <cell r="E1454" t="str">
            <v>SF</v>
          </cell>
          <cell r="AV1454">
            <v>365</v>
          </cell>
          <cell r="AX1454">
            <v>1</v>
          </cell>
        </row>
        <row r="1455">
          <cell r="E1455" t="str">
            <v>SF</v>
          </cell>
          <cell r="AV1455">
            <v>365</v>
          </cell>
          <cell r="AX1455">
            <v>1</v>
          </cell>
        </row>
        <row r="1456">
          <cell r="E1456" t="str">
            <v>SF</v>
          </cell>
          <cell r="AV1456">
            <v>365</v>
          </cell>
          <cell r="AX1456">
            <v>1</v>
          </cell>
        </row>
        <row r="1457">
          <cell r="E1457" t="str">
            <v>SF</v>
          </cell>
          <cell r="AV1457">
            <v>365</v>
          </cell>
          <cell r="AX1457">
            <v>1</v>
          </cell>
        </row>
        <row r="1458">
          <cell r="E1458" t="str">
            <v>SF</v>
          </cell>
          <cell r="AV1458">
            <v>365</v>
          </cell>
          <cell r="AX1458">
            <v>1</v>
          </cell>
        </row>
        <row r="1459">
          <cell r="AV1459">
            <v>365</v>
          </cell>
          <cell r="AX1459">
            <v>33</v>
          </cell>
        </row>
        <row r="1460">
          <cell r="AV1460">
            <v>365</v>
          </cell>
          <cell r="AX1460">
            <v>33</v>
          </cell>
        </row>
        <row r="1461">
          <cell r="AV1461">
            <v>365</v>
          </cell>
          <cell r="AX1461">
            <v>336</v>
          </cell>
        </row>
        <row r="1462">
          <cell r="AV1462">
            <v>365</v>
          </cell>
          <cell r="AX1462">
            <v>366</v>
          </cell>
        </row>
        <row r="1463">
          <cell r="AV1463">
            <v>335</v>
          </cell>
        </row>
        <row r="1464">
          <cell r="AV1464">
            <v>365</v>
          </cell>
          <cell r="AX1464">
            <v>267</v>
          </cell>
        </row>
        <row r="1465">
          <cell r="AV1465">
            <v>365</v>
          </cell>
          <cell r="AX1465">
            <v>267</v>
          </cell>
        </row>
        <row r="1466">
          <cell r="AV1466">
            <v>365</v>
          </cell>
          <cell r="AX1466">
            <v>267</v>
          </cell>
        </row>
        <row r="1467">
          <cell r="AV1467">
            <v>365</v>
          </cell>
          <cell r="AX1467">
            <v>267</v>
          </cell>
        </row>
        <row r="1468">
          <cell r="AV1468">
            <v>365</v>
          </cell>
          <cell r="AX1468">
            <v>267</v>
          </cell>
        </row>
        <row r="1469">
          <cell r="AV1469">
            <v>365</v>
          </cell>
          <cell r="AX1469">
            <v>267</v>
          </cell>
        </row>
        <row r="1470">
          <cell r="AV1470">
            <v>365</v>
          </cell>
          <cell r="AX1470">
            <v>267</v>
          </cell>
        </row>
        <row r="1471">
          <cell r="AV1471">
            <v>365</v>
          </cell>
          <cell r="AX1471">
            <v>267</v>
          </cell>
        </row>
        <row r="1472">
          <cell r="AV1472">
            <v>365</v>
          </cell>
          <cell r="AX1472">
            <v>366</v>
          </cell>
          <cell r="AZ1472">
            <v>6.3299999999999995E-2</v>
          </cell>
          <cell r="BA1472">
            <v>365</v>
          </cell>
          <cell r="BB1472">
            <v>4969.0499999999993</v>
          </cell>
          <cell r="BC1472">
            <v>85</v>
          </cell>
        </row>
        <row r="1473">
          <cell r="E1473" t="str">
            <v>GF</v>
          </cell>
          <cell r="AV1473">
            <v>365</v>
          </cell>
          <cell r="AX1473">
            <v>225</v>
          </cell>
        </row>
        <row r="1474">
          <cell r="AV1474">
            <v>365</v>
          </cell>
          <cell r="AX1474">
            <v>274</v>
          </cell>
        </row>
        <row r="1475">
          <cell r="AV1475">
            <v>365</v>
          </cell>
          <cell r="AX1475">
            <v>274</v>
          </cell>
        </row>
        <row r="1476">
          <cell r="AV1476">
            <v>365</v>
          </cell>
          <cell r="AX1476">
            <v>274</v>
          </cell>
        </row>
        <row r="1477">
          <cell r="AV1477">
            <v>335</v>
          </cell>
        </row>
        <row r="1478">
          <cell r="AV1478">
            <v>335</v>
          </cell>
        </row>
        <row r="1479">
          <cell r="E1479" t="str">
            <v>FF</v>
          </cell>
          <cell r="AV1479">
            <v>365</v>
          </cell>
          <cell r="AX1479">
            <v>130</v>
          </cell>
        </row>
        <row r="1480">
          <cell r="E1480" t="str">
            <v>FF</v>
          </cell>
          <cell r="AV1480">
            <v>365</v>
          </cell>
          <cell r="AX1480">
            <v>130</v>
          </cell>
        </row>
        <row r="1481">
          <cell r="AV1481">
            <v>365</v>
          </cell>
          <cell r="AX1481">
            <v>103</v>
          </cell>
        </row>
        <row r="1482">
          <cell r="E1482" t="str">
            <v>SF</v>
          </cell>
          <cell r="AV1482">
            <v>365</v>
          </cell>
          <cell r="AX1482">
            <v>21</v>
          </cell>
        </row>
        <row r="1483">
          <cell r="AV1483">
            <v>365</v>
          </cell>
          <cell r="AX1483">
            <v>103</v>
          </cell>
        </row>
        <row r="1484">
          <cell r="AV1484">
            <v>365</v>
          </cell>
          <cell r="AX1484">
            <v>103</v>
          </cell>
        </row>
        <row r="1485">
          <cell r="AV1485">
            <v>365</v>
          </cell>
          <cell r="AX1485">
            <v>103</v>
          </cell>
        </row>
        <row r="1486">
          <cell r="E1486" t="str">
            <v>GF</v>
          </cell>
          <cell r="AV1486">
            <v>365</v>
          </cell>
          <cell r="AX1486">
            <v>130</v>
          </cell>
        </row>
        <row r="1487">
          <cell r="AV1487">
            <v>335</v>
          </cell>
        </row>
        <row r="1488">
          <cell r="AV1488">
            <v>335</v>
          </cell>
        </row>
        <row r="1489">
          <cell r="AV1489">
            <v>335</v>
          </cell>
        </row>
        <row r="1490">
          <cell r="AV1490">
            <v>335</v>
          </cell>
        </row>
        <row r="1491">
          <cell r="E1491" t="str">
            <v>GF</v>
          </cell>
          <cell r="AV1491">
            <v>365</v>
          </cell>
          <cell r="AX1491">
            <v>130</v>
          </cell>
        </row>
        <row r="1492">
          <cell r="AV1492">
            <v>365</v>
          </cell>
          <cell r="AX1492">
            <v>62</v>
          </cell>
        </row>
        <row r="1493">
          <cell r="AV1493">
            <v>365</v>
          </cell>
          <cell r="AX1493">
            <v>213</v>
          </cell>
        </row>
        <row r="1494">
          <cell r="AV1494">
            <v>365</v>
          </cell>
          <cell r="AX1494">
            <v>69</v>
          </cell>
        </row>
        <row r="1495">
          <cell r="AV1495">
            <v>365</v>
          </cell>
          <cell r="AX1495">
            <v>126</v>
          </cell>
        </row>
        <row r="1496">
          <cell r="AV1496">
            <v>365</v>
          </cell>
          <cell r="AX1496">
            <v>280</v>
          </cell>
        </row>
        <row r="1497">
          <cell r="AV1497">
            <v>305</v>
          </cell>
        </row>
        <row r="1498">
          <cell r="AV1498">
            <v>305</v>
          </cell>
        </row>
        <row r="1499">
          <cell r="AV1499">
            <v>305</v>
          </cell>
        </row>
        <row r="1500">
          <cell r="AV1500">
            <v>365</v>
          </cell>
          <cell r="AX1500">
            <v>184</v>
          </cell>
        </row>
        <row r="1501">
          <cell r="AV1501">
            <v>365</v>
          </cell>
          <cell r="AX1501">
            <v>1</v>
          </cell>
        </row>
        <row r="1502">
          <cell r="AV1502">
            <v>365</v>
          </cell>
          <cell r="AX1502">
            <v>1</v>
          </cell>
        </row>
        <row r="1503">
          <cell r="AV1503">
            <v>365</v>
          </cell>
          <cell r="AX1503">
            <v>1</v>
          </cell>
        </row>
        <row r="1504">
          <cell r="AV1504">
            <v>365</v>
          </cell>
          <cell r="AX1504">
            <v>1</v>
          </cell>
        </row>
        <row r="1505">
          <cell r="AV1505">
            <v>365</v>
          </cell>
          <cell r="AX1505">
            <v>1</v>
          </cell>
        </row>
        <row r="1506">
          <cell r="AV1506">
            <v>365</v>
          </cell>
          <cell r="AX1506">
            <v>1</v>
          </cell>
        </row>
        <row r="1507">
          <cell r="AV1507">
            <v>365</v>
          </cell>
          <cell r="AX1507">
            <v>1</v>
          </cell>
        </row>
        <row r="1508">
          <cell r="AV1508">
            <v>365</v>
          </cell>
          <cell r="AX1508">
            <v>1</v>
          </cell>
        </row>
        <row r="1509">
          <cell r="AV1509">
            <v>365</v>
          </cell>
          <cell r="AX1509">
            <v>1</v>
          </cell>
        </row>
        <row r="1510">
          <cell r="AV1510">
            <v>365</v>
          </cell>
          <cell r="AX1510">
            <v>1</v>
          </cell>
        </row>
        <row r="1511">
          <cell r="AV1511">
            <v>365</v>
          </cell>
          <cell r="AX1511">
            <v>1</v>
          </cell>
        </row>
        <row r="1512">
          <cell r="AV1512">
            <v>365</v>
          </cell>
          <cell r="AX1512">
            <v>1</v>
          </cell>
        </row>
        <row r="1513">
          <cell r="AV1513">
            <v>365</v>
          </cell>
          <cell r="AX1513">
            <v>366</v>
          </cell>
          <cell r="AZ1513">
            <v>6.3299999999999995E-2</v>
          </cell>
          <cell r="BA1513">
            <v>162</v>
          </cell>
          <cell r="BB1513">
            <v>5689.1958904109579</v>
          </cell>
        </row>
        <row r="1514">
          <cell r="AV1514">
            <v>365</v>
          </cell>
          <cell r="AX1514">
            <v>366</v>
          </cell>
          <cell r="AZ1514">
            <v>0.16209999999999999</v>
          </cell>
          <cell r="BA1514">
            <v>54</v>
          </cell>
          <cell r="BB1514">
            <v>1378.9602739726029</v>
          </cell>
        </row>
        <row r="1515">
          <cell r="AV1515">
            <v>365</v>
          </cell>
          <cell r="AX1515">
            <v>366</v>
          </cell>
          <cell r="AZ1515">
            <v>0.16209999999999999</v>
          </cell>
          <cell r="BA1515">
            <v>54</v>
          </cell>
          <cell r="BB1515">
            <v>1378.9602739726029</v>
          </cell>
        </row>
        <row r="1516">
          <cell r="AV1516">
            <v>365</v>
          </cell>
          <cell r="AX1516">
            <v>33</v>
          </cell>
        </row>
        <row r="1517">
          <cell r="AV1517">
            <v>365</v>
          </cell>
          <cell r="AX1517">
            <v>33</v>
          </cell>
        </row>
        <row r="1518">
          <cell r="E1518" t="str">
            <v>FF</v>
          </cell>
          <cell r="F1518" t="str">
            <v>Intermediate</v>
          </cell>
          <cell r="AV1518">
            <v>305</v>
          </cell>
        </row>
        <row r="1519">
          <cell r="E1519" t="str">
            <v>FF</v>
          </cell>
          <cell r="F1519" t="str">
            <v>Intermediate</v>
          </cell>
          <cell r="AV1519">
            <v>305</v>
          </cell>
        </row>
        <row r="1520">
          <cell r="E1520" t="str">
            <v>GF</v>
          </cell>
          <cell r="F1520" t="str">
            <v>SUITE III (ONCOLOGY)</v>
          </cell>
          <cell r="AV1520">
            <v>305</v>
          </cell>
        </row>
        <row r="1521">
          <cell r="AV1521">
            <v>305</v>
          </cell>
        </row>
        <row r="1522">
          <cell r="AV1522">
            <v>365</v>
          </cell>
          <cell r="AX1522">
            <v>24</v>
          </cell>
        </row>
        <row r="1523">
          <cell r="AV1523">
            <v>365</v>
          </cell>
          <cell r="AX1523">
            <v>336</v>
          </cell>
        </row>
        <row r="1524">
          <cell r="E1524" t="str">
            <v>SF</v>
          </cell>
          <cell r="AV1524">
            <v>365</v>
          </cell>
          <cell r="AX1524">
            <v>21</v>
          </cell>
        </row>
        <row r="1525">
          <cell r="E1525" t="str">
            <v>SF</v>
          </cell>
          <cell r="AV1525">
            <v>365</v>
          </cell>
          <cell r="AX1525">
            <v>21</v>
          </cell>
        </row>
        <row r="1526">
          <cell r="E1526" t="str">
            <v>SF</v>
          </cell>
          <cell r="AV1526">
            <v>365</v>
          </cell>
          <cell r="AX1526">
            <v>21</v>
          </cell>
        </row>
        <row r="1527">
          <cell r="E1527" t="str">
            <v>SF</v>
          </cell>
          <cell r="AV1527">
            <v>365</v>
          </cell>
          <cell r="AX1527">
            <v>21</v>
          </cell>
        </row>
        <row r="1528">
          <cell r="AV1528">
            <v>365</v>
          </cell>
          <cell r="AX1528">
            <v>366</v>
          </cell>
          <cell r="AZ1528">
            <v>6.3299999999999995E-2</v>
          </cell>
          <cell r="BA1528">
            <v>212</v>
          </cell>
          <cell r="BB1528">
            <v>7238.3116438356155</v>
          </cell>
        </row>
        <row r="1529">
          <cell r="AV1529">
            <v>365</v>
          </cell>
          <cell r="AX1529">
            <v>69</v>
          </cell>
        </row>
        <row r="1530">
          <cell r="AV1530">
            <v>198</v>
          </cell>
        </row>
        <row r="1531">
          <cell r="AV1531">
            <v>365</v>
          </cell>
          <cell r="AX1531">
            <v>123</v>
          </cell>
        </row>
        <row r="1532">
          <cell r="AV1532">
            <v>365</v>
          </cell>
          <cell r="AX1532">
            <v>123</v>
          </cell>
        </row>
        <row r="1533">
          <cell r="AV1533">
            <v>365</v>
          </cell>
          <cell r="AX1533">
            <v>123</v>
          </cell>
        </row>
        <row r="1534">
          <cell r="AV1534">
            <v>365</v>
          </cell>
          <cell r="AX1534">
            <v>123</v>
          </cell>
        </row>
        <row r="1535">
          <cell r="AV1535">
            <v>365</v>
          </cell>
          <cell r="AX1535">
            <v>33</v>
          </cell>
        </row>
        <row r="1536">
          <cell r="AV1536">
            <v>365</v>
          </cell>
          <cell r="AX1536">
            <v>366</v>
          </cell>
          <cell r="AZ1536">
            <v>0.16209999999999999</v>
          </cell>
          <cell r="BA1536">
            <v>289</v>
          </cell>
          <cell r="BB1536">
            <v>6054.8578633863008</v>
          </cell>
        </row>
        <row r="1537">
          <cell r="AV1537">
            <v>365</v>
          </cell>
          <cell r="AX1537">
            <v>366</v>
          </cell>
          <cell r="AZ1537">
            <v>0.16209999999999999</v>
          </cell>
          <cell r="BA1537">
            <v>289</v>
          </cell>
          <cell r="BB1537">
            <v>7447.3376859397267</v>
          </cell>
        </row>
        <row r="1538">
          <cell r="AV1538">
            <v>365</v>
          </cell>
          <cell r="AX1538">
            <v>33</v>
          </cell>
        </row>
        <row r="1539">
          <cell r="AV1539">
            <v>365</v>
          </cell>
          <cell r="AX1539">
            <v>33</v>
          </cell>
        </row>
        <row r="1540">
          <cell r="E1540" t="str">
            <v>GF</v>
          </cell>
          <cell r="AV1540">
            <v>365</v>
          </cell>
          <cell r="AX1540">
            <v>130</v>
          </cell>
        </row>
        <row r="1541">
          <cell r="AV1541">
            <v>365</v>
          </cell>
          <cell r="AX1541">
            <v>1</v>
          </cell>
        </row>
        <row r="1542">
          <cell r="AV1542">
            <v>305</v>
          </cell>
        </row>
        <row r="1543">
          <cell r="AV1543">
            <v>365</v>
          </cell>
          <cell r="AX1543">
            <v>276</v>
          </cell>
        </row>
        <row r="1544">
          <cell r="AV1544">
            <v>365</v>
          </cell>
          <cell r="AX1544">
            <v>130</v>
          </cell>
        </row>
        <row r="1545">
          <cell r="AV1545">
            <v>365</v>
          </cell>
          <cell r="AX1545">
            <v>130</v>
          </cell>
        </row>
        <row r="1546">
          <cell r="AV1546">
            <v>365</v>
          </cell>
          <cell r="AX1546">
            <v>218</v>
          </cell>
        </row>
        <row r="1547">
          <cell r="AV1547">
            <v>335</v>
          </cell>
        </row>
        <row r="1548">
          <cell r="AV1548">
            <v>335</v>
          </cell>
        </row>
        <row r="1549">
          <cell r="AV1549">
            <v>335</v>
          </cell>
        </row>
        <row r="1550">
          <cell r="AV1550">
            <v>335</v>
          </cell>
        </row>
        <row r="1551">
          <cell r="AV1551">
            <v>335</v>
          </cell>
        </row>
        <row r="1552">
          <cell r="AV1552">
            <v>335</v>
          </cell>
        </row>
        <row r="1553">
          <cell r="E1553" t="str">
            <v>GF</v>
          </cell>
          <cell r="AV1553">
            <v>365</v>
          </cell>
          <cell r="AX1553">
            <v>130</v>
          </cell>
        </row>
        <row r="1554">
          <cell r="AV1554">
            <v>365</v>
          </cell>
          <cell r="AX1554">
            <v>183</v>
          </cell>
        </row>
        <row r="1555">
          <cell r="AV1555">
            <v>365</v>
          </cell>
          <cell r="AX1555">
            <v>183</v>
          </cell>
        </row>
        <row r="1556">
          <cell r="AV1556">
            <v>365</v>
          </cell>
          <cell r="AX1556">
            <v>336</v>
          </cell>
        </row>
        <row r="1557">
          <cell r="AV1557">
            <v>365</v>
          </cell>
          <cell r="AX1557">
            <v>366</v>
          </cell>
        </row>
        <row r="1558">
          <cell r="AV1558">
            <v>365</v>
          </cell>
          <cell r="AX1558">
            <v>88</v>
          </cell>
        </row>
        <row r="1559">
          <cell r="AV1559">
            <v>365</v>
          </cell>
          <cell r="AX1559">
            <v>88</v>
          </cell>
        </row>
        <row r="1560">
          <cell r="AV1560">
            <v>365</v>
          </cell>
          <cell r="AX1560">
            <v>88</v>
          </cell>
        </row>
        <row r="1561">
          <cell r="AV1561">
            <v>365</v>
          </cell>
          <cell r="AX1561">
            <v>88</v>
          </cell>
        </row>
        <row r="1562">
          <cell r="AV1562">
            <v>365</v>
          </cell>
          <cell r="AX1562">
            <v>88</v>
          </cell>
        </row>
        <row r="1563">
          <cell r="AV1563">
            <v>365</v>
          </cell>
          <cell r="AX1563">
            <v>88</v>
          </cell>
        </row>
        <row r="1564">
          <cell r="AV1564">
            <v>365</v>
          </cell>
          <cell r="AX1564">
            <v>88</v>
          </cell>
        </row>
        <row r="1565">
          <cell r="AV1565">
            <v>365</v>
          </cell>
          <cell r="AX1565">
            <v>88</v>
          </cell>
        </row>
        <row r="1566">
          <cell r="AV1566">
            <v>365</v>
          </cell>
          <cell r="AX1566">
            <v>1</v>
          </cell>
        </row>
        <row r="1567">
          <cell r="AV1567">
            <v>365</v>
          </cell>
          <cell r="AX1567">
            <v>1</v>
          </cell>
        </row>
        <row r="1568">
          <cell r="AV1568">
            <v>365</v>
          </cell>
          <cell r="AX1568">
            <v>1</v>
          </cell>
        </row>
        <row r="1569">
          <cell r="AV1569">
            <v>365</v>
          </cell>
          <cell r="AX1569">
            <v>276</v>
          </cell>
        </row>
        <row r="1570">
          <cell r="AV1570">
            <v>365</v>
          </cell>
          <cell r="AX1570">
            <v>276</v>
          </cell>
        </row>
        <row r="1571">
          <cell r="AV1571">
            <v>365</v>
          </cell>
          <cell r="AX1571">
            <v>276</v>
          </cell>
        </row>
        <row r="1572">
          <cell r="E1572" t="str">
            <v>GF</v>
          </cell>
          <cell r="AV1572">
            <v>365</v>
          </cell>
          <cell r="AX1572">
            <v>312</v>
          </cell>
        </row>
        <row r="1573">
          <cell r="AV1573">
            <v>365</v>
          </cell>
          <cell r="AX1573">
            <v>130</v>
          </cell>
        </row>
        <row r="1574">
          <cell r="AV1574">
            <v>365</v>
          </cell>
          <cell r="AX1574">
            <v>130</v>
          </cell>
        </row>
        <row r="1575">
          <cell r="AV1575">
            <v>365</v>
          </cell>
          <cell r="AX1575">
            <v>366</v>
          </cell>
        </row>
        <row r="1576">
          <cell r="AV1576">
            <v>365</v>
          </cell>
          <cell r="AX1576">
            <v>366</v>
          </cell>
        </row>
        <row r="1577">
          <cell r="AV1577">
            <v>365</v>
          </cell>
          <cell r="AX1577">
            <v>366</v>
          </cell>
          <cell r="AZ1577">
            <v>0.16209999999999999</v>
          </cell>
          <cell r="BA1577">
            <v>206</v>
          </cell>
          <cell r="BB1577">
            <v>5954.8611890410957</v>
          </cell>
        </row>
        <row r="1578">
          <cell r="AV1578">
            <v>289</v>
          </cell>
        </row>
        <row r="1579">
          <cell r="AV1579">
            <v>365</v>
          </cell>
          <cell r="AX1579">
            <v>130</v>
          </cell>
        </row>
        <row r="1580">
          <cell r="AV1580">
            <v>365</v>
          </cell>
          <cell r="AX1580">
            <v>130</v>
          </cell>
        </row>
        <row r="1581">
          <cell r="AV1581">
            <v>365</v>
          </cell>
          <cell r="AX1581">
            <v>130</v>
          </cell>
        </row>
        <row r="1582">
          <cell r="AV1582">
            <v>365</v>
          </cell>
          <cell r="AX1582">
            <v>366</v>
          </cell>
          <cell r="AZ1582">
            <v>0.16209999999999999</v>
          </cell>
          <cell r="BA1582">
            <v>269</v>
          </cell>
          <cell r="BB1582">
            <v>7705.5234246575337</v>
          </cell>
        </row>
        <row r="1583">
          <cell r="AV1583">
            <v>365</v>
          </cell>
          <cell r="AX1583">
            <v>130</v>
          </cell>
        </row>
        <row r="1584">
          <cell r="AX1584">
            <v>366</v>
          </cell>
          <cell r="AZ1584">
            <v>0.16209999999999999</v>
          </cell>
          <cell r="BA1584">
            <v>365</v>
          </cell>
          <cell r="BB1584">
            <v>10374.4</v>
          </cell>
          <cell r="BC1584">
            <v>77</v>
          </cell>
        </row>
        <row r="1585">
          <cell r="E1585" t="str">
            <v>Mezzanine</v>
          </cell>
          <cell r="F1585" t="str">
            <v>Intermediate</v>
          </cell>
          <cell r="AV1585">
            <v>365</v>
          </cell>
          <cell r="AX1585">
            <v>129</v>
          </cell>
        </row>
        <row r="1586">
          <cell r="AV1586">
            <v>365</v>
          </cell>
          <cell r="AX1586">
            <v>366</v>
          </cell>
        </row>
        <row r="1587">
          <cell r="AV1587">
            <v>365</v>
          </cell>
          <cell r="AX1587">
            <v>50</v>
          </cell>
        </row>
        <row r="1588">
          <cell r="AV1588">
            <v>365</v>
          </cell>
          <cell r="AX1588">
            <v>50</v>
          </cell>
        </row>
        <row r="1589">
          <cell r="E1589" t="str">
            <v>SF</v>
          </cell>
          <cell r="F1589" t="str">
            <v>GC</v>
          </cell>
          <cell r="AV1589">
            <v>365</v>
          </cell>
          <cell r="AX1589">
            <v>62</v>
          </cell>
        </row>
        <row r="1590">
          <cell r="AV1590">
            <v>289</v>
          </cell>
        </row>
        <row r="1591">
          <cell r="AV1591">
            <v>365</v>
          </cell>
          <cell r="AX1591">
            <v>366</v>
          </cell>
        </row>
        <row r="1592">
          <cell r="AV1592">
            <v>365</v>
          </cell>
          <cell r="AX1592">
            <v>123</v>
          </cell>
        </row>
        <row r="1593">
          <cell r="AV1593">
            <v>198</v>
          </cell>
        </row>
        <row r="1594">
          <cell r="AV1594">
            <v>198</v>
          </cell>
        </row>
        <row r="1595">
          <cell r="AV1595">
            <v>198</v>
          </cell>
        </row>
        <row r="1596">
          <cell r="AV1596">
            <v>198</v>
          </cell>
        </row>
        <row r="1597">
          <cell r="AV1597">
            <v>198</v>
          </cell>
        </row>
        <row r="1598">
          <cell r="AV1598">
            <v>198</v>
          </cell>
        </row>
        <row r="1599">
          <cell r="AV1599">
            <v>198</v>
          </cell>
        </row>
        <row r="1600">
          <cell r="AV1600">
            <v>198</v>
          </cell>
        </row>
        <row r="1601">
          <cell r="AV1601">
            <v>198</v>
          </cell>
        </row>
        <row r="1602">
          <cell r="AV1602">
            <v>305</v>
          </cell>
        </row>
        <row r="1603">
          <cell r="AV1603">
            <v>305</v>
          </cell>
        </row>
        <row r="1604">
          <cell r="AV1604">
            <v>305</v>
          </cell>
        </row>
        <row r="1605">
          <cell r="AV1605">
            <v>365</v>
          </cell>
          <cell r="AX1605">
            <v>306</v>
          </cell>
        </row>
        <row r="1606">
          <cell r="AV1606">
            <v>365</v>
          </cell>
          <cell r="AX1606">
            <v>33</v>
          </cell>
        </row>
        <row r="1607">
          <cell r="AV1607">
            <v>365</v>
          </cell>
          <cell r="AX1607">
            <v>33</v>
          </cell>
        </row>
        <row r="1608">
          <cell r="AV1608">
            <v>365</v>
          </cell>
          <cell r="AX1608">
            <v>33</v>
          </cell>
        </row>
        <row r="1609">
          <cell r="AV1609">
            <v>365</v>
          </cell>
          <cell r="AX1609">
            <v>33</v>
          </cell>
        </row>
        <row r="1610">
          <cell r="AV1610">
            <v>365</v>
          </cell>
          <cell r="AX1610">
            <v>103</v>
          </cell>
        </row>
        <row r="1611">
          <cell r="AV1611">
            <v>365</v>
          </cell>
          <cell r="AX1611">
            <v>366</v>
          </cell>
        </row>
        <row r="1612">
          <cell r="AV1612">
            <v>365</v>
          </cell>
          <cell r="AX1612">
            <v>33</v>
          </cell>
        </row>
        <row r="1613">
          <cell r="E1613" t="str">
            <v>SF</v>
          </cell>
          <cell r="F1613" t="str">
            <v>GC</v>
          </cell>
          <cell r="AV1613">
            <v>365</v>
          </cell>
          <cell r="AX1613">
            <v>62</v>
          </cell>
        </row>
        <row r="1614">
          <cell r="AV1614">
            <v>365</v>
          </cell>
          <cell r="AX1614">
            <v>366</v>
          </cell>
          <cell r="AZ1614">
            <v>6.3299999999999995E-2</v>
          </cell>
          <cell r="BA1614">
            <v>30</v>
          </cell>
          <cell r="BB1614">
            <v>1442.6156712328766</v>
          </cell>
        </row>
        <row r="1615">
          <cell r="AV1615">
            <v>365</v>
          </cell>
          <cell r="AX1615">
            <v>366</v>
          </cell>
        </row>
        <row r="1616">
          <cell r="AV1616">
            <v>365</v>
          </cell>
          <cell r="AX1616">
            <v>366</v>
          </cell>
          <cell r="AZ1616">
            <v>6.3299999999999995E-2</v>
          </cell>
          <cell r="BA1616">
            <v>78</v>
          </cell>
          <cell r="BB1616">
            <v>3596.1451446575343</v>
          </cell>
        </row>
        <row r="1617">
          <cell r="AV1617">
            <v>365</v>
          </cell>
          <cell r="AX1617">
            <v>336</v>
          </cell>
        </row>
        <row r="1618">
          <cell r="AV1618">
            <v>365</v>
          </cell>
          <cell r="AX1618">
            <v>336</v>
          </cell>
        </row>
        <row r="1619">
          <cell r="AV1619">
            <v>365</v>
          </cell>
          <cell r="AX1619">
            <v>336</v>
          </cell>
        </row>
        <row r="1620">
          <cell r="E1620" t="str">
            <v>SF</v>
          </cell>
          <cell r="AV1620">
            <v>365</v>
          </cell>
          <cell r="AX1620">
            <v>21</v>
          </cell>
        </row>
        <row r="1621">
          <cell r="E1621" t="str">
            <v>SF</v>
          </cell>
          <cell r="AV1621">
            <v>365</v>
          </cell>
          <cell r="AX1621">
            <v>21</v>
          </cell>
        </row>
        <row r="1622">
          <cell r="E1622" t="str">
            <v>SF</v>
          </cell>
          <cell r="AV1622">
            <v>365</v>
          </cell>
          <cell r="AX1622">
            <v>21</v>
          </cell>
        </row>
        <row r="1623">
          <cell r="E1623" t="str">
            <v>SF</v>
          </cell>
          <cell r="AV1623">
            <v>365</v>
          </cell>
          <cell r="AX1623">
            <v>21</v>
          </cell>
        </row>
        <row r="1624">
          <cell r="E1624" t="str">
            <v>SF</v>
          </cell>
          <cell r="AV1624">
            <v>365</v>
          </cell>
          <cell r="AX1624">
            <v>21</v>
          </cell>
        </row>
        <row r="1625">
          <cell r="E1625" t="str">
            <v>SF</v>
          </cell>
          <cell r="AV1625">
            <v>365</v>
          </cell>
          <cell r="AX1625">
            <v>21</v>
          </cell>
        </row>
        <row r="1626">
          <cell r="E1626" t="str">
            <v>SF</v>
          </cell>
          <cell r="AV1626">
            <v>365</v>
          </cell>
          <cell r="AX1626">
            <v>21</v>
          </cell>
        </row>
        <row r="1627">
          <cell r="AV1627">
            <v>365</v>
          </cell>
          <cell r="AX1627">
            <v>22</v>
          </cell>
        </row>
        <row r="1628">
          <cell r="AV1628">
            <v>365</v>
          </cell>
          <cell r="AX1628">
            <v>22</v>
          </cell>
        </row>
        <row r="1629">
          <cell r="AV1629">
            <v>365</v>
          </cell>
          <cell r="AX1629">
            <v>22</v>
          </cell>
        </row>
        <row r="1630">
          <cell r="AV1630">
            <v>365</v>
          </cell>
          <cell r="AX1630">
            <v>22</v>
          </cell>
        </row>
        <row r="1631">
          <cell r="AV1631">
            <v>365</v>
          </cell>
          <cell r="AX1631">
            <v>267</v>
          </cell>
        </row>
        <row r="1632">
          <cell r="AV1632">
            <v>365</v>
          </cell>
          <cell r="AX1632">
            <v>267</v>
          </cell>
        </row>
        <row r="1633">
          <cell r="AV1633">
            <v>365</v>
          </cell>
          <cell r="AX1633">
            <v>267</v>
          </cell>
        </row>
        <row r="1634">
          <cell r="E1634" t="str">
            <v>Oncology</v>
          </cell>
          <cell r="AV1634">
            <v>365</v>
          </cell>
          <cell r="AX1634">
            <v>25</v>
          </cell>
        </row>
        <row r="1635">
          <cell r="E1635" t="str">
            <v>Oncology</v>
          </cell>
          <cell r="AV1635">
            <v>365</v>
          </cell>
          <cell r="AX1635">
            <v>25</v>
          </cell>
        </row>
        <row r="1636">
          <cell r="E1636" t="str">
            <v>Oncology</v>
          </cell>
          <cell r="AV1636">
            <v>365</v>
          </cell>
          <cell r="AX1636">
            <v>25</v>
          </cell>
          <cell r="BJ1636" t="str">
            <v>PROVISION</v>
          </cell>
        </row>
        <row r="1637">
          <cell r="AV1637">
            <v>365</v>
          </cell>
          <cell r="AX1637">
            <v>115</v>
          </cell>
        </row>
        <row r="1638">
          <cell r="E1638" t="str">
            <v>GF</v>
          </cell>
          <cell r="F1638" t="str">
            <v>Zone-1</v>
          </cell>
          <cell r="AV1638">
            <v>365</v>
          </cell>
          <cell r="AX1638">
            <v>59</v>
          </cell>
        </row>
        <row r="1639">
          <cell r="E1639" t="str">
            <v>GF</v>
          </cell>
          <cell r="F1639" t="str">
            <v>Zone-1-3</v>
          </cell>
          <cell r="AV1639">
            <v>365</v>
          </cell>
          <cell r="AX1639">
            <v>59</v>
          </cell>
        </row>
        <row r="1640">
          <cell r="F1640" t="str">
            <v>Zone-1-2-3-4</v>
          </cell>
          <cell r="AV1640">
            <v>365</v>
          </cell>
          <cell r="AX1640">
            <v>59</v>
          </cell>
        </row>
        <row r="1641">
          <cell r="AV1641">
            <v>365</v>
          </cell>
          <cell r="AX1641">
            <v>130</v>
          </cell>
        </row>
        <row r="1642">
          <cell r="AV1642">
            <v>365</v>
          </cell>
          <cell r="AX1642">
            <v>130</v>
          </cell>
        </row>
        <row r="1643">
          <cell r="AV1643">
            <v>365</v>
          </cell>
          <cell r="AX1643">
            <v>130</v>
          </cell>
        </row>
        <row r="1644">
          <cell r="AV1644">
            <v>365</v>
          </cell>
          <cell r="AX1644">
            <v>130</v>
          </cell>
        </row>
        <row r="1645">
          <cell r="AV1645">
            <v>365</v>
          </cell>
          <cell r="AX1645">
            <v>130</v>
          </cell>
        </row>
        <row r="1646">
          <cell r="AV1646">
            <v>365</v>
          </cell>
          <cell r="AX1646">
            <v>130</v>
          </cell>
        </row>
        <row r="1647">
          <cell r="AV1647">
            <v>365</v>
          </cell>
          <cell r="AX1647">
            <v>366</v>
          </cell>
        </row>
        <row r="1648">
          <cell r="AV1648">
            <v>365</v>
          </cell>
          <cell r="AX1648">
            <v>129</v>
          </cell>
        </row>
        <row r="1649">
          <cell r="E1649" t="str">
            <v>GF</v>
          </cell>
          <cell r="AV1649">
            <v>365</v>
          </cell>
          <cell r="AX1649">
            <v>142</v>
          </cell>
        </row>
        <row r="1650">
          <cell r="AV1650">
            <v>198</v>
          </cell>
        </row>
        <row r="1651">
          <cell r="AV1651">
            <v>365</v>
          </cell>
          <cell r="AX1651">
            <v>130</v>
          </cell>
        </row>
        <row r="1652">
          <cell r="AV1652">
            <v>365</v>
          </cell>
          <cell r="AX1652">
            <v>129</v>
          </cell>
        </row>
        <row r="1653">
          <cell r="AV1653">
            <v>365</v>
          </cell>
          <cell r="AX1653">
            <v>21</v>
          </cell>
        </row>
        <row r="1654">
          <cell r="AV1654">
            <v>365</v>
          </cell>
          <cell r="AX1654">
            <v>276</v>
          </cell>
        </row>
        <row r="1655">
          <cell r="AV1655">
            <v>365</v>
          </cell>
          <cell r="AX1655">
            <v>276</v>
          </cell>
        </row>
        <row r="1656">
          <cell r="AV1656">
            <v>365</v>
          </cell>
          <cell r="AX1656">
            <v>109</v>
          </cell>
        </row>
        <row r="1657">
          <cell r="AV1657">
            <v>365</v>
          </cell>
          <cell r="AX1657">
            <v>109</v>
          </cell>
        </row>
        <row r="1658">
          <cell r="AV1658">
            <v>365</v>
          </cell>
          <cell r="AX1658">
            <v>109</v>
          </cell>
        </row>
        <row r="1660">
          <cell r="AV1660">
            <v>365</v>
          </cell>
          <cell r="AX1660">
            <v>115</v>
          </cell>
        </row>
        <row r="1661">
          <cell r="AV1661">
            <v>365</v>
          </cell>
          <cell r="AX1661">
            <v>115</v>
          </cell>
        </row>
        <row r="1662">
          <cell r="AV1662">
            <v>365</v>
          </cell>
          <cell r="AX1662">
            <v>130</v>
          </cell>
        </row>
        <row r="1663">
          <cell r="AV1663">
            <v>365</v>
          </cell>
          <cell r="AX1663">
            <v>130</v>
          </cell>
        </row>
        <row r="1664">
          <cell r="E1664" t="str">
            <v>TF</v>
          </cell>
          <cell r="AV1664">
            <v>365</v>
          </cell>
          <cell r="AX1664">
            <v>62</v>
          </cell>
        </row>
        <row r="1665">
          <cell r="AV1665">
            <v>365</v>
          </cell>
          <cell r="AX1665">
            <v>366</v>
          </cell>
          <cell r="AZ1665">
            <v>6.3299999999999995E-2</v>
          </cell>
          <cell r="BA1665">
            <v>73</v>
          </cell>
          <cell r="BB1665">
            <v>1426.85796</v>
          </cell>
        </row>
        <row r="1666">
          <cell r="AV1666">
            <v>365</v>
          </cell>
          <cell r="AX1666">
            <v>366</v>
          </cell>
          <cell r="AZ1666">
            <v>6.3299999999999995E-2</v>
          </cell>
          <cell r="BA1666">
            <v>73</v>
          </cell>
          <cell r="BB1666">
            <v>1184.2069049999998</v>
          </cell>
        </row>
        <row r="1667">
          <cell r="AV1667">
            <v>365</v>
          </cell>
          <cell r="AX1667">
            <v>366</v>
          </cell>
          <cell r="AZ1667">
            <v>6.3299999999999995E-2</v>
          </cell>
          <cell r="BA1667">
            <v>73</v>
          </cell>
          <cell r="BB1667">
            <v>1301.6932875</v>
          </cell>
        </row>
        <row r="1668">
          <cell r="AV1668">
            <v>365</v>
          </cell>
          <cell r="AX1668">
            <v>130</v>
          </cell>
        </row>
        <row r="1669">
          <cell r="AV1669">
            <v>365</v>
          </cell>
          <cell r="AX1669">
            <v>130</v>
          </cell>
        </row>
        <row r="1670">
          <cell r="AV1670">
            <v>365</v>
          </cell>
          <cell r="AX1670">
            <v>366</v>
          </cell>
        </row>
        <row r="1671">
          <cell r="AV1671">
            <v>365</v>
          </cell>
          <cell r="AX1671">
            <v>366</v>
          </cell>
        </row>
        <row r="1672">
          <cell r="AV1672">
            <v>365</v>
          </cell>
          <cell r="AX1672">
            <v>103</v>
          </cell>
        </row>
        <row r="1673">
          <cell r="E1673" t="str">
            <v>FF</v>
          </cell>
          <cell r="F1673" t="str">
            <v>Pharma</v>
          </cell>
          <cell r="AV1673">
            <v>365</v>
          </cell>
          <cell r="AX1673">
            <v>33</v>
          </cell>
        </row>
        <row r="1674">
          <cell r="E1674" t="str">
            <v>GF</v>
          </cell>
          <cell r="AV1674">
            <v>365</v>
          </cell>
          <cell r="AX1674">
            <v>130</v>
          </cell>
        </row>
        <row r="1675">
          <cell r="E1675" t="str">
            <v>FF</v>
          </cell>
          <cell r="F1675" t="str">
            <v>Pharma</v>
          </cell>
          <cell r="AV1675">
            <v>365</v>
          </cell>
          <cell r="AX1675">
            <v>129</v>
          </cell>
        </row>
        <row r="1676">
          <cell r="AV1676">
            <v>365</v>
          </cell>
          <cell r="AX1676">
            <v>1</v>
          </cell>
        </row>
        <row r="1677">
          <cell r="D1677" t="str">
            <v>Utilities</v>
          </cell>
          <cell r="E1677" t="str">
            <v>UTILITY</v>
          </cell>
          <cell r="AV1677">
            <v>365</v>
          </cell>
          <cell r="AX1677">
            <v>130</v>
          </cell>
        </row>
        <row r="1678">
          <cell r="AV1678">
            <v>365</v>
          </cell>
          <cell r="AX1678">
            <v>366</v>
          </cell>
        </row>
        <row r="1679">
          <cell r="AV1679">
            <v>365</v>
          </cell>
          <cell r="AX1679">
            <v>366</v>
          </cell>
        </row>
        <row r="1680">
          <cell r="AV1680">
            <v>365</v>
          </cell>
          <cell r="AX1680">
            <v>366</v>
          </cell>
        </row>
        <row r="1681">
          <cell r="D1681" t="str">
            <v>SF</v>
          </cell>
          <cell r="AV1681">
            <v>365</v>
          </cell>
          <cell r="AX1681">
            <v>3</v>
          </cell>
        </row>
        <row r="1682">
          <cell r="D1682" t="str">
            <v>SF</v>
          </cell>
          <cell r="AV1682">
            <v>365</v>
          </cell>
          <cell r="AX1682">
            <v>3</v>
          </cell>
        </row>
        <row r="1683">
          <cell r="D1683" t="str">
            <v>SF</v>
          </cell>
          <cell r="AV1683">
            <v>365</v>
          </cell>
          <cell r="AX1683">
            <v>3</v>
          </cell>
        </row>
        <row r="1684">
          <cell r="D1684" t="str">
            <v>SF</v>
          </cell>
          <cell r="AV1684">
            <v>365</v>
          </cell>
          <cell r="AX1684">
            <v>3</v>
          </cell>
        </row>
        <row r="1685">
          <cell r="D1685" t="str">
            <v>SF</v>
          </cell>
          <cell r="AV1685">
            <v>365</v>
          </cell>
          <cell r="AX1685">
            <v>3</v>
          </cell>
        </row>
        <row r="1686">
          <cell r="E1686" t="str">
            <v>Water Tank</v>
          </cell>
          <cell r="AV1686">
            <v>365</v>
          </cell>
          <cell r="AX1686">
            <v>24</v>
          </cell>
        </row>
        <row r="1687">
          <cell r="AV1687">
            <v>365</v>
          </cell>
          <cell r="AX1687">
            <v>71</v>
          </cell>
        </row>
        <row r="1688">
          <cell r="AV1688">
            <v>198</v>
          </cell>
        </row>
        <row r="1689">
          <cell r="AV1689">
            <v>198</v>
          </cell>
        </row>
        <row r="1690">
          <cell r="AV1690">
            <v>198</v>
          </cell>
        </row>
        <row r="1691">
          <cell r="AV1691">
            <v>335</v>
          </cell>
        </row>
        <row r="1692">
          <cell r="AV1692">
            <v>365</v>
          </cell>
          <cell r="AX1692">
            <v>336</v>
          </cell>
        </row>
        <row r="1693">
          <cell r="AV1693">
            <v>365</v>
          </cell>
          <cell r="AX1693">
            <v>336</v>
          </cell>
        </row>
        <row r="1694">
          <cell r="AV1694">
            <v>365</v>
          </cell>
          <cell r="AX1694">
            <v>336</v>
          </cell>
        </row>
        <row r="1695">
          <cell r="AV1695">
            <v>365</v>
          </cell>
          <cell r="AX1695">
            <v>336</v>
          </cell>
        </row>
        <row r="1696">
          <cell r="AV1696">
            <v>365</v>
          </cell>
          <cell r="AX1696">
            <v>336</v>
          </cell>
        </row>
        <row r="1697">
          <cell r="AV1697">
            <v>365</v>
          </cell>
          <cell r="AX1697">
            <v>120</v>
          </cell>
        </row>
        <row r="1698">
          <cell r="AV1698">
            <v>365</v>
          </cell>
          <cell r="AX1698">
            <v>120</v>
          </cell>
        </row>
        <row r="1699">
          <cell r="AV1699">
            <v>365</v>
          </cell>
          <cell r="AX1699">
            <v>120</v>
          </cell>
        </row>
        <row r="1700">
          <cell r="AV1700">
            <v>365</v>
          </cell>
          <cell r="AX1700">
            <v>120</v>
          </cell>
        </row>
        <row r="1701">
          <cell r="AV1701">
            <v>365</v>
          </cell>
          <cell r="AX1701">
            <v>120</v>
          </cell>
        </row>
        <row r="1702">
          <cell r="AV1702">
            <v>365</v>
          </cell>
          <cell r="AX1702">
            <v>120</v>
          </cell>
        </row>
        <row r="1703">
          <cell r="AV1703">
            <v>365</v>
          </cell>
          <cell r="AX1703">
            <v>120</v>
          </cell>
        </row>
        <row r="1704">
          <cell r="AV1704">
            <v>365</v>
          </cell>
          <cell r="AX1704">
            <v>120</v>
          </cell>
        </row>
        <row r="1705">
          <cell r="D1705" t="str">
            <v>GC-IB</v>
          </cell>
          <cell r="E1705" t="str">
            <v>Near OCB</v>
          </cell>
          <cell r="AV1705">
            <v>305</v>
          </cell>
        </row>
        <row r="1706">
          <cell r="G1706">
            <v>1044</v>
          </cell>
          <cell r="AV1706">
            <v>365</v>
          </cell>
          <cell r="AX1706">
            <v>366</v>
          </cell>
          <cell r="AZ1706">
            <v>0.16209999999999999</v>
          </cell>
          <cell r="BA1706">
            <v>140</v>
          </cell>
          <cell r="BB1706">
            <v>3326.3808219178081</v>
          </cell>
        </row>
        <row r="1707">
          <cell r="AX1707">
            <v>366</v>
          </cell>
          <cell r="AZ1707">
            <v>0.16209999999999999</v>
          </cell>
          <cell r="BA1707">
            <v>332</v>
          </cell>
          <cell r="BB1707">
            <v>7814.5523287671231</v>
          </cell>
        </row>
        <row r="1708">
          <cell r="E1708" t="str">
            <v>SF</v>
          </cell>
          <cell r="AV1708">
            <v>365</v>
          </cell>
          <cell r="AX1708">
            <v>21</v>
          </cell>
        </row>
        <row r="1709">
          <cell r="E1709" t="str">
            <v>FF</v>
          </cell>
          <cell r="F1709" t="str">
            <v>Pharma</v>
          </cell>
          <cell r="AV1709">
            <v>365</v>
          </cell>
          <cell r="AX1709">
            <v>33</v>
          </cell>
        </row>
        <row r="1710">
          <cell r="E1710" t="str">
            <v>GF</v>
          </cell>
          <cell r="AV1710">
            <v>365</v>
          </cell>
          <cell r="AX1710">
            <v>225</v>
          </cell>
        </row>
        <row r="1711">
          <cell r="E1711" t="str">
            <v>FF</v>
          </cell>
          <cell r="AV1711">
            <v>365</v>
          </cell>
          <cell r="AX1711">
            <v>336</v>
          </cell>
        </row>
        <row r="1712">
          <cell r="AV1712">
            <v>365</v>
          </cell>
          <cell r="AX1712">
            <v>274</v>
          </cell>
        </row>
        <row r="1713">
          <cell r="AV1713">
            <v>365</v>
          </cell>
          <cell r="AX1713">
            <v>274</v>
          </cell>
        </row>
        <row r="1714">
          <cell r="AV1714">
            <v>365</v>
          </cell>
          <cell r="AX1714">
            <v>274</v>
          </cell>
        </row>
        <row r="1715">
          <cell r="F1715" t="str">
            <v>ADMIN</v>
          </cell>
          <cell r="AV1715">
            <v>365</v>
          </cell>
          <cell r="AX1715">
            <v>274</v>
          </cell>
        </row>
        <row r="1716">
          <cell r="AV1716">
            <v>365</v>
          </cell>
          <cell r="AX1716">
            <v>366</v>
          </cell>
        </row>
        <row r="1717">
          <cell r="D1717" t="str">
            <v>GC- IC</v>
          </cell>
          <cell r="E1717" t="str">
            <v>GF</v>
          </cell>
          <cell r="F1717" t="str">
            <v>Intermediate</v>
          </cell>
          <cell r="AV1717">
            <v>335</v>
          </cell>
        </row>
        <row r="1718">
          <cell r="D1718" t="str">
            <v>GC- IC</v>
          </cell>
          <cell r="E1718" t="str">
            <v>GF</v>
          </cell>
          <cell r="F1718" t="str">
            <v>Intermediate</v>
          </cell>
          <cell r="AV1718">
            <v>335</v>
          </cell>
        </row>
        <row r="1719">
          <cell r="E1719" t="str">
            <v>GF</v>
          </cell>
          <cell r="AV1719">
            <v>365</v>
          </cell>
          <cell r="AX1719">
            <v>351</v>
          </cell>
        </row>
        <row r="1720">
          <cell r="AV1720">
            <v>365</v>
          </cell>
          <cell r="AX1720">
            <v>336</v>
          </cell>
        </row>
        <row r="1721">
          <cell r="AV1721">
            <v>365</v>
          </cell>
          <cell r="AX1721">
            <v>267</v>
          </cell>
        </row>
        <row r="1722">
          <cell r="AV1722">
            <v>365</v>
          </cell>
          <cell r="AX1722">
            <v>33</v>
          </cell>
        </row>
        <row r="1723">
          <cell r="AV1723">
            <v>365</v>
          </cell>
          <cell r="AX1723">
            <v>33</v>
          </cell>
        </row>
        <row r="1724">
          <cell r="AV1724">
            <v>365</v>
          </cell>
          <cell r="AX1724">
            <v>33</v>
          </cell>
        </row>
        <row r="1725">
          <cell r="E1725" t="str">
            <v>GF</v>
          </cell>
          <cell r="F1725" t="str">
            <v>Zone-2-3-4</v>
          </cell>
          <cell r="AV1725">
            <v>365</v>
          </cell>
          <cell r="AX1725">
            <v>129</v>
          </cell>
        </row>
        <row r="1726">
          <cell r="E1726" t="str">
            <v>GF</v>
          </cell>
          <cell r="F1726" t="str">
            <v>Intermediate</v>
          </cell>
          <cell r="AV1726">
            <v>365</v>
          </cell>
          <cell r="AX1726">
            <v>129</v>
          </cell>
        </row>
        <row r="1727">
          <cell r="AV1727">
            <v>365</v>
          </cell>
          <cell r="AX1727">
            <v>153</v>
          </cell>
        </row>
        <row r="1728">
          <cell r="AV1728">
            <v>365</v>
          </cell>
          <cell r="AX1728">
            <v>153</v>
          </cell>
        </row>
        <row r="1729">
          <cell r="AV1729">
            <v>222</v>
          </cell>
        </row>
        <row r="1730">
          <cell r="AV1730">
            <v>222</v>
          </cell>
        </row>
        <row r="1731">
          <cell r="E1731" t="str">
            <v>FF</v>
          </cell>
          <cell r="AV1731">
            <v>365</v>
          </cell>
          <cell r="AX1731">
            <v>168</v>
          </cell>
        </row>
        <row r="1732">
          <cell r="E1732" t="str">
            <v>FF</v>
          </cell>
          <cell r="AV1732">
            <v>365</v>
          </cell>
          <cell r="AX1732">
            <v>168</v>
          </cell>
        </row>
        <row r="1733">
          <cell r="E1733" t="str">
            <v>FF</v>
          </cell>
          <cell r="AV1733">
            <v>365</v>
          </cell>
          <cell r="AX1733">
            <v>168</v>
          </cell>
        </row>
        <row r="1734">
          <cell r="E1734" t="str">
            <v>FF</v>
          </cell>
          <cell r="AV1734">
            <v>365</v>
          </cell>
          <cell r="AX1734">
            <v>168</v>
          </cell>
        </row>
        <row r="1735">
          <cell r="E1735" t="str">
            <v>FF</v>
          </cell>
          <cell r="AV1735">
            <v>365</v>
          </cell>
          <cell r="AX1735">
            <v>168</v>
          </cell>
        </row>
        <row r="1736">
          <cell r="E1736" t="str">
            <v>FF</v>
          </cell>
          <cell r="AV1736">
            <v>365</v>
          </cell>
          <cell r="AX1736">
            <v>168</v>
          </cell>
        </row>
        <row r="1737">
          <cell r="E1737" t="str">
            <v>FF</v>
          </cell>
          <cell r="AV1737">
            <v>365</v>
          </cell>
          <cell r="AX1737">
            <v>168</v>
          </cell>
        </row>
        <row r="1738">
          <cell r="E1738" t="str">
            <v>FF</v>
          </cell>
          <cell r="AV1738">
            <v>365</v>
          </cell>
          <cell r="AX1738">
            <v>168</v>
          </cell>
        </row>
        <row r="1739">
          <cell r="AV1739">
            <v>289</v>
          </cell>
        </row>
        <row r="1740">
          <cell r="AV1740">
            <v>289</v>
          </cell>
        </row>
        <row r="1741">
          <cell r="AV1741">
            <v>289</v>
          </cell>
        </row>
        <row r="1742">
          <cell r="AV1742">
            <v>289</v>
          </cell>
        </row>
        <row r="1743">
          <cell r="AV1743">
            <v>365</v>
          </cell>
          <cell r="AX1743">
            <v>274</v>
          </cell>
        </row>
        <row r="1744">
          <cell r="AV1744">
            <v>365</v>
          </cell>
          <cell r="AX1744">
            <v>274</v>
          </cell>
        </row>
        <row r="1745">
          <cell r="AV1745">
            <v>365</v>
          </cell>
          <cell r="AX1745">
            <v>274</v>
          </cell>
        </row>
        <row r="1746">
          <cell r="AV1746">
            <v>305</v>
          </cell>
        </row>
        <row r="1747">
          <cell r="AV1747">
            <v>365</v>
          </cell>
          <cell r="AX1747">
            <v>256</v>
          </cell>
        </row>
        <row r="1748">
          <cell r="E1748" t="str">
            <v>FF</v>
          </cell>
          <cell r="F1748" t="str">
            <v>Intermediate</v>
          </cell>
          <cell r="AV1748">
            <v>289</v>
          </cell>
        </row>
        <row r="1749">
          <cell r="E1749" t="str">
            <v>FF</v>
          </cell>
          <cell r="F1749" t="str">
            <v>Intermediate</v>
          </cell>
          <cell r="AV1749">
            <v>289</v>
          </cell>
        </row>
        <row r="1750">
          <cell r="E1750" t="str">
            <v>FF</v>
          </cell>
          <cell r="F1750" t="str">
            <v>Intermediate</v>
          </cell>
          <cell r="AV1750">
            <v>289</v>
          </cell>
        </row>
        <row r="1751">
          <cell r="E1751" t="str">
            <v>FF</v>
          </cell>
          <cell r="F1751" t="str">
            <v>Intermediate</v>
          </cell>
          <cell r="AV1751">
            <v>289</v>
          </cell>
        </row>
        <row r="1752">
          <cell r="E1752" t="str">
            <v>FF</v>
          </cell>
          <cell r="AV1752">
            <v>365</v>
          </cell>
          <cell r="AX1752">
            <v>186</v>
          </cell>
        </row>
        <row r="1753">
          <cell r="E1753" t="str">
            <v>FF</v>
          </cell>
          <cell r="AV1753">
            <v>365</v>
          </cell>
          <cell r="AX1753">
            <v>186</v>
          </cell>
        </row>
        <row r="1754">
          <cell r="E1754" t="str">
            <v>FF</v>
          </cell>
          <cell r="AV1754">
            <v>365</v>
          </cell>
          <cell r="AX1754">
            <v>186</v>
          </cell>
        </row>
        <row r="1755">
          <cell r="E1755" t="str">
            <v>FF</v>
          </cell>
          <cell r="AV1755">
            <v>365</v>
          </cell>
          <cell r="AX1755">
            <v>186</v>
          </cell>
        </row>
        <row r="1756">
          <cell r="E1756" t="str">
            <v>FF</v>
          </cell>
          <cell r="AV1756">
            <v>365</v>
          </cell>
          <cell r="AX1756">
            <v>186</v>
          </cell>
        </row>
        <row r="1757">
          <cell r="E1757" t="str">
            <v>FF</v>
          </cell>
          <cell r="AV1757">
            <v>365</v>
          </cell>
          <cell r="AX1757">
            <v>186</v>
          </cell>
        </row>
        <row r="1758">
          <cell r="E1758" t="str">
            <v>FF</v>
          </cell>
          <cell r="AV1758">
            <v>365</v>
          </cell>
          <cell r="AX1758">
            <v>186</v>
          </cell>
        </row>
        <row r="1759">
          <cell r="AV1759">
            <v>289</v>
          </cell>
        </row>
        <row r="1760">
          <cell r="AV1760">
            <v>289</v>
          </cell>
        </row>
        <row r="1761">
          <cell r="AV1761">
            <v>289</v>
          </cell>
        </row>
        <row r="1762">
          <cell r="AV1762">
            <v>198</v>
          </cell>
        </row>
        <row r="1763">
          <cell r="AV1763">
            <v>198</v>
          </cell>
        </row>
        <row r="1764">
          <cell r="AV1764">
            <v>198</v>
          </cell>
        </row>
        <row r="1765">
          <cell r="AV1765">
            <v>198</v>
          </cell>
        </row>
        <row r="1766">
          <cell r="AV1766">
            <v>198</v>
          </cell>
        </row>
        <row r="1767">
          <cell r="AV1767">
            <v>198</v>
          </cell>
        </row>
        <row r="1768">
          <cell r="AV1768">
            <v>198</v>
          </cell>
        </row>
        <row r="1769">
          <cell r="AV1769">
            <v>198</v>
          </cell>
        </row>
        <row r="1770">
          <cell r="AV1770">
            <v>365</v>
          </cell>
          <cell r="AX1770">
            <v>366</v>
          </cell>
          <cell r="AZ1770">
            <v>0.16209999999999999</v>
          </cell>
          <cell r="BA1770">
            <v>31</v>
          </cell>
          <cell r="BB1770">
            <v>272.04376986301372</v>
          </cell>
        </row>
        <row r="1771">
          <cell r="AV1771">
            <v>365</v>
          </cell>
          <cell r="AX1771">
            <v>366</v>
          </cell>
          <cell r="AZ1771">
            <v>0.16209999999999999</v>
          </cell>
          <cell r="BA1771">
            <v>31</v>
          </cell>
          <cell r="BB1771">
            <v>2426.9167890410959</v>
          </cell>
        </row>
        <row r="1772">
          <cell r="AV1772">
            <v>365</v>
          </cell>
          <cell r="AX1772">
            <v>130</v>
          </cell>
        </row>
        <row r="1773">
          <cell r="AV1773">
            <v>365</v>
          </cell>
          <cell r="AX1773">
            <v>267</v>
          </cell>
        </row>
        <row r="1774">
          <cell r="AV1774">
            <v>365</v>
          </cell>
          <cell r="AX1774">
            <v>267</v>
          </cell>
        </row>
        <row r="1775">
          <cell r="AV1775">
            <v>365</v>
          </cell>
          <cell r="AX1775">
            <v>267</v>
          </cell>
        </row>
        <row r="1776">
          <cell r="AV1776">
            <v>365</v>
          </cell>
          <cell r="AX1776">
            <v>267</v>
          </cell>
        </row>
        <row r="1777">
          <cell r="AV1777">
            <v>365</v>
          </cell>
          <cell r="AX1777">
            <v>267</v>
          </cell>
        </row>
        <row r="1778">
          <cell r="AV1778">
            <v>365</v>
          </cell>
          <cell r="AX1778">
            <v>267</v>
          </cell>
        </row>
        <row r="1779">
          <cell r="AV1779">
            <v>365</v>
          </cell>
          <cell r="AX1779">
            <v>267</v>
          </cell>
        </row>
        <row r="1780">
          <cell r="AV1780">
            <v>365</v>
          </cell>
          <cell r="AX1780">
            <v>267</v>
          </cell>
        </row>
        <row r="1781">
          <cell r="AV1781">
            <v>305</v>
          </cell>
        </row>
        <row r="1782">
          <cell r="AV1782">
            <v>305</v>
          </cell>
        </row>
        <row r="1783">
          <cell r="AV1783">
            <v>365</v>
          </cell>
          <cell r="AX1783">
            <v>130</v>
          </cell>
        </row>
        <row r="1784">
          <cell r="AV1784">
            <v>365</v>
          </cell>
          <cell r="AX1784">
            <v>130</v>
          </cell>
        </row>
        <row r="1785">
          <cell r="AV1785">
            <v>365</v>
          </cell>
          <cell r="AX1785">
            <v>130</v>
          </cell>
        </row>
        <row r="1786">
          <cell r="AV1786">
            <v>365</v>
          </cell>
          <cell r="AX1786">
            <v>130</v>
          </cell>
        </row>
        <row r="1787">
          <cell r="AV1787">
            <v>365</v>
          </cell>
          <cell r="AX1787">
            <v>130</v>
          </cell>
        </row>
        <row r="1788">
          <cell r="AV1788">
            <v>365</v>
          </cell>
          <cell r="AX1788">
            <v>130</v>
          </cell>
        </row>
        <row r="1789">
          <cell r="AV1789">
            <v>365</v>
          </cell>
          <cell r="AX1789">
            <v>130</v>
          </cell>
        </row>
        <row r="1790">
          <cell r="E1790" t="str">
            <v>GF</v>
          </cell>
          <cell r="F1790" t="str">
            <v>GC</v>
          </cell>
          <cell r="AV1790">
            <v>365</v>
          </cell>
          <cell r="AX1790">
            <v>184</v>
          </cell>
        </row>
        <row r="1791">
          <cell r="E1791" t="str">
            <v>GF</v>
          </cell>
          <cell r="F1791" t="str">
            <v>GC</v>
          </cell>
          <cell r="AV1791">
            <v>365</v>
          </cell>
          <cell r="AX1791">
            <v>184</v>
          </cell>
        </row>
        <row r="1792">
          <cell r="AV1792">
            <v>305</v>
          </cell>
        </row>
        <row r="1793">
          <cell r="AV1793">
            <v>365</v>
          </cell>
          <cell r="AX1793">
            <v>1</v>
          </cell>
        </row>
        <row r="1794">
          <cell r="AV1794">
            <v>365</v>
          </cell>
          <cell r="AX1794">
            <v>1</v>
          </cell>
        </row>
        <row r="1795">
          <cell r="AV1795">
            <v>365</v>
          </cell>
          <cell r="AX1795">
            <v>1</v>
          </cell>
        </row>
        <row r="1796">
          <cell r="AV1796">
            <v>365</v>
          </cell>
          <cell r="AX1796">
            <v>1</v>
          </cell>
        </row>
        <row r="1797">
          <cell r="AV1797">
            <v>365</v>
          </cell>
          <cell r="AX1797">
            <v>1</v>
          </cell>
        </row>
        <row r="1798">
          <cell r="AV1798">
            <v>365</v>
          </cell>
          <cell r="AX1798">
            <v>1</v>
          </cell>
        </row>
        <row r="1799">
          <cell r="AV1799">
            <v>365</v>
          </cell>
          <cell r="AX1799">
            <v>1</v>
          </cell>
        </row>
        <row r="1800">
          <cell r="AV1800">
            <v>365</v>
          </cell>
          <cell r="AX1800">
            <v>366</v>
          </cell>
        </row>
        <row r="1801">
          <cell r="AV1801">
            <v>365</v>
          </cell>
          <cell r="AX1801">
            <v>245</v>
          </cell>
        </row>
        <row r="1802">
          <cell r="AV1802">
            <v>365</v>
          </cell>
          <cell r="AX1802">
            <v>245</v>
          </cell>
        </row>
        <row r="1803">
          <cell r="AV1803">
            <v>365</v>
          </cell>
          <cell r="AX1803">
            <v>245</v>
          </cell>
        </row>
        <row r="1804">
          <cell r="AV1804">
            <v>365</v>
          </cell>
          <cell r="AX1804">
            <v>245</v>
          </cell>
        </row>
        <row r="1805">
          <cell r="AV1805">
            <v>365</v>
          </cell>
          <cell r="AX1805">
            <v>245</v>
          </cell>
        </row>
        <row r="1806">
          <cell r="AV1806">
            <v>365</v>
          </cell>
          <cell r="AX1806">
            <v>245</v>
          </cell>
        </row>
        <row r="1807">
          <cell r="AV1807">
            <v>289</v>
          </cell>
        </row>
        <row r="1808">
          <cell r="E1808" t="str">
            <v>FF</v>
          </cell>
          <cell r="AV1808">
            <v>365</v>
          </cell>
          <cell r="AX1808">
            <v>180</v>
          </cell>
        </row>
        <row r="1809">
          <cell r="E1809" t="str">
            <v>FF</v>
          </cell>
          <cell r="AV1809">
            <v>365</v>
          </cell>
          <cell r="AX1809">
            <v>180</v>
          </cell>
        </row>
        <row r="1810">
          <cell r="E1810" t="str">
            <v>FF</v>
          </cell>
          <cell r="AV1810">
            <v>365</v>
          </cell>
          <cell r="AX1810">
            <v>180</v>
          </cell>
        </row>
        <row r="1811">
          <cell r="E1811" t="str">
            <v>FF</v>
          </cell>
          <cell r="AV1811">
            <v>365</v>
          </cell>
          <cell r="AX1811">
            <v>180</v>
          </cell>
        </row>
        <row r="1812">
          <cell r="E1812" t="str">
            <v>FF</v>
          </cell>
          <cell r="AV1812">
            <v>365</v>
          </cell>
          <cell r="AX1812">
            <v>180</v>
          </cell>
        </row>
        <row r="1813">
          <cell r="E1813" t="str">
            <v>FF</v>
          </cell>
          <cell r="AV1813">
            <v>365</v>
          </cell>
          <cell r="AX1813">
            <v>180</v>
          </cell>
        </row>
        <row r="1814">
          <cell r="AV1814">
            <v>198</v>
          </cell>
        </row>
        <row r="1815">
          <cell r="AV1815">
            <v>198</v>
          </cell>
        </row>
        <row r="1816">
          <cell r="AV1816">
            <v>198</v>
          </cell>
        </row>
        <row r="1817">
          <cell r="AV1817">
            <v>198</v>
          </cell>
        </row>
        <row r="1818">
          <cell r="AV1818">
            <v>198</v>
          </cell>
        </row>
        <row r="1819">
          <cell r="AV1819">
            <v>365</v>
          </cell>
          <cell r="AX1819">
            <v>276</v>
          </cell>
        </row>
        <row r="1820">
          <cell r="AV1820">
            <v>365</v>
          </cell>
          <cell r="AX1820">
            <v>276</v>
          </cell>
        </row>
        <row r="1821">
          <cell r="AV1821">
            <v>365</v>
          </cell>
          <cell r="AX1821">
            <v>276</v>
          </cell>
        </row>
        <row r="1822">
          <cell r="AV1822">
            <v>365</v>
          </cell>
          <cell r="AX1822">
            <v>276</v>
          </cell>
        </row>
        <row r="1823">
          <cell r="AV1823">
            <v>365</v>
          </cell>
          <cell r="AX1823">
            <v>276</v>
          </cell>
        </row>
        <row r="1824">
          <cell r="AV1824">
            <v>365</v>
          </cell>
          <cell r="AX1824">
            <v>276</v>
          </cell>
        </row>
        <row r="1825">
          <cell r="AV1825">
            <v>365</v>
          </cell>
          <cell r="AX1825">
            <v>276</v>
          </cell>
        </row>
        <row r="1826">
          <cell r="AV1826">
            <v>365</v>
          </cell>
          <cell r="AX1826">
            <v>276</v>
          </cell>
        </row>
        <row r="1827">
          <cell r="AV1827">
            <v>365</v>
          </cell>
          <cell r="AX1827">
            <v>276</v>
          </cell>
        </row>
        <row r="1828">
          <cell r="AV1828">
            <v>365</v>
          </cell>
          <cell r="AX1828">
            <v>276</v>
          </cell>
        </row>
        <row r="1829">
          <cell r="AV1829">
            <v>365</v>
          </cell>
          <cell r="AX1829">
            <v>276</v>
          </cell>
        </row>
        <row r="1830">
          <cell r="AV1830">
            <v>365</v>
          </cell>
          <cell r="AX1830">
            <v>276</v>
          </cell>
        </row>
        <row r="1831">
          <cell r="AV1831">
            <v>365</v>
          </cell>
          <cell r="AX1831">
            <v>276</v>
          </cell>
        </row>
        <row r="1832">
          <cell r="AV1832">
            <v>365</v>
          </cell>
          <cell r="AX1832">
            <v>276</v>
          </cell>
        </row>
        <row r="1833">
          <cell r="AV1833">
            <v>365</v>
          </cell>
          <cell r="AX1833">
            <v>276</v>
          </cell>
        </row>
        <row r="1834">
          <cell r="AV1834">
            <v>365</v>
          </cell>
          <cell r="AX1834">
            <v>276</v>
          </cell>
        </row>
        <row r="1835">
          <cell r="AV1835">
            <v>365</v>
          </cell>
          <cell r="AX1835">
            <v>276</v>
          </cell>
        </row>
        <row r="1836">
          <cell r="AV1836">
            <v>365</v>
          </cell>
          <cell r="AX1836">
            <v>276</v>
          </cell>
        </row>
        <row r="1837">
          <cell r="AV1837">
            <v>365</v>
          </cell>
          <cell r="AX1837">
            <v>276</v>
          </cell>
        </row>
        <row r="1838">
          <cell r="AV1838">
            <v>365</v>
          </cell>
          <cell r="AX1838">
            <v>276</v>
          </cell>
        </row>
        <row r="1839">
          <cell r="AV1839">
            <v>365</v>
          </cell>
          <cell r="AX1839">
            <v>276</v>
          </cell>
        </row>
        <row r="1840">
          <cell r="AV1840">
            <v>365</v>
          </cell>
          <cell r="AX1840">
            <v>276</v>
          </cell>
        </row>
        <row r="1841">
          <cell r="AV1841">
            <v>365</v>
          </cell>
          <cell r="AX1841">
            <v>276</v>
          </cell>
        </row>
        <row r="1842">
          <cell r="AV1842">
            <v>365</v>
          </cell>
          <cell r="AX1842">
            <v>276</v>
          </cell>
        </row>
        <row r="1843">
          <cell r="AV1843">
            <v>365</v>
          </cell>
          <cell r="AX1843">
            <v>276</v>
          </cell>
        </row>
        <row r="1844">
          <cell r="AV1844">
            <v>365</v>
          </cell>
          <cell r="AX1844">
            <v>276</v>
          </cell>
        </row>
        <row r="1845">
          <cell r="AV1845">
            <v>365</v>
          </cell>
          <cell r="AX1845">
            <v>276</v>
          </cell>
        </row>
        <row r="1846">
          <cell r="AV1846">
            <v>365</v>
          </cell>
          <cell r="AX1846">
            <v>276</v>
          </cell>
        </row>
        <row r="1847">
          <cell r="AV1847">
            <v>365</v>
          </cell>
          <cell r="AX1847">
            <v>276</v>
          </cell>
        </row>
        <row r="1848">
          <cell r="AV1848">
            <v>365</v>
          </cell>
          <cell r="AX1848">
            <v>276</v>
          </cell>
        </row>
        <row r="1849">
          <cell r="AV1849">
            <v>365</v>
          </cell>
          <cell r="AX1849">
            <v>276</v>
          </cell>
        </row>
        <row r="1850">
          <cell r="AV1850">
            <v>365</v>
          </cell>
          <cell r="AX1850">
            <v>276</v>
          </cell>
        </row>
        <row r="1851">
          <cell r="E1851" t="str">
            <v>FF</v>
          </cell>
          <cell r="F1851" t="str">
            <v>Intermediate</v>
          </cell>
          <cell r="AV1851">
            <v>365</v>
          </cell>
          <cell r="AX1851">
            <v>129</v>
          </cell>
        </row>
        <row r="1852">
          <cell r="AV1852">
            <v>365</v>
          </cell>
          <cell r="AX1852">
            <v>69</v>
          </cell>
        </row>
        <row r="1853">
          <cell r="E1853" t="str">
            <v>FF</v>
          </cell>
          <cell r="F1853" t="str">
            <v>Pharma</v>
          </cell>
          <cell r="AV1853">
            <v>365</v>
          </cell>
          <cell r="AX1853">
            <v>129</v>
          </cell>
        </row>
        <row r="1854">
          <cell r="AV1854">
            <v>365</v>
          </cell>
          <cell r="AX1854">
            <v>366</v>
          </cell>
          <cell r="AZ1854">
            <v>6.3299999999999995E-2</v>
          </cell>
          <cell r="BA1854">
            <v>243</v>
          </cell>
          <cell r="BB1854">
            <v>9712.6963653698622</v>
          </cell>
        </row>
        <row r="1855">
          <cell r="AV1855">
            <v>365</v>
          </cell>
          <cell r="AX1855">
            <v>366</v>
          </cell>
          <cell r="AZ1855">
            <v>6.3299999999999995E-2</v>
          </cell>
          <cell r="BA1855">
            <v>243</v>
          </cell>
          <cell r="BB1855">
            <v>4828.0623435616435</v>
          </cell>
        </row>
        <row r="1856">
          <cell r="AV1856">
            <v>365</v>
          </cell>
          <cell r="AX1856">
            <v>41</v>
          </cell>
        </row>
        <row r="1857">
          <cell r="AV1857">
            <v>365</v>
          </cell>
          <cell r="AX1857">
            <v>41</v>
          </cell>
        </row>
        <row r="1858">
          <cell r="AV1858">
            <v>365</v>
          </cell>
          <cell r="AX1858">
            <v>41</v>
          </cell>
        </row>
        <row r="1859">
          <cell r="AV1859">
            <v>365</v>
          </cell>
          <cell r="AX1859">
            <v>41</v>
          </cell>
        </row>
        <row r="1860">
          <cell r="AV1860">
            <v>365</v>
          </cell>
          <cell r="AX1860">
            <v>41</v>
          </cell>
        </row>
        <row r="1861">
          <cell r="AV1861">
            <v>365</v>
          </cell>
          <cell r="AX1861">
            <v>41</v>
          </cell>
        </row>
        <row r="1862">
          <cell r="AV1862">
            <v>365</v>
          </cell>
          <cell r="AX1862">
            <v>41</v>
          </cell>
        </row>
        <row r="1863">
          <cell r="AV1863">
            <v>365</v>
          </cell>
          <cell r="AX1863">
            <v>41</v>
          </cell>
        </row>
        <row r="1864">
          <cell r="AV1864">
            <v>365</v>
          </cell>
          <cell r="AX1864">
            <v>41</v>
          </cell>
        </row>
        <row r="1865">
          <cell r="AV1865">
            <v>365</v>
          </cell>
          <cell r="AX1865">
            <v>41</v>
          </cell>
        </row>
        <row r="1866">
          <cell r="AV1866">
            <v>365</v>
          </cell>
          <cell r="AX1866">
            <v>41</v>
          </cell>
        </row>
        <row r="1867">
          <cell r="AV1867">
            <v>365</v>
          </cell>
          <cell r="AX1867">
            <v>41</v>
          </cell>
        </row>
        <row r="1868">
          <cell r="AV1868">
            <v>365</v>
          </cell>
          <cell r="AX1868">
            <v>41</v>
          </cell>
        </row>
        <row r="1869">
          <cell r="AV1869">
            <v>365</v>
          </cell>
          <cell r="AX1869">
            <v>41</v>
          </cell>
        </row>
        <row r="1870">
          <cell r="AV1870">
            <v>365</v>
          </cell>
          <cell r="AX1870">
            <v>41</v>
          </cell>
        </row>
        <row r="1871">
          <cell r="AV1871">
            <v>365</v>
          </cell>
          <cell r="AX1871">
            <v>336</v>
          </cell>
        </row>
        <row r="1872">
          <cell r="AV1872">
            <v>198</v>
          </cell>
        </row>
        <row r="1873">
          <cell r="E1873" t="str">
            <v>SF</v>
          </cell>
          <cell r="AV1873">
            <v>365</v>
          </cell>
          <cell r="AX1873">
            <v>183</v>
          </cell>
        </row>
        <row r="1874">
          <cell r="E1874" t="str">
            <v>GF</v>
          </cell>
          <cell r="F1874" t="str">
            <v>Intermediate</v>
          </cell>
          <cell r="AV1874">
            <v>365</v>
          </cell>
          <cell r="AX1874">
            <v>33</v>
          </cell>
        </row>
        <row r="1875">
          <cell r="E1875" t="str">
            <v>GF</v>
          </cell>
          <cell r="F1875" t="str">
            <v>Intermediate</v>
          </cell>
          <cell r="AV1875">
            <v>365</v>
          </cell>
          <cell r="AX1875">
            <v>33</v>
          </cell>
        </row>
        <row r="1876">
          <cell r="E1876" t="str">
            <v>GF</v>
          </cell>
          <cell r="F1876" t="str">
            <v>Intermediate</v>
          </cell>
          <cell r="AV1876">
            <v>365</v>
          </cell>
          <cell r="AX1876">
            <v>33</v>
          </cell>
        </row>
        <row r="1877">
          <cell r="D1877" t="str">
            <v>SRV</v>
          </cell>
          <cell r="E1877" t="str">
            <v>Near OCB</v>
          </cell>
          <cell r="AV1877">
            <v>198</v>
          </cell>
        </row>
        <row r="1878">
          <cell r="AV1878">
            <v>365</v>
          </cell>
          <cell r="AX1878">
            <v>280</v>
          </cell>
        </row>
        <row r="1879">
          <cell r="AV1879">
            <v>365</v>
          </cell>
          <cell r="AX1879">
            <v>280</v>
          </cell>
        </row>
        <row r="1880">
          <cell r="AV1880">
            <v>365</v>
          </cell>
          <cell r="AX1880">
            <v>62</v>
          </cell>
        </row>
        <row r="1881">
          <cell r="AV1881">
            <v>365</v>
          </cell>
          <cell r="AX1881">
            <v>62</v>
          </cell>
        </row>
        <row r="1882">
          <cell r="AV1882">
            <v>365</v>
          </cell>
          <cell r="AX1882">
            <v>62</v>
          </cell>
        </row>
        <row r="1883">
          <cell r="AV1883">
            <v>365</v>
          </cell>
          <cell r="AX1883">
            <v>62</v>
          </cell>
        </row>
        <row r="1884">
          <cell r="AV1884">
            <v>365</v>
          </cell>
          <cell r="AX1884">
            <v>62</v>
          </cell>
        </row>
        <row r="1885">
          <cell r="AV1885">
            <v>365</v>
          </cell>
          <cell r="AX1885">
            <v>62</v>
          </cell>
        </row>
        <row r="1886">
          <cell r="AV1886">
            <v>365</v>
          </cell>
          <cell r="AX1886">
            <v>62</v>
          </cell>
        </row>
        <row r="1887">
          <cell r="AV1887">
            <v>365</v>
          </cell>
          <cell r="AX1887">
            <v>62</v>
          </cell>
        </row>
        <row r="1888">
          <cell r="AV1888">
            <v>365</v>
          </cell>
          <cell r="AX1888">
            <v>62</v>
          </cell>
        </row>
        <row r="1889">
          <cell r="AV1889">
            <v>365</v>
          </cell>
          <cell r="AX1889">
            <v>62</v>
          </cell>
        </row>
        <row r="1890">
          <cell r="AV1890">
            <v>289</v>
          </cell>
        </row>
        <row r="1891">
          <cell r="AV1891">
            <v>365</v>
          </cell>
          <cell r="AX1891">
            <v>366</v>
          </cell>
          <cell r="AZ1891">
            <v>0.16209999999999999</v>
          </cell>
          <cell r="BA1891">
            <v>151</v>
          </cell>
          <cell r="BB1891">
            <v>14068.297050684929</v>
          </cell>
        </row>
        <row r="1892">
          <cell r="AV1892">
            <v>365</v>
          </cell>
          <cell r="AX1892">
            <v>33</v>
          </cell>
        </row>
        <row r="1893">
          <cell r="AV1893">
            <v>365</v>
          </cell>
          <cell r="AX1893">
            <v>92</v>
          </cell>
        </row>
        <row r="1894">
          <cell r="AV1894">
            <v>365</v>
          </cell>
          <cell r="AX1894">
            <v>92</v>
          </cell>
        </row>
        <row r="1895">
          <cell r="AV1895">
            <v>365</v>
          </cell>
          <cell r="AX1895">
            <v>366</v>
          </cell>
          <cell r="AZ1895">
            <v>6.3299999999999995E-2</v>
          </cell>
          <cell r="BA1895">
            <v>151</v>
          </cell>
          <cell r="BB1895">
            <v>8563.7858705111939</v>
          </cell>
        </row>
        <row r="1896">
          <cell r="AV1896">
            <v>365</v>
          </cell>
          <cell r="AX1896">
            <v>366</v>
          </cell>
          <cell r="AZ1896">
            <v>6.3299999999999995E-2</v>
          </cell>
          <cell r="BA1896">
            <v>151</v>
          </cell>
          <cell r="BB1896">
            <v>1763.1323851052452</v>
          </cell>
        </row>
        <row r="1897">
          <cell r="AV1897">
            <v>365</v>
          </cell>
          <cell r="AX1897">
            <v>33</v>
          </cell>
        </row>
        <row r="1898">
          <cell r="AV1898">
            <v>271</v>
          </cell>
        </row>
        <row r="1899">
          <cell r="AV1899">
            <v>271</v>
          </cell>
        </row>
        <row r="1900">
          <cell r="AV1900">
            <v>271</v>
          </cell>
        </row>
        <row r="1901">
          <cell r="AV1901">
            <v>365</v>
          </cell>
          <cell r="AX1901">
            <v>123</v>
          </cell>
        </row>
        <row r="1902">
          <cell r="AV1902">
            <v>365</v>
          </cell>
          <cell r="AX1902">
            <v>123</v>
          </cell>
        </row>
        <row r="1903">
          <cell r="AV1903">
            <v>365</v>
          </cell>
          <cell r="AX1903">
            <v>123</v>
          </cell>
        </row>
        <row r="1904">
          <cell r="AV1904">
            <v>365</v>
          </cell>
          <cell r="AX1904">
            <v>123</v>
          </cell>
        </row>
        <row r="1905">
          <cell r="AV1905">
            <v>365</v>
          </cell>
          <cell r="AX1905">
            <v>123</v>
          </cell>
        </row>
        <row r="1906">
          <cell r="AX1906">
            <v>366</v>
          </cell>
          <cell r="AZ1906">
            <v>0.16209999999999999</v>
          </cell>
          <cell r="BA1906">
            <v>365</v>
          </cell>
          <cell r="BB1906">
            <v>6912.7545</v>
          </cell>
          <cell r="BC1906">
            <v>85</v>
          </cell>
        </row>
        <row r="1907">
          <cell r="AV1907">
            <v>335</v>
          </cell>
        </row>
        <row r="1908">
          <cell r="E1908" t="str">
            <v>FF</v>
          </cell>
          <cell r="F1908" t="str">
            <v>Pharma</v>
          </cell>
          <cell r="AV1908">
            <v>365</v>
          </cell>
          <cell r="AX1908">
            <v>33</v>
          </cell>
        </row>
        <row r="1909">
          <cell r="AV1909">
            <v>365</v>
          </cell>
          <cell r="AX1909">
            <v>267</v>
          </cell>
        </row>
        <row r="1910">
          <cell r="AV1910">
            <v>365</v>
          </cell>
          <cell r="AX1910">
            <v>267</v>
          </cell>
        </row>
        <row r="1911">
          <cell r="AV1911">
            <v>365</v>
          </cell>
          <cell r="AX1911">
            <v>267</v>
          </cell>
        </row>
        <row r="1912">
          <cell r="AV1912">
            <v>365</v>
          </cell>
          <cell r="AX1912">
            <v>267</v>
          </cell>
        </row>
        <row r="1913">
          <cell r="AV1913">
            <v>365</v>
          </cell>
          <cell r="AX1913">
            <v>267</v>
          </cell>
        </row>
        <row r="1914">
          <cell r="E1914" t="str">
            <v>FF</v>
          </cell>
          <cell r="AV1914">
            <v>365</v>
          </cell>
          <cell r="AX1914">
            <v>32</v>
          </cell>
        </row>
        <row r="1915">
          <cell r="E1915" t="str">
            <v>FF</v>
          </cell>
          <cell r="AV1915">
            <v>365</v>
          </cell>
          <cell r="AX1915">
            <v>32</v>
          </cell>
        </row>
        <row r="1916">
          <cell r="E1916" t="str">
            <v>FF</v>
          </cell>
          <cell r="AV1916">
            <v>365</v>
          </cell>
          <cell r="AX1916">
            <v>32</v>
          </cell>
        </row>
        <row r="1917">
          <cell r="E1917" t="str">
            <v>FF</v>
          </cell>
          <cell r="AV1917">
            <v>365</v>
          </cell>
          <cell r="AX1917">
            <v>32</v>
          </cell>
        </row>
        <row r="1918">
          <cell r="E1918" t="str">
            <v>FF</v>
          </cell>
          <cell r="AV1918">
            <v>365</v>
          </cell>
          <cell r="AX1918">
            <v>32</v>
          </cell>
        </row>
        <row r="1919">
          <cell r="E1919" t="str">
            <v>FF</v>
          </cell>
          <cell r="AV1919">
            <v>365</v>
          </cell>
          <cell r="AX1919">
            <v>32</v>
          </cell>
        </row>
        <row r="1920">
          <cell r="E1920" t="str">
            <v>FF</v>
          </cell>
          <cell r="AV1920">
            <v>365</v>
          </cell>
          <cell r="AX1920">
            <v>32</v>
          </cell>
        </row>
        <row r="1921">
          <cell r="E1921" t="str">
            <v>FF</v>
          </cell>
          <cell r="AV1921">
            <v>365</v>
          </cell>
          <cell r="AX1921">
            <v>32</v>
          </cell>
        </row>
        <row r="1922">
          <cell r="E1922" t="str">
            <v>FF</v>
          </cell>
          <cell r="AV1922">
            <v>365</v>
          </cell>
          <cell r="AX1922">
            <v>313</v>
          </cell>
        </row>
        <row r="1923">
          <cell r="AV1923">
            <v>365</v>
          </cell>
          <cell r="AX1923">
            <v>101</v>
          </cell>
        </row>
        <row r="1924">
          <cell r="E1924" t="str">
            <v>GF</v>
          </cell>
          <cell r="AV1924">
            <v>365</v>
          </cell>
          <cell r="AX1924">
            <v>130</v>
          </cell>
        </row>
        <row r="1925">
          <cell r="AV1925">
            <v>335</v>
          </cell>
        </row>
        <row r="1926">
          <cell r="AV1926">
            <v>335</v>
          </cell>
        </row>
        <row r="1927">
          <cell r="AX1927">
            <v>366</v>
          </cell>
          <cell r="AZ1927">
            <v>0.16209999999999999</v>
          </cell>
          <cell r="BA1927">
            <v>256</v>
          </cell>
          <cell r="BB1927">
            <v>4650.0050410958902</v>
          </cell>
        </row>
        <row r="1928">
          <cell r="AV1928">
            <v>365</v>
          </cell>
          <cell r="AX1928">
            <v>141</v>
          </cell>
        </row>
        <row r="1929">
          <cell r="AV1929">
            <v>365</v>
          </cell>
          <cell r="AX1929">
            <v>109</v>
          </cell>
        </row>
        <row r="1930">
          <cell r="AV1930">
            <v>305</v>
          </cell>
        </row>
        <row r="1931">
          <cell r="AV1931">
            <v>289</v>
          </cell>
        </row>
        <row r="1932">
          <cell r="AV1932">
            <v>289</v>
          </cell>
        </row>
        <row r="1933">
          <cell r="E1933" t="str">
            <v>Mezzanine</v>
          </cell>
          <cell r="F1933" t="str">
            <v>Intermediate</v>
          </cell>
          <cell r="AV1933">
            <v>365</v>
          </cell>
          <cell r="AX1933">
            <v>129</v>
          </cell>
        </row>
        <row r="1934">
          <cell r="AV1934">
            <v>365</v>
          </cell>
          <cell r="AX1934">
            <v>107</v>
          </cell>
        </row>
        <row r="1935">
          <cell r="AV1935">
            <v>365</v>
          </cell>
          <cell r="AX1935">
            <v>130</v>
          </cell>
        </row>
        <row r="1936">
          <cell r="E1936" t="str">
            <v>FF</v>
          </cell>
          <cell r="AV1936">
            <v>365</v>
          </cell>
          <cell r="AX1936">
            <v>276</v>
          </cell>
        </row>
        <row r="1937">
          <cell r="E1937" t="str">
            <v>FF</v>
          </cell>
          <cell r="AV1937">
            <v>365</v>
          </cell>
          <cell r="AX1937">
            <v>276</v>
          </cell>
        </row>
        <row r="1938">
          <cell r="E1938" t="str">
            <v>FF</v>
          </cell>
          <cell r="AV1938">
            <v>365</v>
          </cell>
          <cell r="AX1938">
            <v>276</v>
          </cell>
        </row>
        <row r="1939">
          <cell r="E1939" t="str">
            <v>FF</v>
          </cell>
          <cell r="AV1939">
            <v>365</v>
          </cell>
          <cell r="AX1939">
            <v>276</v>
          </cell>
        </row>
        <row r="1940">
          <cell r="E1940" t="str">
            <v>FF</v>
          </cell>
          <cell r="AV1940">
            <v>365</v>
          </cell>
          <cell r="AX1940">
            <v>276</v>
          </cell>
        </row>
        <row r="1941">
          <cell r="E1941" t="str">
            <v>FF</v>
          </cell>
          <cell r="AV1941">
            <v>365</v>
          </cell>
          <cell r="AX1941">
            <v>276</v>
          </cell>
        </row>
        <row r="1942">
          <cell r="E1942" t="str">
            <v>FF</v>
          </cell>
          <cell r="AV1942">
            <v>365</v>
          </cell>
          <cell r="AX1942">
            <v>276</v>
          </cell>
        </row>
        <row r="1943">
          <cell r="E1943" t="str">
            <v>FF</v>
          </cell>
          <cell r="AV1943">
            <v>365</v>
          </cell>
          <cell r="AX1943">
            <v>276</v>
          </cell>
        </row>
        <row r="1944">
          <cell r="E1944" t="str">
            <v>FF</v>
          </cell>
          <cell r="AV1944">
            <v>365</v>
          </cell>
          <cell r="AX1944">
            <v>276</v>
          </cell>
        </row>
        <row r="1945">
          <cell r="E1945" t="str">
            <v>FF</v>
          </cell>
          <cell r="AV1945">
            <v>365</v>
          </cell>
          <cell r="AX1945">
            <v>276</v>
          </cell>
        </row>
        <row r="1946">
          <cell r="E1946" t="str">
            <v>FF</v>
          </cell>
          <cell r="AV1946">
            <v>365</v>
          </cell>
          <cell r="AX1946">
            <v>276</v>
          </cell>
        </row>
        <row r="1947">
          <cell r="E1947" t="str">
            <v>FF</v>
          </cell>
          <cell r="AV1947">
            <v>365</v>
          </cell>
          <cell r="AX1947">
            <v>276</v>
          </cell>
        </row>
        <row r="1948">
          <cell r="E1948" t="str">
            <v>FF</v>
          </cell>
          <cell r="AV1948">
            <v>365</v>
          </cell>
          <cell r="AX1948">
            <v>276</v>
          </cell>
        </row>
        <row r="1949">
          <cell r="E1949" t="str">
            <v>FF</v>
          </cell>
          <cell r="AV1949">
            <v>365</v>
          </cell>
          <cell r="AX1949">
            <v>276</v>
          </cell>
        </row>
        <row r="1950">
          <cell r="E1950" t="str">
            <v>FF</v>
          </cell>
          <cell r="AV1950">
            <v>365</v>
          </cell>
          <cell r="AX1950">
            <v>276</v>
          </cell>
        </row>
        <row r="1951">
          <cell r="E1951" t="str">
            <v>FF</v>
          </cell>
          <cell r="AV1951">
            <v>365</v>
          </cell>
          <cell r="AX1951">
            <v>276</v>
          </cell>
        </row>
        <row r="1952">
          <cell r="E1952" t="str">
            <v>FF</v>
          </cell>
          <cell r="AV1952">
            <v>365</v>
          </cell>
          <cell r="AX1952">
            <v>276</v>
          </cell>
        </row>
        <row r="1953">
          <cell r="AV1953">
            <v>365</v>
          </cell>
          <cell r="AX1953">
            <v>366</v>
          </cell>
        </row>
        <row r="1954">
          <cell r="AV1954">
            <v>365</v>
          </cell>
          <cell r="AX1954">
            <v>117</v>
          </cell>
        </row>
        <row r="1955">
          <cell r="AV1955">
            <v>365</v>
          </cell>
          <cell r="AX1955">
            <v>117</v>
          </cell>
        </row>
        <row r="1956">
          <cell r="AV1956">
            <v>365</v>
          </cell>
          <cell r="AX1956">
            <v>117</v>
          </cell>
        </row>
        <row r="1957">
          <cell r="AV1957">
            <v>365</v>
          </cell>
          <cell r="AX1957">
            <v>366</v>
          </cell>
          <cell r="AZ1957">
            <v>0.16209999999999999</v>
          </cell>
          <cell r="BA1957">
            <v>1</v>
          </cell>
          <cell r="BB1957">
            <v>110.84975342465752</v>
          </cell>
        </row>
        <row r="1958">
          <cell r="E1958" t="str">
            <v>Mezzanine</v>
          </cell>
          <cell r="F1958" t="str">
            <v>Intermediate</v>
          </cell>
          <cell r="AV1958">
            <v>365</v>
          </cell>
          <cell r="AX1958">
            <v>129</v>
          </cell>
        </row>
        <row r="1959">
          <cell r="AV1959">
            <v>365</v>
          </cell>
          <cell r="AX1959">
            <v>21</v>
          </cell>
        </row>
        <row r="1960">
          <cell r="E1960" t="str">
            <v>GF</v>
          </cell>
          <cell r="AV1960">
            <v>365</v>
          </cell>
          <cell r="AX1960">
            <v>130</v>
          </cell>
        </row>
        <row r="1961">
          <cell r="E1961" t="str">
            <v>GF</v>
          </cell>
          <cell r="AV1961">
            <v>365</v>
          </cell>
          <cell r="AX1961">
            <v>130</v>
          </cell>
        </row>
        <row r="1962">
          <cell r="AV1962">
            <v>365</v>
          </cell>
          <cell r="AX1962">
            <v>123</v>
          </cell>
        </row>
        <row r="1963">
          <cell r="AV1963">
            <v>365</v>
          </cell>
          <cell r="AX1963">
            <v>123</v>
          </cell>
        </row>
        <row r="1964">
          <cell r="AV1964">
            <v>365</v>
          </cell>
          <cell r="AX1964">
            <v>123</v>
          </cell>
        </row>
        <row r="1965">
          <cell r="AV1965">
            <v>365</v>
          </cell>
          <cell r="AX1965">
            <v>123</v>
          </cell>
        </row>
        <row r="1966">
          <cell r="AV1966">
            <v>365</v>
          </cell>
          <cell r="AX1966">
            <v>123</v>
          </cell>
        </row>
        <row r="1967">
          <cell r="AV1967">
            <v>365</v>
          </cell>
          <cell r="AX1967">
            <v>123</v>
          </cell>
        </row>
        <row r="1968">
          <cell r="AV1968">
            <v>365</v>
          </cell>
          <cell r="AX1968">
            <v>123</v>
          </cell>
        </row>
        <row r="1969">
          <cell r="AV1969">
            <v>365</v>
          </cell>
          <cell r="AX1969">
            <v>366</v>
          </cell>
        </row>
        <row r="1970">
          <cell r="AV1970">
            <v>198</v>
          </cell>
        </row>
        <row r="1971">
          <cell r="AV1971">
            <v>198</v>
          </cell>
        </row>
        <row r="1972">
          <cell r="AV1972">
            <v>198</v>
          </cell>
        </row>
        <row r="1973">
          <cell r="AV1973">
            <v>365</v>
          </cell>
          <cell r="AX1973">
            <v>366</v>
          </cell>
        </row>
        <row r="1974">
          <cell r="AV1974">
            <v>335</v>
          </cell>
        </row>
        <row r="1975">
          <cell r="E1975" t="str">
            <v>FF</v>
          </cell>
          <cell r="AV1975">
            <v>365</v>
          </cell>
          <cell r="AX1975">
            <v>336</v>
          </cell>
        </row>
        <row r="1976">
          <cell r="AV1976">
            <v>289</v>
          </cell>
        </row>
        <row r="1977">
          <cell r="AV1977">
            <v>289</v>
          </cell>
        </row>
        <row r="1978">
          <cell r="E1978" t="str">
            <v>FF</v>
          </cell>
          <cell r="AV1978">
            <v>365</v>
          </cell>
          <cell r="AX1978">
            <v>336</v>
          </cell>
        </row>
        <row r="1979">
          <cell r="E1979" t="str">
            <v>FF</v>
          </cell>
          <cell r="F1979" t="str">
            <v>Pharma</v>
          </cell>
          <cell r="AV1979">
            <v>365</v>
          </cell>
          <cell r="AX1979">
            <v>33</v>
          </cell>
        </row>
        <row r="1980">
          <cell r="AV1980">
            <v>365</v>
          </cell>
          <cell r="AX1980">
            <v>337</v>
          </cell>
        </row>
        <row r="1981">
          <cell r="AV1981">
            <v>365</v>
          </cell>
          <cell r="AX1981">
            <v>366</v>
          </cell>
        </row>
        <row r="1982">
          <cell r="AV1982">
            <v>365</v>
          </cell>
          <cell r="AX1982">
            <v>366</v>
          </cell>
          <cell r="AZ1982">
            <v>6.3299999999999995E-2</v>
          </cell>
          <cell r="BA1982">
            <v>212</v>
          </cell>
          <cell r="BB1982">
            <v>16125.836978630137</v>
          </cell>
        </row>
        <row r="1983">
          <cell r="AV1983">
            <v>365</v>
          </cell>
          <cell r="AX1983">
            <v>45</v>
          </cell>
        </row>
        <row r="1984">
          <cell r="AV1984">
            <v>365</v>
          </cell>
          <cell r="AX1984">
            <v>45</v>
          </cell>
        </row>
        <row r="1985">
          <cell r="AV1985">
            <v>365</v>
          </cell>
          <cell r="AX1985">
            <v>45</v>
          </cell>
        </row>
        <row r="1986">
          <cell r="AV1986">
            <v>365</v>
          </cell>
          <cell r="AX1986">
            <v>45</v>
          </cell>
        </row>
        <row r="1987">
          <cell r="AV1987">
            <v>365</v>
          </cell>
          <cell r="AX1987">
            <v>45</v>
          </cell>
        </row>
        <row r="1988">
          <cell r="AV1988">
            <v>365</v>
          </cell>
          <cell r="AX1988">
            <v>45</v>
          </cell>
        </row>
        <row r="1989">
          <cell r="AV1989">
            <v>365</v>
          </cell>
          <cell r="AX1989">
            <v>1</v>
          </cell>
        </row>
        <row r="1990">
          <cell r="E1990" t="str">
            <v>FF</v>
          </cell>
          <cell r="F1990" t="str">
            <v>Intermediate</v>
          </cell>
          <cell r="AV1990">
            <v>365</v>
          </cell>
          <cell r="AX1990">
            <v>129</v>
          </cell>
        </row>
        <row r="1991">
          <cell r="AV1991">
            <v>365</v>
          </cell>
          <cell r="AX1991">
            <v>55</v>
          </cell>
        </row>
        <row r="1992">
          <cell r="AV1992">
            <v>365</v>
          </cell>
          <cell r="AX1992">
            <v>55</v>
          </cell>
        </row>
        <row r="1993">
          <cell r="AV1993">
            <v>198</v>
          </cell>
        </row>
        <row r="1994">
          <cell r="AV1994">
            <v>198</v>
          </cell>
        </row>
        <row r="1995">
          <cell r="AV1995">
            <v>198</v>
          </cell>
        </row>
        <row r="1996">
          <cell r="AV1996">
            <v>365</v>
          </cell>
          <cell r="AX1996">
            <v>137</v>
          </cell>
        </row>
        <row r="1997">
          <cell r="AV1997">
            <v>365</v>
          </cell>
          <cell r="AX1997">
            <v>137</v>
          </cell>
        </row>
        <row r="1998">
          <cell r="E1998" t="str">
            <v>FF</v>
          </cell>
          <cell r="F1998" t="str">
            <v>Intermediate</v>
          </cell>
          <cell r="AV1998">
            <v>365</v>
          </cell>
          <cell r="AX1998">
            <v>129</v>
          </cell>
        </row>
        <row r="1999">
          <cell r="E1999" t="str">
            <v>FF</v>
          </cell>
          <cell r="F1999" t="str">
            <v>Intermediate</v>
          </cell>
          <cell r="AV1999">
            <v>365</v>
          </cell>
          <cell r="AX1999">
            <v>129</v>
          </cell>
        </row>
        <row r="2000">
          <cell r="E2000" t="str">
            <v>GF</v>
          </cell>
          <cell r="F2000" t="str">
            <v>Intermediate</v>
          </cell>
          <cell r="AV2000">
            <v>365</v>
          </cell>
          <cell r="AX2000">
            <v>129</v>
          </cell>
        </row>
        <row r="2001">
          <cell r="E2001" t="str">
            <v>FF</v>
          </cell>
          <cell r="F2001" t="str">
            <v>Intermediate</v>
          </cell>
          <cell r="AV2001">
            <v>365</v>
          </cell>
          <cell r="AX2001">
            <v>129</v>
          </cell>
        </row>
        <row r="2002">
          <cell r="E2002" t="str">
            <v>GF</v>
          </cell>
          <cell r="F2002" t="str">
            <v>Pharma</v>
          </cell>
          <cell r="AV2002">
            <v>365</v>
          </cell>
          <cell r="AX2002">
            <v>129</v>
          </cell>
        </row>
        <row r="2003">
          <cell r="E2003" t="str">
            <v>GF</v>
          </cell>
          <cell r="F2003" t="str">
            <v>Intermediate</v>
          </cell>
          <cell r="AV2003">
            <v>365</v>
          </cell>
          <cell r="AX2003">
            <v>129</v>
          </cell>
        </row>
        <row r="2004">
          <cell r="AV2004">
            <v>365</v>
          </cell>
          <cell r="AX2004">
            <v>129</v>
          </cell>
        </row>
        <row r="2005">
          <cell r="AV2005">
            <v>365</v>
          </cell>
          <cell r="AX2005">
            <v>129</v>
          </cell>
        </row>
        <row r="2006">
          <cell r="E2006" t="str">
            <v>FF</v>
          </cell>
          <cell r="F2006" t="str">
            <v>Intermediate</v>
          </cell>
          <cell r="AV2006">
            <v>365</v>
          </cell>
          <cell r="AX2006">
            <v>129</v>
          </cell>
        </row>
        <row r="2007">
          <cell r="E2007" t="str">
            <v>GF</v>
          </cell>
          <cell r="AV2007">
            <v>365</v>
          </cell>
          <cell r="AX2007">
            <v>130</v>
          </cell>
        </row>
        <row r="2008">
          <cell r="AV2008">
            <v>365</v>
          </cell>
          <cell r="AX2008">
            <v>366</v>
          </cell>
        </row>
        <row r="2009">
          <cell r="AV2009">
            <v>355</v>
          </cell>
        </row>
        <row r="2010">
          <cell r="AV2010">
            <v>198</v>
          </cell>
        </row>
        <row r="2011">
          <cell r="AV2011">
            <v>198</v>
          </cell>
        </row>
        <row r="2012">
          <cell r="AV2012">
            <v>198</v>
          </cell>
        </row>
        <row r="2013">
          <cell r="AV2013">
            <v>198</v>
          </cell>
        </row>
        <row r="2014">
          <cell r="AV2014">
            <v>198</v>
          </cell>
        </row>
        <row r="2015">
          <cell r="AV2015">
            <v>198</v>
          </cell>
        </row>
        <row r="2016">
          <cell r="AV2016">
            <v>198</v>
          </cell>
        </row>
        <row r="2017">
          <cell r="AV2017">
            <v>198</v>
          </cell>
        </row>
        <row r="2018">
          <cell r="AV2018">
            <v>365</v>
          </cell>
          <cell r="AX2018">
            <v>60</v>
          </cell>
        </row>
        <row r="2019">
          <cell r="AV2019">
            <v>365</v>
          </cell>
          <cell r="AX2019">
            <v>366</v>
          </cell>
        </row>
        <row r="2020">
          <cell r="AV2020">
            <v>365</v>
          </cell>
          <cell r="AX2020">
            <v>366</v>
          </cell>
        </row>
        <row r="2021">
          <cell r="AV2021">
            <v>365</v>
          </cell>
          <cell r="AX2021">
            <v>366</v>
          </cell>
        </row>
        <row r="2022">
          <cell r="AV2022">
            <v>365</v>
          </cell>
          <cell r="AX2022">
            <v>366</v>
          </cell>
          <cell r="AZ2022">
            <v>0.16209999999999999</v>
          </cell>
          <cell r="BA2022">
            <v>276</v>
          </cell>
          <cell r="BB2022">
            <v>21940.790136986299</v>
          </cell>
        </row>
        <row r="2023">
          <cell r="AV2023">
            <v>365</v>
          </cell>
          <cell r="AX2023">
            <v>366</v>
          </cell>
          <cell r="AZ2023">
            <v>0.16209999999999999</v>
          </cell>
          <cell r="BA2023">
            <v>276</v>
          </cell>
          <cell r="BB2023">
            <v>3530.1383013698628</v>
          </cell>
        </row>
        <row r="2024">
          <cell r="AV2024">
            <v>365</v>
          </cell>
          <cell r="AX2024">
            <v>366</v>
          </cell>
          <cell r="AZ2024">
            <v>0.16209999999999999</v>
          </cell>
          <cell r="BA2024">
            <v>276</v>
          </cell>
          <cell r="BB2024">
            <v>4559.7619726027397</v>
          </cell>
        </row>
        <row r="2025">
          <cell r="AV2025">
            <v>365</v>
          </cell>
          <cell r="AX2025">
            <v>72</v>
          </cell>
        </row>
        <row r="2026">
          <cell r="E2026" t="str">
            <v>SF</v>
          </cell>
          <cell r="AV2026">
            <v>365</v>
          </cell>
          <cell r="AX2026">
            <v>21</v>
          </cell>
        </row>
        <row r="2027">
          <cell r="AX2027">
            <v>109</v>
          </cell>
        </row>
        <row r="2028">
          <cell r="E2028" t="str">
            <v>GC</v>
          </cell>
          <cell r="AV2028">
            <v>365</v>
          </cell>
          <cell r="AX2028">
            <v>366</v>
          </cell>
          <cell r="AZ2028">
            <v>0.16209999999999999</v>
          </cell>
          <cell r="BA2028">
            <v>158</v>
          </cell>
          <cell r="BB2028">
            <v>18572.414312328765</v>
          </cell>
        </row>
        <row r="2029">
          <cell r="AV2029">
            <v>365</v>
          </cell>
          <cell r="AX2029">
            <v>123</v>
          </cell>
        </row>
        <row r="2030">
          <cell r="AV2030">
            <v>365</v>
          </cell>
          <cell r="AX2030">
            <v>123</v>
          </cell>
        </row>
        <row r="2031">
          <cell r="AV2031">
            <v>365</v>
          </cell>
          <cell r="AX2031">
            <v>130</v>
          </cell>
        </row>
        <row r="2032">
          <cell r="AV2032">
            <v>365</v>
          </cell>
          <cell r="AX2032">
            <v>130</v>
          </cell>
        </row>
        <row r="2033">
          <cell r="AX2033">
            <v>316</v>
          </cell>
        </row>
        <row r="2034">
          <cell r="AX2034">
            <v>366</v>
          </cell>
          <cell r="AZ2034">
            <v>0.16209999999999999</v>
          </cell>
          <cell r="BA2034">
            <v>365</v>
          </cell>
          <cell r="BB2034">
            <v>5106.1499999999996</v>
          </cell>
          <cell r="BC2034">
            <v>53</v>
          </cell>
        </row>
        <row r="2035">
          <cell r="AV2035">
            <v>365</v>
          </cell>
          <cell r="AX2035">
            <v>130</v>
          </cell>
        </row>
        <row r="2036">
          <cell r="AV2036">
            <v>365</v>
          </cell>
          <cell r="AX2036">
            <v>130</v>
          </cell>
        </row>
        <row r="2037">
          <cell r="AV2037">
            <v>365</v>
          </cell>
          <cell r="AX2037">
            <v>130</v>
          </cell>
        </row>
        <row r="2038">
          <cell r="AV2038">
            <v>365</v>
          </cell>
          <cell r="AX2038">
            <v>130</v>
          </cell>
        </row>
        <row r="2039">
          <cell r="AV2039">
            <v>365</v>
          </cell>
          <cell r="AX2039">
            <v>130</v>
          </cell>
        </row>
        <row r="2040">
          <cell r="AV2040">
            <v>365</v>
          </cell>
          <cell r="AX2040">
            <v>130</v>
          </cell>
        </row>
        <row r="2041">
          <cell r="AV2041">
            <v>365</v>
          </cell>
          <cell r="AX2041">
            <v>168</v>
          </cell>
        </row>
        <row r="2042">
          <cell r="AV2042">
            <v>365</v>
          </cell>
          <cell r="AX2042">
            <v>168</v>
          </cell>
        </row>
        <row r="2043">
          <cell r="AV2043">
            <v>365</v>
          </cell>
          <cell r="AX2043">
            <v>168</v>
          </cell>
        </row>
        <row r="2044">
          <cell r="AV2044">
            <v>365</v>
          </cell>
          <cell r="AX2044">
            <v>168</v>
          </cell>
        </row>
        <row r="2045">
          <cell r="AV2045">
            <v>365</v>
          </cell>
          <cell r="AX2045">
            <v>168</v>
          </cell>
        </row>
        <row r="2046">
          <cell r="AV2046">
            <v>365</v>
          </cell>
          <cell r="AX2046">
            <v>168</v>
          </cell>
        </row>
        <row r="2047">
          <cell r="AV2047">
            <v>365</v>
          </cell>
          <cell r="AX2047">
            <v>168</v>
          </cell>
        </row>
        <row r="2048">
          <cell r="AV2048">
            <v>365</v>
          </cell>
          <cell r="AX2048">
            <v>168</v>
          </cell>
        </row>
        <row r="2049">
          <cell r="AV2049">
            <v>365</v>
          </cell>
          <cell r="AX2049">
            <v>168</v>
          </cell>
        </row>
        <row r="2050">
          <cell r="AV2050">
            <v>365</v>
          </cell>
          <cell r="AX2050">
            <v>168</v>
          </cell>
        </row>
        <row r="2051">
          <cell r="AV2051">
            <v>365</v>
          </cell>
          <cell r="AX2051">
            <v>168</v>
          </cell>
        </row>
        <row r="2052">
          <cell r="AV2052">
            <v>365</v>
          </cell>
          <cell r="AX2052">
            <v>366</v>
          </cell>
        </row>
        <row r="2053">
          <cell r="AX2053">
            <v>351</v>
          </cell>
        </row>
        <row r="2054">
          <cell r="E2054" t="str">
            <v>SF</v>
          </cell>
          <cell r="AV2054">
            <v>365</v>
          </cell>
          <cell r="AX2054">
            <v>21</v>
          </cell>
        </row>
        <row r="2055">
          <cell r="AV2055">
            <v>365</v>
          </cell>
          <cell r="AX2055">
            <v>266</v>
          </cell>
        </row>
        <row r="2056">
          <cell r="E2056" t="str">
            <v>FF</v>
          </cell>
          <cell r="F2056" t="str">
            <v>Intermediate</v>
          </cell>
          <cell r="AV2056">
            <v>365</v>
          </cell>
          <cell r="AX2056">
            <v>129</v>
          </cell>
        </row>
        <row r="2057">
          <cell r="E2057" t="str">
            <v>GF</v>
          </cell>
          <cell r="AV2057">
            <v>365</v>
          </cell>
          <cell r="AX2057">
            <v>130</v>
          </cell>
        </row>
        <row r="2058">
          <cell r="E2058" t="str">
            <v>SF</v>
          </cell>
          <cell r="AV2058">
            <v>365</v>
          </cell>
          <cell r="AX2058">
            <v>21</v>
          </cell>
        </row>
        <row r="2059">
          <cell r="E2059" t="str">
            <v>SF</v>
          </cell>
          <cell r="AV2059">
            <v>365</v>
          </cell>
          <cell r="AX2059">
            <v>21</v>
          </cell>
        </row>
        <row r="2060">
          <cell r="E2060" t="str">
            <v>SF</v>
          </cell>
          <cell r="AV2060">
            <v>365</v>
          </cell>
          <cell r="AX2060">
            <v>21</v>
          </cell>
        </row>
        <row r="2061">
          <cell r="E2061" t="str">
            <v>SF</v>
          </cell>
          <cell r="AV2061">
            <v>365</v>
          </cell>
          <cell r="AX2061">
            <v>21</v>
          </cell>
        </row>
        <row r="2062">
          <cell r="E2062" t="str">
            <v>SF</v>
          </cell>
          <cell r="AV2062">
            <v>365</v>
          </cell>
          <cell r="AX2062">
            <v>21</v>
          </cell>
        </row>
        <row r="2063">
          <cell r="E2063" t="str">
            <v>SF</v>
          </cell>
          <cell r="AV2063">
            <v>365</v>
          </cell>
          <cell r="AX2063">
            <v>21</v>
          </cell>
        </row>
        <row r="2064">
          <cell r="E2064" t="str">
            <v>SF</v>
          </cell>
          <cell r="AV2064">
            <v>365</v>
          </cell>
          <cell r="AX2064">
            <v>21</v>
          </cell>
        </row>
        <row r="2065">
          <cell r="E2065" t="str">
            <v>SF</v>
          </cell>
          <cell r="AV2065">
            <v>365</v>
          </cell>
          <cell r="AX2065">
            <v>21</v>
          </cell>
        </row>
        <row r="2066">
          <cell r="E2066" t="str">
            <v>SF</v>
          </cell>
          <cell r="AV2066">
            <v>365</v>
          </cell>
          <cell r="AX2066">
            <v>21</v>
          </cell>
        </row>
        <row r="2067">
          <cell r="E2067" t="str">
            <v>SF</v>
          </cell>
          <cell r="AV2067">
            <v>365</v>
          </cell>
          <cell r="AX2067">
            <v>21</v>
          </cell>
        </row>
        <row r="2068">
          <cell r="AV2068">
            <v>365</v>
          </cell>
          <cell r="AX2068">
            <v>130</v>
          </cell>
        </row>
        <row r="2069">
          <cell r="AV2069">
            <v>365</v>
          </cell>
          <cell r="AX2069">
            <v>130</v>
          </cell>
        </row>
        <row r="2070">
          <cell r="AV2070">
            <v>365</v>
          </cell>
          <cell r="AX2070">
            <v>130</v>
          </cell>
        </row>
        <row r="2071">
          <cell r="AV2071">
            <v>365</v>
          </cell>
          <cell r="AX2071">
            <v>276</v>
          </cell>
        </row>
        <row r="2072">
          <cell r="AX2072">
            <v>366</v>
          </cell>
          <cell r="AZ2072">
            <v>6.3299999999999995E-2</v>
          </cell>
          <cell r="BA2072">
            <v>365</v>
          </cell>
          <cell r="BB2072">
            <v>1943.31</v>
          </cell>
          <cell r="BC2072">
            <v>90</v>
          </cell>
        </row>
        <row r="2073">
          <cell r="AV2073">
            <v>365</v>
          </cell>
          <cell r="AX2073">
            <v>130</v>
          </cell>
        </row>
        <row r="2074">
          <cell r="AV2074">
            <v>365</v>
          </cell>
          <cell r="AX2074">
            <v>130</v>
          </cell>
        </row>
        <row r="2075">
          <cell r="AV2075">
            <v>365</v>
          </cell>
          <cell r="AX2075">
            <v>366</v>
          </cell>
        </row>
        <row r="2076">
          <cell r="AV2076">
            <v>365</v>
          </cell>
          <cell r="AX2076">
            <v>184</v>
          </cell>
        </row>
        <row r="2077">
          <cell r="AV2077">
            <v>365</v>
          </cell>
          <cell r="AX2077">
            <v>184</v>
          </cell>
        </row>
        <row r="2078">
          <cell r="AV2078">
            <v>365</v>
          </cell>
          <cell r="AX2078">
            <v>184</v>
          </cell>
        </row>
        <row r="2079">
          <cell r="AV2079">
            <v>365</v>
          </cell>
          <cell r="AX2079">
            <v>130</v>
          </cell>
        </row>
        <row r="2080">
          <cell r="AV2080">
            <v>365</v>
          </cell>
          <cell r="AX2080">
            <v>130</v>
          </cell>
        </row>
        <row r="2081">
          <cell r="E2081" t="str">
            <v>GF</v>
          </cell>
          <cell r="AV2081">
            <v>365</v>
          </cell>
          <cell r="AX2081">
            <v>130</v>
          </cell>
        </row>
        <row r="2082">
          <cell r="AV2082">
            <v>365</v>
          </cell>
          <cell r="AX2082">
            <v>366</v>
          </cell>
        </row>
        <row r="2083">
          <cell r="E2083" t="str">
            <v>GF (50%)</v>
          </cell>
          <cell r="AV2083">
            <v>365</v>
          </cell>
          <cell r="AX2083">
            <v>60</v>
          </cell>
        </row>
        <row r="2084">
          <cell r="AV2084">
            <v>365</v>
          </cell>
          <cell r="AX2084">
            <v>267</v>
          </cell>
        </row>
        <row r="2085">
          <cell r="AV2085">
            <v>365</v>
          </cell>
          <cell r="AX2085">
            <v>267</v>
          </cell>
        </row>
        <row r="2086">
          <cell r="AV2086">
            <v>365</v>
          </cell>
          <cell r="AX2086">
            <v>267</v>
          </cell>
        </row>
        <row r="2087">
          <cell r="AV2087">
            <v>365</v>
          </cell>
          <cell r="AX2087">
            <v>267</v>
          </cell>
        </row>
        <row r="2088">
          <cell r="AV2088">
            <v>365</v>
          </cell>
          <cell r="AX2088">
            <v>130</v>
          </cell>
        </row>
        <row r="2089">
          <cell r="E2089" t="str">
            <v>FF</v>
          </cell>
          <cell r="F2089" t="str">
            <v>Intermediate</v>
          </cell>
          <cell r="AV2089">
            <v>365</v>
          </cell>
          <cell r="AX2089">
            <v>130</v>
          </cell>
        </row>
        <row r="2090">
          <cell r="E2090" t="str">
            <v>FF</v>
          </cell>
          <cell r="F2090" t="str">
            <v>Intermediate</v>
          </cell>
          <cell r="AV2090">
            <v>365</v>
          </cell>
          <cell r="AX2090">
            <v>130</v>
          </cell>
        </row>
        <row r="2091">
          <cell r="AV2091">
            <v>365</v>
          </cell>
          <cell r="AX2091">
            <v>366</v>
          </cell>
          <cell r="AZ2091">
            <v>0.16209999999999999</v>
          </cell>
          <cell r="BA2091">
            <v>365</v>
          </cell>
          <cell r="BB2091">
            <v>4781.95</v>
          </cell>
          <cell r="BC2091">
            <v>71</v>
          </cell>
        </row>
        <row r="2092">
          <cell r="AV2092">
            <v>365</v>
          </cell>
          <cell r="AX2092">
            <v>273</v>
          </cell>
        </row>
        <row r="2093">
          <cell r="AV2093">
            <v>365</v>
          </cell>
          <cell r="AX2093">
            <v>1</v>
          </cell>
        </row>
        <row r="2094">
          <cell r="AV2094">
            <v>365</v>
          </cell>
          <cell r="AX2094">
            <v>1</v>
          </cell>
        </row>
        <row r="2095">
          <cell r="AV2095">
            <v>365</v>
          </cell>
          <cell r="AX2095">
            <v>1</v>
          </cell>
        </row>
        <row r="2096">
          <cell r="AV2096">
            <v>365</v>
          </cell>
          <cell r="AX2096">
            <v>1</v>
          </cell>
        </row>
        <row r="2097">
          <cell r="AV2097">
            <v>365</v>
          </cell>
          <cell r="AX2097">
            <v>1</v>
          </cell>
        </row>
        <row r="2098">
          <cell r="AV2098">
            <v>365</v>
          </cell>
          <cell r="AX2098">
            <v>1</v>
          </cell>
        </row>
        <row r="2099">
          <cell r="AV2099">
            <v>365</v>
          </cell>
          <cell r="AX2099">
            <v>1</v>
          </cell>
        </row>
        <row r="2100">
          <cell r="AV2100">
            <v>365</v>
          </cell>
          <cell r="AX2100">
            <v>1</v>
          </cell>
        </row>
        <row r="2101">
          <cell r="AV2101">
            <v>365</v>
          </cell>
          <cell r="AX2101">
            <v>1</v>
          </cell>
        </row>
        <row r="2102">
          <cell r="AV2102">
            <v>365</v>
          </cell>
          <cell r="AX2102">
            <v>1</v>
          </cell>
        </row>
        <row r="2103">
          <cell r="AV2103">
            <v>365</v>
          </cell>
          <cell r="AX2103">
            <v>256</v>
          </cell>
        </row>
        <row r="2104">
          <cell r="E2104" t="str">
            <v>GF</v>
          </cell>
          <cell r="AV2104">
            <v>365</v>
          </cell>
          <cell r="AX2104">
            <v>312</v>
          </cell>
        </row>
        <row r="2105">
          <cell r="D2105" t="str">
            <v>GC-IB</v>
          </cell>
          <cell r="E2105" t="str">
            <v>GF</v>
          </cell>
          <cell r="F2105" t="str">
            <v>Intermediate</v>
          </cell>
          <cell r="AV2105">
            <v>305</v>
          </cell>
        </row>
        <row r="2106">
          <cell r="E2106" t="str">
            <v>FF</v>
          </cell>
          <cell r="AV2106">
            <v>365</v>
          </cell>
          <cell r="AX2106">
            <v>276</v>
          </cell>
        </row>
        <row r="2107">
          <cell r="E2107" t="str">
            <v>FF</v>
          </cell>
          <cell r="AV2107">
            <v>365</v>
          </cell>
          <cell r="AX2107">
            <v>276</v>
          </cell>
        </row>
        <row r="2108">
          <cell r="E2108" t="str">
            <v>FF</v>
          </cell>
          <cell r="AV2108">
            <v>365</v>
          </cell>
          <cell r="AX2108">
            <v>276</v>
          </cell>
        </row>
        <row r="2109">
          <cell r="E2109" t="str">
            <v>FF</v>
          </cell>
          <cell r="AV2109">
            <v>365</v>
          </cell>
          <cell r="AX2109">
            <v>276</v>
          </cell>
        </row>
        <row r="2110">
          <cell r="E2110" t="str">
            <v>FF</v>
          </cell>
          <cell r="AV2110">
            <v>365</v>
          </cell>
          <cell r="AX2110">
            <v>276</v>
          </cell>
        </row>
        <row r="2111">
          <cell r="E2111" t="str">
            <v>FF</v>
          </cell>
          <cell r="AV2111">
            <v>365</v>
          </cell>
          <cell r="AX2111">
            <v>276</v>
          </cell>
        </row>
        <row r="2112">
          <cell r="E2112" t="str">
            <v>FF</v>
          </cell>
          <cell r="AV2112">
            <v>365</v>
          </cell>
          <cell r="AX2112">
            <v>276</v>
          </cell>
        </row>
        <row r="2113">
          <cell r="E2113" t="str">
            <v>FF</v>
          </cell>
          <cell r="AV2113">
            <v>365</v>
          </cell>
          <cell r="AX2113">
            <v>276</v>
          </cell>
        </row>
        <row r="2114">
          <cell r="AV2114">
            <v>365</v>
          </cell>
          <cell r="AX2114">
            <v>184</v>
          </cell>
        </row>
        <row r="2115">
          <cell r="AV2115">
            <v>365</v>
          </cell>
          <cell r="AX2115">
            <v>184</v>
          </cell>
        </row>
        <row r="2116">
          <cell r="AV2116">
            <v>365</v>
          </cell>
          <cell r="AX2116">
            <v>184</v>
          </cell>
        </row>
        <row r="2117">
          <cell r="AV2117">
            <v>365</v>
          </cell>
          <cell r="AX2117">
            <v>184</v>
          </cell>
        </row>
        <row r="2118">
          <cell r="AV2118">
            <v>365</v>
          </cell>
          <cell r="AX2118">
            <v>184</v>
          </cell>
        </row>
        <row r="2119">
          <cell r="AV2119">
            <v>365</v>
          </cell>
          <cell r="AX2119">
            <v>184</v>
          </cell>
        </row>
        <row r="2120">
          <cell r="AV2120">
            <v>365</v>
          </cell>
          <cell r="AX2120">
            <v>184</v>
          </cell>
        </row>
        <row r="2121">
          <cell r="AV2121">
            <v>365</v>
          </cell>
          <cell r="AX2121">
            <v>1</v>
          </cell>
        </row>
        <row r="2122">
          <cell r="AV2122">
            <v>365</v>
          </cell>
          <cell r="AX2122">
            <v>267</v>
          </cell>
        </row>
        <row r="2123">
          <cell r="AV2123">
            <v>365</v>
          </cell>
          <cell r="AX2123">
            <v>267</v>
          </cell>
        </row>
        <row r="2124">
          <cell r="E2124" t="str">
            <v>FF</v>
          </cell>
          <cell r="AV2124">
            <v>365</v>
          </cell>
          <cell r="AX2124">
            <v>221</v>
          </cell>
        </row>
        <row r="2125">
          <cell r="AV2125">
            <v>365</v>
          </cell>
          <cell r="AX2125">
            <v>266</v>
          </cell>
        </row>
        <row r="2126">
          <cell r="E2126" t="str">
            <v>SF</v>
          </cell>
          <cell r="AV2126">
            <v>365</v>
          </cell>
          <cell r="AX2126">
            <v>21</v>
          </cell>
        </row>
        <row r="2127">
          <cell r="AV2127">
            <v>365</v>
          </cell>
          <cell r="AX2127">
            <v>366</v>
          </cell>
          <cell r="AZ2127">
            <v>6.3299999999999995E-2</v>
          </cell>
          <cell r="BA2127">
            <v>247</v>
          </cell>
          <cell r="BB2127">
            <v>22755.838570684929</v>
          </cell>
        </row>
        <row r="2128">
          <cell r="E2128" t="str">
            <v>GF</v>
          </cell>
          <cell r="AV2128">
            <v>365</v>
          </cell>
          <cell r="AX2128">
            <v>123</v>
          </cell>
        </row>
        <row r="2129">
          <cell r="E2129" t="str">
            <v>GF</v>
          </cell>
          <cell r="AV2129">
            <v>365</v>
          </cell>
          <cell r="AX2129">
            <v>123</v>
          </cell>
        </row>
        <row r="2130">
          <cell r="E2130" t="str">
            <v>FF</v>
          </cell>
          <cell r="AV2130">
            <v>365</v>
          </cell>
          <cell r="AX2130">
            <v>123</v>
          </cell>
        </row>
        <row r="2131">
          <cell r="E2131" t="str">
            <v>GF</v>
          </cell>
          <cell r="AV2131">
            <v>365</v>
          </cell>
          <cell r="AX2131">
            <v>123</v>
          </cell>
        </row>
        <row r="2132">
          <cell r="E2132" t="str">
            <v>FF</v>
          </cell>
          <cell r="AV2132">
            <v>365</v>
          </cell>
          <cell r="AX2132">
            <v>123</v>
          </cell>
        </row>
        <row r="2133">
          <cell r="E2133" t="str">
            <v>GF</v>
          </cell>
          <cell r="AV2133">
            <v>365</v>
          </cell>
          <cell r="AX2133">
            <v>123</v>
          </cell>
        </row>
        <row r="2134">
          <cell r="E2134" t="str">
            <v>GF</v>
          </cell>
          <cell r="AV2134">
            <v>365</v>
          </cell>
          <cell r="AX2134">
            <v>123</v>
          </cell>
        </row>
        <row r="2135">
          <cell r="E2135" t="str">
            <v>GF</v>
          </cell>
          <cell r="AV2135">
            <v>365</v>
          </cell>
          <cell r="AX2135">
            <v>123</v>
          </cell>
        </row>
        <row r="2136">
          <cell r="F2136" t="str">
            <v>Pharma</v>
          </cell>
          <cell r="AV2136">
            <v>365</v>
          </cell>
          <cell r="AX2136">
            <v>123</v>
          </cell>
        </row>
        <row r="2137">
          <cell r="F2137" t="str">
            <v>Pharma</v>
          </cell>
          <cell r="AV2137">
            <v>365</v>
          </cell>
          <cell r="AX2137">
            <v>123</v>
          </cell>
        </row>
        <row r="2138">
          <cell r="E2138" t="str">
            <v>GF</v>
          </cell>
          <cell r="AV2138">
            <v>365</v>
          </cell>
          <cell r="AX2138">
            <v>123</v>
          </cell>
        </row>
        <row r="2139">
          <cell r="AV2139">
            <v>365</v>
          </cell>
          <cell r="AX2139">
            <v>123</v>
          </cell>
        </row>
        <row r="2140">
          <cell r="AV2140">
            <v>365</v>
          </cell>
          <cell r="AX2140">
            <v>123</v>
          </cell>
        </row>
        <row r="2141">
          <cell r="AV2141">
            <v>365</v>
          </cell>
          <cell r="AX2141">
            <v>123</v>
          </cell>
        </row>
        <row r="2142">
          <cell r="AV2142">
            <v>365</v>
          </cell>
          <cell r="AX2142">
            <v>123</v>
          </cell>
        </row>
        <row r="2143">
          <cell r="E2143" t="str">
            <v>FF</v>
          </cell>
          <cell r="F2143" t="str">
            <v>Intermediate</v>
          </cell>
          <cell r="AV2143">
            <v>365</v>
          </cell>
          <cell r="AX2143">
            <v>123</v>
          </cell>
        </row>
        <row r="2144">
          <cell r="E2144" t="str">
            <v>GF</v>
          </cell>
          <cell r="AV2144">
            <v>289</v>
          </cell>
        </row>
        <row r="2145">
          <cell r="AV2145">
            <v>289</v>
          </cell>
        </row>
        <row r="2146">
          <cell r="AV2146">
            <v>365</v>
          </cell>
          <cell r="AX2146">
            <v>129</v>
          </cell>
        </row>
        <row r="2147">
          <cell r="AV2147">
            <v>365</v>
          </cell>
          <cell r="AX2147">
            <v>122</v>
          </cell>
        </row>
        <row r="2148">
          <cell r="AV2148">
            <v>365</v>
          </cell>
          <cell r="AX2148">
            <v>129</v>
          </cell>
        </row>
        <row r="2149">
          <cell r="AV2149">
            <v>365</v>
          </cell>
        </row>
        <row r="2150">
          <cell r="AV2150">
            <v>198</v>
          </cell>
        </row>
        <row r="2151">
          <cell r="E2151" t="str">
            <v>GF</v>
          </cell>
          <cell r="F2151" t="str">
            <v>Intermediate</v>
          </cell>
          <cell r="AV2151">
            <v>305</v>
          </cell>
        </row>
        <row r="2152">
          <cell r="E2152" t="str">
            <v>FF</v>
          </cell>
          <cell r="F2152" t="str">
            <v>Intermediate</v>
          </cell>
          <cell r="AV2152">
            <v>305</v>
          </cell>
        </row>
        <row r="2153">
          <cell r="AV2153">
            <v>305</v>
          </cell>
        </row>
        <row r="2154">
          <cell r="AV2154">
            <v>365</v>
          </cell>
          <cell r="AX2154">
            <v>107</v>
          </cell>
        </row>
        <row r="2155">
          <cell r="AV2155">
            <v>365</v>
          </cell>
        </row>
        <row r="2156">
          <cell r="D2156" t="str">
            <v>GC - IA</v>
          </cell>
          <cell r="E2156" t="str">
            <v>GF</v>
          </cell>
          <cell r="F2156" t="str">
            <v>Intermediate</v>
          </cell>
          <cell r="AV2156">
            <v>365</v>
          </cell>
          <cell r="AX2156">
            <v>33</v>
          </cell>
        </row>
        <row r="2157">
          <cell r="AV2157">
            <v>289</v>
          </cell>
        </row>
        <row r="2158">
          <cell r="AV2158">
            <v>365</v>
          </cell>
          <cell r="AX2158">
            <v>129</v>
          </cell>
        </row>
        <row r="2159">
          <cell r="AV2159">
            <v>365</v>
          </cell>
          <cell r="AX2159">
            <v>129</v>
          </cell>
        </row>
        <row r="2160">
          <cell r="AV2160">
            <v>365</v>
          </cell>
          <cell r="AX2160">
            <v>129</v>
          </cell>
        </row>
        <row r="2161">
          <cell r="AV2161">
            <v>365</v>
          </cell>
          <cell r="AX2161">
            <v>129</v>
          </cell>
        </row>
        <row r="2162">
          <cell r="AV2162">
            <v>365</v>
          </cell>
          <cell r="AX2162">
            <v>129</v>
          </cell>
        </row>
        <row r="2163">
          <cell r="E2163" t="str">
            <v>GF</v>
          </cell>
          <cell r="AV2163">
            <v>365</v>
          </cell>
          <cell r="AX2163">
            <v>336</v>
          </cell>
        </row>
        <row r="2164">
          <cell r="AV2164">
            <v>365</v>
          </cell>
          <cell r="AX2164">
            <v>266</v>
          </cell>
        </row>
        <row r="2165">
          <cell r="AV2165">
            <v>365</v>
          </cell>
          <cell r="AX2165">
            <v>130</v>
          </cell>
        </row>
        <row r="2166">
          <cell r="AV2166">
            <v>365</v>
          </cell>
          <cell r="AX2166">
            <v>267</v>
          </cell>
        </row>
        <row r="2167">
          <cell r="AV2167">
            <v>365</v>
          </cell>
          <cell r="AX2167">
            <v>267</v>
          </cell>
        </row>
        <row r="2168">
          <cell r="AV2168">
            <v>365</v>
          </cell>
          <cell r="AX2168">
            <v>267</v>
          </cell>
        </row>
        <row r="2169">
          <cell r="AV2169">
            <v>365</v>
          </cell>
          <cell r="AX2169">
            <v>267</v>
          </cell>
        </row>
        <row r="2170">
          <cell r="AV2170">
            <v>365</v>
          </cell>
          <cell r="AX2170">
            <v>267</v>
          </cell>
        </row>
        <row r="2171">
          <cell r="AV2171">
            <v>365</v>
          </cell>
          <cell r="AX2171">
            <v>267</v>
          </cell>
        </row>
        <row r="2172">
          <cell r="AV2172">
            <v>365</v>
          </cell>
          <cell r="AX2172">
            <v>267</v>
          </cell>
        </row>
        <row r="2173">
          <cell r="AV2173">
            <v>365</v>
          </cell>
          <cell r="AX2173">
            <v>267</v>
          </cell>
        </row>
        <row r="2174">
          <cell r="AV2174">
            <v>365</v>
          </cell>
          <cell r="AX2174">
            <v>267</v>
          </cell>
        </row>
        <row r="2175">
          <cell r="AV2175">
            <v>365</v>
          </cell>
          <cell r="AX2175">
            <v>267</v>
          </cell>
        </row>
        <row r="2176">
          <cell r="AV2176">
            <v>365</v>
          </cell>
          <cell r="AX2176">
            <v>267</v>
          </cell>
        </row>
        <row r="2177">
          <cell r="AV2177">
            <v>365</v>
          </cell>
          <cell r="AX2177">
            <v>267</v>
          </cell>
        </row>
        <row r="2178">
          <cell r="AV2178">
            <v>365</v>
          </cell>
          <cell r="AX2178">
            <v>267</v>
          </cell>
        </row>
        <row r="2179">
          <cell r="AV2179">
            <v>365</v>
          </cell>
          <cell r="AX2179">
            <v>366</v>
          </cell>
        </row>
        <row r="2180">
          <cell r="AX2180">
            <v>366</v>
          </cell>
          <cell r="AZ2180">
            <v>0.16209999999999999</v>
          </cell>
          <cell r="BA2180">
            <v>365</v>
          </cell>
          <cell r="BB2180">
            <v>4147.1664000000001</v>
          </cell>
          <cell r="BC2180">
            <v>9</v>
          </cell>
        </row>
        <row r="2181">
          <cell r="AV2181">
            <v>365</v>
          </cell>
          <cell r="AX2181">
            <v>1</v>
          </cell>
        </row>
        <row r="2182">
          <cell r="AV2182">
            <v>365</v>
          </cell>
          <cell r="AX2182">
            <v>1</v>
          </cell>
        </row>
        <row r="2183">
          <cell r="AV2183">
            <v>365</v>
          </cell>
          <cell r="AX2183">
            <v>1</v>
          </cell>
        </row>
        <row r="2184">
          <cell r="AV2184">
            <v>365</v>
          </cell>
          <cell r="AX2184">
            <v>1</v>
          </cell>
        </row>
        <row r="2185">
          <cell r="AV2185">
            <v>365</v>
          </cell>
          <cell r="AX2185">
            <v>1</v>
          </cell>
        </row>
        <row r="2186">
          <cell r="AV2186">
            <v>365</v>
          </cell>
          <cell r="AX2186">
            <v>1</v>
          </cell>
        </row>
        <row r="2187">
          <cell r="AV2187">
            <v>365</v>
          </cell>
          <cell r="AX2187">
            <v>1</v>
          </cell>
        </row>
        <row r="2188">
          <cell r="AV2188">
            <v>365</v>
          </cell>
          <cell r="AX2188">
            <v>1</v>
          </cell>
        </row>
        <row r="2189">
          <cell r="AV2189">
            <v>365</v>
          </cell>
          <cell r="AX2189">
            <v>1</v>
          </cell>
        </row>
        <row r="2190">
          <cell r="AV2190">
            <v>365</v>
          </cell>
          <cell r="AX2190">
            <v>1</v>
          </cell>
        </row>
        <row r="2191">
          <cell r="E2191" t="str">
            <v>GF</v>
          </cell>
          <cell r="F2191" t="str">
            <v>GC</v>
          </cell>
          <cell r="AV2191">
            <v>365</v>
          </cell>
          <cell r="AX2191">
            <v>51</v>
          </cell>
        </row>
        <row r="2192">
          <cell r="E2192" t="str">
            <v>GF</v>
          </cell>
          <cell r="F2192" t="str">
            <v>GC</v>
          </cell>
          <cell r="AV2192">
            <v>365</v>
          </cell>
          <cell r="AX2192">
            <v>51</v>
          </cell>
        </row>
        <row r="2193">
          <cell r="D2193" t="str">
            <v>Utilities</v>
          </cell>
          <cell r="E2193" t="str">
            <v>UTILITY</v>
          </cell>
          <cell r="AV2193">
            <v>365</v>
          </cell>
          <cell r="AX2193">
            <v>130</v>
          </cell>
        </row>
        <row r="2194">
          <cell r="D2194" t="str">
            <v>GC - IA</v>
          </cell>
          <cell r="E2194" t="str">
            <v>GF</v>
          </cell>
          <cell r="F2194" t="str">
            <v>Intermediate</v>
          </cell>
          <cell r="AV2194">
            <v>365</v>
          </cell>
          <cell r="AX2194">
            <v>100</v>
          </cell>
        </row>
        <row r="2195">
          <cell r="D2195" t="str">
            <v>GC - IA</v>
          </cell>
          <cell r="E2195" t="str">
            <v>GF</v>
          </cell>
          <cell r="F2195" t="str">
            <v>Intermediate</v>
          </cell>
          <cell r="AV2195">
            <v>365</v>
          </cell>
          <cell r="AX2195">
            <v>100</v>
          </cell>
        </row>
        <row r="2196">
          <cell r="AV2196">
            <v>289</v>
          </cell>
        </row>
        <row r="2197">
          <cell r="AV2197">
            <v>289</v>
          </cell>
        </row>
        <row r="2198">
          <cell r="AV2198">
            <v>289</v>
          </cell>
        </row>
        <row r="2199">
          <cell r="AV2199">
            <v>289</v>
          </cell>
        </row>
        <row r="2200">
          <cell r="AV2200">
            <v>289</v>
          </cell>
        </row>
        <row r="2201">
          <cell r="AV2201">
            <v>289</v>
          </cell>
        </row>
        <row r="2202">
          <cell r="AV2202">
            <v>289</v>
          </cell>
        </row>
        <row r="2203">
          <cell r="AV2203">
            <v>289</v>
          </cell>
        </row>
        <row r="2204">
          <cell r="AV2204">
            <v>289</v>
          </cell>
        </row>
        <row r="2205">
          <cell r="AV2205">
            <v>289</v>
          </cell>
        </row>
        <row r="2206">
          <cell r="AV2206">
            <v>289</v>
          </cell>
        </row>
        <row r="2207">
          <cell r="AV2207">
            <v>289</v>
          </cell>
        </row>
        <row r="2208">
          <cell r="AX2208">
            <v>366</v>
          </cell>
          <cell r="AZ2208">
            <v>0.16209999999999999</v>
          </cell>
          <cell r="BA2208">
            <v>8</v>
          </cell>
          <cell r="BB2208">
            <v>88.821917808219183</v>
          </cell>
        </row>
        <row r="2209">
          <cell r="AV2209">
            <v>365</v>
          </cell>
          <cell r="AX2209">
            <v>267</v>
          </cell>
        </row>
        <row r="2210">
          <cell r="AV2210">
            <v>365</v>
          </cell>
          <cell r="AX2210">
            <v>267</v>
          </cell>
        </row>
        <row r="2211">
          <cell r="AX2211">
            <v>159</v>
          </cell>
        </row>
        <row r="2212">
          <cell r="AX2212">
            <v>352</v>
          </cell>
        </row>
        <row r="2213">
          <cell r="E2213" t="str">
            <v>GF</v>
          </cell>
          <cell r="F2213" t="str">
            <v>Intermediate</v>
          </cell>
          <cell r="AV2213">
            <v>365</v>
          </cell>
          <cell r="AX2213">
            <v>33</v>
          </cell>
        </row>
        <row r="2214">
          <cell r="E2214" t="str">
            <v>SF</v>
          </cell>
          <cell r="AV2214">
            <v>365</v>
          </cell>
          <cell r="AX2214">
            <v>183</v>
          </cell>
        </row>
        <row r="2215">
          <cell r="E2215" t="str">
            <v>GF</v>
          </cell>
          <cell r="AV2215">
            <v>365</v>
          </cell>
          <cell r="AX2215">
            <v>71</v>
          </cell>
        </row>
        <row r="2216">
          <cell r="AV2216">
            <v>365</v>
          </cell>
          <cell r="AX2216">
            <v>267</v>
          </cell>
        </row>
        <row r="2217">
          <cell r="AV2217">
            <v>365</v>
          </cell>
          <cell r="AX2217">
            <v>267</v>
          </cell>
        </row>
        <row r="2218">
          <cell r="F2218" t="str">
            <v xml:space="preserve">Admin </v>
          </cell>
          <cell r="AV2218">
            <v>365</v>
          </cell>
          <cell r="AX2218">
            <v>366</v>
          </cell>
          <cell r="AZ2218">
            <v>6.3299999999999995E-2</v>
          </cell>
          <cell r="BA2218">
            <v>158</v>
          </cell>
          <cell r="BB2218">
            <v>6411.8564383561643</v>
          </cell>
        </row>
        <row r="2219">
          <cell r="F2219" t="str">
            <v xml:space="preserve">Admin </v>
          </cell>
          <cell r="AV2219">
            <v>365</v>
          </cell>
          <cell r="AX2219">
            <v>366</v>
          </cell>
          <cell r="AZ2219">
            <v>6.3299999999999995E-2</v>
          </cell>
          <cell r="BA2219">
            <v>158</v>
          </cell>
          <cell r="BB2219">
            <v>6411.8564383561643</v>
          </cell>
        </row>
        <row r="2220">
          <cell r="AV2220">
            <v>365</v>
          </cell>
          <cell r="AX2220">
            <v>366</v>
          </cell>
          <cell r="AZ2220">
            <v>6.3299999999999995E-2</v>
          </cell>
          <cell r="BA2220">
            <v>158</v>
          </cell>
          <cell r="BB2220">
            <v>4476.3252279452054</v>
          </cell>
        </row>
        <row r="2221">
          <cell r="AV2221">
            <v>365</v>
          </cell>
          <cell r="AX2221">
            <v>183</v>
          </cell>
        </row>
        <row r="2222">
          <cell r="AV2222">
            <v>365</v>
          </cell>
          <cell r="AX2222">
            <v>183</v>
          </cell>
        </row>
        <row r="2223">
          <cell r="AV2223">
            <v>365</v>
          </cell>
          <cell r="AX2223">
            <v>183</v>
          </cell>
        </row>
        <row r="2224">
          <cell r="AV2224">
            <v>365</v>
          </cell>
          <cell r="AX2224">
            <v>183</v>
          </cell>
        </row>
        <row r="2225">
          <cell r="AV2225">
            <v>365</v>
          </cell>
          <cell r="AX2225">
            <v>183</v>
          </cell>
        </row>
        <row r="2226">
          <cell r="AV2226">
            <v>365</v>
          </cell>
          <cell r="AX2226">
            <v>101</v>
          </cell>
        </row>
        <row r="2227">
          <cell r="AV2227">
            <v>365</v>
          </cell>
          <cell r="AX2227">
            <v>101</v>
          </cell>
        </row>
        <row r="2228">
          <cell r="AV2228">
            <v>365</v>
          </cell>
          <cell r="AX2228">
            <v>101</v>
          </cell>
        </row>
        <row r="2229">
          <cell r="AV2229">
            <v>365</v>
          </cell>
          <cell r="AX2229">
            <v>85</v>
          </cell>
        </row>
        <row r="2230">
          <cell r="AV2230">
            <v>365</v>
          </cell>
          <cell r="AX2230">
            <v>85</v>
          </cell>
        </row>
        <row r="2231">
          <cell r="AV2231">
            <v>365</v>
          </cell>
          <cell r="AX2231">
            <v>85</v>
          </cell>
        </row>
        <row r="2232">
          <cell r="AV2232">
            <v>365</v>
          </cell>
          <cell r="AX2232">
            <v>85</v>
          </cell>
        </row>
        <row r="2233">
          <cell r="AV2233">
            <v>365</v>
          </cell>
          <cell r="AX2233">
            <v>85</v>
          </cell>
        </row>
        <row r="2234">
          <cell r="AV2234">
            <v>365</v>
          </cell>
          <cell r="AX2234">
            <v>366</v>
          </cell>
          <cell r="AZ2234">
            <v>6.3299999999999995E-2</v>
          </cell>
          <cell r="BA2234">
            <v>59</v>
          </cell>
          <cell r="BB2234">
            <v>7147.1925945205476</v>
          </cell>
        </row>
        <row r="2235">
          <cell r="AV2235">
            <v>198</v>
          </cell>
        </row>
        <row r="2236">
          <cell r="AV2236">
            <v>365</v>
          </cell>
          <cell r="AX2236">
            <v>55</v>
          </cell>
        </row>
        <row r="2237">
          <cell r="AV2237">
            <v>365</v>
          </cell>
          <cell r="AX2237">
            <v>55</v>
          </cell>
        </row>
        <row r="2238">
          <cell r="AV2238">
            <v>289</v>
          </cell>
        </row>
        <row r="2239">
          <cell r="E2239" t="str">
            <v>SF</v>
          </cell>
          <cell r="AV2239">
            <v>365</v>
          </cell>
          <cell r="AX2239">
            <v>21</v>
          </cell>
        </row>
        <row r="2240">
          <cell r="E2240" t="str">
            <v>SF</v>
          </cell>
          <cell r="AV2240">
            <v>365</v>
          </cell>
          <cell r="AX2240">
            <v>21</v>
          </cell>
        </row>
        <row r="2241">
          <cell r="E2241" t="str">
            <v>SF</v>
          </cell>
          <cell r="AV2241">
            <v>365</v>
          </cell>
          <cell r="AX2241">
            <v>21</v>
          </cell>
        </row>
        <row r="2242">
          <cell r="E2242" t="str">
            <v>SF</v>
          </cell>
          <cell r="AV2242">
            <v>365</v>
          </cell>
          <cell r="AX2242">
            <v>21</v>
          </cell>
        </row>
        <row r="2243">
          <cell r="E2243" t="str">
            <v>SF</v>
          </cell>
          <cell r="AV2243">
            <v>365</v>
          </cell>
          <cell r="AX2243">
            <v>21</v>
          </cell>
        </row>
        <row r="2244">
          <cell r="E2244" t="str">
            <v>SF</v>
          </cell>
          <cell r="AV2244">
            <v>365</v>
          </cell>
          <cell r="AX2244">
            <v>21</v>
          </cell>
        </row>
        <row r="2245">
          <cell r="E2245" t="str">
            <v>SF</v>
          </cell>
          <cell r="AV2245">
            <v>365</v>
          </cell>
          <cell r="AX2245">
            <v>21</v>
          </cell>
        </row>
        <row r="2246">
          <cell r="E2246" t="str">
            <v>SF</v>
          </cell>
          <cell r="AV2246">
            <v>365</v>
          </cell>
          <cell r="AX2246">
            <v>21</v>
          </cell>
        </row>
        <row r="2247">
          <cell r="E2247" t="str">
            <v>SF</v>
          </cell>
          <cell r="AV2247">
            <v>365</v>
          </cell>
          <cell r="AX2247">
            <v>21</v>
          </cell>
        </row>
        <row r="2248">
          <cell r="E2248" t="str">
            <v>SF</v>
          </cell>
          <cell r="AV2248">
            <v>365</v>
          </cell>
          <cell r="AX2248">
            <v>21</v>
          </cell>
        </row>
        <row r="2249">
          <cell r="E2249" t="str">
            <v>SF</v>
          </cell>
          <cell r="AV2249">
            <v>365</v>
          </cell>
          <cell r="AX2249">
            <v>21</v>
          </cell>
        </row>
        <row r="2250">
          <cell r="E2250" t="str">
            <v>SF</v>
          </cell>
          <cell r="AV2250">
            <v>365</v>
          </cell>
          <cell r="AX2250">
            <v>21</v>
          </cell>
        </row>
        <row r="2251">
          <cell r="E2251" t="str">
            <v>SF</v>
          </cell>
          <cell r="AV2251">
            <v>365</v>
          </cell>
          <cell r="AX2251">
            <v>21</v>
          </cell>
        </row>
        <row r="2252">
          <cell r="AV2252">
            <v>365</v>
          </cell>
          <cell r="AX2252">
            <v>62</v>
          </cell>
        </row>
        <row r="2253">
          <cell r="AV2253">
            <v>365</v>
          </cell>
          <cell r="AX2253">
            <v>184</v>
          </cell>
        </row>
        <row r="2254">
          <cell r="AV2254">
            <v>365</v>
          </cell>
          <cell r="AX2254">
            <v>184</v>
          </cell>
        </row>
        <row r="2255">
          <cell r="AV2255">
            <v>365</v>
          </cell>
          <cell r="AX2255">
            <v>184</v>
          </cell>
        </row>
        <row r="2256">
          <cell r="AV2256">
            <v>365</v>
          </cell>
          <cell r="AX2256">
            <v>184</v>
          </cell>
        </row>
        <row r="2257">
          <cell r="AV2257">
            <v>365</v>
          </cell>
          <cell r="AX2257">
            <v>184</v>
          </cell>
        </row>
        <row r="2258">
          <cell r="AV2258">
            <v>365</v>
          </cell>
          <cell r="AX2258">
            <v>184</v>
          </cell>
        </row>
        <row r="2259">
          <cell r="AV2259">
            <v>365</v>
          </cell>
          <cell r="AX2259">
            <v>184</v>
          </cell>
        </row>
        <row r="2260">
          <cell r="AV2260">
            <v>365</v>
          </cell>
          <cell r="AX2260">
            <v>184</v>
          </cell>
        </row>
        <row r="2261">
          <cell r="AV2261">
            <v>365</v>
          </cell>
          <cell r="AX2261">
            <v>184</v>
          </cell>
        </row>
        <row r="2262">
          <cell r="AV2262">
            <v>365</v>
          </cell>
          <cell r="AX2262">
            <v>184</v>
          </cell>
        </row>
        <row r="2263">
          <cell r="AV2263">
            <v>365</v>
          </cell>
          <cell r="AX2263">
            <v>184</v>
          </cell>
        </row>
        <row r="2264">
          <cell r="AV2264">
            <v>365</v>
          </cell>
          <cell r="AX2264">
            <v>184</v>
          </cell>
        </row>
        <row r="2265">
          <cell r="AV2265">
            <v>365</v>
          </cell>
          <cell r="AX2265">
            <v>184</v>
          </cell>
        </row>
        <row r="2266">
          <cell r="AV2266">
            <v>365</v>
          </cell>
          <cell r="AX2266">
            <v>184</v>
          </cell>
        </row>
        <row r="2267">
          <cell r="AV2267">
            <v>365</v>
          </cell>
          <cell r="AX2267">
            <v>184</v>
          </cell>
        </row>
        <row r="2268">
          <cell r="E2268" t="str">
            <v>GF</v>
          </cell>
          <cell r="AV2268">
            <v>365</v>
          </cell>
          <cell r="AX2268">
            <v>130</v>
          </cell>
        </row>
        <row r="2269">
          <cell r="AV2269">
            <v>365</v>
          </cell>
          <cell r="AX2269">
            <v>184</v>
          </cell>
        </row>
        <row r="2270">
          <cell r="AV2270">
            <v>365</v>
          </cell>
          <cell r="AX2270">
            <v>184</v>
          </cell>
        </row>
        <row r="2271">
          <cell r="AV2271">
            <v>365</v>
          </cell>
          <cell r="AX2271">
            <v>184</v>
          </cell>
        </row>
        <row r="2272">
          <cell r="AV2272">
            <v>365</v>
          </cell>
          <cell r="AX2272">
            <v>184</v>
          </cell>
        </row>
        <row r="2273">
          <cell r="AV2273">
            <v>365</v>
          </cell>
          <cell r="AX2273">
            <v>184</v>
          </cell>
        </row>
        <row r="2274">
          <cell r="AV2274">
            <v>365</v>
          </cell>
          <cell r="AX2274">
            <v>184</v>
          </cell>
        </row>
        <row r="2275">
          <cell r="AV2275">
            <v>365</v>
          </cell>
          <cell r="AX2275">
            <v>184</v>
          </cell>
        </row>
        <row r="2276">
          <cell r="AV2276">
            <v>365</v>
          </cell>
          <cell r="AX2276">
            <v>184</v>
          </cell>
        </row>
        <row r="2277">
          <cell r="AV2277">
            <v>365</v>
          </cell>
          <cell r="AX2277">
            <v>366</v>
          </cell>
        </row>
        <row r="2278">
          <cell r="AV2278">
            <v>365</v>
          </cell>
          <cell r="AX2278">
            <v>366</v>
          </cell>
        </row>
        <row r="2279">
          <cell r="AV2279">
            <v>365</v>
          </cell>
          <cell r="AX2279">
            <v>366</v>
          </cell>
        </row>
        <row r="2280">
          <cell r="AV2280">
            <v>365</v>
          </cell>
          <cell r="AX2280">
            <v>366</v>
          </cell>
        </row>
        <row r="2281">
          <cell r="AV2281">
            <v>365</v>
          </cell>
          <cell r="AX2281">
            <v>366</v>
          </cell>
        </row>
        <row r="2282">
          <cell r="AV2282">
            <v>365</v>
          </cell>
          <cell r="AX2282">
            <v>141</v>
          </cell>
        </row>
        <row r="2283">
          <cell r="AV2283">
            <v>198</v>
          </cell>
        </row>
        <row r="2284">
          <cell r="AV2284">
            <v>365</v>
          </cell>
          <cell r="AX2284">
            <v>33</v>
          </cell>
        </row>
        <row r="2285">
          <cell r="AV2285">
            <v>365</v>
          </cell>
          <cell r="AX2285">
            <v>267</v>
          </cell>
        </row>
        <row r="2286">
          <cell r="AV2286">
            <v>365</v>
          </cell>
          <cell r="AX2286">
            <v>267</v>
          </cell>
        </row>
        <row r="2287">
          <cell r="E2287" t="str">
            <v>GF</v>
          </cell>
          <cell r="F2287" t="str">
            <v>GC</v>
          </cell>
          <cell r="AV2287">
            <v>365</v>
          </cell>
          <cell r="AX2287">
            <v>307</v>
          </cell>
        </row>
        <row r="2288">
          <cell r="E2288" t="str">
            <v>GF</v>
          </cell>
          <cell r="F2288" t="str">
            <v>GC</v>
          </cell>
          <cell r="AV2288">
            <v>365</v>
          </cell>
          <cell r="AX2288">
            <v>307</v>
          </cell>
        </row>
        <row r="2289">
          <cell r="F2289" t="str">
            <v xml:space="preserve">Admin </v>
          </cell>
          <cell r="AV2289">
            <v>365</v>
          </cell>
          <cell r="AX2289">
            <v>307</v>
          </cell>
        </row>
        <row r="2290">
          <cell r="F2290" t="str">
            <v xml:space="preserve">Admin </v>
          </cell>
          <cell r="AV2290">
            <v>365</v>
          </cell>
          <cell r="AX2290">
            <v>307</v>
          </cell>
        </row>
        <row r="2291">
          <cell r="AV2291">
            <v>289</v>
          </cell>
        </row>
        <row r="2292">
          <cell r="AV2292">
            <v>365</v>
          </cell>
          <cell r="AX2292">
            <v>1</v>
          </cell>
        </row>
        <row r="2293">
          <cell r="E2293" t="str">
            <v>SF</v>
          </cell>
          <cell r="AV2293">
            <v>365</v>
          </cell>
          <cell r="AX2293">
            <v>21</v>
          </cell>
        </row>
        <row r="2294">
          <cell r="AV2294">
            <v>365</v>
          </cell>
          <cell r="AX2294">
            <v>366</v>
          </cell>
          <cell r="AZ2294">
            <v>0.16209999999999999</v>
          </cell>
          <cell r="BA2294">
            <v>354</v>
          </cell>
          <cell r="BB2294">
            <v>3458.725479452055</v>
          </cell>
        </row>
        <row r="2295">
          <cell r="E2295" t="str">
            <v>FF</v>
          </cell>
          <cell r="AV2295">
            <v>365</v>
          </cell>
          <cell r="AX2295">
            <v>245</v>
          </cell>
        </row>
        <row r="2296">
          <cell r="AV2296">
            <v>365</v>
          </cell>
          <cell r="AX2296">
            <v>366</v>
          </cell>
          <cell r="AZ2296">
            <v>6.3299999999999995E-2</v>
          </cell>
          <cell r="BA2296">
            <v>158</v>
          </cell>
          <cell r="BB2296">
            <v>613.59616541095886</v>
          </cell>
        </row>
        <row r="2297">
          <cell r="AV2297">
            <v>365</v>
          </cell>
          <cell r="AX2297">
            <v>366</v>
          </cell>
          <cell r="AZ2297">
            <v>6.3299999999999995E-2</v>
          </cell>
          <cell r="BA2297">
            <v>158</v>
          </cell>
          <cell r="BB2297">
            <v>1046.5506061643835</v>
          </cell>
        </row>
        <row r="2298">
          <cell r="AV2298">
            <v>365</v>
          </cell>
          <cell r="AX2298">
            <v>366</v>
          </cell>
          <cell r="AZ2298">
            <v>6.3299999999999995E-2</v>
          </cell>
          <cell r="BA2298">
            <v>158</v>
          </cell>
          <cell r="BB2298">
            <v>2783.8246123972599</v>
          </cell>
        </row>
        <row r="2299">
          <cell r="AV2299">
            <v>365</v>
          </cell>
          <cell r="AX2299">
            <v>366</v>
          </cell>
          <cell r="AZ2299">
            <v>6.3299999999999995E-2</v>
          </cell>
          <cell r="BA2299">
            <v>158</v>
          </cell>
          <cell r="BB2299">
            <v>1285.7621732876712</v>
          </cell>
        </row>
        <row r="2300">
          <cell r="AV2300">
            <v>365</v>
          </cell>
          <cell r="AX2300">
            <v>366</v>
          </cell>
          <cell r="AZ2300">
            <v>6.3299999999999995E-2</v>
          </cell>
          <cell r="BA2300">
            <v>158</v>
          </cell>
          <cell r="BB2300">
            <v>964.30621684931521</v>
          </cell>
        </row>
        <row r="2301">
          <cell r="AV2301">
            <v>365</v>
          </cell>
          <cell r="AX2301">
            <v>366</v>
          </cell>
          <cell r="AZ2301">
            <v>6.3299999999999995E-2</v>
          </cell>
          <cell r="BA2301">
            <v>158</v>
          </cell>
          <cell r="BB2301">
            <v>8372.4048493150676</v>
          </cell>
        </row>
        <row r="2302">
          <cell r="AV2302">
            <v>365</v>
          </cell>
          <cell r="AX2302">
            <v>366</v>
          </cell>
          <cell r="AZ2302">
            <v>6.3299999999999995E-2</v>
          </cell>
          <cell r="BA2302">
            <v>158</v>
          </cell>
          <cell r="BB2302">
            <v>3479.7884720547941</v>
          </cell>
        </row>
        <row r="2303">
          <cell r="AV2303">
            <v>365</v>
          </cell>
          <cell r="AX2303">
            <v>366</v>
          </cell>
          <cell r="AZ2303">
            <v>6.3299999999999995E-2</v>
          </cell>
          <cell r="BA2303">
            <v>158</v>
          </cell>
          <cell r="BB2303">
            <v>642.8810866438356</v>
          </cell>
        </row>
        <row r="2304">
          <cell r="AV2304">
            <v>198</v>
          </cell>
        </row>
        <row r="2305">
          <cell r="AV2305">
            <v>198</v>
          </cell>
        </row>
        <row r="2306">
          <cell r="AV2306">
            <v>198</v>
          </cell>
        </row>
        <row r="2307">
          <cell r="AV2307">
            <v>365</v>
          </cell>
          <cell r="AX2307">
            <v>21</v>
          </cell>
        </row>
        <row r="2308">
          <cell r="E2308" t="str">
            <v>FF</v>
          </cell>
          <cell r="AV2308">
            <v>365</v>
          </cell>
          <cell r="AX2308">
            <v>336</v>
          </cell>
        </row>
        <row r="2309">
          <cell r="AV2309">
            <v>365</v>
          </cell>
          <cell r="AX2309">
            <v>130</v>
          </cell>
        </row>
        <row r="2310">
          <cell r="AV2310">
            <v>365</v>
          </cell>
          <cell r="AX2310">
            <v>130</v>
          </cell>
        </row>
        <row r="2311">
          <cell r="AV2311">
            <v>289</v>
          </cell>
        </row>
        <row r="2312">
          <cell r="AV2312">
            <v>289</v>
          </cell>
        </row>
        <row r="2313">
          <cell r="AV2313">
            <v>289</v>
          </cell>
        </row>
        <row r="2314">
          <cell r="AV2314">
            <v>289</v>
          </cell>
        </row>
        <row r="2315">
          <cell r="AV2315">
            <v>289</v>
          </cell>
        </row>
        <row r="2316">
          <cell r="AV2316">
            <v>289</v>
          </cell>
        </row>
        <row r="2317">
          <cell r="AV2317">
            <v>289</v>
          </cell>
        </row>
        <row r="2318">
          <cell r="AV2318">
            <v>289</v>
          </cell>
        </row>
        <row r="2319">
          <cell r="AV2319">
            <v>289</v>
          </cell>
        </row>
        <row r="2320">
          <cell r="D2320" t="str">
            <v>GC - IA</v>
          </cell>
          <cell r="E2320" t="str">
            <v>GF</v>
          </cell>
          <cell r="F2320" t="str">
            <v>Pharma</v>
          </cell>
          <cell r="AV2320">
            <v>365</v>
          </cell>
          <cell r="AX2320">
            <v>33</v>
          </cell>
        </row>
        <row r="2321">
          <cell r="AV2321">
            <v>365</v>
          </cell>
          <cell r="AX2321">
            <v>1</v>
          </cell>
        </row>
        <row r="2322">
          <cell r="E2322" t="str">
            <v>FF</v>
          </cell>
          <cell r="F2322" t="str">
            <v>Intermediate</v>
          </cell>
          <cell r="AV2322">
            <v>335</v>
          </cell>
        </row>
        <row r="2323">
          <cell r="AV2323">
            <v>365</v>
          </cell>
          <cell r="AX2323">
            <v>366</v>
          </cell>
          <cell r="AZ2323">
            <v>6.3299999999999995E-2</v>
          </cell>
          <cell r="BA2323">
            <v>213</v>
          </cell>
          <cell r="BB2323">
            <v>25642.813524657533</v>
          </cell>
        </row>
        <row r="2324">
          <cell r="AV2324">
            <v>365</v>
          </cell>
          <cell r="AX2324">
            <v>129</v>
          </cell>
        </row>
        <row r="2325">
          <cell r="AV2325">
            <v>365</v>
          </cell>
          <cell r="AX2325">
            <v>129</v>
          </cell>
        </row>
        <row r="2326">
          <cell r="AV2326">
            <v>365</v>
          </cell>
          <cell r="AX2326">
            <v>129</v>
          </cell>
        </row>
        <row r="2327">
          <cell r="AV2327">
            <v>365</v>
          </cell>
          <cell r="AX2327">
            <v>129</v>
          </cell>
        </row>
        <row r="2328">
          <cell r="AV2328">
            <v>323</v>
          </cell>
        </row>
        <row r="2329">
          <cell r="AV2329">
            <v>365</v>
          </cell>
          <cell r="AX2329">
            <v>366</v>
          </cell>
        </row>
        <row r="2330">
          <cell r="AV2330">
            <v>365</v>
          </cell>
          <cell r="AX2330">
            <v>366</v>
          </cell>
        </row>
        <row r="2331">
          <cell r="AV2331">
            <v>365</v>
          </cell>
          <cell r="AX2331">
            <v>366</v>
          </cell>
        </row>
        <row r="2332">
          <cell r="AV2332">
            <v>365</v>
          </cell>
          <cell r="AX2332">
            <v>366</v>
          </cell>
        </row>
        <row r="2333">
          <cell r="AV2333">
            <v>365</v>
          </cell>
          <cell r="AX2333">
            <v>366</v>
          </cell>
        </row>
        <row r="2334">
          <cell r="AV2334">
            <v>365</v>
          </cell>
          <cell r="AX2334">
            <v>366</v>
          </cell>
        </row>
        <row r="2335">
          <cell r="E2335" t="str">
            <v>GF</v>
          </cell>
          <cell r="AV2335">
            <v>365</v>
          </cell>
          <cell r="AX2335">
            <v>336</v>
          </cell>
        </row>
        <row r="2336">
          <cell r="AV2336">
            <v>335</v>
          </cell>
        </row>
        <row r="2337">
          <cell r="AV2337">
            <v>365</v>
          </cell>
          <cell r="AX2337">
            <v>366</v>
          </cell>
        </row>
        <row r="2338">
          <cell r="AV2338">
            <v>365</v>
          </cell>
          <cell r="AX2338">
            <v>366</v>
          </cell>
        </row>
        <row r="2339">
          <cell r="AV2339">
            <v>365</v>
          </cell>
          <cell r="AX2339">
            <v>366</v>
          </cell>
        </row>
        <row r="2340">
          <cell r="AV2340">
            <v>365</v>
          </cell>
          <cell r="AX2340">
            <v>366</v>
          </cell>
        </row>
        <row r="2341">
          <cell r="AV2341">
            <v>365</v>
          </cell>
          <cell r="AX2341">
            <v>366</v>
          </cell>
        </row>
        <row r="2342">
          <cell r="AV2342">
            <v>365</v>
          </cell>
          <cell r="AX2342">
            <v>366</v>
          </cell>
        </row>
        <row r="2343">
          <cell r="AV2343">
            <v>365</v>
          </cell>
          <cell r="AX2343">
            <v>366</v>
          </cell>
        </row>
        <row r="2344">
          <cell r="AV2344">
            <v>365</v>
          </cell>
          <cell r="AX2344">
            <v>366</v>
          </cell>
        </row>
        <row r="2345">
          <cell r="AV2345">
            <v>365</v>
          </cell>
          <cell r="AX2345">
            <v>366</v>
          </cell>
        </row>
        <row r="2346">
          <cell r="AV2346">
            <v>365</v>
          </cell>
          <cell r="AX2346">
            <v>366</v>
          </cell>
        </row>
        <row r="2347">
          <cell r="AV2347">
            <v>365</v>
          </cell>
          <cell r="AX2347">
            <v>366</v>
          </cell>
        </row>
        <row r="2348">
          <cell r="AV2348">
            <v>365</v>
          </cell>
          <cell r="AX2348">
            <v>366</v>
          </cell>
        </row>
        <row r="2349">
          <cell r="AV2349">
            <v>365</v>
          </cell>
          <cell r="AX2349">
            <v>366</v>
          </cell>
        </row>
        <row r="2350">
          <cell r="AV2350">
            <v>365</v>
          </cell>
          <cell r="AX2350">
            <v>366</v>
          </cell>
        </row>
        <row r="2351">
          <cell r="AV2351">
            <v>365</v>
          </cell>
          <cell r="AX2351">
            <v>366</v>
          </cell>
        </row>
        <row r="2352">
          <cell r="AV2352">
            <v>365</v>
          </cell>
          <cell r="AX2352">
            <v>366</v>
          </cell>
          <cell r="AZ2352">
            <v>6.3299999999999995E-2</v>
          </cell>
          <cell r="BA2352">
            <v>324</v>
          </cell>
          <cell r="BB2352">
            <v>1110.3624690410957</v>
          </cell>
        </row>
        <row r="2353">
          <cell r="E2353" t="str">
            <v>GF</v>
          </cell>
          <cell r="AV2353">
            <v>365</v>
          </cell>
          <cell r="AX2353">
            <v>107</v>
          </cell>
        </row>
        <row r="2354">
          <cell r="AV2354">
            <v>365</v>
          </cell>
          <cell r="AX2354">
            <v>153</v>
          </cell>
        </row>
        <row r="2355">
          <cell r="E2355" t="str">
            <v>FF</v>
          </cell>
          <cell r="AV2355">
            <v>365</v>
          </cell>
          <cell r="AX2355">
            <v>366</v>
          </cell>
        </row>
        <row r="2356">
          <cell r="E2356" t="str">
            <v>GF</v>
          </cell>
          <cell r="AV2356">
            <v>365</v>
          </cell>
          <cell r="AX2356">
            <v>130</v>
          </cell>
        </row>
        <row r="2357">
          <cell r="AV2357">
            <v>365</v>
          </cell>
          <cell r="AX2357">
            <v>153</v>
          </cell>
        </row>
        <row r="2358">
          <cell r="AV2358">
            <v>365</v>
          </cell>
          <cell r="AX2358">
            <v>153</v>
          </cell>
        </row>
        <row r="2359">
          <cell r="AV2359">
            <v>365</v>
          </cell>
          <cell r="AX2359">
            <v>153</v>
          </cell>
        </row>
        <row r="2360">
          <cell r="AV2360">
            <v>365</v>
          </cell>
          <cell r="AX2360">
            <v>153</v>
          </cell>
        </row>
        <row r="2361">
          <cell r="AV2361">
            <v>365</v>
          </cell>
          <cell r="AX2361">
            <v>153</v>
          </cell>
        </row>
        <row r="2362">
          <cell r="AV2362">
            <v>365</v>
          </cell>
          <cell r="AX2362">
            <v>153</v>
          </cell>
        </row>
        <row r="2363">
          <cell r="AV2363">
            <v>365</v>
          </cell>
          <cell r="AX2363">
            <v>153</v>
          </cell>
        </row>
        <row r="2364">
          <cell r="AV2364">
            <v>365</v>
          </cell>
          <cell r="AX2364">
            <v>153</v>
          </cell>
        </row>
        <row r="2365">
          <cell r="AV2365">
            <v>365</v>
          </cell>
          <cell r="AX2365">
            <v>1</v>
          </cell>
          <cell r="BJ2365" t="str">
            <v>PROVISION</v>
          </cell>
        </row>
        <row r="2366">
          <cell r="AV2366">
            <v>365</v>
          </cell>
          <cell r="AX2366">
            <v>366</v>
          </cell>
          <cell r="AZ2366">
            <v>0.16209999999999999</v>
          </cell>
          <cell r="BA2366">
            <v>158</v>
          </cell>
          <cell r="BB2366">
            <v>2480.485287671233</v>
          </cell>
        </row>
        <row r="2367">
          <cell r="AV2367">
            <v>365</v>
          </cell>
          <cell r="AX2367">
            <v>366</v>
          </cell>
          <cell r="AZ2367">
            <v>0.16209999999999999</v>
          </cell>
          <cell r="BA2367">
            <v>158</v>
          </cell>
          <cell r="BB2367">
            <v>2480.485287671233</v>
          </cell>
        </row>
        <row r="2368">
          <cell r="AV2368">
            <v>365</v>
          </cell>
          <cell r="AX2368">
            <v>366</v>
          </cell>
          <cell r="AZ2368">
            <v>0.16209999999999999</v>
          </cell>
          <cell r="BA2368">
            <v>158</v>
          </cell>
          <cell r="BB2368">
            <v>2480.485287671233</v>
          </cell>
        </row>
        <row r="2369">
          <cell r="AV2369">
            <v>365</v>
          </cell>
          <cell r="AX2369">
            <v>366</v>
          </cell>
          <cell r="AZ2369">
            <v>0.16209999999999999</v>
          </cell>
          <cell r="BA2369">
            <v>158</v>
          </cell>
          <cell r="BB2369">
            <v>2480.485287671233</v>
          </cell>
        </row>
        <row r="2370">
          <cell r="AV2370">
            <v>365</v>
          </cell>
          <cell r="AX2370">
            <v>366</v>
          </cell>
          <cell r="AZ2370">
            <v>0.16209999999999999</v>
          </cell>
          <cell r="BA2370">
            <v>158</v>
          </cell>
          <cell r="BB2370">
            <v>2480.485287671233</v>
          </cell>
        </row>
        <row r="2371">
          <cell r="AV2371">
            <v>365</v>
          </cell>
          <cell r="AX2371">
            <v>366</v>
          </cell>
          <cell r="AZ2371">
            <v>0.16209999999999999</v>
          </cell>
          <cell r="BA2371">
            <v>158</v>
          </cell>
          <cell r="BB2371">
            <v>2480.485287671233</v>
          </cell>
        </row>
        <row r="2372">
          <cell r="AV2372">
            <v>365</v>
          </cell>
          <cell r="AX2372">
            <v>366</v>
          </cell>
          <cell r="AZ2372">
            <v>0.16209999999999999</v>
          </cell>
          <cell r="BA2372">
            <v>158</v>
          </cell>
          <cell r="BB2372">
            <v>2480.485287671233</v>
          </cell>
        </row>
        <row r="2373">
          <cell r="AV2373">
            <v>365</v>
          </cell>
          <cell r="AX2373">
            <v>366</v>
          </cell>
          <cell r="AZ2373">
            <v>0.16209999999999999</v>
          </cell>
          <cell r="BA2373">
            <v>158</v>
          </cell>
          <cell r="BB2373">
            <v>2480.485287671233</v>
          </cell>
        </row>
        <row r="2374">
          <cell r="AV2374">
            <v>365</v>
          </cell>
          <cell r="AX2374">
            <v>366</v>
          </cell>
          <cell r="AZ2374">
            <v>0.16209999999999999</v>
          </cell>
          <cell r="BA2374">
            <v>158</v>
          </cell>
          <cell r="BB2374">
            <v>2480.485287671233</v>
          </cell>
        </row>
        <row r="2375">
          <cell r="AV2375">
            <v>365</v>
          </cell>
          <cell r="AX2375">
            <v>366</v>
          </cell>
          <cell r="AZ2375">
            <v>0.16209999999999999</v>
          </cell>
          <cell r="BA2375">
            <v>158</v>
          </cell>
          <cell r="BB2375">
            <v>754.32013698630135</v>
          </cell>
        </row>
        <row r="2376">
          <cell r="AV2376">
            <v>365</v>
          </cell>
          <cell r="AX2376">
            <v>366</v>
          </cell>
          <cell r="AZ2376">
            <v>0.16209999999999999</v>
          </cell>
          <cell r="BA2376">
            <v>158</v>
          </cell>
          <cell r="BB2376">
            <v>754.32013698630135</v>
          </cell>
        </row>
        <row r="2377">
          <cell r="AV2377">
            <v>365</v>
          </cell>
          <cell r="AX2377">
            <v>366</v>
          </cell>
          <cell r="AZ2377">
            <v>0.16209999999999999</v>
          </cell>
          <cell r="BA2377">
            <v>158</v>
          </cell>
          <cell r="BB2377">
            <v>754.32013698630135</v>
          </cell>
        </row>
        <row r="2378">
          <cell r="AV2378">
            <v>365</v>
          </cell>
          <cell r="AX2378">
            <v>366</v>
          </cell>
          <cell r="AZ2378">
            <v>0.16209999999999999</v>
          </cell>
          <cell r="BA2378">
            <v>158</v>
          </cell>
          <cell r="BB2378">
            <v>754.32013698630135</v>
          </cell>
        </row>
        <row r="2379">
          <cell r="AV2379">
            <v>365</v>
          </cell>
          <cell r="AX2379">
            <v>366</v>
          </cell>
          <cell r="AZ2379">
            <v>0.16209999999999999</v>
          </cell>
          <cell r="BA2379">
            <v>158</v>
          </cell>
          <cell r="BB2379">
            <v>754.32013698630135</v>
          </cell>
        </row>
        <row r="2380">
          <cell r="AV2380">
            <v>365</v>
          </cell>
          <cell r="AX2380">
            <v>366</v>
          </cell>
          <cell r="AZ2380">
            <v>0.16209999999999999</v>
          </cell>
          <cell r="BA2380">
            <v>158</v>
          </cell>
          <cell r="BB2380">
            <v>754.32013698630135</v>
          </cell>
        </row>
        <row r="2381">
          <cell r="AV2381">
            <v>365</v>
          </cell>
          <cell r="AX2381">
            <v>366</v>
          </cell>
          <cell r="AZ2381">
            <v>0.16209999999999999</v>
          </cell>
          <cell r="BA2381">
            <v>158</v>
          </cell>
          <cell r="BB2381">
            <v>754.32013698630135</v>
          </cell>
        </row>
        <row r="2382">
          <cell r="AV2382">
            <v>365</v>
          </cell>
          <cell r="AX2382">
            <v>366</v>
          </cell>
          <cell r="AZ2382">
            <v>0.16209999999999999</v>
          </cell>
          <cell r="BA2382">
            <v>158</v>
          </cell>
          <cell r="BB2382">
            <v>754.32013698630135</v>
          </cell>
        </row>
        <row r="2383">
          <cell r="AV2383">
            <v>365</v>
          </cell>
          <cell r="AX2383">
            <v>366</v>
          </cell>
          <cell r="AZ2383">
            <v>0.16209999999999999</v>
          </cell>
          <cell r="BA2383">
            <v>158</v>
          </cell>
          <cell r="BB2383">
            <v>754.32013698630135</v>
          </cell>
        </row>
        <row r="2384">
          <cell r="AV2384">
            <v>365</v>
          </cell>
          <cell r="AX2384">
            <v>267</v>
          </cell>
        </row>
        <row r="2385">
          <cell r="AV2385">
            <v>365</v>
          </cell>
          <cell r="AX2385">
            <v>267</v>
          </cell>
        </row>
        <row r="2386">
          <cell r="AV2386">
            <v>365</v>
          </cell>
          <cell r="AX2386">
            <v>267</v>
          </cell>
        </row>
        <row r="2387">
          <cell r="AV2387">
            <v>365</v>
          </cell>
          <cell r="AX2387">
            <v>267</v>
          </cell>
        </row>
        <row r="2388">
          <cell r="AV2388">
            <v>365</v>
          </cell>
          <cell r="AX2388">
            <v>129</v>
          </cell>
        </row>
        <row r="2389">
          <cell r="AV2389">
            <v>365</v>
          </cell>
          <cell r="AX2389">
            <v>129</v>
          </cell>
        </row>
        <row r="2390">
          <cell r="AV2390">
            <v>365</v>
          </cell>
          <cell r="AX2390">
            <v>129</v>
          </cell>
        </row>
        <row r="2391">
          <cell r="AV2391">
            <v>365</v>
          </cell>
          <cell r="AX2391">
            <v>129</v>
          </cell>
        </row>
        <row r="2392">
          <cell r="AV2392">
            <v>365</v>
          </cell>
          <cell r="AX2392">
            <v>129</v>
          </cell>
        </row>
        <row r="2393">
          <cell r="E2393" t="str">
            <v>FF</v>
          </cell>
          <cell r="F2393" t="str">
            <v>Intermediate</v>
          </cell>
          <cell r="AV2393">
            <v>365</v>
          </cell>
          <cell r="AX2393">
            <v>129</v>
          </cell>
        </row>
        <row r="2394">
          <cell r="AV2394">
            <v>365</v>
          </cell>
          <cell r="AX2394">
            <v>276</v>
          </cell>
        </row>
        <row r="2395">
          <cell r="AV2395">
            <v>365</v>
          </cell>
          <cell r="AX2395">
            <v>276</v>
          </cell>
        </row>
        <row r="2396">
          <cell r="AV2396">
            <v>305</v>
          </cell>
        </row>
        <row r="2397">
          <cell r="AV2397">
            <v>305</v>
          </cell>
        </row>
        <row r="2398">
          <cell r="AV2398">
            <v>305</v>
          </cell>
        </row>
        <row r="2399">
          <cell r="AV2399">
            <v>365</v>
          </cell>
          <cell r="AX2399">
            <v>130</v>
          </cell>
        </row>
        <row r="2400">
          <cell r="AV2400">
            <v>365</v>
          </cell>
          <cell r="AX2400">
            <v>130</v>
          </cell>
        </row>
        <row r="2401">
          <cell r="AV2401">
            <v>365</v>
          </cell>
          <cell r="AX2401">
            <v>130</v>
          </cell>
        </row>
        <row r="2402">
          <cell r="AV2402">
            <v>365</v>
          </cell>
          <cell r="AX2402">
            <v>366</v>
          </cell>
        </row>
        <row r="2403">
          <cell r="AV2403">
            <v>365</v>
          </cell>
          <cell r="AX2403">
            <v>366</v>
          </cell>
        </row>
        <row r="2404">
          <cell r="AV2404">
            <v>365</v>
          </cell>
          <cell r="AX2404">
            <v>366</v>
          </cell>
        </row>
        <row r="2405">
          <cell r="AV2405">
            <v>365</v>
          </cell>
          <cell r="AX2405">
            <v>366</v>
          </cell>
        </row>
        <row r="2406">
          <cell r="AV2406">
            <v>365</v>
          </cell>
          <cell r="AX2406">
            <v>337</v>
          </cell>
        </row>
        <row r="2407">
          <cell r="AV2407">
            <v>365</v>
          </cell>
          <cell r="AX2407">
            <v>337</v>
          </cell>
        </row>
        <row r="2408">
          <cell r="AV2408">
            <v>365</v>
          </cell>
          <cell r="AX2408">
            <v>337</v>
          </cell>
        </row>
        <row r="2409">
          <cell r="AV2409">
            <v>365</v>
          </cell>
          <cell r="AX2409">
            <v>337</v>
          </cell>
        </row>
        <row r="2410">
          <cell r="AV2410">
            <v>365</v>
          </cell>
          <cell r="AX2410">
            <v>337</v>
          </cell>
        </row>
        <row r="2411">
          <cell r="AV2411">
            <v>365</v>
          </cell>
          <cell r="AX2411">
            <v>337</v>
          </cell>
        </row>
        <row r="2412">
          <cell r="AV2412">
            <v>365</v>
          </cell>
          <cell r="AX2412">
            <v>337</v>
          </cell>
        </row>
        <row r="2413">
          <cell r="AV2413">
            <v>365</v>
          </cell>
          <cell r="AX2413">
            <v>337</v>
          </cell>
        </row>
        <row r="2414">
          <cell r="AV2414">
            <v>365</v>
          </cell>
          <cell r="AX2414">
            <v>337</v>
          </cell>
        </row>
        <row r="2415">
          <cell r="AV2415">
            <v>365</v>
          </cell>
          <cell r="AX2415">
            <v>337</v>
          </cell>
        </row>
        <row r="2416">
          <cell r="AV2416">
            <v>365</v>
          </cell>
          <cell r="AX2416">
            <v>180</v>
          </cell>
        </row>
        <row r="2417">
          <cell r="AV2417">
            <v>365</v>
          </cell>
          <cell r="AX2417">
            <v>1</v>
          </cell>
        </row>
        <row r="2418">
          <cell r="AV2418">
            <v>365</v>
          </cell>
          <cell r="AX2418">
            <v>1</v>
          </cell>
        </row>
        <row r="2419">
          <cell r="AV2419">
            <v>365</v>
          </cell>
          <cell r="AX2419">
            <v>1</v>
          </cell>
        </row>
        <row r="2420">
          <cell r="AV2420">
            <v>365</v>
          </cell>
          <cell r="AX2420">
            <v>1</v>
          </cell>
        </row>
        <row r="2421">
          <cell r="AV2421">
            <v>365</v>
          </cell>
          <cell r="AX2421">
            <v>1</v>
          </cell>
        </row>
        <row r="2422">
          <cell r="AV2422">
            <v>365</v>
          </cell>
          <cell r="AX2422">
            <v>1</v>
          </cell>
        </row>
        <row r="2423">
          <cell r="AV2423">
            <v>365</v>
          </cell>
          <cell r="AX2423">
            <v>1</v>
          </cell>
        </row>
        <row r="2424">
          <cell r="AV2424">
            <v>365</v>
          </cell>
          <cell r="AX2424">
            <v>1</v>
          </cell>
        </row>
        <row r="2425">
          <cell r="AV2425">
            <v>365</v>
          </cell>
          <cell r="AX2425">
            <v>1</v>
          </cell>
        </row>
        <row r="2426">
          <cell r="AV2426">
            <v>365</v>
          </cell>
          <cell r="AX2426">
            <v>1</v>
          </cell>
        </row>
        <row r="2427">
          <cell r="AV2427">
            <v>365</v>
          </cell>
          <cell r="AX2427">
            <v>1</v>
          </cell>
        </row>
        <row r="2428">
          <cell r="AV2428">
            <v>365</v>
          </cell>
          <cell r="AX2428">
            <v>1</v>
          </cell>
        </row>
        <row r="2429">
          <cell r="AV2429">
            <v>365</v>
          </cell>
          <cell r="AX2429">
            <v>1</v>
          </cell>
        </row>
        <row r="2430">
          <cell r="AV2430">
            <v>365</v>
          </cell>
          <cell r="AX2430">
            <v>1</v>
          </cell>
        </row>
        <row r="2431">
          <cell r="AV2431">
            <v>365</v>
          </cell>
          <cell r="AX2431">
            <v>1</v>
          </cell>
        </row>
        <row r="2432">
          <cell r="E2432" t="str">
            <v>GF</v>
          </cell>
          <cell r="AV2432">
            <v>365</v>
          </cell>
          <cell r="AX2432">
            <v>130</v>
          </cell>
        </row>
        <row r="2433">
          <cell r="AV2433">
            <v>335</v>
          </cell>
        </row>
        <row r="2434">
          <cell r="AV2434">
            <v>335</v>
          </cell>
        </row>
        <row r="2435">
          <cell r="AV2435">
            <v>335</v>
          </cell>
        </row>
        <row r="2436">
          <cell r="AV2436">
            <v>305</v>
          </cell>
        </row>
        <row r="2437">
          <cell r="AV2437">
            <v>305</v>
          </cell>
        </row>
        <row r="2438">
          <cell r="E2438" t="str">
            <v>FF</v>
          </cell>
          <cell r="AV2438">
            <v>365</v>
          </cell>
          <cell r="AX2438">
            <v>266</v>
          </cell>
        </row>
        <row r="2439">
          <cell r="AV2439">
            <v>365</v>
          </cell>
          <cell r="AX2439">
            <v>184</v>
          </cell>
        </row>
        <row r="2440">
          <cell r="AV2440">
            <v>335</v>
          </cell>
        </row>
        <row r="2441">
          <cell r="E2441" t="str">
            <v>FF</v>
          </cell>
          <cell r="F2441" t="str">
            <v>Intermediate</v>
          </cell>
          <cell r="AV2441">
            <v>365</v>
          </cell>
          <cell r="AX2441">
            <v>129</v>
          </cell>
        </row>
        <row r="2442">
          <cell r="E2442" t="str">
            <v>Mezzanine</v>
          </cell>
          <cell r="F2442" t="str">
            <v>Intermediate</v>
          </cell>
          <cell r="AV2442">
            <v>365</v>
          </cell>
          <cell r="AX2442">
            <v>129</v>
          </cell>
        </row>
        <row r="2443">
          <cell r="AV2443">
            <v>335</v>
          </cell>
        </row>
        <row r="2444">
          <cell r="AV2444">
            <v>365</v>
          </cell>
          <cell r="AX2444">
            <v>113</v>
          </cell>
        </row>
        <row r="2445">
          <cell r="AV2445">
            <v>365</v>
          </cell>
          <cell r="AX2445">
            <v>266</v>
          </cell>
        </row>
        <row r="2446">
          <cell r="E2446" t="str">
            <v>FF</v>
          </cell>
          <cell r="AV2446">
            <v>365</v>
          </cell>
          <cell r="AX2446">
            <v>1</v>
          </cell>
        </row>
        <row r="2447">
          <cell r="D2447" t="str">
            <v>GC - IA</v>
          </cell>
          <cell r="E2447" t="str">
            <v>GF</v>
          </cell>
          <cell r="F2447" t="str">
            <v>Intermediate</v>
          </cell>
          <cell r="AV2447">
            <v>365</v>
          </cell>
          <cell r="AX2447">
            <v>129</v>
          </cell>
        </row>
        <row r="2448">
          <cell r="D2448" t="str">
            <v>GC - IA</v>
          </cell>
          <cell r="E2448" t="str">
            <v>GF</v>
          </cell>
          <cell r="F2448" t="str">
            <v>Pharma</v>
          </cell>
          <cell r="AV2448">
            <v>365</v>
          </cell>
          <cell r="AX2448">
            <v>129</v>
          </cell>
        </row>
        <row r="2449">
          <cell r="D2449" t="str">
            <v>GC - IA</v>
          </cell>
          <cell r="E2449" t="str">
            <v>GF</v>
          </cell>
          <cell r="F2449" t="str">
            <v>Pharma</v>
          </cell>
          <cell r="AV2449">
            <v>365</v>
          </cell>
          <cell r="AX2449">
            <v>33</v>
          </cell>
        </row>
        <row r="2450">
          <cell r="AV2450">
            <v>365</v>
          </cell>
          <cell r="AX2450">
            <v>366</v>
          </cell>
          <cell r="AZ2450">
            <v>6.3299999999999995E-2</v>
          </cell>
          <cell r="BA2450">
            <v>43</v>
          </cell>
          <cell r="BB2450">
            <v>3197.287369463425</v>
          </cell>
        </row>
        <row r="2451">
          <cell r="AV2451">
            <v>365</v>
          </cell>
          <cell r="AX2451">
            <v>366</v>
          </cell>
          <cell r="AZ2451">
            <v>6.3299999999999995E-2</v>
          </cell>
          <cell r="BA2451">
            <v>43</v>
          </cell>
          <cell r="BB2451">
            <v>807.51232451450358</v>
          </cell>
        </row>
        <row r="2452">
          <cell r="AV2452">
            <v>365</v>
          </cell>
          <cell r="AX2452">
            <v>366</v>
          </cell>
          <cell r="AZ2452">
            <v>6.3299999999999995E-2</v>
          </cell>
          <cell r="BA2452">
            <v>43</v>
          </cell>
          <cell r="BB2452">
            <v>1115.1360671866951</v>
          </cell>
        </row>
        <row r="2453">
          <cell r="AV2453">
            <v>365</v>
          </cell>
          <cell r="AX2453">
            <v>366</v>
          </cell>
          <cell r="AZ2453">
            <v>6.3299999999999995E-2</v>
          </cell>
          <cell r="BA2453">
            <v>43</v>
          </cell>
          <cell r="BB2453">
            <v>169.19305846970545</v>
          </cell>
        </row>
        <row r="2454">
          <cell r="AV2454">
            <v>365</v>
          </cell>
          <cell r="AX2454">
            <v>366</v>
          </cell>
          <cell r="AZ2454">
            <v>6.3299999999999995E-2</v>
          </cell>
          <cell r="BA2454">
            <v>43</v>
          </cell>
          <cell r="BB2454">
            <v>1749.6100364480906</v>
          </cell>
        </row>
        <row r="2455">
          <cell r="AV2455">
            <v>365</v>
          </cell>
          <cell r="AX2455">
            <v>366</v>
          </cell>
          <cell r="AZ2455">
            <v>6.3299999999999995E-2</v>
          </cell>
          <cell r="BA2455">
            <v>43</v>
          </cell>
          <cell r="BB2455">
            <v>221.48909472397807</v>
          </cell>
        </row>
        <row r="2456">
          <cell r="E2456" t="str">
            <v>Intermediate</v>
          </cell>
          <cell r="AV2456">
            <v>305</v>
          </cell>
        </row>
        <row r="2457">
          <cell r="E2457" t="str">
            <v>Intermediate</v>
          </cell>
          <cell r="AV2457">
            <v>305</v>
          </cell>
        </row>
        <row r="2458">
          <cell r="AV2458">
            <v>365</v>
          </cell>
          <cell r="AX2458">
            <v>83</v>
          </cell>
        </row>
        <row r="2459">
          <cell r="AV2459">
            <v>365</v>
          </cell>
          <cell r="AX2459">
            <v>130</v>
          </cell>
        </row>
        <row r="2460">
          <cell r="D2460" t="str">
            <v>GC - IA</v>
          </cell>
          <cell r="E2460" t="str">
            <v>Pumps &amp; Motors</v>
          </cell>
          <cell r="AV2460">
            <v>365</v>
          </cell>
          <cell r="AX2460">
            <v>130</v>
          </cell>
        </row>
        <row r="2461">
          <cell r="D2461" t="str">
            <v>GC - IA</v>
          </cell>
          <cell r="E2461" t="str">
            <v>Pumps &amp; Motors</v>
          </cell>
          <cell r="AV2461">
            <v>365</v>
          </cell>
          <cell r="AX2461">
            <v>130</v>
          </cell>
        </row>
        <row r="2462">
          <cell r="AV2462">
            <v>365</v>
          </cell>
          <cell r="AX2462">
            <v>130</v>
          </cell>
        </row>
        <row r="2463">
          <cell r="AV2463">
            <v>365</v>
          </cell>
          <cell r="AX2463">
            <v>130</v>
          </cell>
        </row>
        <row r="2464">
          <cell r="AV2464">
            <v>365</v>
          </cell>
          <cell r="AX2464">
            <v>130</v>
          </cell>
        </row>
        <row r="2465">
          <cell r="E2465" t="str">
            <v>Mezzanine</v>
          </cell>
          <cell r="F2465" t="str">
            <v>Intermediate</v>
          </cell>
          <cell r="AV2465">
            <v>365</v>
          </cell>
          <cell r="AX2465">
            <v>89</v>
          </cell>
        </row>
        <row r="2466">
          <cell r="E2466" t="str">
            <v>FF</v>
          </cell>
          <cell r="F2466" t="str">
            <v>Intermediate</v>
          </cell>
          <cell r="AV2466">
            <v>365</v>
          </cell>
          <cell r="AX2466">
            <v>89</v>
          </cell>
        </row>
        <row r="2467">
          <cell r="AV2467">
            <v>365</v>
          </cell>
          <cell r="AX2467">
            <v>366</v>
          </cell>
          <cell r="AZ2467">
            <v>0.16209999999999999</v>
          </cell>
          <cell r="BA2467">
            <v>0</v>
          </cell>
          <cell r="BB2467">
            <v>0</v>
          </cell>
        </row>
        <row r="2468">
          <cell r="AV2468">
            <v>365</v>
          </cell>
          <cell r="AX2468">
            <v>366</v>
          </cell>
          <cell r="AZ2468">
            <v>0.16209999999999999</v>
          </cell>
          <cell r="BA2468">
            <v>0</v>
          </cell>
          <cell r="BB2468">
            <v>0</v>
          </cell>
        </row>
        <row r="2469">
          <cell r="AV2469">
            <v>365</v>
          </cell>
          <cell r="AX2469">
            <v>366</v>
          </cell>
          <cell r="AZ2469">
            <v>0.16209999999999999</v>
          </cell>
          <cell r="BA2469">
            <v>0</v>
          </cell>
          <cell r="BB2469">
            <v>0</v>
          </cell>
        </row>
        <row r="2470">
          <cell r="AV2470">
            <v>365</v>
          </cell>
          <cell r="AX2470">
            <v>366</v>
          </cell>
          <cell r="AZ2470">
            <v>0.16209999999999999</v>
          </cell>
          <cell r="BA2470">
            <v>0</v>
          </cell>
          <cell r="BB2470">
            <v>0</v>
          </cell>
        </row>
        <row r="2471">
          <cell r="AV2471">
            <v>365</v>
          </cell>
          <cell r="AX2471">
            <v>366</v>
          </cell>
          <cell r="AZ2471">
            <v>0.16209999999999999</v>
          </cell>
          <cell r="BA2471">
            <v>0</v>
          </cell>
          <cell r="BB2471">
            <v>0</v>
          </cell>
        </row>
        <row r="2472">
          <cell r="AV2472">
            <v>365</v>
          </cell>
          <cell r="AX2472">
            <v>366</v>
          </cell>
          <cell r="AZ2472">
            <v>0.16209999999999999</v>
          </cell>
          <cell r="BA2472">
            <v>0</v>
          </cell>
          <cell r="BB2472">
            <v>0</v>
          </cell>
        </row>
        <row r="2473">
          <cell r="AV2473">
            <v>365</v>
          </cell>
          <cell r="AX2473">
            <v>366</v>
          </cell>
          <cell r="AZ2473">
            <v>0.16209999999999999</v>
          </cell>
          <cell r="BA2473">
            <v>0</v>
          </cell>
          <cell r="BB2473">
            <v>0</v>
          </cell>
        </row>
        <row r="2474">
          <cell r="AV2474">
            <v>365</v>
          </cell>
          <cell r="AX2474">
            <v>366</v>
          </cell>
          <cell r="AZ2474">
            <v>0.16209999999999999</v>
          </cell>
          <cell r="BA2474">
            <v>0</v>
          </cell>
          <cell r="BB2474">
            <v>0</v>
          </cell>
        </row>
        <row r="2475">
          <cell r="AV2475">
            <v>365</v>
          </cell>
          <cell r="AX2475">
            <v>366</v>
          </cell>
          <cell r="AZ2475">
            <v>0.16209999999999999</v>
          </cell>
          <cell r="BA2475">
            <v>0</v>
          </cell>
          <cell r="BB2475">
            <v>0</v>
          </cell>
        </row>
        <row r="2476">
          <cell r="AV2476">
            <v>365</v>
          </cell>
          <cell r="AX2476">
            <v>366</v>
          </cell>
          <cell r="AZ2476">
            <v>0.16209999999999999</v>
          </cell>
          <cell r="BA2476">
            <v>0</v>
          </cell>
          <cell r="BB2476">
            <v>0</v>
          </cell>
        </row>
        <row r="2477">
          <cell r="AV2477">
            <v>365</v>
          </cell>
          <cell r="AX2477">
            <v>366</v>
          </cell>
          <cell r="AZ2477">
            <v>0.16209999999999999</v>
          </cell>
          <cell r="BA2477">
            <v>0</v>
          </cell>
          <cell r="BB2477">
            <v>0</v>
          </cell>
        </row>
        <row r="2478">
          <cell r="AV2478">
            <v>365</v>
          </cell>
          <cell r="AX2478">
            <v>366</v>
          </cell>
          <cell r="AZ2478">
            <v>0.16209999999999999</v>
          </cell>
          <cell r="BA2478">
            <v>0</v>
          </cell>
          <cell r="BB2478">
            <v>0</v>
          </cell>
        </row>
        <row r="2479">
          <cell r="AV2479">
            <v>365</v>
          </cell>
          <cell r="AX2479">
            <v>366</v>
          </cell>
          <cell r="AZ2479">
            <v>0.16209999999999999</v>
          </cell>
          <cell r="BA2479">
            <v>0</v>
          </cell>
          <cell r="BB2479">
            <v>0</v>
          </cell>
        </row>
        <row r="2480">
          <cell r="AV2480">
            <v>365</v>
          </cell>
          <cell r="AX2480">
            <v>366</v>
          </cell>
          <cell r="AZ2480">
            <v>0.16209999999999999</v>
          </cell>
          <cell r="BA2480">
            <v>0</v>
          </cell>
          <cell r="BB2480">
            <v>0</v>
          </cell>
        </row>
        <row r="2481">
          <cell r="AV2481">
            <v>365</v>
          </cell>
          <cell r="AX2481">
            <v>366</v>
          </cell>
          <cell r="AZ2481">
            <v>0.16209999999999999</v>
          </cell>
          <cell r="BA2481">
            <v>0</v>
          </cell>
          <cell r="BB2481">
            <v>0</v>
          </cell>
        </row>
        <row r="2482">
          <cell r="E2482" t="str">
            <v>GF</v>
          </cell>
          <cell r="AV2482">
            <v>365</v>
          </cell>
          <cell r="AX2482">
            <v>60</v>
          </cell>
        </row>
        <row r="2483">
          <cell r="AV2483">
            <v>365</v>
          </cell>
          <cell r="AX2483">
            <v>72</v>
          </cell>
        </row>
        <row r="2484">
          <cell r="AV2484">
            <v>365</v>
          </cell>
          <cell r="AX2484">
            <v>72</v>
          </cell>
        </row>
        <row r="2485">
          <cell r="AV2485">
            <v>365</v>
          </cell>
          <cell r="AX2485">
            <v>72</v>
          </cell>
        </row>
        <row r="2486">
          <cell r="AV2486">
            <v>365</v>
          </cell>
          <cell r="AX2486">
            <v>12</v>
          </cell>
        </row>
        <row r="2487">
          <cell r="AV2487">
            <v>365</v>
          </cell>
          <cell r="AX2487">
            <v>366</v>
          </cell>
        </row>
        <row r="2488">
          <cell r="D2488" t="str">
            <v>Utilities</v>
          </cell>
          <cell r="E2488" t="str">
            <v>Main PCC</v>
          </cell>
          <cell r="AV2488">
            <v>365</v>
          </cell>
          <cell r="AX2488">
            <v>130</v>
          </cell>
        </row>
        <row r="2489">
          <cell r="D2489" t="str">
            <v>Utilities</v>
          </cell>
          <cell r="E2489" t="str">
            <v>Main PCC</v>
          </cell>
          <cell r="AV2489">
            <v>365</v>
          </cell>
          <cell r="AX2489">
            <v>130</v>
          </cell>
        </row>
        <row r="2490">
          <cell r="AV2490">
            <v>365</v>
          </cell>
          <cell r="AX2490">
            <v>366</v>
          </cell>
          <cell r="AZ2490">
            <v>0.16209999999999999</v>
          </cell>
          <cell r="BA2490">
            <v>365</v>
          </cell>
          <cell r="BB2490">
            <v>2593.6</v>
          </cell>
          <cell r="BC2490">
            <v>49</v>
          </cell>
        </row>
        <row r="2491">
          <cell r="AV2491">
            <v>365</v>
          </cell>
          <cell r="AX2491">
            <v>366</v>
          </cell>
          <cell r="AZ2491">
            <v>6.3299999999999995E-2</v>
          </cell>
          <cell r="BA2491">
            <v>247</v>
          </cell>
          <cell r="BB2491">
            <v>36123.506383561646</v>
          </cell>
        </row>
        <row r="2492">
          <cell r="E2492" t="str">
            <v>GF</v>
          </cell>
          <cell r="AV2492">
            <v>365</v>
          </cell>
          <cell r="AX2492">
            <v>366</v>
          </cell>
        </row>
        <row r="2493">
          <cell r="E2493" t="str">
            <v>GF</v>
          </cell>
          <cell r="AV2493">
            <v>365</v>
          </cell>
          <cell r="AX2493">
            <v>266</v>
          </cell>
        </row>
        <row r="2494">
          <cell r="AV2494">
            <v>365</v>
          </cell>
          <cell r="AX2494">
            <v>267</v>
          </cell>
        </row>
        <row r="2495">
          <cell r="AV2495">
            <v>365</v>
          </cell>
          <cell r="AX2495">
            <v>267</v>
          </cell>
        </row>
        <row r="2496">
          <cell r="AV2496">
            <v>365</v>
          </cell>
          <cell r="AX2496">
            <v>267</v>
          </cell>
        </row>
        <row r="2497">
          <cell r="AV2497">
            <v>365</v>
          </cell>
          <cell r="AX2497">
            <v>267</v>
          </cell>
        </row>
        <row r="2498">
          <cell r="AV2498">
            <v>365</v>
          </cell>
          <cell r="AX2498">
            <v>267</v>
          </cell>
        </row>
        <row r="2499">
          <cell r="AV2499">
            <v>365</v>
          </cell>
          <cell r="AX2499">
            <v>130</v>
          </cell>
        </row>
        <row r="2500">
          <cell r="AV2500">
            <v>365</v>
          </cell>
          <cell r="AX2500">
            <v>130</v>
          </cell>
        </row>
        <row r="2501">
          <cell r="AV2501">
            <v>365</v>
          </cell>
          <cell r="AX2501">
            <v>130</v>
          </cell>
        </row>
        <row r="2502">
          <cell r="AV2502">
            <v>365</v>
          </cell>
          <cell r="AX2502">
            <v>130</v>
          </cell>
        </row>
        <row r="2503">
          <cell r="AV2503">
            <v>365</v>
          </cell>
          <cell r="AX2503">
            <v>130</v>
          </cell>
        </row>
        <row r="2504">
          <cell r="AV2504">
            <v>365</v>
          </cell>
          <cell r="AX2504">
            <v>130</v>
          </cell>
        </row>
        <row r="2505">
          <cell r="AV2505">
            <v>365</v>
          </cell>
          <cell r="AX2505">
            <v>130</v>
          </cell>
        </row>
        <row r="2506">
          <cell r="E2506" t="str">
            <v>SF</v>
          </cell>
          <cell r="AV2506">
            <v>365</v>
          </cell>
          <cell r="AX2506">
            <v>337</v>
          </cell>
        </row>
        <row r="2507">
          <cell r="E2507" t="str">
            <v>FF</v>
          </cell>
          <cell r="F2507" t="str">
            <v>Intermediate</v>
          </cell>
          <cell r="AV2507">
            <v>365</v>
          </cell>
          <cell r="AX2507">
            <v>129</v>
          </cell>
        </row>
        <row r="2508">
          <cell r="E2508" t="str">
            <v>FF</v>
          </cell>
          <cell r="F2508" t="str">
            <v>Intermediate</v>
          </cell>
          <cell r="AV2508">
            <v>365</v>
          </cell>
          <cell r="AX2508">
            <v>129</v>
          </cell>
        </row>
        <row r="2509">
          <cell r="E2509" t="str">
            <v>GF</v>
          </cell>
          <cell r="AV2509">
            <v>365</v>
          </cell>
          <cell r="AX2509">
            <v>336</v>
          </cell>
        </row>
        <row r="2510">
          <cell r="AV2510">
            <v>365</v>
          </cell>
          <cell r="AX2510">
            <v>366</v>
          </cell>
          <cell r="AZ2510">
            <v>6.3299999999999995E-2</v>
          </cell>
          <cell r="BA2510">
            <v>90</v>
          </cell>
          <cell r="BB2510">
            <v>15386.566857534246</v>
          </cell>
        </row>
        <row r="2511">
          <cell r="AX2511">
            <v>366</v>
          </cell>
          <cell r="AZ2511">
            <v>0.16209999999999999</v>
          </cell>
          <cell r="BA2511">
            <v>365</v>
          </cell>
          <cell r="BB2511">
            <v>2382.87</v>
          </cell>
          <cell r="BC2511">
            <v>41</v>
          </cell>
        </row>
        <row r="2512">
          <cell r="AX2512">
            <v>366</v>
          </cell>
          <cell r="AZ2512">
            <v>6.3299999999999995E-2</v>
          </cell>
          <cell r="BA2512">
            <v>59</v>
          </cell>
          <cell r="BB2512">
            <v>149.64380136986301</v>
          </cell>
        </row>
        <row r="2513">
          <cell r="E2513" t="str">
            <v>UTILITY</v>
          </cell>
          <cell r="AV2513">
            <v>365</v>
          </cell>
          <cell r="AX2513">
            <v>130</v>
          </cell>
        </row>
        <row r="2514">
          <cell r="E2514" t="str">
            <v>GF</v>
          </cell>
          <cell r="AV2514">
            <v>365</v>
          </cell>
          <cell r="AX2514">
            <v>130</v>
          </cell>
        </row>
        <row r="2515">
          <cell r="G2515">
            <v>1028</v>
          </cell>
          <cell r="AV2515">
            <v>365</v>
          </cell>
          <cell r="AX2515">
            <v>366</v>
          </cell>
          <cell r="AZ2515">
            <v>0.16209999999999999</v>
          </cell>
          <cell r="BA2515">
            <v>121</v>
          </cell>
          <cell r="BB2515">
            <v>776.50341095890406</v>
          </cell>
        </row>
        <row r="2516">
          <cell r="AV2516">
            <v>365</v>
          </cell>
          <cell r="AX2516">
            <v>72</v>
          </cell>
        </row>
        <row r="2517">
          <cell r="AV2517">
            <v>365</v>
          </cell>
          <cell r="AX2517">
            <v>61</v>
          </cell>
        </row>
        <row r="2518">
          <cell r="AV2518">
            <v>365</v>
          </cell>
          <cell r="AX2518">
            <v>61</v>
          </cell>
        </row>
        <row r="2519">
          <cell r="AV2519">
            <v>365</v>
          </cell>
          <cell r="AX2519">
            <v>61</v>
          </cell>
        </row>
        <row r="2520">
          <cell r="AV2520">
            <v>365</v>
          </cell>
          <cell r="AX2520">
            <v>366</v>
          </cell>
          <cell r="AZ2520">
            <v>0.16209999999999999</v>
          </cell>
          <cell r="BA2520">
            <v>287</v>
          </cell>
          <cell r="BB2520">
            <v>1822.6701643835613</v>
          </cell>
        </row>
        <row r="2521">
          <cell r="AV2521">
            <v>365</v>
          </cell>
          <cell r="AX2521">
            <v>366</v>
          </cell>
          <cell r="AZ2521">
            <v>0.16209999999999999</v>
          </cell>
          <cell r="BA2521">
            <v>274</v>
          </cell>
          <cell r="BB2521">
            <v>1740.1101917808217</v>
          </cell>
        </row>
        <row r="2522">
          <cell r="D2522" t="str">
            <v>GC - IA</v>
          </cell>
          <cell r="E2522" t="str">
            <v>GF</v>
          </cell>
          <cell r="F2522" t="str">
            <v>Intermediate</v>
          </cell>
          <cell r="AV2522">
            <v>365</v>
          </cell>
          <cell r="AX2522">
            <v>27</v>
          </cell>
        </row>
        <row r="2523">
          <cell r="AV2523">
            <v>365</v>
          </cell>
          <cell r="AX2523">
            <v>267</v>
          </cell>
        </row>
        <row r="2524">
          <cell r="AV2524">
            <v>365</v>
          </cell>
          <cell r="AX2524">
            <v>267</v>
          </cell>
        </row>
        <row r="2525">
          <cell r="AV2525">
            <v>365</v>
          </cell>
          <cell r="AX2525">
            <v>267</v>
          </cell>
        </row>
        <row r="2526">
          <cell r="AX2526">
            <v>366</v>
          </cell>
          <cell r="AZ2526">
            <v>0.16209999999999999</v>
          </cell>
          <cell r="BA2526">
            <v>365</v>
          </cell>
          <cell r="BB2526">
            <v>2275.884</v>
          </cell>
          <cell r="BC2526">
            <v>63</v>
          </cell>
        </row>
        <row r="2527">
          <cell r="E2527" t="str">
            <v>FF</v>
          </cell>
          <cell r="F2527" t="str">
            <v>Intermediate</v>
          </cell>
          <cell r="AV2527">
            <v>365</v>
          </cell>
          <cell r="AX2527">
            <v>129</v>
          </cell>
        </row>
        <row r="2528">
          <cell r="E2528" t="str">
            <v>FF</v>
          </cell>
          <cell r="F2528" t="str">
            <v>Intermediate</v>
          </cell>
          <cell r="AV2528">
            <v>365</v>
          </cell>
          <cell r="AX2528">
            <v>129</v>
          </cell>
        </row>
        <row r="2529">
          <cell r="AV2529">
            <v>365</v>
          </cell>
          <cell r="AX2529">
            <v>107</v>
          </cell>
        </row>
        <row r="2530">
          <cell r="AV2530">
            <v>365</v>
          </cell>
          <cell r="AX2530">
            <v>107</v>
          </cell>
        </row>
        <row r="2531">
          <cell r="AV2531">
            <v>365</v>
          </cell>
          <cell r="AX2531">
            <v>107</v>
          </cell>
        </row>
        <row r="2532">
          <cell r="AV2532">
            <v>365</v>
          </cell>
          <cell r="AX2532">
            <v>107</v>
          </cell>
        </row>
        <row r="2533">
          <cell r="AV2533">
            <v>365</v>
          </cell>
          <cell r="AX2533">
            <v>107</v>
          </cell>
        </row>
        <row r="2534">
          <cell r="AV2534">
            <v>365</v>
          </cell>
          <cell r="AX2534">
            <v>107</v>
          </cell>
        </row>
        <row r="2535">
          <cell r="AV2535">
            <v>365</v>
          </cell>
          <cell r="AX2535">
            <v>107</v>
          </cell>
        </row>
        <row r="2536">
          <cell r="AV2536">
            <v>365</v>
          </cell>
          <cell r="AX2536">
            <v>107</v>
          </cell>
        </row>
        <row r="2537">
          <cell r="AV2537">
            <v>365</v>
          </cell>
          <cell r="AX2537">
            <v>107</v>
          </cell>
        </row>
        <row r="2538">
          <cell r="AV2538">
            <v>365</v>
          </cell>
          <cell r="AX2538">
            <v>107</v>
          </cell>
        </row>
        <row r="2539">
          <cell r="AV2539">
            <v>365</v>
          </cell>
          <cell r="AX2539">
            <v>107</v>
          </cell>
        </row>
        <row r="2540">
          <cell r="AV2540">
            <v>365</v>
          </cell>
          <cell r="AX2540">
            <v>107</v>
          </cell>
        </row>
        <row r="2541">
          <cell r="AV2541">
            <v>365</v>
          </cell>
          <cell r="AX2541">
            <v>107</v>
          </cell>
        </row>
        <row r="2542">
          <cell r="AV2542">
            <v>335</v>
          </cell>
        </row>
        <row r="2543">
          <cell r="AV2543">
            <v>365</v>
          </cell>
          <cell r="AX2543">
            <v>21</v>
          </cell>
        </row>
        <row r="2544">
          <cell r="E2544" t="str">
            <v>GF</v>
          </cell>
          <cell r="AV2544">
            <v>365</v>
          </cell>
          <cell r="AX2544">
            <v>130</v>
          </cell>
        </row>
        <row r="2545">
          <cell r="AV2545">
            <v>289</v>
          </cell>
        </row>
        <row r="2546">
          <cell r="E2546" t="str">
            <v>FF</v>
          </cell>
          <cell r="AV2546">
            <v>365</v>
          </cell>
          <cell r="AX2546">
            <v>71</v>
          </cell>
        </row>
        <row r="2547">
          <cell r="AX2547">
            <v>366</v>
          </cell>
          <cell r="AZ2547">
            <v>0.16209999999999999</v>
          </cell>
          <cell r="BA2547">
            <v>358</v>
          </cell>
          <cell r="BB2547">
            <v>2162.2807671232877</v>
          </cell>
        </row>
        <row r="2548">
          <cell r="AV2548">
            <v>365</v>
          </cell>
          <cell r="AX2548">
            <v>129</v>
          </cell>
        </row>
        <row r="2549">
          <cell r="AV2549">
            <v>365</v>
          </cell>
          <cell r="AX2549">
            <v>129</v>
          </cell>
        </row>
        <row r="2550">
          <cell r="AV2550">
            <v>365</v>
          </cell>
          <cell r="AX2550">
            <v>129</v>
          </cell>
        </row>
        <row r="2551">
          <cell r="AV2551">
            <v>365</v>
          </cell>
          <cell r="AX2551">
            <v>129</v>
          </cell>
        </row>
        <row r="2552">
          <cell r="AV2552">
            <v>365</v>
          </cell>
          <cell r="AX2552">
            <v>129</v>
          </cell>
        </row>
        <row r="2553">
          <cell r="AV2553">
            <v>365</v>
          </cell>
          <cell r="AX2553">
            <v>129</v>
          </cell>
        </row>
        <row r="2554">
          <cell r="AV2554">
            <v>365</v>
          </cell>
          <cell r="AX2554">
            <v>129</v>
          </cell>
        </row>
        <row r="2555">
          <cell r="E2555" t="str">
            <v>FF</v>
          </cell>
          <cell r="AV2555">
            <v>365</v>
          </cell>
          <cell r="AX2555">
            <v>267</v>
          </cell>
        </row>
        <row r="2556">
          <cell r="E2556" t="str">
            <v>FF</v>
          </cell>
          <cell r="AV2556">
            <v>365</v>
          </cell>
          <cell r="AX2556">
            <v>267</v>
          </cell>
        </row>
        <row r="2557">
          <cell r="E2557" t="str">
            <v>FF</v>
          </cell>
          <cell r="AV2557">
            <v>365</v>
          </cell>
          <cell r="AX2557">
            <v>267</v>
          </cell>
        </row>
        <row r="2558">
          <cell r="E2558" t="str">
            <v>FF</v>
          </cell>
          <cell r="AV2558">
            <v>365</v>
          </cell>
          <cell r="AX2558">
            <v>267</v>
          </cell>
        </row>
        <row r="2559">
          <cell r="E2559" t="str">
            <v>FF</v>
          </cell>
          <cell r="AV2559">
            <v>365</v>
          </cell>
          <cell r="AX2559">
            <v>267</v>
          </cell>
        </row>
        <row r="2560">
          <cell r="E2560" t="str">
            <v>FF</v>
          </cell>
          <cell r="AV2560">
            <v>365</v>
          </cell>
          <cell r="AX2560">
            <v>267</v>
          </cell>
        </row>
        <row r="2561">
          <cell r="E2561" t="str">
            <v>FF</v>
          </cell>
          <cell r="AV2561">
            <v>365</v>
          </cell>
          <cell r="AX2561">
            <v>267</v>
          </cell>
        </row>
        <row r="2562">
          <cell r="E2562" t="str">
            <v>FF</v>
          </cell>
          <cell r="AV2562">
            <v>365</v>
          </cell>
          <cell r="AX2562">
            <v>267</v>
          </cell>
        </row>
        <row r="2563">
          <cell r="E2563" t="str">
            <v>FF</v>
          </cell>
          <cell r="AV2563">
            <v>365</v>
          </cell>
          <cell r="AX2563">
            <v>267</v>
          </cell>
        </row>
        <row r="2564">
          <cell r="E2564" t="str">
            <v>FF</v>
          </cell>
          <cell r="AV2564">
            <v>365</v>
          </cell>
          <cell r="AX2564">
            <v>267</v>
          </cell>
        </row>
        <row r="2565">
          <cell r="AV2565">
            <v>305</v>
          </cell>
        </row>
        <row r="2566">
          <cell r="AV2566">
            <v>305</v>
          </cell>
        </row>
        <row r="2567">
          <cell r="AV2567">
            <v>365</v>
          </cell>
          <cell r="AX2567">
            <v>366</v>
          </cell>
          <cell r="AZ2567">
            <v>0.16209999999999999</v>
          </cell>
          <cell r="BA2567">
            <v>365</v>
          </cell>
          <cell r="BB2567">
            <v>2188.35</v>
          </cell>
          <cell r="BC2567">
            <v>30</v>
          </cell>
        </row>
        <row r="2568">
          <cell r="AV2568">
            <v>305</v>
          </cell>
        </row>
        <row r="2569">
          <cell r="AV2569">
            <v>365</v>
          </cell>
          <cell r="AX2569">
            <v>221</v>
          </cell>
        </row>
        <row r="2570">
          <cell r="E2570" t="str">
            <v>GF</v>
          </cell>
          <cell r="AV2570">
            <v>365</v>
          </cell>
          <cell r="AX2570">
            <v>130</v>
          </cell>
        </row>
        <row r="2571">
          <cell r="AV2571">
            <v>365</v>
          </cell>
          <cell r="AX2571">
            <v>130</v>
          </cell>
        </row>
        <row r="2572">
          <cell r="E2572" t="str">
            <v>SF</v>
          </cell>
          <cell r="AV2572">
            <v>365</v>
          </cell>
          <cell r="AX2572">
            <v>62</v>
          </cell>
        </row>
        <row r="2573">
          <cell r="AV2573">
            <v>365</v>
          </cell>
          <cell r="AX2573">
            <v>130</v>
          </cell>
        </row>
        <row r="2574">
          <cell r="AV2574">
            <v>365</v>
          </cell>
          <cell r="AX2574">
            <v>181</v>
          </cell>
        </row>
        <row r="2575">
          <cell r="D2575" t="str">
            <v>GC - IA</v>
          </cell>
          <cell r="E2575" t="str">
            <v>GF</v>
          </cell>
          <cell r="F2575" t="str">
            <v>Pharma</v>
          </cell>
          <cell r="AV2575">
            <v>365</v>
          </cell>
          <cell r="AX2575">
            <v>123</v>
          </cell>
        </row>
        <row r="2576">
          <cell r="D2576" t="str">
            <v>GC - IA</v>
          </cell>
          <cell r="E2576" t="str">
            <v>GF</v>
          </cell>
          <cell r="F2576" t="str">
            <v>Intermediate</v>
          </cell>
          <cell r="AV2576">
            <v>365</v>
          </cell>
          <cell r="AX2576">
            <v>123</v>
          </cell>
        </row>
        <row r="2577">
          <cell r="D2577" t="str">
            <v>GC - IA</v>
          </cell>
          <cell r="E2577" t="str">
            <v>GF</v>
          </cell>
          <cell r="F2577" t="str">
            <v>Intermediate</v>
          </cell>
          <cell r="AV2577">
            <v>365</v>
          </cell>
          <cell r="AX2577">
            <v>123</v>
          </cell>
        </row>
        <row r="2578">
          <cell r="D2578" t="str">
            <v>GC- IC</v>
          </cell>
          <cell r="E2578" t="str">
            <v>GF</v>
          </cell>
          <cell r="F2578" t="str">
            <v>Pharma</v>
          </cell>
          <cell r="AV2578">
            <v>365</v>
          </cell>
          <cell r="AX2578">
            <v>129</v>
          </cell>
        </row>
        <row r="2579">
          <cell r="AV2579">
            <v>365</v>
          </cell>
          <cell r="AX2579">
            <v>129</v>
          </cell>
        </row>
        <row r="2580">
          <cell r="AV2580">
            <v>198</v>
          </cell>
        </row>
        <row r="2581">
          <cell r="AV2581">
            <v>365</v>
          </cell>
          <cell r="AX2581">
            <v>154</v>
          </cell>
        </row>
        <row r="2582">
          <cell r="E2582" t="str">
            <v>GF</v>
          </cell>
          <cell r="AV2582">
            <v>365</v>
          </cell>
          <cell r="AX2582">
            <v>130</v>
          </cell>
        </row>
        <row r="2583">
          <cell r="AV2583">
            <v>365</v>
          </cell>
          <cell r="AX2583">
            <v>366</v>
          </cell>
          <cell r="AZ2583">
            <v>0.16209999999999999</v>
          </cell>
          <cell r="BA2583">
            <v>175</v>
          </cell>
          <cell r="BB2583">
            <v>1002.577397260274</v>
          </cell>
        </row>
        <row r="2584">
          <cell r="AV2584">
            <v>365</v>
          </cell>
          <cell r="AX2584">
            <v>267</v>
          </cell>
        </row>
        <row r="2585">
          <cell r="AV2585">
            <v>365</v>
          </cell>
          <cell r="AX2585">
            <v>267</v>
          </cell>
        </row>
        <row r="2586">
          <cell r="AV2586">
            <v>365</v>
          </cell>
          <cell r="AX2586">
            <v>267</v>
          </cell>
        </row>
        <row r="2587">
          <cell r="AV2587">
            <v>365</v>
          </cell>
          <cell r="AX2587">
            <v>267</v>
          </cell>
        </row>
        <row r="2588">
          <cell r="AV2588">
            <v>365</v>
          </cell>
          <cell r="AX2588">
            <v>267</v>
          </cell>
        </row>
        <row r="2589">
          <cell r="AV2589">
            <v>365</v>
          </cell>
          <cell r="AX2589">
            <v>267</v>
          </cell>
        </row>
        <row r="2590">
          <cell r="AV2590">
            <v>365</v>
          </cell>
          <cell r="AX2590">
            <v>366</v>
          </cell>
          <cell r="AZ2590">
            <v>6.3299999999999995E-2</v>
          </cell>
          <cell r="BA2590">
            <v>36</v>
          </cell>
          <cell r="BB2590">
            <v>351.18493150684924</v>
          </cell>
        </row>
        <row r="2591">
          <cell r="AV2591">
            <v>365</v>
          </cell>
          <cell r="AX2591">
            <v>366</v>
          </cell>
          <cell r="AZ2591">
            <v>6.3299999999999995E-2</v>
          </cell>
          <cell r="BA2591">
            <v>36</v>
          </cell>
          <cell r="BB2591">
            <v>109.92244438356164</v>
          </cell>
        </row>
        <row r="2592">
          <cell r="AV2592">
            <v>365</v>
          </cell>
          <cell r="AX2592">
            <v>366</v>
          </cell>
          <cell r="AZ2592">
            <v>6.3299999999999995E-2</v>
          </cell>
          <cell r="BA2592">
            <v>36</v>
          </cell>
          <cell r="BB2592">
            <v>315.33597369863014</v>
          </cell>
        </row>
        <row r="2593">
          <cell r="AV2593">
            <v>365</v>
          </cell>
          <cell r="AX2593">
            <v>366</v>
          </cell>
          <cell r="AZ2593">
            <v>6.3299999999999995E-2</v>
          </cell>
          <cell r="BA2593">
            <v>36</v>
          </cell>
          <cell r="BB2593">
            <v>210.71095890410959</v>
          </cell>
        </row>
        <row r="2594">
          <cell r="AV2594">
            <v>365</v>
          </cell>
          <cell r="AX2594">
            <v>366</v>
          </cell>
          <cell r="AZ2594">
            <v>6.3299999999999995E-2</v>
          </cell>
          <cell r="BA2594">
            <v>36</v>
          </cell>
          <cell r="BB2594">
            <v>790.16609589041093</v>
          </cell>
        </row>
        <row r="2595">
          <cell r="AV2595">
            <v>365</v>
          </cell>
          <cell r="AX2595">
            <v>366</v>
          </cell>
          <cell r="AZ2595">
            <v>6.3299999999999995E-2</v>
          </cell>
          <cell r="BA2595">
            <v>36</v>
          </cell>
          <cell r="BB2595">
            <v>84.354620547945188</v>
          </cell>
        </row>
        <row r="2596">
          <cell r="AV2596">
            <v>365</v>
          </cell>
          <cell r="AX2596">
            <v>366</v>
          </cell>
          <cell r="AZ2596">
            <v>6.3299999999999995E-2</v>
          </cell>
          <cell r="BA2596">
            <v>36</v>
          </cell>
          <cell r="BB2596">
            <v>1158.9102739726027</v>
          </cell>
        </row>
        <row r="2597">
          <cell r="AV2597">
            <v>365</v>
          </cell>
          <cell r="AX2597">
            <v>366</v>
          </cell>
          <cell r="AZ2597">
            <v>6.3299999999999995E-2</v>
          </cell>
          <cell r="BA2597">
            <v>36</v>
          </cell>
          <cell r="BB2597">
            <v>154.52136986301369</v>
          </cell>
        </row>
        <row r="2598">
          <cell r="AV2598">
            <v>365</v>
          </cell>
          <cell r="AX2598">
            <v>366</v>
          </cell>
          <cell r="AZ2598">
            <v>6.3299999999999995E-2</v>
          </cell>
          <cell r="BA2598">
            <v>36</v>
          </cell>
          <cell r="BB2598">
            <v>737.4883561643835</v>
          </cell>
        </row>
        <row r="2599">
          <cell r="AV2599">
            <v>365</v>
          </cell>
          <cell r="AX2599">
            <v>366</v>
          </cell>
          <cell r="AZ2599">
            <v>6.3299999999999995E-2</v>
          </cell>
          <cell r="BA2599">
            <v>36</v>
          </cell>
          <cell r="BB2599">
            <v>56.189589041095886</v>
          </cell>
        </row>
        <row r="2600">
          <cell r="AV2600">
            <v>365</v>
          </cell>
          <cell r="AX2600">
            <v>366</v>
          </cell>
          <cell r="AZ2600">
            <v>6.3299999999999995E-2</v>
          </cell>
          <cell r="BA2600">
            <v>36</v>
          </cell>
          <cell r="BB2600">
            <v>31.606643835616435</v>
          </cell>
        </row>
        <row r="2601">
          <cell r="AV2601">
            <v>365</v>
          </cell>
          <cell r="AX2601">
            <v>366</v>
          </cell>
          <cell r="AZ2601">
            <v>6.3299999999999995E-2</v>
          </cell>
          <cell r="BA2601">
            <v>36</v>
          </cell>
          <cell r="BB2601">
            <v>346.41994231060511</v>
          </cell>
        </row>
        <row r="2602">
          <cell r="AV2602">
            <v>365</v>
          </cell>
          <cell r="AX2602">
            <v>366</v>
          </cell>
          <cell r="AZ2602">
            <v>6.3299999999999995E-2</v>
          </cell>
          <cell r="BA2602">
            <v>36</v>
          </cell>
          <cell r="BB2602">
            <v>278.57937027477823</v>
          </cell>
        </row>
        <row r="2603">
          <cell r="AV2603">
            <v>365</v>
          </cell>
          <cell r="AX2603">
            <v>366</v>
          </cell>
          <cell r="AZ2603">
            <v>6.3299999999999995E-2</v>
          </cell>
          <cell r="BA2603">
            <v>36</v>
          </cell>
          <cell r="BB2603">
            <v>682.15860306663319</v>
          </cell>
        </row>
        <row r="2604">
          <cell r="AV2604">
            <v>365</v>
          </cell>
          <cell r="AX2604">
            <v>366</v>
          </cell>
          <cell r="AZ2604">
            <v>6.3299999999999995E-2</v>
          </cell>
          <cell r="BA2604">
            <v>36</v>
          </cell>
          <cell r="BB2604">
            <v>155.88897403977228</v>
          </cell>
        </row>
        <row r="2605">
          <cell r="AV2605">
            <v>365</v>
          </cell>
          <cell r="AX2605">
            <v>366</v>
          </cell>
          <cell r="AZ2605">
            <v>6.3299999999999995E-2</v>
          </cell>
          <cell r="BA2605">
            <v>36</v>
          </cell>
          <cell r="BB2605">
            <v>180.42705328677349</v>
          </cell>
        </row>
        <row r="2606">
          <cell r="AV2606">
            <v>365</v>
          </cell>
          <cell r="AX2606">
            <v>366</v>
          </cell>
          <cell r="AZ2606">
            <v>6.3299999999999995E-2</v>
          </cell>
          <cell r="BA2606">
            <v>36</v>
          </cell>
          <cell r="BB2606">
            <v>329.09894519507486</v>
          </cell>
        </row>
        <row r="2607">
          <cell r="AV2607">
            <v>365</v>
          </cell>
          <cell r="AX2607">
            <v>366</v>
          </cell>
          <cell r="AZ2607">
            <v>6.3299999999999995E-2</v>
          </cell>
          <cell r="BA2607">
            <v>36</v>
          </cell>
          <cell r="BB2607">
            <v>144.34164262941877</v>
          </cell>
        </row>
        <row r="2608">
          <cell r="AV2608">
            <v>365</v>
          </cell>
          <cell r="AX2608">
            <v>366</v>
          </cell>
          <cell r="AZ2608">
            <v>6.3299999999999995E-2</v>
          </cell>
          <cell r="BA2608">
            <v>36</v>
          </cell>
          <cell r="BB2608">
            <v>142.60954291786578</v>
          </cell>
        </row>
        <row r="2609">
          <cell r="AV2609">
            <v>365</v>
          </cell>
          <cell r="AX2609">
            <v>366</v>
          </cell>
          <cell r="AZ2609">
            <v>6.3299999999999995E-2</v>
          </cell>
          <cell r="BA2609">
            <v>36</v>
          </cell>
          <cell r="BB2609">
            <v>207.85196538636308</v>
          </cell>
        </row>
        <row r="2610">
          <cell r="AV2610">
            <v>365</v>
          </cell>
          <cell r="AX2610">
            <v>366</v>
          </cell>
          <cell r="AZ2610">
            <v>6.3299999999999995E-2</v>
          </cell>
          <cell r="BA2610">
            <v>36</v>
          </cell>
          <cell r="BB2610">
            <v>968.53242204340006</v>
          </cell>
        </row>
        <row r="2611">
          <cell r="AV2611">
            <v>198</v>
          </cell>
        </row>
        <row r="2612">
          <cell r="D2612" t="str">
            <v>Utilities</v>
          </cell>
          <cell r="E2612" t="str">
            <v>UTILITY</v>
          </cell>
          <cell r="AV2612">
            <v>365</v>
          </cell>
          <cell r="AX2612">
            <v>130</v>
          </cell>
        </row>
        <row r="2613">
          <cell r="AV2613">
            <v>365</v>
          </cell>
          <cell r="AX2613">
            <v>366</v>
          </cell>
          <cell r="AZ2613">
            <v>0.16209999999999999</v>
          </cell>
          <cell r="BA2613">
            <v>365</v>
          </cell>
          <cell r="BB2613">
            <v>1989.7774999999999</v>
          </cell>
          <cell r="BC2613">
            <v>49</v>
          </cell>
        </row>
        <row r="2614">
          <cell r="E2614" t="str">
            <v>TF</v>
          </cell>
          <cell r="AV2614">
            <v>365</v>
          </cell>
          <cell r="AX2614">
            <v>62</v>
          </cell>
        </row>
        <row r="2615">
          <cell r="E2615" t="str">
            <v>GF</v>
          </cell>
          <cell r="AV2615">
            <v>365</v>
          </cell>
          <cell r="AX2615">
            <v>130</v>
          </cell>
        </row>
        <row r="2616">
          <cell r="AV2616">
            <v>365</v>
          </cell>
          <cell r="AX2616">
            <v>366</v>
          </cell>
          <cell r="AZ2616">
            <v>6.3299999999999995E-2</v>
          </cell>
          <cell r="BA2616">
            <v>10</v>
          </cell>
          <cell r="BB2616">
            <v>2223.3439972602737</v>
          </cell>
        </row>
        <row r="2617">
          <cell r="AV2617">
            <v>365</v>
          </cell>
          <cell r="AX2617">
            <v>336</v>
          </cell>
        </row>
        <row r="2618">
          <cell r="AV2618">
            <v>365</v>
          </cell>
          <cell r="AX2618">
            <v>336</v>
          </cell>
        </row>
        <row r="2619">
          <cell r="AV2619">
            <v>365</v>
          </cell>
          <cell r="AX2619">
            <v>336</v>
          </cell>
        </row>
        <row r="2620">
          <cell r="AV2620">
            <v>365</v>
          </cell>
          <cell r="AX2620">
            <v>336</v>
          </cell>
        </row>
        <row r="2621">
          <cell r="AV2621">
            <v>365</v>
          </cell>
          <cell r="AX2621">
            <v>336</v>
          </cell>
        </row>
        <row r="2622">
          <cell r="AV2622">
            <v>365</v>
          </cell>
          <cell r="AX2622">
            <v>336</v>
          </cell>
        </row>
        <row r="2623">
          <cell r="AV2623">
            <v>365</v>
          </cell>
          <cell r="AX2623">
            <v>336</v>
          </cell>
        </row>
        <row r="2624">
          <cell r="AV2624">
            <v>365</v>
          </cell>
          <cell r="AX2624">
            <v>336</v>
          </cell>
        </row>
        <row r="2625">
          <cell r="AV2625">
            <v>365</v>
          </cell>
          <cell r="AX2625">
            <v>336</v>
          </cell>
        </row>
        <row r="2626">
          <cell r="AV2626">
            <v>365</v>
          </cell>
          <cell r="AX2626">
            <v>336</v>
          </cell>
        </row>
        <row r="2627">
          <cell r="AV2627">
            <v>365</v>
          </cell>
          <cell r="AX2627">
            <v>1</v>
          </cell>
        </row>
        <row r="2628">
          <cell r="AV2628">
            <v>365</v>
          </cell>
          <cell r="AX2628">
            <v>1</v>
          </cell>
        </row>
        <row r="2629">
          <cell r="AV2629">
            <v>365</v>
          </cell>
          <cell r="AX2629">
            <v>1</v>
          </cell>
        </row>
        <row r="2630">
          <cell r="AV2630">
            <v>365</v>
          </cell>
          <cell r="AX2630">
            <v>1</v>
          </cell>
        </row>
        <row r="2631">
          <cell r="AV2631">
            <v>365</v>
          </cell>
          <cell r="AX2631">
            <v>1</v>
          </cell>
        </row>
        <row r="2632">
          <cell r="AV2632">
            <v>365</v>
          </cell>
          <cell r="AX2632">
            <v>1</v>
          </cell>
        </row>
        <row r="2633">
          <cell r="AV2633">
            <v>365</v>
          </cell>
          <cell r="AX2633">
            <v>1</v>
          </cell>
        </row>
        <row r="2634">
          <cell r="AV2634">
            <v>365</v>
          </cell>
          <cell r="AX2634">
            <v>366</v>
          </cell>
          <cell r="AZ2634">
            <v>6.3299999999999995E-2</v>
          </cell>
          <cell r="BA2634">
            <v>70</v>
          </cell>
          <cell r="BB2634">
            <v>14820.699542465751</v>
          </cell>
        </row>
        <row r="2635">
          <cell r="AV2635">
            <v>365</v>
          </cell>
          <cell r="AX2635">
            <v>184</v>
          </cell>
        </row>
        <row r="2636">
          <cell r="AV2636">
            <v>365</v>
          </cell>
          <cell r="AX2636">
            <v>184</v>
          </cell>
        </row>
        <row r="2637">
          <cell r="AV2637">
            <v>365</v>
          </cell>
          <cell r="AX2637">
            <v>184</v>
          </cell>
        </row>
        <row r="2638">
          <cell r="AV2638">
            <v>365</v>
          </cell>
          <cell r="AX2638">
            <v>184</v>
          </cell>
        </row>
        <row r="2639">
          <cell r="AV2639">
            <v>365</v>
          </cell>
          <cell r="AX2639">
            <v>184</v>
          </cell>
        </row>
        <row r="2640">
          <cell r="AV2640">
            <v>365</v>
          </cell>
          <cell r="AX2640">
            <v>184</v>
          </cell>
        </row>
        <row r="2641">
          <cell r="AV2641">
            <v>365</v>
          </cell>
          <cell r="AX2641">
            <v>184</v>
          </cell>
        </row>
        <row r="2642">
          <cell r="E2642" t="str">
            <v>GF</v>
          </cell>
          <cell r="AV2642">
            <v>365</v>
          </cell>
          <cell r="AX2642">
            <v>130</v>
          </cell>
        </row>
        <row r="2643">
          <cell r="E2643" t="str">
            <v>FF</v>
          </cell>
          <cell r="AV2643">
            <v>365</v>
          </cell>
          <cell r="AX2643">
            <v>245</v>
          </cell>
        </row>
        <row r="2644">
          <cell r="E2644" t="str">
            <v>FF</v>
          </cell>
          <cell r="AV2644">
            <v>365</v>
          </cell>
          <cell r="AX2644">
            <v>245</v>
          </cell>
        </row>
        <row r="2645">
          <cell r="E2645" t="str">
            <v>FF</v>
          </cell>
          <cell r="AV2645">
            <v>365</v>
          </cell>
          <cell r="AX2645">
            <v>245</v>
          </cell>
        </row>
        <row r="2646">
          <cell r="E2646" t="str">
            <v>FF</v>
          </cell>
          <cell r="AV2646">
            <v>365</v>
          </cell>
          <cell r="AX2646">
            <v>245</v>
          </cell>
        </row>
        <row r="2647">
          <cell r="E2647" t="str">
            <v>FF</v>
          </cell>
          <cell r="AV2647">
            <v>365</v>
          </cell>
          <cell r="AX2647">
            <v>245</v>
          </cell>
        </row>
        <row r="2648">
          <cell r="AV2648">
            <v>305</v>
          </cell>
        </row>
        <row r="2649">
          <cell r="AV2649">
            <v>265</v>
          </cell>
        </row>
        <row r="2650">
          <cell r="AV2650">
            <v>365</v>
          </cell>
          <cell r="AX2650">
            <v>276</v>
          </cell>
        </row>
        <row r="2651">
          <cell r="AV2651">
            <v>365</v>
          </cell>
          <cell r="AX2651">
            <v>366</v>
          </cell>
          <cell r="AZ2651">
            <v>6.3299999999999995E-2</v>
          </cell>
          <cell r="BA2651">
            <v>343</v>
          </cell>
          <cell r="BB2651">
            <v>682.58644520547944</v>
          </cell>
        </row>
        <row r="2652">
          <cell r="AV2652">
            <v>365</v>
          </cell>
          <cell r="AX2652">
            <v>366</v>
          </cell>
          <cell r="AZ2652">
            <v>6.3299999999999995E-2</v>
          </cell>
          <cell r="BA2652">
            <v>218</v>
          </cell>
          <cell r="BB2652">
            <v>23555.008701369861</v>
          </cell>
        </row>
        <row r="2653">
          <cell r="AV2653">
            <v>365</v>
          </cell>
          <cell r="AX2653">
            <v>366</v>
          </cell>
          <cell r="AZ2653">
            <v>6.3299999999999995E-2</v>
          </cell>
          <cell r="BA2653">
            <v>218</v>
          </cell>
          <cell r="BB2653">
            <v>3212.0466410958902</v>
          </cell>
        </row>
        <row r="2654">
          <cell r="AV2654">
            <v>365</v>
          </cell>
          <cell r="AX2654">
            <v>366</v>
          </cell>
          <cell r="AZ2654">
            <v>6.3299999999999995E-2</v>
          </cell>
          <cell r="BA2654">
            <v>218</v>
          </cell>
          <cell r="BB2654">
            <v>11599.057315068492</v>
          </cell>
        </row>
        <row r="2655">
          <cell r="AV2655">
            <v>365</v>
          </cell>
          <cell r="AX2655">
            <v>366</v>
          </cell>
          <cell r="AZ2655">
            <v>6.3299999999999995E-2</v>
          </cell>
          <cell r="BA2655">
            <v>218</v>
          </cell>
          <cell r="BB2655">
            <v>1070.68221369863</v>
          </cell>
        </row>
        <row r="2656">
          <cell r="AV2656">
            <v>365</v>
          </cell>
          <cell r="AX2656">
            <v>366</v>
          </cell>
          <cell r="AZ2656">
            <v>6.3299999999999995E-2</v>
          </cell>
          <cell r="BA2656">
            <v>218</v>
          </cell>
          <cell r="BB2656">
            <v>803.01166027397255</v>
          </cell>
        </row>
        <row r="2657">
          <cell r="AV2657">
            <v>365</v>
          </cell>
          <cell r="AX2657">
            <v>366</v>
          </cell>
          <cell r="AZ2657">
            <v>6.3299999999999995E-2</v>
          </cell>
          <cell r="BA2657">
            <v>218</v>
          </cell>
          <cell r="BB2657">
            <v>1606.0233205479451</v>
          </cell>
        </row>
        <row r="2658">
          <cell r="AV2658">
            <v>365</v>
          </cell>
          <cell r="AX2658">
            <v>366</v>
          </cell>
          <cell r="AZ2658">
            <v>6.3299999999999995E-2</v>
          </cell>
          <cell r="BA2658">
            <v>218</v>
          </cell>
          <cell r="BB2658">
            <v>224.84326487671237</v>
          </cell>
        </row>
        <row r="2659">
          <cell r="AV2659">
            <v>365</v>
          </cell>
          <cell r="AX2659">
            <v>366</v>
          </cell>
          <cell r="AZ2659">
            <v>6.3299999999999995E-2</v>
          </cell>
          <cell r="BA2659">
            <v>123</v>
          </cell>
          <cell r="BB2659">
            <v>24488.255342465749</v>
          </cell>
        </row>
        <row r="2660">
          <cell r="AV2660">
            <v>365</v>
          </cell>
          <cell r="AX2660">
            <v>366</v>
          </cell>
          <cell r="AZ2660">
            <v>6.3299999999999995E-2</v>
          </cell>
          <cell r="BA2660">
            <v>123</v>
          </cell>
          <cell r="BB2660">
            <v>1077.0139479452055</v>
          </cell>
        </row>
        <row r="2661">
          <cell r="AV2661">
            <v>365</v>
          </cell>
          <cell r="AX2661">
            <v>366</v>
          </cell>
          <cell r="AZ2661">
            <v>6.3299999999999995E-2</v>
          </cell>
          <cell r="BA2661">
            <v>123</v>
          </cell>
          <cell r="BB2661">
            <v>511.94958904109581</v>
          </cell>
        </row>
        <row r="2662">
          <cell r="AV2662">
            <v>365</v>
          </cell>
          <cell r="AX2662">
            <v>266</v>
          </cell>
        </row>
        <row r="2663">
          <cell r="AX2663">
            <v>122</v>
          </cell>
        </row>
        <row r="2664">
          <cell r="AV2664">
            <v>289</v>
          </cell>
        </row>
        <row r="2665">
          <cell r="E2665" t="str">
            <v>GF</v>
          </cell>
          <cell r="AV2665">
            <v>365</v>
          </cell>
          <cell r="AX2665">
            <v>336</v>
          </cell>
        </row>
        <row r="2666">
          <cell r="E2666" t="str">
            <v>GF</v>
          </cell>
          <cell r="AV2666">
            <v>365</v>
          </cell>
          <cell r="AX2666">
            <v>336</v>
          </cell>
        </row>
        <row r="2667">
          <cell r="E2667" t="str">
            <v>FF</v>
          </cell>
          <cell r="AV2667">
            <v>365</v>
          </cell>
          <cell r="AX2667">
            <v>366</v>
          </cell>
        </row>
        <row r="2668">
          <cell r="AV2668">
            <v>365</v>
          </cell>
          <cell r="AX2668">
            <v>108</v>
          </cell>
        </row>
        <row r="2669">
          <cell r="AV2669">
            <v>365</v>
          </cell>
          <cell r="AX2669">
            <v>130</v>
          </cell>
        </row>
        <row r="2670">
          <cell r="AV2670">
            <v>365</v>
          </cell>
          <cell r="AX2670">
            <v>130</v>
          </cell>
        </row>
        <row r="2671">
          <cell r="AV2671">
            <v>365</v>
          </cell>
          <cell r="AX2671">
            <v>130</v>
          </cell>
        </row>
        <row r="2672">
          <cell r="AV2672">
            <v>365</v>
          </cell>
          <cell r="AX2672">
            <v>366</v>
          </cell>
          <cell r="AZ2672">
            <v>0.16209999999999999</v>
          </cell>
          <cell r="BA2672">
            <v>178</v>
          </cell>
          <cell r="BB2672">
            <v>52790.596273972595</v>
          </cell>
        </row>
        <row r="2673">
          <cell r="D2673" t="str">
            <v>R&amp;D</v>
          </cell>
          <cell r="AV2673">
            <v>365</v>
          </cell>
          <cell r="AX2673">
            <v>167</v>
          </cell>
        </row>
        <row r="2674">
          <cell r="AV2674">
            <v>289</v>
          </cell>
        </row>
        <row r="2675">
          <cell r="AV2675">
            <v>365</v>
          </cell>
          <cell r="AX2675">
            <v>130</v>
          </cell>
        </row>
        <row r="2676">
          <cell r="AV2676">
            <v>365</v>
          </cell>
          <cell r="AX2676">
            <v>130</v>
          </cell>
        </row>
        <row r="2677">
          <cell r="AV2677">
            <v>365</v>
          </cell>
          <cell r="AX2677">
            <v>130</v>
          </cell>
        </row>
        <row r="2678">
          <cell r="AV2678">
            <v>365</v>
          </cell>
          <cell r="AX2678">
            <v>130</v>
          </cell>
        </row>
        <row r="2679">
          <cell r="AV2679">
            <v>365</v>
          </cell>
          <cell r="AX2679">
            <v>267</v>
          </cell>
        </row>
        <row r="2680">
          <cell r="AV2680">
            <v>365</v>
          </cell>
          <cell r="AX2680">
            <v>267</v>
          </cell>
        </row>
        <row r="2681">
          <cell r="AV2681">
            <v>365</v>
          </cell>
          <cell r="AX2681">
            <v>1</v>
          </cell>
        </row>
        <row r="2682">
          <cell r="E2682" t="str">
            <v>GF (50%)</v>
          </cell>
          <cell r="AV2682">
            <v>365</v>
          </cell>
          <cell r="AX2682">
            <v>60</v>
          </cell>
        </row>
        <row r="2683">
          <cell r="AV2683">
            <v>365</v>
          </cell>
          <cell r="AX2683">
            <v>125</v>
          </cell>
        </row>
        <row r="2684">
          <cell r="AV2684">
            <v>365</v>
          </cell>
          <cell r="AX2684">
            <v>125</v>
          </cell>
        </row>
        <row r="2685">
          <cell r="AV2685">
            <v>365</v>
          </cell>
          <cell r="AX2685">
            <v>125</v>
          </cell>
        </row>
        <row r="2686">
          <cell r="AV2686">
            <v>365</v>
          </cell>
          <cell r="AX2686">
            <v>125</v>
          </cell>
        </row>
        <row r="2687">
          <cell r="AV2687">
            <v>365</v>
          </cell>
          <cell r="AX2687">
            <v>125</v>
          </cell>
        </row>
        <row r="2688">
          <cell r="AV2688">
            <v>365</v>
          </cell>
          <cell r="AX2688">
            <v>125</v>
          </cell>
        </row>
        <row r="2689">
          <cell r="AV2689">
            <v>365</v>
          </cell>
          <cell r="AX2689">
            <v>125</v>
          </cell>
        </row>
        <row r="2690">
          <cell r="AV2690">
            <v>365</v>
          </cell>
          <cell r="AX2690">
            <v>125</v>
          </cell>
        </row>
        <row r="2691">
          <cell r="D2691" t="str">
            <v>Utilities</v>
          </cell>
          <cell r="E2691" t="str">
            <v>UTILITY</v>
          </cell>
          <cell r="AV2691">
            <v>365</v>
          </cell>
          <cell r="AX2691">
            <v>130</v>
          </cell>
        </row>
        <row r="2692">
          <cell r="AV2692">
            <v>365</v>
          </cell>
          <cell r="AX2692">
            <v>180</v>
          </cell>
        </row>
        <row r="2693">
          <cell r="AV2693">
            <v>289</v>
          </cell>
        </row>
        <row r="2694">
          <cell r="AV2694">
            <v>365</v>
          </cell>
          <cell r="AX2694">
            <v>19</v>
          </cell>
        </row>
        <row r="2695">
          <cell r="AV2695">
            <v>365</v>
          </cell>
          <cell r="AX2695">
            <v>19</v>
          </cell>
        </row>
        <row r="2696">
          <cell r="AV2696">
            <v>365</v>
          </cell>
          <cell r="AX2696">
            <v>19</v>
          </cell>
        </row>
        <row r="2697">
          <cell r="AV2697">
            <v>365</v>
          </cell>
          <cell r="AX2697">
            <v>19</v>
          </cell>
        </row>
        <row r="2698">
          <cell r="AV2698">
            <v>365</v>
          </cell>
          <cell r="AX2698">
            <v>19</v>
          </cell>
        </row>
        <row r="2699">
          <cell r="AV2699">
            <v>365</v>
          </cell>
          <cell r="AX2699">
            <v>19</v>
          </cell>
        </row>
        <row r="2700">
          <cell r="AV2700">
            <v>365</v>
          </cell>
          <cell r="AX2700">
            <v>19</v>
          </cell>
        </row>
        <row r="2701">
          <cell r="AV2701">
            <v>365</v>
          </cell>
          <cell r="AX2701">
            <v>19</v>
          </cell>
        </row>
        <row r="2702">
          <cell r="E2702" t="str">
            <v>FF</v>
          </cell>
          <cell r="AV2702">
            <v>365</v>
          </cell>
          <cell r="AX2702">
            <v>266</v>
          </cell>
        </row>
        <row r="2703">
          <cell r="E2703" t="str">
            <v>SF</v>
          </cell>
          <cell r="F2703" t="str">
            <v>Terrace</v>
          </cell>
          <cell r="AV2703">
            <v>365</v>
          </cell>
          <cell r="AX2703">
            <v>21</v>
          </cell>
        </row>
        <row r="2704">
          <cell r="E2704" t="str">
            <v>SF</v>
          </cell>
          <cell r="F2704" t="str">
            <v>Terrace</v>
          </cell>
          <cell r="AV2704">
            <v>365</v>
          </cell>
          <cell r="AX2704">
            <v>21</v>
          </cell>
        </row>
        <row r="2705">
          <cell r="E2705" t="str">
            <v>SF</v>
          </cell>
          <cell r="F2705" t="str">
            <v>Terrace</v>
          </cell>
          <cell r="AV2705">
            <v>365</v>
          </cell>
          <cell r="AX2705">
            <v>21</v>
          </cell>
        </row>
        <row r="2706">
          <cell r="E2706" t="str">
            <v>SF</v>
          </cell>
          <cell r="AV2706">
            <v>365</v>
          </cell>
          <cell r="AX2706">
            <v>21</v>
          </cell>
        </row>
        <row r="2707">
          <cell r="E2707" t="str">
            <v>SF</v>
          </cell>
          <cell r="AV2707">
            <v>365</v>
          </cell>
          <cell r="AX2707">
            <v>21</v>
          </cell>
        </row>
        <row r="2708">
          <cell r="E2708" t="str">
            <v>SF</v>
          </cell>
          <cell r="AV2708">
            <v>365</v>
          </cell>
          <cell r="AX2708">
            <v>21</v>
          </cell>
        </row>
        <row r="2709">
          <cell r="E2709" t="str">
            <v>SF</v>
          </cell>
          <cell r="AV2709">
            <v>365</v>
          </cell>
          <cell r="AX2709">
            <v>21</v>
          </cell>
        </row>
        <row r="2710">
          <cell r="E2710" t="str">
            <v>SF</v>
          </cell>
          <cell r="AV2710">
            <v>365</v>
          </cell>
          <cell r="AX2710">
            <v>21</v>
          </cell>
        </row>
        <row r="2711">
          <cell r="E2711" t="str">
            <v>SF</v>
          </cell>
          <cell r="AV2711">
            <v>365</v>
          </cell>
          <cell r="AX2711">
            <v>21</v>
          </cell>
        </row>
        <row r="2712">
          <cell r="E2712" t="str">
            <v>SF</v>
          </cell>
          <cell r="AV2712">
            <v>365</v>
          </cell>
          <cell r="AX2712">
            <v>21</v>
          </cell>
        </row>
        <row r="2713">
          <cell r="E2713" t="str">
            <v>SF</v>
          </cell>
          <cell r="AV2713">
            <v>365</v>
          </cell>
          <cell r="AX2713">
            <v>21</v>
          </cell>
        </row>
        <row r="2714">
          <cell r="E2714" t="str">
            <v>SF</v>
          </cell>
          <cell r="AV2714">
            <v>365</v>
          </cell>
          <cell r="AX2714">
            <v>21</v>
          </cell>
        </row>
        <row r="2715">
          <cell r="E2715" t="str">
            <v>SF</v>
          </cell>
          <cell r="AV2715">
            <v>365</v>
          </cell>
          <cell r="AX2715">
            <v>21</v>
          </cell>
        </row>
        <row r="2716">
          <cell r="E2716" t="str">
            <v>SF</v>
          </cell>
          <cell r="AV2716">
            <v>365</v>
          </cell>
          <cell r="AX2716">
            <v>21</v>
          </cell>
        </row>
        <row r="2717">
          <cell r="E2717" t="str">
            <v>SF</v>
          </cell>
          <cell r="AV2717">
            <v>365</v>
          </cell>
          <cell r="AX2717">
            <v>21</v>
          </cell>
        </row>
        <row r="2718">
          <cell r="E2718" t="str">
            <v>SF</v>
          </cell>
          <cell r="AV2718">
            <v>365</v>
          </cell>
          <cell r="AX2718">
            <v>21</v>
          </cell>
        </row>
        <row r="2719">
          <cell r="E2719" t="str">
            <v>SF</v>
          </cell>
          <cell r="AV2719">
            <v>365</v>
          </cell>
          <cell r="AX2719">
            <v>21</v>
          </cell>
        </row>
        <row r="2720">
          <cell r="E2720" t="str">
            <v>SF</v>
          </cell>
          <cell r="AV2720">
            <v>365</v>
          </cell>
          <cell r="AX2720">
            <v>21</v>
          </cell>
        </row>
        <row r="2721">
          <cell r="E2721" t="str">
            <v>SF</v>
          </cell>
          <cell r="AV2721">
            <v>365</v>
          </cell>
          <cell r="AX2721">
            <v>21</v>
          </cell>
        </row>
        <row r="2722">
          <cell r="E2722" t="str">
            <v>SF</v>
          </cell>
          <cell r="AV2722">
            <v>365</v>
          </cell>
          <cell r="AX2722">
            <v>21</v>
          </cell>
        </row>
        <row r="2723">
          <cell r="E2723" t="str">
            <v>SF</v>
          </cell>
          <cell r="AV2723">
            <v>365</v>
          </cell>
          <cell r="AX2723">
            <v>21</v>
          </cell>
        </row>
        <row r="2724">
          <cell r="AV2724">
            <v>365</v>
          </cell>
          <cell r="AX2724">
            <v>366</v>
          </cell>
          <cell r="AZ2724">
            <v>6.3299999999999995E-2</v>
          </cell>
          <cell r="BA2724">
            <v>52</v>
          </cell>
          <cell r="BB2724">
            <v>85.671780821917793</v>
          </cell>
        </row>
        <row r="2725">
          <cell r="AV2725">
            <v>289</v>
          </cell>
        </row>
        <row r="2726">
          <cell r="E2726" t="str">
            <v>GF</v>
          </cell>
          <cell r="AV2726">
            <v>365</v>
          </cell>
          <cell r="AX2726">
            <v>130</v>
          </cell>
        </row>
        <row r="2727">
          <cell r="AX2727">
            <v>366</v>
          </cell>
          <cell r="AZ2727">
            <v>0.16209999999999999</v>
          </cell>
          <cell r="BA2727">
            <v>352</v>
          </cell>
          <cell r="BB2727">
            <v>1469.469808219178</v>
          </cell>
        </row>
        <row r="2728">
          <cell r="AX2728">
            <v>366</v>
          </cell>
          <cell r="AZ2728">
            <v>0.16209999999999999</v>
          </cell>
          <cell r="BA2728">
            <v>231</v>
          </cell>
          <cell r="BB2728">
            <v>964.33956164383551</v>
          </cell>
        </row>
        <row r="2729">
          <cell r="AV2729">
            <v>365</v>
          </cell>
          <cell r="AX2729">
            <v>141</v>
          </cell>
        </row>
        <row r="2730">
          <cell r="AV2730">
            <v>365</v>
          </cell>
          <cell r="AX2730">
            <v>129</v>
          </cell>
        </row>
        <row r="2731">
          <cell r="AV2731">
            <v>365</v>
          </cell>
          <cell r="AX2731">
            <v>129</v>
          </cell>
        </row>
        <row r="2732">
          <cell r="AV2732">
            <v>365</v>
          </cell>
          <cell r="AX2732">
            <v>129</v>
          </cell>
        </row>
        <row r="2733">
          <cell r="AV2733">
            <v>365</v>
          </cell>
          <cell r="AX2733">
            <v>129</v>
          </cell>
        </row>
        <row r="2734">
          <cell r="AV2734">
            <v>365</v>
          </cell>
          <cell r="AX2734">
            <v>129</v>
          </cell>
        </row>
        <row r="2735">
          <cell r="AV2735">
            <v>365</v>
          </cell>
          <cell r="AX2735">
            <v>366</v>
          </cell>
          <cell r="AZ2735">
            <v>0.16209999999999999</v>
          </cell>
          <cell r="BA2735">
            <v>245</v>
          </cell>
          <cell r="BB2735">
            <v>1017.3440410958904</v>
          </cell>
        </row>
        <row r="2736">
          <cell r="AV2736">
            <v>365</v>
          </cell>
          <cell r="AX2736">
            <v>113</v>
          </cell>
        </row>
        <row r="2737">
          <cell r="AV2737">
            <v>365</v>
          </cell>
          <cell r="AX2737">
            <v>130</v>
          </cell>
        </row>
        <row r="2738">
          <cell r="AV2738">
            <v>365</v>
          </cell>
          <cell r="AX2738">
            <v>130</v>
          </cell>
        </row>
        <row r="2739">
          <cell r="AV2739">
            <v>365</v>
          </cell>
          <cell r="AX2739">
            <v>130</v>
          </cell>
        </row>
        <row r="2740">
          <cell r="AV2740">
            <v>365</v>
          </cell>
          <cell r="AX2740">
            <v>130</v>
          </cell>
        </row>
        <row r="2741">
          <cell r="AV2741">
            <v>365</v>
          </cell>
          <cell r="AX2741">
            <v>366</v>
          </cell>
          <cell r="AZ2741">
            <v>0.16209999999999999</v>
          </cell>
          <cell r="BA2741">
            <v>212</v>
          </cell>
          <cell r="BB2741">
            <v>4170.6201005084304</v>
          </cell>
        </row>
        <row r="2742">
          <cell r="AV2742">
            <v>365</v>
          </cell>
          <cell r="AX2742">
            <v>366</v>
          </cell>
          <cell r="AZ2742">
            <v>0.16209999999999999</v>
          </cell>
          <cell r="BA2742">
            <v>212</v>
          </cell>
          <cell r="BB2742">
            <v>2143.8235726027397</v>
          </cell>
        </row>
        <row r="2743">
          <cell r="AV2743">
            <v>365</v>
          </cell>
          <cell r="AX2743">
            <v>366</v>
          </cell>
          <cell r="AZ2743">
            <v>0.16209999999999999</v>
          </cell>
          <cell r="BA2743">
            <v>212</v>
          </cell>
          <cell r="BB2743">
            <v>5261.6683968439711</v>
          </cell>
        </row>
        <row r="2744">
          <cell r="AV2744">
            <v>365</v>
          </cell>
          <cell r="AX2744">
            <v>366</v>
          </cell>
          <cell r="AZ2744">
            <v>0.16209999999999999</v>
          </cell>
          <cell r="BA2744">
            <v>212</v>
          </cell>
          <cell r="BB2744">
            <v>5450.2136093443514</v>
          </cell>
        </row>
        <row r="2745">
          <cell r="AV2745">
            <v>365</v>
          </cell>
          <cell r="AX2745">
            <v>366</v>
          </cell>
          <cell r="AZ2745">
            <v>0.16209999999999999</v>
          </cell>
          <cell r="BA2745">
            <v>212</v>
          </cell>
          <cell r="BB2745">
            <v>2994.0979745060531</v>
          </cell>
        </row>
        <row r="2746">
          <cell r="AV2746">
            <v>365</v>
          </cell>
          <cell r="AX2746">
            <v>366</v>
          </cell>
          <cell r="AZ2746">
            <v>0.16209999999999999</v>
          </cell>
          <cell r="BA2746">
            <v>212</v>
          </cell>
          <cell r="BB2746">
            <v>1317.9310353776643</v>
          </cell>
        </row>
        <row r="2747">
          <cell r="AV2747">
            <v>365</v>
          </cell>
          <cell r="AX2747">
            <v>366</v>
          </cell>
          <cell r="AZ2747">
            <v>0.16209999999999999</v>
          </cell>
          <cell r="BA2747">
            <v>212</v>
          </cell>
          <cell r="BB2747">
            <v>3672.8607395074259</v>
          </cell>
        </row>
        <row r="2748">
          <cell r="AV2748">
            <v>365</v>
          </cell>
          <cell r="AX2748">
            <v>366</v>
          </cell>
          <cell r="AZ2748">
            <v>0.16209999999999999</v>
          </cell>
          <cell r="BA2748">
            <v>212</v>
          </cell>
          <cell r="BB2748">
            <v>697.66063561643841</v>
          </cell>
        </row>
        <row r="2749">
          <cell r="F2749" t="str">
            <v>GB</v>
          </cell>
          <cell r="AV2749">
            <v>365</v>
          </cell>
          <cell r="AX2749">
            <v>366</v>
          </cell>
          <cell r="AZ2749">
            <v>0.16209999999999999</v>
          </cell>
          <cell r="BA2749">
            <v>212</v>
          </cell>
          <cell r="BB2749">
            <v>26787.947195191995</v>
          </cell>
        </row>
        <row r="2750">
          <cell r="AV2750">
            <v>365</v>
          </cell>
          <cell r="AX2750">
            <v>366</v>
          </cell>
          <cell r="AZ2750">
            <v>0.16209999999999999</v>
          </cell>
          <cell r="BA2750">
            <v>212</v>
          </cell>
          <cell r="BB2750">
            <v>16504.323156923656</v>
          </cell>
        </row>
        <row r="2751">
          <cell r="E2751" t="str">
            <v>FF</v>
          </cell>
          <cell r="AV2751">
            <v>365</v>
          </cell>
          <cell r="AX2751">
            <v>336</v>
          </cell>
        </row>
        <row r="2752">
          <cell r="E2752" t="str">
            <v>FF</v>
          </cell>
          <cell r="AV2752">
            <v>365</v>
          </cell>
          <cell r="AX2752">
            <v>336</v>
          </cell>
        </row>
        <row r="2753">
          <cell r="E2753" t="str">
            <v>FF</v>
          </cell>
          <cell r="AV2753">
            <v>365</v>
          </cell>
          <cell r="AX2753">
            <v>336</v>
          </cell>
        </row>
        <row r="2754">
          <cell r="E2754" t="str">
            <v>FF</v>
          </cell>
          <cell r="AV2754">
            <v>365</v>
          </cell>
          <cell r="AX2754">
            <v>336</v>
          </cell>
        </row>
        <row r="2755">
          <cell r="E2755" t="str">
            <v>SF</v>
          </cell>
          <cell r="AV2755">
            <v>365</v>
          </cell>
          <cell r="AX2755">
            <v>21</v>
          </cell>
        </row>
        <row r="2756">
          <cell r="E2756" t="str">
            <v>SF</v>
          </cell>
          <cell r="AV2756">
            <v>365</v>
          </cell>
          <cell r="AX2756">
            <v>21</v>
          </cell>
        </row>
        <row r="2757">
          <cell r="E2757" t="str">
            <v>SF</v>
          </cell>
          <cell r="AV2757">
            <v>365</v>
          </cell>
          <cell r="AX2757">
            <v>21</v>
          </cell>
        </row>
        <row r="2758">
          <cell r="AV2758">
            <v>365</v>
          </cell>
          <cell r="AX2758">
            <v>153</v>
          </cell>
        </row>
        <row r="2759">
          <cell r="AV2759">
            <v>365</v>
          </cell>
          <cell r="AX2759">
            <v>153</v>
          </cell>
        </row>
        <row r="2760">
          <cell r="AV2760">
            <v>365</v>
          </cell>
          <cell r="AX2760">
            <v>153</v>
          </cell>
        </row>
        <row r="2761">
          <cell r="AV2761">
            <v>365</v>
          </cell>
          <cell r="AX2761">
            <v>153</v>
          </cell>
        </row>
        <row r="2762">
          <cell r="AV2762">
            <v>365</v>
          </cell>
          <cell r="AX2762">
            <v>153</v>
          </cell>
        </row>
        <row r="2763">
          <cell r="AV2763">
            <v>365</v>
          </cell>
          <cell r="AX2763">
            <v>153</v>
          </cell>
        </row>
        <row r="2764">
          <cell r="AV2764">
            <v>365</v>
          </cell>
          <cell r="AX2764">
            <v>153</v>
          </cell>
        </row>
        <row r="2765">
          <cell r="AX2765">
            <v>351</v>
          </cell>
        </row>
        <row r="2766">
          <cell r="AV2766">
            <v>365</v>
          </cell>
          <cell r="AX2766">
            <v>72</v>
          </cell>
        </row>
        <row r="2767">
          <cell r="AV2767">
            <v>365</v>
          </cell>
          <cell r="AX2767">
            <v>12</v>
          </cell>
        </row>
        <row r="2768">
          <cell r="AV2768">
            <v>305</v>
          </cell>
        </row>
        <row r="2769">
          <cell r="AV2769">
            <v>305</v>
          </cell>
        </row>
        <row r="2770">
          <cell r="AV2770">
            <v>305</v>
          </cell>
        </row>
        <row r="2771">
          <cell r="E2771" t="str">
            <v>GF</v>
          </cell>
          <cell r="AV2771">
            <v>365</v>
          </cell>
          <cell r="AX2771">
            <v>366</v>
          </cell>
        </row>
        <row r="2772">
          <cell r="E2772" t="str">
            <v>GF</v>
          </cell>
          <cell r="AV2772">
            <v>365</v>
          </cell>
          <cell r="AX2772">
            <v>266</v>
          </cell>
        </row>
        <row r="2773">
          <cell r="E2773" t="str">
            <v>GF</v>
          </cell>
          <cell r="AV2773">
            <v>365</v>
          </cell>
          <cell r="AX2773">
            <v>159</v>
          </cell>
        </row>
        <row r="2774">
          <cell r="AV2774">
            <v>289</v>
          </cell>
        </row>
        <row r="2775">
          <cell r="AV2775">
            <v>289</v>
          </cell>
        </row>
        <row r="2776">
          <cell r="E2776" t="str">
            <v>GF</v>
          </cell>
          <cell r="AV2776">
            <v>365</v>
          </cell>
          <cell r="AX2776">
            <v>336</v>
          </cell>
        </row>
        <row r="2777">
          <cell r="E2777" t="str">
            <v>FF</v>
          </cell>
          <cell r="AV2777">
            <v>365</v>
          </cell>
          <cell r="AX2777">
            <v>123</v>
          </cell>
        </row>
        <row r="2778">
          <cell r="E2778" t="str">
            <v>FF</v>
          </cell>
          <cell r="AV2778">
            <v>365</v>
          </cell>
          <cell r="AX2778">
            <v>123</v>
          </cell>
        </row>
        <row r="2779">
          <cell r="E2779" t="str">
            <v>FF</v>
          </cell>
          <cell r="AV2779">
            <v>365</v>
          </cell>
          <cell r="AX2779">
            <v>123</v>
          </cell>
        </row>
        <row r="2780">
          <cell r="E2780" t="str">
            <v>FF</v>
          </cell>
          <cell r="AV2780">
            <v>365</v>
          </cell>
          <cell r="AX2780">
            <v>123</v>
          </cell>
        </row>
        <row r="2781">
          <cell r="E2781" t="str">
            <v>FF</v>
          </cell>
          <cell r="AV2781">
            <v>365</v>
          </cell>
          <cell r="AX2781">
            <v>123</v>
          </cell>
        </row>
        <row r="2782">
          <cell r="E2782" t="str">
            <v>FF</v>
          </cell>
          <cell r="AV2782">
            <v>365</v>
          </cell>
          <cell r="AX2782">
            <v>123</v>
          </cell>
        </row>
        <row r="2783">
          <cell r="E2783" t="str">
            <v>FF</v>
          </cell>
          <cell r="AV2783">
            <v>365</v>
          </cell>
          <cell r="AX2783">
            <v>123</v>
          </cell>
        </row>
        <row r="2784">
          <cell r="E2784" t="str">
            <v>FF</v>
          </cell>
          <cell r="AV2784">
            <v>365</v>
          </cell>
          <cell r="AX2784">
            <v>123</v>
          </cell>
        </row>
        <row r="2785">
          <cell r="E2785" t="str">
            <v>FF</v>
          </cell>
          <cell r="AV2785">
            <v>365</v>
          </cell>
          <cell r="AX2785">
            <v>123</v>
          </cell>
        </row>
        <row r="2786">
          <cell r="E2786" t="str">
            <v>FF</v>
          </cell>
          <cell r="AV2786">
            <v>365</v>
          </cell>
          <cell r="AX2786">
            <v>123</v>
          </cell>
        </row>
        <row r="2787">
          <cell r="E2787" t="str">
            <v>FF</v>
          </cell>
          <cell r="AV2787">
            <v>365</v>
          </cell>
          <cell r="AX2787">
            <v>123</v>
          </cell>
        </row>
        <row r="2788">
          <cell r="E2788" t="str">
            <v>FF</v>
          </cell>
          <cell r="AV2788">
            <v>365</v>
          </cell>
          <cell r="AX2788">
            <v>123</v>
          </cell>
        </row>
        <row r="2789">
          <cell r="D2789" t="str">
            <v>Utilities</v>
          </cell>
          <cell r="E2789" t="str">
            <v>Near OCB</v>
          </cell>
          <cell r="AV2789">
            <v>365</v>
          </cell>
          <cell r="AX2789">
            <v>130</v>
          </cell>
        </row>
        <row r="2790">
          <cell r="AV2790">
            <v>305</v>
          </cell>
        </row>
        <row r="2791">
          <cell r="AV2791">
            <v>305</v>
          </cell>
        </row>
        <row r="2792">
          <cell r="AV2792">
            <v>305</v>
          </cell>
        </row>
        <row r="2793">
          <cell r="AV2793">
            <v>305</v>
          </cell>
        </row>
        <row r="2794">
          <cell r="AV2794">
            <v>305</v>
          </cell>
        </row>
        <row r="2795">
          <cell r="E2795" t="str">
            <v>GF</v>
          </cell>
          <cell r="AV2795">
            <v>365</v>
          </cell>
          <cell r="AX2795">
            <v>130</v>
          </cell>
        </row>
        <row r="2796">
          <cell r="E2796" t="str">
            <v>FF</v>
          </cell>
          <cell r="AV2796">
            <v>365</v>
          </cell>
          <cell r="AX2796">
            <v>336</v>
          </cell>
        </row>
        <row r="2797">
          <cell r="AV2797">
            <v>365</v>
          </cell>
          <cell r="AX2797">
            <v>366</v>
          </cell>
          <cell r="AZ2797">
            <v>0.16209999999999999</v>
          </cell>
          <cell r="BA2797">
            <v>0</v>
          </cell>
          <cell r="BB2797">
            <v>0</v>
          </cell>
        </row>
        <row r="2798">
          <cell r="AV2798">
            <v>365</v>
          </cell>
          <cell r="AX2798">
            <v>366</v>
          </cell>
          <cell r="AZ2798">
            <v>0.16209999999999999</v>
          </cell>
          <cell r="BA2798">
            <v>0</v>
          </cell>
          <cell r="BB2798">
            <v>0</v>
          </cell>
        </row>
        <row r="2799">
          <cell r="AV2799">
            <v>365</v>
          </cell>
          <cell r="AX2799">
            <v>366</v>
          </cell>
          <cell r="AZ2799">
            <v>0.16209999999999999</v>
          </cell>
          <cell r="BA2799">
            <v>0</v>
          </cell>
          <cell r="BB2799">
            <v>0</v>
          </cell>
        </row>
        <row r="2800">
          <cell r="AV2800">
            <v>365</v>
          </cell>
          <cell r="AX2800">
            <v>366</v>
          </cell>
          <cell r="AZ2800">
            <v>0.16209999999999999</v>
          </cell>
          <cell r="BA2800">
            <v>0</v>
          </cell>
          <cell r="BB2800">
            <v>0</v>
          </cell>
        </row>
        <row r="2801">
          <cell r="AV2801">
            <v>365</v>
          </cell>
          <cell r="AX2801">
            <v>366</v>
          </cell>
          <cell r="AZ2801">
            <v>0.16209999999999999</v>
          </cell>
          <cell r="BA2801">
            <v>0</v>
          </cell>
          <cell r="BB2801">
            <v>0</v>
          </cell>
        </row>
        <row r="2802">
          <cell r="AV2802">
            <v>365</v>
          </cell>
          <cell r="AX2802">
            <v>21</v>
          </cell>
        </row>
        <row r="2803">
          <cell r="AV2803">
            <v>365</v>
          </cell>
          <cell r="AX2803">
            <v>267</v>
          </cell>
        </row>
        <row r="2804">
          <cell r="AV2804">
            <v>365</v>
          </cell>
          <cell r="AX2804">
            <v>267</v>
          </cell>
        </row>
        <row r="2805">
          <cell r="AV2805">
            <v>365</v>
          </cell>
          <cell r="AX2805">
            <v>267</v>
          </cell>
        </row>
        <row r="2806">
          <cell r="AV2806">
            <v>365</v>
          </cell>
          <cell r="AX2806">
            <v>267</v>
          </cell>
        </row>
        <row r="2807">
          <cell r="AV2807">
            <v>365</v>
          </cell>
          <cell r="AX2807">
            <v>267</v>
          </cell>
        </row>
        <row r="2808">
          <cell r="AV2808">
            <v>365</v>
          </cell>
          <cell r="AX2808">
            <v>130</v>
          </cell>
        </row>
        <row r="2809">
          <cell r="AV2809">
            <v>365</v>
          </cell>
          <cell r="AX2809">
            <v>107</v>
          </cell>
        </row>
        <row r="2810">
          <cell r="AV2810">
            <v>365</v>
          </cell>
          <cell r="AX2810">
            <v>107</v>
          </cell>
        </row>
        <row r="2811">
          <cell r="AV2811">
            <v>365</v>
          </cell>
          <cell r="AX2811">
            <v>107</v>
          </cell>
        </row>
        <row r="2812">
          <cell r="AV2812">
            <v>365</v>
          </cell>
          <cell r="AX2812">
            <v>107</v>
          </cell>
        </row>
        <row r="2813">
          <cell r="AV2813">
            <v>365</v>
          </cell>
          <cell r="AX2813">
            <v>107</v>
          </cell>
        </row>
        <row r="2814">
          <cell r="AV2814">
            <v>365</v>
          </cell>
          <cell r="AX2814">
            <v>107</v>
          </cell>
        </row>
        <row r="2815">
          <cell r="AV2815">
            <v>365</v>
          </cell>
          <cell r="AX2815">
            <v>107</v>
          </cell>
        </row>
        <row r="2816">
          <cell r="AV2816">
            <v>365</v>
          </cell>
          <cell r="AX2816">
            <v>107</v>
          </cell>
        </row>
        <row r="2817">
          <cell r="AV2817">
            <v>365</v>
          </cell>
          <cell r="AX2817">
            <v>107</v>
          </cell>
        </row>
        <row r="2818">
          <cell r="AV2818">
            <v>365</v>
          </cell>
          <cell r="AX2818">
            <v>107</v>
          </cell>
        </row>
        <row r="2819">
          <cell r="AV2819">
            <v>365</v>
          </cell>
          <cell r="AX2819">
            <v>107</v>
          </cell>
        </row>
        <row r="2820">
          <cell r="AV2820">
            <v>365</v>
          </cell>
          <cell r="AX2820">
            <v>107</v>
          </cell>
        </row>
        <row r="2821">
          <cell r="AV2821">
            <v>365</v>
          </cell>
          <cell r="AX2821">
            <v>107</v>
          </cell>
        </row>
        <row r="2822">
          <cell r="AV2822">
            <v>365</v>
          </cell>
          <cell r="AX2822">
            <v>107</v>
          </cell>
        </row>
        <row r="2823">
          <cell r="AV2823">
            <v>365</v>
          </cell>
          <cell r="AX2823">
            <v>107</v>
          </cell>
        </row>
        <row r="2824">
          <cell r="AV2824">
            <v>365</v>
          </cell>
          <cell r="AX2824">
            <v>107</v>
          </cell>
        </row>
        <row r="2825">
          <cell r="AV2825">
            <v>365</v>
          </cell>
          <cell r="AX2825">
            <v>107</v>
          </cell>
        </row>
        <row r="2826">
          <cell r="AV2826">
            <v>365</v>
          </cell>
          <cell r="AX2826">
            <v>107</v>
          </cell>
        </row>
        <row r="2827">
          <cell r="AV2827">
            <v>365</v>
          </cell>
          <cell r="AX2827">
            <v>107</v>
          </cell>
        </row>
        <row r="2828">
          <cell r="AV2828">
            <v>365</v>
          </cell>
          <cell r="AX2828">
            <v>107</v>
          </cell>
        </row>
        <row r="2829">
          <cell r="AV2829">
            <v>365</v>
          </cell>
          <cell r="AX2829">
            <v>107</v>
          </cell>
        </row>
        <row r="2830">
          <cell r="AV2830">
            <v>365</v>
          </cell>
          <cell r="AX2830">
            <v>107</v>
          </cell>
        </row>
        <row r="2831">
          <cell r="AV2831">
            <v>365</v>
          </cell>
          <cell r="AX2831">
            <v>366</v>
          </cell>
          <cell r="AZ2831">
            <v>6.3299999999999995E-2</v>
          </cell>
          <cell r="BA2831">
            <v>59</v>
          </cell>
          <cell r="BB2831">
            <v>1596.2005479452055</v>
          </cell>
        </row>
        <row r="2832">
          <cell r="AV2832">
            <v>365</v>
          </cell>
          <cell r="AX2832">
            <v>366</v>
          </cell>
          <cell r="AZ2832">
            <v>6.3299999999999995E-2</v>
          </cell>
          <cell r="BA2832">
            <v>59</v>
          </cell>
          <cell r="BB2832">
            <v>1596.2005479452055</v>
          </cell>
        </row>
        <row r="2833">
          <cell r="AV2833">
            <v>365</v>
          </cell>
          <cell r="AX2833">
            <v>366</v>
          </cell>
          <cell r="AZ2833">
            <v>6.3299999999999995E-2</v>
          </cell>
          <cell r="BA2833">
            <v>59</v>
          </cell>
          <cell r="BB2833">
            <v>947.07899178082187</v>
          </cell>
        </row>
        <row r="2834">
          <cell r="AV2834">
            <v>365</v>
          </cell>
          <cell r="AX2834">
            <v>366</v>
          </cell>
          <cell r="AZ2834">
            <v>6.3299999999999995E-2</v>
          </cell>
          <cell r="BA2834">
            <v>59</v>
          </cell>
          <cell r="BB2834">
            <v>1058.8130301369863</v>
          </cell>
        </row>
        <row r="2835">
          <cell r="AV2835">
            <v>365</v>
          </cell>
          <cell r="AX2835">
            <v>366</v>
          </cell>
          <cell r="AZ2835">
            <v>6.3299999999999995E-2</v>
          </cell>
          <cell r="BA2835">
            <v>59</v>
          </cell>
          <cell r="BB2835">
            <v>8938.723068493151</v>
          </cell>
        </row>
        <row r="2836">
          <cell r="AV2836">
            <v>365</v>
          </cell>
          <cell r="AX2836">
            <v>366</v>
          </cell>
          <cell r="AZ2836">
            <v>6.3299999999999995E-2</v>
          </cell>
          <cell r="BA2836">
            <v>59</v>
          </cell>
          <cell r="BB2836">
            <v>2979.5743561643831</v>
          </cell>
        </row>
        <row r="2837">
          <cell r="AV2837">
            <v>365</v>
          </cell>
          <cell r="AX2837">
            <v>366</v>
          </cell>
          <cell r="AZ2837">
            <v>6.3299999999999995E-2</v>
          </cell>
          <cell r="BA2837">
            <v>59</v>
          </cell>
          <cell r="BB2837">
            <v>1202.4710794520547</v>
          </cell>
        </row>
        <row r="2838">
          <cell r="E2838" t="str">
            <v>oncology</v>
          </cell>
          <cell r="AV2838">
            <v>365</v>
          </cell>
          <cell r="AX2838">
            <v>102</v>
          </cell>
        </row>
        <row r="2839">
          <cell r="E2839" t="str">
            <v>oncology</v>
          </cell>
          <cell r="AV2839">
            <v>365</v>
          </cell>
          <cell r="AX2839">
            <v>102</v>
          </cell>
        </row>
        <row r="2840">
          <cell r="E2840" t="str">
            <v>oncology</v>
          </cell>
          <cell r="AV2840">
            <v>365</v>
          </cell>
          <cell r="AX2840">
            <v>102</v>
          </cell>
        </row>
        <row r="2841">
          <cell r="E2841" t="str">
            <v>oncology</v>
          </cell>
          <cell r="AV2841">
            <v>365</v>
          </cell>
          <cell r="AX2841">
            <v>102</v>
          </cell>
        </row>
        <row r="2842">
          <cell r="E2842" t="str">
            <v>FF</v>
          </cell>
          <cell r="AV2842">
            <v>365</v>
          </cell>
          <cell r="AX2842">
            <v>123</v>
          </cell>
        </row>
        <row r="2843">
          <cell r="E2843" t="str">
            <v>GF</v>
          </cell>
          <cell r="AV2843">
            <v>365</v>
          </cell>
          <cell r="AX2843">
            <v>245</v>
          </cell>
        </row>
        <row r="2844">
          <cell r="AV2844">
            <v>365</v>
          </cell>
          <cell r="AX2844">
            <v>130</v>
          </cell>
        </row>
        <row r="2845">
          <cell r="AV2845">
            <v>365</v>
          </cell>
          <cell r="AX2845">
            <v>33</v>
          </cell>
        </row>
        <row r="2846">
          <cell r="AV2846">
            <v>365</v>
          </cell>
          <cell r="AX2846">
            <v>33</v>
          </cell>
        </row>
        <row r="2847">
          <cell r="AV2847">
            <v>365</v>
          </cell>
          <cell r="AX2847">
            <v>33</v>
          </cell>
        </row>
        <row r="2848">
          <cell r="AV2848">
            <v>365</v>
          </cell>
          <cell r="AX2848">
            <v>33</v>
          </cell>
        </row>
        <row r="2849">
          <cell r="AV2849">
            <v>365</v>
          </cell>
          <cell r="AX2849">
            <v>33</v>
          </cell>
        </row>
        <row r="2850">
          <cell r="AV2850">
            <v>365</v>
          </cell>
          <cell r="AX2850">
            <v>33</v>
          </cell>
        </row>
        <row r="2851">
          <cell r="AV2851">
            <v>365</v>
          </cell>
          <cell r="AX2851">
            <v>33</v>
          </cell>
        </row>
        <row r="2852">
          <cell r="AV2852">
            <v>365</v>
          </cell>
          <cell r="AX2852">
            <v>33</v>
          </cell>
        </row>
        <row r="2853">
          <cell r="AV2853">
            <v>365</v>
          </cell>
          <cell r="AX2853">
            <v>33</v>
          </cell>
        </row>
        <row r="2854">
          <cell r="AV2854">
            <v>365</v>
          </cell>
          <cell r="AX2854">
            <v>33</v>
          </cell>
        </row>
        <row r="2855">
          <cell r="AV2855">
            <v>365</v>
          </cell>
          <cell r="AX2855">
            <v>33</v>
          </cell>
        </row>
        <row r="2856">
          <cell r="AV2856">
            <v>365</v>
          </cell>
          <cell r="AX2856">
            <v>33</v>
          </cell>
        </row>
        <row r="2857">
          <cell r="AV2857">
            <v>365</v>
          </cell>
          <cell r="AX2857">
            <v>33</v>
          </cell>
        </row>
        <row r="2858">
          <cell r="AV2858">
            <v>365</v>
          </cell>
          <cell r="AX2858">
            <v>33</v>
          </cell>
        </row>
        <row r="2859">
          <cell r="AV2859">
            <v>365</v>
          </cell>
          <cell r="AX2859">
            <v>33</v>
          </cell>
        </row>
        <row r="2860">
          <cell r="AV2860">
            <v>365</v>
          </cell>
          <cell r="AX2860">
            <v>33</v>
          </cell>
        </row>
        <row r="2861">
          <cell r="AV2861">
            <v>365</v>
          </cell>
          <cell r="AX2861">
            <v>33</v>
          </cell>
        </row>
        <row r="2862">
          <cell r="AV2862">
            <v>365</v>
          </cell>
          <cell r="AX2862">
            <v>33</v>
          </cell>
        </row>
        <row r="2863">
          <cell r="AV2863">
            <v>365</v>
          </cell>
          <cell r="AX2863">
            <v>33</v>
          </cell>
        </row>
        <row r="2864">
          <cell r="AV2864">
            <v>365</v>
          </cell>
          <cell r="AX2864">
            <v>33</v>
          </cell>
        </row>
        <row r="2865">
          <cell r="AV2865">
            <v>365</v>
          </cell>
          <cell r="AX2865">
            <v>33</v>
          </cell>
        </row>
        <row r="2866">
          <cell r="AV2866">
            <v>365</v>
          </cell>
          <cell r="AX2866">
            <v>181</v>
          </cell>
        </row>
        <row r="2867">
          <cell r="E2867" t="str">
            <v>GF</v>
          </cell>
          <cell r="AV2867">
            <v>365</v>
          </cell>
          <cell r="AX2867">
            <v>167</v>
          </cell>
        </row>
        <row r="2868">
          <cell r="E2868" t="str">
            <v>GF</v>
          </cell>
          <cell r="AV2868">
            <v>365</v>
          </cell>
          <cell r="AX2868">
            <v>167</v>
          </cell>
        </row>
        <row r="2869">
          <cell r="E2869" t="str">
            <v>GF</v>
          </cell>
          <cell r="AV2869">
            <v>365</v>
          </cell>
          <cell r="AX2869">
            <v>167</v>
          </cell>
        </row>
        <row r="2870">
          <cell r="E2870" t="str">
            <v>GF</v>
          </cell>
          <cell r="AV2870">
            <v>365</v>
          </cell>
          <cell r="AX2870">
            <v>167</v>
          </cell>
        </row>
        <row r="2871">
          <cell r="E2871" t="str">
            <v>GF</v>
          </cell>
          <cell r="AV2871">
            <v>365</v>
          </cell>
          <cell r="AX2871">
            <v>167</v>
          </cell>
        </row>
        <row r="2872">
          <cell r="E2872" t="str">
            <v>GF</v>
          </cell>
          <cell r="AV2872">
            <v>365</v>
          </cell>
          <cell r="AX2872">
            <v>167</v>
          </cell>
        </row>
        <row r="2873">
          <cell r="E2873" t="str">
            <v>GF</v>
          </cell>
          <cell r="AV2873">
            <v>365</v>
          </cell>
          <cell r="AX2873">
            <v>167</v>
          </cell>
        </row>
        <row r="2874">
          <cell r="E2874" t="str">
            <v>GF</v>
          </cell>
          <cell r="AV2874">
            <v>365</v>
          </cell>
          <cell r="AX2874">
            <v>167</v>
          </cell>
        </row>
        <row r="2875">
          <cell r="E2875" t="str">
            <v>GF</v>
          </cell>
          <cell r="AV2875">
            <v>365</v>
          </cell>
          <cell r="AX2875">
            <v>167</v>
          </cell>
        </row>
        <row r="2876">
          <cell r="E2876" t="str">
            <v>GF</v>
          </cell>
          <cell r="AV2876">
            <v>365</v>
          </cell>
          <cell r="AX2876">
            <v>167</v>
          </cell>
        </row>
        <row r="2877">
          <cell r="E2877" t="str">
            <v>GF</v>
          </cell>
          <cell r="AV2877">
            <v>365</v>
          </cell>
          <cell r="AX2877">
            <v>167</v>
          </cell>
        </row>
        <row r="2878">
          <cell r="E2878" t="str">
            <v>GF</v>
          </cell>
          <cell r="AV2878">
            <v>365</v>
          </cell>
          <cell r="AX2878">
            <v>167</v>
          </cell>
        </row>
        <row r="2879">
          <cell r="E2879" t="str">
            <v>GF</v>
          </cell>
          <cell r="AV2879">
            <v>365</v>
          </cell>
          <cell r="AX2879">
            <v>167</v>
          </cell>
        </row>
        <row r="2880">
          <cell r="E2880" t="str">
            <v>GF</v>
          </cell>
          <cell r="AV2880">
            <v>365</v>
          </cell>
          <cell r="AX2880">
            <v>167</v>
          </cell>
        </row>
        <row r="2881">
          <cell r="E2881" t="str">
            <v>GF</v>
          </cell>
          <cell r="AV2881">
            <v>365</v>
          </cell>
          <cell r="AX2881">
            <v>167</v>
          </cell>
        </row>
        <row r="2882">
          <cell r="E2882" t="str">
            <v>GF</v>
          </cell>
          <cell r="AV2882">
            <v>365</v>
          </cell>
          <cell r="AX2882">
            <v>167</v>
          </cell>
        </row>
        <row r="2883">
          <cell r="E2883" t="str">
            <v>GF</v>
          </cell>
          <cell r="AV2883">
            <v>365</v>
          </cell>
          <cell r="AX2883">
            <v>167</v>
          </cell>
        </row>
        <row r="2884">
          <cell r="E2884" t="str">
            <v>GF</v>
          </cell>
          <cell r="AV2884">
            <v>365</v>
          </cell>
          <cell r="AX2884">
            <v>167</v>
          </cell>
        </row>
        <row r="2885">
          <cell r="E2885" t="str">
            <v>GF</v>
          </cell>
          <cell r="AV2885">
            <v>365</v>
          </cell>
          <cell r="AX2885">
            <v>167</v>
          </cell>
        </row>
        <row r="2886">
          <cell r="E2886" t="str">
            <v>GF</v>
          </cell>
          <cell r="AV2886">
            <v>365</v>
          </cell>
          <cell r="AX2886">
            <v>167</v>
          </cell>
        </row>
        <row r="2887">
          <cell r="E2887" t="str">
            <v>GF</v>
          </cell>
          <cell r="AV2887">
            <v>365</v>
          </cell>
          <cell r="AX2887">
            <v>167</v>
          </cell>
        </row>
        <row r="2888">
          <cell r="E2888" t="str">
            <v>GF</v>
          </cell>
          <cell r="AV2888">
            <v>365</v>
          </cell>
          <cell r="AX2888">
            <v>167</v>
          </cell>
        </row>
        <row r="2889">
          <cell r="E2889" t="str">
            <v>FF</v>
          </cell>
          <cell r="AV2889">
            <v>365</v>
          </cell>
          <cell r="AX2889">
            <v>280</v>
          </cell>
        </row>
        <row r="2890">
          <cell r="AV2890">
            <v>365</v>
          </cell>
          <cell r="AX2890">
            <v>62</v>
          </cell>
        </row>
        <row r="2891">
          <cell r="AV2891">
            <v>365</v>
          </cell>
          <cell r="AX2891">
            <v>62</v>
          </cell>
        </row>
        <row r="2892">
          <cell r="AV2892">
            <v>365</v>
          </cell>
          <cell r="AX2892">
            <v>62</v>
          </cell>
        </row>
        <row r="2893">
          <cell r="AV2893">
            <v>365</v>
          </cell>
          <cell r="AX2893">
            <v>62</v>
          </cell>
        </row>
        <row r="2894">
          <cell r="AV2894">
            <v>365</v>
          </cell>
          <cell r="AX2894">
            <v>62</v>
          </cell>
        </row>
        <row r="2895">
          <cell r="AV2895">
            <v>365</v>
          </cell>
          <cell r="AX2895">
            <v>62</v>
          </cell>
        </row>
        <row r="2896">
          <cell r="AV2896">
            <v>365</v>
          </cell>
          <cell r="AX2896">
            <v>62</v>
          </cell>
        </row>
        <row r="2897">
          <cell r="AV2897">
            <v>365</v>
          </cell>
          <cell r="AX2897">
            <v>62</v>
          </cell>
        </row>
        <row r="2898">
          <cell r="AV2898">
            <v>365</v>
          </cell>
          <cell r="AX2898">
            <v>62</v>
          </cell>
        </row>
        <row r="2899">
          <cell r="AV2899">
            <v>365</v>
          </cell>
          <cell r="AX2899">
            <v>62</v>
          </cell>
        </row>
        <row r="2900">
          <cell r="AV2900">
            <v>365</v>
          </cell>
          <cell r="AX2900">
            <v>62</v>
          </cell>
        </row>
        <row r="2901">
          <cell r="AV2901">
            <v>365</v>
          </cell>
          <cell r="AX2901">
            <v>62</v>
          </cell>
        </row>
        <row r="2902">
          <cell r="AV2902">
            <v>365</v>
          </cell>
          <cell r="AX2902">
            <v>62</v>
          </cell>
        </row>
        <row r="2903">
          <cell r="AV2903">
            <v>365</v>
          </cell>
          <cell r="AX2903">
            <v>62</v>
          </cell>
        </row>
        <row r="2904">
          <cell r="AV2904">
            <v>365</v>
          </cell>
          <cell r="AX2904">
            <v>62</v>
          </cell>
        </row>
        <row r="2905">
          <cell r="AV2905">
            <v>365</v>
          </cell>
          <cell r="AX2905">
            <v>62</v>
          </cell>
        </row>
        <row r="2906">
          <cell r="AV2906">
            <v>365</v>
          </cell>
          <cell r="AX2906">
            <v>62</v>
          </cell>
        </row>
        <row r="2907">
          <cell r="AV2907">
            <v>365</v>
          </cell>
          <cell r="AX2907">
            <v>62</v>
          </cell>
        </row>
        <row r="2908">
          <cell r="AV2908">
            <v>365</v>
          </cell>
          <cell r="AX2908">
            <v>62</v>
          </cell>
        </row>
        <row r="2909">
          <cell r="AV2909">
            <v>365</v>
          </cell>
          <cell r="AX2909">
            <v>62</v>
          </cell>
        </row>
        <row r="2910">
          <cell r="AV2910">
            <v>365</v>
          </cell>
          <cell r="AX2910">
            <v>62</v>
          </cell>
        </row>
        <row r="2911">
          <cell r="AV2911">
            <v>365</v>
          </cell>
          <cell r="AX2911">
            <v>62</v>
          </cell>
        </row>
        <row r="2912">
          <cell r="AV2912">
            <v>365</v>
          </cell>
          <cell r="AX2912">
            <v>62</v>
          </cell>
        </row>
        <row r="2913">
          <cell r="AV2913">
            <v>365</v>
          </cell>
          <cell r="AX2913">
            <v>62</v>
          </cell>
        </row>
        <row r="2914">
          <cell r="AV2914">
            <v>365</v>
          </cell>
          <cell r="AX2914">
            <v>62</v>
          </cell>
        </row>
        <row r="2915">
          <cell r="AV2915">
            <v>365</v>
          </cell>
          <cell r="AX2915">
            <v>62</v>
          </cell>
        </row>
        <row r="2916">
          <cell r="AV2916">
            <v>365</v>
          </cell>
          <cell r="AX2916">
            <v>62</v>
          </cell>
        </row>
        <row r="2917">
          <cell r="AV2917">
            <v>365</v>
          </cell>
          <cell r="AX2917">
            <v>62</v>
          </cell>
        </row>
        <row r="2918">
          <cell r="AV2918">
            <v>365</v>
          </cell>
          <cell r="AX2918">
            <v>62</v>
          </cell>
        </row>
        <row r="2919">
          <cell r="AV2919">
            <v>365</v>
          </cell>
          <cell r="AX2919">
            <v>62</v>
          </cell>
        </row>
        <row r="2920">
          <cell r="AV2920">
            <v>365</v>
          </cell>
          <cell r="AX2920">
            <v>129</v>
          </cell>
        </row>
        <row r="2921">
          <cell r="AV2921">
            <v>365</v>
          </cell>
          <cell r="AX2921">
            <v>129</v>
          </cell>
        </row>
        <row r="2922">
          <cell r="AV2922">
            <v>365</v>
          </cell>
          <cell r="AX2922">
            <v>129</v>
          </cell>
        </row>
        <row r="2923">
          <cell r="AV2923">
            <v>365</v>
          </cell>
          <cell r="AX2923">
            <v>129</v>
          </cell>
        </row>
        <row r="2924">
          <cell r="AV2924">
            <v>365</v>
          </cell>
          <cell r="AX2924">
            <v>129</v>
          </cell>
        </row>
        <row r="2925">
          <cell r="AV2925">
            <v>365</v>
          </cell>
          <cell r="AX2925">
            <v>129</v>
          </cell>
        </row>
        <row r="2926">
          <cell r="AV2926">
            <v>365</v>
          </cell>
          <cell r="AX2926">
            <v>129</v>
          </cell>
        </row>
        <row r="2927">
          <cell r="AV2927">
            <v>365</v>
          </cell>
          <cell r="AX2927">
            <v>129</v>
          </cell>
        </row>
        <row r="2928">
          <cell r="AV2928">
            <v>365</v>
          </cell>
          <cell r="AX2928">
            <v>129</v>
          </cell>
        </row>
        <row r="2929">
          <cell r="AV2929">
            <v>365</v>
          </cell>
          <cell r="AX2929">
            <v>129</v>
          </cell>
        </row>
        <row r="2930">
          <cell r="AV2930">
            <v>365</v>
          </cell>
          <cell r="AX2930">
            <v>129</v>
          </cell>
        </row>
        <row r="2931">
          <cell r="AV2931">
            <v>365</v>
          </cell>
          <cell r="AX2931">
            <v>129</v>
          </cell>
        </row>
        <row r="2932">
          <cell r="AV2932">
            <v>365</v>
          </cell>
          <cell r="AX2932">
            <v>366</v>
          </cell>
          <cell r="AZ2932">
            <v>0.16209999999999999</v>
          </cell>
          <cell r="BA2932">
            <v>212</v>
          </cell>
          <cell r="BB2932">
            <v>3328.2475886115062</v>
          </cell>
        </row>
        <row r="2933">
          <cell r="AV2933">
            <v>365</v>
          </cell>
          <cell r="AX2933">
            <v>366</v>
          </cell>
          <cell r="AZ2933">
            <v>0.16209999999999999</v>
          </cell>
          <cell r="BA2933">
            <v>212</v>
          </cell>
          <cell r="BB2933">
            <v>3328.2475886115062</v>
          </cell>
        </row>
        <row r="2934">
          <cell r="AV2934">
            <v>365</v>
          </cell>
          <cell r="AX2934">
            <v>366</v>
          </cell>
          <cell r="AZ2934">
            <v>0.16209999999999999</v>
          </cell>
          <cell r="BA2934">
            <v>212</v>
          </cell>
          <cell r="BB2934">
            <v>3328.2475886115062</v>
          </cell>
        </row>
        <row r="2935">
          <cell r="AV2935">
            <v>365</v>
          </cell>
          <cell r="AX2935">
            <v>366</v>
          </cell>
          <cell r="AZ2935">
            <v>0.16209999999999999</v>
          </cell>
          <cell r="BA2935">
            <v>212</v>
          </cell>
          <cell r="BB2935">
            <v>3328.2475886115062</v>
          </cell>
        </row>
        <row r="2936">
          <cell r="AV2936">
            <v>365</v>
          </cell>
          <cell r="AX2936">
            <v>366</v>
          </cell>
          <cell r="AZ2936">
            <v>0.16209999999999999</v>
          </cell>
          <cell r="BA2936">
            <v>212</v>
          </cell>
          <cell r="BB2936">
            <v>3328.2475886115062</v>
          </cell>
        </row>
        <row r="2937">
          <cell r="AV2937">
            <v>365</v>
          </cell>
          <cell r="AX2937">
            <v>366</v>
          </cell>
          <cell r="AZ2937">
            <v>0.16209999999999999</v>
          </cell>
          <cell r="BA2937">
            <v>212</v>
          </cell>
          <cell r="BB2937">
            <v>3328.2475886115062</v>
          </cell>
        </row>
        <row r="2938">
          <cell r="AV2938">
            <v>365</v>
          </cell>
          <cell r="AX2938">
            <v>366</v>
          </cell>
          <cell r="AZ2938">
            <v>0.16209999999999999</v>
          </cell>
          <cell r="BA2938">
            <v>212</v>
          </cell>
          <cell r="BB2938">
            <v>3328.2475886115062</v>
          </cell>
        </row>
        <row r="2939">
          <cell r="AV2939">
            <v>365</v>
          </cell>
          <cell r="AX2939">
            <v>366</v>
          </cell>
          <cell r="AZ2939">
            <v>0.16209999999999999</v>
          </cell>
          <cell r="BA2939">
            <v>212</v>
          </cell>
          <cell r="BB2939">
            <v>3328.2475886115062</v>
          </cell>
        </row>
        <row r="2940">
          <cell r="AV2940">
            <v>365</v>
          </cell>
          <cell r="AX2940">
            <v>366</v>
          </cell>
          <cell r="AZ2940">
            <v>0.16209999999999999</v>
          </cell>
          <cell r="BA2940">
            <v>212</v>
          </cell>
          <cell r="BB2940">
            <v>3328.2475886115062</v>
          </cell>
        </row>
        <row r="2941">
          <cell r="AV2941">
            <v>365</v>
          </cell>
          <cell r="AX2941">
            <v>366</v>
          </cell>
          <cell r="AZ2941">
            <v>0.16209999999999999</v>
          </cell>
          <cell r="BA2941">
            <v>212</v>
          </cell>
          <cell r="BB2941">
            <v>3328.2475886115062</v>
          </cell>
        </row>
        <row r="2942">
          <cell r="AV2942">
            <v>365</v>
          </cell>
          <cell r="AX2942">
            <v>366</v>
          </cell>
          <cell r="AZ2942">
            <v>0.16209999999999999</v>
          </cell>
          <cell r="BA2942">
            <v>212</v>
          </cell>
          <cell r="BB2942">
            <v>3328.2475886115062</v>
          </cell>
        </row>
        <row r="2943">
          <cell r="AV2943">
            <v>365</v>
          </cell>
          <cell r="AX2943">
            <v>366</v>
          </cell>
          <cell r="AZ2943">
            <v>0.16209999999999999</v>
          </cell>
          <cell r="BA2943">
            <v>212</v>
          </cell>
          <cell r="BB2943">
            <v>3328.2475886115062</v>
          </cell>
        </row>
        <row r="2944">
          <cell r="AV2944">
            <v>365</v>
          </cell>
          <cell r="AX2944">
            <v>366</v>
          </cell>
          <cell r="AZ2944">
            <v>0.16209999999999999</v>
          </cell>
          <cell r="BA2944">
            <v>212</v>
          </cell>
          <cell r="BB2944">
            <v>3328.2475886115062</v>
          </cell>
        </row>
        <row r="2945">
          <cell r="AV2945">
            <v>365</v>
          </cell>
          <cell r="AX2945">
            <v>366</v>
          </cell>
          <cell r="AZ2945">
            <v>0.16209999999999999</v>
          </cell>
          <cell r="BA2945">
            <v>212</v>
          </cell>
          <cell r="BB2945">
            <v>3328.2475886115062</v>
          </cell>
        </row>
        <row r="2946">
          <cell r="AV2946">
            <v>365</v>
          </cell>
          <cell r="AX2946">
            <v>366</v>
          </cell>
          <cell r="AZ2946">
            <v>0.16209999999999999</v>
          </cell>
          <cell r="BA2946">
            <v>212</v>
          </cell>
          <cell r="BB2946">
            <v>3328.2475886115062</v>
          </cell>
        </row>
        <row r="2947">
          <cell r="AV2947">
            <v>365</v>
          </cell>
          <cell r="AX2947">
            <v>366</v>
          </cell>
          <cell r="AZ2947">
            <v>0.16209999999999999</v>
          </cell>
          <cell r="BA2947">
            <v>212</v>
          </cell>
          <cell r="BB2947">
            <v>3328.2475886115062</v>
          </cell>
        </row>
        <row r="2948">
          <cell r="AV2948">
            <v>365</v>
          </cell>
          <cell r="AX2948">
            <v>366</v>
          </cell>
          <cell r="AZ2948">
            <v>0.16209999999999999</v>
          </cell>
          <cell r="BA2948">
            <v>212</v>
          </cell>
          <cell r="BB2948">
            <v>3328.2475886115062</v>
          </cell>
        </row>
        <row r="2949">
          <cell r="AV2949">
            <v>365</v>
          </cell>
          <cell r="AX2949">
            <v>366</v>
          </cell>
          <cell r="AZ2949">
            <v>0.16209999999999999</v>
          </cell>
          <cell r="BA2949">
            <v>212</v>
          </cell>
          <cell r="BB2949">
            <v>3328.2475886115062</v>
          </cell>
        </row>
        <row r="2950">
          <cell r="AV2950">
            <v>365</v>
          </cell>
          <cell r="AX2950">
            <v>366</v>
          </cell>
          <cell r="AZ2950">
            <v>0.16209999999999999</v>
          </cell>
          <cell r="BA2950">
            <v>212</v>
          </cell>
          <cell r="BB2950">
            <v>3328.2475886115062</v>
          </cell>
        </row>
        <row r="2951">
          <cell r="AV2951">
            <v>365</v>
          </cell>
          <cell r="AX2951">
            <v>366</v>
          </cell>
          <cell r="AZ2951">
            <v>0.16209999999999999</v>
          </cell>
          <cell r="BA2951">
            <v>212</v>
          </cell>
          <cell r="BB2951">
            <v>3328.2475886115062</v>
          </cell>
        </row>
        <row r="2952">
          <cell r="AV2952">
            <v>365</v>
          </cell>
          <cell r="AX2952">
            <v>366</v>
          </cell>
          <cell r="AZ2952">
            <v>0.16209999999999999</v>
          </cell>
          <cell r="BA2952">
            <v>212</v>
          </cell>
          <cell r="BB2952">
            <v>1012.1219873753424</v>
          </cell>
        </row>
        <row r="2953">
          <cell r="AV2953">
            <v>365</v>
          </cell>
          <cell r="AX2953">
            <v>366</v>
          </cell>
          <cell r="AZ2953">
            <v>0.16209999999999999</v>
          </cell>
          <cell r="BA2953">
            <v>212</v>
          </cell>
          <cell r="BB2953">
            <v>1012.1219873753424</v>
          </cell>
        </row>
        <row r="2954">
          <cell r="AV2954">
            <v>365</v>
          </cell>
          <cell r="AX2954">
            <v>366</v>
          </cell>
          <cell r="AZ2954">
            <v>0.16209999999999999</v>
          </cell>
          <cell r="BA2954">
            <v>212</v>
          </cell>
          <cell r="BB2954">
            <v>1012.1219873753424</v>
          </cell>
        </row>
        <row r="2955">
          <cell r="AV2955">
            <v>365</v>
          </cell>
          <cell r="AX2955">
            <v>366</v>
          </cell>
          <cell r="AZ2955">
            <v>0.16209999999999999</v>
          </cell>
          <cell r="BA2955">
            <v>212</v>
          </cell>
          <cell r="BB2955">
            <v>1012.1219873753424</v>
          </cell>
        </row>
        <row r="2956">
          <cell r="AV2956">
            <v>365</v>
          </cell>
          <cell r="AX2956">
            <v>366</v>
          </cell>
          <cell r="AZ2956">
            <v>0.16209999999999999</v>
          </cell>
          <cell r="BA2956">
            <v>212</v>
          </cell>
          <cell r="BB2956">
            <v>1012.1219873753424</v>
          </cell>
        </row>
        <row r="2957">
          <cell r="AV2957">
            <v>365</v>
          </cell>
          <cell r="AX2957">
            <v>366</v>
          </cell>
          <cell r="AZ2957">
            <v>0.16209999999999999</v>
          </cell>
          <cell r="BA2957">
            <v>212</v>
          </cell>
          <cell r="BB2957">
            <v>1012.1219873753424</v>
          </cell>
        </row>
        <row r="2958">
          <cell r="AV2958">
            <v>365</v>
          </cell>
          <cell r="AX2958">
            <v>366</v>
          </cell>
          <cell r="AZ2958">
            <v>0.16209999999999999</v>
          </cell>
          <cell r="BA2958">
            <v>212</v>
          </cell>
          <cell r="BB2958">
            <v>1012.1219873753424</v>
          </cell>
        </row>
        <row r="2959">
          <cell r="AV2959">
            <v>365</v>
          </cell>
          <cell r="AX2959">
            <v>366</v>
          </cell>
          <cell r="AZ2959">
            <v>0.16209999999999999</v>
          </cell>
          <cell r="BA2959">
            <v>212</v>
          </cell>
          <cell r="BB2959">
            <v>1012.1219873753424</v>
          </cell>
        </row>
        <row r="2960">
          <cell r="AV2960">
            <v>365</v>
          </cell>
          <cell r="AX2960">
            <v>366</v>
          </cell>
          <cell r="AZ2960">
            <v>0.16209999999999999</v>
          </cell>
          <cell r="BA2960">
            <v>212</v>
          </cell>
          <cell r="BB2960">
            <v>1012.1219873753424</v>
          </cell>
        </row>
        <row r="2961">
          <cell r="AV2961">
            <v>365</v>
          </cell>
          <cell r="AX2961">
            <v>366</v>
          </cell>
          <cell r="AZ2961">
            <v>0.16209999999999999</v>
          </cell>
          <cell r="BA2961">
            <v>212</v>
          </cell>
          <cell r="BB2961">
            <v>1012.1219873753424</v>
          </cell>
        </row>
        <row r="2962">
          <cell r="AV2962">
            <v>365</v>
          </cell>
          <cell r="AX2962">
            <v>366</v>
          </cell>
          <cell r="AZ2962">
            <v>0.16209999999999999</v>
          </cell>
          <cell r="BA2962">
            <v>212</v>
          </cell>
          <cell r="BB2962">
            <v>1012.1219873753424</v>
          </cell>
        </row>
        <row r="2963">
          <cell r="AV2963">
            <v>365</v>
          </cell>
          <cell r="AX2963">
            <v>366</v>
          </cell>
          <cell r="AZ2963">
            <v>0.16209999999999999</v>
          </cell>
          <cell r="BA2963">
            <v>212</v>
          </cell>
          <cell r="BB2963">
            <v>1012.1219873753424</v>
          </cell>
        </row>
        <row r="2964">
          <cell r="AV2964">
            <v>365</v>
          </cell>
          <cell r="AX2964">
            <v>366</v>
          </cell>
          <cell r="AZ2964">
            <v>0.16209999999999999</v>
          </cell>
          <cell r="BA2964">
            <v>212</v>
          </cell>
          <cell r="BB2964">
            <v>1012.1219873753424</v>
          </cell>
        </row>
        <row r="2965">
          <cell r="AV2965">
            <v>365</v>
          </cell>
          <cell r="AX2965">
            <v>366</v>
          </cell>
          <cell r="AZ2965">
            <v>0.16209999999999999</v>
          </cell>
          <cell r="BA2965">
            <v>212</v>
          </cell>
          <cell r="BB2965">
            <v>1012.1219873753424</v>
          </cell>
        </row>
        <row r="2966">
          <cell r="AV2966">
            <v>365</v>
          </cell>
          <cell r="AX2966">
            <v>366</v>
          </cell>
          <cell r="AZ2966">
            <v>0.16209999999999999</v>
          </cell>
          <cell r="BA2966">
            <v>212</v>
          </cell>
          <cell r="BB2966">
            <v>1012.1219873753424</v>
          </cell>
        </row>
        <row r="2967">
          <cell r="AV2967">
            <v>365</v>
          </cell>
          <cell r="AX2967">
            <v>366</v>
          </cell>
          <cell r="AZ2967">
            <v>0.16209999999999999</v>
          </cell>
          <cell r="BA2967">
            <v>212</v>
          </cell>
          <cell r="BB2967">
            <v>1012.1219873753424</v>
          </cell>
        </row>
        <row r="2968">
          <cell r="AV2968">
            <v>365</v>
          </cell>
          <cell r="AX2968">
            <v>366</v>
          </cell>
          <cell r="AZ2968">
            <v>0.16209999999999999</v>
          </cell>
          <cell r="BA2968">
            <v>212</v>
          </cell>
          <cell r="BB2968">
            <v>1012.1219873753424</v>
          </cell>
        </row>
        <row r="2969">
          <cell r="AV2969">
            <v>365</v>
          </cell>
          <cell r="AX2969">
            <v>366</v>
          </cell>
          <cell r="AZ2969">
            <v>0.16209999999999999</v>
          </cell>
          <cell r="BA2969">
            <v>212</v>
          </cell>
          <cell r="BB2969">
            <v>1012.1219873753424</v>
          </cell>
        </row>
        <row r="2970">
          <cell r="AV2970">
            <v>365</v>
          </cell>
          <cell r="AX2970">
            <v>366</v>
          </cell>
          <cell r="AZ2970">
            <v>0.16209999999999999</v>
          </cell>
          <cell r="BA2970">
            <v>212</v>
          </cell>
          <cell r="BB2970">
            <v>1012.1219873753424</v>
          </cell>
        </row>
        <row r="2971">
          <cell r="AV2971">
            <v>365</v>
          </cell>
          <cell r="AX2971">
            <v>366</v>
          </cell>
          <cell r="AZ2971">
            <v>0.16209999999999999</v>
          </cell>
          <cell r="BA2971">
            <v>212</v>
          </cell>
          <cell r="BB2971">
            <v>1012.1219873753424</v>
          </cell>
        </row>
        <row r="2972">
          <cell r="AV2972">
            <v>365</v>
          </cell>
          <cell r="AX2972">
            <v>129</v>
          </cell>
        </row>
        <row r="2973">
          <cell r="AV2973">
            <v>365</v>
          </cell>
          <cell r="AX2973">
            <v>129</v>
          </cell>
        </row>
        <row r="2974">
          <cell r="AV2974">
            <v>365</v>
          </cell>
          <cell r="AX2974">
            <v>129</v>
          </cell>
        </row>
        <row r="2975">
          <cell r="AV2975">
            <v>365</v>
          </cell>
          <cell r="AX2975">
            <v>129</v>
          </cell>
        </row>
        <row r="2976">
          <cell r="AV2976">
            <v>365</v>
          </cell>
          <cell r="AX2976">
            <v>129</v>
          </cell>
        </row>
        <row r="2977">
          <cell r="AV2977">
            <v>365</v>
          </cell>
          <cell r="AX2977">
            <v>129</v>
          </cell>
        </row>
        <row r="2978">
          <cell r="AV2978">
            <v>365</v>
          </cell>
          <cell r="AX2978">
            <v>129</v>
          </cell>
        </row>
        <row r="2979">
          <cell r="AV2979">
            <v>365</v>
          </cell>
          <cell r="AX2979">
            <v>129</v>
          </cell>
        </row>
        <row r="2980">
          <cell r="AV2980">
            <v>365</v>
          </cell>
          <cell r="AX2980">
            <v>129</v>
          </cell>
        </row>
        <row r="2981">
          <cell r="AV2981">
            <v>365</v>
          </cell>
          <cell r="AX2981">
            <v>129</v>
          </cell>
        </row>
        <row r="2982">
          <cell r="AV2982">
            <v>365</v>
          </cell>
          <cell r="AX2982">
            <v>129</v>
          </cell>
        </row>
        <row r="2983">
          <cell r="AV2983">
            <v>365</v>
          </cell>
          <cell r="AX2983">
            <v>129</v>
          </cell>
        </row>
        <row r="2984">
          <cell r="AV2984">
            <v>365</v>
          </cell>
          <cell r="AX2984">
            <v>129</v>
          </cell>
        </row>
        <row r="2985">
          <cell r="AV2985">
            <v>365</v>
          </cell>
          <cell r="AX2985">
            <v>129</v>
          </cell>
        </row>
        <row r="2986">
          <cell r="AX2986">
            <v>366</v>
          </cell>
          <cell r="AZ2986">
            <v>6.3299999999999995E-2</v>
          </cell>
          <cell r="BA2986">
            <v>365</v>
          </cell>
          <cell r="BB2986">
            <v>470.00249999999994</v>
          </cell>
          <cell r="BC2986">
            <v>58</v>
          </cell>
        </row>
        <row r="2987">
          <cell r="E2987" t="str">
            <v>GF</v>
          </cell>
          <cell r="AV2987">
            <v>365</v>
          </cell>
          <cell r="AX2987">
            <v>130</v>
          </cell>
        </row>
        <row r="2988">
          <cell r="AV2988">
            <v>365</v>
          </cell>
          <cell r="AX2988">
            <v>267</v>
          </cell>
        </row>
        <row r="2989">
          <cell r="AV2989">
            <v>365</v>
          </cell>
          <cell r="AX2989">
            <v>267</v>
          </cell>
        </row>
        <row r="2990">
          <cell r="AV2990">
            <v>365</v>
          </cell>
          <cell r="AX2990">
            <v>267</v>
          </cell>
        </row>
        <row r="2991">
          <cell r="AV2991">
            <v>365</v>
          </cell>
          <cell r="AX2991">
            <v>267</v>
          </cell>
        </row>
        <row r="2992">
          <cell r="AV2992">
            <v>365</v>
          </cell>
          <cell r="AX2992">
            <v>267</v>
          </cell>
        </row>
        <row r="2993">
          <cell r="AV2993">
            <v>365</v>
          </cell>
          <cell r="AX2993">
            <v>267</v>
          </cell>
        </row>
        <row r="2994">
          <cell r="AV2994">
            <v>365</v>
          </cell>
          <cell r="AX2994">
            <v>267</v>
          </cell>
        </row>
        <row r="2995">
          <cell r="AV2995">
            <v>365</v>
          </cell>
          <cell r="AX2995">
            <v>267</v>
          </cell>
        </row>
        <row r="2996">
          <cell r="AV2996">
            <v>365</v>
          </cell>
          <cell r="AX2996">
            <v>267</v>
          </cell>
        </row>
        <row r="2997">
          <cell r="AV2997">
            <v>365</v>
          </cell>
          <cell r="AX2997">
            <v>267</v>
          </cell>
        </row>
        <row r="2998">
          <cell r="AV2998">
            <v>365</v>
          </cell>
          <cell r="AX2998">
            <v>267</v>
          </cell>
        </row>
        <row r="2999">
          <cell r="AV2999">
            <v>365</v>
          </cell>
          <cell r="AX2999">
            <v>267</v>
          </cell>
        </row>
        <row r="3000">
          <cell r="AV3000">
            <v>365</v>
          </cell>
          <cell r="AX3000">
            <v>267</v>
          </cell>
        </row>
        <row r="3001">
          <cell r="D3001" t="str">
            <v>Utilities</v>
          </cell>
          <cell r="E3001" t="str">
            <v>Near Main PCC</v>
          </cell>
          <cell r="AV3001">
            <v>365</v>
          </cell>
          <cell r="AX3001">
            <v>130</v>
          </cell>
        </row>
        <row r="3002">
          <cell r="AV3002">
            <v>365</v>
          </cell>
          <cell r="AX3002">
            <v>267</v>
          </cell>
        </row>
        <row r="3003">
          <cell r="AV3003">
            <v>365</v>
          </cell>
          <cell r="AX3003">
            <v>267</v>
          </cell>
        </row>
        <row r="3004">
          <cell r="AV3004">
            <v>365</v>
          </cell>
          <cell r="AX3004">
            <v>267</v>
          </cell>
        </row>
        <row r="3005">
          <cell r="AV3005">
            <v>365</v>
          </cell>
          <cell r="AX3005">
            <v>267</v>
          </cell>
        </row>
        <row r="3006">
          <cell r="AV3006">
            <v>289</v>
          </cell>
        </row>
        <row r="3007">
          <cell r="AV3007">
            <v>365</v>
          </cell>
          <cell r="AX3007">
            <v>184</v>
          </cell>
        </row>
        <row r="3008">
          <cell r="AV3008">
            <v>365</v>
          </cell>
          <cell r="AX3008">
            <v>184</v>
          </cell>
        </row>
        <row r="3009">
          <cell r="AV3009">
            <v>365</v>
          </cell>
          <cell r="AX3009">
            <v>184</v>
          </cell>
        </row>
        <row r="3010">
          <cell r="AV3010">
            <v>365</v>
          </cell>
          <cell r="AX3010">
            <v>184</v>
          </cell>
        </row>
        <row r="3011">
          <cell r="AV3011">
            <v>365</v>
          </cell>
          <cell r="AX3011">
            <v>184</v>
          </cell>
        </row>
        <row r="3012">
          <cell r="AV3012">
            <v>365</v>
          </cell>
          <cell r="AX3012">
            <v>184</v>
          </cell>
        </row>
        <row r="3013">
          <cell r="AV3013">
            <v>365</v>
          </cell>
          <cell r="AX3013">
            <v>184</v>
          </cell>
        </row>
        <row r="3014">
          <cell r="AV3014">
            <v>365</v>
          </cell>
          <cell r="AX3014">
            <v>184</v>
          </cell>
        </row>
        <row r="3015">
          <cell r="AV3015">
            <v>365</v>
          </cell>
          <cell r="AX3015">
            <v>184</v>
          </cell>
        </row>
        <row r="3016">
          <cell r="AV3016">
            <v>365</v>
          </cell>
          <cell r="AX3016">
            <v>184</v>
          </cell>
        </row>
        <row r="3017">
          <cell r="AV3017">
            <v>365</v>
          </cell>
          <cell r="AX3017">
            <v>130</v>
          </cell>
        </row>
        <row r="3018">
          <cell r="AV3018">
            <v>365</v>
          </cell>
          <cell r="AX3018">
            <v>130</v>
          </cell>
        </row>
        <row r="3019">
          <cell r="AV3019">
            <v>365</v>
          </cell>
          <cell r="AX3019">
            <v>130</v>
          </cell>
        </row>
        <row r="3020">
          <cell r="AV3020">
            <v>365</v>
          </cell>
          <cell r="AX3020">
            <v>130</v>
          </cell>
        </row>
        <row r="3021">
          <cell r="AV3021">
            <v>365</v>
          </cell>
          <cell r="AX3021">
            <v>130</v>
          </cell>
        </row>
        <row r="3022">
          <cell r="AV3022">
            <v>365</v>
          </cell>
          <cell r="AX3022">
            <v>130</v>
          </cell>
        </row>
        <row r="3023">
          <cell r="AV3023">
            <v>365</v>
          </cell>
          <cell r="AX3023">
            <v>130</v>
          </cell>
        </row>
        <row r="3024">
          <cell r="AV3024">
            <v>365</v>
          </cell>
          <cell r="AX3024">
            <v>130</v>
          </cell>
        </row>
        <row r="3025">
          <cell r="AV3025">
            <v>365</v>
          </cell>
          <cell r="AX3025">
            <v>130</v>
          </cell>
        </row>
        <row r="3026">
          <cell r="AV3026">
            <v>365</v>
          </cell>
          <cell r="AX3026">
            <v>130</v>
          </cell>
        </row>
        <row r="3027">
          <cell r="E3027" t="str">
            <v>oncology</v>
          </cell>
          <cell r="AV3027">
            <v>365</v>
          </cell>
          <cell r="AX3027">
            <v>113</v>
          </cell>
        </row>
        <row r="3028">
          <cell r="E3028" t="str">
            <v>oncology</v>
          </cell>
          <cell r="AV3028">
            <v>365</v>
          </cell>
          <cell r="AX3028">
            <v>113</v>
          </cell>
        </row>
        <row r="3029">
          <cell r="E3029" t="str">
            <v>oncology</v>
          </cell>
          <cell r="AV3029">
            <v>365</v>
          </cell>
          <cell r="AX3029">
            <v>113</v>
          </cell>
        </row>
        <row r="3030">
          <cell r="E3030" t="str">
            <v>oncology</v>
          </cell>
          <cell r="AV3030">
            <v>365</v>
          </cell>
          <cell r="AX3030">
            <v>113</v>
          </cell>
        </row>
        <row r="3031">
          <cell r="E3031" t="str">
            <v>oncology</v>
          </cell>
          <cell r="AV3031">
            <v>365</v>
          </cell>
          <cell r="AX3031">
            <v>113</v>
          </cell>
        </row>
        <row r="3032">
          <cell r="E3032" t="str">
            <v>oncology</v>
          </cell>
          <cell r="AV3032">
            <v>365</v>
          </cell>
          <cell r="AX3032">
            <v>113</v>
          </cell>
        </row>
        <row r="3033">
          <cell r="AV3033">
            <v>335</v>
          </cell>
        </row>
        <row r="3034">
          <cell r="E3034" t="str">
            <v>FF</v>
          </cell>
          <cell r="F3034" t="str">
            <v>Intermediate</v>
          </cell>
          <cell r="AV3034">
            <v>365</v>
          </cell>
          <cell r="AX3034">
            <v>129</v>
          </cell>
        </row>
        <row r="3035">
          <cell r="E3035" t="str">
            <v>FF</v>
          </cell>
          <cell r="F3035" t="str">
            <v>Intermediate</v>
          </cell>
          <cell r="AV3035">
            <v>365</v>
          </cell>
          <cell r="AX3035">
            <v>129</v>
          </cell>
        </row>
        <row r="3036">
          <cell r="AV3036">
            <v>365</v>
          </cell>
          <cell r="AX3036">
            <v>129</v>
          </cell>
        </row>
        <row r="3037">
          <cell r="E3037" t="str">
            <v>FF</v>
          </cell>
          <cell r="F3037" t="str">
            <v>Intermediate</v>
          </cell>
          <cell r="AV3037">
            <v>365</v>
          </cell>
          <cell r="AX3037">
            <v>129</v>
          </cell>
        </row>
        <row r="3038">
          <cell r="E3038" t="str">
            <v>FF</v>
          </cell>
          <cell r="F3038" t="str">
            <v>Intermediate</v>
          </cell>
          <cell r="AV3038">
            <v>365</v>
          </cell>
          <cell r="AX3038">
            <v>129</v>
          </cell>
        </row>
        <row r="3039">
          <cell r="E3039" t="str">
            <v>FF</v>
          </cell>
          <cell r="F3039" t="str">
            <v>Intermediate</v>
          </cell>
          <cell r="AV3039">
            <v>365</v>
          </cell>
          <cell r="AX3039">
            <v>129</v>
          </cell>
        </row>
        <row r="3040">
          <cell r="E3040" t="str">
            <v>Tech Area</v>
          </cell>
          <cell r="F3040" t="str">
            <v>Pharma</v>
          </cell>
          <cell r="AV3040">
            <v>365</v>
          </cell>
          <cell r="AX3040">
            <v>129</v>
          </cell>
        </row>
        <row r="3041">
          <cell r="E3041" t="str">
            <v>Tech Area</v>
          </cell>
          <cell r="F3041" t="str">
            <v>Pharma</v>
          </cell>
          <cell r="AV3041">
            <v>365</v>
          </cell>
          <cell r="AX3041">
            <v>129</v>
          </cell>
        </row>
        <row r="3042">
          <cell r="E3042" t="str">
            <v>Tech Area</v>
          </cell>
          <cell r="F3042" t="str">
            <v>Pharma</v>
          </cell>
          <cell r="AV3042">
            <v>365</v>
          </cell>
          <cell r="AX3042">
            <v>129</v>
          </cell>
        </row>
        <row r="3043">
          <cell r="E3043" t="str">
            <v>FF</v>
          </cell>
          <cell r="F3043" t="str">
            <v>Intermediate</v>
          </cell>
          <cell r="AV3043">
            <v>365</v>
          </cell>
          <cell r="AX3043">
            <v>129</v>
          </cell>
        </row>
        <row r="3044">
          <cell r="E3044" t="str">
            <v>FF</v>
          </cell>
          <cell r="F3044" t="str">
            <v>Intermediate</v>
          </cell>
          <cell r="AV3044">
            <v>365</v>
          </cell>
          <cell r="AX3044">
            <v>129</v>
          </cell>
        </row>
        <row r="3045">
          <cell r="E3045" t="str">
            <v>GF</v>
          </cell>
          <cell r="AV3045">
            <v>365</v>
          </cell>
          <cell r="AX3045">
            <v>130</v>
          </cell>
        </row>
        <row r="3046">
          <cell r="AV3046">
            <v>365</v>
          </cell>
          <cell r="AX3046">
            <v>336</v>
          </cell>
        </row>
        <row r="3047">
          <cell r="AV3047">
            <v>365</v>
          </cell>
          <cell r="AX3047">
            <v>336</v>
          </cell>
        </row>
        <row r="3048">
          <cell r="AV3048">
            <v>365</v>
          </cell>
          <cell r="AX3048">
            <v>336</v>
          </cell>
        </row>
        <row r="3049">
          <cell r="AV3049">
            <v>365</v>
          </cell>
          <cell r="AX3049">
            <v>336</v>
          </cell>
        </row>
        <row r="3050">
          <cell r="AV3050">
            <v>365</v>
          </cell>
          <cell r="AX3050">
            <v>336</v>
          </cell>
        </row>
        <row r="3051">
          <cell r="AV3051">
            <v>365</v>
          </cell>
          <cell r="AX3051">
            <v>336</v>
          </cell>
        </row>
        <row r="3052">
          <cell r="AV3052">
            <v>365</v>
          </cell>
          <cell r="AX3052">
            <v>336</v>
          </cell>
        </row>
        <row r="3053">
          <cell r="AV3053">
            <v>365</v>
          </cell>
          <cell r="AX3053">
            <v>266</v>
          </cell>
        </row>
        <row r="3054">
          <cell r="AV3054">
            <v>365</v>
          </cell>
          <cell r="AX3054">
            <v>366</v>
          </cell>
          <cell r="AZ3054">
            <v>0.16209999999999999</v>
          </cell>
          <cell r="BA3054">
            <v>229</v>
          </cell>
          <cell r="BB3054">
            <v>701.73756164383553</v>
          </cell>
        </row>
        <row r="3055">
          <cell r="AV3055">
            <v>365</v>
          </cell>
          <cell r="AX3055">
            <v>123</v>
          </cell>
        </row>
        <row r="3056">
          <cell r="AV3056">
            <v>365</v>
          </cell>
          <cell r="AX3056">
            <v>123</v>
          </cell>
        </row>
        <row r="3057">
          <cell r="AV3057">
            <v>365</v>
          </cell>
          <cell r="AX3057">
            <v>123</v>
          </cell>
        </row>
        <row r="3058">
          <cell r="AV3058">
            <v>365</v>
          </cell>
          <cell r="AX3058">
            <v>123</v>
          </cell>
        </row>
        <row r="3059">
          <cell r="AV3059">
            <v>365</v>
          </cell>
          <cell r="AX3059">
            <v>123</v>
          </cell>
        </row>
        <row r="3060">
          <cell r="AV3060">
            <v>365</v>
          </cell>
          <cell r="AX3060">
            <v>123</v>
          </cell>
        </row>
        <row r="3061">
          <cell r="AV3061">
            <v>365</v>
          </cell>
          <cell r="AX3061">
            <v>123</v>
          </cell>
        </row>
        <row r="3062">
          <cell r="AV3062">
            <v>365</v>
          </cell>
          <cell r="AX3062">
            <v>123</v>
          </cell>
        </row>
        <row r="3063">
          <cell r="AV3063">
            <v>365</v>
          </cell>
          <cell r="AX3063">
            <v>123</v>
          </cell>
        </row>
        <row r="3064">
          <cell r="AV3064">
            <v>365</v>
          </cell>
          <cell r="AX3064">
            <v>123</v>
          </cell>
        </row>
        <row r="3065">
          <cell r="AV3065">
            <v>365</v>
          </cell>
          <cell r="AX3065">
            <v>123</v>
          </cell>
        </row>
        <row r="3066">
          <cell r="AV3066">
            <v>365</v>
          </cell>
          <cell r="AX3066">
            <v>123</v>
          </cell>
        </row>
        <row r="3067">
          <cell r="AV3067">
            <v>365</v>
          </cell>
          <cell r="AX3067">
            <v>123</v>
          </cell>
        </row>
        <row r="3068">
          <cell r="AV3068">
            <v>365</v>
          </cell>
          <cell r="AX3068">
            <v>123</v>
          </cell>
        </row>
        <row r="3069">
          <cell r="AV3069">
            <v>365</v>
          </cell>
          <cell r="AX3069">
            <v>123</v>
          </cell>
        </row>
        <row r="3070">
          <cell r="AV3070">
            <v>365</v>
          </cell>
          <cell r="AX3070">
            <v>123</v>
          </cell>
        </row>
        <row r="3071">
          <cell r="AV3071">
            <v>365</v>
          </cell>
          <cell r="AX3071">
            <v>123</v>
          </cell>
        </row>
        <row r="3072">
          <cell r="E3072" t="str">
            <v>FF</v>
          </cell>
          <cell r="F3072" t="str">
            <v>Intermediate</v>
          </cell>
          <cell r="AV3072">
            <v>365</v>
          </cell>
          <cell r="AX3072">
            <v>129</v>
          </cell>
        </row>
        <row r="3073">
          <cell r="E3073" t="str">
            <v>FF</v>
          </cell>
          <cell r="F3073" t="str">
            <v>Intermediate</v>
          </cell>
          <cell r="AV3073">
            <v>365</v>
          </cell>
          <cell r="AX3073">
            <v>129</v>
          </cell>
        </row>
        <row r="3074">
          <cell r="E3074" t="str">
            <v>FF</v>
          </cell>
          <cell r="F3074" t="str">
            <v>Pharma</v>
          </cell>
          <cell r="AV3074">
            <v>365</v>
          </cell>
          <cell r="AX3074">
            <v>129</v>
          </cell>
        </row>
        <row r="3075">
          <cell r="AV3075">
            <v>365</v>
          </cell>
          <cell r="AX3075">
            <v>366</v>
          </cell>
          <cell r="AZ3075">
            <v>6.3299999999999995E-2</v>
          </cell>
          <cell r="BA3075">
            <v>365</v>
          </cell>
          <cell r="BB3075">
            <v>411.45</v>
          </cell>
          <cell r="BC3075">
            <v>69</v>
          </cell>
        </row>
        <row r="3076">
          <cell r="E3076" t="str">
            <v>GF</v>
          </cell>
          <cell r="AV3076">
            <v>365</v>
          </cell>
          <cell r="AX3076">
            <v>71</v>
          </cell>
        </row>
        <row r="3077">
          <cell r="AV3077">
            <v>365</v>
          </cell>
          <cell r="AX3077">
            <v>33</v>
          </cell>
        </row>
        <row r="3078">
          <cell r="AV3078">
            <v>365</v>
          </cell>
          <cell r="AX3078">
            <v>33</v>
          </cell>
        </row>
        <row r="3079">
          <cell r="AV3079">
            <v>365</v>
          </cell>
          <cell r="AX3079">
            <v>33</v>
          </cell>
        </row>
        <row r="3080">
          <cell r="AV3080">
            <v>365</v>
          </cell>
          <cell r="AX3080">
            <v>33</v>
          </cell>
        </row>
        <row r="3081">
          <cell r="AV3081">
            <v>365</v>
          </cell>
          <cell r="AX3081">
            <v>33</v>
          </cell>
        </row>
        <row r="3082">
          <cell r="AV3082">
            <v>365</v>
          </cell>
          <cell r="AX3082">
            <v>33</v>
          </cell>
        </row>
        <row r="3083">
          <cell r="AV3083">
            <v>365</v>
          </cell>
          <cell r="AX3083">
            <v>33</v>
          </cell>
        </row>
        <row r="3084">
          <cell r="AV3084">
            <v>365</v>
          </cell>
          <cell r="AX3084">
            <v>33</v>
          </cell>
        </row>
        <row r="3085">
          <cell r="AV3085">
            <v>365</v>
          </cell>
          <cell r="AX3085">
            <v>33</v>
          </cell>
        </row>
        <row r="3086">
          <cell r="AV3086">
            <v>365</v>
          </cell>
          <cell r="AX3086">
            <v>33</v>
          </cell>
        </row>
        <row r="3087">
          <cell r="AV3087">
            <v>365</v>
          </cell>
          <cell r="AX3087">
            <v>33</v>
          </cell>
        </row>
        <row r="3088">
          <cell r="AV3088">
            <v>365</v>
          </cell>
          <cell r="AX3088">
            <v>33</v>
          </cell>
        </row>
        <row r="3089">
          <cell r="AV3089">
            <v>365</v>
          </cell>
          <cell r="AX3089">
            <v>33</v>
          </cell>
        </row>
        <row r="3090">
          <cell r="AV3090">
            <v>365</v>
          </cell>
          <cell r="AX3090">
            <v>33</v>
          </cell>
        </row>
        <row r="3091">
          <cell r="AV3091">
            <v>365</v>
          </cell>
          <cell r="AX3091">
            <v>33</v>
          </cell>
        </row>
        <row r="3092">
          <cell r="AV3092">
            <v>365</v>
          </cell>
          <cell r="AX3092">
            <v>33</v>
          </cell>
        </row>
        <row r="3093">
          <cell r="AV3093">
            <v>365</v>
          </cell>
          <cell r="AX3093">
            <v>33</v>
          </cell>
        </row>
        <row r="3094">
          <cell r="AV3094">
            <v>365</v>
          </cell>
          <cell r="AX3094">
            <v>33</v>
          </cell>
        </row>
        <row r="3095">
          <cell r="AV3095">
            <v>322</v>
          </cell>
        </row>
        <row r="3096">
          <cell r="AV3096">
            <v>365</v>
          </cell>
          <cell r="AX3096">
            <v>130</v>
          </cell>
        </row>
        <row r="3097">
          <cell r="AX3097">
            <v>202</v>
          </cell>
        </row>
        <row r="3098">
          <cell r="AV3098">
            <v>365</v>
          </cell>
          <cell r="AX3098">
            <v>1</v>
          </cell>
        </row>
        <row r="3099">
          <cell r="AV3099">
            <v>365</v>
          </cell>
          <cell r="AX3099">
            <v>1</v>
          </cell>
        </row>
        <row r="3100">
          <cell r="AV3100">
            <v>365</v>
          </cell>
          <cell r="AX3100">
            <v>1</v>
          </cell>
        </row>
        <row r="3101">
          <cell r="AV3101">
            <v>365</v>
          </cell>
          <cell r="AX3101">
            <v>1</v>
          </cell>
        </row>
        <row r="3102">
          <cell r="AV3102">
            <v>365</v>
          </cell>
          <cell r="AX3102">
            <v>1</v>
          </cell>
        </row>
        <row r="3103">
          <cell r="AV3103">
            <v>365</v>
          </cell>
          <cell r="AX3103">
            <v>1</v>
          </cell>
        </row>
        <row r="3104">
          <cell r="AV3104">
            <v>365</v>
          </cell>
          <cell r="AX3104">
            <v>1</v>
          </cell>
        </row>
        <row r="3105">
          <cell r="AV3105">
            <v>365</v>
          </cell>
          <cell r="AX3105">
            <v>1</v>
          </cell>
        </row>
        <row r="3106">
          <cell r="AV3106">
            <v>365</v>
          </cell>
          <cell r="AX3106">
            <v>1</v>
          </cell>
        </row>
        <row r="3107">
          <cell r="AV3107">
            <v>365</v>
          </cell>
          <cell r="AX3107">
            <v>1</v>
          </cell>
        </row>
        <row r="3108">
          <cell r="AV3108">
            <v>365</v>
          </cell>
          <cell r="AX3108">
            <v>1</v>
          </cell>
        </row>
        <row r="3109">
          <cell r="AV3109">
            <v>365</v>
          </cell>
          <cell r="AX3109">
            <v>1</v>
          </cell>
        </row>
        <row r="3110">
          <cell r="AV3110">
            <v>365</v>
          </cell>
          <cell r="AX3110">
            <v>1</v>
          </cell>
        </row>
        <row r="3111">
          <cell r="AV3111">
            <v>365</v>
          </cell>
          <cell r="AX3111">
            <v>1</v>
          </cell>
        </row>
        <row r="3112">
          <cell r="AV3112">
            <v>365</v>
          </cell>
          <cell r="AX3112">
            <v>1</v>
          </cell>
        </row>
        <row r="3113">
          <cell r="E3113" t="str">
            <v>GF</v>
          </cell>
          <cell r="AV3113">
            <v>365</v>
          </cell>
          <cell r="AX3113">
            <v>60</v>
          </cell>
        </row>
        <row r="3114">
          <cell r="AV3114">
            <v>365</v>
          </cell>
          <cell r="AX3114">
            <v>366</v>
          </cell>
          <cell r="AZ3114">
            <v>6.3299999999999995E-2</v>
          </cell>
          <cell r="BA3114">
            <v>347</v>
          </cell>
          <cell r="BB3114">
            <v>355.05230136986296</v>
          </cell>
        </row>
        <row r="3115">
          <cell r="AV3115">
            <v>365</v>
          </cell>
          <cell r="AX3115">
            <v>72</v>
          </cell>
        </row>
        <row r="3116">
          <cell r="AV3116">
            <v>365</v>
          </cell>
          <cell r="AX3116">
            <v>72</v>
          </cell>
        </row>
        <row r="3117">
          <cell r="AV3117">
            <v>365</v>
          </cell>
          <cell r="AX3117">
            <v>72</v>
          </cell>
        </row>
        <row r="3118">
          <cell r="AV3118">
            <v>365</v>
          </cell>
          <cell r="AX3118">
            <v>72</v>
          </cell>
        </row>
        <row r="3119">
          <cell r="AV3119">
            <v>365</v>
          </cell>
          <cell r="AX3119">
            <v>72</v>
          </cell>
        </row>
        <row r="3120">
          <cell r="AV3120">
            <v>365</v>
          </cell>
          <cell r="AX3120">
            <v>72</v>
          </cell>
        </row>
        <row r="3121">
          <cell r="AV3121">
            <v>365</v>
          </cell>
          <cell r="AX3121">
            <v>72</v>
          </cell>
        </row>
        <row r="3122">
          <cell r="AV3122">
            <v>365</v>
          </cell>
          <cell r="AX3122">
            <v>72</v>
          </cell>
        </row>
        <row r="3123">
          <cell r="AV3123">
            <v>365</v>
          </cell>
          <cell r="AX3123">
            <v>72</v>
          </cell>
        </row>
        <row r="3124">
          <cell r="AV3124">
            <v>365</v>
          </cell>
          <cell r="AX3124">
            <v>72</v>
          </cell>
        </row>
        <row r="3125">
          <cell r="AV3125">
            <v>365</v>
          </cell>
          <cell r="AX3125">
            <v>72</v>
          </cell>
        </row>
        <row r="3126">
          <cell r="AV3126">
            <v>365</v>
          </cell>
          <cell r="AX3126">
            <v>72</v>
          </cell>
        </row>
        <row r="3127">
          <cell r="AV3127">
            <v>365</v>
          </cell>
          <cell r="AX3127">
            <v>72</v>
          </cell>
        </row>
        <row r="3128">
          <cell r="AV3128">
            <v>365</v>
          </cell>
          <cell r="AX3128">
            <v>130</v>
          </cell>
        </row>
        <row r="3129">
          <cell r="E3129" t="str">
            <v>GF</v>
          </cell>
          <cell r="AV3129">
            <v>365</v>
          </cell>
          <cell r="AX3129">
            <v>184</v>
          </cell>
        </row>
        <row r="3130">
          <cell r="E3130" t="str">
            <v>GF</v>
          </cell>
          <cell r="AV3130">
            <v>365</v>
          </cell>
          <cell r="AX3130">
            <v>184</v>
          </cell>
        </row>
        <row r="3131">
          <cell r="E3131" t="str">
            <v>GF</v>
          </cell>
          <cell r="AV3131">
            <v>365</v>
          </cell>
          <cell r="AX3131">
            <v>184</v>
          </cell>
        </row>
        <row r="3132">
          <cell r="E3132" t="str">
            <v>GF</v>
          </cell>
          <cell r="AV3132">
            <v>365</v>
          </cell>
          <cell r="AX3132">
            <v>184</v>
          </cell>
        </row>
        <row r="3133">
          <cell r="E3133" t="str">
            <v>GF</v>
          </cell>
          <cell r="AV3133">
            <v>365</v>
          </cell>
          <cell r="AX3133">
            <v>184</v>
          </cell>
        </row>
        <row r="3134">
          <cell r="E3134" t="str">
            <v>GF</v>
          </cell>
          <cell r="AV3134">
            <v>365</v>
          </cell>
          <cell r="AX3134">
            <v>184</v>
          </cell>
        </row>
        <row r="3135">
          <cell r="E3135" t="str">
            <v>GF</v>
          </cell>
          <cell r="AV3135">
            <v>365</v>
          </cell>
          <cell r="AX3135">
            <v>184</v>
          </cell>
        </row>
        <row r="3136">
          <cell r="E3136" t="str">
            <v>GF</v>
          </cell>
          <cell r="AV3136">
            <v>365</v>
          </cell>
          <cell r="AX3136">
            <v>184</v>
          </cell>
        </row>
        <row r="3137">
          <cell r="AV3137">
            <v>365</v>
          </cell>
          <cell r="AX3137">
            <v>1</v>
          </cell>
        </row>
        <row r="3138">
          <cell r="AV3138">
            <v>365</v>
          </cell>
          <cell r="AX3138">
            <v>141</v>
          </cell>
        </row>
        <row r="3139">
          <cell r="E3139" t="str">
            <v>GF</v>
          </cell>
          <cell r="AV3139">
            <v>365</v>
          </cell>
          <cell r="AX3139">
            <v>71</v>
          </cell>
        </row>
        <row r="3140">
          <cell r="E3140" t="str">
            <v>FF</v>
          </cell>
          <cell r="AV3140">
            <v>365</v>
          </cell>
          <cell r="AX3140">
            <v>71</v>
          </cell>
        </row>
        <row r="3141">
          <cell r="AX3141">
            <v>366</v>
          </cell>
          <cell r="AZ3141">
            <v>0.16209999999999999</v>
          </cell>
          <cell r="BA3141">
            <v>1</v>
          </cell>
          <cell r="BB3141">
            <v>2.509219178082192</v>
          </cell>
        </row>
        <row r="3142">
          <cell r="AV3142">
            <v>365</v>
          </cell>
          <cell r="AX3142">
            <v>1</v>
          </cell>
        </row>
        <row r="3143">
          <cell r="AV3143">
            <v>361</v>
          </cell>
        </row>
        <row r="3144">
          <cell r="AV3144">
            <v>361</v>
          </cell>
        </row>
        <row r="3145">
          <cell r="AV3145">
            <v>361</v>
          </cell>
        </row>
        <row r="3146">
          <cell r="AV3146">
            <v>361</v>
          </cell>
        </row>
        <row r="3147">
          <cell r="AV3147">
            <v>361</v>
          </cell>
        </row>
        <row r="3148">
          <cell r="AV3148">
            <v>361</v>
          </cell>
        </row>
        <row r="3149">
          <cell r="AV3149">
            <v>361</v>
          </cell>
        </row>
        <row r="3150">
          <cell r="AV3150">
            <v>361</v>
          </cell>
        </row>
        <row r="3151">
          <cell r="AV3151">
            <v>361</v>
          </cell>
        </row>
        <row r="3152">
          <cell r="E3152" t="str">
            <v>GF</v>
          </cell>
          <cell r="AV3152">
            <v>365</v>
          </cell>
          <cell r="AX3152">
            <v>130</v>
          </cell>
        </row>
        <row r="3153">
          <cell r="AX3153">
            <v>276</v>
          </cell>
        </row>
        <row r="3154">
          <cell r="AV3154">
            <v>365</v>
          </cell>
          <cell r="AX3154">
            <v>103</v>
          </cell>
        </row>
        <row r="3155">
          <cell r="AV3155">
            <v>365</v>
          </cell>
          <cell r="AX3155">
            <v>103</v>
          </cell>
        </row>
        <row r="3156">
          <cell r="AV3156">
            <v>365</v>
          </cell>
          <cell r="AX3156">
            <v>103</v>
          </cell>
        </row>
        <row r="3157">
          <cell r="AV3157">
            <v>365</v>
          </cell>
          <cell r="AX3157">
            <v>103</v>
          </cell>
        </row>
        <row r="3158">
          <cell r="AV3158">
            <v>365</v>
          </cell>
          <cell r="AX3158">
            <v>103</v>
          </cell>
        </row>
        <row r="3159">
          <cell r="AV3159">
            <v>365</v>
          </cell>
          <cell r="AX3159">
            <v>103</v>
          </cell>
        </row>
        <row r="3160">
          <cell r="AV3160">
            <v>365</v>
          </cell>
          <cell r="AX3160">
            <v>103</v>
          </cell>
        </row>
        <row r="3161">
          <cell r="AV3161">
            <v>365</v>
          </cell>
          <cell r="AX3161">
            <v>103</v>
          </cell>
        </row>
        <row r="3162">
          <cell r="AV3162">
            <v>365</v>
          </cell>
          <cell r="AX3162">
            <v>103</v>
          </cell>
        </row>
        <row r="3163">
          <cell r="AV3163">
            <v>365</v>
          </cell>
          <cell r="AX3163">
            <v>103</v>
          </cell>
        </row>
        <row r="3164">
          <cell r="AV3164">
            <v>365</v>
          </cell>
          <cell r="AX3164">
            <v>103</v>
          </cell>
        </row>
        <row r="3165">
          <cell r="AV3165">
            <v>365</v>
          </cell>
          <cell r="AX3165">
            <v>103</v>
          </cell>
        </row>
        <row r="3166">
          <cell r="AV3166">
            <v>365</v>
          </cell>
          <cell r="AX3166">
            <v>103</v>
          </cell>
        </row>
        <row r="3167">
          <cell r="AV3167">
            <v>365</v>
          </cell>
          <cell r="AX3167">
            <v>103</v>
          </cell>
        </row>
        <row r="3168">
          <cell r="AV3168">
            <v>365</v>
          </cell>
          <cell r="AX3168">
            <v>103</v>
          </cell>
        </row>
        <row r="3169">
          <cell r="AV3169">
            <v>365</v>
          </cell>
          <cell r="AX3169">
            <v>103</v>
          </cell>
        </row>
        <row r="3170">
          <cell r="AV3170">
            <v>365</v>
          </cell>
          <cell r="AX3170">
            <v>103</v>
          </cell>
        </row>
        <row r="3171">
          <cell r="AV3171">
            <v>365</v>
          </cell>
          <cell r="AX3171">
            <v>366</v>
          </cell>
          <cell r="AZ3171">
            <v>6.3299999999999995E-2</v>
          </cell>
          <cell r="BA3171">
            <v>0</v>
          </cell>
          <cell r="BB3171">
            <v>0</v>
          </cell>
        </row>
        <row r="3172">
          <cell r="AV3172">
            <v>365</v>
          </cell>
          <cell r="AX3172">
            <v>366</v>
          </cell>
          <cell r="AZ3172">
            <v>6.3299999999999995E-2</v>
          </cell>
          <cell r="BA3172">
            <v>0</v>
          </cell>
          <cell r="BB3172">
            <v>0</v>
          </cell>
        </row>
        <row r="3173">
          <cell r="AV3173">
            <v>365</v>
          </cell>
          <cell r="AX3173">
            <v>366</v>
          </cell>
          <cell r="AZ3173">
            <v>6.3299999999999995E-2</v>
          </cell>
          <cell r="BA3173">
            <v>0</v>
          </cell>
          <cell r="BB3173">
            <v>0</v>
          </cell>
        </row>
        <row r="3174">
          <cell r="AV3174">
            <v>365</v>
          </cell>
          <cell r="AX3174">
            <v>366</v>
          </cell>
          <cell r="AZ3174">
            <v>6.3299999999999995E-2</v>
          </cell>
          <cell r="BA3174">
            <v>0</v>
          </cell>
          <cell r="BB3174">
            <v>0</v>
          </cell>
        </row>
        <row r="3175">
          <cell r="AV3175">
            <v>365</v>
          </cell>
          <cell r="AX3175">
            <v>317</v>
          </cell>
        </row>
        <row r="3176">
          <cell r="AV3176">
            <v>365</v>
          </cell>
          <cell r="AX3176">
            <v>202</v>
          </cell>
        </row>
        <row r="3177">
          <cell r="E3177" t="str">
            <v>GF</v>
          </cell>
          <cell r="AV3177">
            <v>365</v>
          </cell>
          <cell r="AX3177">
            <v>336</v>
          </cell>
        </row>
        <row r="3178">
          <cell r="E3178" t="str">
            <v>GF</v>
          </cell>
          <cell r="AV3178">
            <v>365</v>
          </cell>
          <cell r="AX3178">
            <v>336</v>
          </cell>
        </row>
        <row r="3179">
          <cell r="E3179" t="str">
            <v>GF</v>
          </cell>
          <cell r="AV3179">
            <v>365</v>
          </cell>
          <cell r="AX3179">
            <v>336</v>
          </cell>
        </row>
        <row r="3180">
          <cell r="E3180" t="str">
            <v>GF</v>
          </cell>
          <cell r="AV3180">
            <v>365</v>
          </cell>
          <cell r="AX3180">
            <v>336</v>
          </cell>
        </row>
        <row r="3181">
          <cell r="E3181" t="str">
            <v>GF</v>
          </cell>
          <cell r="AV3181">
            <v>365</v>
          </cell>
          <cell r="AX3181">
            <v>336</v>
          </cell>
        </row>
        <row r="3182">
          <cell r="E3182" t="str">
            <v>GF</v>
          </cell>
          <cell r="AV3182">
            <v>365</v>
          </cell>
          <cell r="AX3182">
            <v>336</v>
          </cell>
        </row>
        <row r="3183">
          <cell r="E3183" t="str">
            <v>GF</v>
          </cell>
          <cell r="AV3183">
            <v>365</v>
          </cell>
          <cell r="AX3183">
            <v>336</v>
          </cell>
        </row>
        <row r="3184">
          <cell r="E3184" t="str">
            <v>GF</v>
          </cell>
          <cell r="AV3184">
            <v>365</v>
          </cell>
          <cell r="AX3184">
            <v>336</v>
          </cell>
        </row>
        <row r="3185">
          <cell r="E3185" t="str">
            <v>FF</v>
          </cell>
          <cell r="F3185" t="str">
            <v>Intermediate</v>
          </cell>
          <cell r="AV3185">
            <v>289</v>
          </cell>
        </row>
        <row r="3186">
          <cell r="E3186" t="str">
            <v>GF</v>
          </cell>
          <cell r="AV3186">
            <v>289</v>
          </cell>
        </row>
        <row r="3187">
          <cell r="AV3187">
            <v>289</v>
          </cell>
        </row>
        <row r="3188">
          <cell r="AV3188">
            <v>289</v>
          </cell>
        </row>
        <row r="3189">
          <cell r="E3189" t="str">
            <v>GF</v>
          </cell>
          <cell r="AV3189">
            <v>289</v>
          </cell>
        </row>
        <row r="3190">
          <cell r="AV3190">
            <v>365</v>
          </cell>
          <cell r="AX3190">
            <v>366</v>
          </cell>
          <cell r="AZ3190">
            <v>6.3299999999999995E-2</v>
          </cell>
          <cell r="BA3190">
            <v>256</v>
          </cell>
          <cell r="BB3190">
            <v>10232.305635945204</v>
          </cell>
        </row>
        <row r="3191">
          <cell r="AV3191">
            <v>365</v>
          </cell>
          <cell r="AX3191">
            <v>366</v>
          </cell>
          <cell r="AZ3191">
            <v>6.3299999999999995E-2</v>
          </cell>
          <cell r="BA3191">
            <v>256</v>
          </cell>
          <cell r="BB3191">
            <v>5039.4744000876708</v>
          </cell>
        </row>
        <row r="3192">
          <cell r="AV3192">
            <v>365</v>
          </cell>
          <cell r="AX3192">
            <v>366</v>
          </cell>
          <cell r="AZ3192">
            <v>6.3299999999999995E-2</v>
          </cell>
          <cell r="BA3192">
            <v>256</v>
          </cell>
          <cell r="BB3192">
            <v>5687.7960065753423</v>
          </cell>
        </row>
        <row r="3193">
          <cell r="AV3193">
            <v>365</v>
          </cell>
          <cell r="AX3193">
            <v>366</v>
          </cell>
          <cell r="AZ3193">
            <v>6.3299999999999995E-2</v>
          </cell>
          <cell r="BA3193">
            <v>256</v>
          </cell>
          <cell r="BB3193">
            <v>6781.819791780822</v>
          </cell>
        </row>
        <row r="3194">
          <cell r="AV3194">
            <v>365</v>
          </cell>
          <cell r="AX3194">
            <v>366</v>
          </cell>
          <cell r="AZ3194">
            <v>6.3299999999999995E-2</v>
          </cell>
          <cell r="BA3194">
            <v>256</v>
          </cell>
          <cell r="BB3194">
            <v>23816.648294399994</v>
          </cell>
        </row>
        <row r="3195">
          <cell r="AV3195">
            <v>365</v>
          </cell>
          <cell r="AX3195">
            <v>366</v>
          </cell>
          <cell r="AZ3195">
            <v>6.3299999999999995E-2</v>
          </cell>
          <cell r="BA3195">
            <v>256</v>
          </cell>
          <cell r="BB3195">
            <v>46244.009804449313</v>
          </cell>
        </row>
        <row r="3196">
          <cell r="E3196" t="str">
            <v>FF</v>
          </cell>
          <cell r="AV3196">
            <v>365</v>
          </cell>
          <cell r="AX3196">
            <v>71</v>
          </cell>
        </row>
        <row r="3197">
          <cell r="AV3197">
            <v>232</v>
          </cell>
        </row>
        <row r="3198">
          <cell r="AV3198">
            <v>232</v>
          </cell>
        </row>
        <row r="3199">
          <cell r="E3199" t="str">
            <v>FF</v>
          </cell>
          <cell r="AV3199">
            <v>365</v>
          </cell>
          <cell r="AX3199">
            <v>307</v>
          </cell>
        </row>
        <row r="3200">
          <cell r="E3200" t="str">
            <v>FF</v>
          </cell>
          <cell r="AV3200">
            <v>365</v>
          </cell>
          <cell r="AX3200">
            <v>307</v>
          </cell>
        </row>
        <row r="3201">
          <cell r="E3201" t="str">
            <v>FF</v>
          </cell>
          <cell r="AV3201">
            <v>365</v>
          </cell>
          <cell r="AX3201">
            <v>307</v>
          </cell>
        </row>
        <row r="3202">
          <cell r="E3202" t="str">
            <v>FF</v>
          </cell>
          <cell r="AV3202">
            <v>365</v>
          </cell>
          <cell r="AX3202">
            <v>307</v>
          </cell>
        </row>
        <row r="3203">
          <cell r="E3203" t="str">
            <v>FF</v>
          </cell>
          <cell r="AV3203">
            <v>365</v>
          </cell>
          <cell r="AX3203">
            <v>307</v>
          </cell>
        </row>
        <row r="3204">
          <cell r="E3204" t="str">
            <v>FF</v>
          </cell>
          <cell r="AV3204">
            <v>365</v>
          </cell>
          <cell r="AX3204">
            <v>307</v>
          </cell>
        </row>
        <row r="3205">
          <cell r="E3205" t="str">
            <v>FF</v>
          </cell>
          <cell r="AV3205">
            <v>365</v>
          </cell>
          <cell r="AX3205">
            <v>307</v>
          </cell>
        </row>
        <row r="3206">
          <cell r="E3206" t="str">
            <v>FF</v>
          </cell>
          <cell r="AV3206">
            <v>365</v>
          </cell>
          <cell r="AX3206">
            <v>307</v>
          </cell>
        </row>
        <row r="3207">
          <cell r="E3207" t="str">
            <v>FF</v>
          </cell>
          <cell r="AV3207">
            <v>365</v>
          </cell>
          <cell r="AX3207">
            <v>307</v>
          </cell>
        </row>
        <row r="3208">
          <cell r="E3208" t="str">
            <v>FF</v>
          </cell>
          <cell r="AV3208">
            <v>365</v>
          </cell>
          <cell r="AX3208">
            <v>307</v>
          </cell>
        </row>
        <row r="3209">
          <cell r="AV3209">
            <v>365</v>
          </cell>
          <cell r="AX3209">
            <v>337</v>
          </cell>
        </row>
        <row r="3210">
          <cell r="AV3210">
            <v>365</v>
          </cell>
          <cell r="AX3210">
            <v>337</v>
          </cell>
        </row>
        <row r="3211">
          <cell r="AV3211">
            <v>365</v>
          </cell>
          <cell r="AX3211">
            <v>184</v>
          </cell>
        </row>
        <row r="3212">
          <cell r="AV3212">
            <v>365</v>
          </cell>
          <cell r="AX3212">
            <v>184</v>
          </cell>
        </row>
        <row r="3213">
          <cell r="AV3213">
            <v>365</v>
          </cell>
          <cell r="AX3213">
            <v>184</v>
          </cell>
        </row>
        <row r="3214">
          <cell r="AV3214">
            <v>365</v>
          </cell>
          <cell r="AX3214">
            <v>184</v>
          </cell>
        </row>
        <row r="3215">
          <cell r="AV3215">
            <v>365</v>
          </cell>
          <cell r="AX3215">
            <v>184</v>
          </cell>
        </row>
        <row r="3216">
          <cell r="AV3216">
            <v>365</v>
          </cell>
          <cell r="AX3216">
            <v>184</v>
          </cell>
        </row>
        <row r="3217">
          <cell r="AV3217">
            <v>365</v>
          </cell>
          <cell r="AX3217">
            <v>184</v>
          </cell>
        </row>
        <row r="3218">
          <cell r="AV3218">
            <v>365</v>
          </cell>
          <cell r="AX3218">
            <v>184</v>
          </cell>
        </row>
        <row r="3219">
          <cell r="E3219" t="str">
            <v>GF</v>
          </cell>
          <cell r="AV3219">
            <v>365</v>
          </cell>
          <cell r="AX3219">
            <v>306</v>
          </cell>
        </row>
        <row r="3220">
          <cell r="E3220" t="str">
            <v>GF</v>
          </cell>
          <cell r="AV3220">
            <v>365</v>
          </cell>
          <cell r="AX3220">
            <v>306</v>
          </cell>
        </row>
        <row r="3221">
          <cell r="AV3221">
            <v>289</v>
          </cell>
        </row>
        <row r="3222">
          <cell r="AV3222">
            <v>365</v>
          </cell>
          <cell r="AX3222">
            <v>267</v>
          </cell>
        </row>
        <row r="3223">
          <cell r="AV3223">
            <v>365</v>
          </cell>
          <cell r="AX3223">
            <v>267</v>
          </cell>
        </row>
        <row r="3224">
          <cell r="AV3224">
            <v>365</v>
          </cell>
          <cell r="AX3224">
            <v>267</v>
          </cell>
        </row>
        <row r="3225">
          <cell r="AV3225">
            <v>365</v>
          </cell>
          <cell r="AX3225">
            <v>267</v>
          </cell>
        </row>
        <row r="3226">
          <cell r="AV3226">
            <v>365</v>
          </cell>
          <cell r="AX3226">
            <v>267</v>
          </cell>
        </row>
        <row r="3227">
          <cell r="AV3227">
            <v>365</v>
          </cell>
          <cell r="AX3227">
            <v>267</v>
          </cell>
        </row>
        <row r="3228">
          <cell r="AV3228">
            <v>365</v>
          </cell>
          <cell r="AX3228">
            <v>267</v>
          </cell>
        </row>
        <row r="3229">
          <cell r="AV3229">
            <v>365</v>
          </cell>
          <cell r="AX3229">
            <v>366</v>
          </cell>
          <cell r="AZ3229">
            <v>6.3299999999999995E-2</v>
          </cell>
          <cell r="BA3229">
            <v>70</v>
          </cell>
          <cell r="BB3229">
            <v>893.87230684931512</v>
          </cell>
        </row>
        <row r="3230">
          <cell r="AV3230">
            <v>365</v>
          </cell>
          <cell r="AX3230">
            <v>366</v>
          </cell>
          <cell r="AZ3230">
            <v>6.3299999999999995E-2</v>
          </cell>
          <cell r="BA3230">
            <v>70</v>
          </cell>
          <cell r="BB3230">
            <v>33084.638136986301</v>
          </cell>
        </row>
        <row r="3231">
          <cell r="AV3231">
            <v>365</v>
          </cell>
          <cell r="AX3231">
            <v>366</v>
          </cell>
          <cell r="AZ3231">
            <v>0.16209999999999999</v>
          </cell>
          <cell r="BA3231">
            <v>365</v>
          </cell>
          <cell r="BB3231">
            <v>758.62800000000004</v>
          </cell>
          <cell r="BC3231">
            <v>21</v>
          </cell>
        </row>
        <row r="3232">
          <cell r="AV3232">
            <v>198</v>
          </cell>
        </row>
        <row r="3233">
          <cell r="AV3233">
            <v>198</v>
          </cell>
        </row>
        <row r="3234">
          <cell r="AV3234">
            <v>365</v>
          </cell>
          <cell r="AX3234">
            <v>130</v>
          </cell>
        </row>
        <row r="3235">
          <cell r="E3235" t="str">
            <v>GF</v>
          </cell>
          <cell r="F3235" t="str">
            <v>Intermediate</v>
          </cell>
          <cell r="AV3235">
            <v>365</v>
          </cell>
          <cell r="AX3235">
            <v>130</v>
          </cell>
        </row>
        <row r="3236">
          <cell r="E3236" t="str">
            <v>GF</v>
          </cell>
          <cell r="F3236" t="str">
            <v>Intermediate</v>
          </cell>
          <cell r="AV3236">
            <v>365</v>
          </cell>
          <cell r="AX3236">
            <v>130</v>
          </cell>
        </row>
        <row r="3237">
          <cell r="E3237" t="str">
            <v>GF</v>
          </cell>
          <cell r="F3237" t="str">
            <v>Intermediate</v>
          </cell>
          <cell r="AV3237">
            <v>365</v>
          </cell>
          <cell r="AX3237">
            <v>130</v>
          </cell>
        </row>
        <row r="3238">
          <cell r="E3238" t="str">
            <v>GF</v>
          </cell>
          <cell r="F3238" t="str">
            <v>Intermediate</v>
          </cell>
          <cell r="AV3238">
            <v>365</v>
          </cell>
          <cell r="AX3238">
            <v>130</v>
          </cell>
        </row>
        <row r="3239">
          <cell r="E3239" t="str">
            <v>GF</v>
          </cell>
          <cell r="F3239" t="str">
            <v>Intermediate</v>
          </cell>
          <cell r="AV3239">
            <v>365</v>
          </cell>
          <cell r="AX3239">
            <v>130</v>
          </cell>
        </row>
        <row r="3240">
          <cell r="E3240" t="str">
            <v>GF</v>
          </cell>
          <cell r="F3240" t="str">
            <v>Intermediate</v>
          </cell>
          <cell r="AV3240">
            <v>365</v>
          </cell>
          <cell r="AX3240">
            <v>130</v>
          </cell>
        </row>
        <row r="3241">
          <cell r="E3241" t="str">
            <v>GF</v>
          </cell>
          <cell r="F3241" t="str">
            <v>Pharma</v>
          </cell>
          <cell r="AV3241">
            <v>365</v>
          </cell>
          <cell r="AX3241">
            <v>130</v>
          </cell>
        </row>
        <row r="3242">
          <cell r="E3242" t="str">
            <v>GF</v>
          </cell>
          <cell r="F3242" t="str">
            <v>Pharma</v>
          </cell>
          <cell r="AV3242">
            <v>365</v>
          </cell>
          <cell r="AX3242">
            <v>130</v>
          </cell>
        </row>
        <row r="3243">
          <cell r="E3243" t="str">
            <v>GF</v>
          </cell>
          <cell r="F3243" t="str">
            <v>Intermediate</v>
          </cell>
          <cell r="AV3243">
            <v>365</v>
          </cell>
          <cell r="AX3243">
            <v>130</v>
          </cell>
        </row>
        <row r="3244">
          <cell r="E3244" t="str">
            <v>GF</v>
          </cell>
          <cell r="F3244" t="str">
            <v>Intermediate</v>
          </cell>
          <cell r="AV3244">
            <v>365</v>
          </cell>
          <cell r="AX3244">
            <v>130</v>
          </cell>
        </row>
        <row r="3245">
          <cell r="E3245" t="str">
            <v>GF</v>
          </cell>
          <cell r="F3245" t="str">
            <v>Intermediate</v>
          </cell>
          <cell r="AV3245">
            <v>365</v>
          </cell>
          <cell r="AX3245">
            <v>130</v>
          </cell>
        </row>
        <row r="3246">
          <cell r="E3246" t="str">
            <v>GF</v>
          </cell>
          <cell r="F3246" t="str">
            <v>Intermediate</v>
          </cell>
          <cell r="AV3246">
            <v>365</v>
          </cell>
          <cell r="AX3246">
            <v>130</v>
          </cell>
        </row>
        <row r="3247">
          <cell r="E3247" t="str">
            <v>GF</v>
          </cell>
          <cell r="F3247" t="str">
            <v>Intermediate</v>
          </cell>
          <cell r="AV3247">
            <v>365</v>
          </cell>
          <cell r="AX3247">
            <v>130</v>
          </cell>
        </row>
        <row r="3248">
          <cell r="E3248" t="str">
            <v>GF</v>
          </cell>
          <cell r="F3248" t="str">
            <v>Intermediate</v>
          </cell>
          <cell r="AV3248">
            <v>365</v>
          </cell>
          <cell r="AX3248">
            <v>130</v>
          </cell>
        </row>
        <row r="3249">
          <cell r="E3249" t="str">
            <v>GF</v>
          </cell>
          <cell r="F3249" t="str">
            <v>Intermediate</v>
          </cell>
          <cell r="AV3249">
            <v>365</v>
          </cell>
          <cell r="AX3249">
            <v>130</v>
          </cell>
        </row>
        <row r="3250">
          <cell r="E3250" t="str">
            <v>GF</v>
          </cell>
          <cell r="F3250" t="str">
            <v>Pharma</v>
          </cell>
          <cell r="AV3250">
            <v>365</v>
          </cell>
          <cell r="AX3250">
            <v>130</v>
          </cell>
        </row>
        <row r="3251">
          <cell r="AV3251">
            <v>365</v>
          </cell>
          <cell r="AX3251">
            <v>130</v>
          </cell>
        </row>
        <row r="3252">
          <cell r="AV3252">
            <v>335</v>
          </cell>
        </row>
        <row r="3253">
          <cell r="AV3253">
            <v>335</v>
          </cell>
        </row>
        <row r="3254">
          <cell r="AV3254">
            <v>335</v>
          </cell>
        </row>
        <row r="3255">
          <cell r="AV3255">
            <v>335</v>
          </cell>
        </row>
        <row r="3256">
          <cell r="AV3256">
            <v>335</v>
          </cell>
        </row>
        <row r="3257">
          <cell r="AV3257">
            <v>335</v>
          </cell>
        </row>
        <row r="3258">
          <cell r="AV3258">
            <v>335</v>
          </cell>
        </row>
        <row r="3259">
          <cell r="AV3259">
            <v>335</v>
          </cell>
        </row>
        <row r="3260">
          <cell r="E3260" t="str">
            <v>GF</v>
          </cell>
          <cell r="AV3260">
            <v>365</v>
          </cell>
          <cell r="AX3260">
            <v>336</v>
          </cell>
        </row>
        <row r="3261">
          <cell r="E3261" t="str">
            <v>GF</v>
          </cell>
          <cell r="AV3261">
            <v>365</v>
          </cell>
          <cell r="AX3261">
            <v>336</v>
          </cell>
        </row>
        <row r="3262">
          <cell r="AV3262">
            <v>365</v>
          </cell>
          <cell r="AX3262">
            <v>33</v>
          </cell>
        </row>
        <row r="3263">
          <cell r="AV3263">
            <v>365</v>
          </cell>
          <cell r="AX3263">
            <v>33</v>
          </cell>
        </row>
        <row r="3264">
          <cell r="AV3264">
            <v>365</v>
          </cell>
          <cell r="AX3264">
            <v>33</v>
          </cell>
        </row>
        <row r="3265">
          <cell r="AV3265">
            <v>365</v>
          </cell>
          <cell r="AX3265">
            <v>33</v>
          </cell>
        </row>
        <row r="3266">
          <cell r="AV3266">
            <v>365</v>
          </cell>
          <cell r="AX3266">
            <v>33</v>
          </cell>
        </row>
        <row r="3267">
          <cell r="AV3267">
            <v>365</v>
          </cell>
          <cell r="AX3267">
            <v>33</v>
          </cell>
        </row>
        <row r="3268">
          <cell r="AV3268">
            <v>365</v>
          </cell>
          <cell r="AX3268">
            <v>33</v>
          </cell>
        </row>
        <row r="3269">
          <cell r="AV3269">
            <v>365</v>
          </cell>
          <cell r="AX3269">
            <v>33</v>
          </cell>
        </row>
        <row r="3270">
          <cell r="AV3270">
            <v>365</v>
          </cell>
          <cell r="AX3270">
            <v>33</v>
          </cell>
        </row>
        <row r="3271">
          <cell r="AV3271">
            <v>365</v>
          </cell>
          <cell r="AX3271">
            <v>33</v>
          </cell>
        </row>
        <row r="3272">
          <cell r="AV3272">
            <v>365</v>
          </cell>
          <cell r="AX3272">
            <v>33</v>
          </cell>
        </row>
        <row r="3273">
          <cell r="AV3273">
            <v>365</v>
          </cell>
          <cell r="AX3273">
            <v>33</v>
          </cell>
        </row>
        <row r="3274">
          <cell r="AV3274">
            <v>365</v>
          </cell>
          <cell r="AX3274">
            <v>33</v>
          </cell>
        </row>
        <row r="3275">
          <cell r="AV3275">
            <v>365</v>
          </cell>
          <cell r="AX3275">
            <v>33</v>
          </cell>
        </row>
        <row r="3276">
          <cell r="AV3276">
            <v>365</v>
          </cell>
          <cell r="AX3276">
            <v>33</v>
          </cell>
        </row>
        <row r="3277">
          <cell r="AV3277">
            <v>365</v>
          </cell>
          <cell r="AX3277">
            <v>33</v>
          </cell>
        </row>
        <row r="3278">
          <cell r="AV3278">
            <v>365</v>
          </cell>
          <cell r="AX3278">
            <v>33</v>
          </cell>
        </row>
        <row r="3279">
          <cell r="AV3279">
            <v>365</v>
          </cell>
          <cell r="AX3279">
            <v>33</v>
          </cell>
        </row>
        <row r="3280">
          <cell r="AV3280">
            <v>365</v>
          </cell>
          <cell r="AX3280">
            <v>33</v>
          </cell>
        </row>
        <row r="3281">
          <cell r="AV3281">
            <v>365</v>
          </cell>
          <cell r="AX3281">
            <v>33</v>
          </cell>
        </row>
        <row r="3282">
          <cell r="AV3282">
            <v>365</v>
          </cell>
          <cell r="AX3282">
            <v>33</v>
          </cell>
        </row>
        <row r="3283">
          <cell r="AV3283">
            <v>365</v>
          </cell>
          <cell r="AX3283">
            <v>33</v>
          </cell>
        </row>
        <row r="3284">
          <cell r="AV3284">
            <v>365</v>
          </cell>
          <cell r="AX3284">
            <v>33</v>
          </cell>
        </row>
        <row r="3285">
          <cell r="AV3285">
            <v>365</v>
          </cell>
          <cell r="AX3285">
            <v>33</v>
          </cell>
        </row>
        <row r="3286">
          <cell r="AV3286">
            <v>365</v>
          </cell>
          <cell r="AX3286">
            <v>33</v>
          </cell>
        </row>
        <row r="3287">
          <cell r="AV3287">
            <v>365</v>
          </cell>
          <cell r="AX3287">
            <v>33</v>
          </cell>
        </row>
        <row r="3288">
          <cell r="AV3288">
            <v>365</v>
          </cell>
          <cell r="AX3288">
            <v>33</v>
          </cell>
        </row>
        <row r="3289">
          <cell r="AV3289">
            <v>365</v>
          </cell>
          <cell r="AX3289">
            <v>33</v>
          </cell>
        </row>
        <row r="3290">
          <cell r="AV3290">
            <v>365</v>
          </cell>
          <cell r="AX3290">
            <v>33</v>
          </cell>
        </row>
        <row r="3291">
          <cell r="AV3291">
            <v>365</v>
          </cell>
          <cell r="AX3291">
            <v>33</v>
          </cell>
        </row>
        <row r="3292">
          <cell r="AV3292">
            <v>365</v>
          </cell>
          <cell r="AX3292">
            <v>33</v>
          </cell>
        </row>
        <row r="3293">
          <cell r="AV3293">
            <v>365</v>
          </cell>
          <cell r="AX3293">
            <v>366</v>
          </cell>
          <cell r="AZ3293">
            <v>0.16209999999999999</v>
          </cell>
          <cell r="BA3293">
            <v>217</v>
          </cell>
          <cell r="BB3293">
            <v>412.85670904109583</v>
          </cell>
        </row>
        <row r="3294">
          <cell r="E3294" t="str">
            <v>GF</v>
          </cell>
          <cell r="AV3294">
            <v>365</v>
          </cell>
          <cell r="AX3294">
            <v>130</v>
          </cell>
        </row>
        <row r="3295">
          <cell r="AV3295">
            <v>365</v>
          </cell>
          <cell r="AX3295">
            <v>366</v>
          </cell>
          <cell r="AZ3295">
            <v>0.16209999999999999</v>
          </cell>
          <cell r="BA3295">
            <v>59</v>
          </cell>
          <cell r="BB3295">
            <v>16570.686264113669</v>
          </cell>
        </row>
        <row r="3296">
          <cell r="AV3296">
            <v>365</v>
          </cell>
          <cell r="AX3296">
            <v>366</v>
          </cell>
          <cell r="AZ3296">
            <v>0.16209999999999999</v>
          </cell>
          <cell r="BA3296">
            <v>59</v>
          </cell>
          <cell r="BB3296">
            <v>280.56494170414265</v>
          </cell>
        </row>
        <row r="3297">
          <cell r="AV3297">
            <v>365</v>
          </cell>
          <cell r="AX3297">
            <v>366</v>
          </cell>
          <cell r="AZ3297">
            <v>0.16209999999999999</v>
          </cell>
          <cell r="BA3297">
            <v>59</v>
          </cell>
          <cell r="BB3297">
            <v>3698.7518014581619</v>
          </cell>
        </row>
        <row r="3298">
          <cell r="AV3298">
            <v>365</v>
          </cell>
          <cell r="AX3298">
            <v>366</v>
          </cell>
          <cell r="AZ3298">
            <v>0.16209999999999999</v>
          </cell>
          <cell r="BA3298">
            <v>59</v>
          </cell>
          <cell r="BB3298">
            <v>3246.2249059426349</v>
          </cell>
        </row>
        <row r="3299">
          <cell r="AV3299">
            <v>365</v>
          </cell>
          <cell r="AX3299">
            <v>366</v>
          </cell>
          <cell r="AZ3299">
            <v>0.16209999999999999</v>
          </cell>
          <cell r="BA3299">
            <v>59</v>
          </cell>
          <cell r="BB3299">
            <v>178.93893388055056</v>
          </cell>
        </row>
        <row r="3300">
          <cell r="AV3300">
            <v>365</v>
          </cell>
          <cell r="AX3300">
            <v>366</v>
          </cell>
          <cell r="AZ3300">
            <v>0.16209999999999999</v>
          </cell>
          <cell r="BA3300">
            <v>59</v>
          </cell>
          <cell r="BB3300">
            <v>2383.8729814994376</v>
          </cell>
        </row>
        <row r="3301">
          <cell r="AV3301">
            <v>365</v>
          </cell>
          <cell r="AX3301">
            <v>366</v>
          </cell>
          <cell r="AZ3301">
            <v>0.16209999999999999</v>
          </cell>
          <cell r="BA3301">
            <v>59</v>
          </cell>
          <cell r="BB3301">
            <v>5420.7337531314015</v>
          </cell>
        </row>
        <row r="3302">
          <cell r="AV3302">
            <v>365</v>
          </cell>
          <cell r="AX3302">
            <v>366</v>
          </cell>
          <cell r="AZ3302">
            <v>0.16209999999999999</v>
          </cell>
          <cell r="BA3302">
            <v>59</v>
          </cell>
          <cell r="BB3302">
            <v>6187.6574080030632</v>
          </cell>
        </row>
        <row r="3303">
          <cell r="AV3303">
            <v>365</v>
          </cell>
          <cell r="AX3303">
            <v>366</v>
          </cell>
          <cell r="AZ3303">
            <v>0.16209999999999999</v>
          </cell>
          <cell r="BA3303">
            <v>59</v>
          </cell>
          <cell r="BB3303">
            <v>1888.6247934876365</v>
          </cell>
        </row>
        <row r="3304">
          <cell r="AV3304">
            <v>365</v>
          </cell>
          <cell r="AX3304">
            <v>366</v>
          </cell>
          <cell r="AZ3304">
            <v>6.3299999999999995E-2</v>
          </cell>
          <cell r="BA3304">
            <v>52</v>
          </cell>
          <cell r="BB3304">
            <v>27006.270378082187</v>
          </cell>
        </row>
        <row r="3305">
          <cell r="AV3305">
            <v>305</v>
          </cell>
        </row>
        <row r="3306">
          <cell r="AV3306">
            <v>305</v>
          </cell>
        </row>
        <row r="3307">
          <cell r="E3307" t="str">
            <v>FF</v>
          </cell>
          <cell r="AV3307">
            <v>365</v>
          </cell>
          <cell r="AX3307">
            <v>366</v>
          </cell>
        </row>
        <row r="3308">
          <cell r="AV3308">
            <v>365</v>
          </cell>
          <cell r="AX3308">
            <v>33</v>
          </cell>
        </row>
        <row r="3309">
          <cell r="AV3309">
            <v>365</v>
          </cell>
          <cell r="AX3309">
            <v>33</v>
          </cell>
        </row>
        <row r="3310">
          <cell r="AV3310">
            <v>365</v>
          </cell>
          <cell r="AX3310">
            <v>33</v>
          </cell>
        </row>
        <row r="3311">
          <cell r="AV3311">
            <v>365</v>
          </cell>
          <cell r="AX3311">
            <v>33</v>
          </cell>
        </row>
        <row r="3312">
          <cell r="AV3312">
            <v>365</v>
          </cell>
          <cell r="AX3312">
            <v>33</v>
          </cell>
        </row>
        <row r="3313">
          <cell r="AV3313">
            <v>365</v>
          </cell>
          <cell r="AX3313">
            <v>33</v>
          </cell>
        </row>
        <row r="3314">
          <cell r="AV3314">
            <v>365</v>
          </cell>
          <cell r="AX3314">
            <v>33</v>
          </cell>
        </row>
        <row r="3315">
          <cell r="AV3315">
            <v>365</v>
          </cell>
          <cell r="AX3315">
            <v>33</v>
          </cell>
        </row>
        <row r="3316">
          <cell r="AV3316">
            <v>365</v>
          </cell>
          <cell r="AX3316">
            <v>33</v>
          </cell>
        </row>
        <row r="3317">
          <cell r="AV3317">
            <v>365</v>
          </cell>
          <cell r="AX3317">
            <v>33</v>
          </cell>
        </row>
        <row r="3318">
          <cell r="AV3318">
            <v>365</v>
          </cell>
          <cell r="AX3318">
            <v>33</v>
          </cell>
        </row>
        <row r="3319">
          <cell r="AV3319">
            <v>365</v>
          </cell>
          <cell r="AX3319">
            <v>33</v>
          </cell>
        </row>
        <row r="3320">
          <cell r="AV3320">
            <v>365</v>
          </cell>
          <cell r="AX3320">
            <v>33</v>
          </cell>
        </row>
        <row r="3321">
          <cell r="AV3321">
            <v>365</v>
          </cell>
          <cell r="AX3321">
            <v>33</v>
          </cell>
        </row>
        <row r="3322">
          <cell r="AV3322">
            <v>365</v>
          </cell>
          <cell r="AX3322">
            <v>33</v>
          </cell>
        </row>
        <row r="3323">
          <cell r="AV3323">
            <v>365</v>
          </cell>
          <cell r="AX3323">
            <v>33</v>
          </cell>
        </row>
        <row r="3324">
          <cell r="AV3324">
            <v>365</v>
          </cell>
          <cell r="AX3324">
            <v>33</v>
          </cell>
        </row>
        <row r="3325">
          <cell r="AV3325">
            <v>365</v>
          </cell>
          <cell r="AX3325">
            <v>33</v>
          </cell>
        </row>
        <row r="3326">
          <cell r="AV3326">
            <v>365</v>
          </cell>
          <cell r="AX3326">
            <v>33</v>
          </cell>
        </row>
        <row r="3327">
          <cell r="AV3327">
            <v>365</v>
          </cell>
          <cell r="AX3327">
            <v>33</v>
          </cell>
        </row>
        <row r="3328">
          <cell r="AV3328">
            <v>365</v>
          </cell>
          <cell r="AX3328">
            <v>33</v>
          </cell>
        </row>
        <row r="3329">
          <cell r="AV3329">
            <v>365</v>
          </cell>
          <cell r="AX3329">
            <v>33</v>
          </cell>
        </row>
        <row r="3330">
          <cell r="AV3330">
            <v>365</v>
          </cell>
          <cell r="AX3330">
            <v>33</v>
          </cell>
        </row>
        <row r="3331">
          <cell r="AV3331">
            <v>365</v>
          </cell>
          <cell r="AX3331">
            <v>33</v>
          </cell>
        </row>
        <row r="3332">
          <cell r="AV3332">
            <v>365</v>
          </cell>
          <cell r="AX3332">
            <v>33</v>
          </cell>
        </row>
        <row r="3333">
          <cell r="AV3333">
            <v>365</v>
          </cell>
          <cell r="AX3333">
            <v>33</v>
          </cell>
        </row>
        <row r="3334">
          <cell r="AV3334">
            <v>365</v>
          </cell>
          <cell r="AX3334">
            <v>33</v>
          </cell>
        </row>
        <row r="3335">
          <cell r="AV3335">
            <v>365</v>
          </cell>
          <cell r="AX3335">
            <v>33</v>
          </cell>
        </row>
        <row r="3336">
          <cell r="AV3336">
            <v>365</v>
          </cell>
          <cell r="AX3336">
            <v>33</v>
          </cell>
        </row>
        <row r="3337">
          <cell r="AV3337">
            <v>365</v>
          </cell>
          <cell r="AX3337">
            <v>33</v>
          </cell>
        </row>
        <row r="3338">
          <cell r="AV3338">
            <v>365</v>
          </cell>
          <cell r="AX3338">
            <v>33</v>
          </cell>
        </row>
        <row r="3339">
          <cell r="AV3339">
            <v>365</v>
          </cell>
          <cell r="AX3339">
            <v>33</v>
          </cell>
        </row>
        <row r="3340">
          <cell r="AV3340">
            <v>365</v>
          </cell>
          <cell r="AX3340">
            <v>33</v>
          </cell>
        </row>
        <row r="3341">
          <cell r="AV3341">
            <v>365</v>
          </cell>
          <cell r="AX3341">
            <v>33</v>
          </cell>
        </row>
        <row r="3342">
          <cell r="AV3342">
            <v>365</v>
          </cell>
          <cell r="AX3342">
            <v>33</v>
          </cell>
        </row>
        <row r="3343">
          <cell r="AV3343">
            <v>365</v>
          </cell>
          <cell r="AX3343">
            <v>33</v>
          </cell>
        </row>
        <row r="3344">
          <cell r="AV3344">
            <v>365</v>
          </cell>
          <cell r="AX3344">
            <v>33</v>
          </cell>
        </row>
        <row r="3345">
          <cell r="AV3345">
            <v>365</v>
          </cell>
          <cell r="AX3345">
            <v>33</v>
          </cell>
        </row>
        <row r="3346">
          <cell r="AV3346">
            <v>365</v>
          </cell>
          <cell r="AX3346">
            <v>33</v>
          </cell>
        </row>
        <row r="3347">
          <cell r="AV3347">
            <v>365</v>
          </cell>
          <cell r="AX3347">
            <v>33</v>
          </cell>
        </row>
        <row r="3348">
          <cell r="AV3348">
            <v>365</v>
          </cell>
          <cell r="AX3348">
            <v>33</v>
          </cell>
        </row>
        <row r="3349">
          <cell r="AV3349">
            <v>365</v>
          </cell>
          <cell r="AX3349">
            <v>33</v>
          </cell>
        </row>
        <row r="3350">
          <cell r="AV3350">
            <v>365</v>
          </cell>
          <cell r="AX3350">
            <v>183</v>
          </cell>
        </row>
        <row r="3351">
          <cell r="AV3351">
            <v>365</v>
          </cell>
          <cell r="AX3351">
            <v>183</v>
          </cell>
        </row>
        <row r="3352">
          <cell r="AV3352">
            <v>365</v>
          </cell>
          <cell r="AX3352">
            <v>183</v>
          </cell>
        </row>
        <row r="3353">
          <cell r="AV3353">
            <v>365</v>
          </cell>
          <cell r="AX3353">
            <v>183</v>
          </cell>
        </row>
        <row r="3354">
          <cell r="AV3354">
            <v>365</v>
          </cell>
          <cell r="AX3354">
            <v>183</v>
          </cell>
        </row>
        <row r="3355">
          <cell r="AV3355">
            <v>365</v>
          </cell>
          <cell r="AX3355">
            <v>183</v>
          </cell>
        </row>
        <row r="3356">
          <cell r="AV3356">
            <v>365</v>
          </cell>
          <cell r="AX3356">
            <v>267</v>
          </cell>
        </row>
        <row r="3357">
          <cell r="AV3357">
            <v>365</v>
          </cell>
          <cell r="AX3357">
            <v>267</v>
          </cell>
        </row>
        <row r="3358">
          <cell r="AV3358">
            <v>365</v>
          </cell>
          <cell r="AX3358">
            <v>267</v>
          </cell>
        </row>
        <row r="3359">
          <cell r="AV3359">
            <v>365</v>
          </cell>
          <cell r="AX3359">
            <v>267</v>
          </cell>
        </row>
        <row r="3360">
          <cell r="AV3360">
            <v>365</v>
          </cell>
          <cell r="AX3360">
            <v>267</v>
          </cell>
        </row>
        <row r="3361">
          <cell r="AV3361">
            <v>365</v>
          </cell>
          <cell r="AX3361">
            <v>267</v>
          </cell>
        </row>
        <row r="3362">
          <cell r="AV3362">
            <v>365</v>
          </cell>
          <cell r="AX3362">
            <v>267</v>
          </cell>
        </row>
        <row r="3363">
          <cell r="AV3363">
            <v>365</v>
          </cell>
          <cell r="AX3363">
            <v>267</v>
          </cell>
        </row>
        <row r="3364">
          <cell r="AV3364">
            <v>365</v>
          </cell>
          <cell r="AX3364">
            <v>267</v>
          </cell>
        </row>
        <row r="3365">
          <cell r="AV3365">
            <v>365</v>
          </cell>
          <cell r="AX3365">
            <v>267</v>
          </cell>
        </row>
        <row r="3366">
          <cell r="AV3366">
            <v>365</v>
          </cell>
          <cell r="AX3366">
            <v>267</v>
          </cell>
        </row>
        <row r="3367">
          <cell r="AV3367">
            <v>365</v>
          </cell>
          <cell r="AX3367">
            <v>267</v>
          </cell>
        </row>
        <row r="3368">
          <cell r="AV3368">
            <v>365</v>
          </cell>
          <cell r="AX3368">
            <v>267</v>
          </cell>
        </row>
        <row r="3369">
          <cell r="AV3369">
            <v>365</v>
          </cell>
          <cell r="AX3369">
            <v>267</v>
          </cell>
        </row>
        <row r="3370">
          <cell r="AV3370">
            <v>365</v>
          </cell>
          <cell r="AX3370">
            <v>267</v>
          </cell>
        </row>
        <row r="3371">
          <cell r="AV3371">
            <v>365</v>
          </cell>
          <cell r="AX3371">
            <v>267</v>
          </cell>
        </row>
        <row r="3372">
          <cell r="AV3372">
            <v>365</v>
          </cell>
          <cell r="AX3372">
            <v>267</v>
          </cell>
        </row>
        <row r="3373">
          <cell r="AV3373">
            <v>365</v>
          </cell>
          <cell r="AX3373">
            <v>267</v>
          </cell>
        </row>
        <row r="3374">
          <cell r="AV3374">
            <v>365</v>
          </cell>
          <cell r="AX3374">
            <v>267</v>
          </cell>
        </row>
        <row r="3375">
          <cell r="AV3375">
            <v>365</v>
          </cell>
          <cell r="AX3375">
            <v>267</v>
          </cell>
        </row>
        <row r="3376">
          <cell r="AV3376">
            <v>365</v>
          </cell>
          <cell r="AX3376">
            <v>267</v>
          </cell>
        </row>
        <row r="3377">
          <cell r="AV3377">
            <v>365</v>
          </cell>
          <cell r="AX3377">
            <v>33</v>
          </cell>
        </row>
        <row r="3378">
          <cell r="AV3378">
            <v>365</v>
          </cell>
          <cell r="AX3378">
            <v>33</v>
          </cell>
        </row>
        <row r="3379">
          <cell r="AV3379">
            <v>365</v>
          </cell>
          <cell r="AX3379">
            <v>33</v>
          </cell>
        </row>
        <row r="3380">
          <cell r="AV3380">
            <v>365</v>
          </cell>
          <cell r="AX3380">
            <v>33</v>
          </cell>
        </row>
        <row r="3381">
          <cell r="AV3381">
            <v>365</v>
          </cell>
          <cell r="AX3381">
            <v>33</v>
          </cell>
        </row>
        <row r="3382">
          <cell r="AV3382">
            <v>365</v>
          </cell>
          <cell r="AX3382">
            <v>33</v>
          </cell>
        </row>
        <row r="3383">
          <cell r="AV3383">
            <v>365</v>
          </cell>
          <cell r="AX3383">
            <v>33</v>
          </cell>
        </row>
        <row r="3384">
          <cell r="AV3384">
            <v>365</v>
          </cell>
          <cell r="AX3384">
            <v>33</v>
          </cell>
        </row>
        <row r="3385">
          <cell r="AV3385">
            <v>365</v>
          </cell>
          <cell r="AX3385">
            <v>33</v>
          </cell>
        </row>
        <row r="3386">
          <cell r="AV3386">
            <v>365</v>
          </cell>
          <cell r="AX3386">
            <v>33</v>
          </cell>
        </row>
        <row r="3387">
          <cell r="AV3387">
            <v>365</v>
          </cell>
          <cell r="AX3387">
            <v>33</v>
          </cell>
        </row>
        <row r="3388">
          <cell r="AV3388">
            <v>365</v>
          </cell>
          <cell r="AX3388">
            <v>33</v>
          </cell>
        </row>
        <row r="3389">
          <cell r="AV3389">
            <v>365</v>
          </cell>
          <cell r="AX3389">
            <v>33</v>
          </cell>
        </row>
        <row r="3390">
          <cell r="AV3390">
            <v>365</v>
          </cell>
          <cell r="AX3390">
            <v>33</v>
          </cell>
        </row>
        <row r="3391">
          <cell r="AV3391">
            <v>365</v>
          </cell>
          <cell r="AX3391">
            <v>33</v>
          </cell>
        </row>
        <row r="3392">
          <cell r="AV3392">
            <v>365</v>
          </cell>
          <cell r="AX3392">
            <v>33</v>
          </cell>
        </row>
        <row r="3393">
          <cell r="AV3393">
            <v>365</v>
          </cell>
          <cell r="AX3393">
            <v>33</v>
          </cell>
        </row>
        <row r="3394">
          <cell r="AV3394">
            <v>365</v>
          </cell>
          <cell r="AX3394">
            <v>33</v>
          </cell>
        </row>
        <row r="3395">
          <cell r="AV3395">
            <v>365</v>
          </cell>
          <cell r="AX3395">
            <v>33</v>
          </cell>
        </row>
        <row r="3396">
          <cell r="AV3396">
            <v>365</v>
          </cell>
          <cell r="AX3396">
            <v>33</v>
          </cell>
        </row>
        <row r="3397">
          <cell r="AV3397">
            <v>365</v>
          </cell>
          <cell r="AX3397">
            <v>33</v>
          </cell>
        </row>
        <row r="3398">
          <cell r="AV3398">
            <v>365</v>
          </cell>
          <cell r="AX3398">
            <v>33</v>
          </cell>
        </row>
        <row r="3399">
          <cell r="AV3399">
            <v>365</v>
          </cell>
          <cell r="AX3399">
            <v>33</v>
          </cell>
        </row>
        <row r="3400">
          <cell r="AV3400">
            <v>365</v>
          </cell>
          <cell r="AX3400">
            <v>33</v>
          </cell>
        </row>
        <row r="3401">
          <cell r="AV3401">
            <v>365</v>
          </cell>
          <cell r="AX3401">
            <v>33</v>
          </cell>
        </row>
        <row r="3402">
          <cell r="AV3402">
            <v>365</v>
          </cell>
          <cell r="AX3402">
            <v>33</v>
          </cell>
        </row>
        <row r="3403">
          <cell r="AV3403">
            <v>365</v>
          </cell>
          <cell r="AX3403">
            <v>33</v>
          </cell>
        </row>
        <row r="3404">
          <cell r="AV3404">
            <v>365</v>
          </cell>
          <cell r="AX3404">
            <v>33</v>
          </cell>
        </row>
        <row r="3405">
          <cell r="AV3405">
            <v>365</v>
          </cell>
          <cell r="AX3405">
            <v>366</v>
          </cell>
          <cell r="AZ3405">
            <v>6.3299999999999995E-2</v>
          </cell>
          <cell r="BA3405">
            <v>346</v>
          </cell>
          <cell r="BB3405">
            <v>240.01972602739727</v>
          </cell>
        </row>
        <row r="3406">
          <cell r="AV3406">
            <v>365</v>
          </cell>
          <cell r="AX3406">
            <v>130</v>
          </cell>
        </row>
        <row r="3407">
          <cell r="AV3407">
            <v>365</v>
          </cell>
          <cell r="AX3407">
            <v>130</v>
          </cell>
        </row>
        <row r="3408">
          <cell r="AV3408">
            <v>365</v>
          </cell>
          <cell r="AX3408">
            <v>130</v>
          </cell>
        </row>
        <row r="3409">
          <cell r="AV3409">
            <v>365</v>
          </cell>
          <cell r="AX3409">
            <v>130</v>
          </cell>
        </row>
        <row r="3410">
          <cell r="D3410" t="str">
            <v>Utilities</v>
          </cell>
          <cell r="AV3410">
            <v>365</v>
          </cell>
          <cell r="AX3410">
            <v>130</v>
          </cell>
        </row>
        <row r="3411">
          <cell r="D3411" t="str">
            <v>Utilities</v>
          </cell>
          <cell r="AV3411">
            <v>365</v>
          </cell>
          <cell r="AX3411">
            <v>130</v>
          </cell>
        </row>
        <row r="3412">
          <cell r="D3412" t="str">
            <v>Utilities</v>
          </cell>
          <cell r="E3412" t="str">
            <v>OCB</v>
          </cell>
          <cell r="AV3412">
            <v>365</v>
          </cell>
          <cell r="AX3412">
            <v>130</v>
          </cell>
        </row>
        <row r="3413">
          <cell r="AV3413">
            <v>365</v>
          </cell>
          <cell r="AX3413">
            <v>130</v>
          </cell>
        </row>
        <row r="3414">
          <cell r="AV3414">
            <v>365</v>
          </cell>
          <cell r="AX3414">
            <v>130</v>
          </cell>
        </row>
        <row r="3415">
          <cell r="E3415" t="str">
            <v>GF</v>
          </cell>
          <cell r="F3415" t="str">
            <v xml:space="preserve">Pharma </v>
          </cell>
          <cell r="AV3415">
            <v>365</v>
          </cell>
          <cell r="AX3415">
            <v>130</v>
          </cell>
        </row>
        <row r="3416">
          <cell r="E3416" t="str">
            <v>GF</v>
          </cell>
          <cell r="F3416" t="str">
            <v xml:space="preserve">Pharma </v>
          </cell>
          <cell r="AV3416">
            <v>365</v>
          </cell>
          <cell r="AX3416">
            <v>130</v>
          </cell>
        </row>
        <row r="3417">
          <cell r="E3417" t="str">
            <v>GF</v>
          </cell>
          <cell r="F3417" t="str">
            <v>Intermediate</v>
          </cell>
          <cell r="AV3417">
            <v>365</v>
          </cell>
          <cell r="AX3417">
            <v>130</v>
          </cell>
        </row>
        <row r="3418">
          <cell r="E3418" t="str">
            <v>GF</v>
          </cell>
          <cell r="F3418" t="str">
            <v>Intermediate</v>
          </cell>
          <cell r="AV3418">
            <v>365</v>
          </cell>
          <cell r="AX3418">
            <v>130</v>
          </cell>
        </row>
        <row r="3419">
          <cell r="E3419" t="str">
            <v>GF</v>
          </cell>
          <cell r="F3419" t="str">
            <v>Intermediate</v>
          </cell>
          <cell r="AV3419">
            <v>365</v>
          </cell>
          <cell r="AX3419">
            <v>130</v>
          </cell>
        </row>
        <row r="3420">
          <cell r="E3420" t="str">
            <v>GF</v>
          </cell>
          <cell r="F3420" t="str">
            <v>Intermediate</v>
          </cell>
          <cell r="AV3420">
            <v>365</v>
          </cell>
          <cell r="AX3420">
            <v>130</v>
          </cell>
        </row>
        <row r="3421">
          <cell r="E3421" t="str">
            <v>GF</v>
          </cell>
          <cell r="F3421" t="str">
            <v xml:space="preserve">Pharma </v>
          </cell>
          <cell r="AV3421">
            <v>365</v>
          </cell>
          <cell r="AX3421">
            <v>130</v>
          </cell>
        </row>
        <row r="3422">
          <cell r="E3422" t="str">
            <v>GF</v>
          </cell>
          <cell r="F3422" t="str">
            <v xml:space="preserve">Pharma </v>
          </cell>
          <cell r="AV3422">
            <v>365</v>
          </cell>
          <cell r="AX3422">
            <v>130</v>
          </cell>
        </row>
        <row r="3423">
          <cell r="AV3423">
            <v>365</v>
          </cell>
          <cell r="AX3423">
            <v>130</v>
          </cell>
        </row>
        <row r="3424">
          <cell r="AV3424">
            <v>365</v>
          </cell>
          <cell r="AX3424">
            <v>130</v>
          </cell>
        </row>
        <row r="3425">
          <cell r="AV3425">
            <v>365</v>
          </cell>
          <cell r="AX3425">
            <v>130</v>
          </cell>
        </row>
        <row r="3426">
          <cell r="AV3426">
            <v>365</v>
          </cell>
          <cell r="AX3426">
            <v>130</v>
          </cell>
        </row>
        <row r="3427">
          <cell r="E3427" t="str">
            <v>GF</v>
          </cell>
          <cell r="AV3427">
            <v>365</v>
          </cell>
          <cell r="AX3427">
            <v>366</v>
          </cell>
        </row>
        <row r="3428">
          <cell r="E3428" t="str">
            <v>FF</v>
          </cell>
          <cell r="F3428" t="str">
            <v>Intermediate</v>
          </cell>
          <cell r="AV3428">
            <v>365</v>
          </cell>
          <cell r="AX3428">
            <v>129</v>
          </cell>
        </row>
        <row r="3429">
          <cell r="E3429" t="str">
            <v>FF</v>
          </cell>
          <cell r="F3429" t="str">
            <v>Intermediate</v>
          </cell>
          <cell r="AV3429">
            <v>365</v>
          </cell>
          <cell r="AX3429">
            <v>129</v>
          </cell>
        </row>
        <row r="3430">
          <cell r="E3430" t="str">
            <v>FF</v>
          </cell>
          <cell r="F3430" t="str">
            <v>Intermediate</v>
          </cell>
          <cell r="AV3430">
            <v>365</v>
          </cell>
          <cell r="AX3430">
            <v>129</v>
          </cell>
        </row>
        <row r="3431">
          <cell r="E3431" t="str">
            <v>FF</v>
          </cell>
          <cell r="F3431" t="str">
            <v>Intermediate</v>
          </cell>
          <cell r="AV3431">
            <v>365</v>
          </cell>
          <cell r="AX3431">
            <v>129</v>
          </cell>
        </row>
        <row r="3432">
          <cell r="E3432" t="str">
            <v>FF</v>
          </cell>
          <cell r="F3432" t="str">
            <v>Intermediate</v>
          </cell>
          <cell r="AV3432">
            <v>365</v>
          </cell>
          <cell r="AX3432">
            <v>129</v>
          </cell>
        </row>
        <row r="3433">
          <cell r="E3433" t="str">
            <v>FF</v>
          </cell>
          <cell r="F3433" t="str">
            <v>Intermediate</v>
          </cell>
          <cell r="AV3433">
            <v>365</v>
          </cell>
          <cell r="AX3433">
            <v>129</v>
          </cell>
        </row>
        <row r="3434">
          <cell r="E3434" t="str">
            <v>FF</v>
          </cell>
          <cell r="F3434" t="str">
            <v>Intermediate</v>
          </cell>
          <cell r="AV3434">
            <v>365</v>
          </cell>
          <cell r="AX3434">
            <v>129</v>
          </cell>
        </row>
        <row r="3435">
          <cell r="E3435" t="str">
            <v>FF</v>
          </cell>
          <cell r="F3435" t="str">
            <v>Intermediate</v>
          </cell>
          <cell r="AV3435">
            <v>365</v>
          </cell>
          <cell r="AX3435">
            <v>129</v>
          </cell>
        </row>
        <row r="3436">
          <cell r="E3436" t="str">
            <v>FF</v>
          </cell>
          <cell r="F3436" t="str">
            <v>Intermediate</v>
          </cell>
          <cell r="AV3436">
            <v>365</v>
          </cell>
          <cell r="AX3436">
            <v>129</v>
          </cell>
        </row>
        <row r="3437">
          <cell r="E3437" t="str">
            <v>Tech Area</v>
          </cell>
          <cell r="F3437" t="str">
            <v xml:space="preserve">Pharma </v>
          </cell>
          <cell r="AV3437">
            <v>365</v>
          </cell>
          <cell r="AX3437">
            <v>129</v>
          </cell>
        </row>
        <row r="3438">
          <cell r="E3438" t="str">
            <v>Tech Area</v>
          </cell>
          <cell r="F3438" t="str">
            <v xml:space="preserve">Pharma </v>
          </cell>
          <cell r="AV3438">
            <v>365</v>
          </cell>
          <cell r="AX3438">
            <v>129</v>
          </cell>
        </row>
        <row r="3439">
          <cell r="E3439" t="str">
            <v>Tech Area</v>
          </cell>
          <cell r="F3439" t="str">
            <v xml:space="preserve">Pharma </v>
          </cell>
          <cell r="AV3439">
            <v>365</v>
          </cell>
          <cell r="AX3439">
            <v>129</v>
          </cell>
        </row>
        <row r="3440">
          <cell r="E3440" t="str">
            <v>FF</v>
          </cell>
          <cell r="F3440" t="str">
            <v>SUITE IV (NON - ONCO)</v>
          </cell>
          <cell r="AV3440">
            <v>365</v>
          </cell>
          <cell r="AX3440">
            <v>129</v>
          </cell>
        </row>
        <row r="3441">
          <cell r="E3441" t="str">
            <v>FF</v>
          </cell>
          <cell r="F3441" t="str">
            <v>SUITE IV (NON - ONCO)</v>
          </cell>
          <cell r="AV3441">
            <v>365</v>
          </cell>
          <cell r="AX3441">
            <v>129</v>
          </cell>
        </row>
        <row r="3442">
          <cell r="E3442" t="str">
            <v>FF</v>
          </cell>
          <cell r="F3442" t="str">
            <v>SUITE III (ONCOLOGY)</v>
          </cell>
          <cell r="AV3442">
            <v>365</v>
          </cell>
          <cell r="AX3442">
            <v>129</v>
          </cell>
        </row>
        <row r="3443">
          <cell r="E3443" t="str">
            <v>FF</v>
          </cell>
          <cell r="F3443" t="str">
            <v>SUITE III (ONCOLOGY)</v>
          </cell>
          <cell r="AV3443">
            <v>365</v>
          </cell>
          <cell r="AX3443">
            <v>129</v>
          </cell>
        </row>
        <row r="3444">
          <cell r="E3444" t="str">
            <v>FF</v>
          </cell>
          <cell r="F3444" t="str">
            <v>SUITE III (ONCOLOGY)</v>
          </cell>
          <cell r="AV3444">
            <v>365</v>
          </cell>
          <cell r="AX3444">
            <v>129</v>
          </cell>
        </row>
        <row r="3445">
          <cell r="E3445" t="str">
            <v>FF</v>
          </cell>
          <cell r="AV3445">
            <v>365</v>
          </cell>
          <cell r="AX3445">
            <v>129</v>
          </cell>
        </row>
        <row r="3446">
          <cell r="AV3446">
            <v>365</v>
          </cell>
          <cell r="AX3446">
            <v>129</v>
          </cell>
        </row>
        <row r="3447">
          <cell r="AV3447">
            <v>365</v>
          </cell>
          <cell r="AX3447">
            <v>129</v>
          </cell>
        </row>
        <row r="3448">
          <cell r="AV3448">
            <v>335</v>
          </cell>
        </row>
        <row r="3449">
          <cell r="E3449" t="str">
            <v>GF</v>
          </cell>
          <cell r="AV3449">
            <v>365</v>
          </cell>
          <cell r="AX3449">
            <v>130</v>
          </cell>
        </row>
        <row r="3450">
          <cell r="AV3450">
            <v>305</v>
          </cell>
        </row>
        <row r="3451">
          <cell r="AV3451">
            <v>275</v>
          </cell>
        </row>
        <row r="3452">
          <cell r="AV3452">
            <v>275</v>
          </cell>
        </row>
        <row r="3453">
          <cell r="AV3453">
            <v>365</v>
          </cell>
          <cell r="AX3453">
            <v>69</v>
          </cell>
        </row>
        <row r="3454">
          <cell r="D3454" t="str">
            <v>Utilities</v>
          </cell>
          <cell r="E3454" t="str">
            <v>Main PCC</v>
          </cell>
          <cell r="AV3454">
            <v>365</v>
          </cell>
          <cell r="AX3454">
            <v>130</v>
          </cell>
        </row>
        <row r="3455">
          <cell r="AV3455">
            <v>365</v>
          </cell>
          <cell r="AX3455">
            <v>130</v>
          </cell>
        </row>
        <row r="3456">
          <cell r="AV3456">
            <v>365</v>
          </cell>
          <cell r="AX3456">
            <v>130</v>
          </cell>
        </row>
        <row r="3457">
          <cell r="AV3457">
            <v>365</v>
          </cell>
          <cell r="AX3457">
            <v>130</v>
          </cell>
        </row>
        <row r="3458">
          <cell r="AV3458">
            <v>365</v>
          </cell>
          <cell r="AX3458">
            <v>130</v>
          </cell>
        </row>
        <row r="3459">
          <cell r="AV3459">
            <v>365</v>
          </cell>
          <cell r="AX3459">
            <v>130</v>
          </cell>
        </row>
        <row r="3460">
          <cell r="AV3460">
            <v>365</v>
          </cell>
          <cell r="AX3460">
            <v>130</v>
          </cell>
        </row>
        <row r="3461">
          <cell r="AV3461">
            <v>365</v>
          </cell>
          <cell r="AX3461">
            <v>130</v>
          </cell>
        </row>
        <row r="3462">
          <cell r="AV3462">
            <v>365</v>
          </cell>
          <cell r="AX3462">
            <v>130</v>
          </cell>
        </row>
        <row r="3463">
          <cell r="AV3463">
            <v>365</v>
          </cell>
          <cell r="AX3463">
            <v>130</v>
          </cell>
        </row>
        <row r="3464">
          <cell r="AV3464">
            <v>365</v>
          </cell>
          <cell r="AX3464">
            <v>130</v>
          </cell>
        </row>
        <row r="3465">
          <cell r="D3465" t="str">
            <v>Utilities</v>
          </cell>
          <cell r="E3465" t="str">
            <v>OCB</v>
          </cell>
          <cell r="AV3465">
            <v>365</v>
          </cell>
          <cell r="AX3465">
            <v>130</v>
          </cell>
        </row>
        <row r="3466">
          <cell r="AV3466">
            <v>365</v>
          </cell>
          <cell r="AX3466">
            <v>1</v>
          </cell>
        </row>
        <row r="3467">
          <cell r="AV3467">
            <v>365</v>
          </cell>
          <cell r="AX3467">
            <v>1</v>
          </cell>
        </row>
        <row r="3468">
          <cell r="AV3468">
            <v>365</v>
          </cell>
          <cell r="AX3468">
            <v>1</v>
          </cell>
        </row>
        <row r="3469">
          <cell r="AV3469">
            <v>365</v>
          </cell>
          <cell r="AX3469">
            <v>1</v>
          </cell>
        </row>
        <row r="3470">
          <cell r="AV3470">
            <v>365</v>
          </cell>
          <cell r="AX3470">
            <v>1</v>
          </cell>
        </row>
        <row r="3471">
          <cell r="AV3471">
            <v>365</v>
          </cell>
          <cell r="AX3471">
            <v>1</v>
          </cell>
        </row>
        <row r="3472">
          <cell r="AV3472">
            <v>365</v>
          </cell>
          <cell r="AX3472">
            <v>1</v>
          </cell>
        </row>
        <row r="3473">
          <cell r="AV3473">
            <v>365</v>
          </cell>
          <cell r="AX3473">
            <v>1</v>
          </cell>
        </row>
        <row r="3474">
          <cell r="AV3474">
            <v>365</v>
          </cell>
          <cell r="AX3474">
            <v>1</v>
          </cell>
        </row>
        <row r="3475">
          <cell r="AV3475">
            <v>365</v>
          </cell>
          <cell r="AX3475">
            <v>1</v>
          </cell>
        </row>
        <row r="3476">
          <cell r="AV3476">
            <v>365</v>
          </cell>
          <cell r="AX3476">
            <v>1</v>
          </cell>
        </row>
        <row r="3477">
          <cell r="AV3477">
            <v>365</v>
          </cell>
          <cell r="AX3477">
            <v>1</v>
          </cell>
        </row>
        <row r="3478">
          <cell r="AV3478">
            <v>365</v>
          </cell>
          <cell r="AX3478">
            <v>1</v>
          </cell>
        </row>
        <row r="3479">
          <cell r="AV3479">
            <v>365</v>
          </cell>
          <cell r="AX3479">
            <v>1</v>
          </cell>
        </row>
        <row r="3480">
          <cell r="AV3480">
            <v>365</v>
          </cell>
          <cell r="AX3480">
            <v>1</v>
          </cell>
        </row>
        <row r="3481">
          <cell r="AV3481">
            <v>365</v>
          </cell>
          <cell r="AX3481">
            <v>1</v>
          </cell>
        </row>
        <row r="3482">
          <cell r="AV3482">
            <v>365</v>
          </cell>
          <cell r="AX3482">
            <v>1</v>
          </cell>
        </row>
        <row r="3483">
          <cell r="AV3483">
            <v>365</v>
          </cell>
          <cell r="AX3483">
            <v>1</v>
          </cell>
        </row>
        <row r="3484">
          <cell r="AV3484">
            <v>365</v>
          </cell>
          <cell r="AX3484">
            <v>1</v>
          </cell>
        </row>
        <row r="3485">
          <cell r="AV3485">
            <v>365</v>
          </cell>
          <cell r="AX3485">
            <v>1</v>
          </cell>
        </row>
        <row r="3486">
          <cell r="AV3486">
            <v>365</v>
          </cell>
          <cell r="AX3486">
            <v>1</v>
          </cell>
        </row>
        <row r="3487">
          <cell r="AV3487">
            <v>365</v>
          </cell>
          <cell r="AX3487">
            <v>1</v>
          </cell>
        </row>
        <row r="3488">
          <cell r="AV3488">
            <v>365</v>
          </cell>
          <cell r="AX3488">
            <v>1</v>
          </cell>
        </row>
        <row r="3489">
          <cell r="AV3489">
            <v>365</v>
          </cell>
          <cell r="AX3489">
            <v>1</v>
          </cell>
        </row>
        <row r="3490">
          <cell r="AV3490">
            <v>365</v>
          </cell>
          <cell r="AX3490">
            <v>1</v>
          </cell>
        </row>
        <row r="3491">
          <cell r="E3491" t="str">
            <v>GF</v>
          </cell>
          <cell r="AV3491">
            <v>365</v>
          </cell>
          <cell r="AX3491">
            <v>262</v>
          </cell>
        </row>
        <row r="3492">
          <cell r="D3492" t="str">
            <v>Utilities</v>
          </cell>
          <cell r="E3492" t="str">
            <v>Main PCC</v>
          </cell>
          <cell r="AV3492">
            <v>365</v>
          </cell>
          <cell r="AX3492">
            <v>130</v>
          </cell>
        </row>
        <row r="3493">
          <cell r="AV3493">
            <v>198</v>
          </cell>
        </row>
        <row r="3494">
          <cell r="AV3494">
            <v>305</v>
          </cell>
        </row>
        <row r="3495">
          <cell r="AV3495">
            <v>365</v>
          </cell>
          <cell r="AX3495">
            <v>246</v>
          </cell>
        </row>
        <row r="3496">
          <cell r="AV3496">
            <v>365</v>
          </cell>
          <cell r="AX3496">
            <v>246</v>
          </cell>
        </row>
        <row r="3497">
          <cell r="AV3497">
            <v>365</v>
          </cell>
          <cell r="AX3497">
            <v>246</v>
          </cell>
        </row>
        <row r="3498">
          <cell r="AV3498">
            <v>365</v>
          </cell>
          <cell r="AX3498">
            <v>246</v>
          </cell>
        </row>
        <row r="3499">
          <cell r="AV3499">
            <v>365</v>
          </cell>
          <cell r="AX3499">
            <v>246</v>
          </cell>
        </row>
        <row r="3500">
          <cell r="AV3500">
            <v>365</v>
          </cell>
          <cell r="AX3500">
            <v>246</v>
          </cell>
        </row>
        <row r="3501">
          <cell r="AV3501">
            <v>365</v>
          </cell>
          <cell r="AX3501">
            <v>246</v>
          </cell>
        </row>
        <row r="3502">
          <cell r="AV3502">
            <v>365</v>
          </cell>
          <cell r="AX3502">
            <v>246</v>
          </cell>
        </row>
        <row r="3503">
          <cell r="AV3503">
            <v>365</v>
          </cell>
          <cell r="AX3503">
            <v>246</v>
          </cell>
        </row>
        <row r="3504">
          <cell r="AV3504">
            <v>365</v>
          </cell>
          <cell r="AX3504">
            <v>246</v>
          </cell>
        </row>
        <row r="3505">
          <cell r="AV3505">
            <v>365</v>
          </cell>
          <cell r="AX3505">
            <v>246</v>
          </cell>
        </row>
        <row r="3506">
          <cell r="AV3506">
            <v>365</v>
          </cell>
          <cell r="AX3506">
            <v>246</v>
          </cell>
        </row>
        <row r="3507">
          <cell r="AV3507">
            <v>365</v>
          </cell>
          <cell r="AX3507">
            <v>246</v>
          </cell>
        </row>
        <row r="3508">
          <cell r="AV3508">
            <v>365</v>
          </cell>
          <cell r="AX3508">
            <v>246</v>
          </cell>
        </row>
        <row r="3509">
          <cell r="AV3509">
            <v>365</v>
          </cell>
          <cell r="AX3509">
            <v>246</v>
          </cell>
        </row>
        <row r="3510">
          <cell r="AV3510">
            <v>365</v>
          </cell>
          <cell r="AX3510">
            <v>246</v>
          </cell>
        </row>
        <row r="3511">
          <cell r="AV3511">
            <v>365</v>
          </cell>
          <cell r="AX3511">
            <v>246</v>
          </cell>
        </row>
        <row r="3512">
          <cell r="AV3512">
            <v>365</v>
          </cell>
          <cell r="AX3512">
            <v>246</v>
          </cell>
        </row>
        <row r="3513">
          <cell r="AV3513">
            <v>365</v>
          </cell>
          <cell r="AX3513">
            <v>246</v>
          </cell>
        </row>
        <row r="3514">
          <cell r="AV3514">
            <v>365</v>
          </cell>
          <cell r="AX3514">
            <v>246</v>
          </cell>
        </row>
        <row r="3515">
          <cell r="AV3515">
            <v>365</v>
          </cell>
          <cell r="AX3515">
            <v>246</v>
          </cell>
        </row>
        <row r="3516">
          <cell r="AV3516">
            <v>365</v>
          </cell>
          <cell r="AX3516">
            <v>246</v>
          </cell>
        </row>
        <row r="3517">
          <cell r="AV3517">
            <v>365</v>
          </cell>
          <cell r="AX3517">
            <v>246</v>
          </cell>
        </row>
        <row r="3518">
          <cell r="AV3518">
            <v>365</v>
          </cell>
          <cell r="AX3518">
            <v>246</v>
          </cell>
        </row>
        <row r="3519">
          <cell r="AV3519">
            <v>365</v>
          </cell>
          <cell r="AX3519">
            <v>246</v>
          </cell>
        </row>
        <row r="3520">
          <cell r="AV3520">
            <v>365</v>
          </cell>
          <cell r="AX3520">
            <v>246</v>
          </cell>
        </row>
        <row r="3521">
          <cell r="AV3521">
            <v>365</v>
          </cell>
          <cell r="AX3521">
            <v>246</v>
          </cell>
        </row>
        <row r="3522">
          <cell r="AV3522">
            <v>365</v>
          </cell>
          <cell r="AX3522">
            <v>246</v>
          </cell>
        </row>
        <row r="3523">
          <cell r="AV3523">
            <v>365</v>
          </cell>
          <cell r="AX3523">
            <v>246</v>
          </cell>
        </row>
        <row r="3524">
          <cell r="AV3524">
            <v>365</v>
          </cell>
          <cell r="AX3524">
            <v>246</v>
          </cell>
        </row>
        <row r="3525">
          <cell r="AV3525">
            <v>365</v>
          </cell>
          <cell r="AX3525">
            <v>246</v>
          </cell>
        </row>
        <row r="3526">
          <cell r="AV3526">
            <v>365</v>
          </cell>
          <cell r="AX3526">
            <v>246</v>
          </cell>
        </row>
        <row r="3527">
          <cell r="AV3527">
            <v>365</v>
          </cell>
          <cell r="AX3527">
            <v>246</v>
          </cell>
        </row>
        <row r="3528">
          <cell r="AV3528">
            <v>365</v>
          </cell>
          <cell r="AX3528">
            <v>246</v>
          </cell>
        </row>
        <row r="3529">
          <cell r="AV3529">
            <v>365</v>
          </cell>
          <cell r="AX3529">
            <v>246</v>
          </cell>
        </row>
        <row r="3530">
          <cell r="AV3530">
            <v>365</v>
          </cell>
          <cell r="AX3530">
            <v>246</v>
          </cell>
        </row>
        <row r="3531">
          <cell r="AV3531">
            <v>365</v>
          </cell>
          <cell r="AX3531">
            <v>246</v>
          </cell>
        </row>
        <row r="3532">
          <cell r="AV3532">
            <v>365</v>
          </cell>
          <cell r="AX3532">
            <v>246</v>
          </cell>
        </row>
        <row r="3533">
          <cell r="AV3533">
            <v>365</v>
          </cell>
          <cell r="AX3533">
            <v>246</v>
          </cell>
        </row>
        <row r="3534">
          <cell r="AV3534">
            <v>365</v>
          </cell>
          <cell r="AX3534">
            <v>246</v>
          </cell>
        </row>
        <row r="3535">
          <cell r="AV3535">
            <v>365</v>
          </cell>
          <cell r="AX3535">
            <v>130</v>
          </cell>
        </row>
        <row r="3536">
          <cell r="AV3536">
            <v>365</v>
          </cell>
          <cell r="AX3536">
            <v>130</v>
          </cell>
        </row>
        <row r="3537">
          <cell r="AV3537">
            <v>365</v>
          </cell>
          <cell r="AX3537">
            <v>61</v>
          </cell>
        </row>
        <row r="3538">
          <cell r="D3538" t="str">
            <v>GC-IB</v>
          </cell>
          <cell r="E3538" t="str">
            <v>GF</v>
          </cell>
          <cell r="F3538" t="str">
            <v>Intermediate</v>
          </cell>
          <cell r="AV3538">
            <v>365</v>
          </cell>
          <cell r="AX3538">
            <v>129</v>
          </cell>
        </row>
        <row r="3539">
          <cell r="D3539" t="str">
            <v>GC-IB</v>
          </cell>
          <cell r="E3539" t="str">
            <v>GF</v>
          </cell>
          <cell r="F3539" t="str">
            <v>Intermediate</v>
          </cell>
          <cell r="AV3539">
            <v>365</v>
          </cell>
          <cell r="AX3539">
            <v>129</v>
          </cell>
        </row>
        <row r="3540">
          <cell r="D3540" t="str">
            <v>GC - IA</v>
          </cell>
          <cell r="E3540" t="str">
            <v>GF</v>
          </cell>
          <cell r="F3540" t="str">
            <v>Pharma</v>
          </cell>
          <cell r="AV3540">
            <v>365</v>
          </cell>
          <cell r="AX3540">
            <v>129</v>
          </cell>
        </row>
        <row r="3541">
          <cell r="D3541" t="str">
            <v>GC - IA</v>
          </cell>
          <cell r="E3541" t="str">
            <v>GF</v>
          </cell>
          <cell r="F3541" t="str">
            <v>Pharma</v>
          </cell>
          <cell r="AV3541">
            <v>365</v>
          </cell>
          <cell r="AX3541">
            <v>129</v>
          </cell>
        </row>
        <row r="3542">
          <cell r="AV3542">
            <v>365</v>
          </cell>
          <cell r="AX3542">
            <v>130</v>
          </cell>
        </row>
        <row r="3543">
          <cell r="AV3543">
            <v>365</v>
          </cell>
          <cell r="AX3543">
            <v>366</v>
          </cell>
          <cell r="AZ3543">
            <v>0.16209999999999999</v>
          </cell>
          <cell r="BA3543">
            <v>39</v>
          </cell>
          <cell r="BB3543">
            <v>54.818667123287675</v>
          </cell>
        </row>
        <row r="3544">
          <cell r="AV3544">
            <v>365</v>
          </cell>
          <cell r="AX3544">
            <v>141</v>
          </cell>
        </row>
        <row r="3545">
          <cell r="D3545" t="str">
            <v>R&amp;D</v>
          </cell>
          <cell r="AV3545">
            <v>365</v>
          </cell>
          <cell r="AX3545">
            <v>252</v>
          </cell>
        </row>
        <row r="3546">
          <cell r="AV3546">
            <v>365</v>
          </cell>
          <cell r="AX3546">
            <v>366</v>
          </cell>
          <cell r="AZ3546">
            <v>0.16209999999999999</v>
          </cell>
          <cell r="BA3546">
            <v>91</v>
          </cell>
          <cell r="BB3546">
            <v>123.26261643835616</v>
          </cell>
        </row>
        <row r="3547">
          <cell r="AV3547">
            <v>365</v>
          </cell>
          <cell r="AX3547">
            <v>122</v>
          </cell>
        </row>
        <row r="3548">
          <cell r="E3548" t="str">
            <v>GF</v>
          </cell>
          <cell r="F3548" t="str">
            <v>Intermediate</v>
          </cell>
          <cell r="AV3548">
            <v>365</v>
          </cell>
          <cell r="AX3548">
            <v>122</v>
          </cell>
        </row>
        <row r="3549">
          <cell r="E3549" t="str">
            <v>GF</v>
          </cell>
          <cell r="F3549" t="str">
            <v>Intermediate</v>
          </cell>
          <cell r="AV3549">
            <v>365</v>
          </cell>
          <cell r="AX3549">
            <v>122</v>
          </cell>
        </row>
        <row r="3550">
          <cell r="E3550" t="str">
            <v>GF</v>
          </cell>
          <cell r="F3550" t="str">
            <v>Intermediate</v>
          </cell>
          <cell r="AV3550">
            <v>365</v>
          </cell>
          <cell r="AX3550">
            <v>122</v>
          </cell>
        </row>
        <row r="3551">
          <cell r="E3551" t="str">
            <v>GF</v>
          </cell>
          <cell r="F3551" t="str">
            <v>Intermediate</v>
          </cell>
          <cell r="AV3551">
            <v>365</v>
          </cell>
          <cell r="AX3551">
            <v>122</v>
          </cell>
        </row>
        <row r="3552">
          <cell r="E3552" t="str">
            <v>GF</v>
          </cell>
          <cell r="F3552" t="str">
            <v>Pharma</v>
          </cell>
          <cell r="AV3552">
            <v>365</v>
          </cell>
          <cell r="AX3552">
            <v>122</v>
          </cell>
        </row>
        <row r="3553">
          <cell r="E3553" t="str">
            <v>GF</v>
          </cell>
          <cell r="F3553" t="str">
            <v>Pharma</v>
          </cell>
          <cell r="AV3553">
            <v>365</v>
          </cell>
          <cell r="AX3553">
            <v>122</v>
          </cell>
        </row>
        <row r="3554">
          <cell r="E3554" t="str">
            <v>GF</v>
          </cell>
          <cell r="F3554" t="str">
            <v>Pharma</v>
          </cell>
          <cell r="AV3554">
            <v>365</v>
          </cell>
          <cell r="AX3554">
            <v>122</v>
          </cell>
        </row>
        <row r="3555">
          <cell r="E3555" t="str">
            <v>GF</v>
          </cell>
          <cell r="F3555" t="str">
            <v>Intermediate</v>
          </cell>
          <cell r="AV3555">
            <v>365</v>
          </cell>
          <cell r="AX3555">
            <v>122</v>
          </cell>
        </row>
        <row r="3556">
          <cell r="E3556" t="str">
            <v>GF</v>
          </cell>
          <cell r="F3556" t="str">
            <v>Intermediate</v>
          </cell>
          <cell r="AV3556">
            <v>365</v>
          </cell>
          <cell r="AX3556">
            <v>122</v>
          </cell>
        </row>
        <row r="3557">
          <cell r="E3557" t="str">
            <v>GF</v>
          </cell>
          <cell r="F3557" t="str">
            <v>Intermediate</v>
          </cell>
          <cell r="AV3557">
            <v>365</v>
          </cell>
          <cell r="AX3557">
            <v>122</v>
          </cell>
        </row>
        <row r="3558">
          <cell r="E3558" t="str">
            <v>GF</v>
          </cell>
          <cell r="F3558" t="str">
            <v>Intermediate</v>
          </cell>
          <cell r="AV3558">
            <v>365</v>
          </cell>
          <cell r="AX3558">
            <v>122</v>
          </cell>
        </row>
        <row r="3559">
          <cell r="E3559" t="str">
            <v>GF</v>
          </cell>
          <cell r="F3559" t="str">
            <v>Intermediate</v>
          </cell>
          <cell r="AV3559">
            <v>365</v>
          </cell>
          <cell r="AX3559">
            <v>122</v>
          </cell>
        </row>
        <row r="3560">
          <cell r="E3560" t="str">
            <v>GF</v>
          </cell>
          <cell r="F3560" t="str">
            <v>Intermediate</v>
          </cell>
          <cell r="AV3560">
            <v>365</v>
          </cell>
          <cell r="AX3560">
            <v>122</v>
          </cell>
        </row>
        <row r="3561">
          <cell r="E3561" t="str">
            <v>GF</v>
          </cell>
          <cell r="F3561" t="str">
            <v>Intermediate</v>
          </cell>
          <cell r="AV3561">
            <v>365</v>
          </cell>
          <cell r="AX3561">
            <v>122</v>
          </cell>
        </row>
        <row r="3562">
          <cell r="E3562" t="str">
            <v>GF</v>
          </cell>
          <cell r="F3562" t="str">
            <v>Intermediate</v>
          </cell>
          <cell r="AV3562">
            <v>365</v>
          </cell>
          <cell r="AX3562">
            <v>122</v>
          </cell>
        </row>
        <row r="3563">
          <cell r="E3563" t="str">
            <v>GF</v>
          </cell>
          <cell r="F3563" t="str">
            <v>Intermediate</v>
          </cell>
          <cell r="AV3563">
            <v>365</v>
          </cell>
          <cell r="AX3563">
            <v>122</v>
          </cell>
        </row>
        <row r="3564">
          <cell r="AV3564">
            <v>365</v>
          </cell>
          <cell r="AX3564">
            <v>122</v>
          </cell>
        </row>
        <row r="3565">
          <cell r="AV3565">
            <v>365</v>
          </cell>
          <cell r="AX3565">
            <v>122</v>
          </cell>
        </row>
        <row r="3566">
          <cell r="AV3566">
            <v>365</v>
          </cell>
          <cell r="AX3566">
            <v>122</v>
          </cell>
        </row>
        <row r="3567">
          <cell r="AV3567">
            <v>365</v>
          </cell>
          <cell r="AX3567">
            <v>122</v>
          </cell>
        </row>
        <row r="3568">
          <cell r="E3568" t="str">
            <v>GF</v>
          </cell>
          <cell r="F3568" t="str">
            <v>Intermediate</v>
          </cell>
          <cell r="AV3568">
            <v>365</v>
          </cell>
          <cell r="AX3568">
            <v>122</v>
          </cell>
        </row>
        <row r="3569">
          <cell r="E3569" t="str">
            <v>GF</v>
          </cell>
          <cell r="F3569" t="str">
            <v>Intermediate</v>
          </cell>
          <cell r="AV3569">
            <v>365</v>
          </cell>
          <cell r="AX3569">
            <v>122</v>
          </cell>
        </row>
        <row r="3570">
          <cell r="E3570" t="str">
            <v>GF</v>
          </cell>
          <cell r="F3570" t="str">
            <v>Intermediate</v>
          </cell>
          <cell r="AV3570">
            <v>365</v>
          </cell>
          <cell r="AX3570">
            <v>122</v>
          </cell>
        </row>
        <row r="3571">
          <cell r="E3571" t="str">
            <v>GF</v>
          </cell>
          <cell r="AV3571">
            <v>365</v>
          </cell>
          <cell r="AX3571">
            <v>122</v>
          </cell>
        </row>
        <row r="3572">
          <cell r="E3572" t="str">
            <v>GF</v>
          </cell>
          <cell r="AV3572">
            <v>365</v>
          </cell>
          <cell r="AX3572">
            <v>122</v>
          </cell>
        </row>
        <row r="3573">
          <cell r="AV3573">
            <v>365</v>
          </cell>
          <cell r="AX3573">
            <v>122</v>
          </cell>
        </row>
        <row r="3574">
          <cell r="AV3574">
            <v>365</v>
          </cell>
          <cell r="AX3574">
            <v>122</v>
          </cell>
        </row>
        <row r="3575">
          <cell r="E3575" t="str">
            <v>FF</v>
          </cell>
          <cell r="AV3575">
            <v>365</v>
          </cell>
          <cell r="AX3575">
            <v>245</v>
          </cell>
        </row>
        <row r="3576">
          <cell r="E3576" t="str">
            <v>FF</v>
          </cell>
          <cell r="AV3576">
            <v>365</v>
          </cell>
          <cell r="AX3576">
            <v>245</v>
          </cell>
        </row>
        <row r="3577">
          <cell r="E3577" t="str">
            <v>FF</v>
          </cell>
          <cell r="AV3577">
            <v>365</v>
          </cell>
          <cell r="AX3577">
            <v>245</v>
          </cell>
        </row>
        <row r="3578">
          <cell r="E3578" t="str">
            <v>FF</v>
          </cell>
          <cell r="AV3578">
            <v>365</v>
          </cell>
          <cell r="AX3578">
            <v>245</v>
          </cell>
        </row>
        <row r="3579">
          <cell r="E3579" t="str">
            <v>FF</v>
          </cell>
          <cell r="AV3579">
            <v>365</v>
          </cell>
          <cell r="AX3579">
            <v>245</v>
          </cell>
        </row>
        <row r="3580">
          <cell r="E3580" t="str">
            <v>FF</v>
          </cell>
          <cell r="AV3580">
            <v>365</v>
          </cell>
          <cell r="AX3580">
            <v>245</v>
          </cell>
        </row>
        <row r="3581">
          <cell r="E3581" t="str">
            <v>FF</v>
          </cell>
          <cell r="AV3581">
            <v>365</v>
          </cell>
          <cell r="AX3581">
            <v>245</v>
          </cell>
        </row>
        <row r="3582">
          <cell r="E3582" t="str">
            <v>FF</v>
          </cell>
          <cell r="AV3582">
            <v>365</v>
          </cell>
          <cell r="AX3582">
            <v>245</v>
          </cell>
        </row>
        <row r="3583">
          <cell r="E3583" t="str">
            <v>FF</v>
          </cell>
          <cell r="AV3583">
            <v>365</v>
          </cell>
          <cell r="AX3583">
            <v>245</v>
          </cell>
        </row>
        <row r="3584">
          <cell r="E3584" t="str">
            <v>FF</v>
          </cell>
          <cell r="AV3584">
            <v>365</v>
          </cell>
          <cell r="AX3584">
            <v>245</v>
          </cell>
        </row>
        <row r="3585">
          <cell r="E3585" t="str">
            <v>FF</v>
          </cell>
          <cell r="AV3585">
            <v>365</v>
          </cell>
          <cell r="AX3585">
            <v>245</v>
          </cell>
        </row>
        <row r="3586">
          <cell r="E3586" t="str">
            <v>FF</v>
          </cell>
          <cell r="AV3586">
            <v>365</v>
          </cell>
          <cell r="AX3586">
            <v>245</v>
          </cell>
        </row>
        <row r="3587">
          <cell r="E3587" t="str">
            <v>FF</v>
          </cell>
          <cell r="AV3587">
            <v>365</v>
          </cell>
          <cell r="AX3587">
            <v>245</v>
          </cell>
        </row>
        <row r="3588">
          <cell r="E3588" t="str">
            <v>FF</v>
          </cell>
          <cell r="AV3588">
            <v>365</v>
          </cell>
          <cell r="AX3588">
            <v>245</v>
          </cell>
        </row>
        <row r="3589">
          <cell r="E3589" t="str">
            <v>FF</v>
          </cell>
          <cell r="AV3589">
            <v>365</v>
          </cell>
          <cell r="AX3589">
            <v>245</v>
          </cell>
        </row>
        <row r="3590">
          <cell r="E3590" t="str">
            <v>FF</v>
          </cell>
          <cell r="AV3590">
            <v>365</v>
          </cell>
          <cell r="AX3590">
            <v>245</v>
          </cell>
        </row>
        <row r="3591">
          <cell r="E3591" t="str">
            <v>FF</v>
          </cell>
          <cell r="AV3591">
            <v>365</v>
          </cell>
          <cell r="AX3591">
            <v>245</v>
          </cell>
        </row>
        <row r="3592">
          <cell r="E3592" t="str">
            <v>FF</v>
          </cell>
          <cell r="AV3592">
            <v>365</v>
          </cell>
          <cell r="AX3592">
            <v>245</v>
          </cell>
        </row>
        <row r="3593">
          <cell r="E3593" t="str">
            <v>FF</v>
          </cell>
          <cell r="AV3593">
            <v>365</v>
          </cell>
          <cell r="AX3593">
            <v>245</v>
          </cell>
        </row>
        <row r="3594">
          <cell r="E3594" t="str">
            <v>FF</v>
          </cell>
          <cell r="AV3594">
            <v>365</v>
          </cell>
          <cell r="AX3594">
            <v>245</v>
          </cell>
        </row>
        <row r="3595">
          <cell r="E3595" t="str">
            <v>FF</v>
          </cell>
          <cell r="AV3595">
            <v>365</v>
          </cell>
          <cell r="AX3595">
            <v>245</v>
          </cell>
        </row>
        <row r="3596">
          <cell r="E3596" t="str">
            <v>FF</v>
          </cell>
          <cell r="AV3596">
            <v>365</v>
          </cell>
          <cell r="AX3596">
            <v>245</v>
          </cell>
        </row>
        <row r="3597">
          <cell r="E3597" t="str">
            <v>FF</v>
          </cell>
          <cell r="AV3597">
            <v>365</v>
          </cell>
          <cell r="AX3597">
            <v>245</v>
          </cell>
        </row>
        <row r="3598">
          <cell r="AV3598">
            <v>365</v>
          </cell>
          <cell r="AX3598">
            <v>60</v>
          </cell>
        </row>
        <row r="3599">
          <cell r="AV3599">
            <v>365</v>
          </cell>
          <cell r="AX3599">
            <v>60</v>
          </cell>
        </row>
        <row r="3600">
          <cell r="AV3600">
            <v>365</v>
          </cell>
          <cell r="AX3600">
            <v>60</v>
          </cell>
        </row>
        <row r="3601">
          <cell r="AV3601">
            <v>365</v>
          </cell>
          <cell r="AX3601">
            <v>60</v>
          </cell>
        </row>
        <row r="3602">
          <cell r="AV3602">
            <v>365</v>
          </cell>
          <cell r="AX3602">
            <v>60</v>
          </cell>
        </row>
        <row r="3603">
          <cell r="AV3603">
            <v>365</v>
          </cell>
          <cell r="AX3603">
            <v>60</v>
          </cell>
        </row>
        <row r="3604">
          <cell r="AV3604">
            <v>365</v>
          </cell>
          <cell r="AX3604">
            <v>60</v>
          </cell>
        </row>
        <row r="3605">
          <cell r="AV3605">
            <v>365</v>
          </cell>
          <cell r="AX3605">
            <v>60</v>
          </cell>
        </row>
        <row r="3606">
          <cell r="AV3606">
            <v>365</v>
          </cell>
          <cell r="AX3606">
            <v>60</v>
          </cell>
        </row>
        <row r="3607">
          <cell r="AV3607">
            <v>365</v>
          </cell>
          <cell r="AX3607">
            <v>60</v>
          </cell>
        </row>
        <row r="3608">
          <cell r="AV3608">
            <v>365</v>
          </cell>
          <cell r="AX3608">
            <v>60</v>
          </cell>
        </row>
        <row r="3609">
          <cell r="AV3609">
            <v>365</v>
          </cell>
          <cell r="AX3609">
            <v>60</v>
          </cell>
        </row>
        <row r="3610">
          <cell r="AV3610">
            <v>365</v>
          </cell>
          <cell r="AX3610">
            <v>60</v>
          </cell>
        </row>
        <row r="3611">
          <cell r="AV3611">
            <v>365</v>
          </cell>
          <cell r="AX3611">
            <v>60</v>
          </cell>
        </row>
        <row r="3612">
          <cell r="E3612" t="str">
            <v>1A Pharm</v>
          </cell>
          <cell r="AV3612">
            <v>365</v>
          </cell>
          <cell r="AX3612">
            <v>33</v>
          </cell>
        </row>
        <row r="3613">
          <cell r="E3613" t="str">
            <v>FF</v>
          </cell>
          <cell r="AV3613">
            <v>365</v>
          </cell>
          <cell r="AX3613">
            <v>366</v>
          </cell>
        </row>
        <row r="3614">
          <cell r="E3614" t="str">
            <v>1A Inter</v>
          </cell>
          <cell r="AV3614">
            <v>365</v>
          </cell>
          <cell r="AX3614">
            <v>129</v>
          </cell>
        </row>
        <row r="3615">
          <cell r="AV3615">
            <v>365</v>
          </cell>
          <cell r="AX3615">
            <v>1</v>
          </cell>
        </row>
        <row r="3616">
          <cell r="AV3616">
            <v>365</v>
          </cell>
          <cell r="AX3616">
            <v>1</v>
          </cell>
        </row>
        <row r="3617">
          <cell r="AV3617">
            <v>365</v>
          </cell>
          <cell r="AX3617">
            <v>1</v>
          </cell>
        </row>
        <row r="3618">
          <cell r="AV3618">
            <v>365</v>
          </cell>
          <cell r="AX3618">
            <v>1</v>
          </cell>
        </row>
        <row r="3619">
          <cell r="AV3619">
            <v>365</v>
          </cell>
          <cell r="AX3619">
            <v>1</v>
          </cell>
        </row>
        <row r="3620">
          <cell r="AV3620">
            <v>365</v>
          </cell>
          <cell r="AX3620">
            <v>1</v>
          </cell>
        </row>
        <row r="3621">
          <cell r="AV3621">
            <v>365</v>
          </cell>
          <cell r="AX3621">
            <v>1</v>
          </cell>
        </row>
        <row r="3622">
          <cell r="D3622" t="str">
            <v>GC - IA</v>
          </cell>
          <cell r="E3622" t="str">
            <v>GF</v>
          </cell>
          <cell r="F3622" t="str">
            <v>Intermediate</v>
          </cell>
          <cell r="AV3622">
            <v>365</v>
          </cell>
          <cell r="AX3622">
            <v>129</v>
          </cell>
        </row>
        <row r="3623">
          <cell r="D3623" t="str">
            <v>GC - IA</v>
          </cell>
          <cell r="E3623" t="str">
            <v>GF</v>
          </cell>
          <cell r="F3623" t="str">
            <v>Intermediate</v>
          </cell>
          <cell r="AV3623">
            <v>365</v>
          </cell>
          <cell r="AX3623">
            <v>129</v>
          </cell>
        </row>
        <row r="3624">
          <cell r="D3624" t="str">
            <v>GC - IA</v>
          </cell>
          <cell r="E3624" t="str">
            <v>GF</v>
          </cell>
          <cell r="F3624" t="str">
            <v>Intermediate</v>
          </cell>
          <cell r="AV3624">
            <v>365</v>
          </cell>
          <cell r="AX3624">
            <v>129</v>
          </cell>
        </row>
        <row r="3625">
          <cell r="D3625" t="str">
            <v>GC - IA</v>
          </cell>
          <cell r="E3625" t="str">
            <v>GF</v>
          </cell>
          <cell r="F3625" t="str">
            <v>Pharma</v>
          </cell>
          <cell r="AV3625">
            <v>365</v>
          </cell>
          <cell r="AX3625">
            <v>129</v>
          </cell>
        </row>
        <row r="3626">
          <cell r="D3626" t="str">
            <v>GC-IB</v>
          </cell>
          <cell r="E3626" t="str">
            <v>GF</v>
          </cell>
          <cell r="F3626" t="str">
            <v>Intermediate</v>
          </cell>
          <cell r="AV3626">
            <v>365</v>
          </cell>
          <cell r="AX3626">
            <v>129</v>
          </cell>
        </row>
        <row r="3627">
          <cell r="D3627" t="str">
            <v>GC-IB</v>
          </cell>
          <cell r="E3627" t="str">
            <v>GF</v>
          </cell>
          <cell r="F3627" t="str">
            <v>Intermediate</v>
          </cell>
          <cell r="AV3627">
            <v>365</v>
          </cell>
          <cell r="AX3627">
            <v>129</v>
          </cell>
        </row>
        <row r="3628">
          <cell r="F3628" t="str">
            <v>Zone-1</v>
          </cell>
          <cell r="AV3628">
            <v>365</v>
          </cell>
          <cell r="AX3628">
            <v>129</v>
          </cell>
        </row>
        <row r="3629">
          <cell r="D3629" t="str">
            <v>GC - IA</v>
          </cell>
          <cell r="E3629" t="str">
            <v>GF</v>
          </cell>
          <cell r="F3629" t="str">
            <v>Intermediate</v>
          </cell>
          <cell r="AV3629">
            <v>365</v>
          </cell>
          <cell r="AX3629">
            <v>129</v>
          </cell>
        </row>
        <row r="3630">
          <cell r="D3630" t="str">
            <v>GC - IA</v>
          </cell>
          <cell r="E3630" t="str">
            <v>GF</v>
          </cell>
          <cell r="F3630" t="str">
            <v>Intermediate</v>
          </cell>
          <cell r="AV3630">
            <v>365</v>
          </cell>
          <cell r="AX3630">
            <v>129</v>
          </cell>
        </row>
        <row r="3631">
          <cell r="E3631" t="str">
            <v>GF</v>
          </cell>
          <cell r="F3631" t="str">
            <v>Zone-3</v>
          </cell>
          <cell r="AV3631">
            <v>365</v>
          </cell>
          <cell r="AX3631">
            <v>129</v>
          </cell>
        </row>
        <row r="3632">
          <cell r="AV3632">
            <v>365</v>
          </cell>
          <cell r="AX3632">
            <v>307</v>
          </cell>
        </row>
        <row r="3633">
          <cell r="AV3633">
            <v>365</v>
          </cell>
          <cell r="AX3633">
            <v>129</v>
          </cell>
        </row>
        <row r="3634">
          <cell r="AV3634">
            <v>365</v>
          </cell>
          <cell r="AX3634">
            <v>129</v>
          </cell>
        </row>
        <row r="3635">
          <cell r="AV3635">
            <v>365</v>
          </cell>
          <cell r="AX3635">
            <v>129</v>
          </cell>
        </row>
        <row r="3636">
          <cell r="AV3636">
            <v>365</v>
          </cell>
          <cell r="AX3636">
            <v>129</v>
          </cell>
        </row>
        <row r="3637">
          <cell r="AV3637">
            <v>365</v>
          </cell>
          <cell r="AX3637">
            <v>129</v>
          </cell>
        </row>
        <row r="3638">
          <cell r="AV3638">
            <v>365</v>
          </cell>
          <cell r="AX3638">
            <v>129</v>
          </cell>
        </row>
        <row r="3639">
          <cell r="AV3639">
            <v>365</v>
          </cell>
          <cell r="AX3639">
            <v>129</v>
          </cell>
        </row>
        <row r="3640">
          <cell r="AV3640">
            <v>365</v>
          </cell>
          <cell r="AX3640">
            <v>129</v>
          </cell>
        </row>
        <row r="3641">
          <cell r="AV3641">
            <v>365</v>
          </cell>
          <cell r="AX3641">
            <v>129</v>
          </cell>
        </row>
        <row r="3642">
          <cell r="AV3642">
            <v>365</v>
          </cell>
          <cell r="AX3642">
            <v>129</v>
          </cell>
        </row>
        <row r="3643">
          <cell r="AV3643">
            <v>365</v>
          </cell>
          <cell r="AX3643">
            <v>129</v>
          </cell>
        </row>
        <row r="3644">
          <cell r="AV3644">
            <v>365</v>
          </cell>
          <cell r="AX3644">
            <v>129</v>
          </cell>
        </row>
        <row r="3645">
          <cell r="AV3645">
            <v>365</v>
          </cell>
          <cell r="AX3645">
            <v>129</v>
          </cell>
        </row>
        <row r="3646">
          <cell r="AV3646">
            <v>365</v>
          </cell>
          <cell r="AX3646">
            <v>129</v>
          </cell>
        </row>
        <row r="3647">
          <cell r="AV3647">
            <v>365</v>
          </cell>
          <cell r="AX3647">
            <v>129</v>
          </cell>
        </row>
        <row r="3648">
          <cell r="AV3648">
            <v>365</v>
          </cell>
          <cell r="AX3648">
            <v>129</v>
          </cell>
        </row>
        <row r="3649">
          <cell r="AV3649">
            <v>365</v>
          </cell>
          <cell r="AX3649">
            <v>129</v>
          </cell>
        </row>
        <row r="3650">
          <cell r="AV3650">
            <v>365</v>
          </cell>
          <cell r="AX3650">
            <v>129</v>
          </cell>
        </row>
        <row r="3651">
          <cell r="AV3651">
            <v>365</v>
          </cell>
          <cell r="AX3651">
            <v>129</v>
          </cell>
        </row>
        <row r="3652">
          <cell r="AV3652">
            <v>365</v>
          </cell>
          <cell r="AX3652">
            <v>129</v>
          </cell>
        </row>
        <row r="3653">
          <cell r="AV3653">
            <v>365</v>
          </cell>
          <cell r="AX3653">
            <v>129</v>
          </cell>
        </row>
        <row r="3654">
          <cell r="AV3654">
            <v>365</v>
          </cell>
          <cell r="AX3654">
            <v>129</v>
          </cell>
        </row>
        <row r="3655">
          <cell r="AV3655">
            <v>365</v>
          </cell>
          <cell r="AX3655">
            <v>129</v>
          </cell>
        </row>
        <row r="3656">
          <cell r="AV3656">
            <v>365</v>
          </cell>
          <cell r="AX3656">
            <v>129</v>
          </cell>
        </row>
        <row r="3657">
          <cell r="AV3657">
            <v>365</v>
          </cell>
          <cell r="AX3657">
            <v>129</v>
          </cell>
        </row>
        <row r="3658">
          <cell r="AV3658">
            <v>365</v>
          </cell>
          <cell r="AX3658">
            <v>129</v>
          </cell>
        </row>
        <row r="3659">
          <cell r="AV3659">
            <v>365</v>
          </cell>
          <cell r="AX3659">
            <v>129</v>
          </cell>
        </row>
        <row r="3660">
          <cell r="AV3660">
            <v>365</v>
          </cell>
          <cell r="AX3660">
            <v>129</v>
          </cell>
        </row>
        <row r="3661">
          <cell r="AV3661">
            <v>365</v>
          </cell>
          <cell r="AX3661">
            <v>129</v>
          </cell>
        </row>
        <row r="3662">
          <cell r="AV3662">
            <v>365</v>
          </cell>
          <cell r="AX3662">
            <v>129</v>
          </cell>
        </row>
        <row r="3663">
          <cell r="AV3663">
            <v>365</v>
          </cell>
          <cell r="AX3663">
            <v>129</v>
          </cell>
        </row>
        <row r="3664">
          <cell r="AV3664">
            <v>365</v>
          </cell>
          <cell r="AX3664">
            <v>129</v>
          </cell>
        </row>
        <row r="3665">
          <cell r="AV3665">
            <v>365</v>
          </cell>
          <cell r="AX3665">
            <v>129</v>
          </cell>
        </row>
        <row r="3666">
          <cell r="AV3666">
            <v>365</v>
          </cell>
          <cell r="AX3666">
            <v>129</v>
          </cell>
        </row>
        <row r="3667">
          <cell r="AV3667">
            <v>365</v>
          </cell>
          <cell r="AX3667">
            <v>129</v>
          </cell>
        </row>
        <row r="3668">
          <cell r="AV3668">
            <v>365</v>
          </cell>
          <cell r="AX3668">
            <v>129</v>
          </cell>
        </row>
        <row r="3669">
          <cell r="AV3669">
            <v>365</v>
          </cell>
          <cell r="AX3669">
            <v>129</v>
          </cell>
        </row>
        <row r="3670">
          <cell r="AV3670">
            <v>365</v>
          </cell>
          <cell r="AX3670">
            <v>129</v>
          </cell>
        </row>
        <row r="3671">
          <cell r="D3671" t="str">
            <v>GC - IA</v>
          </cell>
          <cell r="E3671" t="str">
            <v>dm plant</v>
          </cell>
          <cell r="AV3671">
            <v>365</v>
          </cell>
          <cell r="AX3671">
            <v>130</v>
          </cell>
        </row>
        <row r="3672">
          <cell r="D3672" t="str">
            <v>GC - IA</v>
          </cell>
          <cell r="E3672" t="str">
            <v>dm plant</v>
          </cell>
          <cell r="AV3672">
            <v>365</v>
          </cell>
          <cell r="AX3672">
            <v>130</v>
          </cell>
        </row>
        <row r="3673">
          <cell r="AV3673">
            <v>365</v>
          </cell>
          <cell r="AX3673">
            <v>130</v>
          </cell>
        </row>
        <row r="3674">
          <cell r="AV3674">
            <v>365</v>
          </cell>
          <cell r="AX3674">
            <v>366</v>
          </cell>
          <cell r="AZ3674">
            <v>0.16209999999999999</v>
          </cell>
          <cell r="BA3674">
            <v>365</v>
          </cell>
          <cell r="BB3674">
            <v>425.51249999999999</v>
          </cell>
          <cell r="BC3674">
            <v>60</v>
          </cell>
        </row>
        <row r="3675">
          <cell r="AV3675">
            <v>305</v>
          </cell>
        </row>
        <row r="3676">
          <cell r="AV3676">
            <v>365</v>
          </cell>
          <cell r="AX3676">
            <v>306</v>
          </cell>
        </row>
        <row r="3677">
          <cell r="E3677" t="str">
            <v>FF</v>
          </cell>
          <cell r="AV3677">
            <v>365</v>
          </cell>
          <cell r="AX3677">
            <v>336</v>
          </cell>
        </row>
        <row r="3678">
          <cell r="AV3678">
            <v>335</v>
          </cell>
        </row>
        <row r="3679">
          <cell r="AV3679">
            <v>365</v>
          </cell>
          <cell r="AX3679">
            <v>33</v>
          </cell>
        </row>
        <row r="3680">
          <cell r="AV3680">
            <v>365</v>
          </cell>
          <cell r="AX3680">
            <v>33</v>
          </cell>
        </row>
        <row r="3681">
          <cell r="AV3681">
            <v>365</v>
          </cell>
          <cell r="AX3681">
            <v>33</v>
          </cell>
        </row>
        <row r="3682">
          <cell r="AV3682">
            <v>365</v>
          </cell>
          <cell r="AX3682">
            <v>33</v>
          </cell>
        </row>
        <row r="3683">
          <cell r="AV3683">
            <v>365</v>
          </cell>
          <cell r="AX3683">
            <v>33</v>
          </cell>
        </row>
        <row r="3684">
          <cell r="AV3684">
            <v>365</v>
          </cell>
          <cell r="AX3684">
            <v>33</v>
          </cell>
        </row>
        <row r="3685">
          <cell r="AV3685">
            <v>365</v>
          </cell>
          <cell r="AX3685">
            <v>33</v>
          </cell>
        </row>
        <row r="3686">
          <cell r="AV3686">
            <v>365</v>
          </cell>
          <cell r="AX3686">
            <v>33</v>
          </cell>
        </row>
        <row r="3687">
          <cell r="AV3687">
            <v>365</v>
          </cell>
          <cell r="AX3687">
            <v>33</v>
          </cell>
        </row>
        <row r="3688">
          <cell r="AV3688">
            <v>365</v>
          </cell>
          <cell r="AX3688">
            <v>33</v>
          </cell>
        </row>
        <row r="3689">
          <cell r="AV3689">
            <v>365</v>
          </cell>
          <cell r="AX3689">
            <v>33</v>
          </cell>
        </row>
        <row r="3690">
          <cell r="AV3690">
            <v>365</v>
          </cell>
          <cell r="AX3690">
            <v>33</v>
          </cell>
        </row>
        <row r="3691">
          <cell r="AV3691">
            <v>365</v>
          </cell>
          <cell r="AX3691">
            <v>33</v>
          </cell>
        </row>
        <row r="3692">
          <cell r="AV3692">
            <v>365</v>
          </cell>
          <cell r="AX3692">
            <v>33</v>
          </cell>
        </row>
        <row r="3693">
          <cell r="AV3693">
            <v>365</v>
          </cell>
          <cell r="AX3693">
            <v>33</v>
          </cell>
        </row>
        <row r="3694">
          <cell r="AV3694">
            <v>365</v>
          </cell>
          <cell r="AX3694">
            <v>33</v>
          </cell>
        </row>
        <row r="3695">
          <cell r="AV3695">
            <v>365</v>
          </cell>
          <cell r="AX3695">
            <v>33</v>
          </cell>
        </row>
        <row r="3696">
          <cell r="AV3696">
            <v>365</v>
          </cell>
          <cell r="AX3696">
            <v>33</v>
          </cell>
        </row>
        <row r="3697">
          <cell r="AV3697">
            <v>365</v>
          </cell>
          <cell r="AX3697">
            <v>33</v>
          </cell>
        </row>
        <row r="3698">
          <cell r="AV3698">
            <v>365</v>
          </cell>
          <cell r="AX3698">
            <v>33</v>
          </cell>
        </row>
        <row r="3699">
          <cell r="AV3699">
            <v>365</v>
          </cell>
          <cell r="AX3699">
            <v>33</v>
          </cell>
        </row>
        <row r="3700">
          <cell r="AV3700">
            <v>365</v>
          </cell>
          <cell r="AX3700">
            <v>33</v>
          </cell>
        </row>
        <row r="3701">
          <cell r="AV3701">
            <v>365</v>
          </cell>
          <cell r="AX3701">
            <v>33</v>
          </cell>
        </row>
        <row r="3702">
          <cell r="AV3702">
            <v>365</v>
          </cell>
          <cell r="AX3702">
            <v>33</v>
          </cell>
        </row>
        <row r="3703">
          <cell r="AV3703">
            <v>365</v>
          </cell>
          <cell r="AX3703">
            <v>33</v>
          </cell>
        </row>
        <row r="3704">
          <cell r="AV3704">
            <v>365</v>
          </cell>
          <cell r="AX3704">
            <v>33</v>
          </cell>
        </row>
        <row r="3705">
          <cell r="AV3705">
            <v>365</v>
          </cell>
          <cell r="AX3705">
            <v>33</v>
          </cell>
        </row>
        <row r="3706">
          <cell r="AV3706">
            <v>365</v>
          </cell>
          <cell r="AX3706">
            <v>33</v>
          </cell>
        </row>
        <row r="3707">
          <cell r="AV3707">
            <v>365</v>
          </cell>
          <cell r="AX3707">
            <v>33</v>
          </cell>
        </row>
        <row r="3708">
          <cell r="AV3708">
            <v>365</v>
          </cell>
          <cell r="AX3708">
            <v>33</v>
          </cell>
        </row>
        <row r="3709">
          <cell r="AV3709">
            <v>365</v>
          </cell>
          <cell r="AX3709">
            <v>33</v>
          </cell>
        </row>
        <row r="3710">
          <cell r="AV3710">
            <v>365</v>
          </cell>
          <cell r="AX3710">
            <v>33</v>
          </cell>
        </row>
        <row r="3711">
          <cell r="AV3711">
            <v>365</v>
          </cell>
          <cell r="AX3711">
            <v>33</v>
          </cell>
        </row>
        <row r="3712">
          <cell r="AV3712">
            <v>365</v>
          </cell>
          <cell r="AX3712">
            <v>33</v>
          </cell>
        </row>
        <row r="3713">
          <cell r="AV3713">
            <v>365</v>
          </cell>
          <cell r="AX3713">
            <v>33</v>
          </cell>
        </row>
        <row r="3714">
          <cell r="AV3714">
            <v>365</v>
          </cell>
          <cell r="AX3714">
            <v>33</v>
          </cell>
        </row>
        <row r="3715">
          <cell r="AV3715">
            <v>365</v>
          </cell>
          <cell r="AX3715">
            <v>33</v>
          </cell>
        </row>
        <row r="3716">
          <cell r="AV3716">
            <v>365</v>
          </cell>
          <cell r="AX3716">
            <v>33</v>
          </cell>
        </row>
        <row r="3717">
          <cell r="AV3717">
            <v>365</v>
          </cell>
          <cell r="AX3717">
            <v>33</v>
          </cell>
        </row>
        <row r="3718">
          <cell r="AV3718">
            <v>365</v>
          </cell>
          <cell r="AX3718">
            <v>33</v>
          </cell>
        </row>
        <row r="3719">
          <cell r="AV3719">
            <v>365</v>
          </cell>
          <cell r="AX3719">
            <v>33</v>
          </cell>
        </row>
        <row r="3720">
          <cell r="AV3720">
            <v>365</v>
          </cell>
          <cell r="AX3720">
            <v>33</v>
          </cell>
        </row>
        <row r="3721">
          <cell r="AV3721">
            <v>365</v>
          </cell>
          <cell r="AX3721">
            <v>33</v>
          </cell>
        </row>
        <row r="3722">
          <cell r="AV3722">
            <v>365</v>
          </cell>
          <cell r="AX3722">
            <v>33</v>
          </cell>
        </row>
        <row r="3723">
          <cell r="AV3723">
            <v>365</v>
          </cell>
          <cell r="AX3723">
            <v>33</v>
          </cell>
        </row>
        <row r="3724">
          <cell r="AV3724">
            <v>365</v>
          </cell>
          <cell r="AX3724">
            <v>33</v>
          </cell>
        </row>
        <row r="3725">
          <cell r="AV3725">
            <v>305</v>
          </cell>
        </row>
        <row r="3726">
          <cell r="AV3726">
            <v>365</v>
          </cell>
          <cell r="AX3726">
            <v>366</v>
          </cell>
          <cell r="AZ3726">
            <v>6.3299999999999995E-2</v>
          </cell>
          <cell r="BA3726">
            <v>16</v>
          </cell>
          <cell r="BB3726">
            <v>6.3820273972602726</v>
          </cell>
        </row>
        <row r="3727">
          <cell r="E3727" t="str">
            <v>GF</v>
          </cell>
          <cell r="AV3727">
            <v>365</v>
          </cell>
          <cell r="AX3727">
            <v>366</v>
          </cell>
        </row>
        <row r="3728">
          <cell r="AV3728">
            <v>365</v>
          </cell>
          <cell r="AX3728">
            <v>366</v>
          </cell>
          <cell r="AZ3728">
            <v>0.16209999999999999</v>
          </cell>
          <cell r="BA3728">
            <v>287</v>
          </cell>
          <cell r="BB3728">
            <v>267.66484931506847</v>
          </cell>
        </row>
        <row r="3729">
          <cell r="E3729" t="str">
            <v>GF</v>
          </cell>
          <cell r="AV3729">
            <v>365</v>
          </cell>
          <cell r="AX3729">
            <v>71</v>
          </cell>
        </row>
        <row r="3730">
          <cell r="AV3730">
            <v>365</v>
          </cell>
          <cell r="AX3730">
            <v>366</v>
          </cell>
          <cell r="AZ3730">
            <v>0.16209999999999999</v>
          </cell>
          <cell r="BA3730">
            <v>31</v>
          </cell>
          <cell r="BB3730">
            <v>104.84175270647572</v>
          </cell>
        </row>
        <row r="3731">
          <cell r="AV3731">
            <v>365</v>
          </cell>
          <cell r="AX3731">
            <v>366</v>
          </cell>
          <cell r="AZ3731">
            <v>0.16209999999999999</v>
          </cell>
          <cell r="BA3731">
            <v>31</v>
          </cell>
          <cell r="BB3731">
            <v>104.84175270647572</v>
          </cell>
        </row>
        <row r="3732">
          <cell r="AV3732">
            <v>365</v>
          </cell>
          <cell r="AX3732">
            <v>366</v>
          </cell>
          <cell r="AZ3732">
            <v>0.16209999999999999</v>
          </cell>
          <cell r="BA3732">
            <v>31</v>
          </cell>
          <cell r="BB3732">
            <v>104.84175270647572</v>
          </cell>
        </row>
        <row r="3733">
          <cell r="AV3733">
            <v>365</v>
          </cell>
          <cell r="AX3733">
            <v>366</v>
          </cell>
          <cell r="AZ3733">
            <v>0.16209999999999999</v>
          </cell>
          <cell r="BA3733">
            <v>31</v>
          </cell>
          <cell r="BB3733">
            <v>104.84175270647572</v>
          </cell>
        </row>
        <row r="3734">
          <cell r="AV3734">
            <v>365</v>
          </cell>
          <cell r="AX3734">
            <v>366</v>
          </cell>
          <cell r="AZ3734">
            <v>0.16209999999999999</v>
          </cell>
          <cell r="BA3734">
            <v>31</v>
          </cell>
          <cell r="BB3734">
            <v>104.84175270647572</v>
          </cell>
        </row>
        <row r="3735">
          <cell r="AV3735">
            <v>365</v>
          </cell>
          <cell r="AX3735">
            <v>366</v>
          </cell>
          <cell r="AZ3735">
            <v>0.16209999999999999</v>
          </cell>
          <cell r="BA3735">
            <v>31</v>
          </cell>
          <cell r="BB3735">
            <v>104.84175270647572</v>
          </cell>
        </row>
        <row r="3736">
          <cell r="AV3736">
            <v>365</v>
          </cell>
          <cell r="AX3736">
            <v>366</v>
          </cell>
          <cell r="AZ3736">
            <v>0.16209999999999999</v>
          </cell>
          <cell r="BA3736">
            <v>31</v>
          </cell>
          <cell r="BB3736">
            <v>104.84175270647572</v>
          </cell>
        </row>
        <row r="3737">
          <cell r="AV3737">
            <v>365</v>
          </cell>
          <cell r="AX3737">
            <v>366</v>
          </cell>
          <cell r="AZ3737">
            <v>0.16209999999999999</v>
          </cell>
          <cell r="BA3737">
            <v>31</v>
          </cell>
          <cell r="BB3737">
            <v>104.84175270647572</v>
          </cell>
        </row>
        <row r="3738">
          <cell r="AV3738">
            <v>365</v>
          </cell>
          <cell r="AX3738">
            <v>366</v>
          </cell>
          <cell r="AZ3738">
            <v>0.16209999999999999</v>
          </cell>
          <cell r="BA3738">
            <v>31</v>
          </cell>
          <cell r="BB3738">
            <v>104.84175270647572</v>
          </cell>
        </row>
        <row r="3739">
          <cell r="AV3739">
            <v>365</v>
          </cell>
          <cell r="AX3739">
            <v>366</v>
          </cell>
          <cell r="AZ3739">
            <v>0.16209999999999999</v>
          </cell>
          <cell r="BA3739">
            <v>31</v>
          </cell>
          <cell r="BB3739">
            <v>104.84175270647572</v>
          </cell>
        </row>
        <row r="3740">
          <cell r="AV3740">
            <v>365</v>
          </cell>
          <cell r="AX3740">
            <v>366</v>
          </cell>
          <cell r="AZ3740">
            <v>0.16209999999999999</v>
          </cell>
          <cell r="BA3740">
            <v>31</v>
          </cell>
          <cell r="BB3740">
            <v>104.84175270647572</v>
          </cell>
        </row>
        <row r="3741">
          <cell r="AV3741">
            <v>365</v>
          </cell>
          <cell r="AX3741">
            <v>366</v>
          </cell>
          <cell r="AZ3741">
            <v>0.16209999999999999</v>
          </cell>
          <cell r="BA3741">
            <v>31</v>
          </cell>
          <cell r="BB3741">
            <v>104.84175270647572</v>
          </cell>
        </row>
        <row r="3742">
          <cell r="AV3742">
            <v>365</v>
          </cell>
          <cell r="AX3742">
            <v>366</v>
          </cell>
          <cell r="AZ3742">
            <v>0.16209999999999999</v>
          </cell>
          <cell r="BA3742">
            <v>31</v>
          </cell>
          <cell r="BB3742">
            <v>104.84175270647572</v>
          </cell>
        </row>
        <row r="3743">
          <cell r="AV3743">
            <v>365</v>
          </cell>
          <cell r="AX3743">
            <v>366</v>
          </cell>
          <cell r="AZ3743">
            <v>0.16209999999999999</v>
          </cell>
          <cell r="BA3743">
            <v>31</v>
          </cell>
          <cell r="BB3743">
            <v>104.84175270647572</v>
          </cell>
        </row>
        <row r="3744">
          <cell r="AV3744">
            <v>365</v>
          </cell>
          <cell r="AX3744">
            <v>366</v>
          </cell>
          <cell r="AZ3744">
            <v>0.16209999999999999</v>
          </cell>
          <cell r="BA3744">
            <v>31</v>
          </cell>
          <cell r="BB3744">
            <v>104.84175270647572</v>
          </cell>
        </row>
        <row r="3745">
          <cell r="AV3745">
            <v>365</v>
          </cell>
          <cell r="AX3745">
            <v>366</v>
          </cell>
          <cell r="AZ3745">
            <v>0.16209999999999999</v>
          </cell>
          <cell r="BA3745">
            <v>31</v>
          </cell>
          <cell r="BB3745">
            <v>104.84175270647572</v>
          </cell>
        </row>
        <row r="3746">
          <cell r="AV3746">
            <v>365</v>
          </cell>
          <cell r="AX3746">
            <v>366</v>
          </cell>
          <cell r="AZ3746">
            <v>0.16209999999999999</v>
          </cell>
          <cell r="BA3746">
            <v>31</v>
          </cell>
          <cell r="BB3746">
            <v>104.84175270647572</v>
          </cell>
        </row>
        <row r="3747">
          <cell r="AV3747">
            <v>365</v>
          </cell>
          <cell r="AX3747">
            <v>366</v>
          </cell>
          <cell r="AZ3747">
            <v>0.16209999999999999</v>
          </cell>
          <cell r="BA3747">
            <v>31</v>
          </cell>
          <cell r="BB3747">
            <v>104.84175270647572</v>
          </cell>
        </row>
        <row r="3748">
          <cell r="AV3748">
            <v>365</v>
          </cell>
          <cell r="AX3748">
            <v>366</v>
          </cell>
          <cell r="AZ3748">
            <v>0.16209999999999999</v>
          </cell>
          <cell r="BA3748">
            <v>31</v>
          </cell>
          <cell r="BB3748">
            <v>104.84175270647572</v>
          </cell>
        </row>
        <row r="3749">
          <cell r="AV3749">
            <v>365</v>
          </cell>
          <cell r="AX3749">
            <v>366</v>
          </cell>
          <cell r="AZ3749">
            <v>0.16209999999999999</v>
          </cell>
          <cell r="BA3749">
            <v>31</v>
          </cell>
          <cell r="BB3749">
            <v>104.84175270647572</v>
          </cell>
        </row>
        <row r="3750">
          <cell r="AV3750">
            <v>365</v>
          </cell>
          <cell r="AX3750">
            <v>366</v>
          </cell>
          <cell r="AZ3750">
            <v>0.16209999999999999</v>
          </cell>
          <cell r="BA3750">
            <v>31</v>
          </cell>
          <cell r="BB3750">
            <v>104.84175270647572</v>
          </cell>
        </row>
        <row r="3751">
          <cell r="AV3751">
            <v>365</v>
          </cell>
          <cell r="AX3751">
            <v>366</v>
          </cell>
          <cell r="AZ3751">
            <v>0.16209999999999999</v>
          </cell>
          <cell r="BA3751">
            <v>31</v>
          </cell>
          <cell r="BB3751">
            <v>104.84175270647572</v>
          </cell>
        </row>
        <row r="3752">
          <cell r="AV3752">
            <v>365</v>
          </cell>
          <cell r="AX3752">
            <v>366</v>
          </cell>
          <cell r="AZ3752">
            <v>0.16209999999999999</v>
          </cell>
          <cell r="BA3752">
            <v>31</v>
          </cell>
          <cell r="BB3752">
            <v>104.84175270647572</v>
          </cell>
        </row>
        <row r="3753">
          <cell r="AV3753">
            <v>365</v>
          </cell>
          <cell r="AX3753">
            <v>366</v>
          </cell>
          <cell r="AZ3753">
            <v>0.16209999999999999</v>
          </cell>
          <cell r="BA3753">
            <v>31</v>
          </cell>
          <cell r="BB3753">
            <v>104.84175270647572</v>
          </cell>
        </row>
        <row r="3754">
          <cell r="AV3754">
            <v>365</v>
          </cell>
          <cell r="AX3754">
            <v>366</v>
          </cell>
          <cell r="AZ3754">
            <v>0.16209999999999999</v>
          </cell>
          <cell r="BA3754">
            <v>31</v>
          </cell>
          <cell r="BB3754">
            <v>104.84175270647572</v>
          </cell>
        </row>
        <row r="3755">
          <cell r="AV3755">
            <v>365</v>
          </cell>
          <cell r="AX3755">
            <v>366</v>
          </cell>
          <cell r="AZ3755">
            <v>0.16209999999999999</v>
          </cell>
          <cell r="BA3755">
            <v>31</v>
          </cell>
          <cell r="BB3755">
            <v>104.84175270647572</v>
          </cell>
        </row>
        <row r="3756">
          <cell r="AV3756">
            <v>365</v>
          </cell>
          <cell r="AX3756">
            <v>366</v>
          </cell>
          <cell r="AZ3756">
            <v>0.16209999999999999</v>
          </cell>
          <cell r="BA3756">
            <v>31</v>
          </cell>
          <cell r="BB3756">
            <v>104.84175270647572</v>
          </cell>
        </row>
        <row r="3757">
          <cell r="AV3757">
            <v>365</v>
          </cell>
          <cell r="AX3757">
            <v>366</v>
          </cell>
          <cell r="AZ3757">
            <v>0.16209999999999999</v>
          </cell>
          <cell r="BA3757">
            <v>31</v>
          </cell>
          <cell r="BB3757">
            <v>104.84175270647572</v>
          </cell>
        </row>
        <row r="3758">
          <cell r="AV3758">
            <v>365</v>
          </cell>
          <cell r="AX3758">
            <v>366</v>
          </cell>
          <cell r="AZ3758">
            <v>0.16209999999999999</v>
          </cell>
          <cell r="BA3758">
            <v>31</v>
          </cell>
          <cell r="BB3758">
            <v>104.84175270647572</v>
          </cell>
        </row>
        <row r="3759">
          <cell r="AV3759">
            <v>365</v>
          </cell>
          <cell r="AX3759">
            <v>366</v>
          </cell>
          <cell r="AZ3759">
            <v>0.16209999999999999</v>
          </cell>
          <cell r="BA3759">
            <v>31</v>
          </cell>
          <cell r="BB3759">
            <v>104.84175270647572</v>
          </cell>
        </row>
        <row r="3760">
          <cell r="AV3760">
            <v>365</v>
          </cell>
          <cell r="AX3760">
            <v>366</v>
          </cell>
          <cell r="AZ3760">
            <v>0.16209999999999999</v>
          </cell>
          <cell r="BA3760">
            <v>31</v>
          </cell>
          <cell r="BB3760">
            <v>104.84175270647572</v>
          </cell>
        </row>
        <row r="3761">
          <cell r="AV3761">
            <v>365</v>
          </cell>
          <cell r="AX3761">
            <v>366</v>
          </cell>
          <cell r="AZ3761">
            <v>0.16209999999999999</v>
          </cell>
          <cell r="BA3761">
            <v>31</v>
          </cell>
          <cell r="BB3761">
            <v>104.84175270647572</v>
          </cell>
        </row>
        <row r="3762">
          <cell r="AV3762">
            <v>365</v>
          </cell>
          <cell r="AX3762">
            <v>366</v>
          </cell>
          <cell r="AZ3762">
            <v>0.16209999999999999</v>
          </cell>
          <cell r="BA3762">
            <v>31</v>
          </cell>
          <cell r="BB3762">
            <v>104.84175270647572</v>
          </cell>
        </row>
        <row r="3763">
          <cell r="AV3763">
            <v>365</v>
          </cell>
          <cell r="AX3763">
            <v>366</v>
          </cell>
          <cell r="AZ3763">
            <v>0.16209999999999999</v>
          </cell>
          <cell r="BA3763">
            <v>31</v>
          </cell>
          <cell r="BB3763">
            <v>104.84175270647572</v>
          </cell>
        </row>
        <row r="3764">
          <cell r="AV3764">
            <v>365</v>
          </cell>
          <cell r="AX3764">
            <v>366</v>
          </cell>
          <cell r="AZ3764">
            <v>0.16209999999999999</v>
          </cell>
          <cell r="BA3764">
            <v>31</v>
          </cell>
          <cell r="BB3764">
            <v>104.84175270647572</v>
          </cell>
        </row>
        <row r="3765">
          <cell r="AV3765">
            <v>365</v>
          </cell>
          <cell r="AX3765">
            <v>366</v>
          </cell>
          <cell r="AZ3765">
            <v>0.16209999999999999</v>
          </cell>
          <cell r="BA3765">
            <v>31</v>
          </cell>
          <cell r="BB3765">
            <v>104.84175270647572</v>
          </cell>
        </row>
        <row r="3766">
          <cell r="AV3766">
            <v>365</v>
          </cell>
          <cell r="AX3766">
            <v>366</v>
          </cell>
          <cell r="AZ3766">
            <v>0.16209999999999999</v>
          </cell>
          <cell r="BA3766">
            <v>31</v>
          </cell>
          <cell r="BB3766">
            <v>104.84175270647572</v>
          </cell>
        </row>
        <row r="3767">
          <cell r="AV3767">
            <v>365</v>
          </cell>
          <cell r="AX3767">
            <v>366</v>
          </cell>
          <cell r="AZ3767">
            <v>0.16209999999999999</v>
          </cell>
          <cell r="BA3767">
            <v>31</v>
          </cell>
          <cell r="BB3767">
            <v>104.84175270647572</v>
          </cell>
        </row>
        <row r="3768">
          <cell r="AV3768">
            <v>365</v>
          </cell>
          <cell r="AX3768">
            <v>366</v>
          </cell>
          <cell r="AZ3768">
            <v>0.16209999999999999</v>
          </cell>
          <cell r="BA3768">
            <v>31</v>
          </cell>
          <cell r="BB3768">
            <v>104.84175270647572</v>
          </cell>
        </row>
        <row r="3769">
          <cell r="AV3769">
            <v>365</v>
          </cell>
          <cell r="AX3769">
            <v>366</v>
          </cell>
          <cell r="AZ3769">
            <v>0.16209999999999999</v>
          </cell>
          <cell r="BA3769">
            <v>31</v>
          </cell>
          <cell r="BB3769">
            <v>104.84175270647572</v>
          </cell>
        </row>
        <row r="3770">
          <cell r="AV3770">
            <v>365</v>
          </cell>
          <cell r="AX3770">
            <v>366</v>
          </cell>
          <cell r="AZ3770">
            <v>0.16209999999999999</v>
          </cell>
          <cell r="BA3770">
            <v>31</v>
          </cell>
          <cell r="BB3770">
            <v>104.84175270647572</v>
          </cell>
        </row>
        <row r="3771">
          <cell r="AV3771">
            <v>365</v>
          </cell>
          <cell r="AX3771">
            <v>366</v>
          </cell>
          <cell r="AZ3771">
            <v>0.16209999999999999</v>
          </cell>
          <cell r="BA3771">
            <v>31</v>
          </cell>
          <cell r="BB3771">
            <v>104.84175270647572</v>
          </cell>
        </row>
        <row r="3772">
          <cell r="AV3772">
            <v>365</v>
          </cell>
          <cell r="AX3772">
            <v>366</v>
          </cell>
          <cell r="AZ3772">
            <v>0.16209999999999999</v>
          </cell>
          <cell r="BA3772">
            <v>31</v>
          </cell>
          <cell r="BB3772">
            <v>104.84175270647572</v>
          </cell>
        </row>
        <row r="3773">
          <cell r="AV3773">
            <v>365</v>
          </cell>
          <cell r="AX3773">
            <v>366</v>
          </cell>
          <cell r="AZ3773">
            <v>0.16209999999999999</v>
          </cell>
          <cell r="BA3773">
            <v>31</v>
          </cell>
          <cell r="BB3773">
            <v>104.84175270647572</v>
          </cell>
        </row>
        <row r="3774">
          <cell r="AV3774">
            <v>365</v>
          </cell>
          <cell r="AX3774">
            <v>366</v>
          </cell>
          <cell r="AZ3774">
            <v>0.16209999999999999</v>
          </cell>
          <cell r="BA3774">
            <v>31</v>
          </cell>
          <cell r="BB3774">
            <v>104.84175270647572</v>
          </cell>
        </row>
        <row r="3775">
          <cell r="AV3775">
            <v>365</v>
          </cell>
          <cell r="AX3775">
            <v>366</v>
          </cell>
          <cell r="AZ3775">
            <v>0.16209999999999999</v>
          </cell>
          <cell r="BA3775">
            <v>31</v>
          </cell>
          <cell r="BB3775">
            <v>104.84175270647572</v>
          </cell>
        </row>
        <row r="3776">
          <cell r="AV3776">
            <v>365</v>
          </cell>
          <cell r="AX3776">
            <v>366</v>
          </cell>
          <cell r="AZ3776">
            <v>0.16209999999999999</v>
          </cell>
          <cell r="BA3776">
            <v>31</v>
          </cell>
          <cell r="BB3776">
            <v>104.84175270647572</v>
          </cell>
        </row>
        <row r="3777">
          <cell r="AV3777">
            <v>365</v>
          </cell>
          <cell r="AX3777">
            <v>366</v>
          </cell>
          <cell r="AZ3777">
            <v>0.16209999999999999</v>
          </cell>
          <cell r="BA3777">
            <v>31</v>
          </cell>
          <cell r="BB3777">
            <v>104.84175270647572</v>
          </cell>
        </row>
        <row r="3778">
          <cell r="AV3778">
            <v>365</v>
          </cell>
          <cell r="AX3778">
            <v>366</v>
          </cell>
          <cell r="AZ3778">
            <v>0.16209999999999999</v>
          </cell>
          <cell r="BA3778">
            <v>31</v>
          </cell>
          <cell r="BB3778">
            <v>104.84175270647572</v>
          </cell>
        </row>
        <row r="3779">
          <cell r="AV3779">
            <v>365</v>
          </cell>
          <cell r="AX3779">
            <v>366</v>
          </cell>
          <cell r="AZ3779">
            <v>0.16209999999999999</v>
          </cell>
          <cell r="BA3779">
            <v>31</v>
          </cell>
          <cell r="BB3779">
            <v>104.84175270647572</v>
          </cell>
        </row>
        <row r="3780">
          <cell r="AV3780">
            <v>365</v>
          </cell>
          <cell r="AX3780">
            <v>366</v>
          </cell>
          <cell r="AZ3780">
            <v>0.16209999999999999</v>
          </cell>
          <cell r="BA3780">
            <v>31</v>
          </cell>
          <cell r="BB3780">
            <v>104.84175270647572</v>
          </cell>
        </row>
        <row r="3781">
          <cell r="AV3781">
            <v>365</v>
          </cell>
          <cell r="AX3781">
            <v>366</v>
          </cell>
          <cell r="AZ3781">
            <v>0.16209999999999999</v>
          </cell>
          <cell r="BA3781">
            <v>31</v>
          </cell>
          <cell r="BB3781">
            <v>104.84175270647572</v>
          </cell>
        </row>
        <row r="3782">
          <cell r="AV3782">
            <v>365</v>
          </cell>
          <cell r="AX3782">
            <v>366</v>
          </cell>
          <cell r="AZ3782">
            <v>0.16209999999999999</v>
          </cell>
          <cell r="BA3782">
            <v>31</v>
          </cell>
          <cell r="BB3782">
            <v>104.84175270647572</v>
          </cell>
        </row>
        <row r="3783">
          <cell r="AV3783">
            <v>365</v>
          </cell>
          <cell r="AX3783">
            <v>366</v>
          </cell>
          <cell r="AZ3783">
            <v>0.16209999999999999</v>
          </cell>
          <cell r="BA3783">
            <v>31</v>
          </cell>
          <cell r="BB3783">
            <v>104.84175270647572</v>
          </cell>
        </row>
        <row r="3784">
          <cell r="AV3784">
            <v>365</v>
          </cell>
          <cell r="AX3784">
            <v>366</v>
          </cell>
          <cell r="AZ3784">
            <v>0.16209999999999999</v>
          </cell>
          <cell r="BA3784">
            <v>31</v>
          </cell>
          <cell r="BB3784">
            <v>104.84175270647572</v>
          </cell>
        </row>
        <row r="3785">
          <cell r="AV3785">
            <v>365</v>
          </cell>
          <cell r="AX3785">
            <v>366</v>
          </cell>
          <cell r="AZ3785">
            <v>0.16209999999999999</v>
          </cell>
          <cell r="BA3785">
            <v>31</v>
          </cell>
          <cell r="BB3785">
            <v>104.84175270647572</v>
          </cell>
        </row>
        <row r="3786">
          <cell r="AV3786">
            <v>365</v>
          </cell>
          <cell r="AX3786">
            <v>366</v>
          </cell>
          <cell r="AZ3786">
            <v>0.16209999999999999</v>
          </cell>
          <cell r="BA3786">
            <v>31</v>
          </cell>
          <cell r="BB3786">
            <v>104.84175270647572</v>
          </cell>
        </row>
        <row r="3787">
          <cell r="AV3787">
            <v>365</v>
          </cell>
          <cell r="AX3787">
            <v>366</v>
          </cell>
          <cell r="AZ3787">
            <v>0.16209999999999999</v>
          </cell>
          <cell r="BA3787">
            <v>31</v>
          </cell>
          <cell r="BB3787">
            <v>104.84175270647572</v>
          </cell>
        </row>
        <row r="3788">
          <cell r="AV3788">
            <v>365</v>
          </cell>
          <cell r="AX3788">
            <v>366</v>
          </cell>
          <cell r="AZ3788">
            <v>0.16209999999999999</v>
          </cell>
          <cell r="BA3788">
            <v>31</v>
          </cell>
          <cell r="BB3788">
            <v>104.84175270647572</v>
          </cell>
        </row>
        <row r="3789">
          <cell r="AV3789">
            <v>365</v>
          </cell>
          <cell r="AX3789">
            <v>366</v>
          </cell>
          <cell r="AZ3789">
            <v>0.16209999999999999</v>
          </cell>
          <cell r="BA3789">
            <v>31</v>
          </cell>
          <cell r="BB3789">
            <v>104.84175270647572</v>
          </cell>
        </row>
        <row r="3790">
          <cell r="AV3790">
            <v>365</v>
          </cell>
          <cell r="AX3790">
            <v>366</v>
          </cell>
          <cell r="AZ3790">
            <v>0.16209999999999999</v>
          </cell>
          <cell r="BA3790">
            <v>31</v>
          </cell>
          <cell r="BB3790">
            <v>104.84175270647572</v>
          </cell>
        </row>
        <row r="3791">
          <cell r="AV3791">
            <v>365</v>
          </cell>
          <cell r="AX3791">
            <v>366</v>
          </cell>
          <cell r="AZ3791">
            <v>0.16209999999999999</v>
          </cell>
          <cell r="BA3791">
            <v>31</v>
          </cell>
          <cell r="BB3791">
            <v>104.84175270647572</v>
          </cell>
        </row>
        <row r="3792">
          <cell r="AV3792">
            <v>365</v>
          </cell>
          <cell r="AX3792">
            <v>366</v>
          </cell>
          <cell r="AZ3792">
            <v>0.16209999999999999</v>
          </cell>
          <cell r="BA3792">
            <v>31</v>
          </cell>
          <cell r="BB3792">
            <v>104.84175270647572</v>
          </cell>
        </row>
        <row r="3793">
          <cell r="AV3793">
            <v>365</v>
          </cell>
          <cell r="AX3793">
            <v>366</v>
          </cell>
          <cell r="AZ3793">
            <v>0.16209999999999999</v>
          </cell>
          <cell r="BA3793">
            <v>31</v>
          </cell>
          <cell r="BB3793">
            <v>104.84175270647572</v>
          </cell>
        </row>
        <row r="3794">
          <cell r="AV3794">
            <v>365</v>
          </cell>
          <cell r="AX3794">
            <v>366</v>
          </cell>
          <cell r="AZ3794">
            <v>0.16209999999999999</v>
          </cell>
          <cell r="BA3794">
            <v>31</v>
          </cell>
          <cell r="BB3794">
            <v>104.84175270647572</v>
          </cell>
        </row>
        <row r="3795">
          <cell r="AV3795">
            <v>365</v>
          </cell>
          <cell r="AX3795">
            <v>366</v>
          </cell>
          <cell r="AZ3795">
            <v>0.16209999999999999</v>
          </cell>
          <cell r="BA3795">
            <v>31</v>
          </cell>
          <cell r="BB3795">
            <v>104.84175270647572</v>
          </cell>
        </row>
        <row r="3796">
          <cell r="AV3796">
            <v>365</v>
          </cell>
          <cell r="AX3796">
            <v>366</v>
          </cell>
          <cell r="AZ3796">
            <v>0.16209999999999999</v>
          </cell>
          <cell r="BA3796">
            <v>31</v>
          </cell>
          <cell r="BB3796">
            <v>104.84175270647572</v>
          </cell>
        </row>
        <row r="3797">
          <cell r="AV3797">
            <v>365</v>
          </cell>
          <cell r="AX3797">
            <v>366</v>
          </cell>
          <cell r="AZ3797">
            <v>0.16209999999999999</v>
          </cell>
          <cell r="BA3797">
            <v>31</v>
          </cell>
          <cell r="BB3797">
            <v>104.84175270647572</v>
          </cell>
        </row>
        <row r="3798">
          <cell r="AV3798">
            <v>365</v>
          </cell>
          <cell r="AX3798">
            <v>366</v>
          </cell>
          <cell r="AZ3798">
            <v>0.16209999999999999</v>
          </cell>
          <cell r="BA3798">
            <v>31</v>
          </cell>
          <cell r="BB3798">
            <v>104.84175270647572</v>
          </cell>
        </row>
        <row r="3799">
          <cell r="AV3799">
            <v>365</v>
          </cell>
          <cell r="AX3799">
            <v>366</v>
          </cell>
          <cell r="AZ3799">
            <v>0.16209999999999999</v>
          </cell>
          <cell r="BA3799">
            <v>31</v>
          </cell>
          <cell r="BB3799">
            <v>104.84175270647572</v>
          </cell>
        </row>
        <row r="3800">
          <cell r="AV3800">
            <v>365</v>
          </cell>
          <cell r="AX3800">
            <v>366</v>
          </cell>
          <cell r="AZ3800">
            <v>0.16209999999999999</v>
          </cell>
          <cell r="BA3800">
            <v>31</v>
          </cell>
          <cell r="BB3800">
            <v>104.84175270647572</v>
          </cell>
        </row>
        <row r="3801">
          <cell r="AV3801">
            <v>365</v>
          </cell>
          <cell r="AX3801">
            <v>366</v>
          </cell>
          <cell r="AZ3801">
            <v>0.16209999999999999</v>
          </cell>
          <cell r="BA3801">
            <v>31</v>
          </cell>
          <cell r="BB3801">
            <v>104.84175270647572</v>
          </cell>
        </row>
        <row r="3802">
          <cell r="AV3802">
            <v>365</v>
          </cell>
          <cell r="AX3802">
            <v>366</v>
          </cell>
          <cell r="AZ3802">
            <v>0.16209999999999999</v>
          </cell>
          <cell r="BA3802">
            <v>31</v>
          </cell>
          <cell r="BB3802">
            <v>104.84175270647572</v>
          </cell>
        </row>
        <row r="3803">
          <cell r="AV3803">
            <v>365</v>
          </cell>
          <cell r="AX3803">
            <v>366</v>
          </cell>
          <cell r="AZ3803">
            <v>0.16209999999999999</v>
          </cell>
          <cell r="BA3803">
            <v>31</v>
          </cell>
          <cell r="BB3803">
            <v>104.84175270647572</v>
          </cell>
        </row>
        <row r="3804">
          <cell r="AV3804">
            <v>365</v>
          </cell>
          <cell r="AX3804">
            <v>366</v>
          </cell>
          <cell r="AZ3804">
            <v>0.16209999999999999</v>
          </cell>
          <cell r="BA3804">
            <v>31</v>
          </cell>
          <cell r="BB3804">
            <v>104.84175270647572</v>
          </cell>
        </row>
        <row r="3805">
          <cell r="AV3805">
            <v>365</v>
          </cell>
          <cell r="AX3805">
            <v>366</v>
          </cell>
          <cell r="AZ3805">
            <v>0.16209999999999999</v>
          </cell>
          <cell r="BA3805">
            <v>31</v>
          </cell>
          <cell r="BB3805">
            <v>104.84175270647572</v>
          </cell>
        </row>
        <row r="3806">
          <cell r="AV3806">
            <v>365</v>
          </cell>
          <cell r="AX3806">
            <v>366</v>
          </cell>
          <cell r="AZ3806">
            <v>0.16209999999999999</v>
          </cell>
          <cell r="BA3806">
            <v>31</v>
          </cell>
          <cell r="BB3806">
            <v>104.84175270647572</v>
          </cell>
        </row>
        <row r="3807">
          <cell r="AV3807">
            <v>365</v>
          </cell>
          <cell r="AX3807">
            <v>366</v>
          </cell>
          <cell r="AZ3807">
            <v>0.16209999999999999</v>
          </cell>
          <cell r="BA3807">
            <v>31</v>
          </cell>
          <cell r="BB3807">
            <v>104.84175270647572</v>
          </cell>
        </row>
        <row r="3808">
          <cell r="AV3808">
            <v>365</v>
          </cell>
          <cell r="AX3808">
            <v>366</v>
          </cell>
          <cell r="AZ3808">
            <v>0.16209999999999999</v>
          </cell>
          <cell r="BA3808">
            <v>31</v>
          </cell>
          <cell r="BB3808">
            <v>104.84175270647572</v>
          </cell>
        </row>
        <row r="3809">
          <cell r="AV3809">
            <v>365</v>
          </cell>
          <cell r="AX3809">
            <v>366</v>
          </cell>
          <cell r="AZ3809">
            <v>0.16209999999999999</v>
          </cell>
          <cell r="BA3809">
            <v>31</v>
          </cell>
          <cell r="BB3809">
            <v>104.84175270647572</v>
          </cell>
        </row>
        <row r="3810">
          <cell r="AV3810">
            <v>365</v>
          </cell>
          <cell r="AX3810">
            <v>366</v>
          </cell>
          <cell r="AZ3810">
            <v>0.16209999999999999</v>
          </cell>
          <cell r="BA3810">
            <v>31</v>
          </cell>
          <cell r="BB3810">
            <v>104.84175270647572</v>
          </cell>
        </row>
        <row r="3811">
          <cell r="AV3811">
            <v>365</v>
          </cell>
          <cell r="AX3811">
            <v>366</v>
          </cell>
          <cell r="AZ3811">
            <v>0.16209999999999999</v>
          </cell>
          <cell r="BA3811">
            <v>31</v>
          </cell>
          <cell r="BB3811">
            <v>104.84175270647572</v>
          </cell>
        </row>
        <row r="3812">
          <cell r="D3812" t="str">
            <v>CO</v>
          </cell>
          <cell r="AV3812">
            <v>365</v>
          </cell>
          <cell r="AX3812">
            <v>366</v>
          </cell>
          <cell r="AZ3812">
            <v>0.16209999999999999</v>
          </cell>
          <cell r="BA3812">
            <v>31</v>
          </cell>
          <cell r="BB3812">
            <v>104.84175270647572</v>
          </cell>
        </row>
        <row r="3813">
          <cell r="D3813" t="str">
            <v>CO</v>
          </cell>
          <cell r="AV3813">
            <v>365</v>
          </cell>
          <cell r="AX3813">
            <v>366</v>
          </cell>
          <cell r="AZ3813">
            <v>0.16209999999999999</v>
          </cell>
          <cell r="BA3813">
            <v>31</v>
          </cell>
          <cell r="BB3813">
            <v>104.84175270647572</v>
          </cell>
        </row>
        <row r="3814">
          <cell r="D3814" t="str">
            <v>CO</v>
          </cell>
          <cell r="AV3814">
            <v>365</v>
          </cell>
          <cell r="AX3814">
            <v>366</v>
          </cell>
          <cell r="AZ3814">
            <v>0.16209999999999999</v>
          </cell>
          <cell r="BA3814">
            <v>31</v>
          </cell>
          <cell r="BB3814">
            <v>104.84175270647572</v>
          </cell>
        </row>
        <row r="3815">
          <cell r="D3815" t="str">
            <v>CO</v>
          </cell>
          <cell r="AV3815">
            <v>365</v>
          </cell>
          <cell r="AX3815">
            <v>366</v>
          </cell>
          <cell r="AZ3815">
            <v>0.16209999999999999</v>
          </cell>
          <cell r="BA3815">
            <v>31</v>
          </cell>
          <cell r="BB3815">
            <v>104.84175270647572</v>
          </cell>
        </row>
        <row r="3816">
          <cell r="D3816" t="str">
            <v>CO</v>
          </cell>
          <cell r="AV3816">
            <v>365</v>
          </cell>
          <cell r="AX3816">
            <v>366</v>
          </cell>
          <cell r="AZ3816">
            <v>0.16209999999999999</v>
          </cell>
          <cell r="BA3816">
            <v>31</v>
          </cell>
          <cell r="BB3816">
            <v>104.84175270647572</v>
          </cell>
        </row>
        <row r="3817">
          <cell r="D3817" t="str">
            <v>CO</v>
          </cell>
          <cell r="AV3817">
            <v>365</v>
          </cell>
          <cell r="AX3817">
            <v>366</v>
          </cell>
          <cell r="AZ3817">
            <v>0.16209999999999999</v>
          </cell>
          <cell r="BA3817">
            <v>31</v>
          </cell>
          <cell r="BB3817">
            <v>104.84175270647572</v>
          </cell>
        </row>
        <row r="3818">
          <cell r="D3818" t="str">
            <v>CO</v>
          </cell>
          <cell r="AV3818">
            <v>365</v>
          </cell>
          <cell r="AX3818">
            <v>366</v>
          </cell>
          <cell r="AZ3818">
            <v>0.16209999999999999</v>
          </cell>
          <cell r="BA3818">
            <v>31</v>
          </cell>
          <cell r="BB3818">
            <v>104.84175270647572</v>
          </cell>
        </row>
        <row r="3819">
          <cell r="D3819" t="str">
            <v>CO</v>
          </cell>
          <cell r="AV3819">
            <v>365</v>
          </cell>
          <cell r="AX3819">
            <v>366</v>
          </cell>
          <cell r="AZ3819">
            <v>0.16209999999999999</v>
          </cell>
          <cell r="BA3819">
            <v>31</v>
          </cell>
          <cell r="BB3819">
            <v>104.84175270647572</v>
          </cell>
        </row>
        <row r="3820">
          <cell r="D3820" t="str">
            <v>CO</v>
          </cell>
          <cell r="AV3820">
            <v>365</v>
          </cell>
          <cell r="AX3820">
            <v>366</v>
          </cell>
          <cell r="AZ3820">
            <v>0.16209999999999999</v>
          </cell>
          <cell r="BA3820">
            <v>31</v>
          </cell>
          <cell r="BB3820">
            <v>104.84175270647572</v>
          </cell>
        </row>
        <row r="3821">
          <cell r="D3821" t="str">
            <v>CO</v>
          </cell>
          <cell r="AV3821">
            <v>365</v>
          </cell>
          <cell r="AX3821">
            <v>366</v>
          </cell>
          <cell r="AZ3821">
            <v>0.16209999999999999</v>
          </cell>
          <cell r="BA3821">
            <v>31</v>
          </cell>
          <cell r="BB3821">
            <v>104.84175270647572</v>
          </cell>
        </row>
        <row r="3822">
          <cell r="D3822" t="str">
            <v>CO</v>
          </cell>
          <cell r="AV3822">
            <v>365</v>
          </cell>
          <cell r="AX3822">
            <v>366</v>
          </cell>
          <cell r="AZ3822">
            <v>0.16209999999999999</v>
          </cell>
          <cell r="BA3822">
            <v>31</v>
          </cell>
          <cell r="BB3822">
            <v>104.84175270647572</v>
          </cell>
        </row>
        <row r="3823">
          <cell r="D3823" t="str">
            <v>CO</v>
          </cell>
          <cell r="AV3823">
            <v>365</v>
          </cell>
          <cell r="AX3823">
            <v>366</v>
          </cell>
          <cell r="AZ3823">
            <v>0.16209999999999999</v>
          </cell>
          <cell r="BA3823">
            <v>31</v>
          </cell>
          <cell r="BB3823">
            <v>104.84175270647572</v>
          </cell>
        </row>
        <row r="3824">
          <cell r="D3824" t="str">
            <v>CO</v>
          </cell>
          <cell r="AV3824">
            <v>365</v>
          </cell>
          <cell r="AX3824">
            <v>366</v>
          </cell>
          <cell r="AZ3824">
            <v>0.16209999999999999</v>
          </cell>
          <cell r="BA3824">
            <v>31</v>
          </cell>
          <cell r="BB3824">
            <v>104.84175270647572</v>
          </cell>
        </row>
        <row r="3825">
          <cell r="D3825" t="str">
            <v>CO</v>
          </cell>
          <cell r="AV3825">
            <v>365</v>
          </cell>
          <cell r="AX3825">
            <v>366</v>
          </cell>
          <cell r="AZ3825">
            <v>0.16209999999999999</v>
          </cell>
          <cell r="BA3825">
            <v>31</v>
          </cell>
          <cell r="BB3825">
            <v>104.84175270647572</v>
          </cell>
        </row>
        <row r="3826">
          <cell r="D3826" t="str">
            <v>CO</v>
          </cell>
          <cell r="AV3826">
            <v>365</v>
          </cell>
          <cell r="AX3826">
            <v>366</v>
          </cell>
          <cell r="AZ3826">
            <v>0.16209999999999999</v>
          </cell>
          <cell r="BA3826">
            <v>31</v>
          </cell>
          <cell r="BB3826">
            <v>104.84175270647572</v>
          </cell>
        </row>
        <row r="3827">
          <cell r="D3827" t="str">
            <v>CO</v>
          </cell>
          <cell r="AV3827">
            <v>365</v>
          </cell>
          <cell r="AX3827">
            <v>366</v>
          </cell>
          <cell r="AZ3827">
            <v>0.16209999999999999</v>
          </cell>
          <cell r="BA3827">
            <v>31</v>
          </cell>
          <cell r="BB3827">
            <v>104.84175270647572</v>
          </cell>
        </row>
        <row r="3828">
          <cell r="D3828" t="str">
            <v>CO</v>
          </cell>
          <cell r="AV3828">
            <v>365</v>
          </cell>
          <cell r="AX3828">
            <v>366</v>
          </cell>
          <cell r="AZ3828">
            <v>0.16209999999999999</v>
          </cell>
          <cell r="BA3828">
            <v>31</v>
          </cell>
          <cell r="BB3828">
            <v>104.84175270647572</v>
          </cell>
        </row>
        <row r="3829">
          <cell r="D3829" t="str">
            <v>CO</v>
          </cell>
          <cell r="AV3829">
            <v>365</v>
          </cell>
          <cell r="AX3829">
            <v>366</v>
          </cell>
          <cell r="AZ3829">
            <v>0.16209999999999999</v>
          </cell>
          <cell r="BA3829">
            <v>31</v>
          </cell>
          <cell r="BB3829">
            <v>104.84175270647572</v>
          </cell>
        </row>
        <row r="3830">
          <cell r="AV3830">
            <v>365</v>
          </cell>
          <cell r="AX3830">
            <v>366</v>
          </cell>
          <cell r="AZ3830">
            <v>0.16209999999999999</v>
          </cell>
          <cell r="BA3830">
            <v>31</v>
          </cell>
          <cell r="BB3830">
            <v>302.19093427160641</v>
          </cell>
        </row>
        <row r="3831">
          <cell r="AV3831">
            <v>365</v>
          </cell>
          <cell r="AX3831">
            <v>366</v>
          </cell>
          <cell r="AZ3831">
            <v>0.16209999999999999</v>
          </cell>
          <cell r="BA3831">
            <v>31</v>
          </cell>
          <cell r="BB3831">
            <v>302.19093427160641</v>
          </cell>
        </row>
        <row r="3832">
          <cell r="AV3832">
            <v>365</v>
          </cell>
          <cell r="AX3832">
            <v>366</v>
          </cell>
          <cell r="AZ3832">
            <v>0.16209999999999999</v>
          </cell>
          <cell r="BA3832">
            <v>31</v>
          </cell>
          <cell r="BB3832">
            <v>302.19093427160641</v>
          </cell>
        </row>
        <row r="3833">
          <cell r="AV3833">
            <v>365</v>
          </cell>
          <cell r="AX3833">
            <v>366</v>
          </cell>
          <cell r="AZ3833">
            <v>0.16209999999999999</v>
          </cell>
          <cell r="BA3833">
            <v>31</v>
          </cell>
          <cell r="BB3833">
            <v>302.19093427160641</v>
          </cell>
        </row>
        <row r="3834">
          <cell r="AV3834">
            <v>365</v>
          </cell>
          <cell r="AX3834">
            <v>366</v>
          </cell>
          <cell r="AZ3834">
            <v>0.16209999999999999</v>
          </cell>
          <cell r="BA3834">
            <v>31</v>
          </cell>
          <cell r="BB3834">
            <v>302.19093427160641</v>
          </cell>
        </row>
        <row r="3835">
          <cell r="AV3835">
            <v>365</v>
          </cell>
          <cell r="AX3835">
            <v>366</v>
          </cell>
          <cell r="AZ3835">
            <v>0.16209999999999999</v>
          </cell>
          <cell r="BA3835">
            <v>31</v>
          </cell>
          <cell r="BB3835">
            <v>302.19093427160641</v>
          </cell>
        </row>
        <row r="3836">
          <cell r="AV3836">
            <v>365</v>
          </cell>
          <cell r="AX3836">
            <v>366</v>
          </cell>
          <cell r="AZ3836">
            <v>0.16209999999999999</v>
          </cell>
          <cell r="BA3836">
            <v>31</v>
          </cell>
          <cell r="BB3836">
            <v>302.19093427160641</v>
          </cell>
        </row>
        <row r="3837">
          <cell r="AV3837">
            <v>365</v>
          </cell>
          <cell r="AX3837">
            <v>366</v>
          </cell>
          <cell r="AZ3837">
            <v>0.16209999999999999</v>
          </cell>
          <cell r="BA3837">
            <v>31</v>
          </cell>
          <cell r="BB3837">
            <v>302.19093427160641</v>
          </cell>
        </row>
        <row r="3838">
          <cell r="AV3838">
            <v>365</v>
          </cell>
          <cell r="AX3838">
            <v>366</v>
          </cell>
          <cell r="AZ3838">
            <v>0.16209999999999999</v>
          </cell>
          <cell r="BA3838">
            <v>31</v>
          </cell>
          <cell r="BB3838">
            <v>302.19093427160641</v>
          </cell>
        </row>
        <row r="3839">
          <cell r="AV3839">
            <v>365</v>
          </cell>
          <cell r="AX3839">
            <v>366</v>
          </cell>
          <cell r="AZ3839">
            <v>0.16209999999999999</v>
          </cell>
          <cell r="BA3839">
            <v>31</v>
          </cell>
          <cell r="BB3839">
            <v>302.19093427160641</v>
          </cell>
        </row>
        <row r="3840">
          <cell r="AV3840">
            <v>365</v>
          </cell>
          <cell r="AX3840">
            <v>366</v>
          </cell>
          <cell r="AZ3840">
            <v>0.16209999999999999</v>
          </cell>
          <cell r="BA3840">
            <v>31</v>
          </cell>
          <cell r="BB3840">
            <v>302.19093427160641</v>
          </cell>
        </row>
        <row r="3841">
          <cell r="AV3841">
            <v>365</v>
          </cell>
          <cell r="AX3841">
            <v>366</v>
          </cell>
          <cell r="AZ3841">
            <v>0.16209999999999999</v>
          </cell>
          <cell r="BA3841">
            <v>31</v>
          </cell>
          <cell r="BB3841">
            <v>302.19093427160641</v>
          </cell>
        </row>
        <row r="3842">
          <cell r="AV3842">
            <v>365</v>
          </cell>
          <cell r="AX3842">
            <v>366</v>
          </cell>
          <cell r="AZ3842">
            <v>0.16209999999999999</v>
          </cell>
          <cell r="BA3842">
            <v>31</v>
          </cell>
          <cell r="BB3842">
            <v>302.19093427160641</v>
          </cell>
        </row>
        <row r="3843">
          <cell r="AV3843">
            <v>365</v>
          </cell>
          <cell r="AX3843">
            <v>366</v>
          </cell>
          <cell r="AZ3843">
            <v>0.16209999999999999</v>
          </cell>
          <cell r="BA3843">
            <v>31</v>
          </cell>
          <cell r="BB3843">
            <v>302.19093427160641</v>
          </cell>
        </row>
        <row r="3844">
          <cell r="AV3844">
            <v>365</v>
          </cell>
          <cell r="AX3844">
            <v>366</v>
          </cell>
          <cell r="AZ3844">
            <v>0.16209999999999999</v>
          </cell>
          <cell r="BA3844">
            <v>31</v>
          </cell>
          <cell r="BB3844">
            <v>302.19093427160641</v>
          </cell>
        </row>
        <row r="3845">
          <cell r="AV3845">
            <v>365</v>
          </cell>
          <cell r="AX3845">
            <v>366</v>
          </cell>
          <cell r="AZ3845">
            <v>0.16209999999999999</v>
          </cell>
          <cell r="BA3845">
            <v>31</v>
          </cell>
          <cell r="BB3845">
            <v>302.19093427160641</v>
          </cell>
        </row>
        <row r="3846">
          <cell r="AV3846">
            <v>365</v>
          </cell>
          <cell r="AX3846">
            <v>366</v>
          </cell>
          <cell r="AZ3846">
            <v>0.16209999999999999</v>
          </cell>
          <cell r="BA3846">
            <v>31</v>
          </cell>
          <cell r="BB3846">
            <v>302.19093427160641</v>
          </cell>
        </row>
        <row r="3847">
          <cell r="AV3847">
            <v>365</v>
          </cell>
          <cell r="AX3847">
            <v>366</v>
          </cell>
          <cell r="AZ3847">
            <v>0.16209999999999999</v>
          </cell>
          <cell r="BA3847">
            <v>31</v>
          </cell>
          <cell r="BB3847">
            <v>302.19093427160641</v>
          </cell>
        </row>
        <row r="3848">
          <cell r="AV3848">
            <v>365</v>
          </cell>
          <cell r="AX3848">
            <v>366</v>
          </cell>
          <cell r="AZ3848">
            <v>0.16209999999999999</v>
          </cell>
          <cell r="BA3848">
            <v>31</v>
          </cell>
          <cell r="BB3848">
            <v>302.19093427160641</v>
          </cell>
        </row>
        <row r="3849">
          <cell r="AV3849">
            <v>365</v>
          </cell>
          <cell r="AX3849">
            <v>366</v>
          </cell>
          <cell r="AZ3849">
            <v>0.16209999999999999</v>
          </cell>
          <cell r="BA3849">
            <v>31</v>
          </cell>
          <cell r="BB3849">
            <v>302.19093427160641</v>
          </cell>
        </row>
        <row r="3850">
          <cell r="AV3850">
            <v>365</v>
          </cell>
          <cell r="AX3850">
            <v>366</v>
          </cell>
          <cell r="AZ3850">
            <v>0.16209999999999999</v>
          </cell>
          <cell r="BA3850">
            <v>31</v>
          </cell>
          <cell r="BB3850">
            <v>302.19093427160641</v>
          </cell>
        </row>
        <row r="3851">
          <cell r="AV3851">
            <v>365</v>
          </cell>
          <cell r="AX3851">
            <v>366</v>
          </cell>
          <cell r="AZ3851">
            <v>0.16209999999999999</v>
          </cell>
          <cell r="BA3851">
            <v>31</v>
          </cell>
          <cell r="BB3851">
            <v>302.19093427160641</v>
          </cell>
        </row>
        <row r="3852">
          <cell r="AV3852">
            <v>365</v>
          </cell>
          <cell r="AX3852">
            <v>366</v>
          </cell>
          <cell r="AZ3852">
            <v>0.16209999999999999</v>
          </cell>
          <cell r="BA3852">
            <v>31</v>
          </cell>
          <cell r="BB3852">
            <v>302.19093427160641</v>
          </cell>
        </row>
        <row r="3853">
          <cell r="AV3853">
            <v>365</v>
          </cell>
          <cell r="AX3853">
            <v>366</v>
          </cell>
          <cell r="AZ3853">
            <v>0.16209999999999999</v>
          </cell>
          <cell r="BA3853">
            <v>31</v>
          </cell>
          <cell r="BB3853">
            <v>302.19093427160641</v>
          </cell>
        </row>
        <row r="3854">
          <cell r="AV3854">
            <v>365</v>
          </cell>
          <cell r="AX3854">
            <v>366</v>
          </cell>
          <cell r="AZ3854">
            <v>0.16209999999999999</v>
          </cell>
          <cell r="BA3854">
            <v>31</v>
          </cell>
          <cell r="BB3854">
            <v>302.19093427160641</v>
          </cell>
        </row>
        <row r="3855">
          <cell r="AV3855">
            <v>365</v>
          </cell>
          <cell r="AX3855">
            <v>366</v>
          </cell>
          <cell r="AZ3855">
            <v>0.16209999999999999</v>
          </cell>
          <cell r="BA3855">
            <v>31</v>
          </cell>
          <cell r="BB3855">
            <v>302.19093427160641</v>
          </cell>
        </row>
        <row r="3856">
          <cell r="AV3856">
            <v>365</v>
          </cell>
          <cell r="AX3856">
            <v>366</v>
          </cell>
          <cell r="AZ3856">
            <v>0.16209999999999999</v>
          </cell>
          <cell r="BA3856">
            <v>31</v>
          </cell>
          <cell r="BB3856">
            <v>302.19093427160641</v>
          </cell>
        </row>
        <row r="3857">
          <cell r="AV3857">
            <v>365</v>
          </cell>
          <cell r="AX3857">
            <v>366</v>
          </cell>
          <cell r="AZ3857">
            <v>0.16209999999999999</v>
          </cell>
          <cell r="BA3857">
            <v>31</v>
          </cell>
          <cell r="BB3857">
            <v>302.19093427160641</v>
          </cell>
        </row>
        <row r="3858">
          <cell r="AV3858">
            <v>365</v>
          </cell>
          <cell r="AX3858">
            <v>366</v>
          </cell>
          <cell r="AZ3858">
            <v>0.16209999999999999</v>
          </cell>
          <cell r="BA3858">
            <v>31</v>
          </cell>
          <cell r="BB3858">
            <v>302.19093427160641</v>
          </cell>
        </row>
        <row r="3859">
          <cell r="AV3859">
            <v>365</v>
          </cell>
          <cell r="AX3859">
            <v>366</v>
          </cell>
          <cell r="AZ3859">
            <v>0.16209999999999999</v>
          </cell>
          <cell r="BA3859">
            <v>31</v>
          </cell>
          <cell r="BB3859">
            <v>302.19093427160641</v>
          </cell>
        </row>
        <row r="3860">
          <cell r="AV3860">
            <v>365</v>
          </cell>
          <cell r="AX3860">
            <v>366</v>
          </cell>
          <cell r="AZ3860">
            <v>0.16209999999999999</v>
          </cell>
          <cell r="BA3860">
            <v>31</v>
          </cell>
          <cell r="BB3860">
            <v>302.19093427160641</v>
          </cell>
        </row>
        <row r="3861">
          <cell r="AV3861">
            <v>365</v>
          </cell>
          <cell r="AX3861">
            <v>366</v>
          </cell>
          <cell r="AZ3861">
            <v>0.16209999999999999</v>
          </cell>
          <cell r="BA3861">
            <v>31</v>
          </cell>
          <cell r="BB3861">
            <v>302.19093427160641</v>
          </cell>
        </row>
        <row r="3862">
          <cell r="AV3862">
            <v>365</v>
          </cell>
          <cell r="AX3862">
            <v>366</v>
          </cell>
          <cell r="AZ3862">
            <v>0.16209999999999999</v>
          </cell>
          <cell r="BA3862">
            <v>31</v>
          </cell>
          <cell r="BB3862">
            <v>302.19093427160641</v>
          </cell>
        </row>
        <row r="3863">
          <cell r="AV3863">
            <v>365</v>
          </cell>
          <cell r="AX3863">
            <v>366</v>
          </cell>
          <cell r="AZ3863">
            <v>0.16209999999999999</v>
          </cell>
          <cell r="BA3863">
            <v>31</v>
          </cell>
          <cell r="BB3863">
            <v>302.19093427160641</v>
          </cell>
        </row>
        <row r="3864">
          <cell r="AV3864">
            <v>365</v>
          </cell>
          <cell r="AX3864">
            <v>366</v>
          </cell>
          <cell r="AZ3864">
            <v>0.16209999999999999</v>
          </cell>
          <cell r="BA3864">
            <v>31</v>
          </cell>
          <cell r="BB3864">
            <v>302.19093427160641</v>
          </cell>
        </row>
        <row r="3865">
          <cell r="AV3865">
            <v>365</v>
          </cell>
          <cell r="AX3865">
            <v>366</v>
          </cell>
          <cell r="AZ3865">
            <v>0.16209999999999999</v>
          </cell>
          <cell r="BA3865">
            <v>31</v>
          </cell>
          <cell r="BB3865">
            <v>302.19093427160641</v>
          </cell>
        </row>
        <row r="3866">
          <cell r="AV3866">
            <v>365</v>
          </cell>
          <cell r="AX3866">
            <v>366</v>
          </cell>
          <cell r="AZ3866">
            <v>0.16209999999999999</v>
          </cell>
          <cell r="BA3866">
            <v>31</v>
          </cell>
          <cell r="BB3866">
            <v>302.19093427160641</v>
          </cell>
        </row>
        <row r="3867">
          <cell r="AV3867">
            <v>365</v>
          </cell>
          <cell r="AX3867">
            <v>366</v>
          </cell>
          <cell r="AZ3867">
            <v>0.16209999999999999</v>
          </cell>
          <cell r="BA3867">
            <v>31</v>
          </cell>
          <cell r="BB3867">
            <v>302.19093427160641</v>
          </cell>
        </row>
        <row r="3868">
          <cell r="AV3868">
            <v>365</v>
          </cell>
          <cell r="AX3868">
            <v>366</v>
          </cell>
          <cell r="AZ3868">
            <v>0.16209999999999999</v>
          </cell>
          <cell r="BA3868">
            <v>31</v>
          </cell>
          <cell r="BB3868">
            <v>302.19093427160641</v>
          </cell>
        </row>
        <row r="3869">
          <cell r="AV3869">
            <v>365</v>
          </cell>
          <cell r="AX3869">
            <v>366</v>
          </cell>
          <cell r="AZ3869">
            <v>0.16209999999999999</v>
          </cell>
          <cell r="BA3869">
            <v>31</v>
          </cell>
          <cell r="BB3869">
            <v>302.19093427160641</v>
          </cell>
        </row>
        <row r="3870">
          <cell r="AV3870">
            <v>365</v>
          </cell>
          <cell r="AX3870">
            <v>366</v>
          </cell>
          <cell r="AZ3870">
            <v>0.16209999999999999</v>
          </cell>
          <cell r="BA3870">
            <v>31</v>
          </cell>
          <cell r="BB3870">
            <v>302.19093427160641</v>
          </cell>
        </row>
        <row r="3871">
          <cell r="AV3871">
            <v>365</v>
          </cell>
          <cell r="AX3871">
            <v>366</v>
          </cell>
          <cell r="AZ3871">
            <v>0.16209999999999999</v>
          </cell>
          <cell r="BA3871">
            <v>31</v>
          </cell>
          <cell r="BB3871">
            <v>302.19093427160641</v>
          </cell>
        </row>
        <row r="3872">
          <cell r="AV3872">
            <v>365</v>
          </cell>
          <cell r="AX3872">
            <v>366</v>
          </cell>
          <cell r="AZ3872">
            <v>0.16209999999999999</v>
          </cell>
          <cell r="BA3872">
            <v>31</v>
          </cell>
          <cell r="BB3872">
            <v>302.19093427160641</v>
          </cell>
        </row>
        <row r="3873">
          <cell r="AV3873">
            <v>365</v>
          </cell>
          <cell r="AX3873">
            <v>366</v>
          </cell>
          <cell r="AZ3873">
            <v>0.16209999999999999</v>
          </cell>
          <cell r="BA3873">
            <v>31</v>
          </cell>
          <cell r="BB3873">
            <v>302.19093427160641</v>
          </cell>
        </row>
        <row r="3874">
          <cell r="AV3874">
            <v>365</v>
          </cell>
          <cell r="AX3874">
            <v>366</v>
          </cell>
          <cell r="AZ3874">
            <v>0.16209999999999999</v>
          </cell>
          <cell r="BA3874">
            <v>31</v>
          </cell>
          <cell r="BB3874">
            <v>302.19093427160641</v>
          </cell>
        </row>
        <row r="3875">
          <cell r="AV3875">
            <v>365</v>
          </cell>
          <cell r="AX3875">
            <v>366</v>
          </cell>
          <cell r="AZ3875">
            <v>0.16209999999999999</v>
          </cell>
          <cell r="BA3875">
            <v>31</v>
          </cell>
          <cell r="BB3875">
            <v>302.19093427160641</v>
          </cell>
        </row>
        <row r="3876">
          <cell r="AV3876">
            <v>365</v>
          </cell>
          <cell r="AX3876">
            <v>366</v>
          </cell>
          <cell r="AZ3876">
            <v>0.16209999999999999</v>
          </cell>
          <cell r="BA3876">
            <v>31</v>
          </cell>
          <cell r="BB3876">
            <v>302.19093427160641</v>
          </cell>
        </row>
        <row r="3877">
          <cell r="AV3877">
            <v>365</v>
          </cell>
          <cell r="AX3877">
            <v>366</v>
          </cell>
          <cell r="AZ3877">
            <v>0.16209999999999999</v>
          </cell>
          <cell r="BA3877">
            <v>31</v>
          </cell>
          <cell r="BB3877">
            <v>302.19093427160641</v>
          </cell>
        </row>
        <row r="3878">
          <cell r="AV3878">
            <v>365</v>
          </cell>
          <cell r="AX3878">
            <v>366</v>
          </cell>
          <cell r="AZ3878">
            <v>0.16209999999999999</v>
          </cell>
          <cell r="BA3878">
            <v>31</v>
          </cell>
          <cell r="BB3878">
            <v>302.19093427160641</v>
          </cell>
        </row>
        <row r="3879">
          <cell r="AV3879">
            <v>365</v>
          </cell>
          <cell r="AX3879">
            <v>366</v>
          </cell>
          <cell r="AZ3879">
            <v>0.16209999999999999</v>
          </cell>
          <cell r="BA3879">
            <v>31</v>
          </cell>
          <cell r="BB3879">
            <v>302.19093427160641</v>
          </cell>
        </row>
        <row r="3880">
          <cell r="AV3880">
            <v>365</v>
          </cell>
          <cell r="AX3880">
            <v>366</v>
          </cell>
          <cell r="AZ3880">
            <v>0.16209999999999999</v>
          </cell>
          <cell r="BA3880">
            <v>31</v>
          </cell>
          <cell r="BB3880">
            <v>302.19093427160641</v>
          </cell>
        </row>
        <row r="3881">
          <cell r="AV3881">
            <v>365</v>
          </cell>
          <cell r="AX3881">
            <v>366</v>
          </cell>
          <cell r="AZ3881">
            <v>0.16209999999999999</v>
          </cell>
          <cell r="BA3881">
            <v>31</v>
          </cell>
          <cell r="BB3881">
            <v>302.19093427160641</v>
          </cell>
        </row>
        <row r="3882">
          <cell r="AV3882">
            <v>365</v>
          </cell>
          <cell r="AX3882">
            <v>366</v>
          </cell>
          <cell r="AZ3882">
            <v>0.16209999999999999</v>
          </cell>
          <cell r="BA3882">
            <v>31</v>
          </cell>
          <cell r="BB3882">
            <v>302.19093427160641</v>
          </cell>
        </row>
        <row r="3883">
          <cell r="AV3883">
            <v>365</v>
          </cell>
          <cell r="AX3883">
            <v>366</v>
          </cell>
          <cell r="AZ3883">
            <v>0.16209999999999999</v>
          </cell>
          <cell r="BA3883">
            <v>31</v>
          </cell>
          <cell r="BB3883">
            <v>302.19093427160641</v>
          </cell>
        </row>
        <row r="3884">
          <cell r="AV3884">
            <v>365</v>
          </cell>
          <cell r="AX3884">
            <v>366</v>
          </cell>
          <cell r="AZ3884">
            <v>0.16209999999999999</v>
          </cell>
          <cell r="BA3884">
            <v>31</v>
          </cell>
          <cell r="BB3884">
            <v>302.19093427160641</v>
          </cell>
        </row>
        <row r="3885">
          <cell r="AV3885">
            <v>365</v>
          </cell>
          <cell r="AX3885">
            <v>366</v>
          </cell>
          <cell r="AZ3885">
            <v>0.16209999999999999</v>
          </cell>
          <cell r="BA3885">
            <v>31</v>
          </cell>
          <cell r="BB3885">
            <v>302.19093427160641</v>
          </cell>
        </row>
        <row r="3886">
          <cell r="AV3886">
            <v>365</v>
          </cell>
          <cell r="AX3886">
            <v>366</v>
          </cell>
          <cell r="AZ3886">
            <v>0.16209999999999999</v>
          </cell>
          <cell r="BA3886">
            <v>31</v>
          </cell>
          <cell r="BB3886">
            <v>302.19093427160641</v>
          </cell>
        </row>
        <row r="3887">
          <cell r="AV3887">
            <v>365</v>
          </cell>
          <cell r="AX3887">
            <v>366</v>
          </cell>
          <cell r="AZ3887">
            <v>0.16209999999999999</v>
          </cell>
          <cell r="BA3887">
            <v>31</v>
          </cell>
          <cell r="BB3887">
            <v>302.19093427160641</v>
          </cell>
        </row>
        <row r="3888">
          <cell r="AV3888">
            <v>365</v>
          </cell>
          <cell r="AX3888">
            <v>366</v>
          </cell>
          <cell r="AZ3888">
            <v>0.16209999999999999</v>
          </cell>
          <cell r="BA3888">
            <v>31</v>
          </cell>
          <cell r="BB3888">
            <v>302.19093427160641</v>
          </cell>
        </row>
        <row r="3889">
          <cell r="AV3889">
            <v>365</v>
          </cell>
          <cell r="AX3889">
            <v>366</v>
          </cell>
          <cell r="AZ3889">
            <v>0.16209999999999999</v>
          </cell>
          <cell r="BA3889">
            <v>31</v>
          </cell>
          <cell r="BB3889">
            <v>302.19093427160641</v>
          </cell>
        </row>
        <row r="3890">
          <cell r="AV3890">
            <v>365</v>
          </cell>
          <cell r="AX3890">
            <v>366</v>
          </cell>
          <cell r="AZ3890">
            <v>0.16209999999999999</v>
          </cell>
          <cell r="BA3890">
            <v>31</v>
          </cell>
          <cell r="BB3890">
            <v>302.19093427160641</v>
          </cell>
        </row>
        <row r="3891">
          <cell r="AV3891">
            <v>365</v>
          </cell>
          <cell r="AX3891">
            <v>366</v>
          </cell>
          <cell r="AZ3891">
            <v>0.16209999999999999</v>
          </cell>
          <cell r="BA3891">
            <v>31</v>
          </cell>
          <cell r="BB3891">
            <v>302.19093427160641</v>
          </cell>
        </row>
        <row r="3892">
          <cell r="AV3892">
            <v>365</v>
          </cell>
          <cell r="AX3892">
            <v>366</v>
          </cell>
          <cell r="AZ3892">
            <v>0.16209999999999999</v>
          </cell>
          <cell r="BA3892">
            <v>31</v>
          </cell>
          <cell r="BB3892">
            <v>302.19093427160641</v>
          </cell>
        </row>
        <row r="3893">
          <cell r="AV3893">
            <v>365</v>
          </cell>
          <cell r="AX3893">
            <v>366</v>
          </cell>
          <cell r="AZ3893">
            <v>0.16209999999999999</v>
          </cell>
          <cell r="BA3893">
            <v>31</v>
          </cell>
          <cell r="BB3893">
            <v>302.19093427160641</v>
          </cell>
        </row>
        <row r="3894">
          <cell r="AV3894">
            <v>365</v>
          </cell>
          <cell r="AX3894">
            <v>366</v>
          </cell>
          <cell r="AZ3894">
            <v>0.16209999999999999</v>
          </cell>
          <cell r="BA3894">
            <v>31</v>
          </cell>
          <cell r="BB3894">
            <v>302.19093427160641</v>
          </cell>
        </row>
        <row r="3895">
          <cell r="AV3895">
            <v>365</v>
          </cell>
          <cell r="AX3895">
            <v>366</v>
          </cell>
          <cell r="AZ3895">
            <v>0.16209999999999999</v>
          </cell>
          <cell r="BA3895">
            <v>31</v>
          </cell>
          <cell r="BB3895">
            <v>302.19093427160641</v>
          </cell>
        </row>
        <row r="3896">
          <cell r="AV3896">
            <v>365</v>
          </cell>
          <cell r="AX3896">
            <v>366</v>
          </cell>
          <cell r="AZ3896">
            <v>0.16209999999999999</v>
          </cell>
          <cell r="BA3896">
            <v>31</v>
          </cell>
          <cell r="BB3896">
            <v>302.19093427160641</v>
          </cell>
        </row>
        <row r="3897">
          <cell r="AV3897">
            <v>365</v>
          </cell>
          <cell r="AX3897">
            <v>366</v>
          </cell>
          <cell r="AZ3897">
            <v>0.16209999999999999</v>
          </cell>
          <cell r="BA3897">
            <v>31</v>
          </cell>
          <cell r="BB3897">
            <v>302.19093427160641</v>
          </cell>
        </row>
        <row r="3898">
          <cell r="AV3898">
            <v>365</v>
          </cell>
          <cell r="AX3898">
            <v>366</v>
          </cell>
          <cell r="AZ3898">
            <v>0.16209999999999999</v>
          </cell>
          <cell r="BA3898">
            <v>31</v>
          </cell>
          <cell r="BB3898">
            <v>302.19093427160641</v>
          </cell>
        </row>
        <row r="3899">
          <cell r="AV3899">
            <v>365</v>
          </cell>
          <cell r="AX3899">
            <v>366</v>
          </cell>
          <cell r="AZ3899">
            <v>0.16209999999999999</v>
          </cell>
          <cell r="BA3899">
            <v>31</v>
          </cell>
          <cell r="BB3899">
            <v>302.19093427160641</v>
          </cell>
        </row>
        <row r="3900">
          <cell r="AV3900">
            <v>365</v>
          </cell>
          <cell r="AX3900">
            <v>366</v>
          </cell>
          <cell r="AZ3900">
            <v>0.16209999999999999</v>
          </cell>
          <cell r="BA3900">
            <v>31</v>
          </cell>
          <cell r="BB3900">
            <v>302.19093427160641</v>
          </cell>
        </row>
        <row r="3901">
          <cell r="AV3901">
            <v>365</v>
          </cell>
          <cell r="AX3901">
            <v>366</v>
          </cell>
          <cell r="AZ3901">
            <v>0.16209999999999999</v>
          </cell>
          <cell r="BA3901">
            <v>31</v>
          </cell>
          <cell r="BB3901">
            <v>302.19093427160641</v>
          </cell>
        </row>
        <row r="3902">
          <cell r="AV3902">
            <v>365</v>
          </cell>
          <cell r="AX3902">
            <v>366</v>
          </cell>
          <cell r="AZ3902">
            <v>0.16209999999999999</v>
          </cell>
          <cell r="BA3902">
            <v>31</v>
          </cell>
          <cell r="BB3902">
            <v>302.19093427160641</v>
          </cell>
        </row>
        <row r="3903">
          <cell r="AV3903">
            <v>365</v>
          </cell>
          <cell r="AX3903">
            <v>366</v>
          </cell>
          <cell r="AZ3903">
            <v>0.16209999999999999</v>
          </cell>
          <cell r="BA3903">
            <v>31</v>
          </cell>
          <cell r="BB3903">
            <v>302.19093427160641</v>
          </cell>
        </row>
        <row r="3904">
          <cell r="AV3904">
            <v>365</v>
          </cell>
          <cell r="AX3904">
            <v>366</v>
          </cell>
          <cell r="AZ3904">
            <v>0.16209999999999999</v>
          </cell>
          <cell r="BA3904">
            <v>31</v>
          </cell>
          <cell r="BB3904">
            <v>302.19093427160641</v>
          </cell>
        </row>
        <row r="3905">
          <cell r="AV3905">
            <v>365</v>
          </cell>
          <cell r="AX3905">
            <v>366</v>
          </cell>
          <cell r="AZ3905">
            <v>0.16209999999999999</v>
          </cell>
          <cell r="BA3905">
            <v>31</v>
          </cell>
          <cell r="BB3905">
            <v>302.19093427160641</v>
          </cell>
        </row>
        <row r="3906">
          <cell r="AV3906">
            <v>365</v>
          </cell>
          <cell r="AX3906">
            <v>366</v>
          </cell>
          <cell r="AZ3906">
            <v>0.16209999999999999</v>
          </cell>
          <cell r="BA3906">
            <v>31</v>
          </cell>
          <cell r="BB3906">
            <v>302.19093427160641</v>
          </cell>
        </row>
        <row r="3907">
          <cell r="AV3907">
            <v>365</v>
          </cell>
          <cell r="AX3907">
            <v>366</v>
          </cell>
          <cell r="AZ3907">
            <v>0.16209999999999999</v>
          </cell>
          <cell r="BA3907">
            <v>31</v>
          </cell>
          <cell r="BB3907">
            <v>302.19093427160641</v>
          </cell>
        </row>
        <row r="3908">
          <cell r="AV3908">
            <v>365</v>
          </cell>
          <cell r="AX3908">
            <v>366</v>
          </cell>
          <cell r="AZ3908">
            <v>0.16209999999999999</v>
          </cell>
          <cell r="BA3908">
            <v>31</v>
          </cell>
          <cell r="BB3908">
            <v>302.19093427160641</v>
          </cell>
        </row>
        <row r="3909">
          <cell r="AV3909">
            <v>365</v>
          </cell>
          <cell r="AX3909">
            <v>366</v>
          </cell>
          <cell r="AZ3909">
            <v>0.16209999999999999</v>
          </cell>
          <cell r="BA3909">
            <v>31</v>
          </cell>
          <cell r="BB3909">
            <v>302.19093427160641</v>
          </cell>
        </row>
        <row r="3910">
          <cell r="AV3910">
            <v>365</v>
          </cell>
          <cell r="AX3910">
            <v>366</v>
          </cell>
          <cell r="AZ3910">
            <v>0.16209999999999999</v>
          </cell>
          <cell r="BA3910">
            <v>31</v>
          </cell>
          <cell r="BB3910">
            <v>302.19093427160641</v>
          </cell>
        </row>
        <row r="3911">
          <cell r="AV3911">
            <v>365</v>
          </cell>
          <cell r="AX3911">
            <v>366</v>
          </cell>
          <cell r="AZ3911">
            <v>0.16209999999999999</v>
          </cell>
          <cell r="BA3911">
            <v>31</v>
          </cell>
          <cell r="BB3911">
            <v>302.19093427160641</v>
          </cell>
        </row>
        <row r="3912">
          <cell r="D3912" t="str">
            <v>CO</v>
          </cell>
          <cell r="AV3912">
            <v>365</v>
          </cell>
          <cell r="AX3912">
            <v>366</v>
          </cell>
          <cell r="AZ3912">
            <v>0.16209999999999999</v>
          </cell>
          <cell r="BA3912">
            <v>31</v>
          </cell>
          <cell r="BB3912">
            <v>302.19093427160641</v>
          </cell>
        </row>
        <row r="3913">
          <cell r="D3913" t="str">
            <v>CO</v>
          </cell>
          <cell r="AV3913">
            <v>365</v>
          </cell>
          <cell r="AX3913">
            <v>366</v>
          </cell>
          <cell r="AZ3913">
            <v>0.16209999999999999</v>
          </cell>
          <cell r="BA3913">
            <v>31</v>
          </cell>
          <cell r="BB3913">
            <v>302.19093427160641</v>
          </cell>
        </row>
        <row r="3914">
          <cell r="D3914" t="str">
            <v>CO</v>
          </cell>
          <cell r="AV3914">
            <v>365</v>
          </cell>
          <cell r="AX3914">
            <v>366</v>
          </cell>
          <cell r="AZ3914">
            <v>0.16209999999999999</v>
          </cell>
          <cell r="BA3914">
            <v>31</v>
          </cell>
          <cell r="BB3914">
            <v>302.19093427160641</v>
          </cell>
        </row>
        <row r="3915">
          <cell r="D3915" t="str">
            <v>CO</v>
          </cell>
          <cell r="AV3915">
            <v>365</v>
          </cell>
          <cell r="AX3915">
            <v>366</v>
          </cell>
          <cell r="AZ3915">
            <v>0.16209999999999999</v>
          </cell>
          <cell r="BA3915">
            <v>31</v>
          </cell>
          <cell r="BB3915">
            <v>302.19093427160641</v>
          </cell>
        </row>
        <row r="3916">
          <cell r="D3916" t="str">
            <v>CO</v>
          </cell>
          <cell r="AV3916">
            <v>365</v>
          </cell>
          <cell r="AX3916">
            <v>366</v>
          </cell>
          <cell r="AZ3916">
            <v>0.16209999999999999</v>
          </cell>
          <cell r="BA3916">
            <v>31</v>
          </cell>
          <cell r="BB3916">
            <v>302.19093427160641</v>
          </cell>
        </row>
        <row r="3917">
          <cell r="D3917" t="str">
            <v>CO</v>
          </cell>
          <cell r="AV3917">
            <v>365</v>
          </cell>
          <cell r="AX3917">
            <v>366</v>
          </cell>
          <cell r="AZ3917">
            <v>0.16209999999999999</v>
          </cell>
          <cell r="BA3917">
            <v>31</v>
          </cell>
          <cell r="BB3917">
            <v>302.19093427160641</v>
          </cell>
        </row>
        <row r="3918">
          <cell r="D3918" t="str">
            <v>CO</v>
          </cell>
          <cell r="AV3918">
            <v>365</v>
          </cell>
          <cell r="AX3918">
            <v>366</v>
          </cell>
          <cell r="AZ3918">
            <v>0.16209999999999999</v>
          </cell>
          <cell r="BA3918">
            <v>31</v>
          </cell>
          <cell r="BB3918">
            <v>302.19093427160641</v>
          </cell>
        </row>
        <row r="3919">
          <cell r="D3919" t="str">
            <v>CO</v>
          </cell>
          <cell r="AV3919">
            <v>365</v>
          </cell>
          <cell r="AX3919">
            <v>366</v>
          </cell>
          <cell r="AZ3919">
            <v>0.16209999999999999</v>
          </cell>
          <cell r="BA3919">
            <v>31</v>
          </cell>
          <cell r="BB3919">
            <v>302.19093427160641</v>
          </cell>
        </row>
        <row r="3920">
          <cell r="D3920" t="str">
            <v>CO</v>
          </cell>
          <cell r="AV3920">
            <v>365</v>
          </cell>
          <cell r="AX3920">
            <v>366</v>
          </cell>
          <cell r="AZ3920">
            <v>0.16209999999999999</v>
          </cell>
          <cell r="BA3920">
            <v>31</v>
          </cell>
          <cell r="BB3920">
            <v>302.19093427160641</v>
          </cell>
        </row>
        <row r="3921">
          <cell r="D3921" t="str">
            <v>CO</v>
          </cell>
          <cell r="AV3921">
            <v>365</v>
          </cell>
          <cell r="AX3921">
            <v>366</v>
          </cell>
          <cell r="AZ3921">
            <v>0.16209999999999999</v>
          </cell>
          <cell r="BA3921">
            <v>31</v>
          </cell>
          <cell r="BB3921">
            <v>302.19093427160641</v>
          </cell>
        </row>
        <row r="3922">
          <cell r="D3922" t="str">
            <v>CO</v>
          </cell>
          <cell r="AV3922">
            <v>365</v>
          </cell>
          <cell r="AX3922">
            <v>366</v>
          </cell>
          <cell r="AZ3922">
            <v>0.16209999999999999</v>
          </cell>
          <cell r="BA3922">
            <v>31</v>
          </cell>
          <cell r="BB3922">
            <v>302.19093427160641</v>
          </cell>
        </row>
        <row r="3923">
          <cell r="D3923" t="str">
            <v>CO</v>
          </cell>
          <cell r="AV3923">
            <v>365</v>
          </cell>
          <cell r="AX3923">
            <v>366</v>
          </cell>
          <cell r="AZ3923">
            <v>0.16209999999999999</v>
          </cell>
          <cell r="BA3923">
            <v>31</v>
          </cell>
          <cell r="BB3923">
            <v>302.19093427160641</v>
          </cell>
        </row>
        <row r="3924">
          <cell r="D3924" t="str">
            <v>CO</v>
          </cell>
          <cell r="AV3924">
            <v>365</v>
          </cell>
          <cell r="AX3924">
            <v>366</v>
          </cell>
          <cell r="AZ3924">
            <v>0.16209999999999999</v>
          </cell>
          <cell r="BA3924">
            <v>31</v>
          </cell>
          <cell r="BB3924">
            <v>302.19093427160641</v>
          </cell>
        </row>
        <row r="3925">
          <cell r="D3925" t="str">
            <v>CO</v>
          </cell>
          <cell r="AV3925">
            <v>365</v>
          </cell>
          <cell r="AX3925">
            <v>366</v>
          </cell>
          <cell r="AZ3925">
            <v>0.16209999999999999</v>
          </cell>
          <cell r="BA3925">
            <v>31</v>
          </cell>
          <cell r="BB3925">
            <v>302.19093427160641</v>
          </cell>
        </row>
        <row r="3926">
          <cell r="D3926" t="str">
            <v>CO</v>
          </cell>
          <cell r="AV3926">
            <v>365</v>
          </cell>
          <cell r="AX3926">
            <v>366</v>
          </cell>
          <cell r="AZ3926">
            <v>0.16209999999999999</v>
          </cell>
          <cell r="BA3926">
            <v>31</v>
          </cell>
          <cell r="BB3926">
            <v>302.19093427160641</v>
          </cell>
        </row>
        <row r="3927">
          <cell r="D3927" t="str">
            <v>CO</v>
          </cell>
          <cell r="AV3927">
            <v>365</v>
          </cell>
          <cell r="AX3927">
            <v>366</v>
          </cell>
          <cell r="AZ3927">
            <v>0.16209999999999999</v>
          </cell>
          <cell r="BA3927">
            <v>31</v>
          </cell>
          <cell r="BB3927">
            <v>302.19093427160641</v>
          </cell>
        </row>
        <row r="3928">
          <cell r="D3928" t="str">
            <v>CO</v>
          </cell>
          <cell r="AV3928">
            <v>365</v>
          </cell>
          <cell r="AX3928">
            <v>366</v>
          </cell>
          <cell r="AZ3928">
            <v>0.16209999999999999</v>
          </cell>
          <cell r="BA3928">
            <v>31</v>
          </cell>
          <cell r="BB3928">
            <v>302.19093427160641</v>
          </cell>
        </row>
        <row r="3929">
          <cell r="D3929" t="str">
            <v>CO</v>
          </cell>
          <cell r="AV3929">
            <v>365</v>
          </cell>
          <cell r="AX3929">
            <v>366</v>
          </cell>
          <cell r="AZ3929">
            <v>0.16209999999999999</v>
          </cell>
          <cell r="BA3929">
            <v>31</v>
          </cell>
          <cell r="BB3929">
            <v>302.19093427160641</v>
          </cell>
        </row>
        <row r="3930">
          <cell r="AV3930">
            <v>365</v>
          </cell>
          <cell r="AX3930">
            <v>366</v>
          </cell>
          <cell r="AZ3930">
            <v>0.16209999999999999</v>
          </cell>
          <cell r="BA3930">
            <v>175</v>
          </cell>
          <cell r="BB3930">
            <v>151.55239726027395</v>
          </cell>
        </row>
        <row r="3931">
          <cell r="E3931" t="str">
            <v>GF</v>
          </cell>
          <cell r="AV3931">
            <v>365</v>
          </cell>
          <cell r="AX3931">
            <v>71</v>
          </cell>
        </row>
        <row r="3932">
          <cell r="E3932" t="str">
            <v>FF</v>
          </cell>
          <cell r="AV3932">
            <v>365</v>
          </cell>
          <cell r="AX3932">
            <v>71</v>
          </cell>
        </row>
        <row r="3933">
          <cell r="AV3933">
            <v>365</v>
          </cell>
          <cell r="AX3933">
            <v>69</v>
          </cell>
        </row>
        <row r="3934">
          <cell r="E3934" t="str">
            <v>GF</v>
          </cell>
          <cell r="AV3934">
            <v>365</v>
          </cell>
          <cell r="AX3934">
            <v>336</v>
          </cell>
        </row>
        <row r="3935">
          <cell r="AV3935">
            <v>365</v>
          </cell>
          <cell r="AX3935">
            <v>129</v>
          </cell>
        </row>
        <row r="3936">
          <cell r="AV3936">
            <v>365</v>
          </cell>
          <cell r="AX3936">
            <v>129</v>
          </cell>
        </row>
        <row r="3937">
          <cell r="AV3937">
            <v>365</v>
          </cell>
          <cell r="AX3937">
            <v>129</v>
          </cell>
        </row>
        <row r="3938">
          <cell r="AV3938">
            <v>365</v>
          </cell>
          <cell r="AX3938">
            <v>129</v>
          </cell>
        </row>
        <row r="3939">
          <cell r="AV3939">
            <v>365</v>
          </cell>
          <cell r="AX3939">
            <v>129</v>
          </cell>
        </row>
        <row r="3940">
          <cell r="AV3940">
            <v>365</v>
          </cell>
          <cell r="AX3940">
            <v>129</v>
          </cell>
        </row>
        <row r="3941">
          <cell r="AV3941">
            <v>365</v>
          </cell>
          <cell r="AX3941">
            <v>129</v>
          </cell>
        </row>
        <row r="3942">
          <cell r="AV3942">
            <v>365</v>
          </cell>
          <cell r="AX3942">
            <v>129</v>
          </cell>
        </row>
        <row r="3943">
          <cell r="AV3943">
            <v>365</v>
          </cell>
          <cell r="AX3943">
            <v>129</v>
          </cell>
        </row>
        <row r="3944">
          <cell r="AV3944">
            <v>365</v>
          </cell>
          <cell r="AX3944">
            <v>129</v>
          </cell>
        </row>
        <row r="3945">
          <cell r="AV3945">
            <v>365</v>
          </cell>
          <cell r="AX3945">
            <v>129</v>
          </cell>
        </row>
        <row r="3946">
          <cell r="AV3946">
            <v>365</v>
          </cell>
          <cell r="AX3946">
            <v>129</v>
          </cell>
        </row>
        <row r="3947">
          <cell r="AV3947">
            <v>365</v>
          </cell>
          <cell r="AX3947">
            <v>129</v>
          </cell>
        </row>
        <row r="3948">
          <cell r="AV3948">
            <v>365</v>
          </cell>
          <cell r="AX3948">
            <v>129</v>
          </cell>
        </row>
        <row r="3949">
          <cell r="AV3949">
            <v>365</v>
          </cell>
          <cell r="AX3949">
            <v>129</v>
          </cell>
        </row>
        <row r="3950">
          <cell r="AV3950">
            <v>365</v>
          </cell>
        </row>
        <row r="3951">
          <cell r="E3951" t="str">
            <v>GF</v>
          </cell>
          <cell r="AV3951">
            <v>365</v>
          </cell>
          <cell r="AX3951">
            <v>69</v>
          </cell>
        </row>
        <row r="3952">
          <cell r="E3952" t="str">
            <v>GF</v>
          </cell>
          <cell r="AV3952">
            <v>365</v>
          </cell>
          <cell r="AX3952">
            <v>69</v>
          </cell>
        </row>
        <row r="3953">
          <cell r="E3953" t="str">
            <v>GF</v>
          </cell>
          <cell r="AV3953">
            <v>365</v>
          </cell>
          <cell r="AX3953">
            <v>69</v>
          </cell>
        </row>
        <row r="3954">
          <cell r="AV3954">
            <v>305</v>
          </cell>
        </row>
        <row r="3955">
          <cell r="AV3955">
            <v>365</v>
          </cell>
          <cell r="AX3955">
            <v>366</v>
          </cell>
        </row>
        <row r="3956">
          <cell r="E3956" t="str">
            <v>GF</v>
          </cell>
          <cell r="AV3956">
            <v>365</v>
          </cell>
          <cell r="AX3956">
            <v>262</v>
          </cell>
        </row>
        <row r="3957">
          <cell r="AV3957">
            <v>365</v>
          </cell>
          <cell r="AX3957">
            <v>1</v>
          </cell>
        </row>
        <row r="3958">
          <cell r="AV3958">
            <v>365</v>
          </cell>
          <cell r="AX3958">
            <v>1</v>
          </cell>
        </row>
        <row r="3959">
          <cell r="AV3959">
            <v>365</v>
          </cell>
          <cell r="AX3959">
            <v>366</v>
          </cell>
          <cell r="AZ3959">
            <v>0.16209999999999999</v>
          </cell>
          <cell r="BA3959">
            <v>240</v>
          </cell>
          <cell r="BB3959">
            <v>159.87945205479451</v>
          </cell>
        </row>
        <row r="3960">
          <cell r="E3960" t="str">
            <v>GF</v>
          </cell>
          <cell r="AV3960">
            <v>365</v>
          </cell>
          <cell r="AX3960">
            <v>336</v>
          </cell>
        </row>
        <row r="3961">
          <cell r="E3961" t="str">
            <v>GF</v>
          </cell>
          <cell r="AV3961">
            <v>365</v>
          </cell>
          <cell r="AX3961">
            <v>336</v>
          </cell>
        </row>
        <row r="3962">
          <cell r="E3962" t="str">
            <v>GF</v>
          </cell>
          <cell r="AV3962">
            <v>365</v>
          </cell>
          <cell r="AX3962">
            <v>336</v>
          </cell>
        </row>
        <row r="3963">
          <cell r="E3963" t="str">
            <v>GF</v>
          </cell>
          <cell r="AV3963">
            <v>365</v>
          </cell>
          <cell r="AX3963">
            <v>184</v>
          </cell>
        </row>
        <row r="3964">
          <cell r="E3964" t="str">
            <v>GF</v>
          </cell>
          <cell r="AV3964">
            <v>365</v>
          </cell>
          <cell r="AX3964">
            <v>184</v>
          </cell>
        </row>
        <row r="3965">
          <cell r="E3965" t="str">
            <v>GF</v>
          </cell>
          <cell r="AV3965">
            <v>365</v>
          </cell>
          <cell r="AX3965">
            <v>184</v>
          </cell>
        </row>
        <row r="3966">
          <cell r="E3966" t="str">
            <v>GF</v>
          </cell>
          <cell r="AV3966">
            <v>365</v>
          </cell>
          <cell r="AX3966">
            <v>184</v>
          </cell>
        </row>
        <row r="3967">
          <cell r="E3967" t="str">
            <v>GF</v>
          </cell>
          <cell r="AV3967">
            <v>365</v>
          </cell>
          <cell r="AX3967">
            <v>184</v>
          </cell>
        </row>
        <row r="3968">
          <cell r="E3968" t="str">
            <v>GF</v>
          </cell>
          <cell r="AV3968">
            <v>365</v>
          </cell>
          <cell r="AX3968">
            <v>184</v>
          </cell>
        </row>
        <row r="3969">
          <cell r="E3969" t="str">
            <v>GF</v>
          </cell>
          <cell r="AV3969">
            <v>365</v>
          </cell>
          <cell r="AX3969">
            <v>184</v>
          </cell>
        </row>
        <row r="3970">
          <cell r="E3970" t="str">
            <v>GF</v>
          </cell>
          <cell r="AV3970">
            <v>365</v>
          </cell>
          <cell r="AX3970">
            <v>184</v>
          </cell>
        </row>
        <row r="3971">
          <cell r="E3971" t="str">
            <v>GF</v>
          </cell>
          <cell r="AV3971">
            <v>365</v>
          </cell>
          <cell r="AX3971">
            <v>184</v>
          </cell>
        </row>
        <row r="3972">
          <cell r="E3972" t="str">
            <v>GF</v>
          </cell>
          <cell r="AV3972">
            <v>365</v>
          </cell>
          <cell r="AX3972">
            <v>184</v>
          </cell>
        </row>
        <row r="3973">
          <cell r="E3973" t="str">
            <v>GF</v>
          </cell>
          <cell r="AV3973">
            <v>365</v>
          </cell>
          <cell r="AX3973">
            <v>336</v>
          </cell>
        </row>
        <row r="3974">
          <cell r="AV3974">
            <v>365</v>
          </cell>
          <cell r="AX3974">
            <v>366</v>
          </cell>
          <cell r="AZ3974">
            <v>0.16209999999999999</v>
          </cell>
          <cell r="BA3974">
            <v>270</v>
          </cell>
          <cell r="BB3974">
            <v>173.86890410958904</v>
          </cell>
        </row>
        <row r="3975">
          <cell r="AV3975">
            <v>198</v>
          </cell>
        </row>
        <row r="3976">
          <cell r="AV3976">
            <v>198</v>
          </cell>
        </row>
        <row r="3977">
          <cell r="AV3977">
            <v>198</v>
          </cell>
        </row>
        <row r="3978">
          <cell r="AV3978">
            <v>198</v>
          </cell>
        </row>
        <row r="3979">
          <cell r="AV3979">
            <v>198</v>
          </cell>
        </row>
        <row r="3980">
          <cell r="AV3980">
            <v>198</v>
          </cell>
        </row>
        <row r="3981">
          <cell r="AV3981">
            <v>198</v>
          </cell>
        </row>
        <row r="3982">
          <cell r="AV3982">
            <v>198</v>
          </cell>
        </row>
        <row r="3983">
          <cell r="AV3983">
            <v>198</v>
          </cell>
        </row>
        <row r="3984">
          <cell r="AV3984">
            <v>198</v>
          </cell>
        </row>
        <row r="3985">
          <cell r="E3985" t="str">
            <v>FF</v>
          </cell>
          <cell r="AV3985">
            <v>365</v>
          </cell>
          <cell r="AX3985">
            <v>336</v>
          </cell>
        </row>
        <row r="3986">
          <cell r="E3986" t="str">
            <v>GF</v>
          </cell>
          <cell r="AV3986">
            <v>365</v>
          </cell>
          <cell r="AX3986">
            <v>336</v>
          </cell>
        </row>
        <row r="3987">
          <cell r="AV3987">
            <v>365</v>
          </cell>
          <cell r="AX3987">
            <v>317</v>
          </cell>
        </row>
        <row r="3988">
          <cell r="AV3988">
            <v>365</v>
          </cell>
          <cell r="AX3988">
            <v>130</v>
          </cell>
        </row>
        <row r="3989">
          <cell r="E3989" t="str">
            <v>1A Pharm</v>
          </cell>
          <cell r="AV3989">
            <v>365</v>
          </cell>
          <cell r="AX3989">
            <v>33</v>
          </cell>
        </row>
        <row r="3990">
          <cell r="AV3990">
            <v>365</v>
          </cell>
          <cell r="AX3990">
            <v>336</v>
          </cell>
        </row>
        <row r="3991">
          <cell r="AV3991">
            <v>365</v>
          </cell>
          <cell r="AX3991">
            <v>336</v>
          </cell>
        </row>
        <row r="3992">
          <cell r="AV3992">
            <v>365</v>
          </cell>
          <cell r="AX3992">
            <v>336</v>
          </cell>
        </row>
        <row r="3993">
          <cell r="AV3993">
            <v>365</v>
          </cell>
          <cell r="AX3993">
            <v>336</v>
          </cell>
        </row>
        <row r="3994">
          <cell r="AV3994">
            <v>365</v>
          </cell>
          <cell r="AX3994">
            <v>336</v>
          </cell>
        </row>
        <row r="3995">
          <cell r="AV3995">
            <v>365</v>
          </cell>
          <cell r="AX3995">
            <v>336</v>
          </cell>
        </row>
        <row r="3996">
          <cell r="AV3996">
            <v>365</v>
          </cell>
          <cell r="AX3996">
            <v>336</v>
          </cell>
        </row>
        <row r="3997">
          <cell r="AV3997">
            <v>365</v>
          </cell>
          <cell r="AX3997">
            <v>336</v>
          </cell>
        </row>
        <row r="3998">
          <cell r="AV3998">
            <v>365</v>
          </cell>
          <cell r="AX3998">
            <v>336</v>
          </cell>
        </row>
        <row r="3999">
          <cell r="AV3999">
            <v>365</v>
          </cell>
          <cell r="AX3999">
            <v>336</v>
          </cell>
        </row>
        <row r="4000">
          <cell r="AV4000">
            <v>365</v>
          </cell>
          <cell r="AX4000">
            <v>336</v>
          </cell>
        </row>
        <row r="4001">
          <cell r="AV4001">
            <v>365</v>
          </cell>
          <cell r="AX4001">
            <v>336</v>
          </cell>
        </row>
        <row r="4002">
          <cell r="AV4002">
            <v>365</v>
          </cell>
          <cell r="AX4002">
            <v>336</v>
          </cell>
        </row>
        <row r="4003">
          <cell r="AV4003">
            <v>365</v>
          </cell>
          <cell r="AX4003">
            <v>336</v>
          </cell>
        </row>
        <row r="4004">
          <cell r="AV4004">
            <v>365</v>
          </cell>
          <cell r="AX4004">
            <v>336</v>
          </cell>
        </row>
        <row r="4005">
          <cell r="AV4005">
            <v>365</v>
          </cell>
          <cell r="AX4005">
            <v>336</v>
          </cell>
        </row>
        <row r="4006">
          <cell r="AV4006">
            <v>365</v>
          </cell>
          <cell r="AX4006">
            <v>336</v>
          </cell>
        </row>
        <row r="4007">
          <cell r="AV4007">
            <v>365</v>
          </cell>
          <cell r="AX4007">
            <v>336</v>
          </cell>
        </row>
        <row r="4008">
          <cell r="AV4008">
            <v>365</v>
          </cell>
          <cell r="AX4008">
            <v>336</v>
          </cell>
        </row>
        <row r="4009">
          <cell r="AV4009">
            <v>365</v>
          </cell>
          <cell r="AX4009">
            <v>336</v>
          </cell>
        </row>
        <row r="4010">
          <cell r="AV4010">
            <v>365</v>
          </cell>
          <cell r="AX4010">
            <v>336</v>
          </cell>
        </row>
        <row r="4011">
          <cell r="AV4011">
            <v>365</v>
          </cell>
          <cell r="AX4011">
            <v>336</v>
          </cell>
        </row>
        <row r="4012">
          <cell r="AV4012">
            <v>365</v>
          </cell>
          <cell r="AX4012">
            <v>336</v>
          </cell>
        </row>
        <row r="4013">
          <cell r="AV4013">
            <v>365</v>
          </cell>
          <cell r="AX4013">
            <v>336</v>
          </cell>
        </row>
        <row r="4014">
          <cell r="AV4014">
            <v>365</v>
          </cell>
          <cell r="AX4014">
            <v>336</v>
          </cell>
        </row>
        <row r="4015">
          <cell r="AV4015">
            <v>365</v>
          </cell>
          <cell r="AX4015">
            <v>336</v>
          </cell>
        </row>
        <row r="4016">
          <cell r="AV4016">
            <v>365</v>
          </cell>
          <cell r="AX4016">
            <v>366</v>
          </cell>
          <cell r="AZ4016">
            <v>0.16209999999999999</v>
          </cell>
          <cell r="BA4016">
            <v>184</v>
          </cell>
          <cell r="BB4016">
            <v>96.425073972602746</v>
          </cell>
        </row>
        <row r="4017">
          <cell r="E4017" t="str">
            <v>1A Inter</v>
          </cell>
          <cell r="AV4017">
            <v>365</v>
          </cell>
          <cell r="AX4017">
            <v>129</v>
          </cell>
        </row>
        <row r="4018">
          <cell r="AV4018">
            <v>365</v>
          </cell>
          <cell r="AX4018">
            <v>307</v>
          </cell>
        </row>
        <row r="4019">
          <cell r="AV4019">
            <v>365</v>
          </cell>
          <cell r="AX4019">
            <v>366</v>
          </cell>
          <cell r="AZ4019">
            <v>0.16209999999999999</v>
          </cell>
          <cell r="BA4019">
            <v>147</v>
          </cell>
          <cell r="BB4019">
            <v>62.019904109589042</v>
          </cell>
        </row>
        <row r="4020">
          <cell r="AV4020">
            <v>365</v>
          </cell>
          <cell r="AX4020">
            <v>366</v>
          </cell>
          <cell r="AZ4020">
            <v>6.3299999999999995E-2</v>
          </cell>
          <cell r="BA4020">
            <v>122</v>
          </cell>
          <cell r="BB4020">
            <v>38745.532510684934</v>
          </cell>
        </row>
        <row r="4021">
          <cell r="AV4021">
            <v>365</v>
          </cell>
          <cell r="AX4021">
            <v>366</v>
          </cell>
          <cell r="AZ4021">
            <v>6.3299999999999995E-2</v>
          </cell>
          <cell r="BA4021">
            <v>122</v>
          </cell>
          <cell r="BB4021">
            <v>64575.894570410957</v>
          </cell>
        </row>
        <row r="4022">
          <cell r="AV4022">
            <v>365</v>
          </cell>
          <cell r="AX4022">
            <v>366</v>
          </cell>
          <cell r="AZ4022">
            <v>6.3299999999999995E-2</v>
          </cell>
          <cell r="BA4022">
            <v>122</v>
          </cell>
          <cell r="BB4022">
            <v>116236.618689863</v>
          </cell>
        </row>
        <row r="4023">
          <cell r="AV4023">
            <v>365</v>
          </cell>
          <cell r="AX4023">
            <v>366</v>
          </cell>
          <cell r="AZ4023">
            <v>6.3299999999999995E-2</v>
          </cell>
          <cell r="BA4023">
            <v>122</v>
          </cell>
          <cell r="BB4023">
            <v>576.25406465753417</v>
          </cell>
        </row>
        <row r="4024">
          <cell r="AV4024">
            <v>365</v>
          </cell>
          <cell r="AX4024">
            <v>366</v>
          </cell>
          <cell r="AZ4024">
            <v>6.3299999999999995E-2</v>
          </cell>
          <cell r="BA4024">
            <v>122</v>
          </cell>
          <cell r="BB4024">
            <v>23747.523945205478</v>
          </cell>
        </row>
        <row r="4025">
          <cell r="AV4025">
            <v>365</v>
          </cell>
          <cell r="AX4025">
            <v>276</v>
          </cell>
        </row>
        <row r="4026">
          <cell r="E4026" t="str">
            <v>oncology</v>
          </cell>
          <cell r="AV4026">
            <v>365</v>
          </cell>
          <cell r="AX4026">
            <v>113</v>
          </cell>
        </row>
        <row r="4027">
          <cell r="E4027" t="str">
            <v>oncology</v>
          </cell>
          <cell r="AV4027">
            <v>365</v>
          </cell>
          <cell r="AX4027">
            <v>113</v>
          </cell>
        </row>
        <row r="4028">
          <cell r="E4028" t="str">
            <v>oncology</v>
          </cell>
          <cell r="AV4028">
            <v>365</v>
          </cell>
          <cell r="AX4028">
            <v>113</v>
          </cell>
        </row>
        <row r="4029">
          <cell r="E4029" t="str">
            <v>oncology</v>
          </cell>
          <cell r="AV4029">
            <v>365</v>
          </cell>
          <cell r="AX4029">
            <v>113</v>
          </cell>
        </row>
        <row r="4030">
          <cell r="E4030" t="str">
            <v>oncology</v>
          </cell>
          <cell r="AV4030">
            <v>365</v>
          </cell>
          <cell r="AX4030">
            <v>113</v>
          </cell>
        </row>
        <row r="4031">
          <cell r="E4031" t="str">
            <v>oncology</v>
          </cell>
          <cell r="AV4031">
            <v>365</v>
          </cell>
          <cell r="AX4031">
            <v>113</v>
          </cell>
        </row>
        <row r="4032">
          <cell r="E4032" t="str">
            <v>oncology</v>
          </cell>
          <cell r="AV4032">
            <v>365</v>
          </cell>
          <cell r="AX4032">
            <v>113</v>
          </cell>
        </row>
        <row r="4033">
          <cell r="E4033" t="str">
            <v>oncology</v>
          </cell>
          <cell r="AV4033">
            <v>365</v>
          </cell>
          <cell r="AX4033">
            <v>113</v>
          </cell>
        </row>
        <row r="4034">
          <cell r="E4034" t="str">
            <v>oncology</v>
          </cell>
          <cell r="AV4034">
            <v>365</v>
          </cell>
          <cell r="AX4034">
            <v>113</v>
          </cell>
        </row>
        <row r="4035">
          <cell r="E4035" t="str">
            <v>oncology</v>
          </cell>
          <cell r="AV4035">
            <v>365</v>
          </cell>
          <cell r="AX4035">
            <v>113</v>
          </cell>
        </row>
        <row r="4036">
          <cell r="E4036" t="str">
            <v>oncology</v>
          </cell>
          <cell r="AV4036">
            <v>365</v>
          </cell>
          <cell r="AX4036">
            <v>113</v>
          </cell>
        </row>
        <row r="4037">
          <cell r="E4037" t="str">
            <v>oncology</v>
          </cell>
          <cell r="AV4037">
            <v>365</v>
          </cell>
          <cell r="AX4037">
            <v>113</v>
          </cell>
        </row>
        <row r="4038">
          <cell r="E4038" t="str">
            <v>oncology</v>
          </cell>
          <cell r="AV4038">
            <v>365</v>
          </cell>
          <cell r="AX4038">
            <v>113</v>
          </cell>
        </row>
        <row r="4039">
          <cell r="E4039" t="str">
            <v>oncology</v>
          </cell>
          <cell r="AV4039">
            <v>365</v>
          </cell>
          <cell r="AX4039">
            <v>113</v>
          </cell>
        </row>
        <row r="4040">
          <cell r="E4040" t="str">
            <v>oncology</v>
          </cell>
          <cell r="AV4040">
            <v>365</v>
          </cell>
          <cell r="AX4040">
            <v>113</v>
          </cell>
        </row>
        <row r="4041">
          <cell r="E4041" t="str">
            <v>oncology</v>
          </cell>
          <cell r="AV4041">
            <v>365</v>
          </cell>
          <cell r="AX4041">
            <v>113</v>
          </cell>
        </row>
        <row r="4042">
          <cell r="E4042" t="str">
            <v>oncology</v>
          </cell>
          <cell r="AV4042">
            <v>365</v>
          </cell>
          <cell r="AX4042">
            <v>113</v>
          </cell>
        </row>
        <row r="4043">
          <cell r="E4043" t="str">
            <v>oncology</v>
          </cell>
          <cell r="AV4043">
            <v>365</v>
          </cell>
          <cell r="AX4043">
            <v>113</v>
          </cell>
        </row>
        <row r="4044">
          <cell r="E4044" t="str">
            <v>oncology</v>
          </cell>
          <cell r="AV4044">
            <v>365</v>
          </cell>
          <cell r="AX4044">
            <v>113</v>
          </cell>
        </row>
        <row r="4045">
          <cell r="AV4045">
            <v>198</v>
          </cell>
        </row>
        <row r="4046">
          <cell r="AV4046">
            <v>365</v>
          </cell>
          <cell r="AX4046">
            <v>366</v>
          </cell>
        </row>
        <row r="4047">
          <cell r="AV4047">
            <v>365</v>
          </cell>
          <cell r="AX4047">
            <v>366</v>
          </cell>
        </row>
        <row r="4048">
          <cell r="AV4048">
            <v>365</v>
          </cell>
          <cell r="AX4048">
            <v>366</v>
          </cell>
        </row>
        <row r="4049">
          <cell r="AV4049">
            <v>365</v>
          </cell>
          <cell r="AX4049">
            <v>366</v>
          </cell>
        </row>
        <row r="4050">
          <cell r="AV4050">
            <v>365</v>
          </cell>
          <cell r="AX4050">
            <v>366</v>
          </cell>
        </row>
        <row r="4051">
          <cell r="AV4051">
            <v>365</v>
          </cell>
          <cell r="AX4051">
            <v>366</v>
          </cell>
        </row>
        <row r="4052">
          <cell r="AV4052">
            <v>365</v>
          </cell>
          <cell r="AX4052">
            <v>366</v>
          </cell>
        </row>
        <row r="4053">
          <cell r="AV4053">
            <v>365</v>
          </cell>
          <cell r="AX4053">
            <v>366</v>
          </cell>
          <cell r="AZ4053">
            <v>0.16209999999999999</v>
          </cell>
          <cell r="BA4053">
            <v>268</v>
          </cell>
          <cell r="BB4053">
            <v>70.222608219178085</v>
          </cell>
        </row>
        <row r="4054">
          <cell r="E4054" t="str">
            <v>GF</v>
          </cell>
          <cell r="AV4054">
            <v>365</v>
          </cell>
          <cell r="AX4054">
            <v>71</v>
          </cell>
        </row>
        <row r="4055">
          <cell r="E4055" t="str">
            <v>GF</v>
          </cell>
          <cell r="AV4055">
            <v>365</v>
          </cell>
          <cell r="AX4055">
            <v>71</v>
          </cell>
        </row>
        <row r="4056">
          <cell r="E4056" t="str">
            <v>GF</v>
          </cell>
          <cell r="AV4056">
            <v>365</v>
          </cell>
          <cell r="AX4056">
            <v>71</v>
          </cell>
        </row>
        <row r="4057">
          <cell r="E4057" t="str">
            <v>GF</v>
          </cell>
          <cell r="AV4057">
            <v>365</v>
          </cell>
          <cell r="AX4057">
            <v>71</v>
          </cell>
        </row>
        <row r="4058">
          <cell r="E4058" t="str">
            <v>GF</v>
          </cell>
          <cell r="AV4058">
            <v>365</v>
          </cell>
          <cell r="AX4058">
            <v>71</v>
          </cell>
        </row>
        <row r="4059">
          <cell r="E4059" t="str">
            <v>GF</v>
          </cell>
          <cell r="AV4059">
            <v>365</v>
          </cell>
          <cell r="AX4059">
            <v>71</v>
          </cell>
        </row>
        <row r="4060">
          <cell r="E4060" t="str">
            <v>GF</v>
          </cell>
          <cell r="AV4060">
            <v>365</v>
          </cell>
          <cell r="AX4060">
            <v>71</v>
          </cell>
        </row>
        <row r="4061">
          <cell r="E4061" t="str">
            <v>GF</v>
          </cell>
          <cell r="AV4061">
            <v>365</v>
          </cell>
          <cell r="AX4061">
            <v>71</v>
          </cell>
        </row>
        <row r="4062">
          <cell r="E4062" t="str">
            <v>GF</v>
          </cell>
          <cell r="AV4062">
            <v>365</v>
          </cell>
          <cell r="AX4062">
            <v>71</v>
          </cell>
        </row>
        <row r="4063">
          <cell r="E4063" t="str">
            <v>GF</v>
          </cell>
          <cell r="AV4063">
            <v>365</v>
          </cell>
          <cell r="AX4063">
            <v>71</v>
          </cell>
        </row>
        <row r="4064">
          <cell r="E4064" t="str">
            <v>GF</v>
          </cell>
          <cell r="AV4064">
            <v>365</v>
          </cell>
          <cell r="AX4064">
            <v>71</v>
          </cell>
        </row>
        <row r="4065">
          <cell r="E4065" t="str">
            <v>GF</v>
          </cell>
          <cell r="AV4065">
            <v>365</v>
          </cell>
          <cell r="AX4065">
            <v>71</v>
          </cell>
        </row>
        <row r="4066">
          <cell r="E4066" t="str">
            <v>GF</v>
          </cell>
          <cell r="AV4066">
            <v>365</v>
          </cell>
          <cell r="AX4066">
            <v>71</v>
          </cell>
        </row>
        <row r="4067">
          <cell r="AV4067">
            <v>365</v>
          </cell>
          <cell r="AX4067">
            <v>366</v>
          </cell>
          <cell r="AZ4067">
            <v>0.16209999999999999</v>
          </cell>
          <cell r="BA4067">
            <v>212</v>
          </cell>
          <cell r="BB4067">
            <v>47.075616438356164</v>
          </cell>
        </row>
        <row r="4068">
          <cell r="E4068" t="str">
            <v>GF</v>
          </cell>
          <cell r="AV4068">
            <v>365</v>
          </cell>
          <cell r="AX4068">
            <v>336</v>
          </cell>
        </row>
        <row r="4069">
          <cell r="AV4069">
            <v>365</v>
          </cell>
          <cell r="AX4069">
            <v>50</v>
          </cell>
        </row>
        <row r="4070">
          <cell r="AV4070">
            <v>365</v>
          </cell>
          <cell r="AX4070">
            <v>50</v>
          </cell>
        </row>
        <row r="4071">
          <cell r="AV4071">
            <v>365</v>
          </cell>
          <cell r="AX4071">
            <v>50</v>
          </cell>
        </row>
        <row r="4072">
          <cell r="AV4072">
            <v>365</v>
          </cell>
          <cell r="AX4072">
            <v>50</v>
          </cell>
        </row>
        <row r="4073">
          <cell r="AV4073">
            <v>365</v>
          </cell>
          <cell r="AX4073">
            <v>50</v>
          </cell>
        </row>
        <row r="4074">
          <cell r="AV4074">
            <v>365</v>
          </cell>
          <cell r="AX4074">
            <v>50</v>
          </cell>
        </row>
        <row r="4075">
          <cell r="AV4075">
            <v>365</v>
          </cell>
          <cell r="AX4075">
            <v>50</v>
          </cell>
        </row>
        <row r="4076">
          <cell r="AV4076">
            <v>365</v>
          </cell>
          <cell r="AX4076">
            <v>50</v>
          </cell>
        </row>
        <row r="4077">
          <cell r="AV4077">
            <v>365</v>
          </cell>
          <cell r="AX4077">
            <v>50</v>
          </cell>
        </row>
        <row r="4078">
          <cell r="AV4078">
            <v>365</v>
          </cell>
          <cell r="AX4078">
            <v>50</v>
          </cell>
        </row>
        <row r="4079">
          <cell r="AV4079">
            <v>365</v>
          </cell>
          <cell r="AX4079">
            <v>50</v>
          </cell>
        </row>
        <row r="4080">
          <cell r="AV4080">
            <v>365</v>
          </cell>
          <cell r="AX4080">
            <v>50</v>
          </cell>
        </row>
        <row r="4081">
          <cell r="AV4081">
            <v>365</v>
          </cell>
          <cell r="AX4081">
            <v>50</v>
          </cell>
        </row>
        <row r="4082">
          <cell r="AV4082">
            <v>365</v>
          </cell>
          <cell r="AX4082">
            <v>50</v>
          </cell>
        </row>
        <row r="4083">
          <cell r="AV4083">
            <v>365</v>
          </cell>
          <cell r="AX4083">
            <v>50</v>
          </cell>
        </row>
        <row r="4084">
          <cell r="AV4084">
            <v>365</v>
          </cell>
          <cell r="AX4084">
            <v>50</v>
          </cell>
        </row>
        <row r="4085">
          <cell r="AV4085">
            <v>365</v>
          </cell>
          <cell r="AX4085">
            <v>50</v>
          </cell>
        </row>
        <row r="4086">
          <cell r="AV4086">
            <v>365</v>
          </cell>
          <cell r="AX4086">
            <v>50</v>
          </cell>
        </row>
        <row r="4087">
          <cell r="AV4087">
            <v>365</v>
          </cell>
          <cell r="AX4087">
            <v>50</v>
          </cell>
        </row>
        <row r="4088">
          <cell r="AV4088">
            <v>365</v>
          </cell>
          <cell r="AX4088">
            <v>50</v>
          </cell>
        </row>
        <row r="4089">
          <cell r="AV4089">
            <v>365</v>
          </cell>
          <cell r="AX4089">
            <v>50</v>
          </cell>
        </row>
        <row r="4090">
          <cell r="AV4090">
            <v>365</v>
          </cell>
          <cell r="AX4090">
            <v>50</v>
          </cell>
        </row>
        <row r="4091">
          <cell r="AV4091">
            <v>365</v>
          </cell>
          <cell r="AX4091">
            <v>50</v>
          </cell>
        </row>
        <row r="4092">
          <cell r="AV4092">
            <v>365</v>
          </cell>
          <cell r="AX4092">
            <v>50</v>
          </cell>
        </row>
        <row r="4093">
          <cell r="AV4093">
            <v>365</v>
          </cell>
          <cell r="AX4093">
            <v>50</v>
          </cell>
        </row>
        <row r="4094">
          <cell r="AV4094">
            <v>365</v>
          </cell>
          <cell r="AX4094">
            <v>50</v>
          </cell>
        </row>
        <row r="4095">
          <cell r="AV4095">
            <v>365</v>
          </cell>
          <cell r="AX4095">
            <v>50</v>
          </cell>
        </row>
        <row r="4096">
          <cell r="AV4096">
            <v>365</v>
          </cell>
          <cell r="AX4096">
            <v>50</v>
          </cell>
        </row>
        <row r="4097">
          <cell r="AV4097">
            <v>365</v>
          </cell>
          <cell r="AX4097">
            <v>50</v>
          </cell>
        </row>
        <row r="4098">
          <cell r="AV4098">
            <v>365</v>
          </cell>
          <cell r="AX4098">
            <v>50</v>
          </cell>
        </row>
        <row r="4099">
          <cell r="AV4099">
            <v>365</v>
          </cell>
          <cell r="AX4099">
            <v>50</v>
          </cell>
        </row>
        <row r="4100">
          <cell r="AV4100">
            <v>365</v>
          </cell>
          <cell r="AX4100">
            <v>50</v>
          </cell>
        </row>
        <row r="4101">
          <cell r="AV4101">
            <v>365</v>
          </cell>
          <cell r="AX4101">
            <v>50</v>
          </cell>
        </row>
        <row r="4102">
          <cell r="AV4102">
            <v>365</v>
          </cell>
          <cell r="AX4102">
            <v>50</v>
          </cell>
        </row>
        <row r="4103">
          <cell r="AV4103">
            <v>365</v>
          </cell>
          <cell r="AX4103">
            <v>50</v>
          </cell>
        </row>
        <row r="4104">
          <cell r="AV4104">
            <v>365</v>
          </cell>
          <cell r="AX4104">
            <v>50</v>
          </cell>
        </row>
        <row r="4105">
          <cell r="AV4105">
            <v>365</v>
          </cell>
          <cell r="AX4105">
            <v>50</v>
          </cell>
        </row>
        <row r="4106">
          <cell r="AV4106">
            <v>365</v>
          </cell>
          <cell r="AX4106">
            <v>50</v>
          </cell>
        </row>
        <row r="4107">
          <cell r="AV4107">
            <v>365</v>
          </cell>
          <cell r="AX4107">
            <v>50</v>
          </cell>
        </row>
        <row r="4108">
          <cell r="AV4108">
            <v>365</v>
          </cell>
          <cell r="AX4108">
            <v>50</v>
          </cell>
        </row>
        <row r="4109">
          <cell r="AV4109">
            <v>365</v>
          </cell>
          <cell r="AX4109">
            <v>50</v>
          </cell>
        </row>
        <row r="4110">
          <cell r="AV4110">
            <v>365</v>
          </cell>
          <cell r="AX4110">
            <v>50</v>
          </cell>
        </row>
        <row r="4111">
          <cell r="AV4111">
            <v>365</v>
          </cell>
          <cell r="AX4111">
            <v>50</v>
          </cell>
        </row>
        <row r="4112">
          <cell r="AV4112">
            <v>365</v>
          </cell>
          <cell r="AX4112">
            <v>50</v>
          </cell>
        </row>
        <row r="4113">
          <cell r="AV4113">
            <v>365</v>
          </cell>
          <cell r="AX4113">
            <v>50</v>
          </cell>
        </row>
        <row r="4114">
          <cell r="AV4114">
            <v>365</v>
          </cell>
          <cell r="AX4114">
            <v>50</v>
          </cell>
        </row>
        <row r="4115">
          <cell r="AV4115">
            <v>365</v>
          </cell>
          <cell r="AX4115">
            <v>50</v>
          </cell>
        </row>
        <row r="4116">
          <cell r="AV4116">
            <v>365</v>
          </cell>
          <cell r="AX4116">
            <v>50</v>
          </cell>
        </row>
        <row r="4117">
          <cell r="AV4117">
            <v>365</v>
          </cell>
          <cell r="AX4117">
            <v>50</v>
          </cell>
        </row>
        <row r="4118">
          <cell r="AV4118">
            <v>365</v>
          </cell>
          <cell r="AX4118">
            <v>50</v>
          </cell>
        </row>
        <row r="4119">
          <cell r="AV4119">
            <v>365</v>
          </cell>
          <cell r="AX4119">
            <v>50</v>
          </cell>
        </row>
        <row r="4120">
          <cell r="AV4120">
            <v>365</v>
          </cell>
          <cell r="AX4120">
            <v>50</v>
          </cell>
        </row>
        <row r="4121">
          <cell r="AV4121">
            <v>365</v>
          </cell>
          <cell r="AX4121">
            <v>50</v>
          </cell>
        </row>
        <row r="4122">
          <cell r="AV4122">
            <v>365</v>
          </cell>
          <cell r="AX4122">
            <v>50</v>
          </cell>
        </row>
        <row r="4123">
          <cell r="AV4123">
            <v>365</v>
          </cell>
          <cell r="AX4123">
            <v>50</v>
          </cell>
        </row>
        <row r="4124">
          <cell r="AV4124">
            <v>365</v>
          </cell>
          <cell r="AX4124">
            <v>50</v>
          </cell>
        </row>
        <row r="4125">
          <cell r="AV4125">
            <v>365</v>
          </cell>
          <cell r="AX4125">
            <v>50</v>
          </cell>
        </row>
        <row r="4126">
          <cell r="AV4126">
            <v>365</v>
          </cell>
          <cell r="AX4126">
            <v>50</v>
          </cell>
        </row>
        <row r="4127">
          <cell r="AV4127">
            <v>365</v>
          </cell>
          <cell r="AX4127">
            <v>50</v>
          </cell>
        </row>
        <row r="4128">
          <cell r="AV4128">
            <v>365</v>
          </cell>
          <cell r="AX4128">
            <v>50</v>
          </cell>
        </row>
        <row r="4129">
          <cell r="AV4129">
            <v>365</v>
          </cell>
          <cell r="AX4129">
            <v>50</v>
          </cell>
        </row>
        <row r="4130">
          <cell r="AV4130">
            <v>365</v>
          </cell>
          <cell r="AX4130">
            <v>50</v>
          </cell>
        </row>
        <row r="4131">
          <cell r="AV4131">
            <v>365</v>
          </cell>
          <cell r="AX4131">
            <v>50</v>
          </cell>
        </row>
        <row r="4132">
          <cell r="AV4132">
            <v>365</v>
          </cell>
          <cell r="AX4132">
            <v>336</v>
          </cell>
        </row>
        <row r="4133">
          <cell r="AV4133">
            <v>365</v>
          </cell>
          <cell r="AX4133">
            <v>366</v>
          </cell>
        </row>
        <row r="4134">
          <cell r="AV4134">
            <v>365</v>
          </cell>
          <cell r="AX4134">
            <v>366</v>
          </cell>
        </row>
        <row r="4135">
          <cell r="D4135" t="str">
            <v>Sold</v>
          </cell>
        </row>
        <row r="4136">
          <cell r="D4136" t="str">
            <v>Sold</v>
          </cell>
          <cell r="AV4136">
            <v>330</v>
          </cell>
        </row>
        <row r="4137">
          <cell r="D4137" t="str">
            <v>CO</v>
          </cell>
          <cell r="AV4137">
            <v>330</v>
          </cell>
        </row>
        <row r="4138">
          <cell r="D4138" t="str">
            <v>R&amp;D</v>
          </cell>
          <cell r="AV4138">
            <v>330</v>
          </cell>
        </row>
        <row r="4139">
          <cell r="AV4139">
            <v>293</v>
          </cell>
        </row>
        <row r="4140">
          <cell r="D4140" t="str">
            <v>R&amp;D</v>
          </cell>
          <cell r="AV4140">
            <v>330</v>
          </cell>
        </row>
        <row r="4141">
          <cell r="D4141" t="str">
            <v>R&amp;D</v>
          </cell>
          <cell r="AV4141">
            <v>352</v>
          </cell>
        </row>
        <row r="4142">
          <cell r="AV4142">
            <v>365</v>
          </cell>
          <cell r="BJ4142" t="str">
            <v>PROVISION</v>
          </cell>
        </row>
        <row r="4143">
          <cell r="AV4143">
            <v>335</v>
          </cell>
        </row>
        <row r="4144">
          <cell r="AV4144">
            <v>198</v>
          </cell>
        </row>
        <row r="4145">
          <cell r="AV4145">
            <v>198</v>
          </cell>
        </row>
        <row r="4146">
          <cell r="AV4146">
            <v>305</v>
          </cell>
        </row>
        <row r="4147">
          <cell r="AV4147">
            <v>365</v>
          </cell>
          <cell r="AX4147">
            <v>1</v>
          </cell>
        </row>
        <row r="4148">
          <cell r="AV4148">
            <v>289</v>
          </cell>
        </row>
        <row r="4149">
          <cell r="AV4149">
            <v>305</v>
          </cell>
        </row>
        <row r="4150">
          <cell r="AV4150">
            <v>252</v>
          </cell>
        </row>
        <row r="4151">
          <cell r="AV4151">
            <v>305</v>
          </cell>
        </row>
        <row r="4152">
          <cell r="AV4152">
            <v>305</v>
          </cell>
        </row>
        <row r="4153">
          <cell r="AV4153">
            <v>305</v>
          </cell>
        </row>
        <row r="4154">
          <cell r="AV4154">
            <v>305</v>
          </cell>
        </row>
        <row r="4155">
          <cell r="AV4155">
            <v>305</v>
          </cell>
        </row>
        <row r="4156">
          <cell r="AV4156">
            <v>198</v>
          </cell>
        </row>
        <row r="4157">
          <cell r="AV4157">
            <v>289</v>
          </cell>
        </row>
        <row r="4158">
          <cell r="AV4158">
            <v>305</v>
          </cell>
        </row>
        <row r="4159">
          <cell r="E4159" t="str">
            <v>Intermediate</v>
          </cell>
          <cell r="AV4159">
            <v>335</v>
          </cell>
        </row>
        <row r="4160">
          <cell r="AV4160">
            <v>289</v>
          </cell>
        </row>
        <row r="4161">
          <cell r="AV4161">
            <v>198</v>
          </cell>
        </row>
        <row r="4162">
          <cell r="AV4162">
            <v>330</v>
          </cell>
        </row>
        <row r="4163">
          <cell r="AV4163">
            <v>365</v>
          </cell>
        </row>
        <row r="4164">
          <cell r="AV4164">
            <v>365</v>
          </cell>
        </row>
        <row r="4165">
          <cell r="AV4165">
            <v>365</v>
          </cell>
        </row>
        <row r="4166">
          <cell r="AV4166">
            <v>365</v>
          </cell>
        </row>
        <row r="4167">
          <cell r="AV4167">
            <v>365</v>
          </cell>
        </row>
        <row r="4168">
          <cell r="AV4168">
            <v>365</v>
          </cell>
        </row>
        <row r="4169">
          <cell r="AV4169">
            <v>365</v>
          </cell>
        </row>
        <row r="4170">
          <cell r="AV4170">
            <v>365</v>
          </cell>
        </row>
        <row r="4171">
          <cell r="AV4171">
            <v>365</v>
          </cell>
        </row>
        <row r="4172">
          <cell r="AV4172">
            <v>365</v>
          </cell>
        </row>
        <row r="4173">
          <cell r="AV4173">
            <v>365</v>
          </cell>
        </row>
        <row r="4174">
          <cell r="AV4174">
            <v>365</v>
          </cell>
        </row>
        <row r="4175">
          <cell r="AV4175">
            <v>365</v>
          </cell>
        </row>
        <row r="4176">
          <cell r="AV4176">
            <v>286</v>
          </cell>
        </row>
        <row r="4177">
          <cell r="AV4177">
            <v>198</v>
          </cell>
        </row>
        <row r="4178">
          <cell r="AV4178">
            <v>305</v>
          </cell>
        </row>
        <row r="4179">
          <cell r="AV4179">
            <v>198</v>
          </cell>
        </row>
        <row r="4180">
          <cell r="AV4180">
            <v>198</v>
          </cell>
        </row>
        <row r="4181">
          <cell r="AV4181">
            <v>198</v>
          </cell>
        </row>
        <row r="4182">
          <cell r="AV4182">
            <v>198</v>
          </cell>
        </row>
        <row r="4183">
          <cell r="AV4183">
            <v>198</v>
          </cell>
        </row>
        <row r="4184">
          <cell r="AV4184">
            <v>335</v>
          </cell>
        </row>
        <row r="4185">
          <cell r="AV4185">
            <v>198</v>
          </cell>
        </row>
        <row r="4186">
          <cell r="AV4186">
            <v>364</v>
          </cell>
        </row>
        <row r="4187">
          <cell r="AV4187">
            <v>305</v>
          </cell>
        </row>
        <row r="4188">
          <cell r="AV4188">
            <v>305</v>
          </cell>
        </row>
        <row r="4189">
          <cell r="AV4189">
            <v>305</v>
          </cell>
        </row>
        <row r="4190">
          <cell r="AV4190">
            <v>198</v>
          </cell>
        </row>
        <row r="4191">
          <cell r="AV4191">
            <v>365</v>
          </cell>
        </row>
        <row r="4192">
          <cell r="AV4192">
            <v>365</v>
          </cell>
        </row>
        <row r="4193">
          <cell r="AV4193">
            <v>198</v>
          </cell>
        </row>
        <row r="4194">
          <cell r="AV4194">
            <v>198</v>
          </cell>
        </row>
        <row r="4195">
          <cell r="AV4195">
            <v>198</v>
          </cell>
        </row>
        <row r="4196">
          <cell r="AV4196">
            <v>198</v>
          </cell>
        </row>
        <row r="4197">
          <cell r="AV4197">
            <v>198</v>
          </cell>
        </row>
        <row r="4198">
          <cell r="AV4198">
            <v>198</v>
          </cell>
        </row>
        <row r="4199">
          <cell r="AV4199">
            <v>198</v>
          </cell>
        </row>
        <row r="4200">
          <cell r="AV4200">
            <v>198</v>
          </cell>
        </row>
        <row r="4201">
          <cell r="AV4201">
            <v>198</v>
          </cell>
        </row>
        <row r="4202">
          <cell r="AV4202">
            <v>289</v>
          </cell>
        </row>
        <row r="4203">
          <cell r="AV4203">
            <v>365</v>
          </cell>
        </row>
        <row r="4204">
          <cell r="AV4204">
            <v>365</v>
          </cell>
        </row>
        <row r="4205">
          <cell r="AV4205">
            <v>335</v>
          </cell>
        </row>
        <row r="4206">
          <cell r="AV4206">
            <v>289</v>
          </cell>
        </row>
        <row r="4207">
          <cell r="AV4207">
            <v>335</v>
          </cell>
        </row>
        <row r="4208">
          <cell r="AV4208">
            <v>198</v>
          </cell>
        </row>
        <row r="4209">
          <cell r="AV4209">
            <v>335</v>
          </cell>
        </row>
        <row r="4210">
          <cell r="AV4210">
            <v>322</v>
          </cell>
        </row>
        <row r="4211">
          <cell r="AV4211">
            <v>289</v>
          </cell>
        </row>
        <row r="4212">
          <cell r="AV4212">
            <v>198</v>
          </cell>
        </row>
        <row r="4213">
          <cell r="AV4213">
            <v>289</v>
          </cell>
        </row>
        <row r="4214">
          <cell r="AV4214">
            <v>353</v>
          </cell>
        </row>
        <row r="4215">
          <cell r="AV4215">
            <v>198</v>
          </cell>
        </row>
        <row r="4216">
          <cell r="AV4216">
            <v>365</v>
          </cell>
        </row>
        <row r="4217">
          <cell r="AV4217">
            <v>317</v>
          </cell>
        </row>
        <row r="4218">
          <cell r="AV4218">
            <v>198</v>
          </cell>
        </row>
        <row r="4219">
          <cell r="AV4219">
            <v>198</v>
          </cell>
        </row>
        <row r="4220">
          <cell r="AV4220">
            <v>305</v>
          </cell>
        </row>
        <row r="4221">
          <cell r="AV4221">
            <v>305</v>
          </cell>
        </row>
        <row r="4222">
          <cell r="AV4222">
            <v>305</v>
          </cell>
        </row>
        <row r="4223">
          <cell r="AV4223">
            <v>305</v>
          </cell>
        </row>
        <row r="4224">
          <cell r="AV4224">
            <v>305</v>
          </cell>
        </row>
        <row r="4225">
          <cell r="AV4225">
            <v>305</v>
          </cell>
        </row>
        <row r="4226">
          <cell r="AV4226">
            <v>198</v>
          </cell>
        </row>
        <row r="4227">
          <cell r="E4227" t="str">
            <v>GF</v>
          </cell>
          <cell r="AV4227">
            <v>198</v>
          </cell>
        </row>
        <row r="4228">
          <cell r="AV4228">
            <v>198</v>
          </cell>
        </row>
        <row r="4229">
          <cell r="AV4229">
            <v>365</v>
          </cell>
        </row>
        <row r="4230">
          <cell r="AV4230">
            <v>295</v>
          </cell>
        </row>
        <row r="4231">
          <cell r="AV4231">
            <v>198</v>
          </cell>
        </row>
        <row r="4232">
          <cell r="AV4232">
            <v>361</v>
          </cell>
        </row>
        <row r="4233">
          <cell r="AV4233">
            <v>335</v>
          </cell>
        </row>
        <row r="4234">
          <cell r="AV4234">
            <v>312</v>
          </cell>
        </row>
        <row r="4235">
          <cell r="AV4235">
            <v>283</v>
          </cell>
        </row>
        <row r="4236">
          <cell r="AV4236">
            <v>289</v>
          </cell>
        </row>
        <row r="4237">
          <cell r="AV4237">
            <v>289</v>
          </cell>
        </row>
        <row r="4238">
          <cell r="AV4238">
            <v>198</v>
          </cell>
        </row>
        <row r="4239">
          <cell r="AV4239">
            <v>335</v>
          </cell>
        </row>
        <row r="4240">
          <cell r="AV4240">
            <v>305</v>
          </cell>
        </row>
        <row r="4241">
          <cell r="AV4241">
            <v>198</v>
          </cell>
        </row>
        <row r="4242">
          <cell r="AV4242">
            <v>198</v>
          </cell>
        </row>
        <row r="4243">
          <cell r="AV4243">
            <v>289</v>
          </cell>
        </row>
        <row r="4244">
          <cell r="AV4244">
            <v>343</v>
          </cell>
        </row>
        <row r="4245">
          <cell r="AV4245">
            <v>289</v>
          </cell>
        </row>
        <row r="4246">
          <cell r="AV4246">
            <v>365</v>
          </cell>
        </row>
        <row r="4247">
          <cell r="AV4247">
            <v>198</v>
          </cell>
        </row>
        <row r="4248">
          <cell r="AV4248">
            <v>209</v>
          </cell>
        </row>
        <row r="4249">
          <cell r="D4249" t="str">
            <v>SRV</v>
          </cell>
          <cell r="E4249" t="str">
            <v>UTILITY</v>
          </cell>
          <cell r="AV4249">
            <v>198</v>
          </cell>
        </row>
        <row r="4250">
          <cell r="D4250" t="str">
            <v>SRV</v>
          </cell>
          <cell r="E4250" t="str">
            <v>UTILITY</v>
          </cell>
          <cell r="AV4250">
            <v>198</v>
          </cell>
        </row>
        <row r="4251">
          <cell r="AV4251">
            <v>332</v>
          </cell>
        </row>
        <row r="4252">
          <cell r="AV4252">
            <v>332</v>
          </cell>
        </row>
        <row r="4253">
          <cell r="AV4253">
            <v>289</v>
          </cell>
        </row>
        <row r="4254">
          <cell r="AV4254">
            <v>305</v>
          </cell>
        </row>
        <row r="4255">
          <cell r="AV4255">
            <v>365</v>
          </cell>
        </row>
        <row r="4256">
          <cell r="AV4256">
            <v>305</v>
          </cell>
        </row>
        <row r="4257">
          <cell r="AV4257">
            <v>344</v>
          </cell>
        </row>
        <row r="4258">
          <cell r="AV4258">
            <v>305</v>
          </cell>
        </row>
        <row r="4259">
          <cell r="AV4259">
            <v>342</v>
          </cell>
        </row>
        <row r="4260">
          <cell r="AV4260">
            <v>305</v>
          </cell>
        </row>
        <row r="4261">
          <cell r="AV4261">
            <v>321</v>
          </cell>
        </row>
        <row r="4262">
          <cell r="AV4262">
            <v>289</v>
          </cell>
        </row>
        <row r="4263">
          <cell r="AV4263">
            <v>305</v>
          </cell>
        </row>
        <row r="4264">
          <cell r="AV4264">
            <v>198</v>
          </cell>
        </row>
        <row r="4265">
          <cell r="AV4265">
            <v>335</v>
          </cell>
        </row>
        <row r="4266">
          <cell r="AV4266">
            <v>365</v>
          </cell>
        </row>
        <row r="4267">
          <cell r="AV4267">
            <v>305</v>
          </cell>
        </row>
        <row r="4268">
          <cell r="AV4268">
            <v>290</v>
          </cell>
        </row>
        <row r="4269">
          <cell r="AV4269">
            <v>327</v>
          </cell>
        </row>
        <row r="4270">
          <cell r="AV4270">
            <v>335</v>
          </cell>
        </row>
        <row r="4271">
          <cell r="AV4271">
            <v>354</v>
          </cell>
        </row>
        <row r="4272">
          <cell r="AV4272">
            <v>198</v>
          </cell>
        </row>
        <row r="4273">
          <cell r="AV4273">
            <v>292</v>
          </cell>
        </row>
        <row r="4274">
          <cell r="AV4274">
            <v>275</v>
          </cell>
        </row>
        <row r="4275">
          <cell r="AV4275">
            <v>275</v>
          </cell>
        </row>
        <row r="4276">
          <cell r="AV4276">
            <v>275</v>
          </cell>
        </row>
        <row r="4277">
          <cell r="AV4277">
            <v>364</v>
          </cell>
        </row>
        <row r="4278">
          <cell r="AV4278">
            <v>305</v>
          </cell>
        </row>
        <row r="4279">
          <cell r="AV4279">
            <v>198</v>
          </cell>
        </row>
        <row r="4280">
          <cell r="AV4280">
            <v>198</v>
          </cell>
        </row>
        <row r="4281">
          <cell r="AV4281">
            <v>342</v>
          </cell>
        </row>
        <row r="4282">
          <cell r="AV4282">
            <v>329</v>
          </cell>
        </row>
        <row r="4283">
          <cell r="AV4283">
            <v>198</v>
          </cell>
        </row>
        <row r="4284">
          <cell r="AV4284">
            <v>364</v>
          </cell>
        </row>
        <row r="4285">
          <cell r="AV4285">
            <v>305</v>
          </cell>
        </row>
        <row r="4286">
          <cell r="AV4286">
            <v>363</v>
          </cell>
        </row>
        <row r="4287">
          <cell r="AV4287">
            <v>362</v>
          </cell>
        </row>
        <row r="4288">
          <cell r="AV4288">
            <v>205</v>
          </cell>
        </row>
        <row r="4289">
          <cell r="AV4289">
            <v>335</v>
          </cell>
        </row>
        <row r="4290">
          <cell r="AV4290">
            <v>289</v>
          </cell>
        </row>
        <row r="4291">
          <cell r="AV4291">
            <v>289</v>
          </cell>
        </row>
        <row r="4292">
          <cell r="AV4292">
            <v>350</v>
          </cell>
        </row>
        <row r="4293">
          <cell r="AV4293">
            <v>335</v>
          </cell>
        </row>
        <row r="4294">
          <cell r="AV4294">
            <v>348</v>
          </cell>
        </row>
        <row r="4295">
          <cell r="AV4295">
            <v>198</v>
          </cell>
        </row>
        <row r="4296">
          <cell r="AV4296">
            <v>198</v>
          </cell>
        </row>
        <row r="4297">
          <cell r="AV4297">
            <v>198</v>
          </cell>
        </row>
        <row r="4298">
          <cell r="AV4298">
            <v>305</v>
          </cell>
        </row>
        <row r="4299">
          <cell r="AV4299">
            <v>344</v>
          </cell>
        </row>
        <row r="4300">
          <cell r="AV4300">
            <v>305</v>
          </cell>
        </row>
        <row r="4301">
          <cell r="AV4301">
            <v>198</v>
          </cell>
        </row>
        <row r="4302">
          <cell r="AV4302">
            <v>365</v>
          </cell>
        </row>
        <row r="4303">
          <cell r="AV4303">
            <v>198</v>
          </cell>
        </row>
        <row r="4304">
          <cell r="AV4304">
            <v>289</v>
          </cell>
        </row>
        <row r="4305">
          <cell r="AV4305">
            <v>365</v>
          </cell>
        </row>
        <row r="4306">
          <cell r="AV4306">
            <v>289</v>
          </cell>
        </row>
        <row r="4307">
          <cell r="AV4307">
            <v>348</v>
          </cell>
        </row>
        <row r="4308">
          <cell r="AV4308">
            <v>365</v>
          </cell>
        </row>
        <row r="4309">
          <cell r="AV4309">
            <v>364</v>
          </cell>
        </row>
        <row r="4310">
          <cell r="AV4310">
            <v>364</v>
          </cell>
        </row>
        <row r="4311">
          <cell r="AV4311">
            <v>275</v>
          </cell>
        </row>
        <row r="4312">
          <cell r="AV4312">
            <v>335</v>
          </cell>
        </row>
        <row r="4313">
          <cell r="AV4313">
            <v>289</v>
          </cell>
        </row>
        <row r="4314">
          <cell r="AV4314">
            <v>293</v>
          </cell>
        </row>
        <row r="4315">
          <cell r="AV4315">
            <v>289</v>
          </cell>
        </row>
        <row r="4316">
          <cell r="AV4316">
            <v>244</v>
          </cell>
        </row>
        <row r="4317">
          <cell r="D4317" t="str">
            <v>GC-IB</v>
          </cell>
          <cell r="E4317" t="str">
            <v>Pharma</v>
          </cell>
          <cell r="AV4317">
            <v>289</v>
          </cell>
        </row>
        <row r="4318">
          <cell r="AV4318">
            <v>365</v>
          </cell>
        </row>
        <row r="4319">
          <cell r="AV4319">
            <v>344</v>
          </cell>
        </row>
        <row r="4320">
          <cell r="AV4320">
            <v>335</v>
          </cell>
        </row>
        <row r="4321">
          <cell r="AV4321">
            <v>198</v>
          </cell>
        </row>
        <row r="4322">
          <cell r="D4322" t="str">
            <v>SRV</v>
          </cell>
          <cell r="AV4322">
            <v>198</v>
          </cell>
        </row>
        <row r="4323">
          <cell r="D4323" t="str">
            <v>SRV</v>
          </cell>
          <cell r="AV4323">
            <v>198</v>
          </cell>
        </row>
        <row r="4324">
          <cell r="AV4324">
            <v>335</v>
          </cell>
        </row>
        <row r="4325">
          <cell r="AV4325">
            <v>346</v>
          </cell>
        </row>
        <row r="4326">
          <cell r="AV4326">
            <v>346</v>
          </cell>
        </row>
        <row r="4327">
          <cell r="AV4327">
            <v>346</v>
          </cell>
        </row>
        <row r="4328">
          <cell r="AV4328">
            <v>346</v>
          </cell>
        </row>
        <row r="4329">
          <cell r="AV4329">
            <v>346</v>
          </cell>
        </row>
        <row r="4330">
          <cell r="AV4330">
            <v>198</v>
          </cell>
        </row>
        <row r="4331">
          <cell r="AV4331">
            <v>322</v>
          </cell>
        </row>
        <row r="4332">
          <cell r="AV4332">
            <v>322</v>
          </cell>
        </row>
        <row r="4333">
          <cell r="AV4333">
            <v>322</v>
          </cell>
        </row>
        <row r="4334">
          <cell r="AV4334">
            <v>322</v>
          </cell>
        </row>
        <row r="4335">
          <cell r="AV4335">
            <v>322</v>
          </cell>
        </row>
        <row r="4336">
          <cell r="AV4336">
            <v>322</v>
          </cell>
        </row>
        <row r="4337">
          <cell r="AV4337">
            <v>364</v>
          </cell>
        </row>
        <row r="4338">
          <cell r="AV4338">
            <v>364</v>
          </cell>
        </row>
        <row r="4339">
          <cell r="AV4339">
            <v>364</v>
          </cell>
        </row>
        <row r="4340">
          <cell r="AV4340">
            <v>364</v>
          </cell>
        </row>
        <row r="4341">
          <cell r="AV4341">
            <v>364</v>
          </cell>
        </row>
        <row r="4342">
          <cell r="AV4342">
            <v>364</v>
          </cell>
        </row>
        <row r="4343">
          <cell r="AV4343">
            <v>305</v>
          </cell>
        </row>
        <row r="4344">
          <cell r="AV4344">
            <v>364</v>
          </cell>
        </row>
        <row r="4345">
          <cell r="AV4345">
            <v>315</v>
          </cell>
        </row>
        <row r="4346">
          <cell r="AV4346">
            <v>315</v>
          </cell>
        </row>
        <row r="4347">
          <cell r="AV4347">
            <v>324</v>
          </cell>
        </row>
        <row r="4348">
          <cell r="AV4348">
            <v>305</v>
          </cell>
        </row>
        <row r="4349">
          <cell r="AV4349">
            <v>198</v>
          </cell>
        </row>
        <row r="4350">
          <cell r="AV4350">
            <v>364</v>
          </cell>
        </row>
        <row r="4351">
          <cell r="AV4351">
            <v>364</v>
          </cell>
        </row>
        <row r="4352">
          <cell r="AV4352">
            <v>364</v>
          </cell>
        </row>
        <row r="4353">
          <cell r="AV4353">
            <v>364</v>
          </cell>
        </row>
        <row r="4354">
          <cell r="AV4354">
            <v>364</v>
          </cell>
        </row>
        <row r="4355">
          <cell r="AV4355">
            <v>364</v>
          </cell>
        </row>
        <row r="4356">
          <cell r="AV4356">
            <v>364</v>
          </cell>
        </row>
        <row r="4357">
          <cell r="AV4357">
            <v>364</v>
          </cell>
        </row>
        <row r="4358">
          <cell r="AV4358">
            <v>364</v>
          </cell>
        </row>
        <row r="4359">
          <cell r="AV4359">
            <v>364</v>
          </cell>
        </row>
        <row r="4360">
          <cell r="AV4360">
            <v>364</v>
          </cell>
        </row>
        <row r="4361">
          <cell r="AV4361">
            <v>364</v>
          </cell>
        </row>
        <row r="4362">
          <cell r="AV4362">
            <v>364</v>
          </cell>
        </row>
        <row r="4363">
          <cell r="AV4363">
            <v>364</v>
          </cell>
        </row>
        <row r="4364">
          <cell r="AV4364">
            <v>364</v>
          </cell>
        </row>
        <row r="4365">
          <cell r="AV4365">
            <v>364</v>
          </cell>
        </row>
        <row r="4366">
          <cell r="AV4366">
            <v>364</v>
          </cell>
        </row>
        <row r="4367">
          <cell r="AV4367">
            <v>364</v>
          </cell>
        </row>
        <row r="4368">
          <cell r="AV4368">
            <v>364</v>
          </cell>
        </row>
        <row r="4369">
          <cell r="AV4369">
            <v>364</v>
          </cell>
        </row>
        <row r="4370">
          <cell r="AV4370">
            <v>364</v>
          </cell>
        </row>
        <row r="4371">
          <cell r="AV4371">
            <v>364</v>
          </cell>
        </row>
        <row r="4372">
          <cell r="AV4372">
            <v>364</v>
          </cell>
        </row>
        <row r="4373">
          <cell r="AV4373">
            <v>364</v>
          </cell>
        </row>
        <row r="4374">
          <cell r="AV4374">
            <v>364</v>
          </cell>
        </row>
        <row r="4375">
          <cell r="AV4375">
            <v>198</v>
          </cell>
        </row>
        <row r="4376">
          <cell r="AV4376">
            <v>274</v>
          </cell>
        </row>
        <row r="4377">
          <cell r="BJ4377" t="str">
            <v>PROVISION</v>
          </cell>
        </row>
        <row r="4378">
          <cell r="AV4378">
            <v>357</v>
          </cell>
        </row>
        <row r="4379">
          <cell r="AV4379">
            <v>357</v>
          </cell>
        </row>
        <row r="4380">
          <cell r="AV4380">
            <v>357</v>
          </cell>
        </row>
        <row r="4381">
          <cell r="AV4381">
            <v>250</v>
          </cell>
        </row>
        <row r="4382">
          <cell r="AV4382">
            <v>335</v>
          </cell>
        </row>
        <row r="4383">
          <cell r="AV4383">
            <v>250</v>
          </cell>
        </row>
        <row r="4384">
          <cell r="AV4384">
            <v>250</v>
          </cell>
        </row>
        <row r="4385">
          <cell r="AV4385">
            <v>250</v>
          </cell>
        </row>
        <row r="4386">
          <cell r="AV4386">
            <v>250</v>
          </cell>
        </row>
        <row r="4387">
          <cell r="AV4387">
            <v>250</v>
          </cell>
        </row>
        <row r="4388">
          <cell r="AV4388">
            <v>250</v>
          </cell>
        </row>
        <row r="4389">
          <cell r="AV4389">
            <v>250</v>
          </cell>
        </row>
        <row r="4390">
          <cell r="AV4390">
            <v>250</v>
          </cell>
        </row>
        <row r="4391">
          <cell r="D4391" t="str">
            <v>QC</v>
          </cell>
          <cell r="AV4391">
            <v>250</v>
          </cell>
        </row>
        <row r="4392">
          <cell r="AV4392">
            <v>250</v>
          </cell>
        </row>
        <row r="4393">
          <cell r="AV4393">
            <v>250</v>
          </cell>
        </row>
        <row r="4394">
          <cell r="AV4394">
            <v>250</v>
          </cell>
        </row>
        <row r="4395">
          <cell r="AV4395">
            <v>250</v>
          </cell>
        </row>
        <row r="4396">
          <cell r="AV4396">
            <v>217</v>
          </cell>
        </row>
        <row r="4397">
          <cell r="AV4397">
            <v>250</v>
          </cell>
        </row>
        <row r="4398">
          <cell r="AV4398">
            <v>250</v>
          </cell>
        </row>
        <row r="4399">
          <cell r="AV4399">
            <v>365</v>
          </cell>
        </row>
        <row r="4400">
          <cell r="AV4400">
            <v>336</v>
          </cell>
        </row>
        <row r="4401">
          <cell r="AV4401">
            <v>336</v>
          </cell>
        </row>
        <row r="4402">
          <cell r="AV4402">
            <v>336</v>
          </cell>
        </row>
        <row r="4403">
          <cell r="AV4403">
            <v>250</v>
          </cell>
        </row>
        <row r="4404">
          <cell r="AV4404">
            <v>250</v>
          </cell>
        </row>
        <row r="4405">
          <cell r="AV4405">
            <v>250</v>
          </cell>
        </row>
        <row r="4406">
          <cell r="D4406" t="str">
            <v>Oncology</v>
          </cell>
          <cell r="AV4406">
            <v>250</v>
          </cell>
        </row>
        <row r="4407">
          <cell r="AV4407">
            <v>250</v>
          </cell>
        </row>
        <row r="4408">
          <cell r="AV4408">
            <v>250</v>
          </cell>
        </row>
        <row r="4409">
          <cell r="AV4409">
            <v>324</v>
          </cell>
        </row>
        <row r="4410">
          <cell r="AV4410">
            <v>363</v>
          </cell>
        </row>
        <row r="4411">
          <cell r="AV4411">
            <v>347</v>
          </cell>
        </row>
        <row r="4412">
          <cell r="AV4412">
            <v>250</v>
          </cell>
        </row>
        <row r="4413">
          <cell r="AV4413">
            <v>250</v>
          </cell>
        </row>
        <row r="4414">
          <cell r="AV4414">
            <v>250</v>
          </cell>
        </row>
        <row r="4415">
          <cell r="AV4415">
            <v>250</v>
          </cell>
        </row>
        <row r="4416">
          <cell r="AV4416">
            <v>250</v>
          </cell>
        </row>
        <row r="4417">
          <cell r="AV4417">
            <v>250</v>
          </cell>
        </row>
        <row r="4418">
          <cell r="AV4418">
            <v>250</v>
          </cell>
        </row>
        <row r="4419">
          <cell r="AV4419">
            <v>295</v>
          </cell>
        </row>
        <row r="4420">
          <cell r="AV4420">
            <v>250</v>
          </cell>
        </row>
        <row r="4421">
          <cell r="AV4421">
            <v>250</v>
          </cell>
        </row>
        <row r="4422">
          <cell r="AV4422">
            <v>250</v>
          </cell>
        </row>
        <row r="4423">
          <cell r="AV4423">
            <v>250</v>
          </cell>
        </row>
        <row r="4424">
          <cell r="AV4424">
            <v>300</v>
          </cell>
        </row>
        <row r="4425">
          <cell r="AV4425">
            <v>250</v>
          </cell>
        </row>
        <row r="4426">
          <cell r="AV4426">
            <v>341</v>
          </cell>
        </row>
        <row r="4427">
          <cell r="AV4427">
            <v>250</v>
          </cell>
        </row>
        <row r="4428">
          <cell r="AV4428">
            <v>300</v>
          </cell>
        </row>
        <row r="4429">
          <cell r="AV4429">
            <v>250</v>
          </cell>
        </row>
        <row r="4430">
          <cell r="AV4430">
            <v>358</v>
          </cell>
        </row>
        <row r="4431">
          <cell r="D4431" t="str">
            <v>Oncology</v>
          </cell>
          <cell r="AV4431">
            <v>250</v>
          </cell>
        </row>
        <row r="4432">
          <cell r="AV4432">
            <v>250</v>
          </cell>
        </row>
        <row r="4433">
          <cell r="AV4433">
            <v>250</v>
          </cell>
        </row>
        <row r="4434">
          <cell r="AV4434">
            <v>250</v>
          </cell>
        </row>
        <row r="4435">
          <cell r="AV4435">
            <v>313</v>
          </cell>
        </row>
        <row r="4436">
          <cell r="AV4436">
            <v>250</v>
          </cell>
        </row>
        <row r="4437">
          <cell r="AV4437">
            <v>336</v>
          </cell>
        </row>
        <row r="4438">
          <cell r="AV4438">
            <v>341</v>
          </cell>
        </row>
        <row r="4439">
          <cell r="AV4439">
            <v>250</v>
          </cell>
        </row>
        <row r="4440">
          <cell r="AV4440">
            <v>250</v>
          </cell>
        </row>
        <row r="4441">
          <cell r="AV4441">
            <v>250</v>
          </cell>
        </row>
        <row r="4442">
          <cell r="AV4442">
            <v>250</v>
          </cell>
        </row>
        <row r="4443">
          <cell r="AV4443">
            <v>250</v>
          </cell>
        </row>
        <row r="4444">
          <cell r="AV4444">
            <v>250</v>
          </cell>
        </row>
        <row r="4445">
          <cell r="AV4445">
            <v>250</v>
          </cell>
        </row>
        <row r="4446">
          <cell r="AV4446">
            <v>343</v>
          </cell>
        </row>
        <row r="4447">
          <cell r="AV4447">
            <v>250</v>
          </cell>
        </row>
        <row r="4448">
          <cell r="AV4448">
            <v>250</v>
          </cell>
        </row>
        <row r="4449">
          <cell r="AV4449">
            <v>250</v>
          </cell>
        </row>
        <row r="4450">
          <cell r="E4450" t="str">
            <v>Intermediate</v>
          </cell>
          <cell r="AV4450">
            <v>335</v>
          </cell>
        </row>
        <row r="4451">
          <cell r="D4451" t="str">
            <v>GC- IC</v>
          </cell>
          <cell r="E4451" t="str">
            <v>Intermediate</v>
          </cell>
          <cell r="AV4451">
            <v>335</v>
          </cell>
        </row>
        <row r="4452">
          <cell r="AV4452">
            <v>250</v>
          </cell>
        </row>
        <row r="4453">
          <cell r="AV4453">
            <v>250</v>
          </cell>
        </row>
        <row r="4454">
          <cell r="D4454" t="str">
            <v>Oncology</v>
          </cell>
          <cell r="AV4454">
            <v>250</v>
          </cell>
        </row>
        <row r="4455">
          <cell r="AV4455">
            <v>250</v>
          </cell>
        </row>
        <row r="4456">
          <cell r="AV4456">
            <v>250</v>
          </cell>
        </row>
        <row r="4457">
          <cell r="AV4457">
            <v>250</v>
          </cell>
        </row>
        <row r="4458">
          <cell r="AV4458">
            <v>250</v>
          </cell>
        </row>
        <row r="4459">
          <cell r="AV4459">
            <v>250</v>
          </cell>
        </row>
        <row r="4460">
          <cell r="AV4460">
            <v>250</v>
          </cell>
        </row>
        <row r="4461">
          <cell r="AV4461">
            <v>329</v>
          </cell>
        </row>
        <row r="4462">
          <cell r="AV4462">
            <v>232</v>
          </cell>
        </row>
        <row r="4463">
          <cell r="AV4463">
            <v>250</v>
          </cell>
        </row>
        <row r="4464">
          <cell r="AV4464">
            <v>250</v>
          </cell>
        </row>
        <row r="4465">
          <cell r="AV4465">
            <v>250</v>
          </cell>
        </row>
        <row r="4466">
          <cell r="E4466" t="str">
            <v>GF</v>
          </cell>
          <cell r="AV4466">
            <v>250</v>
          </cell>
        </row>
        <row r="4467">
          <cell r="D4467" t="str">
            <v>Oncology</v>
          </cell>
          <cell r="AV4467">
            <v>250</v>
          </cell>
        </row>
        <row r="4468">
          <cell r="AV4468">
            <v>324</v>
          </cell>
        </row>
        <row r="4469">
          <cell r="AV4469">
            <v>250</v>
          </cell>
        </row>
        <row r="4470">
          <cell r="AV4470">
            <v>250</v>
          </cell>
        </row>
        <row r="4471">
          <cell r="AV4471">
            <v>250</v>
          </cell>
        </row>
        <row r="4472">
          <cell r="AV4472">
            <v>250</v>
          </cell>
        </row>
        <row r="4473">
          <cell r="AV4473">
            <v>250</v>
          </cell>
        </row>
        <row r="4474">
          <cell r="AV4474">
            <v>250</v>
          </cell>
        </row>
        <row r="4475">
          <cell r="AV4475">
            <v>250</v>
          </cell>
        </row>
        <row r="4476">
          <cell r="AV4476">
            <v>295</v>
          </cell>
        </row>
        <row r="4477">
          <cell r="AV4477">
            <v>250</v>
          </cell>
        </row>
        <row r="4478">
          <cell r="AV4478">
            <v>250</v>
          </cell>
        </row>
        <row r="4479">
          <cell r="AV4479">
            <v>250</v>
          </cell>
        </row>
        <row r="4480">
          <cell r="AV4480">
            <v>250</v>
          </cell>
        </row>
        <row r="4481">
          <cell r="AV4481">
            <v>250</v>
          </cell>
        </row>
        <row r="4482">
          <cell r="AV4482">
            <v>250</v>
          </cell>
        </row>
        <row r="4483">
          <cell r="AV4483">
            <v>250</v>
          </cell>
        </row>
        <row r="4484">
          <cell r="AV4484">
            <v>250</v>
          </cell>
        </row>
        <row r="4485">
          <cell r="AV4485">
            <v>331</v>
          </cell>
        </row>
        <row r="4486">
          <cell r="AV4486">
            <v>250</v>
          </cell>
        </row>
        <row r="4487">
          <cell r="AV4487">
            <v>250</v>
          </cell>
        </row>
        <row r="4488">
          <cell r="AV4488">
            <v>295</v>
          </cell>
        </row>
        <row r="4489">
          <cell r="AV4489">
            <v>217</v>
          </cell>
        </row>
        <row r="4490">
          <cell r="AV4490">
            <v>365</v>
          </cell>
        </row>
        <row r="4491">
          <cell r="AV4491">
            <v>250</v>
          </cell>
        </row>
        <row r="4492">
          <cell r="AV4492">
            <v>250</v>
          </cell>
        </row>
        <row r="4493">
          <cell r="AV4493">
            <v>250</v>
          </cell>
        </row>
        <row r="4494">
          <cell r="D4494" t="str">
            <v>Oncology</v>
          </cell>
          <cell r="AV4494">
            <v>250</v>
          </cell>
        </row>
        <row r="4495">
          <cell r="AV4495">
            <v>250</v>
          </cell>
        </row>
        <row r="4496">
          <cell r="AV4496">
            <v>250</v>
          </cell>
        </row>
        <row r="4497">
          <cell r="AV4497">
            <v>261</v>
          </cell>
        </row>
        <row r="4498">
          <cell r="AV4498">
            <v>250</v>
          </cell>
        </row>
        <row r="4499">
          <cell r="AV4499">
            <v>265</v>
          </cell>
        </row>
        <row r="4500">
          <cell r="AV4500">
            <v>250</v>
          </cell>
        </row>
        <row r="4501">
          <cell r="AV4501">
            <v>310</v>
          </cell>
        </row>
        <row r="4502">
          <cell r="AV4502">
            <v>250</v>
          </cell>
        </row>
        <row r="4503">
          <cell r="AV4503">
            <v>250</v>
          </cell>
        </row>
        <row r="4504">
          <cell r="AV4504">
            <v>250</v>
          </cell>
        </row>
        <row r="4505">
          <cell r="AV4505">
            <v>250</v>
          </cell>
        </row>
        <row r="4506">
          <cell r="AV4506">
            <v>250</v>
          </cell>
        </row>
        <row r="4507">
          <cell r="AV4507">
            <v>250</v>
          </cell>
        </row>
        <row r="4508">
          <cell r="AV4508">
            <v>250</v>
          </cell>
        </row>
        <row r="4509">
          <cell r="AV4509">
            <v>205</v>
          </cell>
        </row>
        <row r="4510">
          <cell r="AV4510">
            <v>365</v>
          </cell>
        </row>
        <row r="4511">
          <cell r="AV4511">
            <v>314</v>
          </cell>
        </row>
        <row r="4512">
          <cell r="AV4512">
            <v>250</v>
          </cell>
        </row>
        <row r="4513">
          <cell r="AV4513">
            <v>250</v>
          </cell>
        </row>
        <row r="4514">
          <cell r="AV4514">
            <v>315</v>
          </cell>
        </row>
        <row r="4515">
          <cell r="AV4515">
            <v>250</v>
          </cell>
        </row>
        <row r="4516">
          <cell r="AV4516">
            <v>244</v>
          </cell>
        </row>
        <row r="4517">
          <cell r="AV4517">
            <v>250</v>
          </cell>
        </row>
        <row r="4518">
          <cell r="AV4518">
            <v>250</v>
          </cell>
        </row>
        <row r="4519">
          <cell r="AV4519">
            <v>250</v>
          </cell>
        </row>
        <row r="4520">
          <cell r="AV4520">
            <v>250</v>
          </cell>
        </row>
        <row r="4521">
          <cell r="AV4521">
            <v>193</v>
          </cell>
        </row>
        <row r="4522">
          <cell r="AV4522">
            <v>322</v>
          </cell>
        </row>
        <row r="4523">
          <cell r="AV4523">
            <v>246</v>
          </cell>
        </row>
        <row r="4524">
          <cell r="AV4524">
            <v>250</v>
          </cell>
        </row>
        <row r="4525">
          <cell r="AV4525">
            <v>250</v>
          </cell>
        </row>
        <row r="4526">
          <cell r="AV4526">
            <v>250</v>
          </cell>
        </row>
        <row r="4527">
          <cell r="AV4527">
            <v>250</v>
          </cell>
        </row>
        <row r="4528">
          <cell r="AV4528">
            <v>250</v>
          </cell>
        </row>
        <row r="4529">
          <cell r="AV4529">
            <v>198</v>
          </cell>
        </row>
        <row r="4530">
          <cell r="AV4530">
            <v>300</v>
          </cell>
        </row>
        <row r="4531">
          <cell r="AV4531">
            <v>212</v>
          </cell>
        </row>
        <row r="4532">
          <cell r="AV4532">
            <v>333</v>
          </cell>
        </row>
        <row r="4533">
          <cell r="AV4533">
            <v>335</v>
          </cell>
        </row>
        <row r="4534">
          <cell r="AV4534">
            <v>335</v>
          </cell>
        </row>
        <row r="4535">
          <cell r="AV4535">
            <v>305</v>
          </cell>
        </row>
        <row r="4536">
          <cell r="AV4536">
            <v>289</v>
          </cell>
        </row>
        <row r="4537">
          <cell r="AV4537">
            <v>335</v>
          </cell>
        </row>
        <row r="4538">
          <cell r="AV4538">
            <v>250</v>
          </cell>
        </row>
        <row r="4539">
          <cell r="AV4539">
            <v>250</v>
          </cell>
        </row>
        <row r="4540">
          <cell r="AV4540">
            <v>250</v>
          </cell>
        </row>
        <row r="4541">
          <cell r="AV4541">
            <v>202</v>
          </cell>
        </row>
        <row r="4542">
          <cell r="AV4542">
            <v>250</v>
          </cell>
        </row>
        <row r="4543">
          <cell r="AV4543">
            <v>250</v>
          </cell>
        </row>
        <row r="4544">
          <cell r="AV4544">
            <v>250</v>
          </cell>
        </row>
        <row r="4545">
          <cell r="AV4545">
            <v>250</v>
          </cell>
        </row>
        <row r="4546">
          <cell r="AV4546">
            <v>250</v>
          </cell>
        </row>
        <row r="4547">
          <cell r="AV4547">
            <v>289</v>
          </cell>
        </row>
        <row r="4548">
          <cell r="AV4548">
            <v>305</v>
          </cell>
        </row>
        <row r="4549">
          <cell r="AV4549">
            <v>305</v>
          </cell>
        </row>
        <row r="4550">
          <cell r="AV4550">
            <v>305</v>
          </cell>
        </row>
        <row r="4551">
          <cell r="AV4551">
            <v>294</v>
          </cell>
        </row>
        <row r="4552">
          <cell r="AV4552">
            <v>250</v>
          </cell>
        </row>
        <row r="4553">
          <cell r="AV4553">
            <v>362</v>
          </cell>
        </row>
        <row r="4554">
          <cell r="AV4554">
            <v>333</v>
          </cell>
        </row>
        <row r="4555">
          <cell r="AV4555">
            <v>305</v>
          </cell>
        </row>
        <row r="4556">
          <cell r="AV4556">
            <v>289</v>
          </cell>
        </row>
        <row r="4557">
          <cell r="AV4557">
            <v>250</v>
          </cell>
        </row>
        <row r="4558">
          <cell r="AV4558">
            <v>305</v>
          </cell>
        </row>
        <row r="4559">
          <cell r="D4559" t="str">
            <v>GC-IB</v>
          </cell>
          <cell r="E4559" t="str">
            <v>Pharma</v>
          </cell>
          <cell r="AV4559">
            <v>289</v>
          </cell>
        </row>
        <row r="4560">
          <cell r="AV4560">
            <v>315</v>
          </cell>
        </row>
        <row r="4561">
          <cell r="AV4561">
            <v>297</v>
          </cell>
        </row>
        <row r="4562">
          <cell r="AV4562">
            <v>305</v>
          </cell>
        </row>
        <row r="4563">
          <cell r="AV4563">
            <v>261</v>
          </cell>
        </row>
        <row r="4564">
          <cell r="AV4564">
            <v>250</v>
          </cell>
        </row>
        <row r="4565">
          <cell r="AV4565">
            <v>198</v>
          </cell>
        </row>
        <row r="4566">
          <cell r="AV4566">
            <v>289</v>
          </cell>
        </row>
        <row r="4567">
          <cell r="AV4567">
            <v>250</v>
          </cell>
        </row>
        <row r="4568">
          <cell r="AV4568">
            <v>250</v>
          </cell>
        </row>
        <row r="4569">
          <cell r="AV4569">
            <v>305</v>
          </cell>
        </row>
        <row r="4570">
          <cell r="AV4570">
            <v>250</v>
          </cell>
        </row>
        <row r="4571">
          <cell r="AV4571">
            <v>250</v>
          </cell>
        </row>
        <row r="4572">
          <cell r="AV4572">
            <v>250</v>
          </cell>
        </row>
        <row r="4573">
          <cell r="AV4573">
            <v>250</v>
          </cell>
        </row>
        <row r="4574">
          <cell r="AV4574">
            <v>250</v>
          </cell>
        </row>
        <row r="4575">
          <cell r="AV4575">
            <v>289</v>
          </cell>
        </row>
        <row r="4576">
          <cell r="AV4576">
            <v>327</v>
          </cell>
        </row>
        <row r="4577">
          <cell r="D4577" t="str">
            <v>Oncology</v>
          </cell>
          <cell r="AV4577">
            <v>250</v>
          </cell>
        </row>
        <row r="4578">
          <cell r="AV4578">
            <v>335</v>
          </cell>
        </row>
        <row r="4579">
          <cell r="E4579" t="str">
            <v>Intermediate</v>
          </cell>
          <cell r="AV4579">
            <v>305</v>
          </cell>
        </row>
        <row r="4580">
          <cell r="AV4580">
            <v>250</v>
          </cell>
        </row>
        <row r="4581">
          <cell r="AV4581">
            <v>250</v>
          </cell>
        </row>
        <row r="4582">
          <cell r="AV4582">
            <v>250</v>
          </cell>
        </row>
        <row r="4583">
          <cell r="AV4583">
            <v>250</v>
          </cell>
        </row>
        <row r="4584">
          <cell r="D4584" t="str">
            <v>Oncology</v>
          </cell>
          <cell r="AV4584">
            <v>250</v>
          </cell>
        </row>
        <row r="4585">
          <cell r="AV4585">
            <v>250</v>
          </cell>
        </row>
        <row r="4586">
          <cell r="AV4586">
            <v>289</v>
          </cell>
        </row>
        <row r="4587">
          <cell r="AV4587">
            <v>250</v>
          </cell>
        </row>
        <row r="4588">
          <cell r="E4588" t="str">
            <v>FF</v>
          </cell>
          <cell r="F4588" t="str">
            <v>SUITE IV (NON - ONCO)</v>
          </cell>
          <cell r="AV4588">
            <v>250</v>
          </cell>
        </row>
        <row r="4589">
          <cell r="E4589" t="str">
            <v>FF</v>
          </cell>
          <cell r="F4589" t="str">
            <v>Intermediate</v>
          </cell>
          <cell r="AV4589">
            <v>250</v>
          </cell>
        </row>
        <row r="4590">
          <cell r="E4590" t="str">
            <v>FF</v>
          </cell>
          <cell r="F4590" t="str">
            <v>SUITE IV (NON - ONCO)</v>
          </cell>
          <cell r="AV4590">
            <v>250</v>
          </cell>
        </row>
        <row r="4591">
          <cell r="E4591" t="str">
            <v>FF</v>
          </cell>
          <cell r="F4591" t="str">
            <v>SUITE IV (NON - ONCO)</v>
          </cell>
          <cell r="AV4591">
            <v>250</v>
          </cell>
        </row>
        <row r="4592">
          <cell r="E4592" t="str">
            <v>FF</v>
          </cell>
          <cell r="F4592" t="str">
            <v>SUITE IV (NON - ONCO)</v>
          </cell>
          <cell r="AV4592">
            <v>250</v>
          </cell>
        </row>
        <row r="4593">
          <cell r="AV4593">
            <v>289</v>
          </cell>
        </row>
        <row r="4594">
          <cell r="E4594" t="str">
            <v>FF</v>
          </cell>
          <cell r="F4594" t="str">
            <v>SUITE III (ONCOLOGY)</v>
          </cell>
          <cell r="AV4594">
            <v>250</v>
          </cell>
        </row>
        <row r="4595">
          <cell r="E4595" t="str">
            <v>GF</v>
          </cell>
          <cell r="F4595" t="str">
            <v>SUITE III (ONCOLOGY)</v>
          </cell>
          <cell r="AV4595">
            <v>250</v>
          </cell>
        </row>
        <row r="4596">
          <cell r="AV4596">
            <v>198</v>
          </cell>
        </row>
        <row r="4597">
          <cell r="AV4597">
            <v>250</v>
          </cell>
        </row>
        <row r="4598">
          <cell r="AV4598">
            <v>250</v>
          </cell>
        </row>
        <row r="4599">
          <cell r="AV4599">
            <v>250</v>
          </cell>
        </row>
        <row r="4600">
          <cell r="AV4600">
            <v>250</v>
          </cell>
        </row>
        <row r="4601">
          <cell r="AV4601">
            <v>250</v>
          </cell>
        </row>
        <row r="4602">
          <cell r="AV4602">
            <v>250</v>
          </cell>
        </row>
        <row r="4603">
          <cell r="AV4603">
            <v>250</v>
          </cell>
        </row>
        <row r="4604">
          <cell r="AV4604">
            <v>250</v>
          </cell>
        </row>
        <row r="4605">
          <cell r="AV4605">
            <v>250</v>
          </cell>
        </row>
        <row r="4606">
          <cell r="AV4606">
            <v>250</v>
          </cell>
        </row>
        <row r="4607">
          <cell r="AV4607">
            <v>250</v>
          </cell>
        </row>
        <row r="4608">
          <cell r="AV4608">
            <v>250</v>
          </cell>
        </row>
        <row r="4609">
          <cell r="AV4609">
            <v>289</v>
          </cell>
        </row>
        <row r="4610">
          <cell r="AV4610">
            <v>273</v>
          </cell>
        </row>
        <row r="4611">
          <cell r="AV4611">
            <v>250</v>
          </cell>
        </row>
        <row r="4612">
          <cell r="AV4612">
            <v>250</v>
          </cell>
        </row>
        <row r="4613">
          <cell r="AV4613">
            <v>250</v>
          </cell>
        </row>
        <row r="4614">
          <cell r="AV4614">
            <v>250</v>
          </cell>
        </row>
        <row r="4615">
          <cell r="AV4615">
            <v>250</v>
          </cell>
        </row>
        <row r="4616">
          <cell r="AV4616">
            <v>198</v>
          </cell>
        </row>
        <row r="4617">
          <cell r="AV4617">
            <v>198</v>
          </cell>
        </row>
        <row r="4618">
          <cell r="AV4618">
            <v>250</v>
          </cell>
        </row>
        <row r="4619">
          <cell r="AV4619">
            <v>250</v>
          </cell>
        </row>
        <row r="4620">
          <cell r="AV4620">
            <v>250</v>
          </cell>
        </row>
        <row r="4621">
          <cell r="AV4621">
            <v>356</v>
          </cell>
        </row>
        <row r="4622">
          <cell r="D4622" t="str">
            <v>GC- IC</v>
          </cell>
          <cell r="E4622" t="str">
            <v>Intermediate</v>
          </cell>
          <cell r="AV4622">
            <v>335</v>
          </cell>
        </row>
        <row r="4623">
          <cell r="AV4623">
            <v>198</v>
          </cell>
        </row>
        <row r="4624">
          <cell r="AV4624">
            <v>328</v>
          </cell>
        </row>
        <row r="4625">
          <cell r="E4625" t="str">
            <v>FF</v>
          </cell>
          <cell r="F4625" t="str">
            <v>SUITE IV (NON - ONCO)</v>
          </cell>
          <cell r="AV4625">
            <v>250</v>
          </cell>
        </row>
        <row r="4626">
          <cell r="E4626" t="str">
            <v>FF</v>
          </cell>
          <cell r="F4626" t="str">
            <v>SUITE IV (NON - ONCO)</v>
          </cell>
          <cell r="AV4626">
            <v>250</v>
          </cell>
        </row>
        <row r="4627">
          <cell r="AV4627">
            <v>335</v>
          </cell>
        </row>
        <row r="4628">
          <cell r="AV4628">
            <v>198</v>
          </cell>
        </row>
        <row r="4629">
          <cell r="AV4629">
            <v>303</v>
          </cell>
        </row>
        <row r="4630">
          <cell r="E4630" t="str">
            <v>FF</v>
          </cell>
          <cell r="F4630" t="str">
            <v>SUITE IV (NON - ONCO)</v>
          </cell>
          <cell r="AV4630">
            <v>250</v>
          </cell>
        </row>
        <row r="4631">
          <cell r="E4631" t="str">
            <v>FF</v>
          </cell>
          <cell r="F4631" t="str">
            <v>SUITE III (ONCOLOGY)</v>
          </cell>
          <cell r="AV4631">
            <v>250</v>
          </cell>
        </row>
        <row r="4632">
          <cell r="AV4632">
            <v>335</v>
          </cell>
        </row>
        <row r="4633">
          <cell r="AV4633">
            <v>198</v>
          </cell>
        </row>
        <row r="4634">
          <cell r="E4634" t="str">
            <v>FF</v>
          </cell>
          <cell r="F4634" t="str">
            <v>SUITE III (ONCOLOGY)</v>
          </cell>
          <cell r="AV4634">
            <v>250</v>
          </cell>
        </row>
        <row r="4635">
          <cell r="E4635" t="str">
            <v>FF</v>
          </cell>
          <cell r="F4635" t="str">
            <v>SUITE III (ONCOLOGY)</v>
          </cell>
          <cell r="AV4635">
            <v>250</v>
          </cell>
        </row>
        <row r="4636">
          <cell r="AV4636">
            <v>250</v>
          </cell>
        </row>
        <row r="4637">
          <cell r="AV4637">
            <v>250</v>
          </cell>
        </row>
        <row r="4638">
          <cell r="AV4638">
            <v>250</v>
          </cell>
        </row>
        <row r="4639">
          <cell r="AV4639">
            <v>250</v>
          </cell>
        </row>
        <row r="4640">
          <cell r="AV4640">
            <v>250</v>
          </cell>
        </row>
        <row r="4641">
          <cell r="AV4641">
            <v>250</v>
          </cell>
        </row>
        <row r="4642">
          <cell r="AV4642">
            <v>336</v>
          </cell>
        </row>
        <row r="4643">
          <cell r="E4643" t="str">
            <v>FF</v>
          </cell>
          <cell r="F4643" t="str">
            <v>SUITE IV (NON - ONCO)</v>
          </cell>
          <cell r="AV4643">
            <v>250</v>
          </cell>
        </row>
        <row r="4644">
          <cell r="E4644" t="str">
            <v>FF</v>
          </cell>
          <cell r="F4644" t="str">
            <v>SUITE III (ONCOLOGY)</v>
          </cell>
          <cell r="AV4644">
            <v>250</v>
          </cell>
        </row>
        <row r="4645">
          <cell r="AV4645">
            <v>250</v>
          </cell>
        </row>
        <row r="4646">
          <cell r="D4646" t="str">
            <v>Oncology</v>
          </cell>
          <cell r="AV4646">
            <v>250</v>
          </cell>
        </row>
        <row r="4647">
          <cell r="D4647" t="str">
            <v>Oncology</v>
          </cell>
          <cell r="AV4647">
            <v>250</v>
          </cell>
        </row>
        <row r="4648">
          <cell r="D4648" t="str">
            <v>Oncology</v>
          </cell>
          <cell r="AV4648">
            <v>250</v>
          </cell>
        </row>
        <row r="4649">
          <cell r="AV4649">
            <v>250</v>
          </cell>
        </row>
        <row r="4650">
          <cell r="AV4650">
            <v>250</v>
          </cell>
        </row>
        <row r="4651">
          <cell r="D4651" t="str">
            <v>Oncology</v>
          </cell>
          <cell r="AV4651">
            <v>250</v>
          </cell>
        </row>
        <row r="4652">
          <cell r="AV4652">
            <v>250</v>
          </cell>
        </row>
        <row r="4653">
          <cell r="AV4653">
            <v>250</v>
          </cell>
        </row>
        <row r="4654">
          <cell r="E4654" t="str">
            <v>Tech Area</v>
          </cell>
          <cell r="F4654" t="str">
            <v xml:space="preserve">Pharma </v>
          </cell>
          <cell r="AV4654">
            <v>250</v>
          </cell>
        </row>
        <row r="4655">
          <cell r="E4655" t="str">
            <v>FF</v>
          </cell>
          <cell r="AV4655">
            <v>250</v>
          </cell>
        </row>
        <row r="4656">
          <cell r="E4656" t="str">
            <v>FF</v>
          </cell>
          <cell r="AV4656">
            <v>250</v>
          </cell>
        </row>
        <row r="4657">
          <cell r="E4657" t="str">
            <v>GF</v>
          </cell>
          <cell r="AV4657">
            <v>250</v>
          </cell>
        </row>
        <row r="4658">
          <cell r="E4658" t="str">
            <v>GF</v>
          </cell>
          <cell r="F4658" t="str">
            <v>SUITE IV (NON - ONCO)</v>
          </cell>
          <cell r="AV4658">
            <v>250</v>
          </cell>
        </row>
        <row r="4659">
          <cell r="E4659" t="str">
            <v>GF</v>
          </cell>
          <cell r="F4659" t="str">
            <v>SUITE IV (NON - ONCO)</v>
          </cell>
          <cell r="AV4659">
            <v>250</v>
          </cell>
        </row>
        <row r="4660">
          <cell r="E4660" t="str">
            <v>GF</v>
          </cell>
          <cell r="F4660" t="str">
            <v>SUITE IV (NON - ONCO)</v>
          </cell>
          <cell r="AV4660">
            <v>250</v>
          </cell>
        </row>
        <row r="4661">
          <cell r="E4661" t="str">
            <v>GF</v>
          </cell>
          <cell r="F4661" t="str">
            <v>SUITE III (ONCOLOGY)</v>
          </cell>
          <cell r="AV4661">
            <v>250</v>
          </cell>
        </row>
        <row r="4662">
          <cell r="AV4662">
            <v>250</v>
          </cell>
        </row>
        <row r="4663">
          <cell r="AV4663">
            <v>198</v>
          </cell>
        </row>
        <row r="4664">
          <cell r="AV4664">
            <v>289</v>
          </cell>
        </row>
        <row r="4665">
          <cell r="AV4665">
            <v>250</v>
          </cell>
        </row>
        <row r="4666">
          <cell r="AV4666">
            <v>362</v>
          </cell>
        </row>
        <row r="4667">
          <cell r="AV4667">
            <v>289</v>
          </cell>
        </row>
        <row r="4668">
          <cell r="AV4668">
            <v>198</v>
          </cell>
        </row>
        <row r="4669">
          <cell r="AV4669">
            <v>200</v>
          </cell>
        </row>
        <row r="4670">
          <cell r="AV4670">
            <v>198</v>
          </cell>
        </row>
        <row r="4671">
          <cell r="AV4671">
            <v>198</v>
          </cell>
        </row>
        <row r="4672">
          <cell r="AV4672">
            <v>198</v>
          </cell>
        </row>
        <row r="4673">
          <cell r="E4673" t="str">
            <v>FF</v>
          </cell>
          <cell r="F4673" t="str">
            <v>SUITE III (ONCOLOGY)</v>
          </cell>
          <cell r="AV4673">
            <v>250</v>
          </cell>
        </row>
        <row r="4674">
          <cell r="E4674" t="str">
            <v>FF</v>
          </cell>
          <cell r="F4674" t="str">
            <v>SUITE IV (NON - ONCO)</v>
          </cell>
          <cell r="AV4674">
            <v>250</v>
          </cell>
        </row>
        <row r="4675">
          <cell r="E4675" t="str">
            <v>GF</v>
          </cell>
          <cell r="F4675" t="str">
            <v>SUITE IV (NON - ONCO)</v>
          </cell>
          <cell r="AV4675">
            <v>250</v>
          </cell>
        </row>
        <row r="4676">
          <cell r="E4676" t="str">
            <v>GF</v>
          </cell>
          <cell r="F4676" t="str">
            <v>SUITE IV (NON - ONCO)</v>
          </cell>
          <cell r="AV4676">
            <v>250</v>
          </cell>
        </row>
        <row r="4677">
          <cell r="E4677" t="str">
            <v>GF</v>
          </cell>
          <cell r="F4677" t="str">
            <v>SUITE IV (NON - ONCO)</v>
          </cell>
          <cell r="AV4677">
            <v>250</v>
          </cell>
        </row>
        <row r="4678">
          <cell r="E4678" t="str">
            <v>GF</v>
          </cell>
          <cell r="F4678" t="str">
            <v>SUITE III (ONCOLOGY)</v>
          </cell>
          <cell r="AV4678">
            <v>250</v>
          </cell>
        </row>
        <row r="4679">
          <cell r="E4679" t="str">
            <v>GF</v>
          </cell>
          <cell r="F4679" t="str">
            <v>SUITE III (ONCOLOGY)</v>
          </cell>
          <cell r="AV4679">
            <v>250</v>
          </cell>
        </row>
        <row r="4680">
          <cell r="E4680" t="str">
            <v>GF</v>
          </cell>
          <cell r="F4680" t="str">
            <v>SUITE IV (NON - ONCO)</v>
          </cell>
          <cell r="AV4680">
            <v>250</v>
          </cell>
        </row>
        <row r="4681">
          <cell r="E4681" t="str">
            <v>SF</v>
          </cell>
          <cell r="AV4681">
            <v>250</v>
          </cell>
        </row>
        <row r="4682">
          <cell r="AV4682">
            <v>198</v>
          </cell>
        </row>
        <row r="4683">
          <cell r="AV4683">
            <v>331</v>
          </cell>
        </row>
        <row r="4684">
          <cell r="AV4684">
            <v>211</v>
          </cell>
        </row>
        <row r="4685">
          <cell r="AV4685">
            <v>198</v>
          </cell>
        </row>
        <row r="4686">
          <cell r="AV4686">
            <v>259</v>
          </cell>
        </row>
        <row r="4687">
          <cell r="AV4687">
            <v>326</v>
          </cell>
        </row>
        <row r="4688">
          <cell r="AV4688">
            <v>335</v>
          </cell>
        </row>
        <row r="4689">
          <cell r="AV4689">
            <v>307</v>
          </cell>
        </row>
        <row r="4690">
          <cell r="AV4690">
            <v>348</v>
          </cell>
        </row>
        <row r="4691">
          <cell r="AV4691">
            <v>198</v>
          </cell>
        </row>
        <row r="4692">
          <cell r="AV4692">
            <v>260</v>
          </cell>
        </row>
        <row r="4693">
          <cell r="AV4693">
            <v>305</v>
          </cell>
        </row>
        <row r="4694">
          <cell r="D4694" t="str">
            <v>GC- IC</v>
          </cell>
          <cell r="E4694" t="str">
            <v>Intermediate</v>
          </cell>
          <cell r="AV4694">
            <v>335</v>
          </cell>
        </row>
        <row r="4695">
          <cell r="AV4695">
            <v>233</v>
          </cell>
        </row>
        <row r="4696">
          <cell r="AV4696">
            <v>233</v>
          </cell>
        </row>
        <row r="4697">
          <cell r="AV4697">
            <v>281</v>
          </cell>
        </row>
        <row r="4698">
          <cell r="AV4698">
            <v>297</v>
          </cell>
        </row>
        <row r="4699">
          <cell r="AV4699">
            <v>289</v>
          </cell>
        </row>
        <row r="4700">
          <cell r="AV4700">
            <v>250</v>
          </cell>
        </row>
        <row r="4701">
          <cell r="AV4701">
            <v>250</v>
          </cell>
        </row>
        <row r="4702">
          <cell r="AV4702">
            <v>250</v>
          </cell>
        </row>
        <row r="4703">
          <cell r="AV4703">
            <v>250</v>
          </cell>
        </row>
        <row r="4704">
          <cell r="D4704" t="str">
            <v>Oncology</v>
          </cell>
          <cell r="AV4704">
            <v>250</v>
          </cell>
        </row>
        <row r="4705">
          <cell r="AV4705">
            <v>250</v>
          </cell>
        </row>
        <row r="4706">
          <cell r="D4706" t="str">
            <v>Oncology</v>
          </cell>
          <cell r="AV4706">
            <v>250</v>
          </cell>
        </row>
        <row r="4707">
          <cell r="AV4707">
            <v>250</v>
          </cell>
        </row>
        <row r="4708">
          <cell r="AV4708">
            <v>198</v>
          </cell>
        </row>
        <row r="4709">
          <cell r="D4709" t="str">
            <v>GC- IC</v>
          </cell>
          <cell r="E4709" t="str">
            <v>Intermediate</v>
          </cell>
          <cell r="AV4709">
            <v>335</v>
          </cell>
        </row>
        <row r="4710">
          <cell r="AV4710">
            <v>201</v>
          </cell>
        </row>
        <row r="4711">
          <cell r="AV4711">
            <v>250</v>
          </cell>
        </row>
        <row r="4712">
          <cell r="AV4712">
            <v>250</v>
          </cell>
        </row>
        <row r="4713">
          <cell r="AV4713">
            <v>250</v>
          </cell>
        </row>
        <row r="4714">
          <cell r="AV4714">
            <v>250</v>
          </cell>
        </row>
        <row r="4715">
          <cell r="AV4715">
            <v>250</v>
          </cell>
        </row>
        <row r="4716">
          <cell r="AV4716">
            <v>250</v>
          </cell>
        </row>
        <row r="4717">
          <cell r="D4717" t="str">
            <v>Oncology</v>
          </cell>
          <cell r="AV4717">
            <v>250</v>
          </cell>
        </row>
        <row r="4718">
          <cell r="D4718" t="str">
            <v>Oncology</v>
          </cell>
          <cell r="AV4718">
            <v>250</v>
          </cell>
        </row>
        <row r="4719">
          <cell r="AV4719">
            <v>250</v>
          </cell>
        </row>
        <row r="4720">
          <cell r="AV4720">
            <v>198</v>
          </cell>
        </row>
        <row r="4721">
          <cell r="AV4721">
            <v>250</v>
          </cell>
        </row>
        <row r="4722">
          <cell r="AV4722">
            <v>250</v>
          </cell>
        </row>
        <row r="4723">
          <cell r="AV4723">
            <v>250</v>
          </cell>
        </row>
        <row r="4724">
          <cell r="AV4724">
            <v>250</v>
          </cell>
        </row>
        <row r="4725">
          <cell r="AV4725">
            <v>250</v>
          </cell>
        </row>
        <row r="4726">
          <cell r="D4726" t="str">
            <v>Oncology</v>
          </cell>
          <cell r="AV4726">
            <v>250</v>
          </cell>
        </row>
        <row r="4727">
          <cell r="D4727" t="str">
            <v>Oncology</v>
          </cell>
          <cell r="AV4727">
            <v>250</v>
          </cell>
        </row>
        <row r="4728">
          <cell r="D4728" t="str">
            <v>Oncology</v>
          </cell>
          <cell r="AV4728">
            <v>250</v>
          </cell>
        </row>
        <row r="4729">
          <cell r="D4729" t="str">
            <v>Oncology</v>
          </cell>
          <cell r="AV4729">
            <v>250</v>
          </cell>
        </row>
        <row r="4730">
          <cell r="AV4730">
            <v>250</v>
          </cell>
        </row>
        <row r="4731">
          <cell r="AV4731">
            <v>250</v>
          </cell>
        </row>
        <row r="4732">
          <cell r="AV4732">
            <v>250</v>
          </cell>
        </row>
        <row r="4733">
          <cell r="AV4733">
            <v>250</v>
          </cell>
        </row>
        <row r="4734">
          <cell r="AV4734">
            <v>303</v>
          </cell>
        </row>
        <row r="4735">
          <cell r="AV4735">
            <v>333</v>
          </cell>
        </row>
        <row r="4736">
          <cell r="AV4736">
            <v>250</v>
          </cell>
        </row>
        <row r="4737">
          <cell r="AV4737">
            <v>250</v>
          </cell>
        </row>
        <row r="4738">
          <cell r="AV4738">
            <v>250</v>
          </cell>
        </row>
        <row r="4739">
          <cell r="AV4739">
            <v>250</v>
          </cell>
        </row>
        <row r="4740">
          <cell r="AV4740">
            <v>250</v>
          </cell>
        </row>
        <row r="4741">
          <cell r="AV4741">
            <v>250</v>
          </cell>
        </row>
        <row r="4742">
          <cell r="AV4742">
            <v>250</v>
          </cell>
        </row>
        <row r="4743">
          <cell r="AV4743">
            <v>250</v>
          </cell>
        </row>
        <row r="4744">
          <cell r="AV4744">
            <v>250</v>
          </cell>
        </row>
        <row r="4745">
          <cell r="AV4745">
            <v>250</v>
          </cell>
        </row>
        <row r="4746">
          <cell r="AV4746">
            <v>250</v>
          </cell>
        </row>
        <row r="4747">
          <cell r="AV4747">
            <v>250</v>
          </cell>
        </row>
        <row r="4748">
          <cell r="AV4748">
            <v>250</v>
          </cell>
        </row>
        <row r="4749">
          <cell r="AV4749">
            <v>250</v>
          </cell>
        </row>
        <row r="4750">
          <cell r="AV4750">
            <v>250</v>
          </cell>
        </row>
        <row r="4751">
          <cell r="AV4751">
            <v>250</v>
          </cell>
        </row>
        <row r="4752">
          <cell r="AV4752">
            <v>250</v>
          </cell>
        </row>
        <row r="4753">
          <cell r="AV4753">
            <v>250</v>
          </cell>
        </row>
        <row r="4754">
          <cell r="AV4754">
            <v>250</v>
          </cell>
        </row>
        <row r="4755">
          <cell r="AV4755">
            <v>250</v>
          </cell>
        </row>
        <row r="4756">
          <cell r="AV4756">
            <v>250</v>
          </cell>
        </row>
        <row r="4757">
          <cell r="AV4757">
            <v>250</v>
          </cell>
        </row>
        <row r="4758">
          <cell r="AV4758">
            <v>198</v>
          </cell>
        </row>
        <row r="4759">
          <cell r="AV4759">
            <v>198</v>
          </cell>
        </row>
        <row r="4760">
          <cell r="AV4760">
            <v>335</v>
          </cell>
        </row>
        <row r="4761">
          <cell r="AV4761">
            <v>201</v>
          </cell>
        </row>
        <row r="4762">
          <cell r="AV4762">
            <v>198</v>
          </cell>
        </row>
        <row r="4763">
          <cell r="AV4763">
            <v>189</v>
          </cell>
        </row>
        <row r="4764">
          <cell r="AV4764">
            <v>335</v>
          </cell>
        </row>
        <row r="4765">
          <cell r="AV4765">
            <v>198</v>
          </cell>
        </row>
        <row r="4766">
          <cell r="D4766" t="str">
            <v>Oncology</v>
          </cell>
          <cell r="AV4766">
            <v>250</v>
          </cell>
        </row>
        <row r="4767">
          <cell r="AV4767">
            <v>250</v>
          </cell>
        </row>
        <row r="4768">
          <cell r="AV4768">
            <v>250</v>
          </cell>
        </row>
        <row r="4769">
          <cell r="AV4769">
            <v>250</v>
          </cell>
        </row>
        <row r="4770">
          <cell r="AV4770">
            <v>274</v>
          </cell>
        </row>
        <row r="4771">
          <cell r="D4771" t="str">
            <v>Oncology</v>
          </cell>
          <cell r="AV4771">
            <v>250</v>
          </cell>
        </row>
        <row r="4772">
          <cell r="AV4772">
            <v>250</v>
          </cell>
        </row>
        <row r="4773">
          <cell r="AV4773">
            <v>250</v>
          </cell>
        </row>
        <row r="4774">
          <cell r="D4774" t="str">
            <v>Oncology</v>
          </cell>
          <cell r="AV4774">
            <v>250</v>
          </cell>
        </row>
        <row r="4775">
          <cell r="D4775" t="str">
            <v>Oncology</v>
          </cell>
          <cell r="AV4775">
            <v>250</v>
          </cell>
        </row>
        <row r="4776">
          <cell r="D4776" t="str">
            <v>Oncology</v>
          </cell>
          <cell r="AV4776">
            <v>250</v>
          </cell>
        </row>
        <row r="4777">
          <cell r="AV4777">
            <v>250</v>
          </cell>
        </row>
        <row r="4778">
          <cell r="AV4778">
            <v>250</v>
          </cell>
        </row>
        <row r="4779">
          <cell r="AV4779">
            <v>250</v>
          </cell>
        </row>
        <row r="4780">
          <cell r="AV4780">
            <v>250</v>
          </cell>
        </row>
        <row r="4781">
          <cell r="AV4781">
            <v>250</v>
          </cell>
        </row>
        <row r="4782">
          <cell r="AV4782">
            <v>250</v>
          </cell>
        </row>
        <row r="4783">
          <cell r="AV4783">
            <v>250</v>
          </cell>
        </row>
        <row r="4784">
          <cell r="AV4784">
            <v>250</v>
          </cell>
        </row>
        <row r="4785">
          <cell r="AV4785">
            <v>305</v>
          </cell>
        </row>
        <row r="4786">
          <cell r="AV4786">
            <v>261</v>
          </cell>
        </row>
        <row r="4787">
          <cell r="E4787" t="str">
            <v>GF</v>
          </cell>
          <cell r="AV4787">
            <v>250</v>
          </cell>
        </row>
        <row r="4788">
          <cell r="AV4788">
            <v>250</v>
          </cell>
        </row>
        <row r="4789">
          <cell r="AV4789">
            <v>250</v>
          </cell>
        </row>
        <row r="4790">
          <cell r="AV4790">
            <v>250</v>
          </cell>
        </row>
        <row r="4791">
          <cell r="AV4791">
            <v>250</v>
          </cell>
        </row>
        <row r="4792">
          <cell r="AV4792">
            <v>250</v>
          </cell>
        </row>
        <row r="4793">
          <cell r="AV4793">
            <v>289</v>
          </cell>
        </row>
        <row r="4794">
          <cell r="AV4794">
            <v>335</v>
          </cell>
        </row>
        <row r="4795">
          <cell r="AV4795">
            <v>305</v>
          </cell>
        </row>
        <row r="4796">
          <cell r="AV4796">
            <v>211</v>
          </cell>
        </row>
        <row r="4797">
          <cell r="AV4797">
            <v>261</v>
          </cell>
        </row>
        <row r="4798">
          <cell r="D4798" t="str">
            <v>GC-IB</v>
          </cell>
          <cell r="AV4798">
            <v>305</v>
          </cell>
        </row>
        <row r="4799">
          <cell r="AV4799">
            <v>305</v>
          </cell>
        </row>
        <row r="4800">
          <cell r="AV4800">
            <v>198</v>
          </cell>
        </row>
        <row r="4801">
          <cell r="AV4801">
            <v>250</v>
          </cell>
        </row>
        <row r="4802">
          <cell r="E4802" t="str">
            <v>GF</v>
          </cell>
          <cell r="AV4802">
            <v>250</v>
          </cell>
        </row>
        <row r="4803">
          <cell r="AV4803">
            <v>250</v>
          </cell>
        </row>
        <row r="4804">
          <cell r="AV4804">
            <v>250</v>
          </cell>
        </row>
        <row r="4805">
          <cell r="AV4805">
            <v>250</v>
          </cell>
        </row>
        <row r="4806">
          <cell r="AV4806">
            <v>250</v>
          </cell>
        </row>
        <row r="4807">
          <cell r="AV4807">
            <v>250</v>
          </cell>
        </row>
        <row r="4808">
          <cell r="AV4808">
            <v>250</v>
          </cell>
        </row>
        <row r="4809">
          <cell r="AV4809">
            <v>250</v>
          </cell>
        </row>
        <row r="4810">
          <cell r="AV4810">
            <v>250</v>
          </cell>
        </row>
        <row r="4811">
          <cell r="AV4811">
            <v>335</v>
          </cell>
        </row>
        <row r="4812">
          <cell r="AV4812">
            <v>198</v>
          </cell>
        </row>
        <row r="4813">
          <cell r="AV4813">
            <v>250</v>
          </cell>
        </row>
        <row r="4814">
          <cell r="AV4814">
            <v>250</v>
          </cell>
        </row>
        <row r="4815">
          <cell r="AV4815">
            <v>250</v>
          </cell>
        </row>
        <row r="4816">
          <cell r="AV4816">
            <v>250</v>
          </cell>
        </row>
        <row r="4817">
          <cell r="AV4817">
            <v>250</v>
          </cell>
        </row>
        <row r="4818">
          <cell r="AV4818">
            <v>250</v>
          </cell>
        </row>
        <row r="4819">
          <cell r="AV4819">
            <v>305</v>
          </cell>
        </row>
        <row r="4820">
          <cell r="AV4820">
            <v>315</v>
          </cell>
        </row>
        <row r="4821">
          <cell r="AV4821">
            <v>305</v>
          </cell>
        </row>
        <row r="4822">
          <cell r="AV4822">
            <v>357</v>
          </cell>
        </row>
        <row r="4823">
          <cell r="AV4823">
            <v>356</v>
          </cell>
        </row>
        <row r="4824">
          <cell r="E4824" t="str">
            <v>GF</v>
          </cell>
          <cell r="AV4824">
            <v>250</v>
          </cell>
        </row>
        <row r="4825">
          <cell r="AV4825">
            <v>305</v>
          </cell>
        </row>
        <row r="4826">
          <cell r="AV4826">
            <v>250</v>
          </cell>
        </row>
        <row r="4827">
          <cell r="AV4827">
            <v>250</v>
          </cell>
        </row>
        <row r="4828">
          <cell r="AV4828">
            <v>250</v>
          </cell>
        </row>
        <row r="4829">
          <cell r="AV4829">
            <v>250</v>
          </cell>
        </row>
        <row r="4830">
          <cell r="AV4830">
            <v>250</v>
          </cell>
        </row>
        <row r="4831">
          <cell r="AV4831">
            <v>250</v>
          </cell>
        </row>
        <row r="4832">
          <cell r="AV4832">
            <v>250</v>
          </cell>
        </row>
        <row r="4833">
          <cell r="AV4833">
            <v>315</v>
          </cell>
        </row>
        <row r="4834">
          <cell r="AV4834">
            <v>250</v>
          </cell>
        </row>
        <row r="4835">
          <cell r="AV4835">
            <v>250</v>
          </cell>
        </row>
        <row r="4836">
          <cell r="AV4836">
            <v>305</v>
          </cell>
        </row>
        <row r="4837">
          <cell r="AV4837">
            <v>331</v>
          </cell>
        </row>
        <row r="4838">
          <cell r="AV4838">
            <v>250</v>
          </cell>
        </row>
        <row r="4839">
          <cell r="AV4839">
            <v>315</v>
          </cell>
        </row>
        <row r="4840">
          <cell r="AV4840">
            <v>364</v>
          </cell>
        </row>
        <row r="4841">
          <cell r="AV4841">
            <v>263</v>
          </cell>
        </row>
        <row r="4842">
          <cell r="AV4842">
            <v>289</v>
          </cell>
        </row>
        <row r="4843">
          <cell r="AV4843">
            <v>198</v>
          </cell>
        </row>
        <row r="4844">
          <cell r="AV4844">
            <v>350</v>
          </cell>
        </row>
        <row r="4845">
          <cell r="AV4845">
            <v>198</v>
          </cell>
        </row>
        <row r="4846">
          <cell r="AV4846">
            <v>201</v>
          </cell>
        </row>
        <row r="4847">
          <cell r="AV4847">
            <v>291</v>
          </cell>
        </row>
        <row r="4848">
          <cell r="AV4848">
            <v>291</v>
          </cell>
        </row>
        <row r="4849">
          <cell r="AV4849">
            <v>331</v>
          </cell>
        </row>
        <row r="4850">
          <cell r="AV4850">
            <v>261</v>
          </cell>
        </row>
        <row r="4851">
          <cell r="AV4851">
            <v>289</v>
          </cell>
        </row>
        <row r="4852">
          <cell r="AV4852">
            <v>305</v>
          </cell>
        </row>
        <row r="4853">
          <cell r="AV4853">
            <v>198</v>
          </cell>
        </row>
        <row r="4854">
          <cell r="AV4854">
            <v>305</v>
          </cell>
        </row>
        <row r="4855">
          <cell r="AV4855">
            <v>305</v>
          </cell>
        </row>
        <row r="4856">
          <cell r="AV4856">
            <v>198</v>
          </cell>
        </row>
        <row r="4857">
          <cell r="AV4857">
            <v>305</v>
          </cell>
        </row>
        <row r="4858">
          <cell r="AV4858">
            <v>299</v>
          </cell>
        </row>
        <row r="4859">
          <cell r="AV4859">
            <v>289</v>
          </cell>
        </row>
        <row r="4860">
          <cell r="AV4860">
            <v>294</v>
          </cell>
        </row>
        <row r="4861">
          <cell r="AV4861">
            <v>249</v>
          </cell>
        </row>
        <row r="4862">
          <cell r="AV4862">
            <v>320</v>
          </cell>
        </row>
        <row r="4863">
          <cell r="AV4863">
            <v>335</v>
          </cell>
        </row>
        <row r="4864">
          <cell r="AV4864">
            <v>289</v>
          </cell>
        </row>
        <row r="4865">
          <cell r="AV4865">
            <v>335</v>
          </cell>
        </row>
        <row r="4866">
          <cell r="D4866" t="str">
            <v>Oncology</v>
          </cell>
          <cell r="E4866" t="str">
            <v>OCB</v>
          </cell>
          <cell r="AV4866">
            <v>250</v>
          </cell>
        </row>
        <row r="4867">
          <cell r="AV4867">
            <v>335</v>
          </cell>
        </row>
        <row r="4868">
          <cell r="AV4868">
            <v>250</v>
          </cell>
        </row>
        <row r="4869">
          <cell r="AV4869">
            <v>250</v>
          </cell>
        </row>
        <row r="4870">
          <cell r="AV4870">
            <v>250</v>
          </cell>
        </row>
        <row r="4871">
          <cell r="AV4871">
            <v>250</v>
          </cell>
        </row>
        <row r="4872">
          <cell r="AV4872">
            <v>250</v>
          </cell>
        </row>
        <row r="4873">
          <cell r="AV4873">
            <v>250</v>
          </cell>
        </row>
        <row r="4874">
          <cell r="AV4874">
            <v>250</v>
          </cell>
        </row>
        <row r="4875">
          <cell r="AV4875">
            <v>198</v>
          </cell>
        </row>
        <row r="4876">
          <cell r="AV4876">
            <v>242</v>
          </cell>
        </row>
        <row r="4877">
          <cell r="AV4877">
            <v>335</v>
          </cell>
        </row>
        <row r="4878">
          <cell r="D4878" t="str">
            <v>Oncology</v>
          </cell>
          <cell r="AV4878">
            <v>250</v>
          </cell>
        </row>
        <row r="4879">
          <cell r="D4879" t="str">
            <v>Oncology</v>
          </cell>
          <cell r="AV4879">
            <v>250</v>
          </cell>
        </row>
        <row r="4880">
          <cell r="D4880" t="str">
            <v>GC- IC</v>
          </cell>
          <cell r="E4880" t="str">
            <v>Intermediate</v>
          </cell>
          <cell r="AV4880">
            <v>335</v>
          </cell>
        </row>
        <row r="4881">
          <cell r="AV4881">
            <v>260</v>
          </cell>
        </row>
        <row r="4882">
          <cell r="AV4882">
            <v>250</v>
          </cell>
        </row>
        <row r="4883">
          <cell r="AV4883">
            <v>250</v>
          </cell>
        </row>
        <row r="4884">
          <cell r="AV4884">
            <v>250</v>
          </cell>
        </row>
        <row r="4885">
          <cell r="AV4885">
            <v>250</v>
          </cell>
        </row>
        <row r="4886">
          <cell r="AV4886">
            <v>198</v>
          </cell>
        </row>
        <row r="4887">
          <cell r="AV4887">
            <v>198</v>
          </cell>
        </row>
        <row r="4888">
          <cell r="AV4888">
            <v>240</v>
          </cell>
        </row>
        <row r="4889">
          <cell r="AV4889">
            <v>333</v>
          </cell>
        </row>
        <row r="4890">
          <cell r="AV4890">
            <v>202</v>
          </cell>
        </row>
        <row r="4891">
          <cell r="AV4891">
            <v>250</v>
          </cell>
        </row>
        <row r="4892">
          <cell r="AV4892">
            <v>250</v>
          </cell>
        </row>
        <row r="4893">
          <cell r="AV4893">
            <v>305</v>
          </cell>
        </row>
        <row r="4894">
          <cell r="AV4894">
            <v>305</v>
          </cell>
        </row>
        <row r="4895">
          <cell r="AV4895">
            <v>319</v>
          </cell>
        </row>
        <row r="4896">
          <cell r="AV4896">
            <v>280</v>
          </cell>
        </row>
        <row r="4897">
          <cell r="AV4897">
            <v>305</v>
          </cell>
        </row>
        <row r="4898">
          <cell r="AV4898">
            <v>335</v>
          </cell>
        </row>
        <row r="4899">
          <cell r="AV4899">
            <v>335</v>
          </cell>
        </row>
        <row r="4900">
          <cell r="AV4900">
            <v>335</v>
          </cell>
        </row>
        <row r="4901">
          <cell r="AV4901">
            <v>250</v>
          </cell>
        </row>
        <row r="4902">
          <cell r="AV4902">
            <v>250</v>
          </cell>
        </row>
        <row r="4903">
          <cell r="AV4903">
            <v>250</v>
          </cell>
        </row>
        <row r="4904">
          <cell r="AV4904">
            <v>250</v>
          </cell>
        </row>
        <row r="4905">
          <cell r="AV4905">
            <v>250</v>
          </cell>
        </row>
        <row r="4906">
          <cell r="AV4906">
            <v>250</v>
          </cell>
        </row>
        <row r="4907">
          <cell r="AV4907">
            <v>250</v>
          </cell>
        </row>
        <row r="4908">
          <cell r="AV4908">
            <v>250</v>
          </cell>
        </row>
        <row r="4909">
          <cell r="AV4909">
            <v>250</v>
          </cell>
        </row>
        <row r="4910">
          <cell r="AV4910">
            <v>250</v>
          </cell>
        </row>
        <row r="4911">
          <cell r="AV4911">
            <v>250</v>
          </cell>
        </row>
        <row r="4912">
          <cell r="AV4912">
            <v>250</v>
          </cell>
        </row>
        <row r="4913">
          <cell r="AV4913">
            <v>315</v>
          </cell>
        </row>
        <row r="4914">
          <cell r="AV4914">
            <v>250</v>
          </cell>
        </row>
        <row r="4915">
          <cell r="AV4915">
            <v>250</v>
          </cell>
        </row>
        <row r="4916">
          <cell r="AV4916">
            <v>250</v>
          </cell>
        </row>
        <row r="4917">
          <cell r="AV4917">
            <v>250</v>
          </cell>
        </row>
        <row r="4918">
          <cell r="AV4918">
            <v>198</v>
          </cell>
        </row>
        <row r="4919">
          <cell r="AV4919">
            <v>335</v>
          </cell>
        </row>
        <row r="4920">
          <cell r="AV4920">
            <v>289</v>
          </cell>
        </row>
        <row r="4921">
          <cell r="AV4921">
            <v>357</v>
          </cell>
        </row>
        <row r="4922">
          <cell r="AV4922">
            <v>289</v>
          </cell>
        </row>
        <row r="4923">
          <cell r="AV4923">
            <v>305</v>
          </cell>
        </row>
        <row r="4924">
          <cell r="AV4924">
            <v>289</v>
          </cell>
        </row>
        <row r="4925">
          <cell r="AV4925">
            <v>197</v>
          </cell>
        </row>
        <row r="4926">
          <cell r="AV4926">
            <v>300</v>
          </cell>
        </row>
        <row r="4927">
          <cell r="AV4927">
            <v>261</v>
          </cell>
        </row>
        <row r="4928">
          <cell r="AV4928">
            <v>261</v>
          </cell>
        </row>
        <row r="4929">
          <cell r="AV4929">
            <v>261</v>
          </cell>
        </row>
        <row r="4930">
          <cell r="AV4930">
            <v>261</v>
          </cell>
        </row>
        <row r="4931">
          <cell r="AV4931">
            <v>261</v>
          </cell>
        </row>
        <row r="4932">
          <cell r="AV4932">
            <v>261</v>
          </cell>
        </row>
        <row r="4933">
          <cell r="AV4933">
            <v>261</v>
          </cell>
        </row>
        <row r="4934">
          <cell r="AV4934">
            <v>261</v>
          </cell>
        </row>
        <row r="4935">
          <cell r="AV4935">
            <v>289</v>
          </cell>
        </row>
        <row r="4936">
          <cell r="D4936" t="str">
            <v>GC-IB</v>
          </cell>
          <cell r="AV4936">
            <v>289</v>
          </cell>
        </row>
        <row r="4937">
          <cell r="E4937" t="str">
            <v>FF</v>
          </cell>
          <cell r="AV4937">
            <v>250</v>
          </cell>
        </row>
        <row r="4938">
          <cell r="AV4938">
            <v>250</v>
          </cell>
        </row>
        <row r="4939">
          <cell r="AV4939">
            <v>295</v>
          </cell>
        </row>
        <row r="4940">
          <cell r="AV4940">
            <v>198</v>
          </cell>
        </row>
        <row r="4941">
          <cell r="AV4941">
            <v>307</v>
          </cell>
        </row>
        <row r="4942">
          <cell r="AV4942">
            <v>261</v>
          </cell>
        </row>
        <row r="4943">
          <cell r="AV4943">
            <v>263</v>
          </cell>
        </row>
        <row r="4944">
          <cell r="AV4944">
            <v>270</v>
          </cell>
        </row>
        <row r="4945">
          <cell r="AV4945">
            <v>365</v>
          </cell>
        </row>
        <row r="4946">
          <cell r="AV4946">
            <v>364</v>
          </cell>
        </row>
        <row r="4947">
          <cell r="AV4947">
            <v>214</v>
          </cell>
        </row>
        <row r="4948">
          <cell r="AV4948">
            <v>289</v>
          </cell>
        </row>
        <row r="4949">
          <cell r="AV4949">
            <v>232</v>
          </cell>
        </row>
        <row r="4950">
          <cell r="AV4950">
            <v>288</v>
          </cell>
        </row>
        <row r="4951">
          <cell r="AV4951">
            <v>286</v>
          </cell>
        </row>
        <row r="4952">
          <cell r="AV4952">
            <v>297</v>
          </cell>
        </row>
        <row r="4953">
          <cell r="AV4953">
            <v>255</v>
          </cell>
        </row>
        <row r="4954">
          <cell r="AV4954">
            <v>255</v>
          </cell>
        </row>
        <row r="4955">
          <cell r="AV4955">
            <v>198</v>
          </cell>
        </row>
        <row r="4956">
          <cell r="AV4956">
            <v>289</v>
          </cell>
        </row>
        <row r="4957">
          <cell r="AV4957">
            <v>198</v>
          </cell>
        </row>
        <row r="4958">
          <cell r="AV4958">
            <v>329</v>
          </cell>
        </row>
        <row r="4959">
          <cell r="AV4959">
            <v>273</v>
          </cell>
        </row>
        <row r="4960">
          <cell r="AV4960">
            <v>227</v>
          </cell>
        </row>
        <row r="4961">
          <cell r="AV4961">
            <v>263</v>
          </cell>
        </row>
        <row r="4962">
          <cell r="AV4962">
            <v>232</v>
          </cell>
        </row>
        <row r="4963">
          <cell r="AV4963">
            <v>245</v>
          </cell>
        </row>
        <row r="4964">
          <cell r="AV4964">
            <v>242</v>
          </cell>
        </row>
        <row r="4965">
          <cell r="AV4965">
            <v>228</v>
          </cell>
        </row>
        <row r="4966">
          <cell r="AV4966">
            <v>303</v>
          </cell>
        </row>
        <row r="4967">
          <cell r="AV4967">
            <v>264</v>
          </cell>
        </row>
        <row r="4968">
          <cell r="AV4968">
            <v>217</v>
          </cell>
        </row>
        <row r="4969">
          <cell r="AV4969">
            <v>213</v>
          </cell>
        </row>
        <row r="4970">
          <cell r="AV4970">
            <v>217</v>
          </cell>
        </row>
        <row r="4971">
          <cell r="AV4971">
            <v>214</v>
          </cell>
        </row>
        <row r="4972">
          <cell r="AV4972">
            <v>214</v>
          </cell>
        </row>
        <row r="4973">
          <cell r="AV4973">
            <v>213</v>
          </cell>
        </row>
        <row r="4974">
          <cell r="AV4974">
            <v>213</v>
          </cell>
        </row>
        <row r="4975">
          <cell r="AV4975">
            <v>323</v>
          </cell>
        </row>
        <row r="4976">
          <cell r="AV4976">
            <v>305</v>
          </cell>
        </row>
        <row r="4977">
          <cell r="AV4977">
            <v>198</v>
          </cell>
        </row>
        <row r="4978">
          <cell r="AV4978">
            <v>312</v>
          </cell>
        </row>
        <row r="4979">
          <cell r="AV4979">
            <v>198</v>
          </cell>
        </row>
        <row r="4980">
          <cell r="AV4980">
            <v>232</v>
          </cell>
        </row>
        <row r="4981">
          <cell r="AV4981">
            <v>244</v>
          </cell>
        </row>
        <row r="4982">
          <cell r="AV4982">
            <v>244</v>
          </cell>
        </row>
        <row r="4983">
          <cell r="AV4983">
            <v>244</v>
          </cell>
        </row>
        <row r="4984">
          <cell r="AV4984">
            <v>244</v>
          </cell>
        </row>
        <row r="4985">
          <cell r="AV4985">
            <v>244</v>
          </cell>
        </row>
        <row r="4986">
          <cell r="AV4986">
            <v>244</v>
          </cell>
        </row>
        <row r="4987">
          <cell r="AV4987">
            <v>244</v>
          </cell>
        </row>
        <row r="4988">
          <cell r="AV4988">
            <v>244</v>
          </cell>
        </row>
        <row r="4989">
          <cell r="AV4989">
            <v>244</v>
          </cell>
        </row>
        <row r="4990">
          <cell r="AV4990">
            <v>244</v>
          </cell>
        </row>
        <row r="4991">
          <cell r="AV4991">
            <v>250</v>
          </cell>
        </row>
        <row r="4992">
          <cell r="AV4992">
            <v>306</v>
          </cell>
        </row>
        <row r="4993">
          <cell r="AV4993">
            <v>273</v>
          </cell>
        </row>
        <row r="4994">
          <cell r="AV4994">
            <v>312</v>
          </cell>
        </row>
        <row r="4995">
          <cell r="AV4995">
            <v>299</v>
          </cell>
        </row>
        <row r="4996">
          <cell r="AV4996">
            <v>223</v>
          </cell>
        </row>
        <row r="4997">
          <cell r="D4997" t="str">
            <v>GC-IB</v>
          </cell>
          <cell r="E4997" t="str">
            <v>Intermediate</v>
          </cell>
          <cell r="AV4997">
            <v>305</v>
          </cell>
        </row>
        <row r="4998">
          <cell r="AV4998">
            <v>198</v>
          </cell>
        </row>
        <row r="4999">
          <cell r="AV4999">
            <v>321</v>
          </cell>
        </row>
        <row r="5000">
          <cell r="AV5000">
            <v>217</v>
          </cell>
        </row>
        <row r="5001">
          <cell r="AV5001">
            <v>217</v>
          </cell>
        </row>
        <row r="5004">
          <cell r="AV5004">
            <v>349</v>
          </cell>
        </row>
        <row r="5005">
          <cell r="AV5005">
            <v>289</v>
          </cell>
        </row>
        <row r="5006">
          <cell r="AV5006">
            <v>289</v>
          </cell>
        </row>
        <row r="5007">
          <cell r="AV5007">
            <v>215</v>
          </cell>
        </row>
        <row r="5008">
          <cell r="AV5008">
            <v>228</v>
          </cell>
        </row>
        <row r="5009">
          <cell r="AV5009">
            <v>228</v>
          </cell>
        </row>
        <row r="5010">
          <cell r="AV5010">
            <v>228</v>
          </cell>
        </row>
        <row r="5011">
          <cell r="AV5011">
            <v>228</v>
          </cell>
        </row>
        <row r="5012">
          <cell r="AV5012">
            <v>228</v>
          </cell>
        </row>
        <row r="5013">
          <cell r="AV5013">
            <v>198</v>
          </cell>
        </row>
        <row r="5014">
          <cell r="AV5014">
            <v>208</v>
          </cell>
        </row>
        <row r="5015">
          <cell r="AV5015">
            <v>231</v>
          </cell>
        </row>
        <row r="5016">
          <cell r="AV5016">
            <v>195</v>
          </cell>
        </row>
        <row r="5017">
          <cell r="AV5017">
            <v>202</v>
          </cell>
        </row>
        <row r="5018">
          <cell r="AV5018">
            <v>335</v>
          </cell>
        </row>
        <row r="5019">
          <cell r="AV5019">
            <v>286</v>
          </cell>
        </row>
        <row r="5020">
          <cell r="AV5020">
            <v>227</v>
          </cell>
        </row>
        <row r="5021">
          <cell r="AV5021">
            <v>207</v>
          </cell>
        </row>
        <row r="5022">
          <cell r="AV5022">
            <v>210</v>
          </cell>
        </row>
        <row r="5023">
          <cell r="AV5023">
            <v>355</v>
          </cell>
        </row>
        <row r="5024">
          <cell r="AV5024">
            <v>243</v>
          </cell>
        </row>
        <row r="5025">
          <cell r="AV5025">
            <v>306</v>
          </cell>
        </row>
        <row r="5026">
          <cell r="AV5026">
            <v>198</v>
          </cell>
        </row>
        <row r="5027">
          <cell r="AV5027">
            <v>205</v>
          </cell>
        </row>
        <row r="5028">
          <cell r="AV5028">
            <v>205</v>
          </cell>
        </row>
        <row r="5029">
          <cell r="AV5029">
            <v>224</v>
          </cell>
        </row>
        <row r="5030">
          <cell r="AV5030">
            <v>305</v>
          </cell>
        </row>
        <row r="5031">
          <cell r="AV5031">
            <v>198</v>
          </cell>
        </row>
        <row r="5032">
          <cell r="AV5032">
            <v>243</v>
          </cell>
        </row>
        <row r="5033">
          <cell r="AV5033">
            <v>243</v>
          </cell>
        </row>
        <row r="5034">
          <cell r="AV5034">
            <v>243</v>
          </cell>
        </row>
        <row r="5035">
          <cell r="AV5035">
            <v>323</v>
          </cell>
        </row>
        <row r="5036">
          <cell r="AV5036">
            <v>289</v>
          </cell>
        </row>
        <row r="5037">
          <cell r="AV5037">
            <v>198</v>
          </cell>
        </row>
        <row r="5038">
          <cell r="AV5038">
            <v>305</v>
          </cell>
        </row>
        <row r="5039">
          <cell r="AV5039">
            <v>198</v>
          </cell>
        </row>
        <row r="5040">
          <cell r="AV5040">
            <v>357</v>
          </cell>
        </row>
        <row r="5041">
          <cell r="AV5041">
            <v>305</v>
          </cell>
        </row>
        <row r="5042">
          <cell r="AV5042">
            <v>351</v>
          </cell>
        </row>
        <row r="5043">
          <cell r="AV5043">
            <v>243</v>
          </cell>
        </row>
        <row r="5044">
          <cell r="AV5044">
            <v>183</v>
          </cell>
        </row>
        <row r="5045">
          <cell r="AV5045">
            <v>329</v>
          </cell>
        </row>
        <row r="5046">
          <cell r="AV5046">
            <v>250</v>
          </cell>
        </row>
        <row r="5047">
          <cell r="AV5047">
            <v>329</v>
          </cell>
        </row>
        <row r="5048">
          <cell r="AV5048">
            <v>218</v>
          </cell>
        </row>
        <row r="5049">
          <cell r="AV5049">
            <v>250</v>
          </cell>
        </row>
        <row r="5050">
          <cell r="AV5050">
            <v>250</v>
          </cell>
        </row>
        <row r="5051">
          <cell r="AV5051">
            <v>250</v>
          </cell>
        </row>
        <row r="5052">
          <cell r="AV5052">
            <v>250</v>
          </cell>
        </row>
        <row r="5053">
          <cell r="AV5053">
            <v>250</v>
          </cell>
        </row>
        <row r="5054">
          <cell r="AV5054">
            <v>250</v>
          </cell>
        </row>
        <row r="5055">
          <cell r="AV5055">
            <v>250</v>
          </cell>
        </row>
        <row r="5056">
          <cell r="AV5056">
            <v>250</v>
          </cell>
        </row>
        <row r="5057">
          <cell r="D5057" t="str">
            <v>Oncology</v>
          </cell>
          <cell r="AV5057">
            <v>250</v>
          </cell>
        </row>
        <row r="5058">
          <cell r="AV5058">
            <v>189</v>
          </cell>
        </row>
        <row r="5059">
          <cell r="AV5059">
            <v>365</v>
          </cell>
        </row>
        <row r="5060">
          <cell r="AV5060">
            <v>260</v>
          </cell>
        </row>
        <row r="5061">
          <cell r="AV5061">
            <v>321</v>
          </cell>
        </row>
        <row r="5062">
          <cell r="AV5062">
            <v>327</v>
          </cell>
        </row>
        <row r="5063">
          <cell r="AV5063">
            <v>222</v>
          </cell>
        </row>
        <row r="5064">
          <cell r="AV5064">
            <v>220</v>
          </cell>
        </row>
        <row r="5065">
          <cell r="AV5065">
            <v>286</v>
          </cell>
        </row>
        <row r="5066">
          <cell r="AV5066">
            <v>221</v>
          </cell>
        </row>
        <row r="5067">
          <cell r="AV5067">
            <v>250</v>
          </cell>
        </row>
        <row r="5068">
          <cell r="AV5068">
            <v>331</v>
          </cell>
        </row>
        <row r="5069">
          <cell r="AV5069">
            <v>319</v>
          </cell>
        </row>
        <row r="5070">
          <cell r="AV5070">
            <v>319</v>
          </cell>
        </row>
        <row r="5071">
          <cell r="AV5071">
            <v>319</v>
          </cell>
        </row>
        <row r="5072">
          <cell r="AV5072">
            <v>319</v>
          </cell>
        </row>
        <row r="5073">
          <cell r="AV5073">
            <v>319</v>
          </cell>
        </row>
        <row r="5074">
          <cell r="AV5074">
            <v>319</v>
          </cell>
        </row>
        <row r="5075">
          <cell r="AV5075">
            <v>319</v>
          </cell>
        </row>
        <row r="5076">
          <cell r="AV5076">
            <v>319</v>
          </cell>
        </row>
        <row r="5077">
          <cell r="AV5077">
            <v>319</v>
          </cell>
        </row>
        <row r="5078">
          <cell r="AV5078">
            <v>319</v>
          </cell>
        </row>
        <row r="5079">
          <cell r="AV5079">
            <v>319</v>
          </cell>
        </row>
        <row r="5080">
          <cell r="AV5080">
            <v>319</v>
          </cell>
        </row>
        <row r="5081">
          <cell r="AV5081">
            <v>198</v>
          </cell>
        </row>
        <row r="5082">
          <cell r="AV5082">
            <v>316</v>
          </cell>
        </row>
        <row r="5083">
          <cell r="AV5083">
            <v>329</v>
          </cell>
        </row>
        <row r="5084">
          <cell r="AV5084">
            <v>260</v>
          </cell>
        </row>
        <row r="5085">
          <cell r="AV5085">
            <v>295</v>
          </cell>
        </row>
        <row r="5086">
          <cell r="AV5086">
            <v>350</v>
          </cell>
        </row>
        <row r="5087">
          <cell r="AV5087">
            <v>289</v>
          </cell>
        </row>
        <row r="5088">
          <cell r="AV5088">
            <v>207</v>
          </cell>
        </row>
        <row r="5089">
          <cell r="AV5089">
            <v>207</v>
          </cell>
        </row>
        <row r="5090">
          <cell r="AV5090">
            <v>307</v>
          </cell>
        </row>
        <row r="5091">
          <cell r="AV5091">
            <v>260</v>
          </cell>
        </row>
        <row r="5092">
          <cell r="AV5092">
            <v>289</v>
          </cell>
        </row>
        <row r="5093">
          <cell r="AV5093">
            <v>285</v>
          </cell>
        </row>
        <row r="5094">
          <cell r="AV5094">
            <v>282</v>
          </cell>
        </row>
        <row r="5095">
          <cell r="AV5095">
            <v>300</v>
          </cell>
        </row>
        <row r="5096">
          <cell r="AV5096">
            <v>351</v>
          </cell>
        </row>
        <row r="5097">
          <cell r="AV5097">
            <v>312</v>
          </cell>
        </row>
        <row r="5098">
          <cell r="AV5098">
            <v>307</v>
          </cell>
        </row>
        <row r="5099">
          <cell r="AV5099">
            <v>238</v>
          </cell>
        </row>
        <row r="5100">
          <cell r="AV5100">
            <v>280</v>
          </cell>
        </row>
        <row r="5101">
          <cell r="AV5101">
            <v>286</v>
          </cell>
        </row>
        <row r="5102">
          <cell r="AV5102">
            <v>289</v>
          </cell>
        </row>
        <row r="5103">
          <cell r="AV5103">
            <v>323</v>
          </cell>
        </row>
        <row r="5104">
          <cell r="AV5104">
            <v>240</v>
          </cell>
        </row>
        <row r="5105">
          <cell r="AV5105">
            <v>187</v>
          </cell>
        </row>
        <row r="5106">
          <cell r="AV5106">
            <v>189</v>
          </cell>
        </row>
        <row r="5107">
          <cell r="AV5107">
            <v>250</v>
          </cell>
        </row>
        <row r="5108">
          <cell r="AV5108">
            <v>232</v>
          </cell>
        </row>
        <row r="5109">
          <cell r="D5109" t="str">
            <v>R&amp;D</v>
          </cell>
          <cell r="AV5109">
            <v>224</v>
          </cell>
        </row>
        <row r="5110">
          <cell r="AV5110">
            <v>364</v>
          </cell>
        </row>
        <row r="5111">
          <cell r="E5111" t="str">
            <v>Pharma</v>
          </cell>
          <cell r="AV5111">
            <v>289</v>
          </cell>
          <cell r="BJ5111" t="str">
            <v>PLANT&amp; MACHINERY</v>
          </cell>
        </row>
        <row r="5112">
          <cell r="E5112" t="str">
            <v>GF</v>
          </cell>
          <cell r="AV5112">
            <v>365</v>
          </cell>
        </row>
        <row r="5113">
          <cell r="E5113" t="str">
            <v>GF</v>
          </cell>
          <cell r="AV5113">
            <v>365</v>
          </cell>
        </row>
        <row r="5114">
          <cell r="E5114" t="str">
            <v>GF</v>
          </cell>
          <cell r="AV5114">
            <v>365</v>
          </cell>
        </row>
        <row r="5115">
          <cell r="E5115" t="str">
            <v>GF</v>
          </cell>
          <cell r="AV5115">
            <v>365</v>
          </cell>
        </row>
        <row r="5116">
          <cell r="E5116" t="str">
            <v>FF</v>
          </cell>
          <cell r="AV5116">
            <v>365</v>
          </cell>
        </row>
        <row r="5117">
          <cell r="E5117" t="str">
            <v>GF</v>
          </cell>
          <cell r="AV5117">
            <v>365</v>
          </cell>
        </row>
        <row r="5118">
          <cell r="E5118" t="str">
            <v>FF</v>
          </cell>
          <cell r="AV5118">
            <v>365</v>
          </cell>
        </row>
        <row r="5119">
          <cell r="E5119" t="str">
            <v>GF</v>
          </cell>
          <cell r="AV5119">
            <v>305</v>
          </cell>
        </row>
        <row r="5120">
          <cell r="E5120" t="str">
            <v>FF (50%)</v>
          </cell>
          <cell r="AV5120">
            <v>335</v>
          </cell>
        </row>
        <row r="5121">
          <cell r="E5121" t="str">
            <v>FF (50%)</v>
          </cell>
          <cell r="AV5121">
            <v>335</v>
          </cell>
        </row>
        <row r="5122">
          <cell r="E5122" t="str">
            <v>1B Inter</v>
          </cell>
          <cell r="AV5122">
            <v>305</v>
          </cell>
        </row>
        <row r="5123">
          <cell r="E5123" t="str">
            <v>1B Pharma</v>
          </cell>
          <cell r="AV5123">
            <v>289</v>
          </cell>
        </row>
        <row r="5124">
          <cell r="E5124" t="str">
            <v>1C Inter</v>
          </cell>
          <cell r="AV5124">
            <v>335</v>
          </cell>
        </row>
        <row r="5125">
          <cell r="E5125" t="str">
            <v>GF</v>
          </cell>
          <cell r="AV5125">
            <v>365</v>
          </cell>
        </row>
        <row r="5126">
          <cell r="E5126" t="str">
            <v>GF</v>
          </cell>
          <cell r="AV5126">
            <v>365</v>
          </cell>
        </row>
        <row r="5127">
          <cell r="E5127" t="str">
            <v>GF</v>
          </cell>
          <cell r="AV5127">
            <v>365</v>
          </cell>
        </row>
        <row r="5128">
          <cell r="E5128" t="str">
            <v>GF</v>
          </cell>
          <cell r="AV5128">
            <v>365</v>
          </cell>
        </row>
        <row r="5129">
          <cell r="E5129" t="str">
            <v>FF</v>
          </cell>
          <cell r="AV5129">
            <v>289</v>
          </cell>
        </row>
        <row r="5130">
          <cell r="E5130" t="str">
            <v>GF (50%)</v>
          </cell>
          <cell r="AV5130">
            <v>365</v>
          </cell>
        </row>
        <row r="5131">
          <cell r="E5131" t="str">
            <v>GF (50%)</v>
          </cell>
          <cell r="AV5131">
            <v>274</v>
          </cell>
        </row>
        <row r="5132">
          <cell r="E5132" t="str">
            <v>GF</v>
          </cell>
          <cell r="AV5132">
            <v>320</v>
          </cell>
        </row>
        <row r="5133">
          <cell r="E5133" t="str">
            <v>FF</v>
          </cell>
          <cell r="AV5133">
            <v>320</v>
          </cell>
        </row>
        <row r="5134">
          <cell r="E5134" t="str">
            <v>GF</v>
          </cell>
          <cell r="AV5134">
            <v>198</v>
          </cell>
        </row>
        <row r="5135">
          <cell r="E5135" t="str">
            <v>FF</v>
          </cell>
          <cell r="AV5135">
            <v>198</v>
          </cell>
        </row>
        <row r="5136">
          <cell r="E5136" t="str">
            <v>GF</v>
          </cell>
          <cell r="AV5136">
            <v>250</v>
          </cell>
        </row>
        <row r="5137">
          <cell r="E5137" t="str">
            <v>FF</v>
          </cell>
          <cell r="AV5137">
            <v>250</v>
          </cell>
        </row>
        <row r="5138">
          <cell r="AV5138">
            <v>320</v>
          </cell>
        </row>
        <row r="5139">
          <cell r="AV5139">
            <v>274</v>
          </cell>
        </row>
        <row r="5140">
          <cell r="AV5140">
            <v>183</v>
          </cell>
        </row>
        <row r="5141">
          <cell r="AV5141">
            <v>243</v>
          </cell>
        </row>
        <row r="5142">
          <cell r="AV5142">
            <v>365</v>
          </cell>
        </row>
        <row r="5143">
          <cell r="AV5143">
            <v>365</v>
          </cell>
        </row>
        <row r="5144">
          <cell r="AV5144">
            <v>365</v>
          </cell>
        </row>
        <row r="5145">
          <cell r="AV5145">
            <v>365</v>
          </cell>
        </row>
        <row r="5146">
          <cell r="E5146" t="str">
            <v>GF</v>
          </cell>
          <cell r="AV5146">
            <v>305</v>
          </cell>
        </row>
        <row r="5147">
          <cell r="E5147" t="str">
            <v>FF (50%)</v>
          </cell>
          <cell r="AV5147">
            <v>335</v>
          </cell>
        </row>
        <row r="5148">
          <cell r="E5148" t="str">
            <v>FF (50%)</v>
          </cell>
          <cell r="AV5148">
            <v>335</v>
          </cell>
        </row>
        <row r="5149">
          <cell r="E5149" t="str">
            <v>1B Inter</v>
          </cell>
          <cell r="AV5149">
            <v>305</v>
          </cell>
        </row>
        <row r="5150">
          <cell r="E5150" t="str">
            <v>1B Pharma</v>
          </cell>
          <cell r="AV5150">
            <v>289</v>
          </cell>
        </row>
        <row r="5151">
          <cell r="E5151" t="str">
            <v>1C Inter</v>
          </cell>
          <cell r="AV5151">
            <v>335</v>
          </cell>
        </row>
        <row r="5152">
          <cell r="E5152" t="str">
            <v>GF</v>
          </cell>
          <cell r="AV5152">
            <v>365</v>
          </cell>
        </row>
        <row r="5153">
          <cell r="E5153" t="str">
            <v>GF (50%)</v>
          </cell>
          <cell r="AV5153">
            <v>365</v>
          </cell>
        </row>
        <row r="5154">
          <cell r="E5154" t="str">
            <v>GF (50%)</v>
          </cell>
          <cell r="AV5154">
            <v>274</v>
          </cell>
        </row>
        <row r="5155">
          <cell r="E5155" t="str">
            <v>GF</v>
          </cell>
          <cell r="AV5155">
            <v>365</v>
          </cell>
        </row>
        <row r="5156">
          <cell r="E5156" t="str">
            <v>GF</v>
          </cell>
          <cell r="AV5156">
            <v>320</v>
          </cell>
        </row>
        <row r="5157">
          <cell r="E5157" t="str">
            <v>FF</v>
          </cell>
          <cell r="AV5157">
            <v>320</v>
          </cell>
        </row>
        <row r="5158">
          <cell r="E5158" t="str">
            <v>GF</v>
          </cell>
          <cell r="AV5158">
            <v>198</v>
          </cell>
        </row>
        <row r="5159">
          <cell r="E5159" t="str">
            <v>FF</v>
          </cell>
          <cell r="AV5159">
            <v>198</v>
          </cell>
        </row>
        <row r="5160">
          <cell r="E5160" t="str">
            <v>GF</v>
          </cell>
          <cell r="AV5160">
            <v>250</v>
          </cell>
        </row>
        <row r="5161">
          <cell r="E5161" t="str">
            <v>FF</v>
          </cell>
          <cell r="AV5161">
            <v>250</v>
          </cell>
        </row>
        <row r="5162">
          <cell r="AV5162">
            <v>320</v>
          </cell>
        </row>
        <row r="5163">
          <cell r="AV5163">
            <v>274</v>
          </cell>
        </row>
        <row r="5164">
          <cell r="AV5164">
            <v>183</v>
          </cell>
        </row>
        <row r="5165">
          <cell r="AV5165">
            <v>243</v>
          </cell>
        </row>
        <row r="5166">
          <cell r="AV5166">
            <v>197</v>
          </cell>
        </row>
        <row r="5167">
          <cell r="AV5167">
            <v>195</v>
          </cell>
        </row>
        <row r="5168">
          <cell r="AV5168">
            <v>215</v>
          </cell>
        </row>
        <row r="5169">
          <cell r="AV5169">
            <v>201</v>
          </cell>
        </row>
        <row r="5170">
          <cell r="AV5170">
            <v>201</v>
          </cell>
        </row>
        <row r="5171">
          <cell r="AV5171">
            <v>196</v>
          </cell>
        </row>
        <row r="5172">
          <cell r="AV5172">
            <v>184</v>
          </cell>
        </row>
        <row r="5173">
          <cell r="AV5173">
            <v>197</v>
          </cell>
        </row>
        <row r="5174">
          <cell r="AV5174">
            <v>176</v>
          </cell>
          <cell r="BF5174">
            <v>39300</v>
          </cell>
        </row>
        <row r="5175">
          <cell r="AV5175">
            <v>176</v>
          </cell>
          <cell r="BF5175">
            <v>29500</v>
          </cell>
        </row>
        <row r="5176">
          <cell r="AV5176">
            <v>176</v>
          </cell>
          <cell r="BF5176">
            <v>120500</v>
          </cell>
        </row>
        <row r="5177">
          <cell r="AV5177">
            <v>175</v>
          </cell>
          <cell r="BF5177">
            <v>32965</v>
          </cell>
        </row>
        <row r="5178">
          <cell r="AV5178">
            <v>222</v>
          </cell>
        </row>
        <row r="5179">
          <cell r="AV5179">
            <v>167</v>
          </cell>
          <cell r="BF5179">
            <v>11730</v>
          </cell>
        </row>
        <row r="5180">
          <cell r="AV5180">
            <v>207</v>
          </cell>
        </row>
        <row r="5181">
          <cell r="AV5181">
            <v>207</v>
          </cell>
        </row>
        <row r="5182">
          <cell r="AV5182">
            <v>168</v>
          </cell>
          <cell r="BF5182">
            <v>26871</v>
          </cell>
        </row>
        <row r="5183">
          <cell r="AV5183">
            <v>168</v>
          </cell>
          <cell r="BF5183">
            <v>63450</v>
          </cell>
        </row>
        <row r="5184">
          <cell r="AV5184">
            <v>162</v>
          </cell>
          <cell r="BF5184">
            <v>7920</v>
          </cell>
        </row>
        <row r="5185">
          <cell r="AV5185">
            <v>177</v>
          </cell>
          <cell r="BF5185">
            <v>9000</v>
          </cell>
        </row>
        <row r="5186">
          <cell r="AV5186">
            <v>181</v>
          </cell>
        </row>
        <row r="5187">
          <cell r="AV5187">
            <v>203</v>
          </cell>
        </row>
        <row r="5188">
          <cell r="AV5188">
            <v>203</v>
          </cell>
        </row>
        <row r="5189">
          <cell r="AV5189">
            <v>178</v>
          </cell>
          <cell r="BF5189">
            <v>1294383.25</v>
          </cell>
        </row>
        <row r="5190">
          <cell r="AV5190">
            <v>186</v>
          </cell>
        </row>
        <row r="5191">
          <cell r="AV5191">
            <v>189</v>
          </cell>
          <cell r="BJ5191" t="str">
            <v>provision</v>
          </cell>
        </row>
        <row r="5192">
          <cell r="AV5192">
            <v>189</v>
          </cell>
          <cell r="BJ5192" t="str">
            <v>provision</v>
          </cell>
        </row>
        <row r="5193">
          <cell r="AV5193">
            <v>183</v>
          </cell>
          <cell r="BJ5193" t="str">
            <v>provision</v>
          </cell>
        </row>
        <row r="5194">
          <cell r="AV5194">
            <v>188</v>
          </cell>
          <cell r="BJ5194" t="str">
            <v>Provision</v>
          </cell>
        </row>
        <row r="5195">
          <cell r="AV5195">
            <v>249</v>
          </cell>
          <cell r="BJ5195" t="str">
            <v>Provision</v>
          </cell>
        </row>
        <row r="5196">
          <cell r="AV5196">
            <v>202</v>
          </cell>
          <cell r="BJ5196" t="str">
            <v>Provision</v>
          </cell>
        </row>
        <row r="5197">
          <cell r="AV5197">
            <v>208</v>
          </cell>
          <cell r="BJ5197" t="str">
            <v>Provision</v>
          </cell>
        </row>
        <row r="5198">
          <cell r="AV5198">
            <v>183</v>
          </cell>
          <cell r="BJ5198" t="str">
            <v>provision</v>
          </cell>
        </row>
        <row r="5199">
          <cell r="AV5199">
            <v>207</v>
          </cell>
          <cell r="BJ5199" t="str">
            <v>provision</v>
          </cell>
        </row>
        <row r="5200">
          <cell r="AV5200">
            <v>207</v>
          </cell>
          <cell r="BJ5200" t="str">
            <v>provision</v>
          </cell>
        </row>
        <row r="5201">
          <cell r="AV5201">
            <v>204</v>
          </cell>
          <cell r="BJ5201" t="str">
            <v>provision</v>
          </cell>
        </row>
        <row r="5202">
          <cell r="AV5202">
            <v>186</v>
          </cell>
          <cell r="BJ5202" t="str">
            <v>provision</v>
          </cell>
        </row>
        <row r="5203">
          <cell r="AV5203">
            <v>186</v>
          </cell>
          <cell r="BJ5203" t="str">
            <v>provision</v>
          </cell>
        </row>
        <row r="5204">
          <cell r="AV5204">
            <v>189</v>
          </cell>
          <cell r="BJ5204" t="str">
            <v>provision</v>
          </cell>
        </row>
        <row r="5205">
          <cell r="AV5205">
            <v>124</v>
          </cell>
          <cell r="BF5205">
            <v>492800</v>
          </cell>
        </row>
        <row r="5206">
          <cell r="AV5206">
            <v>124</v>
          </cell>
          <cell r="BF5206">
            <v>264000</v>
          </cell>
        </row>
        <row r="5207">
          <cell r="AV5207">
            <v>124</v>
          </cell>
          <cell r="BF5207">
            <v>211200</v>
          </cell>
        </row>
        <row r="5208">
          <cell r="AV5208">
            <v>194</v>
          </cell>
          <cell r="BJ5208" t="str">
            <v>provision</v>
          </cell>
        </row>
        <row r="5209">
          <cell r="AV5209">
            <v>298</v>
          </cell>
          <cell r="BJ5209" t="str">
            <v>provision</v>
          </cell>
        </row>
        <row r="5210">
          <cell r="AV5210">
            <v>298</v>
          </cell>
          <cell r="BJ5210" t="str">
            <v>provision</v>
          </cell>
        </row>
        <row r="5211">
          <cell r="E5211" t="str">
            <v>FF</v>
          </cell>
          <cell r="F5211" t="str">
            <v>SUITE IV (NON - ONCO)</v>
          </cell>
          <cell r="AV5211">
            <v>298</v>
          </cell>
          <cell r="BJ5211" t="str">
            <v>provision</v>
          </cell>
        </row>
        <row r="5212">
          <cell r="AV5212">
            <v>226</v>
          </cell>
          <cell r="BJ5212" t="str">
            <v>provision</v>
          </cell>
        </row>
        <row r="5213">
          <cell r="AV5213">
            <v>180</v>
          </cell>
        </row>
        <row r="5214">
          <cell r="AV5214">
            <v>193</v>
          </cell>
          <cell r="BJ5214" t="str">
            <v>Provision</v>
          </cell>
        </row>
        <row r="5215">
          <cell r="AV5215">
            <v>189</v>
          </cell>
          <cell r="BJ5215" t="str">
            <v>Provision</v>
          </cell>
        </row>
        <row r="5216">
          <cell r="AV5216">
            <v>188</v>
          </cell>
          <cell r="BJ5216" t="str">
            <v>Provision</v>
          </cell>
        </row>
        <row r="5217">
          <cell r="AV5217">
            <v>265</v>
          </cell>
          <cell r="BJ5217" t="str">
            <v>Provision</v>
          </cell>
        </row>
        <row r="5218">
          <cell r="AV5218">
            <v>188</v>
          </cell>
        </row>
        <row r="5219">
          <cell r="AV5219">
            <v>221</v>
          </cell>
          <cell r="BJ5219" t="str">
            <v>provision</v>
          </cell>
        </row>
        <row r="5220">
          <cell r="E5220" t="str">
            <v>FF</v>
          </cell>
          <cell r="AV5220">
            <v>193</v>
          </cell>
        </row>
        <row r="5221">
          <cell r="AV5221">
            <v>171</v>
          </cell>
          <cell r="BF5221">
            <v>21355</v>
          </cell>
        </row>
        <row r="5222">
          <cell r="AV5222">
            <v>178</v>
          </cell>
          <cell r="BF5222">
            <v>16173</v>
          </cell>
        </row>
        <row r="5223">
          <cell r="AV5223">
            <v>154</v>
          </cell>
          <cell r="BF5223">
            <v>224258</v>
          </cell>
        </row>
        <row r="5224">
          <cell r="AV5224">
            <v>212</v>
          </cell>
        </row>
        <row r="5225">
          <cell r="BF5225">
            <v>2921268</v>
          </cell>
        </row>
        <row r="5226">
          <cell r="BF5226">
            <v>6302303</v>
          </cell>
        </row>
        <row r="5227">
          <cell r="BF5227">
            <v>25000</v>
          </cell>
        </row>
        <row r="5228">
          <cell r="AV5228">
            <v>298</v>
          </cell>
        </row>
        <row r="5229">
          <cell r="AV5229">
            <v>311</v>
          </cell>
        </row>
        <row r="5230">
          <cell r="AV5230">
            <v>225</v>
          </cell>
        </row>
        <row r="5231">
          <cell r="AV5231">
            <v>151</v>
          </cell>
          <cell r="BF5231">
            <v>97321</v>
          </cell>
        </row>
        <row r="5232">
          <cell r="AV5232">
            <v>140</v>
          </cell>
          <cell r="BF5232">
            <v>38318</v>
          </cell>
        </row>
        <row r="5233">
          <cell r="AV5233">
            <v>162</v>
          </cell>
          <cell r="BF5233">
            <v>94863</v>
          </cell>
        </row>
        <row r="5234">
          <cell r="AV5234">
            <v>151</v>
          </cell>
          <cell r="BF5234">
            <v>240836</v>
          </cell>
        </row>
        <row r="5235">
          <cell r="AV5235">
            <v>153</v>
          </cell>
          <cell r="BF5235">
            <v>79500</v>
          </cell>
        </row>
        <row r="5236">
          <cell r="AV5236">
            <v>173</v>
          </cell>
          <cell r="BF5236">
            <v>753</v>
          </cell>
        </row>
        <row r="5237">
          <cell r="AV5237">
            <v>165</v>
          </cell>
          <cell r="BF5237">
            <v>18085</v>
          </cell>
        </row>
        <row r="5238">
          <cell r="AV5238">
            <v>148</v>
          </cell>
          <cell r="BF5238">
            <v>21000</v>
          </cell>
        </row>
        <row r="5239">
          <cell r="AV5239">
            <v>274</v>
          </cell>
        </row>
        <row r="5240">
          <cell r="AV5240">
            <v>208</v>
          </cell>
        </row>
        <row r="5241">
          <cell r="AV5241">
            <v>365</v>
          </cell>
        </row>
        <row r="5242">
          <cell r="AV5242">
            <v>365</v>
          </cell>
        </row>
        <row r="5243">
          <cell r="AV5243">
            <v>141</v>
          </cell>
          <cell r="BF5243">
            <v>12388</v>
          </cell>
        </row>
        <row r="5244">
          <cell r="AV5244">
            <v>234</v>
          </cell>
        </row>
        <row r="5245">
          <cell r="AV5245">
            <v>234</v>
          </cell>
        </row>
        <row r="5246">
          <cell r="AV5246">
            <v>234</v>
          </cell>
        </row>
        <row r="5247">
          <cell r="AV5247">
            <v>234</v>
          </cell>
        </row>
        <row r="5248">
          <cell r="AV5248">
            <v>234</v>
          </cell>
        </row>
        <row r="5249">
          <cell r="AV5249">
            <v>234</v>
          </cell>
        </row>
        <row r="5250">
          <cell r="AV5250">
            <v>234</v>
          </cell>
        </row>
        <row r="5251">
          <cell r="AV5251">
            <v>234</v>
          </cell>
        </row>
        <row r="5252">
          <cell r="AV5252">
            <v>234</v>
          </cell>
        </row>
        <row r="5253">
          <cell r="AV5253">
            <v>234</v>
          </cell>
        </row>
        <row r="5254">
          <cell r="AV5254">
            <v>234</v>
          </cell>
        </row>
        <row r="5255">
          <cell r="AV5255">
            <v>234</v>
          </cell>
        </row>
        <row r="5256">
          <cell r="AV5256">
            <v>234</v>
          </cell>
        </row>
        <row r="5257">
          <cell r="AV5257">
            <v>234</v>
          </cell>
        </row>
        <row r="5258">
          <cell r="AV5258">
            <v>234</v>
          </cell>
        </row>
        <row r="5259">
          <cell r="AV5259">
            <v>168</v>
          </cell>
          <cell r="BF5259">
            <v>35250</v>
          </cell>
        </row>
        <row r="5260">
          <cell r="AV5260">
            <v>173</v>
          </cell>
          <cell r="BF5260">
            <v>45500</v>
          </cell>
        </row>
        <row r="5261">
          <cell r="AV5261">
            <v>162</v>
          </cell>
          <cell r="BF5261">
            <v>21600</v>
          </cell>
        </row>
        <row r="5262">
          <cell r="AV5262">
            <v>162</v>
          </cell>
          <cell r="BF5262">
            <v>27000</v>
          </cell>
        </row>
        <row r="5263">
          <cell r="AV5263">
            <v>162</v>
          </cell>
          <cell r="BF5263">
            <v>81900</v>
          </cell>
        </row>
        <row r="5264">
          <cell r="AV5264">
            <v>162</v>
          </cell>
          <cell r="BF5264">
            <v>26100</v>
          </cell>
        </row>
        <row r="5265">
          <cell r="AV5265">
            <v>162</v>
          </cell>
          <cell r="BF5265">
            <v>4050</v>
          </cell>
        </row>
        <row r="5266">
          <cell r="AV5266">
            <v>169</v>
          </cell>
          <cell r="BF5266">
            <v>27200</v>
          </cell>
        </row>
        <row r="5267">
          <cell r="AV5267">
            <v>169</v>
          </cell>
          <cell r="BF5267">
            <v>25500</v>
          </cell>
        </row>
        <row r="5268">
          <cell r="AV5268">
            <v>169</v>
          </cell>
          <cell r="BF5268">
            <v>5100</v>
          </cell>
        </row>
        <row r="5269">
          <cell r="AV5269">
            <v>169</v>
          </cell>
          <cell r="BF5269">
            <v>4463</v>
          </cell>
        </row>
        <row r="5270">
          <cell r="AV5270">
            <v>169</v>
          </cell>
          <cell r="BF5270">
            <v>5100</v>
          </cell>
        </row>
        <row r="5271">
          <cell r="AV5271">
            <v>169</v>
          </cell>
          <cell r="BF5271">
            <v>5100</v>
          </cell>
        </row>
        <row r="5272">
          <cell r="AV5272">
            <v>169</v>
          </cell>
          <cell r="BF5272">
            <v>17595</v>
          </cell>
        </row>
        <row r="5273">
          <cell r="AV5273">
            <v>169</v>
          </cell>
          <cell r="BF5273">
            <v>14662</v>
          </cell>
        </row>
        <row r="5274">
          <cell r="AV5274">
            <v>154</v>
          </cell>
          <cell r="BF5274">
            <v>49140</v>
          </cell>
        </row>
        <row r="5275">
          <cell r="AV5275">
            <v>154</v>
          </cell>
          <cell r="BF5275">
            <v>12000</v>
          </cell>
        </row>
        <row r="5276">
          <cell r="AV5276">
            <v>177</v>
          </cell>
          <cell r="BF5276">
            <v>33972</v>
          </cell>
        </row>
        <row r="5277">
          <cell r="AV5277">
            <v>165</v>
          </cell>
          <cell r="BF5277">
            <v>10000</v>
          </cell>
        </row>
        <row r="5278">
          <cell r="AV5278">
            <v>177</v>
          </cell>
          <cell r="BF5278">
            <v>38572</v>
          </cell>
        </row>
        <row r="5279">
          <cell r="AV5279">
            <v>177</v>
          </cell>
          <cell r="BF5279">
            <v>29400</v>
          </cell>
        </row>
        <row r="5280">
          <cell r="AV5280">
            <v>177</v>
          </cell>
          <cell r="BF5280">
            <v>17640</v>
          </cell>
        </row>
        <row r="5281">
          <cell r="AV5281">
            <v>177</v>
          </cell>
          <cell r="BF5281">
            <v>10585</v>
          </cell>
        </row>
        <row r="5282">
          <cell r="AV5282">
            <v>177</v>
          </cell>
          <cell r="BF5282">
            <v>6663</v>
          </cell>
        </row>
        <row r="5283">
          <cell r="AV5283">
            <v>177</v>
          </cell>
          <cell r="BF5283">
            <v>7632</v>
          </cell>
        </row>
        <row r="5284">
          <cell r="AV5284">
            <v>177</v>
          </cell>
          <cell r="BF5284">
            <v>637</v>
          </cell>
        </row>
        <row r="5285">
          <cell r="AV5285">
            <v>177</v>
          </cell>
          <cell r="BF5285">
            <v>16346</v>
          </cell>
        </row>
        <row r="5286">
          <cell r="AV5286">
            <v>177</v>
          </cell>
          <cell r="BF5286">
            <v>16346</v>
          </cell>
        </row>
        <row r="5287">
          <cell r="AV5287">
            <v>179</v>
          </cell>
          <cell r="BF5287">
            <v>122770</v>
          </cell>
        </row>
        <row r="5288">
          <cell r="AV5288">
            <v>179</v>
          </cell>
          <cell r="BF5288">
            <v>16150</v>
          </cell>
        </row>
        <row r="5289">
          <cell r="AV5289">
            <v>174</v>
          </cell>
          <cell r="BF5289">
            <v>70000</v>
          </cell>
        </row>
        <row r="5290">
          <cell r="E5290" t="str">
            <v>UTILITY</v>
          </cell>
          <cell r="AV5290">
            <v>172</v>
          </cell>
          <cell r="BF5290">
            <v>3600000</v>
          </cell>
        </row>
        <row r="5291">
          <cell r="AV5291">
            <v>365</v>
          </cell>
        </row>
        <row r="5292">
          <cell r="AV5292">
            <v>365</v>
          </cell>
        </row>
        <row r="5293">
          <cell r="AV5293">
            <v>365</v>
          </cell>
        </row>
        <row r="5294">
          <cell r="AV5294">
            <v>365</v>
          </cell>
        </row>
        <row r="5295">
          <cell r="AV5295">
            <v>365</v>
          </cell>
        </row>
        <row r="5296">
          <cell r="AV5296">
            <v>365</v>
          </cell>
        </row>
        <row r="5297">
          <cell r="AV5297">
            <v>147</v>
          </cell>
          <cell r="BF5297">
            <v>142000</v>
          </cell>
        </row>
        <row r="5298">
          <cell r="AV5298">
            <v>142</v>
          </cell>
          <cell r="BF5298">
            <v>93980</v>
          </cell>
        </row>
        <row r="5299">
          <cell r="AV5299">
            <v>149</v>
          </cell>
          <cell r="BF5299">
            <v>39900</v>
          </cell>
        </row>
        <row r="5300">
          <cell r="AV5300">
            <v>127</v>
          </cell>
          <cell r="BF5300">
            <v>119250</v>
          </cell>
        </row>
        <row r="5301">
          <cell r="AV5301">
            <v>177</v>
          </cell>
          <cell r="BF5301">
            <v>10500</v>
          </cell>
        </row>
        <row r="5302">
          <cell r="AV5302">
            <v>139</v>
          </cell>
          <cell r="BF5302">
            <v>63731.25</v>
          </cell>
        </row>
        <row r="5303">
          <cell r="AV5303">
            <v>139</v>
          </cell>
          <cell r="BF5303">
            <v>3822.36</v>
          </cell>
        </row>
        <row r="5304">
          <cell r="AV5304">
            <v>139</v>
          </cell>
          <cell r="BF5304">
            <v>8497.5</v>
          </cell>
        </row>
        <row r="5305">
          <cell r="AV5305">
            <v>139</v>
          </cell>
          <cell r="BF5305">
            <v>84125.25</v>
          </cell>
        </row>
        <row r="5306">
          <cell r="AV5306">
            <v>167</v>
          </cell>
          <cell r="BF5306">
            <v>66459</v>
          </cell>
        </row>
        <row r="5307">
          <cell r="AV5307">
            <v>179</v>
          </cell>
          <cell r="BF5307">
            <v>5142</v>
          </cell>
        </row>
        <row r="5308">
          <cell r="AV5308">
            <v>170</v>
          </cell>
          <cell r="BF5308">
            <v>25414</v>
          </cell>
        </row>
        <row r="5309">
          <cell r="AV5309">
            <v>180</v>
          </cell>
        </row>
        <row r="5310">
          <cell r="AV5310">
            <v>127</v>
          </cell>
          <cell r="BF5310">
            <v>266400</v>
          </cell>
        </row>
        <row r="5311">
          <cell r="AV5311">
            <v>122</v>
          </cell>
          <cell r="BF5311">
            <v>6770</v>
          </cell>
        </row>
        <row r="5312">
          <cell r="AV5312">
            <v>365</v>
          </cell>
        </row>
        <row r="5313">
          <cell r="AV5313">
            <v>315</v>
          </cell>
        </row>
        <row r="5314">
          <cell r="AV5314">
            <v>223</v>
          </cell>
        </row>
        <row r="5315">
          <cell r="AV5315">
            <v>117</v>
          </cell>
          <cell r="BF5315">
            <v>19950</v>
          </cell>
        </row>
        <row r="5316">
          <cell r="AV5316">
            <v>245</v>
          </cell>
        </row>
        <row r="5317">
          <cell r="AV5317">
            <v>189</v>
          </cell>
        </row>
        <row r="5318">
          <cell r="AV5318">
            <v>140</v>
          </cell>
          <cell r="BF5318">
            <v>37156</v>
          </cell>
        </row>
        <row r="5319">
          <cell r="AV5319">
            <v>140</v>
          </cell>
          <cell r="BF5319">
            <v>1333</v>
          </cell>
        </row>
        <row r="5320">
          <cell r="AV5320">
            <v>329</v>
          </cell>
        </row>
        <row r="5321">
          <cell r="AV5321">
            <v>285</v>
          </cell>
        </row>
        <row r="5322">
          <cell r="AV5322">
            <v>123</v>
          </cell>
          <cell r="BF5322">
            <v>7187</v>
          </cell>
        </row>
        <row r="5323">
          <cell r="AV5323">
            <v>152</v>
          </cell>
          <cell r="BF5323">
            <v>7000</v>
          </cell>
        </row>
        <row r="5324">
          <cell r="AV5324">
            <v>151</v>
          </cell>
          <cell r="BF5324">
            <v>30491</v>
          </cell>
        </row>
        <row r="5325">
          <cell r="AV5325">
            <v>305</v>
          </cell>
        </row>
        <row r="5326">
          <cell r="AV5326">
            <v>136</v>
          </cell>
          <cell r="BF5326">
            <v>19575</v>
          </cell>
        </row>
        <row r="5327">
          <cell r="AV5327">
            <v>151</v>
          </cell>
          <cell r="BF5327">
            <v>10050</v>
          </cell>
        </row>
        <row r="5328">
          <cell r="BF5328">
            <v>1216760</v>
          </cell>
        </row>
        <row r="5329">
          <cell r="AV5329">
            <v>454</v>
          </cell>
        </row>
        <row r="5330">
          <cell r="AV5330">
            <v>342</v>
          </cell>
        </row>
        <row r="5331">
          <cell r="AV5331">
            <v>136</v>
          </cell>
        </row>
        <row r="5332">
          <cell r="AV5332">
            <v>139</v>
          </cell>
          <cell r="BF5332">
            <v>229500</v>
          </cell>
        </row>
        <row r="5333">
          <cell r="AV5333">
            <v>132</v>
          </cell>
          <cell r="BF5333">
            <v>28843</v>
          </cell>
        </row>
        <row r="5334">
          <cell r="AV5334">
            <v>132</v>
          </cell>
          <cell r="BF5334">
            <v>12016</v>
          </cell>
        </row>
        <row r="5335">
          <cell r="AV5335">
            <v>131</v>
          </cell>
          <cell r="BF5335">
            <v>484305</v>
          </cell>
        </row>
        <row r="5336">
          <cell r="AV5336">
            <v>124</v>
          </cell>
          <cell r="BF5336">
            <v>230850</v>
          </cell>
        </row>
        <row r="5337">
          <cell r="AV5337">
            <v>131</v>
          </cell>
          <cell r="BF5337">
            <v>27000</v>
          </cell>
        </row>
        <row r="5338">
          <cell r="AV5338">
            <v>131</v>
          </cell>
          <cell r="BF5338">
            <v>88200</v>
          </cell>
        </row>
        <row r="5339">
          <cell r="AV5339">
            <v>98</v>
          </cell>
          <cell r="BF5339">
            <v>33350</v>
          </cell>
        </row>
        <row r="5340">
          <cell r="AV5340">
            <v>107</v>
          </cell>
          <cell r="BF5340">
            <v>245320</v>
          </cell>
        </row>
        <row r="5341">
          <cell r="AV5341">
            <v>303</v>
          </cell>
          <cell r="BJ5341" t="str">
            <v>Provision</v>
          </cell>
        </row>
        <row r="5342">
          <cell r="AV5342">
            <v>116</v>
          </cell>
          <cell r="BF5342">
            <v>28912</v>
          </cell>
        </row>
        <row r="5343">
          <cell r="AV5343">
            <v>113</v>
          </cell>
          <cell r="BF5343">
            <v>102000</v>
          </cell>
        </row>
        <row r="5344">
          <cell r="AV5344">
            <v>95</v>
          </cell>
          <cell r="BF5344">
            <v>29325</v>
          </cell>
        </row>
        <row r="5345">
          <cell r="AV5345">
            <v>134</v>
          </cell>
          <cell r="BF5345">
            <v>84628</v>
          </cell>
        </row>
        <row r="5346">
          <cell r="AV5346">
            <v>149</v>
          </cell>
          <cell r="BF5346">
            <v>115429</v>
          </cell>
        </row>
        <row r="5347">
          <cell r="AV5347">
            <v>130</v>
          </cell>
          <cell r="BF5347">
            <v>160601</v>
          </cell>
        </row>
        <row r="5348">
          <cell r="AV5348">
            <v>122</v>
          </cell>
          <cell r="BF5348">
            <v>19444</v>
          </cell>
        </row>
        <row r="5349">
          <cell r="AV5349">
            <v>99</v>
          </cell>
          <cell r="BF5349">
            <v>30096</v>
          </cell>
        </row>
        <row r="5350">
          <cell r="AV5350">
            <v>302</v>
          </cell>
          <cell r="BJ5350" t="str">
            <v>provision</v>
          </cell>
        </row>
        <row r="5351">
          <cell r="AV5351">
            <v>134</v>
          </cell>
          <cell r="BF5351">
            <v>183200</v>
          </cell>
        </row>
        <row r="5352">
          <cell r="AV5352">
            <v>106</v>
          </cell>
          <cell r="BF5352">
            <v>20618</v>
          </cell>
        </row>
        <row r="5353">
          <cell r="AV5353">
            <v>106</v>
          </cell>
          <cell r="BF5353">
            <v>190000</v>
          </cell>
        </row>
        <row r="5354">
          <cell r="E5354" t="str">
            <v>FF</v>
          </cell>
          <cell r="AV5354">
            <v>116</v>
          </cell>
          <cell r="BF5354">
            <v>400000</v>
          </cell>
        </row>
        <row r="5355">
          <cell r="AV5355">
            <v>118</v>
          </cell>
          <cell r="BF5355">
            <v>68592</v>
          </cell>
        </row>
        <row r="5356">
          <cell r="AV5356">
            <v>138</v>
          </cell>
          <cell r="BF5356">
            <v>88065</v>
          </cell>
        </row>
        <row r="5357">
          <cell r="AV5357">
            <v>95</v>
          </cell>
          <cell r="BF5357">
            <v>158000</v>
          </cell>
        </row>
        <row r="5358">
          <cell r="AV5358">
            <v>133</v>
          </cell>
          <cell r="BF5358">
            <v>44000</v>
          </cell>
        </row>
        <row r="5359">
          <cell r="AV5359">
            <v>93</v>
          </cell>
          <cell r="BF5359">
            <v>21229</v>
          </cell>
        </row>
        <row r="5360">
          <cell r="AV5360">
            <v>212</v>
          </cell>
        </row>
        <row r="5361">
          <cell r="AV5361">
            <v>222</v>
          </cell>
        </row>
        <row r="5362">
          <cell r="AV5362">
            <v>223</v>
          </cell>
        </row>
        <row r="5363">
          <cell r="AV5363">
            <v>203</v>
          </cell>
        </row>
        <row r="5364">
          <cell r="AV5364">
            <v>110</v>
          </cell>
          <cell r="BF5364">
            <v>27100</v>
          </cell>
        </row>
        <row r="5365">
          <cell r="AV5365">
            <v>95</v>
          </cell>
          <cell r="BF5365">
            <v>9900</v>
          </cell>
        </row>
        <row r="5366">
          <cell r="AV5366">
            <v>268</v>
          </cell>
        </row>
        <row r="5367">
          <cell r="AV5367">
            <v>91</v>
          </cell>
          <cell r="BF5367">
            <v>101633</v>
          </cell>
        </row>
        <row r="5368">
          <cell r="AV5368">
            <v>163</v>
          </cell>
          <cell r="BF5368">
            <v>1108625</v>
          </cell>
        </row>
        <row r="5369">
          <cell r="D5369" t="str">
            <v>CO</v>
          </cell>
          <cell r="AV5369">
            <v>175</v>
          </cell>
          <cell r="BF5369">
            <v>1382685</v>
          </cell>
        </row>
        <row r="5370">
          <cell r="AV5370">
            <v>91</v>
          </cell>
          <cell r="BF5370">
            <v>26667</v>
          </cell>
        </row>
        <row r="5371">
          <cell r="AV5371">
            <v>91</v>
          </cell>
          <cell r="BF5371">
            <v>583415</v>
          </cell>
        </row>
        <row r="5372">
          <cell r="AV5372">
            <v>90</v>
          </cell>
          <cell r="BF5372">
            <v>397740</v>
          </cell>
        </row>
        <row r="5373">
          <cell r="AV5373">
            <v>91</v>
          </cell>
          <cell r="BF5373">
            <v>43461</v>
          </cell>
        </row>
        <row r="5374">
          <cell r="AV5374">
            <v>91</v>
          </cell>
          <cell r="BF5374">
            <v>0</v>
          </cell>
        </row>
        <row r="5375">
          <cell r="AV5375">
            <v>365</v>
          </cell>
        </row>
        <row r="5376">
          <cell r="AV5376">
            <v>91</v>
          </cell>
          <cell r="BF5376">
            <v>60818</v>
          </cell>
        </row>
        <row r="5377">
          <cell r="AV5377">
            <v>91</v>
          </cell>
          <cell r="BF5377">
            <v>416779</v>
          </cell>
        </row>
        <row r="5378">
          <cell r="AV5378">
            <v>91</v>
          </cell>
          <cell r="BF5378">
            <v>41779</v>
          </cell>
        </row>
        <row r="5379">
          <cell r="AV5379">
            <v>91</v>
          </cell>
          <cell r="BF5379">
            <v>129668</v>
          </cell>
        </row>
        <row r="5380">
          <cell r="AV5380">
            <v>89</v>
          </cell>
          <cell r="BF5380">
            <v>11475</v>
          </cell>
        </row>
        <row r="5381">
          <cell r="AV5381">
            <v>53</v>
          </cell>
          <cell r="BF5381">
            <v>24811</v>
          </cell>
        </row>
        <row r="5382">
          <cell r="AV5382">
            <v>57</v>
          </cell>
          <cell r="BF5382">
            <v>15279</v>
          </cell>
        </row>
        <row r="5383">
          <cell r="AV5383">
            <v>60</v>
          </cell>
          <cell r="BF5383">
            <v>36000</v>
          </cell>
        </row>
        <row r="5384">
          <cell r="AV5384">
            <v>312</v>
          </cell>
        </row>
        <row r="5385">
          <cell r="AV5385">
            <v>365</v>
          </cell>
        </row>
        <row r="5386">
          <cell r="AV5386">
            <v>365</v>
          </cell>
        </row>
        <row r="5387">
          <cell r="AV5387">
            <v>131</v>
          </cell>
          <cell r="BF5387">
            <v>105600</v>
          </cell>
        </row>
        <row r="5388">
          <cell r="AV5388">
            <v>153</v>
          </cell>
          <cell r="BF5388">
            <v>95000</v>
          </cell>
        </row>
        <row r="5389">
          <cell r="AV5389">
            <v>365</v>
          </cell>
        </row>
        <row r="5390">
          <cell r="AV5390">
            <v>133</v>
          </cell>
          <cell r="BF5390">
            <v>52394</v>
          </cell>
        </row>
        <row r="5391">
          <cell r="AV5391">
            <v>90</v>
          </cell>
          <cell r="BF5391">
            <v>5300</v>
          </cell>
        </row>
        <row r="5392">
          <cell r="AV5392">
            <v>95</v>
          </cell>
          <cell r="BF5392">
            <v>53695</v>
          </cell>
        </row>
        <row r="5393">
          <cell r="AV5393">
            <v>91</v>
          </cell>
          <cell r="BF5393">
            <v>100677</v>
          </cell>
        </row>
        <row r="5394">
          <cell r="AV5394">
            <v>1</v>
          </cell>
          <cell r="BF5394">
            <v>107446</v>
          </cell>
        </row>
        <row r="5395">
          <cell r="AV5395">
            <v>1</v>
          </cell>
          <cell r="BF5395">
            <v>94133</v>
          </cell>
        </row>
        <row r="5396">
          <cell r="AV5396">
            <v>1</v>
          </cell>
          <cell r="BF5396">
            <v>34772</v>
          </cell>
        </row>
        <row r="5397">
          <cell r="AV5397">
            <v>1</v>
          </cell>
          <cell r="BF5397">
            <v>315165</v>
          </cell>
        </row>
        <row r="5398">
          <cell r="AV5398">
            <v>118</v>
          </cell>
          <cell r="BF5398">
            <v>74034</v>
          </cell>
        </row>
        <row r="5399">
          <cell r="AV5399">
            <v>312</v>
          </cell>
        </row>
        <row r="5400">
          <cell r="AV5400">
            <v>153</v>
          </cell>
        </row>
        <row r="5401">
          <cell r="AV5401">
            <v>1</v>
          </cell>
          <cell r="BF5401">
            <v>6598</v>
          </cell>
        </row>
        <row r="5402">
          <cell r="AV5402">
            <v>1</v>
          </cell>
          <cell r="BF5402">
            <v>275000</v>
          </cell>
        </row>
        <row r="5403">
          <cell r="AV5403">
            <v>70</v>
          </cell>
          <cell r="BF5403">
            <v>17325</v>
          </cell>
        </row>
        <row r="5404">
          <cell r="AV5404">
            <v>70</v>
          </cell>
          <cell r="BF5404">
            <v>17325</v>
          </cell>
        </row>
        <row r="5405">
          <cell r="AV5405">
            <v>69</v>
          </cell>
          <cell r="BF5405">
            <v>40570</v>
          </cell>
        </row>
        <row r="5406">
          <cell r="AV5406">
            <v>1</v>
          </cell>
          <cell r="BF5406">
            <v>3500</v>
          </cell>
        </row>
        <row r="5407">
          <cell r="AV5407">
            <v>75</v>
          </cell>
          <cell r="BF5407">
            <v>11475</v>
          </cell>
        </row>
        <row r="5408">
          <cell r="AV5408">
            <v>365</v>
          </cell>
        </row>
        <row r="5409">
          <cell r="AV5409">
            <v>40</v>
          </cell>
          <cell r="BF5409">
            <v>5510</v>
          </cell>
        </row>
        <row r="5410">
          <cell r="AV5410">
            <v>47</v>
          </cell>
          <cell r="BF5410">
            <v>51975</v>
          </cell>
        </row>
        <row r="5411">
          <cell r="AV5411">
            <v>56</v>
          </cell>
          <cell r="BF5411">
            <v>21710</v>
          </cell>
        </row>
        <row r="5412">
          <cell r="AV5412">
            <v>54</v>
          </cell>
          <cell r="BF5412">
            <v>2960</v>
          </cell>
        </row>
        <row r="5413">
          <cell r="AV5413">
            <v>46</v>
          </cell>
          <cell r="BF5413">
            <v>4060</v>
          </cell>
        </row>
        <row r="5414">
          <cell r="AV5414">
            <v>51</v>
          </cell>
          <cell r="BF5414">
            <v>105970</v>
          </cell>
        </row>
        <row r="5415">
          <cell r="AV5415">
            <v>47</v>
          </cell>
          <cell r="BF5415">
            <v>90000</v>
          </cell>
        </row>
        <row r="5416">
          <cell r="AV5416">
            <v>42</v>
          </cell>
          <cell r="BF5416">
            <v>27247</v>
          </cell>
        </row>
        <row r="5417">
          <cell r="AV5417">
            <v>40</v>
          </cell>
          <cell r="BF5417">
            <v>24700</v>
          </cell>
        </row>
        <row r="5418">
          <cell r="AV5418">
            <v>69</v>
          </cell>
          <cell r="BF5418">
            <v>45000</v>
          </cell>
        </row>
        <row r="5419">
          <cell r="AV5419">
            <v>60</v>
          </cell>
          <cell r="BF5419">
            <v>202990</v>
          </cell>
        </row>
        <row r="5420">
          <cell r="AV5420">
            <v>64</v>
          </cell>
          <cell r="BF5420">
            <v>13275</v>
          </cell>
        </row>
        <row r="5421">
          <cell r="AV5421">
            <v>49</v>
          </cell>
          <cell r="BF5421">
            <v>12000</v>
          </cell>
        </row>
        <row r="5422">
          <cell r="AV5422">
            <v>54</v>
          </cell>
          <cell r="BF5422">
            <v>36900</v>
          </cell>
        </row>
        <row r="5423">
          <cell r="AV5423">
            <v>53</v>
          </cell>
          <cell r="BF5423">
            <v>95984</v>
          </cell>
        </row>
        <row r="5424">
          <cell r="AV5424">
            <v>56</v>
          </cell>
          <cell r="BF5424">
            <v>9093</v>
          </cell>
        </row>
        <row r="5425">
          <cell r="AV5425">
            <v>43</v>
          </cell>
          <cell r="BF5425">
            <v>23525</v>
          </cell>
        </row>
        <row r="5426">
          <cell r="AV5426">
            <v>73</v>
          </cell>
          <cell r="BF5426">
            <v>14835</v>
          </cell>
        </row>
        <row r="5427">
          <cell r="AV5427">
            <v>365</v>
          </cell>
        </row>
        <row r="5428">
          <cell r="AV5428">
            <v>30</v>
          </cell>
          <cell r="BF5428">
            <v>269970</v>
          </cell>
        </row>
        <row r="5429">
          <cell r="AV5429">
            <v>244</v>
          </cell>
        </row>
        <row r="5430">
          <cell r="AV5430">
            <v>84</v>
          </cell>
          <cell r="BF5430">
            <v>310960</v>
          </cell>
        </row>
        <row r="5431">
          <cell r="AV5431">
            <v>365</v>
          </cell>
        </row>
        <row r="5432">
          <cell r="AV5432">
            <v>76</v>
          </cell>
          <cell r="BF5432">
            <v>52625</v>
          </cell>
        </row>
        <row r="5433">
          <cell r="AV5433">
            <v>99</v>
          </cell>
          <cell r="BF5433">
            <v>70442</v>
          </cell>
        </row>
        <row r="5434">
          <cell r="AV5434">
            <v>96</v>
          </cell>
          <cell r="BF5434">
            <v>19325</v>
          </cell>
        </row>
        <row r="5435">
          <cell r="AV5435">
            <v>26</v>
          </cell>
          <cell r="BF5435">
            <v>187498</v>
          </cell>
        </row>
        <row r="5436">
          <cell r="AV5436">
            <v>14</v>
          </cell>
          <cell r="BF5436">
            <v>47050</v>
          </cell>
        </row>
        <row r="5437">
          <cell r="AV5437">
            <v>26</v>
          </cell>
          <cell r="BF5437">
            <v>78142</v>
          </cell>
        </row>
        <row r="5438">
          <cell r="AV5438">
            <v>22</v>
          </cell>
          <cell r="BF5438">
            <v>41000</v>
          </cell>
        </row>
        <row r="5439">
          <cell r="AV5439">
            <v>42</v>
          </cell>
          <cell r="BF5439">
            <v>19800</v>
          </cell>
        </row>
        <row r="5440">
          <cell r="BF5440">
            <v>206606</v>
          </cell>
        </row>
        <row r="5441">
          <cell r="BF5441">
            <v>275000</v>
          </cell>
        </row>
        <row r="5442">
          <cell r="BF5442">
            <v>40600</v>
          </cell>
        </row>
        <row r="5443">
          <cell r="BF5443">
            <v>508775</v>
          </cell>
        </row>
        <row r="5444">
          <cell r="BF5444">
            <v>13600</v>
          </cell>
        </row>
        <row r="5445">
          <cell r="BF5445">
            <v>792160</v>
          </cell>
        </row>
        <row r="5446">
          <cell r="BF5446">
            <v>150000</v>
          </cell>
        </row>
        <row r="5447">
          <cell r="BF5447">
            <v>5566210</v>
          </cell>
        </row>
        <row r="5448">
          <cell r="AV5448">
            <v>7</v>
          </cell>
          <cell r="BF5448">
            <v>61244</v>
          </cell>
        </row>
        <row r="5449">
          <cell r="AV5449">
            <v>15</v>
          </cell>
          <cell r="BF5449">
            <v>192096</v>
          </cell>
        </row>
        <row r="5450">
          <cell r="AV5450">
            <v>12</v>
          </cell>
          <cell r="BF5450">
            <v>6015</v>
          </cell>
        </row>
        <row r="5451">
          <cell r="AV5451">
            <v>365</v>
          </cell>
        </row>
        <row r="5452">
          <cell r="AV5452">
            <v>365</v>
          </cell>
        </row>
        <row r="5453">
          <cell r="AV5453">
            <v>3</v>
          </cell>
          <cell r="BF5453">
            <v>7200</v>
          </cell>
        </row>
        <row r="5454">
          <cell r="AV5454">
            <v>326</v>
          </cell>
        </row>
        <row r="5455">
          <cell r="AV5455">
            <v>274</v>
          </cell>
        </row>
        <row r="5456">
          <cell r="AV5456">
            <v>365</v>
          </cell>
        </row>
        <row r="5457">
          <cell r="AV5457">
            <v>8</v>
          </cell>
          <cell r="BF5457">
            <v>17150</v>
          </cell>
        </row>
        <row r="5458">
          <cell r="AV5458">
            <v>20</v>
          </cell>
          <cell r="BF5458">
            <v>16800</v>
          </cell>
        </row>
        <row r="5465">
          <cell r="BB5465">
            <v>169030.92758275053</v>
          </cell>
          <cell r="BF5465">
            <v>2391581</v>
          </cell>
        </row>
      </sheetData>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al Balance"/>
      <sheetName val="P&amp;L, Balance sheet"/>
      <sheetName val="FA 31.03.05"/>
      <sheetName val="Assets details"/>
      <sheetName val="Profit &amp; Loss Schedules"/>
      <sheetName val="P&amp;L Details 04-05"/>
      <sheetName val="SAP P&amp;L"/>
      <sheetName val="Revenue Details"/>
      <sheetName val="Balance Sheet Schedules"/>
      <sheetName val="Balance Sheet Details"/>
      <sheetName val="A&amp;L Master"/>
      <sheetName val="CWIP"/>
      <sheetName val="Prepaid"/>
      <sheetName val="Investment"/>
      <sheetName val="Creditors"/>
      <sheetName val="Outstanding Liabilities"/>
      <sheetName val="CRS master"/>
      <sheetName val="revenue projectwise"/>
      <sheetName val="March"/>
      <sheetName val="Trial_Balance"/>
      <sheetName val="P&amp;L,_Balance_sheet"/>
      <sheetName val="FA_31_03_05"/>
      <sheetName val="Assets_details"/>
      <sheetName val="Profit_&amp;_Loss_Schedules"/>
      <sheetName val="P&amp;L_Details_04-05"/>
      <sheetName val="SAP_P&amp;L"/>
      <sheetName val="Revenue_Details"/>
      <sheetName val="Balance_Sheet_Schedules"/>
      <sheetName val="Balance_Sheet_Details"/>
      <sheetName val="A&amp;L_Master"/>
      <sheetName val="Outstanding_Liabilities"/>
      <sheetName val="CRS_master"/>
      <sheetName val="revenue_projectwise"/>
      <sheetName val="Trial_Balance1"/>
      <sheetName val="P&amp;L,_Balance_sheet1"/>
      <sheetName val="FA_31_03_051"/>
      <sheetName val="Assets_details1"/>
      <sheetName val="Profit_&amp;_Loss_Schedules1"/>
      <sheetName val="P&amp;L_Details_04-051"/>
      <sheetName val="SAP_P&amp;L1"/>
      <sheetName val="Revenue_Details1"/>
      <sheetName val="Balance_Sheet_Schedules1"/>
      <sheetName val="Balance_Sheet_Details1"/>
      <sheetName val="A&amp;L_Master1"/>
      <sheetName val="Outstanding_Liabilities1"/>
      <sheetName val="CRS_master1"/>
      <sheetName val="revenue_projectwise1"/>
      <sheetName val="VTT"/>
      <sheetName val="Sheet1"/>
      <sheetName val="Headcount-Graph"/>
      <sheetName val="Trial_Balance2"/>
      <sheetName val="P&amp;L,_Balance_sheet2"/>
      <sheetName val="FA_31_03_052"/>
      <sheetName val="Assets_details2"/>
      <sheetName val="Profit_&amp;_Loss_Schedules2"/>
      <sheetName val="P&amp;L_Details_04-052"/>
      <sheetName val="SAP_P&amp;L2"/>
      <sheetName val="Revenue_Details2"/>
      <sheetName val="Balance_Sheet_Schedules2"/>
      <sheetName val="Balance_Sheet_Details2"/>
      <sheetName val="A&amp;L_Master2"/>
      <sheetName val="Outstanding_Liabilities2"/>
      <sheetName val="CRS_master2"/>
      <sheetName val="revenue_projectwise2"/>
      <sheetName val="Trial_Balance3"/>
      <sheetName val="P&amp;L,_Balance_sheet3"/>
      <sheetName val="FA_31_03_053"/>
      <sheetName val="Assets_details3"/>
      <sheetName val="Profit_&amp;_Loss_Schedules3"/>
      <sheetName val="P&amp;L_Details_04-053"/>
      <sheetName val="SAP_P&amp;L3"/>
      <sheetName val="Revenue_Details3"/>
      <sheetName val="Balance_Sheet_Schedules3"/>
      <sheetName val="Balance_Sheet_Details3"/>
      <sheetName val="A&amp;L_Master3"/>
      <sheetName val="Outstanding_Liabilities3"/>
      <sheetName val="CRS_master3"/>
      <sheetName val="revenue_projectwise3"/>
      <sheetName val="Trial_Balance4"/>
      <sheetName val="P&amp;L,_Balance_sheet4"/>
      <sheetName val="FA_31_03_054"/>
      <sheetName val="Assets_details4"/>
      <sheetName val="Profit_&amp;_Loss_Schedules4"/>
      <sheetName val="P&amp;L_Details_04-054"/>
      <sheetName val="SAP_P&amp;L4"/>
      <sheetName val="Revenue_Details4"/>
      <sheetName val="Balance_Sheet_Schedules4"/>
      <sheetName val="Balance_Sheet_Details4"/>
      <sheetName val="A&amp;L_Master4"/>
      <sheetName val="Outstanding_Liabilities4"/>
      <sheetName val="CRS_master4"/>
      <sheetName val="revenue_projectwise4"/>
      <sheetName val="Trial_Balance5"/>
      <sheetName val="P&amp;L,_Balance_sheet5"/>
      <sheetName val="FA_31_03_055"/>
      <sheetName val="Assets_details5"/>
      <sheetName val="Profit_&amp;_Loss_Schedules5"/>
      <sheetName val="P&amp;L_Details_04-055"/>
      <sheetName val="SAP_P&amp;L5"/>
      <sheetName val="Revenue_Details5"/>
      <sheetName val="Balance_Sheet_Schedules5"/>
      <sheetName val="Balance_Sheet_Details5"/>
      <sheetName val="A&amp;L_Master5"/>
      <sheetName val="Outstanding_Liabilities5"/>
      <sheetName val="CRS_master5"/>
      <sheetName val="revenue_projectwise5"/>
      <sheetName val="Trial_Balance6"/>
      <sheetName val="P&amp;L,_Balance_sheet6"/>
      <sheetName val="FA_31_03_056"/>
      <sheetName val="Assets_details6"/>
      <sheetName val="Profit_&amp;_Loss_Schedules6"/>
      <sheetName val="P&amp;L_Details_04-056"/>
      <sheetName val="SAP_P&amp;L6"/>
      <sheetName val="Revenue_Details6"/>
      <sheetName val="Balance_Sheet_Schedules6"/>
      <sheetName val="Balance_Sheet_Details6"/>
      <sheetName val="A&amp;L_Master6"/>
      <sheetName val="Outstanding_Liabilities6"/>
      <sheetName val="CRS_master6"/>
      <sheetName val="revenue_projectwise6"/>
      <sheetName val="DIV INC"/>
      <sheetName val="DropZone"/>
    </sheetNames>
    <sheetDataSet>
      <sheetData sheetId="0" refreshError="1"/>
      <sheetData sheetId="1" refreshError="1">
        <row r="14">
          <cell r="F14" t="e">
            <v>#REF!</v>
          </cell>
          <cell r="G14" t="e">
            <v>#REF!</v>
          </cell>
          <cell r="H14" t="e">
            <v>#REF!</v>
          </cell>
          <cell r="I14" t="e">
            <v>#REF!</v>
          </cell>
          <cell r="J14" t="e">
            <v>#REF!</v>
          </cell>
          <cell r="K14" t="e">
            <v>#REF!</v>
          </cell>
          <cell r="L14" t="e">
            <v>#REF!</v>
          </cell>
          <cell r="M14" t="e">
            <v>#REF!</v>
          </cell>
        </row>
        <row r="43">
          <cell r="E43">
            <v>0</v>
          </cell>
        </row>
        <row r="44">
          <cell r="C44" t="str">
            <v xml:space="preserve">4. Miscellaneous Expenditure ( to the extent not written </v>
          </cell>
          <cell r="E44">
            <v>0</v>
          </cell>
          <cell r="F44">
            <v>0</v>
          </cell>
          <cell r="G44">
            <v>0</v>
          </cell>
          <cell r="H44">
            <v>0</v>
          </cell>
          <cell r="I44">
            <v>0</v>
          </cell>
          <cell r="J44">
            <v>0</v>
          </cell>
          <cell r="K44">
            <v>0</v>
          </cell>
          <cell r="L44">
            <v>0</v>
          </cell>
          <cell r="M44">
            <v>0</v>
          </cell>
        </row>
        <row r="196">
          <cell r="A196" t="str">
            <v>info.</v>
          </cell>
          <cell r="B196" t="str">
            <v>(I) Aggregate of quoted investments    - at cost</v>
          </cell>
          <cell r="E196">
            <v>0</v>
          </cell>
        </row>
        <row r="197">
          <cell r="C197" t="str">
            <v xml:space="preserve">                                                  - at market value</v>
          </cell>
          <cell r="E197">
            <v>0</v>
          </cell>
        </row>
        <row r="198">
          <cell r="E198">
            <v>0</v>
          </cell>
        </row>
        <row r="249">
          <cell r="E249">
            <v>0</v>
          </cell>
        </row>
        <row r="250">
          <cell r="E250">
            <v>0</v>
          </cell>
        </row>
        <row r="296">
          <cell r="E296">
            <v>0</v>
          </cell>
        </row>
        <row r="297">
          <cell r="E297">
            <v>0</v>
          </cell>
        </row>
        <row r="298">
          <cell r="E298">
            <v>0</v>
          </cell>
        </row>
        <row r="299">
          <cell r="E299">
            <v>0</v>
          </cell>
        </row>
        <row r="300">
          <cell r="E300">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ow r="14">
          <cell r="F14"/>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4">
          <cell r="F14"/>
        </row>
      </sheetData>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ow r="14">
          <cell r="F14">
            <v>0</v>
          </cell>
        </row>
      </sheetData>
      <sheetData sheetId="51">
        <row r="14">
          <cell r="F14">
            <v>0</v>
          </cell>
        </row>
      </sheetData>
      <sheetData sheetId="52">
        <row r="14">
          <cell r="F14">
            <v>0</v>
          </cell>
        </row>
      </sheetData>
      <sheetData sheetId="53">
        <row r="14">
          <cell r="F14">
            <v>0</v>
          </cell>
        </row>
      </sheetData>
      <sheetData sheetId="54">
        <row r="14">
          <cell r="F14">
            <v>0</v>
          </cell>
        </row>
      </sheetData>
      <sheetData sheetId="55">
        <row r="14">
          <cell r="F14">
            <v>0</v>
          </cell>
        </row>
      </sheetData>
      <sheetData sheetId="56">
        <row r="14">
          <cell r="F14">
            <v>0</v>
          </cell>
        </row>
      </sheetData>
      <sheetData sheetId="57">
        <row r="14">
          <cell r="F14">
            <v>0</v>
          </cell>
        </row>
      </sheetData>
      <sheetData sheetId="58">
        <row r="14">
          <cell r="F14">
            <v>0</v>
          </cell>
        </row>
      </sheetData>
      <sheetData sheetId="59">
        <row r="14">
          <cell r="F14">
            <v>0</v>
          </cell>
        </row>
      </sheetData>
      <sheetData sheetId="60">
        <row r="14">
          <cell r="F14">
            <v>0</v>
          </cell>
        </row>
      </sheetData>
      <sheetData sheetId="61">
        <row r="14">
          <cell r="F14">
            <v>0</v>
          </cell>
        </row>
      </sheetData>
      <sheetData sheetId="62">
        <row r="14">
          <cell r="F14">
            <v>0</v>
          </cell>
        </row>
      </sheetData>
      <sheetData sheetId="63">
        <row r="14">
          <cell r="F14">
            <v>0</v>
          </cell>
        </row>
      </sheetData>
      <sheetData sheetId="64"/>
      <sheetData sheetId="65">
        <row r="14">
          <cell r="F14">
            <v>0</v>
          </cell>
        </row>
      </sheetData>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ow r="14">
          <cell r="F14">
            <v>0</v>
          </cell>
        </row>
      </sheetData>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ow r="14">
          <cell r="F14"/>
        </row>
      </sheetData>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ow r="14">
          <cell r="F14"/>
        </row>
      </sheetData>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rts"/>
      <sheetName val="Val. Table Jan. '26"/>
      <sheetName val="New SBG Valuation"/>
      <sheetName val="Alt. SoftBank Valuation"/>
      <sheetName val="Valuation table summary"/>
      <sheetName val="FP"/>
      <sheetName val="P.F. NAV Table"/>
      <sheetName val="Quarterly NAV Table"/>
      <sheetName val="Valuation &amp; SBG NAV"/>
      <sheetName val="Financial statements (OLD)"/>
      <sheetName val="Consolidated (OLD)"/>
      <sheetName val="Net debt &amp; LTV"/>
      <sheetName val="TopCo Gross cash table"/>
      <sheetName val="TopCo Net debt waterfall"/>
      <sheetName val="SBG Corp. Bonds Sep. '25"/>
      <sheetName val="SBG Corp. Bonds Jun. '25"/>
      <sheetName val="SBG Corporate Bonds OLD"/>
      <sheetName val="Arm (OLD)"/>
      <sheetName val="Links (Arm OLD Model)"/>
      <sheetName val="Investment Business Of HoldCo"/>
      <sheetName val="SVF Segment"/>
      <sheetName val="SVF1"/>
      <sheetName val="SVF2"/>
      <sheetName val="OpenAI SBG &quot;rough&quot;"/>
      <sheetName val="OpenAI Valuation table"/>
      <sheetName val="LatAm Funds"/>
      <sheetName val="SoftBank Other (13F)"/>
      <sheetName val="Financial statements KK"/>
      <sheetName val="Consolidated KK"/>
      <sheetName val="Thomson Reuters VC Index"/>
      <sheetName val="SVF Indexes"/>
      <sheetName val="SBG Discount to NAV Workings"/>
      <sheetName val="QoQ Discount to NAV Workings"/>
      <sheetName val="FX"/>
      <sheetName val="SBG investee share prices"/>
      <sheetName val="FP SoftBank Corp."/>
      <sheetName val="Valuation SoftBank Corp."/>
      <sheetName val="Business segments KK"/>
      <sheetName val="Mobile"/>
      <sheetName val="Broadband"/>
      <sheetName val="Media &amp; EC"/>
      <sheetName val="Financial"/>
    </sheetNames>
    <sheetDataSet>
      <sheetData sheetId="0"/>
      <sheetData sheetId="1"/>
      <sheetData sheetId="2">
        <row r="7">
          <cell r="J7">
            <v>238.5</v>
          </cell>
        </row>
        <row r="8">
          <cell r="J8">
            <v>27.5</v>
          </cell>
        </row>
        <row r="10">
          <cell r="J10">
            <v>266</v>
          </cell>
        </row>
        <row r="11">
          <cell r="J11">
            <v>336.2</v>
          </cell>
        </row>
        <row r="12">
          <cell r="J12">
            <v>4.6704790000000012</v>
          </cell>
        </row>
        <row r="13">
          <cell r="J13">
            <v>31.5</v>
          </cell>
        </row>
        <row r="14">
          <cell r="J14">
            <v>372.37047899999999</v>
          </cell>
        </row>
        <row r="15">
          <cell r="J15">
            <v>638.37047899999993</v>
          </cell>
        </row>
        <row r="16">
          <cell r="J16">
            <v>-86.760484627504198</v>
          </cell>
        </row>
        <row r="17">
          <cell r="J17">
            <v>551.60999437249575</v>
          </cell>
        </row>
        <row r="18">
          <cell r="J18">
            <v>13.436928</v>
          </cell>
        </row>
        <row r="19">
          <cell r="J19">
            <v>2.8560000000000003</v>
          </cell>
        </row>
        <row r="20">
          <cell r="J20">
            <v>4.2714285714285714</v>
          </cell>
        </row>
        <row r="21">
          <cell r="J21">
            <v>2.7</v>
          </cell>
        </row>
        <row r="23">
          <cell r="J23">
            <v>3.96728515625</v>
          </cell>
        </row>
        <row r="24">
          <cell r="J24">
            <v>2.4375</v>
          </cell>
        </row>
        <row r="25">
          <cell r="J25">
            <v>29.669141727678571</v>
          </cell>
        </row>
        <row r="26">
          <cell r="J26">
            <v>0</v>
          </cell>
        </row>
        <row r="27">
          <cell r="J27">
            <v>3.8479832372970137</v>
          </cell>
        </row>
        <row r="28">
          <cell r="J28">
            <v>0.63257980000000014</v>
          </cell>
        </row>
        <row r="29">
          <cell r="J29">
            <v>0</v>
          </cell>
        </row>
        <row r="30">
          <cell r="J30">
            <v>4.4805630372970136</v>
          </cell>
        </row>
        <row r="31">
          <cell r="J31">
            <v>13.475000000000001</v>
          </cell>
        </row>
        <row r="32">
          <cell r="J32">
            <v>5.4113136000000015</v>
          </cell>
        </row>
        <row r="33">
          <cell r="J33">
            <v>0.3169791666666667</v>
          </cell>
        </row>
        <row r="34">
          <cell r="J34">
            <v>19.203292766666667</v>
          </cell>
        </row>
        <row r="35">
          <cell r="J35">
            <v>29.212499999999999</v>
          </cell>
        </row>
        <row r="36">
          <cell r="J36">
            <v>634.17549190413797</v>
          </cell>
        </row>
        <row r="38">
          <cell r="J38">
            <v>13.679841038072375</v>
          </cell>
        </row>
        <row r="39">
          <cell r="J39">
            <v>20.967366308740232</v>
          </cell>
        </row>
        <row r="40">
          <cell r="J40">
            <v>48.757268791398765</v>
          </cell>
        </row>
        <row r="41">
          <cell r="J41">
            <v>2.7618208671091207</v>
          </cell>
        </row>
        <row r="42">
          <cell r="J42">
            <v>-3.1135255491731968</v>
          </cell>
        </row>
        <row r="43">
          <cell r="J43">
            <v>86.166297005320502</v>
          </cell>
        </row>
        <row r="44">
          <cell r="J44">
            <v>720.3417889094585</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gment"/>
      <sheetName val="Consol1Q04"/>
      <sheetName val="Consol2Q04 "/>
      <sheetName val="Consol1Q05"/>
      <sheetName val="Consol2Q05"/>
      <sheetName val="Consol3Q05"/>
      <sheetName val="Consol4Q05"/>
      <sheetName val="Qs"/>
      <sheetName val="Summary"/>
      <sheetName val="New Summary"/>
      <sheetName val="P&amp;L"/>
      <sheetName val="Ratio Analysis"/>
      <sheetName val="DCF Artisan"/>
      <sheetName val="By Op"/>
      <sheetName val="Licensing New"/>
      <sheetName val="Royalty New"/>
      <sheetName val="Valuation"/>
      <sheetName val="Links"/>
      <sheetName val="New BS"/>
      <sheetName val="New CF"/>
      <sheetName val="Charts"/>
      <sheetName val="Charts and tables"/>
      <sheetName val="DCF New"/>
      <sheetName val="Ratio Analysis New"/>
      <sheetName val="arm summary tab"/>
      <sheetName val="CF"/>
      <sheetName val="BS"/>
      <sheetName val="USD Model"/>
      <sheetName val="COMP table"/>
      <sheetName val="PD licences"/>
      <sheetName val="PD Royalties"/>
      <sheetName val="DCF"/>
      <sheetName val="Mobile PD Royalties"/>
      <sheetName val="PIPD licences"/>
      <sheetName val="USGAAP P&amp;L"/>
      <sheetName val="Annual Royalty model -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7">
          <cell r="L7">
            <v>89.751852436693071</v>
          </cell>
        </row>
      </sheetData>
      <sheetData sheetId="10">
        <row r="69">
          <cell r="FO69">
            <v>1048.8884889999999</v>
          </cell>
        </row>
      </sheetData>
      <sheetData sheetId="11" refreshError="1"/>
      <sheetData sheetId="12" refreshError="1"/>
      <sheetData sheetId="13" refreshError="1"/>
      <sheetData sheetId="14" refreshError="1"/>
      <sheetData sheetId="15" refreshError="1"/>
      <sheetData sheetId="16" refreshError="1"/>
      <sheetData sheetId="17">
        <row r="7">
          <cell r="D7">
            <v>282</v>
          </cell>
          <cell r="E7">
            <v>323</v>
          </cell>
          <cell r="H7">
            <v>1313</v>
          </cell>
          <cell r="I7">
            <v>371</v>
          </cell>
          <cell r="J7">
            <v>378</v>
          </cell>
          <cell r="K7">
            <v>399</v>
          </cell>
          <cell r="L7">
            <v>424</v>
          </cell>
          <cell r="M7">
            <v>1562</v>
          </cell>
          <cell r="N7">
            <v>434</v>
          </cell>
          <cell r="O7">
            <v>442</v>
          </cell>
          <cell r="P7">
            <v>425</v>
          </cell>
          <cell r="Q7">
            <v>374</v>
          </cell>
          <cell r="R7">
            <v>1675</v>
          </cell>
          <cell r="S7">
            <v>400</v>
          </cell>
          <cell r="T7">
            <v>418</v>
          </cell>
          <cell r="U7">
            <v>470</v>
          </cell>
          <cell r="V7">
            <v>492.35322500000001</v>
          </cell>
          <cell r="W7">
            <v>1780.3532250000001</v>
          </cell>
          <cell r="X7">
            <v>575.22473749999995</v>
          </cell>
          <cell r="Y7">
            <v>627.03485999999998</v>
          </cell>
          <cell r="Z7">
            <v>694.91255249999995</v>
          </cell>
          <cell r="AA7">
            <v>674.31790062500011</v>
          </cell>
          <cell r="AB7">
            <v>2571.4900506250001</v>
          </cell>
          <cell r="AC7">
            <v>754.50513461875005</v>
          </cell>
          <cell r="AD7">
            <v>826.39500811875007</v>
          </cell>
          <cell r="AE7">
            <v>880.62599918750004</v>
          </cell>
          <cell r="AF7">
            <v>826.53249674999995</v>
          </cell>
          <cell r="AG7">
            <v>3288.0586386750001</v>
          </cell>
          <cell r="AH7">
            <v>884.58968134899999</v>
          </cell>
          <cell r="AI7">
            <v>964.82107538487503</v>
          </cell>
          <cell r="AJ7">
            <v>1038.6322085688912</v>
          </cell>
          <cell r="AK7">
            <v>980.37492887518772</v>
          </cell>
          <cell r="AL7">
            <v>3868.4178941779542</v>
          </cell>
          <cell r="AM7">
            <v>1068.5004476324093</v>
          </cell>
          <cell r="AN7">
            <v>1156.3243800972971</v>
          </cell>
          <cell r="AO7">
            <v>1200.6437991601997</v>
          </cell>
          <cell r="AP7">
            <v>1110.5869630016255</v>
          </cell>
          <cell r="AQ7">
            <v>4536.0555898915318</v>
          </cell>
          <cell r="AR7">
            <v>1208.4352143464432</v>
          </cell>
          <cell r="AS7">
            <v>1306.7297874076573</v>
          </cell>
          <cell r="AT7">
            <v>1348.7565288017422</v>
          </cell>
          <cell r="AU7">
            <v>1238.3884618135385</v>
          </cell>
          <cell r="AV7">
            <v>5102.3099923693808</v>
          </cell>
          <cell r="AW7">
            <v>1345.6630262847871</v>
          </cell>
          <cell r="AX7">
            <v>1449.3549181444982</v>
          </cell>
          <cell r="AY7">
            <v>1483.8441827496631</v>
          </cell>
          <cell r="AZ7">
            <v>1349.3623568649693</v>
          </cell>
          <cell r="BA7">
            <v>5628.224484043918</v>
          </cell>
        </row>
        <row r="8">
          <cell r="D8">
            <v>175</v>
          </cell>
          <cell r="E8">
            <v>212</v>
          </cell>
          <cell r="H8">
            <v>714</v>
          </cell>
          <cell r="I8">
            <v>304</v>
          </cell>
          <cell r="J8">
            <v>410</v>
          </cell>
          <cell r="K8">
            <v>182</v>
          </cell>
          <cell r="L8">
            <v>233</v>
          </cell>
          <cell r="M8">
            <v>1141</v>
          </cell>
          <cell r="N8">
            <v>258</v>
          </cell>
          <cell r="O8">
            <v>188</v>
          </cell>
          <cell r="P8">
            <v>299</v>
          </cell>
          <cell r="Q8">
            <v>259</v>
          </cell>
          <cell r="R8">
            <v>1004</v>
          </cell>
          <cell r="S8">
            <v>275</v>
          </cell>
          <cell r="T8">
            <v>388</v>
          </cell>
          <cell r="U8">
            <v>354</v>
          </cell>
          <cell r="V8">
            <v>371.7</v>
          </cell>
          <cell r="W8">
            <v>1388.7</v>
          </cell>
          <cell r="X8">
            <v>341.33000000000004</v>
          </cell>
          <cell r="Y8">
            <v>348.15660000000003</v>
          </cell>
          <cell r="Z8">
            <v>358.60129800000004</v>
          </cell>
          <cell r="AA8">
            <v>362.18731098000006</v>
          </cell>
          <cell r="AB8">
            <v>1410.2752089800003</v>
          </cell>
          <cell r="AC8">
            <v>365.80918408980006</v>
          </cell>
          <cell r="AD8">
            <v>369.46727593069807</v>
          </cell>
          <cell r="AE8">
            <v>373.16194869000503</v>
          </cell>
          <cell r="AF8">
            <v>380.62518766380515</v>
          </cell>
          <cell r="AG8">
            <v>1489.0635963743084</v>
          </cell>
          <cell r="AH8">
            <v>385.00237732193892</v>
          </cell>
          <cell r="AI8">
            <v>389.42990466114122</v>
          </cell>
          <cell r="AJ8">
            <v>393.90834856474436</v>
          </cell>
          <cell r="AK8">
            <v>398.43829457323892</v>
          </cell>
          <cell r="AL8">
            <v>1566.7789251210634</v>
          </cell>
          <cell r="AM8">
            <v>400.43048604610505</v>
          </cell>
          <cell r="AN8">
            <v>402.43263847633551</v>
          </cell>
          <cell r="AO8">
            <v>404.44480166871716</v>
          </cell>
          <cell r="AP8">
            <v>406.46702567706069</v>
          </cell>
          <cell r="AQ8">
            <v>1613.7749518682185</v>
          </cell>
          <cell r="AR8">
            <v>410.53169593383132</v>
          </cell>
          <cell r="AS8">
            <v>414.63701289316964</v>
          </cell>
          <cell r="AT8">
            <v>418.78338302210136</v>
          </cell>
          <cell r="AU8">
            <v>422.97121685232236</v>
          </cell>
          <cell r="AV8">
            <v>1666.9233087014247</v>
          </cell>
          <cell r="AW8">
            <v>427.20092902084559</v>
          </cell>
          <cell r="AX8">
            <v>431.47293831105407</v>
          </cell>
          <cell r="AY8">
            <v>435.78766769416461</v>
          </cell>
          <cell r="AZ8">
            <v>440.14554437110627</v>
          </cell>
          <cell r="BA8">
            <v>1734.6070793971705</v>
          </cell>
        </row>
        <row r="10">
          <cell r="D10">
            <v>457</v>
          </cell>
          <cell r="E10">
            <v>535</v>
          </cell>
          <cell r="H10">
            <v>2027</v>
          </cell>
          <cell r="I10">
            <v>675</v>
          </cell>
          <cell r="J10">
            <v>788</v>
          </cell>
          <cell r="K10">
            <v>581</v>
          </cell>
          <cell r="L10">
            <v>657</v>
          </cell>
          <cell r="M10">
            <v>2703</v>
          </cell>
          <cell r="N10">
            <v>692</v>
          </cell>
          <cell r="O10">
            <v>630</v>
          </cell>
          <cell r="P10">
            <v>724</v>
          </cell>
          <cell r="Q10">
            <v>633</v>
          </cell>
          <cell r="R10">
            <v>2679</v>
          </cell>
          <cell r="S10">
            <v>675</v>
          </cell>
          <cell r="T10">
            <v>806</v>
          </cell>
          <cell r="U10">
            <v>824</v>
          </cell>
          <cell r="V10">
            <v>864.053225</v>
          </cell>
          <cell r="W10">
            <v>3169.0532250000001</v>
          </cell>
          <cell r="X10">
            <v>916.55473749999999</v>
          </cell>
          <cell r="Y10">
            <v>975.19146000000001</v>
          </cell>
          <cell r="Z10">
            <v>1053.5138505</v>
          </cell>
          <cell r="AA10">
            <v>1036.5052116050001</v>
          </cell>
          <cell r="AB10">
            <v>3981.7652596050002</v>
          </cell>
          <cell r="AC10">
            <v>1120.3143187085502</v>
          </cell>
          <cell r="AD10">
            <v>1195.8622840494481</v>
          </cell>
          <cell r="AE10">
            <v>1253.7879478775051</v>
          </cell>
          <cell r="AF10">
            <v>1207.1576844138051</v>
          </cell>
          <cell r="AG10">
            <v>4777.122235049309</v>
          </cell>
          <cell r="AH10">
            <v>1269.592058670939</v>
          </cell>
          <cell r="AI10">
            <v>1354.2509800460161</v>
          </cell>
          <cell r="AJ10">
            <v>1432.5405571336355</v>
          </cell>
          <cell r="AK10">
            <v>1378.8132234484267</v>
          </cell>
          <cell r="AL10">
            <v>5435.1968192990171</v>
          </cell>
          <cell r="AM10">
            <v>1468.9309336785143</v>
          </cell>
          <cell r="AN10">
            <v>1558.7570185736326</v>
          </cell>
          <cell r="AO10">
            <v>1605.0886008289169</v>
          </cell>
          <cell r="AP10">
            <v>1517.0539886786862</v>
          </cell>
          <cell r="AQ10">
            <v>6149.8305417597503</v>
          </cell>
          <cell r="AR10">
            <v>1618.9669102802745</v>
          </cell>
          <cell r="AS10">
            <v>1721.366800300827</v>
          </cell>
          <cell r="AT10">
            <v>1767.5399118238436</v>
          </cell>
          <cell r="AU10">
            <v>1661.3596786658609</v>
          </cell>
          <cell r="AV10">
            <v>6769.2333010708062</v>
          </cell>
          <cell r="AW10">
            <v>1772.8639553056328</v>
          </cell>
          <cell r="AX10">
            <v>1880.8278564555524</v>
          </cell>
          <cell r="AY10">
            <v>1919.6318504438277</v>
          </cell>
          <cell r="AZ10">
            <v>1789.5079012360757</v>
          </cell>
          <cell r="BA10">
            <v>7362.8315634410883</v>
          </cell>
        </row>
        <row r="12">
          <cell r="H12">
            <v>1882</v>
          </cell>
          <cell r="L12">
            <v>620</v>
          </cell>
          <cell r="M12">
            <v>2572</v>
          </cell>
          <cell r="N12">
            <v>667</v>
          </cell>
          <cell r="O12">
            <v>605</v>
          </cell>
          <cell r="P12">
            <v>695</v>
          </cell>
          <cell r="Q12">
            <v>606</v>
          </cell>
          <cell r="R12">
            <v>2573</v>
          </cell>
          <cell r="S12">
            <v>644</v>
          </cell>
          <cell r="T12">
            <v>760</v>
          </cell>
          <cell r="U12">
            <v>788</v>
          </cell>
          <cell r="V12">
            <v>834.41462824999996</v>
          </cell>
          <cell r="W12">
            <v>3026.4146282500001</v>
          </cell>
          <cell r="X12">
            <v>885.64479537500006</v>
          </cell>
          <cell r="Y12">
            <v>942.45415019999996</v>
          </cell>
          <cell r="Z12">
            <v>1018.3224220049999</v>
          </cell>
          <cell r="AA12">
            <v>1001.7881821470502</v>
          </cell>
          <cell r="AB12">
            <v>3848.2095497270502</v>
          </cell>
          <cell r="AC12">
            <v>1083.0467973063955</v>
          </cell>
          <cell r="AD12">
            <v>1156.2917427686577</v>
          </cell>
          <cell r="AE12">
            <v>1212.4426899542798</v>
          </cell>
          <cell r="AF12">
            <v>1167.1367020047528</v>
          </cell>
          <cell r="AG12">
            <v>4618.9179320340854</v>
          </cell>
          <cell r="AH12">
            <v>1227.6542731375914</v>
          </cell>
          <cell r="AI12">
            <v>1309.7291515980241</v>
          </cell>
          <cell r="AJ12">
            <v>1385.625256933979</v>
          </cell>
          <cell r="AK12">
            <v>1333.4644437992415</v>
          </cell>
          <cell r="AL12">
            <v>5256.4731254688359</v>
          </cell>
          <cell r="AM12">
            <v>1420.8587008076977</v>
          </cell>
          <cell r="AN12">
            <v>1507.9699816316602</v>
          </cell>
          <cell r="AO12">
            <v>1552.8914947873623</v>
          </cell>
          <cell r="AP12">
            <v>1467.4776987615548</v>
          </cell>
          <cell r="AQ12">
            <v>5949.197875988275</v>
          </cell>
          <cell r="AR12">
            <v>1566.2925860125279</v>
          </cell>
          <cell r="AS12">
            <v>1665.5794261628703</v>
          </cell>
          <cell r="AT12">
            <v>1710.3258806389072</v>
          </cell>
          <cell r="AU12">
            <v>1607.2891761373617</v>
          </cell>
          <cell r="AV12">
            <v>6549.4870689516665</v>
          </cell>
          <cell r="AW12">
            <v>1715.4060273562552</v>
          </cell>
          <cell r="AX12">
            <v>1820.0882913787752</v>
          </cell>
          <cell r="AY12">
            <v>1857.6850182535711</v>
          </cell>
          <cell r="AZ12">
            <v>1731.4212087552821</v>
          </cell>
          <cell r="BA12">
            <v>7124.6005457438841</v>
          </cell>
        </row>
        <row r="15">
          <cell r="H15">
            <v>1894</v>
          </cell>
          <cell r="L15">
            <v>620</v>
          </cell>
          <cell r="M15">
            <v>2582</v>
          </cell>
          <cell r="N15">
            <v>669</v>
          </cell>
          <cell r="O15">
            <v>606</v>
          </cell>
          <cell r="P15">
            <v>697</v>
          </cell>
          <cell r="Q15">
            <v>608</v>
          </cell>
          <cell r="R15">
            <v>2580</v>
          </cell>
          <cell r="S15">
            <v>651</v>
          </cell>
          <cell r="T15">
            <v>780</v>
          </cell>
          <cell r="U15">
            <v>798</v>
          </cell>
          <cell r="V15">
            <v>834.41462824999996</v>
          </cell>
          <cell r="W15">
            <v>3063.4146282500001</v>
          </cell>
          <cell r="X15">
            <v>885.64479537500006</v>
          </cell>
          <cell r="Y15">
            <v>942.45415019999996</v>
          </cell>
          <cell r="Z15">
            <v>1018.3224220049999</v>
          </cell>
          <cell r="AA15">
            <v>1001.7881821470502</v>
          </cell>
          <cell r="AB15">
            <v>3848.2095497270502</v>
          </cell>
          <cell r="AC15">
            <v>1083.0467973063955</v>
          </cell>
          <cell r="AD15">
            <v>1156.2917427686577</v>
          </cell>
          <cell r="AE15">
            <v>1212.4426899542798</v>
          </cell>
          <cell r="AF15">
            <v>1167.1367020047528</v>
          </cell>
          <cell r="AG15">
            <v>4618.9179320340854</v>
          </cell>
          <cell r="AH15">
            <v>1227.6542731375914</v>
          </cell>
          <cell r="AI15">
            <v>1309.7291515980241</v>
          </cell>
          <cell r="AJ15">
            <v>1385.625256933979</v>
          </cell>
          <cell r="AK15">
            <v>1333.4644437992415</v>
          </cell>
          <cell r="AL15">
            <v>5256.4731254688359</v>
          </cell>
          <cell r="AM15">
            <v>1420.8587008076977</v>
          </cell>
          <cell r="AN15">
            <v>1507.9699816316602</v>
          </cell>
          <cell r="AO15">
            <v>1552.8914947873623</v>
          </cell>
          <cell r="AP15">
            <v>1467.4776987615548</v>
          </cell>
          <cell r="AQ15">
            <v>5949.197875988275</v>
          </cell>
          <cell r="AR15">
            <v>1566.2925860125279</v>
          </cell>
          <cell r="AS15">
            <v>1665.5794261628703</v>
          </cell>
          <cell r="AT15">
            <v>1710.3258806389072</v>
          </cell>
          <cell r="AU15">
            <v>1607.2891761373617</v>
          </cell>
          <cell r="AV15">
            <v>6549.4870689516665</v>
          </cell>
          <cell r="AW15">
            <v>1715.4060273562552</v>
          </cell>
          <cell r="AX15">
            <v>1820.0882913787752</v>
          </cell>
          <cell r="AY15">
            <v>1857.6850182535711</v>
          </cell>
          <cell r="AZ15">
            <v>1731.4212087552821</v>
          </cell>
          <cell r="BA15">
            <v>7124.6005457438841</v>
          </cell>
        </row>
        <row r="19">
          <cell r="H19">
            <v>-814</v>
          </cell>
          <cell r="L19">
            <v>-341</v>
          </cell>
          <cell r="M19">
            <v>-995</v>
          </cell>
          <cell r="N19">
            <v>-218</v>
          </cell>
          <cell r="O19">
            <v>-248</v>
          </cell>
          <cell r="P19">
            <v>-286</v>
          </cell>
          <cell r="Q19">
            <v>-381</v>
          </cell>
          <cell r="R19">
            <v>-1133</v>
          </cell>
          <cell r="S19">
            <v>-337</v>
          </cell>
          <cell r="T19">
            <v>-626</v>
          </cell>
          <cell r="U19">
            <v>-432</v>
          </cell>
          <cell r="V19">
            <v>-466</v>
          </cell>
          <cell r="W19">
            <v>-1861</v>
          </cell>
          <cell r="X19">
            <v>-465</v>
          </cell>
          <cell r="Y19">
            <v>-475</v>
          </cell>
          <cell r="Z19">
            <v>-480</v>
          </cell>
          <cell r="AA19">
            <v>-490</v>
          </cell>
          <cell r="AB19">
            <v>-1910</v>
          </cell>
          <cell r="AC19">
            <v>-505</v>
          </cell>
          <cell r="AD19">
            <v>-517.625</v>
          </cell>
          <cell r="AE19">
            <v>-530.56562499999995</v>
          </cell>
          <cell r="AF19">
            <v>-543.82976562499994</v>
          </cell>
          <cell r="AG19">
            <v>-2097.0203906249999</v>
          </cell>
          <cell r="AH19">
            <v>-545</v>
          </cell>
          <cell r="AI19">
            <v>-555.9</v>
          </cell>
          <cell r="AJ19">
            <v>-567.01800000000003</v>
          </cell>
          <cell r="AK19">
            <v>-578.35836000000006</v>
          </cell>
          <cell r="AL19">
            <v>-2246.2763600000003</v>
          </cell>
          <cell r="AM19">
            <v>-579</v>
          </cell>
          <cell r="AN19">
            <v>-582</v>
          </cell>
          <cell r="AO19">
            <v>-587.82000000000005</v>
          </cell>
          <cell r="AP19">
            <v>-593.69820000000004</v>
          </cell>
          <cell r="AQ19">
            <v>-2342.5182000000004</v>
          </cell>
          <cell r="AR19">
            <v>-595</v>
          </cell>
          <cell r="AS19">
            <v>-600</v>
          </cell>
          <cell r="AT19">
            <v>-606</v>
          </cell>
          <cell r="AU19">
            <v>-612.06000000000006</v>
          </cell>
          <cell r="AV19">
            <v>-2413.06</v>
          </cell>
          <cell r="AW19">
            <v>-615</v>
          </cell>
          <cell r="AX19">
            <v>-618</v>
          </cell>
          <cell r="AY19">
            <v>-620</v>
          </cell>
          <cell r="AZ19">
            <v>-626.20000000000005</v>
          </cell>
          <cell r="BA19">
            <v>-2479.1999999999998</v>
          </cell>
        </row>
        <row r="20">
          <cell r="H20">
            <v>-826</v>
          </cell>
          <cell r="L20">
            <v>-321</v>
          </cell>
          <cell r="M20">
            <v>-897</v>
          </cell>
          <cell r="N20">
            <v>-153</v>
          </cell>
          <cell r="O20">
            <v>-172</v>
          </cell>
          <cell r="P20">
            <v>-163</v>
          </cell>
          <cell r="Q20">
            <v>-274</v>
          </cell>
          <cell r="R20">
            <v>-762</v>
          </cell>
          <cell r="S20">
            <v>-196</v>
          </cell>
          <cell r="T20">
            <v>-290</v>
          </cell>
          <cell r="U20">
            <v>-216</v>
          </cell>
          <cell r="V20">
            <v>-223</v>
          </cell>
          <cell r="W20">
            <v>-925</v>
          </cell>
          <cell r="X20">
            <v>-223</v>
          </cell>
          <cell r="Y20">
            <v>-226</v>
          </cell>
          <cell r="Z20">
            <v>-227</v>
          </cell>
          <cell r="AA20">
            <v>-230</v>
          </cell>
          <cell r="AB20">
            <v>-906</v>
          </cell>
          <cell r="AC20">
            <v>-234</v>
          </cell>
          <cell r="AD20">
            <v>-239.84999999999997</v>
          </cell>
          <cell r="AE20">
            <v>-245.84624999999994</v>
          </cell>
          <cell r="AF20">
            <v>-248</v>
          </cell>
          <cell r="AG20">
            <v>-967.69624999999996</v>
          </cell>
          <cell r="AH20">
            <v>-252</v>
          </cell>
          <cell r="AI20">
            <v>-253</v>
          </cell>
          <cell r="AJ20">
            <v>-254</v>
          </cell>
          <cell r="AK20">
            <v>-255</v>
          </cell>
          <cell r="AL20">
            <v>-1014</v>
          </cell>
          <cell r="AM20">
            <v>-257.55</v>
          </cell>
          <cell r="AN20">
            <v>-260.12549999999999</v>
          </cell>
          <cell r="AO20">
            <v>-262.72675499999997</v>
          </cell>
          <cell r="AP20">
            <v>-265.35402254999997</v>
          </cell>
          <cell r="AQ20">
            <v>-1045.75627755</v>
          </cell>
          <cell r="AR20">
            <v>-268.00756277549999</v>
          </cell>
          <cell r="AS20">
            <v>-270.68763840325499</v>
          </cell>
          <cell r="AT20">
            <v>-273.39451478728756</v>
          </cell>
          <cell r="AU20">
            <v>-276.12845993516044</v>
          </cell>
          <cell r="AV20">
            <v>-1088.218175901203</v>
          </cell>
          <cell r="AW20">
            <v>-278.88974453451203</v>
          </cell>
          <cell r="AX20">
            <v>-281.67864197985716</v>
          </cell>
          <cell r="AY20">
            <v>-284.49542839965574</v>
          </cell>
          <cell r="AZ20">
            <v>-287.34038268365231</v>
          </cell>
          <cell r="BA20">
            <v>-1132.4041975976772</v>
          </cell>
        </row>
        <row r="21">
          <cell r="H21">
            <v>-3</v>
          </cell>
          <cell r="L21">
            <v>-42</v>
          </cell>
          <cell r="M21">
            <v>-47</v>
          </cell>
          <cell r="N21">
            <v>-2</v>
          </cell>
          <cell r="O21">
            <v>-2</v>
          </cell>
          <cell r="P21">
            <v>-2</v>
          </cell>
          <cell r="Q21">
            <v>-1</v>
          </cell>
          <cell r="R21">
            <v>-7</v>
          </cell>
          <cell r="S21">
            <v>0</v>
          </cell>
          <cell r="T21">
            <v>0</v>
          </cell>
          <cell r="U21">
            <v>-6</v>
          </cell>
          <cell r="V21">
            <v>0</v>
          </cell>
          <cell r="W21">
            <v>-6</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H22">
            <v>-1643</v>
          </cell>
          <cell r="L22">
            <v>-704</v>
          </cell>
          <cell r="M22">
            <v>-1939</v>
          </cell>
          <cell r="N22">
            <v>-373</v>
          </cell>
          <cell r="O22">
            <v>-422</v>
          </cell>
          <cell r="P22">
            <v>-451</v>
          </cell>
          <cell r="Q22">
            <v>-656</v>
          </cell>
          <cell r="R22">
            <v>-1902</v>
          </cell>
          <cell r="S22">
            <v>-533</v>
          </cell>
          <cell r="T22">
            <v>-916</v>
          </cell>
          <cell r="U22">
            <v>-654</v>
          </cell>
          <cell r="V22">
            <v>-689</v>
          </cell>
          <cell r="W22">
            <v>-2792</v>
          </cell>
          <cell r="X22">
            <v>-688</v>
          </cell>
          <cell r="Y22">
            <v>-701</v>
          </cell>
          <cell r="Z22">
            <v>-707</v>
          </cell>
          <cell r="AA22">
            <v>-720</v>
          </cell>
          <cell r="AB22">
            <v>-2816</v>
          </cell>
          <cell r="AC22">
            <v>-739</v>
          </cell>
          <cell r="AD22">
            <v>-757.47499999999991</v>
          </cell>
          <cell r="AE22">
            <v>-776.4118749999999</v>
          </cell>
          <cell r="AF22">
            <v>-791.82976562499994</v>
          </cell>
          <cell r="AG22">
            <v>-3064.7166406249999</v>
          </cell>
          <cell r="AH22">
            <v>-797</v>
          </cell>
          <cell r="AI22">
            <v>-808.9</v>
          </cell>
          <cell r="AJ22">
            <v>-821.01800000000003</v>
          </cell>
          <cell r="AK22">
            <v>-833.35836000000006</v>
          </cell>
          <cell r="AL22">
            <v>-3260.2763600000003</v>
          </cell>
          <cell r="AM22">
            <v>-836.55</v>
          </cell>
          <cell r="AN22">
            <v>-842.12549999999999</v>
          </cell>
          <cell r="AO22">
            <v>-850.54675500000008</v>
          </cell>
          <cell r="AP22">
            <v>-859.05222255000001</v>
          </cell>
          <cell r="AQ22">
            <v>-3388.2744775499996</v>
          </cell>
          <cell r="AR22">
            <v>-863.00756277549999</v>
          </cell>
          <cell r="AS22">
            <v>-870.68763840325505</v>
          </cell>
          <cell r="AT22">
            <v>-879.39451478728756</v>
          </cell>
          <cell r="AU22">
            <v>-888.18845993516049</v>
          </cell>
          <cell r="AV22">
            <v>-3501.2781759012032</v>
          </cell>
          <cell r="AW22">
            <v>-893.88974453451203</v>
          </cell>
          <cell r="AX22">
            <v>-899.67864197985716</v>
          </cell>
          <cell r="AY22">
            <v>-904.49542839965579</v>
          </cell>
          <cell r="AZ22">
            <v>-913.5403826836523</v>
          </cell>
          <cell r="BA22">
            <v>-3611.6041975976773</v>
          </cell>
        </row>
        <row r="25">
          <cell r="H25">
            <v>-791</v>
          </cell>
          <cell r="L25">
            <v>-336</v>
          </cell>
          <cell r="M25">
            <v>-976</v>
          </cell>
          <cell r="N25">
            <v>-217</v>
          </cell>
          <cell r="O25">
            <v>-250</v>
          </cell>
          <cell r="P25">
            <v>-270</v>
          </cell>
          <cell r="Q25">
            <v>-358</v>
          </cell>
          <cell r="R25">
            <v>-1095</v>
          </cell>
          <cell r="S25">
            <v>-241</v>
          </cell>
          <cell r="T25">
            <v>-281</v>
          </cell>
          <cell r="U25">
            <v>-280</v>
          </cell>
          <cell r="V25">
            <v>-319.11095175000003</v>
          </cell>
          <cell r="W25">
            <v>-1121.1109517499999</v>
          </cell>
          <cell r="X25">
            <v>-327.51678937500003</v>
          </cell>
          <cell r="Y25">
            <v>-328.72128099999998</v>
          </cell>
          <cell r="Z25">
            <v>-327.24049167750002</v>
          </cell>
          <cell r="AA25">
            <v>-334.52421825925001</v>
          </cell>
          <cell r="AB25">
            <v>-1318.00278031175</v>
          </cell>
          <cell r="AC25">
            <v>-359.26779673750002</v>
          </cell>
          <cell r="AD25">
            <v>-364.03234505</v>
          </cell>
          <cell r="AE25">
            <v>-370.16814126137496</v>
          </cell>
          <cell r="AF25">
            <v>-380.58019479721241</v>
          </cell>
          <cell r="AG25">
            <v>-1474.0484778460875</v>
          </cell>
          <cell r="AH25">
            <v>-390.52386454174996</v>
          </cell>
          <cell r="AI25">
            <v>-394.62771230249996</v>
          </cell>
          <cell r="AJ25">
            <v>-398.60064207444378</v>
          </cell>
          <cell r="AK25">
            <v>-406.94631063082318</v>
          </cell>
          <cell r="AL25">
            <v>-1590.6985295495169</v>
          </cell>
          <cell r="AM25">
            <v>-415.25529641425499</v>
          </cell>
          <cell r="AN25">
            <v>-412.66409791762499</v>
          </cell>
          <cell r="AO25">
            <v>-410.98177417816601</v>
          </cell>
          <cell r="AP25">
            <v>-413.71554816236426</v>
          </cell>
          <cell r="AQ25">
            <v>-1652.6167166724101</v>
          </cell>
          <cell r="AR25">
            <v>-421.43061419911027</v>
          </cell>
          <cell r="AS25">
            <v>-422.19730281350627</v>
          </cell>
          <cell r="AT25">
            <v>-420.31986288707424</v>
          </cell>
          <cell r="AU25">
            <v>-423.07821557048248</v>
          </cell>
          <cell r="AV25">
            <v>-1687.0259954701733</v>
          </cell>
          <cell r="AW25">
            <v>-431.01645105105683</v>
          </cell>
          <cell r="AX25">
            <v>-431.30716795418158</v>
          </cell>
          <cell r="AY25">
            <v>-425.0358560314279</v>
          </cell>
          <cell r="AZ25">
            <v>-427.76912634900663</v>
          </cell>
          <cell r="BA25">
            <v>-1715.1286013856732</v>
          </cell>
        </row>
        <row r="26">
          <cell r="H26">
            <v>-802</v>
          </cell>
          <cell r="L26">
            <v>-315</v>
          </cell>
          <cell r="M26">
            <v>-875</v>
          </cell>
          <cell r="N26">
            <v>-153</v>
          </cell>
          <cell r="O26">
            <v>-158</v>
          </cell>
          <cell r="P26">
            <v>-138</v>
          </cell>
          <cell r="Q26">
            <v>-251</v>
          </cell>
          <cell r="R26">
            <v>-700</v>
          </cell>
          <cell r="S26">
            <v>-138</v>
          </cell>
          <cell r="T26">
            <v>-115</v>
          </cell>
          <cell r="U26">
            <v>-157</v>
          </cell>
          <cell r="V26">
            <v>-171.15680650000002</v>
          </cell>
          <cell r="W26">
            <v>-581.15680650000002</v>
          </cell>
          <cell r="X26">
            <v>-177.172263125</v>
          </cell>
          <cell r="Y26">
            <v>-177.24042700000001</v>
          </cell>
          <cell r="Z26">
            <v>-174.32430747500001</v>
          </cell>
          <cell r="AA26">
            <v>-178.17473941974998</v>
          </cell>
          <cell r="AB26">
            <v>-706.91173701975003</v>
          </cell>
          <cell r="AC26">
            <v>-185.42259891250001</v>
          </cell>
          <cell r="AD26">
            <v>-188.65244834999996</v>
          </cell>
          <cell r="AE26">
            <v>-190.53677284874993</v>
          </cell>
          <cell r="AF26">
            <v>-193.58347639073747</v>
          </cell>
          <cell r="AG26">
            <v>-758.1952965019874</v>
          </cell>
          <cell r="AH26">
            <v>-200.50795484725001</v>
          </cell>
          <cell r="AI26">
            <v>-199.24257076749998</v>
          </cell>
          <cell r="AJ26">
            <v>-195.92504899118748</v>
          </cell>
          <cell r="AK26">
            <v>-197.86265021027435</v>
          </cell>
          <cell r="AL26">
            <v>-793.53822481621182</v>
          </cell>
          <cell r="AM26">
            <v>-202.96843213808501</v>
          </cell>
          <cell r="AN26">
            <v>-203.68019930587496</v>
          </cell>
          <cell r="AO26">
            <v>-201.74805644074684</v>
          </cell>
          <cell r="AP26">
            <v>-205.35980527078806</v>
          </cell>
          <cell r="AQ26">
            <v>-813.75649315549481</v>
          </cell>
          <cell r="AR26">
            <v>-210.15110084187009</v>
          </cell>
          <cell r="AS26">
            <v>-211.42007267442372</v>
          </cell>
          <cell r="AT26">
            <v>-209.36688130007178</v>
          </cell>
          <cell r="AU26">
            <v>-213.13453179198791</v>
          </cell>
          <cell r="AV26">
            <v>-844.0725866083535</v>
          </cell>
          <cell r="AW26">
            <v>-217.56189488486433</v>
          </cell>
          <cell r="AX26">
            <v>-219.44769796458434</v>
          </cell>
          <cell r="AY26">
            <v>-217.26641323807917</v>
          </cell>
          <cell r="AZ26">
            <v>-221.19675813332117</v>
          </cell>
          <cell r="BA26">
            <v>-875.47276422084894</v>
          </cell>
        </row>
        <row r="27">
          <cell r="H27">
            <v>3</v>
          </cell>
          <cell r="L27">
            <v>0</v>
          </cell>
          <cell r="M27">
            <v>0</v>
          </cell>
          <cell r="N27">
            <v>-2</v>
          </cell>
          <cell r="O27">
            <v>0</v>
          </cell>
          <cell r="P27">
            <v>0</v>
          </cell>
          <cell r="Q27">
            <v>0</v>
          </cell>
          <cell r="R27">
            <v>-2</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30">
          <cell r="H30">
            <v>476</v>
          </cell>
          <cell r="L30">
            <v>41</v>
          </cell>
          <cell r="M30">
            <v>141</v>
          </cell>
          <cell r="N30">
            <v>-14</v>
          </cell>
          <cell r="O30">
            <v>-60</v>
          </cell>
          <cell r="P30">
            <v>-6</v>
          </cell>
          <cell r="Q30">
            <v>35</v>
          </cell>
          <cell r="R30">
            <v>-45</v>
          </cell>
          <cell r="S30">
            <v>-7</v>
          </cell>
          <cell r="T30">
            <v>-5</v>
          </cell>
          <cell r="U30">
            <v>-1</v>
          </cell>
          <cell r="V30">
            <v>-1</v>
          </cell>
          <cell r="W30">
            <v>-14</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H31">
            <v>-20</v>
          </cell>
          <cell r="L31">
            <v>0</v>
          </cell>
          <cell r="M31">
            <v>10</v>
          </cell>
          <cell r="N31">
            <v>4</v>
          </cell>
          <cell r="O31">
            <v>23</v>
          </cell>
          <cell r="P31">
            <v>-23</v>
          </cell>
          <cell r="Q31">
            <v>-1</v>
          </cell>
          <cell r="R31">
            <v>3</v>
          </cell>
          <cell r="S31">
            <v>24</v>
          </cell>
          <cell r="T31">
            <v>14</v>
          </cell>
          <cell r="U31">
            <v>-15</v>
          </cell>
          <cell r="V31">
            <v>10</v>
          </cell>
          <cell r="W31">
            <v>33</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H32">
            <v>2</v>
          </cell>
          <cell r="L32">
            <v>2</v>
          </cell>
          <cell r="M32">
            <v>2</v>
          </cell>
          <cell r="N32">
            <v>2</v>
          </cell>
          <cell r="O32">
            <v>6</v>
          </cell>
          <cell r="P32">
            <v>13</v>
          </cell>
          <cell r="Q32">
            <v>21</v>
          </cell>
          <cell r="R32">
            <v>42</v>
          </cell>
          <cell r="S32">
            <v>-1</v>
          </cell>
          <cell r="T32">
            <v>28</v>
          </cell>
          <cell r="U32">
            <v>28</v>
          </cell>
          <cell r="V32">
            <v>25</v>
          </cell>
          <cell r="W32">
            <v>80</v>
          </cell>
          <cell r="X32">
            <v>25</v>
          </cell>
          <cell r="Y32">
            <v>25</v>
          </cell>
          <cell r="Z32">
            <v>25</v>
          </cell>
          <cell r="AA32">
            <v>25</v>
          </cell>
          <cell r="AB32">
            <v>100</v>
          </cell>
          <cell r="AC32">
            <v>30</v>
          </cell>
          <cell r="AD32">
            <v>30</v>
          </cell>
          <cell r="AE32">
            <v>30</v>
          </cell>
          <cell r="AF32">
            <v>30</v>
          </cell>
          <cell r="AG32">
            <v>120</v>
          </cell>
          <cell r="AH32">
            <v>30</v>
          </cell>
          <cell r="AI32">
            <v>30</v>
          </cell>
          <cell r="AJ32">
            <v>30</v>
          </cell>
          <cell r="AK32">
            <v>30</v>
          </cell>
          <cell r="AL32">
            <v>120</v>
          </cell>
          <cell r="AM32">
            <v>30</v>
          </cell>
          <cell r="AN32">
            <v>30</v>
          </cell>
          <cell r="AO32">
            <v>30</v>
          </cell>
          <cell r="AP32">
            <v>30</v>
          </cell>
          <cell r="AQ32">
            <v>120</v>
          </cell>
          <cell r="AR32">
            <v>30</v>
          </cell>
          <cell r="AS32">
            <v>30</v>
          </cell>
          <cell r="AT32">
            <v>30</v>
          </cell>
          <cell r="AU32">
            <v>30</v>
          </cell>
          <cell r="AV32">
            <v>120</v>
          </cell>
          <cell r="AW32">
            <v>30</v>
          </cell>
          <cell r="AX32">
            <v>30</v>
          </cell>
          <cell r="AY32">
            <v>30</v>
          </cell>
          <cell r="AZ32">
            <v>30</v>
          </cell>
          <cell r="BA32">
            <v>120</v>
          </cell>
        </row>
        <row r="35">
          <cell r="H35">
            <v>-18</v>
          </cell>
          <cell r="L35">
            <v>2</v>
          </cell>
          <cell r="M35">
            <v>12</v>
          </cell>
          <cell r="N35">
            <v>6</v>
          </cell>
          <cell r="O35">
            <v>29</v>
          </cell>
          <cell r="P35">
            <v>-10</v>
          </cell>
          <cell r="Q35">
            <v>20</v>
          </cell>
          <cell r="R35">
            <v>45</v>
          </cell>
          <cell r="S35">
            <v>23</v>
          </cell>
          <cell r="T35">
            <v>42</v>
          </cell>
          <cell r="U35">
            <v>13</v>
          </cell>
          <cell r="V35">
            <v>35</v>
          </cell>
          <cell r="W35">
            <v>113</v>
          </cell>
          <cell r="X35">
            <v>25</v>
          </cell>
          <cell r="Y35">
            <v>25</v>
          </cell>
          <cell r="Z35">
            <v>25</v>
          </cell>
          <cell r="AA35">
            <v>25</v>
          </cell>
          <cell r="AB35">
            <v>100</v>
          </cell>
          <cell r="AC35">
            <v>30</v>
          </cell>
          <cell r="AD35">
            <v>30</v>
          </cell>
          <cell r="AE35">
            <v>30</v>
          </cell>
          <cell r="AF35">
            <v>30</v>
          </cell>
          <cell r="AG35">
            <v>120</v>
          </cell>
          <cell r="AH35">
            <v>30</v>
          </cell>
          <cell r="AI35">
            <v>30</v>
          </cell>
          <cell r="AJ35">
            <v>30</v>
          </cell>
          <cell r="AK35">
            <v>30</v>
          </cell>
          <cell r="AL35">
            <v>120</v>
          </cell>
          <cell r="AM35">
            <v>30</v>
          </cell>
          <cell r="AN35">
            <v>30</v>
          </cell>
          <cell r="AO35">
            <v>30</v>
          </cell>
          <cell r="AP35">
            <v>30</v>
          </cell>
          <cell r="AQ35">
            <v>120</v>
          </cell>
          <cell r="AR35">
            <v>30</v>
          </cell>
          <cell r="AS35">
            <v>30</v>
          </cell>
          <cell r="AT35">
            <v>30</v>
          </cell>
          <cell r="AU35">
            <v>30</v>
          </cell>
          <cell r="AV35">
            <v>120</v>
          </cell>
          <cell r="AW35">
            <v>30</v>
          </cell>
          <cell r="AX35">
            <v>30</v>
          </cell>
          <cell r="AY35">
            <v>30</v>
          </cell>
          <cell r="AZ35">
            <v>30</v>
          </cell>
          <cell r="BA35">
            <v>120</v>
          </cell>
        </row>
        <row r="37">
          <cell r="H37">
            <v>697</v>
          </cell>
          <cell r="L37">
            <v>-41</v>
          </cell>
          <cell r="M37">
            <v>786</v>
          </cell>
          <cell r="N37">
            <v>286</v>
          </cell>
          <cell r="O37">
            <v>152</v>
          </cell>
          <cell r="P37">
            <v>228</v>
          </cell>
          <cell r="Q37">
            <v>5</v>
          </cell>
          <cell r="R37">
            <v>671</v>
          </cell>
          <cell r="S37">
            <v>127</v>
          </cell>
          <cell r="T37">
            <v>-119</v>
          </cell>
          <cell r="U37">
            <v>146</v>
          </cell>
          <cell r="V37">
            <v>179.41462824999996</v>
          </cell>
          <cell r="W37">
            <v>333.41462824999996</v>
          </cell>
          <cell r="X37">
            <v>222.64479537500006</v>
          </cell>
          <cell r="Y37">
            <v>266.45415019999996</v>
          </cell>
          <cell r="Z37">
            <v>336.32242200499991</v>
          </cell>
          <cell r="AA37">
            <v>306.78818214705018</v>
          </cell>
          <cell r="AB37">
            <v>1132.2095497270502</v>
          </cell>
          <cell r="AC37">
            <v>374.04679730639555</v>
          </cell>
          <cell r="AD37">
            <v>428.81674276865783</v>
          </cell>
          <cell r="AE37">
            <v>466.03081495427989</v>
          </cell>
          <cell r="AF37">
            <v>405.30693637975287</v>
          </cell>
          <cell r="AG37">
            <v>1674.2012914090863</v>
          </cell>
          <cell r="AH37">
            <v>460.65427313759142</v>
          </cell>
          <cell r="AI37">
            <v>530.82915159802417</v>
          </cell>
          <cell r="AJ37">
            <v>594.60725693397899</v>
          </cell>
          <cell r="AK37">
            <v>530.10608379924145</v>
          </cell>
          <cell r="AL37">
            <v>2116.196765468836</v>
          </cell>
          <cell r="AM37">
            <v>614.30870080769773</v>
          </cell>
          <cell r="AN37">
            <v>695.84448163166019</v>
          </cell>
          <cell r="AO37">
            <v>732.34473978736219</v>
          </cell>
          <cell r="AP37">
            <v>638.42547621155484</v>
          </cell>
          <cell r="AQ37">
            <v>2680.9233984382749</v>
          </cell>
          <cell r="AR37">
            <v>733.28502323702787</v>
          </cell>
          <cell r="AS37">
            <v>824.89178775961523</v>
          </cell>
          <cell r="AT37">
            <v>860.9313658516196</v>
          </cell>
          <cell r="AU37">
            <v>749.10071620220117</v>
          </cell>
          <cell r="AV37">
            <v>3168.2088930504638</v>
          </cell>
          <cell r="AW37">
            <v>851.51628282174318</v>
          </cell>
          <cell r="AX37">
            <v>950.40964939891808</v>
          </cell>
          <cell r="AY37">
            <v>983.18958985391532</v>
          </cell>
          <cell r="AZ37">
            <v>847.88082607162983</v>
          </cell>
          <cell r="BA37">
            <v>3632.9963481462064</v>
          </cell>
        </row>
        <row r="39">
          <cell r="H39">
            <v>286</v>
          </cell>
          <cell r="L39">
            <v>-29</v>
          </cell>
          <cell r="M39">
            <v>743</v>
          </cell>
          <cell r="N39">
            <v>303</v>
          </cell>
          <cell r="O39">
            <v>227</v>
          </cell>
          <cell r="P39">
            <v>279</v>
          </cell>
          <cell r="Q39">
            <v>19</v>
          </cell>
          <cell r="R39">
            <v>828</v>
          </cell>
          <cell r="S39">
            <v>295</v>
          </cell>
          <cell r="T39">
            <v>426</v>
          </cell>
          <cell r="U39">
            <v>374</v>
          </cell>
          <cell r="V39">
            <v>379.14686999999992</v>
          </cell>
          <cell r="W39">
            <v>1474.14687</v>
          </cell>
          <cell r="X39">
            <v>405.95574287500006</v>
          </cell>
          <cell r="Y39">
            <v>461.49244219999997</v>
          </cell>
          <cell r="Z39">
            <v>541.75762285249994</v>
          </cell>
          <cell r="AA39">
            <v>514.08922446805025</v>
          </cell>
          <cell r="AB39">
            <v>1923.2950323955502</v>
          </cell>
          <cell r="AC39">
            <v>568.35640165639552</v>
          </cell>
          <cell r="AD39">
            <v>633.60694936865775</v>
          </cell>
          <cell r="AE39">
            <v>681.73777584415484</v>
          </cell>
          <cell r="AF39">
            <v>622.97303081680298</v>
          </cell>
          <cell r="AG39">
            <v>2506.6741576860113</v>
          </cell>
          <cell r="AH39">
            <v>666.6224537485914</v>
          </cell>
          <cell r="AI39">
            <v>745.85886852802423</v>
          </cell>
          <cell r="AJ39">
            <v>821.09956586834778</v>
          </cell>
          <cell r="AK39">
            <v>758.65548295814392</v>
          </cell>
          <cell r="AL39">
            <v>2992.2363711031076</v>
          </cell>
          <cell r="AM39">
            <v>832.63497225535775</v>
          </cell>
          <cell r="AN39">
            <v>921.62568440816017</v>
          </cell>
          <cell r="AO39">
            <v>970.16166416844942</v>
          </cell>
          <cell r="AP39">
            <v>878.40234532840259</v>
          </cell>
          <cell r="AQ39">
            <v>3602.8246661603698</v>
          </cell>
          <cell r="AR39">
            <v>964.71087097154748</v>
          </cell>
          <cell r="AS39">
            <v>1061.9620506749402</v>
          </cell>
          <cell r="AT39">
            <v>1110.6391364517613</v>
          </cell>
          <cell r="AU39">
            <v>1001.0764287748913</v>
          </cell>
          <cell r="AV39">
            <v>4138.3884868731402</v>
          </cell>
          <cell r="AW39">
            <v>1096.8276814203341</v>
          </cell>
          <cell r="AX39">
            <v>1199.3334254600093</v>
          </cell>
          <cell r="AY39">
            <v>1245.3827489840642</v>
          </cell>
          <cell r="AZ39">
            <v>1112.4553242729544</v>
          </cell>
          <cell r="BA39">
            <v>4653.9991801373617</v>
          </cell>
        </row>
        <row r="41">
          <cell r="H41">
            <v>-153</v>
          </cell>
          <cell r="L41">
            <v>12</v>
          </cell>
          <cell r="M41">
            <v>-110</v>
          </cell>
          <cell r="N41">
            <v>-61</v>
          </cell>
          <cell r="O41">
            <v>-38</v>
          </cell>
          <cell r="P41">
            <v>-46</v>
          </cell>
          <cell r="Q41">
            <v>-2</v>
          </cell>
          <cell r="R41">
            <v>-147</v>
          </cell>
          <cell r="S41">
            <v>-22</v>
          </cell>
          <cell r="T41">
            <v>9</v>
          </cell>
          <cell r="U41">
            <v>-59</v>
          </cell>
          <cell r="V41">
            <v>-56.872030499999987</v>
          </cell>
          <cell r="W41">
            <v>-128.87203049999999</v>
          </cell>
          <cell r="X41">
            <v>-60.893361431250007</v>
          </cell>
          <cell r="Y41">
            <v>-69.223866329999993</v>
          </cell>
          <cell r="Z41">
            <v>-81.263643427874982</v>
          </cell>
          <cell r="AA41">
            <v>-77.11338367020754</v>
          </cell>
          <cell r="AB41">
            <v>-288.49425485933256</v>
          </cell>
          <cell r="AC41">
            <v>-85.253460248459319</v>
          </cell>
          <cell r="AD41">
            <v>-95.041042405298654</v>
          </cell>
          <cell r="AE41">
            <v>-102.26066637662322</v>
          </cell>
          <cell r="AF41">
            <v>-93.445954622520446</v>
          </cell>
          <cell r="AG41">
            <v>-376.00112365290164</v>
          </cell>
          <cell r="AH41">
            <v>-99.99336806228871</v>
          </cell>
          <cell r="AI41">
            <v>-111.87883027920363</v>
          </cell>
          <cell r="AJ41">
            <v>-123.16493488025216</v>
          </cell>
          <cell r="AK41">
            <v>-113.79832244372159</v>
          </cell>
          <cell r="AL41">
            <v>-448.8354556654661</v>
          </cell>
          <cell r="AM41">
            <v>-124.89524583830365</v>
          </cell>
          <cell r="AN41">
            <v>-138.24385266122403</v>
          </cell>
          <cell r="AO41">
            <v>-145.5242496252674</v>
          </cell>
          <cell r="AP41">
            <v>-131.76035179926038</v>
          </cell>
          <cell r="AQ41">
            <v>-540.42369992405543</v>
          </cell>
          <cell r="AR41">
            <v>-144.7066306457321</v>
          </cell>
          <cell r="AS41">
            <v>-159.29430760124103</v>
          </cell>
          <cell r="AT41">
            <v>-166.59587046776417</v>
          </cell>
          <cell r="AU41">
            <v>-150.16146431623369</v>
          </cell>
          <cell r="AV41">
            <v>-620.75827303097105</v>
          </cell>
          <cell r="AW41">
            <v>-164.52415221305012</v>
          </cell>
          <cell r="AX41">
            <v>-179.90001381900137</v>
          </cell>
          <cell r="AY41">
            <v>-186.80741234760961</v>
          </cell>
          <cell r="AZ41">
            <v>-166.86829864094315</v>
          </cell>
          <cell r="BA41">
            <v>-698.09987702060437</v>
          </cell>
        </row>
        <row r="43">
          <cell r="H43">
            <v>-79</v>
          </cell>
          <cell r="L43">
            <v>19</v>
          </cell>
          <cell r="M43">
            <v>-80</v>
          </cell>
          <cell r="N43">
            <v>-67</v>
          </cell>
          <cell r="O43">
            <v>-49</v>
          </cell>
          <cell r="P43">
            <v>-54</v>
          </cell>
          <cell r="Q43">
            <v>-1</v>
          </cell>
          <cell r="R43">
            <v>-171</v>
          </cell>
          <cell r="S43">
            <v>-49</v>
          </cell>
          <cell r="T43">
            <v>-48</v>
          </cell>
          <cell r="U43">
            <v>-50</v>
          </cell>
          <cell r="V43">
            <v>-56.872030499999987</v>
          </cell>
          <cell r="W43">
            <v>-203.87203049999999</v>
          </cell>
          <cell r="X43">
            <v>-60.893361431250007</v>
          </cell>
          <cell r="Y43">
            <v>-69.223866329999993</v>
          </cell>
          <cell r="Z43">
            <v>-81.263643427874982</v>
          </cell>
          <cell r="AA43">
            <v>-77.11338367020754</v>
          </cell>
          <cell r="AB43">
            <v>-288.49425485933256</v>
          </cell>
          <cell r="AC43">
            <v>-85.253460248459319</v>
          </cell>
          <cell r="AD43">
            <v>-95.041042405298654</v>
          </cell>
          <cell r="AE43">
            <v>-102.26066637662322</v>
          </cell>
          <cell r="AF43">
            <v>-93.445954622520446</v>
          </cell>
          <cell r="AG43">
            <v>-376.00112365290164</v>
          </cell>
          <cell r="AH43">
            <v>-99.99336806228871</v>
          </cell>
          <cell r="AI43">
            <v>-111.87883027920363</v>
          </cell>
          <cell r="AJ43">
            <v>-123.16493488025216</v>
          </cell>
          <cell r="AK43">
            <v>-113.79832244372159</v>
          </cell>
          <cell r="AL43">
            <v>-448.8354556654661</v>
          </cell>
          <cell r="AM43">
            <v>-124.89524583830365</v>
          </cell>
          <cell r="AN43">
            <v>-138.24385266122403</v>
          </cell>
          <cell r="AO43">
            <v>-145.5242496252674</v>
          </cell>
          <cell r="AP43">
            <v>-131.76035179926038</v>
          </cell>
          <cell r="AQ43">
            <v>-540.42369992405543</v>
          </cell>
          <cell r="AR43">
            <v>-144.7066306457321</v>
          </cell>
          <cell r="AS43">
            <v>-159.29430760124103</v>
          </cell>
          <cell r="AT43">
            <v>-166.59587046776417</v>
          </cell>
          <cell r="AU43">
            <v>-150.16146431623369</v>
          </cell>
          <cell r="AV43">
            <v>-620.75827303097105</v>
          </cell>
          <cell r="AW43">
            <v>-164.52415221305012</v>
          </cell>
          <cell r="AX43">
            <v>-179.90001381900137</v>
          </cell>
          <cell r="AY43">
            <v>-186.80741234760961</v>
          </cell>
          <cell r="AZ43">
            <v>-166.86829864094315</v>
          </cell>
          <cell r="BA43">
            <v>-698.09987702060437</v>
          </cell>
        </row>
        <row r="45">
          <cell r="H45">
            <v>544</v>
          </cell>
          <cell r="L45">
            <v>-29</v>
          </cell>
          <cell r="M45">
            <v>676</v>
          </cell>
          <cell r="N45">
            <v>225</v>
          </cell>
          <cell r="O45">
            <v>114</v>
          </cell>
          <cell r="P45">
            <v>182</v>
          </cell>
          <cell r="Q45">
            <v>3</v>
          </cell>
          <cell r="R45">
            <v>524</v>
          </cell>
          <cell r="S45">
            <v>105</v>
          </cell>
          <cell r="T45">
            <v>-110</v>
          </cell>
          <cell r="U45">
            <v>87</v>
          </cell>
          <cell r="V45">
            <v>122.54259774999997</v>
          </cell>
          <cell r="W45">
            <v>204.54259774999997</v>
          </cell>
          <cell r="X45">
            <v>161.75143394375004</v>
          </cell>
          <cell r="Y45">
            <v>197.23028386999997</v>
          </cell>
          <cell r="Z45">
            <v>255.05877857712494</v>
          </cell>
          <cell r="AA45">
            <v>229.67479847684262</v>
          </cell>
          <cell r="AB45">
            <v>843.7152948677176</v>
          </cell>
          <cell r="AC45">
            <v>288.79333705793624</v>
          </cell>
          <cell r="AD45">
            <v>333.77570036335919</v>
          </cell>
          <cell r="AE45">
            <v>363.77014857765664</v>
          </cell>
          <cell r="AF45">
            <v>311.86098175723242</v>
          </cell>
          <cell r="AG45">
            <v>1298.2001677561846</v>
          </cell>
          <cell r="AH45">
            <v>360.66090507530271</v>
          </cell>
          <cell r="AI45">
            <v>418.95032131882056</v>
          </cell>
          <cell r="AJ45">
            <v>471.4423220537268</v>
          </cell>
          <cell r="AK45">
            <v>416.30776135551986</v>
          </cell>
          <cell r="AL45">
            <v>1667.36130980337</v>
          </cell>
          <cell r="AM45">
            <v>489.41345496939408</v>
          </cell>
          <cell r="AN45">
            <v>557.60062897043622</v>
          </cell>
          <cell r="AO45">
            <v>586.82049016209476</v>
          </cell>
          <cell r="AP45">
            <v>506.66512441229446</v>
          </cell>
          <cell r="AQ45">
            <v>2140.4996985142193</v>
          </cell>
          <cell r="AR45">
            <v>588.57839259129582</v>
          </cell>
          <cell r="AS45">
            <v>665.5974801583742</v>
          </cell>
          <cell r="AT45">
            <v>694.33549538385546</v>
          </cell>
          <cell r="AU45">
            <v>598.93925188596745</v>
          </cell>
          <cell r="AV45">
            <v>2547.4506200194928</v>
          </cell>
          <cell r="AW45">
            <v>686.99213060869306</v>
          </cell>
          <cell r="AX45">
            <v>770.50963557991668</v>
          </cell>
          <cell r="AY45">
            <v>796.38217750630565</v>
          </cell>
          <cell r="AZ45">
            <v>681.01252743068665</v>
          </cell>
          <cell r="BA45">
            <v>2934.8964711256021</v>
          </cell>
        </row>
        <row r="47">
          <cell r="H47">
            <v>207</v>
          </cell>
          <cell r="L47">
            <v>-10</v>
          </cell>
          <cell r="M47">
            <v>663</v>
          </cell>
          <cell r="N47">
            <v>236</v>
          </cell>
          <cell r="O47">
            <v>178</v>
          </cell>
          <cell r="P47">
            <v>225</v>
          </cell>
          <cell r="Q47">
            <v>18</v>
          </cell>
          <cell r="R47">
            <v>657</v>
          </cell>
          <cell r="S47">
            <v>246</v>
          </cell>
          <cell r="T47">
            <v>378</v>
          </cell>
          <cell r="U47">
            <v>324</v>
          </cell>
          <cell r="V47">
            <v>322.27483949999993</v>
          </cell>
          <cell r="W47">
            <v>1270.2748394999999</v>
          </cell>
          <cell r="X47">
            <v>345.06238144375004</v>
          </cell>
          <cell r="Y47">
            <v>392.26857586999995</v>
          </cell>
          <cell r="Z47">
            <v>460.49397942462497</v>
          </cell>
          <cell r="AA47">
            <v>436.97584079784269</v>
          </cell>
          <cell r="AB47">
            <v>1634.8007775362178</v>
          </cell>
          <cell r="AC47">
            <v>483.10294140793621</v>
          </cell>
          <cell r="AD47">
            <v>538.56590696335911</v>
          </cell>
          <cell r="AE47">
            <v>579.47710946753159</v>
          </cell>
          <cell r="AF47">
            <v>529.52707619428247</v>
          </cell>
          <cell r="AG47">
            <v>2130.6730340331096</v>
          </cell>
          <cell r="AH47">
            <v>566.62908568630269</v>
          </cell>
          <cell r="AI47">
            <v>633.98003824882062</v>
          </cell>
          <cell r="AJ47">
            <v>697.93463098809559</v>
          </cell>
          <cell r="AK47">
            <v>644.85716051442228</v>
          </cell>
          <cell r="AL47">
            <v>2543.4009154376408</v>
          </cell>
          <cell r="AM47">
            <v>707.73972641705404</v>
          </cell>
          <cell r="AN47">
            <v>783.38183174693609</v>
          </cell>
          <cell r="AO47">
            <v>824.63741454318199</v>
          </cell>
          <cell r="AP47">
            <v>746.64199352914216</v>
          </cell>
          <cell r="AQ47">
            <v>3062.4009662363142</v>
          </cell>
          <cell r="AR47">
            <v>820.00424032581532</v>
          </cell>
          <cell r="AS47">
            <v>902.66774307369917</v>
          </cell>
          <cell r="AT47">
            <v>944.04326598399712</v>
          </cell>
          <cell r="AU47">
            <v>850.91496445865755</v>
          </cell>
          <cell r="AV47">
            <v>3517.6302138421688</v>
          </cell>
          <cell r="AW47">
            <v>932.30352920728399</v>
          </cell>
          <cell r="AX47">
            <v>1019.4334116410079</v>
          </cell>
          <cell r="AY47">
            <v>1058.5753366364545</v>
          </cell>
          <cell r="AZ47">
            <v>945.5870256320112</v>
          </cell>
          <cell r="BA47">
            <v>3955.8993031167574</v>
          </cell>
        </row>
        <row r="51">
          <cell r="H51">
            <v>1171</v>
          </cell>
          <cell r="L51">
            <v>1004</v>
          </cell>
          <cell r="M51">
            <v>1004</v>
          </cell>
          <cell r="N51">
            <v>788</v>
          </cell>
          <cell r="O51">
            <v>690</v>
          </cell>
          <cell r="P51">
            <v>1101</v>
          </cell>
          <cell r="Q51">
            <v>1554</v>
          </cell>
          <cell r="R51">
            <v>1554</v>
          </cell>
          <cell r="S51">
            <v>1248</v>
          </cell>
          <cell r="T51">
            <v>1406</v>
          </cell>
          <cell r="U51">
            <v>1551</v>
          </cell>
        </row>
        <row r="52">
          <cell r="H52">
            <v>126</v>
          </cell>
          <cell r="L52">
            <v>631</v>
          </cell>
          <cell r="M52">
            <v>631</v>
          </cell>
          <cell r="N52">
            <v>566</v>
          </cell>
          <cell r="O52">
            <v>686</v>
          </cell>
          <cell r="P52">
            <v>671</v>
          </cell>
          <cell r="Q52">
            <v>661</v>
          </cell>
          <cell r="R52">
            <v>661</v>
          </cell>
          <cell r="S52">
            <v>801</v>
          </cell>
          <cell r="T52">
            <v>800</v>
          </cell>
          <cell r="U52">
            <v>850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1">
          <cell r="P11">
            <v>939</v>
          </cell>
          <cell r="Q11">
            <v>844</v>
          </cell>
          <cell r="R11">
            <v>983</v>
          </cell>
          <cell r="U11">
            <v>1053</v>
          </cell>
          <cell r="V11">
            <v>1135</v>
          </cell>
          <cell r="W11">
            <v>1242</v>
          </cell>
        </row>
        <row r="96">
          <cell r="P96">
            <v>0</v>
          </cell>
          <cell r="Q96">
            <v>43.2</v>
          </cell>
          <cell r="R96">
            <v>51.1</v>
          </cell>
          <cell r="U96">
            <v>126.1</v>
          </cell>
          <cell r="V96">
            <v>177.9</v>
          </cell>
          <cell r="W96">
            <v>200.2</v>
          </cell>
        </row>
      </sheetData>
    </sheetDataSet>
  </externalBook>
</externalLink>
</file>

<file path=xl/persons/person.xml><?xml version="1.0" encoding="utf-8"?>
<personList xmlns="http://schemas.microsoft.com/office/spreadsheetml/2018/threadedcomments" xmlns:x="http://schemas.openxmlformats.org/spreadsheetml/2006/main">
  <person displayName="Alex Pound" id="{5FF1EC60-44F1-495B-BD45-E52FC60F1C9C}" userId="S::Alex.Pound@arete.net::5a0bec41-9dd6-4b7a-98e1-ace3e6c8cb88"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7" dT="2024-05-10T09:10:24.11" personId="{5FF1EC60-44F1-495B-BD45-E52FC60F1C9C}" id="{5724D655-9946-44C6-961A-6292241B159E}">
    <text>Using adjusted Arm equity holding from June '24 i.e., adjusted for $12bn receivable still to be paid to SVF1.</text>
  </threadedComment>
  <threadedComment ref="M109" dT="2024-05-08T07:00:18.06" personId="{5FF1EC60-44F1-495B-BD45-E52FC60F1C9C}" id="{4B8721CE-D865-418A-9B2B-A197B659EC0D}">
    <text>See slide 6 of F3Q23 Investor Briefing: DT call options on 35m T-Mobile US shares expire June '24 but only 28.2m "floating" (i.e., exercise price based on trailing VWAP) vs. 6.7m fixed ($103 per original commentary in Financial Reports).</text>
  </threadedComment>
  <threadedComment ref="M109" dT="2024-05-08T07:00:24.79" personId="{5FF1EC60-44F1-495B-BD45-E52FC60F1C9C}" id="{CBF44F6F-8211-4999-812B-E3E0EEA10A73}" parentId="{4B8721CE-D865-418A-9B2B-A197B659EC0D}">
    <text>https://group.softbank/system/files/pdf/ir/presentations/2023/investor-presentation_q3fy2023_01_en.pdf</text>
    <extLst>
      <x:ext xmlns:xltc2="http://schemas.microsoft.com/office/spreadsheetml/2020/threadedcomments2" uri="{F7C98A9C-CBB3-438F-8F68-D28B6AF4A901}">
        <xltc2:checksum>1337898627</xltc2:checksum>
        <xltc2:hyperlink startIndex="0" length="102" url="https://group.softbank/system/files/pdf/ir/presentations/2023/investor-presentation_q3fy2023_01_en.pdf"/>
      </x:ext>
    </extLst>
  </threadedComment>
  <threadedComment ref="M114" dT="2024-05-08T06:51:25.41" personId="{5FF1EC60-44F1-495B-BD45-E52FC60F1C9C}" id="{CEE711ED-2DCF-4498-9F13-018E410D4532}">
    <text>Per FT article, investment not an SVF investment but done at Group/SoftBank level: SoftBank said to provide "substantial majority of the $1.05bn funding round".</text>
  </threadedComment>
  <threadedComment ref="M114" dT="2024-05-08T06:51:27.95" personId="{5FF1EC60-44F1-495B-BD45-E52FC60F1C9C}" id="{4790F847-01FD-4D67-AA6F-30E913FAD4E6}" parentId="{CEE711ED-2DCF-4498-9F13-018E410D4532}">
    <text>https://www.ft.com/content/a5704e29-545c-45e6-b7e3-d0a8cda285c4</text>
    <extLst>
      <x:ext xmlns:xltc2="http://schemas.microsoft.com/office/spreadsheetml/2020/threadedcomments2" uri="{F7C98A9C-CBB3-438F-8F68-D28B6AF4A901}">
        <xltc2:checksum>2317575941</xltc2:checksum>
        <xltc2:hyperlink startIndex="0" length="63" url="https://www.ft.com/content/a5704e29-545c-45e6-b7e3-d0a8cda285c4"/>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D6" dT="2024-02-13T11:34:21.96" personId="{5FF1EC60-44F1-495B-BD45-E52FC60F1C9C}" id="{F228989F-838D-4B6B-997C-04E49D72EB9D}">
    <text>Ctrl+F "outstanding" in latest SoftBank Group quarterly Financial Report: note includes treasury stock.</text>
  </threadedComment>
  <threadedComment ref="D6" dT="2026-01-07T09:34:09.68" personId="{5FF1EC60-44F1-495B-BD45-E52FC60F1C9C}" id="{7C409B76-571E-463E-852B-CF4A34BF0FB8}" parentId="{F228989F-838D-4B6B-997C-04E49D72EB9D}">
    <text>https://group.softbank/en/news/press/20251111</text>
    <extLst>
      <x:ext xmlns:xltc2="http://schemas.microsoft.com/office/spreadsheetml/2020/threadedcomments2" uri="{F7C98A9C-CBB3-438F-8F68-D28B6AF4A901}">
        <xltc2:checksum>3173789156</xltc2:checksum>
        <xltc2:hyperlink startIndex="0" length="45" url="https://group.softbank/en/news/press/20251111"/>
      </x:ext>
    </extLst>
  </threadedComment>
</ThreadedComments>
</file>

<file path=xl/threadedComments/threadedComment3.xml><?xml version="1.0" encoding="utf-8"?>
<ThreadedComments xmlns="http://schemas.microsoft.com/office/spreadsheetml/2018/threadedcomments" xmlns:x="http://schemas.openxmlformats.org/spreadsheetml/2006/main">
  <threadedComment ref="BH209" dT="2025-07-22T14:58:40.46" personId="{5FF1EC60-44F1-495B-BD45-E52FC60F1C9C}" id="{FE73669F-ABA8-4E76-9810-1FB110FCAB31}">
    <text>Arm target price: upgraded to $106 March ‘27 target price on 5 Aug. ‘24.</text>
  </threadedComment>
  <threadedComment ref="BH209" dT="2025-07-22T14:58:48.11" personId="{5FF1EC60-44F1-495B-BD45-E52FC60F1C9C}" id="{E5F88E81-30A7-453B-BAF2-18DBC2349B01}" parentId="{FE73669F-ABA8-4E76-9810-1FB110FCAB31}">
    <text>https://arete-singletrack.s3.eu-west-1.amazonaws.com/Arm_Holdings_Pre_Season_Fitness_1_1.pdf?X-Amz-Signature=27c95584c79d3228ae611c9559fac792f837df44b10aa13c03dde6dec54ebdd8&amp;X-Amz-Algorithm=AWS4-HMAC-SHA256&amp;X-Amz-Credential=AKIAW3DTAMO2PMSTXXFB%2F20250722%2Feu-west-1%2Fs3%2Faws4_request&amp;X-Amz-Date=20250722T145052Z&amp;X-Amz-Expires=86400&amp;X-Amz-SignedHeaders=host</text>
    <extLst>
      <x:ext xmlns:xltc2="http://schemas.microsoft.com/office/spreadsheetml/2020/threadedcomments2" uri="{F7C98A9C-CBB3-438F-8F68-D28B6AF4A901}">
        <xltc2:checksum>3157369137</xltc2:checksum>
        <xltc2:hyperlink startIndex="0" length="360" url="https://arete-singletrack.s3.eu-west-1.amazonaws.com/Arm_Holdings_Pre_Season_Fitness_1_1.pdf?X-Amz-Signature=27c95584c79d3228ae611c9559fac792f837df44b10aa13c03dde6dec54ebdd8&amp;X-Amz-Algorithm=AWS4-HMAC-SHA256&amp;X-Amz-Credential=AKIAW3DTAMO2PMSTXXFB%2F20250722%2Feu-west-1%2Fs3%2Faws4_request&amp;X-Amz-Date=20250722T145052Z&amp;X-Amz-Expires=86400&amp;X-Amz-SignedHeaders=host"/>
      </x:ext>
    </extLst>
  </threadedComment>
  <threadedComment ref="BJ209" dT="2025-07-22T15:00:01.61" personId="{5FF1EC60-44F1-495B-BD45-E52FC60F1C9C}" id="{D7FDF76D-736D-47EA-B8C4-2EB6B7584893}">
    <text>Arm target price: upgraded to $115 March ‘27 target price on 13 Feb. ‘25 as part of Semis monthly RTV note.</text>
  </threadedComment>
  <threadedComment ref="BJ209" dT="2025-07-22T15:00:20.98" personId="{5FF1EC60-44F1-495B-BD45-E52FC60F1C9C}" id="{A608AFE6-7776-42E9-8C4D-936D0D8E749E}" parentId="{D7FDF76D-736D-47EA-B8C4-2EB6B7584893}">
    <text>https://arete-singletrack.s3.eu-west-1.amazonaws.com/Semis_Hardware_Real_Time_Views_February_25_Edition_1_1.pdf?X-Amz-Signature=320b78f56dd08f8d4b358e3c274aa085dc76943ec50aaba8ba9db3409168ff6d&amp;X-Amz-Algorithm=AWS4-HMAC-SHA256&amp;X-Amz-Credential=AKIAW3DTAMO2PMSTXXFB%2F20250722%2Feu-west-1%2Fs3%2Faws4_request&amp;X-Amz-Date=20250722T145513Z&amp;X-Amz-Expires=86400&amp;X-Amz-SignedHeaders=host</text>
    <extLst>
      <x:ext xmlns:xltc2="http://schemas.microsoft.com/office/spreadsheetml/2020/threadedcomments2" uri="{F7C98A9C-CBB3-438F-8F68-D28B6AF4A901}">
        <xltc2:checksum>3128313055</xltc2:checksum>
        <xltc2:hyperlink startIndex="0" length="379" url="https://arete-singletrack.s3.eu-west-1.amazonaws.com/Semis_Hardware_Real_Time_Views_February_25_Edition_1_1.pdf?X-Amz-Signature=320b78f56dd08f8d4b358e3c274aa085dc76943ec50aaba8ba9db3409168ff6d&amp;X-Amz-Algorithm=AWS4-HMAC-SHA256&amp;X-Amz-Credential=AKIAW3DTAMO2PMSTXXFB%2F20250722%2Feu-west-1%2Fs3%2Faws4_request&amp;X-Amz-Date=20250722T145513Z&amp;X-Amz-Expires=86400&amp;X-Amz-SignedHeaders=host"/>
      </x:ext>
    </extLst>
  </threadedComment>
</ThreadedComments>
</file>

<file path=xl/threadedComments/threadedComment4.xml><?xml version="1.0" encoding="utf-8"?>
<ThreadedComments xmlns="http://schemas.microsoft.com/office/spreadsheetml/2018/threadedcomments" xmlns:x="http://schemas.openxmlformats.org/spreadsheetml/2006/main">
  <threadedComment ref="AD92" dT="2024-07-22T20:20:22.56" personId="{5FF1EC60-44F1-495B-BD45-E52FC60F1C9C}" id="{407C5026-ECBF-4836-8A13-68D6A7650B4D}">
    <text>See 2Q21 Investor Briefing (Accounting): slide 6 gives details of fixed vs. floating call option breakdown of 45.37 million T-Mobile US shares sold for 225 million DT shares in September '21.</text>
  </threadedComment>
  <threadedComment ref="AD92" dT="2024-07-22T20:20:24.93" personId="{5FF1EC60-44F1-495B-BD45-E52FC60F1C9C}" id="{CD55908B-1F6A-4B53-8E42-1737BF192D8A}" parentId="{407C5026-ECBF-4836-8A13-68D6A7650B4D}">
    <text>https://group.softbank/system/files/pdf/ir/presentations/2021/investor-accounting_q2fy2021_01_en.pdf</text>
    <extLst>
      <x:ext xmlns:xltc2="http://schemas.microsoft.com/office/spreadsheetml/2020/threadedcomments2" uri="{F7C98A9C-CBB3-438F-8F68-D28B6AF4A901}">
        <xltc2:checksum>518675111</xltc2:checksum>
        <xltc2:hyperlink startIndex="0" length="100" url="https://group.softbank/system/files/pdf/ir/presentations/2021/investor-accounting_q2fy2021_01_en.pdf"/>
      </x:ext>
    </extLst>
  </threadedComment>
  <threadedComment ref="AH92" dT="2024-07-22T20:20:22.56" personId="{5FF1EC60-44F1-495B-BD45-E52FC60F1C9C}" id="{970D5582-94DD-4F9A-86FC-8062598119E0}">
    <text>See 4Q21 Investor Briefing (Accounting): slides 6-7 gives details of fixed vs. floating call option breakdown of 21.15m million T-Mobile US shares sold for $2.4bn gross consideration.</text>
  </threadedComment>
  <threadedComment ref="AH92" dT="2024-07-22T20:20:24.93" personId="{5FF1EC60-44F1-495B-BD45-E52FC60F1C9C}" id="{F6958CBB-610A-498E-9DC4-24B00559EF5C}" parentId="{970D5582-94DD-4F9A-86FC-8062598119E0}">
    <text>https://group.softbank/system/files/pdf/ir/presentations/2021/investor-accounting_q4fy2021_01_en.pdf</text>
    <extLst>
      <x:ext xmlns:xltc2="http://schemas.microsoft.com/office/spreadsheetml/2020/threadedcomments2" uri="{F7C98A9C-CBB3-438F-8F68-D28B6AF4A901}">
        <xltc2:checksum>1711530701</xltc2:checksum>
        <xltc2:hyperlink startIndex="0" length="100" url="https://group.softbank/system/files/pdf/ir/presentations/2021/investor-accounting_q4fy2021_01_en.pdf"/>
      </x:ext>
    </extLst>
  </threadedComment>
  <threadedComment ref="AR92" dT="2024-07-22T20:51:07.39" personId="{5FF1EC60-44F1-495B-BD45-E52FC60F1C9C}" id="{09B132B0-1CAD-45E9-A526-3A4A4047B9BC}">
    <text>See Deutsche Telekom June '24 press release re. acquisition of 6.7m T-Mobile US shares.</text>
  </threadedComment>
  <threadedComment ref="AR92" dT="2024-07-22T20:51:09.17" personId="{5FF1EC60-44F1-495B-BD45-E52FC60F1C9C}" id="{EE8A1A29-AAF6-4D05-A8FF-8E9B3869C485}" parentId="{09B132B0-1CAD-45E9-A526-3A4A4047B9BC}">
    <text>https://www.telekom.com/en/media/media-information/archive/deutsche-telekom-acquires-6-7-million-t-mobile-us-shares-significantly-below-market-price-1067800#:~:text=Deutsche%20Telekom%20is%20acquiring%20roughly,were%20agreed%20in%20June%202020.</text>
    <extLst>
      <x:ext xmlns:xltc2="http://schemas.microsoft.com/office/spreadsheetml/2020/threadedcomments2" uri="{F7C98A9C-CBB3-438F-8F68-D28B6AF4A901}">
        <xltc2:checksum>1522033153</xltc2:checksum>
        <xltc2:hyperlink startIndex="0" length="243" url="https://www.telekom.com/en/media/media-information/archive/deutsche-telekom-acquires-6-7-million-t-mobile-us-shares-significantly-below-market-price-1067800#:~:text=Deutsche%20Telekom%20is%20acquiring%20roughly,were%20agreed%20in%20June%202020"/>
      </x:ext>
    </extLst>
  </threadedComment>
  <threadedComment ref="AD93" dT="2024-07-22T20:20:22.56" personId="{5FF1EC60-44F1-495B-BD45-E52FC60F1C9C}" id="{2957F277-579B-41CF-8DBB-4641237CE7D9}">
    <text>See 2Q21 Investor Briefing (Accounting): slide 6 gives details of fixed vs. floating call option breakdown of 45.37 million T-Mobile US shares sold for 225 million DT shares in September '21.</text>
  </threadedComment>
  <threadedComment ref="AD93" dT="2024-07-22T20:20:24.93" personId="{5FF1EC60-44F1-495B-BD45-E52FC60F1C9C}" id="{2C99CD16-9F5F-4763-8DF4-B75C02A02CC0}" parentId="{2957F277-579B-41CF-8DBB-4641237CE7D9}">
    <text>https://group.softbank/system/files/pdf/ir/presentations/2021/investor-accounting_q2fy2021_01_en.pdf</text>
    <extLst>
      <x:ext xmlns:xltc2="http://schemas.microsoft.com/office/spreadsheetml/2020/threadedcomments2" uri="{F7C98A9C-CBB3-438F-8F68-D28B6AF4A901}">
        <xltc2:checksum>518675111</xltc2:checksum>
        <xltc2:hyperlink startIndex="0" length="100" url="https://group.softbank/system/files/pdf/ir/presentations/2021/investor-accounting_q2fy2021_01_en.pdf"/>
      </x:ext>
    </extLst>
  </threadedComment>
  <threadedComment ref="AH93" dT="2024-07-22T20:20:22.56" personId="{5FF1EC60-44F1-495B-BD45-E52FC60F1C9C}" id="{A7B10712-FD8B-440B-906C-0419B2E207B5}">
    <text>See 4Q21 Investor Briefing (Accounting): slides 6-7 gives details of fixed vs. floating call option breakdown of 21.15m million T-Mobile US shares sold for $2.4bn gross consideration.</text>
  </threadedComment>
  <threadedComment ref="AH93" dT="2024-07-22T20:20:24.93" personId="{5FF1EC60-44F1-495B-BD45-E52FC60F1C9C}" id="{1525EEC0-B45C-4344-86F3-F93FD8F27947}" parentId="{A7B10712-FD8B-440B-906C-0419B2E207B5}">
    <text>https://group.softbank/system/files/pdf/ir/presentations/2021/investor-accounting_q4fy2021_01_en.pdf</text>
    <extLst>
      <x:ext xmlns:xltc2="http://schemas.microsoft.com/office/spreadsheetml/2020/threadedcomments2" uri="{F7C98A9C-CBB3-438F-8F68-D28B6AF4A901}">
        <xltc2:checksum>1711530701</xltc2:checksum>
        <xltc2:hyperlink startIndex="0" length="100" url="https://group.softbank/system/files/pdf/ir/presentations/2021/investor-accounting_q4fy2021_01_en.pdf"/>
      </x:ext>
    </extLst>
  </threadedComment>
  <threadedComment ref="AR93" dT="2024-10-29T11:06:17.79" personId="{5FF1EC60-44F1-495B-BD45-E52FC60F1C9C}" id="{13025801-E283-48CC-9D65-90BE7EDDD745}">
    <text>Per slide 5 of F1Q Accounting presentation, DT’s “variable” call options for 28.2m T-Mobile shares expired during F1Q.</text>
  </threadedComment>
  <threadedComment ref="X94" dT="2024-04-22T13:03:53.13" personId="{5FF1EC60-44F1-495B-BD45-E52FC60F1C9C}" id="{07493B29-04BB-4A1A-B71E-FCEC19D79423}">
    <text>See pg.6 of SBG 1Q20 Consolidated Financial Report: 44.9m of 101.5m shares with $103 strike price and 56.6m of 101.5m shares with strike price equal to 20-day trailing VWAP prior to exercise with option to exercise post-exercise of 44.9m shares or 2nd October '20: https://group.softbank/system/files/pdf/ir/financials/financial_reports/financial-report_q1fy2020_01_en.pdf.</text>
    <extLst>
      <x:ext xmlns:xltc2="http://schemas.microsoft.com/office/spreadsheetml/2020/threadedcomments2" uri="{F7C98A9C-CBB3-438F-8F68-D28B6AF4A901}">
        <xltc2:checksum>1256229089</xltc2:checksum>
        <xltc2:hyperlink startIndex="265" length="107" url="https://group.softbank/system/files/pdf/ir/financials/financial_reports/financial-report_q1fy2020_01_en.pdf"/>
      </x:ext>
    </extLst>
  </threadedComment>
  <threadedComment ref="AD94" dT="2024-04-22T16:17:27.12" personId="{5FF1EC60-44F1-495B-BD45-E52FC60F1C9C}" id="{FEAFAA1B-DC3F-427D-BE8C-3EF7688DB1E9}">
    <text>See pg.12-13 of SBG 2Q21 Consolidated Financial Report: SBG switched 45.4m T-Mobile shares for 225m Deutsche Telekom shares with reference price €20 i.e., implies exercise price on T-Mobile shares of around $117 for T-Mobile shares at USD/EUR FX i.e., significant discount to market price of TMUS.</text>
  </threadedComment>
  <threadedComment ref="AD94" dT="2024-04-22T16:17:30.27" personId="{5FF1EC60-44F1-495B-BD45-E52FC60F1C9C}" id="{31174FCF-0123-4457-9EFA-65FD6C414CEB}" parentId="{FEAFAA1B-DC3F-427D-BE8C-3EF7688DB1E9}">
    <text>https://group.softbank/system/files/pdf/ir/financials/financial_reports/financial-report_q2fy2021_01_en.pdf</text>
    <extLst>
      <x:ext xmlns:xltc2="http://schemas.microsoft.com/office/spreadsheetml/2020/threadedcomments2" uri="{F7C98A9C-CBB3-438F-8F68-D28B6AF4A901}">
        <xltc2:checksum>2570029314</xltc2:checksum>
        <xltc2:hyperlink startIndex="0" length="107" url="https://group.softbank/system/files/pdf/ir/financials/financial_reports/financial-report_q2fy2021_01_en.pdf"/>
      </x:ext>
    </extLst>
  </threadedComment>
  <threadedComment ref="AR95" dT="2024-10-29T10:48:15.92" personId="{5FF1EC60-44F1-495B-BD45-E52FC60F1C9C}" id="{DA71C67C-BC65-4FE3-A114-B4A0E504666F}">
    <text>https://group.softbank/system/files/pdf/ir/presentations/2024/investor-accounting_q1fy2024_01_en.pdf</text>
    <extLst>
      <x:ext xmlns:xltc2="http://schemas.microsoft.com/office/spreadsheetml/2020/threadedcomments2" uri="{F7C98A9C-CBB3-438F-8F68-D28B6AF4A901}">
        <xltc2:checksum>2207970632</xltc2:checksum>
        <xltc2:hyperlink startIndex="0" length="100" url="https://group.softbank/system/files/pdf/ir/presentations/2024/investor-accounting_q1fy2024_01_en.pdf"/>
      </x:ext>
    </extLst>
  </threadedComment>
  <threadedComment ref="AR95" dT="2024-10-29T10:49:46.49" personId="{5FF1EC60-44F1-495B-BD45-E52FC60F1C9C}" id="{41ABAAF7-B250-4D7E-BE77-6B9A166C136E}" parentId="{DA71C67C-BC65-4FE3-A114-B4A0E504666F}">
    <text>See slide 5 of F1Q Accounting presentation: SoftBank sold 6.7m T-Mobile shares to DT for $670m in June ‘24 &amp; DT’s remaining call option for 28.2m T-Mobile shares also expired in June ‘24.</text>
  </threadedComment>
  <threadedComment ref="AW95" dT="2025-11-19T15:56:11.03" personId="{5FF1EC60-44F1-495B-BD45-E52FC60F1C9C}" id="{D4237039-8673-49C4-B84C-7145E9C36D7D}">
    <text>See SoftBank F1Q “Accounting” slides (pg.5): https://group.softbank/media/Project/sbg/sbg/pdf/ir/presentations/2025/investor-accounting_q1fy2025_01_en.pdf.</text>
    <extLst>
      <x:ext xmlns:xltc2="http://schemas.microsoft.com/office/spreadsheetml/2020/threadedcomments2" uri="{F7C98A9C-CBB3-438F-8F68-D28B6AF4A901}">
        <xltc2:checksum>1937099021</xltc2:checksum>
        <xltc2:hyperlink startIndex="45" length="109" url="https://group.softbank/media/Project/sbg/sbg/pdf/ir/presentations/2025/investor-accounting_q1fy2025_01_en.pdf"/>
      </x:ext>
    </extLst>
  </threadedComment>
  <threadedComment ref="AX95" dT="2025-11-19T16:00:13.34" personId="{5FF1EC60-44F1-495B-BD45-E52FC60F1C9C}" id="{1EC5078F-0054-49D2-BC0C-A2D40997137B}">
    <text>Refer to SoftBank F1Q and F2Q “Accounting” slides for details: pg.5 for F1Q and pg.7 for F2Q.</text>
  </threadedComment>
  <threadedComment ref="AX95" dT="2025-11-19T16:02:23.96" personId="{5FF1EC60-44F1-495B-BD45-E52FC60F1C9C}" id="{DE6A502F-DEA2-42E8-B1EE-8F8FB376ADFF}" parentId="{1EC5078F-0054-49D2-BC0C-A2D40997137B}">
    <text>https://group.softbank/media/Project/sbg/sbg/pdf/ir/presentations/2025/investor-accounting_q1fy2025_01_en.pdf</text>
    <extLst>
      <x:ext xmlns:xltc2="http://schemas.microsoft.com/office/spreadsheetml/2020/threadedcomments2" uri="{F7C98A9C-CBB3-438F-8F68-D28B6AF4A901}">
        <xltc2:checksum>4096088350</xltc2:checksum>
        <xltc2:hyperlink startIndex="0" length="109" url="https://group.softbank/media/Project/sbg/sbg/pdf/ir/presentations/2025/investor-accounting_q1fy2025_01_en.pdf"/>
      </x:ext>
    </extLst>
  </threadedComment>
  <threadedComment ref="AX95" dT="2025-11-19T16:02:35.60" personId="{5FF1EC60-44F1-495B-BD45-E52FC60F1C9C}" id="{4639FE2E-8506-4655-A75A-9D744FE526C3}" parentId="{1EC5078F-0054-49D2-BC0C-A2D40997137B}">
    <text>https://group.softbank/media/Project/sbg/sbg/pdf/ir/presentations/2025/investor-presentation_q2fy2025_01_en.pdf</text>
    <extLst>
      <x:ext xmlns:xltc2="http://schemas.microsoft.com/office/spreadsheetml/2020/threadedcomments2" uri="{F7C98A9C-CBB3-438F-8F68-D28B6AF4A901}">
        <xltc2:checksum>166201008</xltc2:checksum>
        <xltc2:hyperlink startIndex="0" length="111" url="https://group.softbank/media/Project/sbg/sbg/pdf/ir/presentations/2025/investor-presentation_q2fy2025_01_en.pdf"/>
      </x:ext>
    </extLst>
  </threadedComment>
  <threadedComment ref="AY95" dT="2026-02-17T09:51:52.24" personId="{5FF1EC60-44F1-495B-BD45-E52FC60F1C9C}" id="{0DCB85EB-5FF0-496F-81E3-C1C560DF640B}">
    <text>Refer to pg.8 of SoftBank F3Q “Accounting” slides for details: https://group.softbank/media/Project/sbg/sbg/pdf/ir/presentations/2025/investor-presentation_q3fy2025_01_en.pdf.</text>
    <extLst>
      <x:ext xmlns:xltc2="http://schemas.microsoft.com/office/spreadsheetml/2020/threadedcomments2" uri="{F7C98A9C-CBB3-438F-8F68-D28B6AF4A901}">
        <xltc2:checksum>356216732</xltc2:checksum>
        <xltc2:hyperlink startIndex="63" length="111" url="https://group.softbank/media/Project/sbg/sbg/pdf/ir/presentations/2025/investor-presentation_q3fy2025_01_en.pdf"/>
      </x:ext>
    </extLst>
  </threadedComment>
  <threadedComment ref="AZ95" dT="2026-02-17T09:51:52.24" personId="{5FF1EC60-44F1-495B-BD45-E52FC60F1C9C}" id="{C6600A08-C0E1-4ECE-8F9F-44A23E77E535}">
    <text>Refer to pg.8 of SoftBank F3Q “Accounting” slides for details: https://group.softbank/media/Project/sbg/sbg/pdf/ir/presentations/2025/investor-presentation_q3fy2025_01_en.pdf.</text>
    <extLst>
      <x:ext xmlns:xltc2="http://schemas.microsoft.com/office/spreadsheetml/2020/threadedcomments2" uri="{F7C98A9C-CBB3-438F-8F68-D28B6AF4A901}">
        <xltc2:checksum>356216732</xltc2:checksum>
        <xltc2:hyperlink startIndex="63" length="111" url="https://group.softbank/media/Project/sbg/sbg/pdf/ir/presentations/2025/investor-presentation_q3fy2025_01_en.pdf"/>
      </x:ext>
    </extLst>
  </threadedComment>
  <threadedComment ref="V96" dT="2024-04-22T10:29:10.63" personId="{5FF1EC60-44F1-495B-BD45-E52FC60F1C9C}" id="{F81FF168-1A2F-4D1A-9692-9073237F2B6D}">
    <text>See Schedule 13D of 1st April '20 i.e., post-Sprint merger: https://d18rn0p25nwr6d.cloudfront.net/CIK-0001283699/07962930-3254-4750-b137-ca162082e39a.pdf.</text>
    <extLst>
      <x:ext xmlns:xltc2="http://schemas.microsoft.com/office/spreadsheetml/2020/threadedcomments2" uri="{F7C98A9C-CBB3-438F-8F68-D28B6AF4A901}">
        <xltc2:checksum>1938822234</xltc2:checksum>
        <xltc2:hyperlink startIndex="60" length="93" url="https://d18rn0p25nwr6d.cloudfront.net/CIK-0001283699/07962930-3254-4750-b137-ca162082e39a.pdf"/>
      </x:ext>
    </extLst>
  </threadedComment>
  <threadedComment ref="AC96" dT="2024-04-22T10:29:10.63" personId="{5FF1EC60-44F1-495B-BD45-E52FC60F1C9C}" id="{C7354616-E9E3-4831-8E43-DB84A58CBF77}">
    <text>See Schedule 13D of 8th September '21: https://d18rn0p25nwr6d.cloudfront.net/CIK-0001283699/c3ded67c-bfb1-4c33-975f-810bb9503b80.pdf.</text>
    <extLst>
      <x:ext xmlns:xltc2="http://schemas.microsoft.com/office/spreadsheetml/2020/threadedcomments2" uri="{F7C98A9C-CBB3-438F-8F68-D28B6AF4A901}">
        <xltc2:checksum>3699265872</xltc2:checksum>
        <xltc2:hyperlink startIndex="39" length="93" url="https://d18rn0p25nwr6d.cloudfront.net/CIK-0001283699/c3ded67c-bfb1-4c33-975f-810bb9503b80.pdf"/>
      </x:ext>
    </extLst>
  </threadedComment>
  <threadedComment ref="AD96" dT="2024-04-22T16:17:27.12" personId="{5FF1EC60-44F1-495B-BD45-E52FC60F1C9C}" id="{BB59C666-F831-403A-A753-AC1744D77BAC}">
    <text>See pg.12-13 of SBG 2Q21 Consolidated Financial Report: SBG switched 45.4m T-Mobile shares for 225m Deutsche Telekom shares with reference price €20 i.e., implies exercise price on T-Mobile shares of around $117 for T-Mobile shares at USD/EUR FX i.e., significant discount to market price of TMUS.</text>
  </threadedComment>
  <threadedComment ref="AD96" dT="2024-04-22T16:17:30.27" personId="{5FF1EC60-44F1-495B-BD45-E52FC60F1C9C}" id="{C996BA2E-02C1-47FD-A3D5-E5C8E34BC59D}" parentId="{BB59C666-F831-403A-A753-AC1744D77BAC}">
    <text>https://group.softbank/system/files/pdf/ir/financials/financial_reports/financial-report_q2fy2021_01_en.pdf</text>
    <extLst>
      <x:ext xmlns:xltc2="http://schemas.microsoft.com/office/spreadsheetml/2020/threadedcomments2" uri="{F7C98A9C-CBB3-438F-8F68-D28B6AF4A901}">
        <xltc2:checksum>2570029314</xltc2:checksum>
        <xltc2:hyperlink startIndex="0" length="107" url="https://group.softbank/system/files/pdf/ir/financials/financial_reports/financial-report_q2fy2021_01_en.pdf"/>
      </x:ext>
    </extLst>
  </threadedComment>
  <threadedComment ref="AH96" dT="2024-04-22T17:02:17.22" personId="{5FF1EC60-44F1-495B-BD45-E52FC60F1C9C}" id="{73304EC0-87A4-49F8-A8A9-096D33699F61}">
    <text>See pg.14 of SBG 4Q21 Consolidated Financial Report: post-FY21 year end SBG sold 21.2m T-Mobile shares to Deutsche Telekom for $2.4bn consideration.</text>
  </threadedComment>
  <threadedComment ref="AH96" dT="2024-04-22T17:02:23.24" personId="{5FF1EC60-44F1-495B-BD45-E52FC60F1C9C}" id="{9EB7BAC4-1625-4746-9B91-F3E42ADB5A85}" parentId="{73304EC0-87A4-49F8-A8A9-096D33699F61}">
    <text>https://group.softbank/system/files/pdf/ir/financials/financial_reports/financial-report_q4fy2021_01_en.pdf</text>
    <extLst>
      <x:ext xmlns:xltc2="http://schemas.microsoft.com/office/spreadsheetml/2020/threadedcomments2" uri="{F7C98A9C-CBB3-438F-8F68-D28B6AF4A901}">
        <xltc2:checksum>3787862376</xltc2:checksum>
        <xltc2:hyperlink startIndex="0" length="107" url="https://group.softbank/system/files/pdf/ir/financials/financial_reports/financial-report_q4fy2021_01_en.pdf"/>
      </x:ext>
    </extLst>
  </threadedComment>
  <threadedComment ref="AF98" dT="2024-04-28T22:03:07.16" personId="{5FF1EC60-44F1-495B-BD45-E52FC60F1C9C}" id="{82F39EB0-ECD2-4307-96F9-4CD9CCF8E9B6}">
    <text>See pg.14 of SBG 4Q21 Consolidated Financial Report: in March '22 SBG procured additional $680m of funds using 6.865m T-Mobile shares.</text>
  </threadedComment>
  <threadedComment ref="AF98" dT="2024-04-28T22:04:00.30" personId="{5FF1EC60-44F1-495B-BD45-E52FC60F1C9C}" id="{124E899F-B1AA-4E91-A776-5F43FE437CEA}" parentId="{82F39EB0-ECD2-4307-96F9-4CD9CCF8E9B6}">
    <text>https://group.softbank/system/files/pdf/ir/financials/financial_reports/financial-report_q4fy2021_01_en.pdf</text>
    <extLst>
      <x:ext xmlns:xltc2="http://schemas.microsoft.com/office/spreadsheetml/2020/threadedcomments2" uri="{F7C98A9C-CBB3-438F-8F68-D28B6AF4A901}">
        <xltc2:checksum>3787862376</xltc2:checksum>
        <xltc2:hyperlink startIndex="0" length="107" url="https://group.softbank/system/files/pdf/ir/financials/financial_reports/financial-report_q4fy2021_01_en.pdf"/>
      </x:ext>
    </extLst>
  </threadedComment>
  <threadedComment ref="AH98" dT="2024-04-28T22:03:07.16" personId="{5FF1EC60-44F1-495B-BD45-E52FC60F1C9C}" id="{774B4FE3-B5C3-4855-A8DE-42EA32961F8D}">
    <text>See pg.14 of SBG 4Q21 Consolidated Financial Report: in March '22 SBG procured additional $680m of funds using 6.865m T-Mobile shares.</text>
  </threadedComment>
  <threadedComment ref="AH98" dT="2024-04-28T22:04:00.30" personId="{5FF1EC60-44F1-495B-BD45-E52FC60F1C9C}" id="{754B27B8-A0B7-4F5A-AE95-8666EB98B217}" parentId="{774B4FE3-B5C3-4855-A8DE-42EA32961F8D}">
    <text>https://group.softbank/system/files/pdf/ir/financials/financial_reports/financial-report_q4fy2021_01_en.pdf</text>
    <extLst>
      <x:ext xmlns:xltc2="http://schemas.microsoft.com/office/spreadsheetml/2020/threadedcomments2" uri="{F7C98A9C-CBB3-438F-8F68-D28B6AF4A901}">
        <xltc2:checksum>3787862376</xltc2:checksum>
        <xltc2:hyperlink startIndex="0" length="107" url="https://group.softbank/system/files/pdf/ir/financials/financial_reports/financial-report_q4fy2021_01_en.pdf"/>
      </x:ext>
    </extLst>
  </threadedComment>
  <threadedComment ref="AR98" dT="2024-10-29T10:57:05.81" personId="{5FF1EC60-44F1-495B-BD45-E52FC60F1C9C}" id="{FA1D7D62-3D7A-47FA-8A8F-9D1883D8DCD3}">
    <text>https://group.softbank/system/files/pdf/ir/presentations/2024/investor-accounting_q1fy2024_01_en.pdf</text>
    <extLst>
      <x:ext xmlns:xltc2="http://schemas.microsoft.com/office/spreadsheetml/2020/threadedcomments2" uri="{F7C98A9C-CBB3-438F-8F68-D28B6AF4A901}">
        <xltc2:checksum>2207970632</xltc2:checksum>
        <xltc2:hyperlink startIndex="0" length="100" url="https://group.softbank/system/files/pdf/ir/presentations/2024/investor-accounting_q1fy2024_01_en.pdf"/>
      </x:ext>
    </extLst>
  </threadedComment>
  <threadedComment ref="AR98" dT="2024-10-29T11:02:09.64" personId="{5FF1EC60-44F1-495B-BD45-E52FC60F1C9C}" id="{31312E0E-3502-43B6-BF93-5E4D87FF9B61}" parentId="{FA1D7D62-3D7A-47FA-8A8F-9D1883D8DCD3}">
    <text>See slide 6 of F1Q Accounting presentation: of 32m “fixed” strike price call options, 6.7m related to DT (called by DT in June ‘24 for exercise price of $99.51 per share) &amp; 24.8m related to T-Mobile shares used for other prepaid forward contracts. 20m of these prepaid forward contracts were settled during F1Q for $2.6bn with remaining 4.8m settled on 1 July ‘24 for $540m.</text>
  </threadedComment>
  <threadedComment ref="V102" dT="2024-04-22T17:37:33.55" personId="{5FF1EC60-44F1-495B-BD45-E52FC60F1C9C}" id="{3684E18F-C72E-43AC-8BB5-642EB6455972}">
    <text>See pg.27 of SBG 1Q23 Consolidated Financial Report: https://group.softbank/system/files/pdf/ir/financials/financial_reports/financial-report_q1fy2023_01_en.pdf.</text>
    <extLst>
      <x:ext xmlns:xltc2="http://schemas.microsoft.com/office/spreadsheetml/2020/threadedcomments2" uri="{F7C98A9C-CBB3-438F-8F68-D28B6AF4A901}">
        <xltc2:checksum>1425222147</xltc2:checksum>
        <xltc2:hyperlink startIndex="53" length="107" url="https://group.softbank/system/files/pdf/ir/financials/financial_reports/financial-report_q1fy2023_01_en.pdf"/>
      </x:ext>
    </extLst>
  </threadedComment>
  <threadedComment ref="V102" dT="2024-04-22T17:39:03.99" personId="{5FF1EC60-44F1-495B-BD45-E52FC60F1C9C}" id="{3F3D8487-D502-45E7-88EF-5892E90FE276}" parentId="{3684E18F-C72E-43AC-8BB5-642EB6455972}">
    <text>Also see Schedule 13D dated 1st June '23: Delaware Project 4 LLC i.e., SBG subsidiary received 3.5664 million T-Mobile shares as part of contingent value rights from Sprint merger.</text>
  </threadedComment>
  <threadedComment ref="V102" dT="2024-04-22T17:39:07.23" personId="{5FF1EC60-44F1-495B-BD45-E52FC60F1C9C}" id="{8EA22210-69D4-4B0F-8A3C-22C4BED158A9}" parentId="{3684E18F-C72E-43AC-8BB5-642EB6455972}">
    <text>https://d18rn0p25nwr6d.cloudfront.net/CIK-0001283699/e7f5b2ed-e1ae-43aa-b9dc-ca125b8cb4b7.pdf</text>
    <extLst>
      <x:ext xmlns:xltc2="http://schemas.microsoft.com/office/spreadsheetml/2020/threadedcomments2" uri="{F7C98A9C-CBB3-438F-8F68-D28B6AF4A901}">
        <xltc2:checksum>401628402</xltc2:checksum>
        <xltc2:hyperlink startIndex="0" length="93" url="https://d18rn0p25nwr6d.cloudfront.net/CIK-0001283699/e7f5b2ed-e1ae-43aa-b9dc-ca125b8cb4b7.pdf"/>
      </x:ext>
    </extLst>
  </threadedComment>
  <threadedComment ref="V103" dT="2024-04-22T10:21:41.73" personId="{5FF1EC60-44F1-495B-BD45-E52FC60F1C9C}" id="{41D57B4B-3546-44F9-BE20-0F60C0D3504B}">
    <text>See pg.6 of T-Mobile US 8-K from April '20 post-Sprint merger: https://d18rn0p25nwr6d.cloudfront.net/CIK-0001283699/87d35a79-789f-48bf-a6e3-36cbd3eaf667.pdf.</text>
    <extLst>
      <x:ext xmlns:xltc2="http://schemas.microsoft.com/office/spreadsheetml/2020/threadedcomments2" uri="{F7C98A9C-CBB3-438F-8F68-D28B6AF4A901}">
        <xltc2:checksum>3884131638</xltc2:checksum>
        <xltc2:hyperlink startIndex="63" length="93" url="https://d18rn0p25nwr6d.cloudfront.net/CIK-0001283699/87d35a79-789f-48bf-a6e3-36cbd3eaf667.pdf"/>
      </x:ext>
    </extLst>
  </threadedComment>
  <threadedComment ref="V103" dT="2024-04-22T12:35:50.58" personId="{5FF1EC60-44F1-495B-BD45-E52FC60F1C9C}" id="{FE61176C-68BA-4DAD-BEBE-EDD5483679DA}" parentId="{41D57B4B-3546-44F9-BE20-0F60C0D3504B}">
    <text>Also see pg.5 of SBG 1Q20 Consolidated Financial Report: https://group.softbank/system/files/pdf/ir/financials/financial_reports/financial-report_q1fy2020_01_en.pdf.</text>
    <extLst>
      <x:ext xmlns:xltc2="http://schemas.microsoft.com/office/spreadsheetml/2020/threadedcomments2" uri="{F7C98A9C-CBB3-438F-8F68-D28B6AF4A901}">
        <xltc2:checksum>3007280920</xltc2:checksum>
        <xltc2:hyperlink startIndex="57" length="107" url="https://group.softbank/system/files/pdf/ir/financials/financial_reports/financial-report_q1fy2020_01_en.pdf"/>
      </x:ext>
    </extLst>
  </threadedComment>
  <threadedComment ref="AO105" dT="2024-04-22T17:48:38.22" personId="{5FF1EC60-44F1-495B-BD45-E52FC60F1C9C}" id="{A4C2BCBB-0422-41AF-BA4C-4840E0E212B3}">
    <text>See Schedule 13D dated 22nd December '23: 48.8m T-Mobile shares issued to SBG for no consideration: https://d18rn0p25nwr6d.cloudfront.net/CIK-0001283699/2bad1eb1-a762-4b84-b306-1f1696420a4b.pdf.</text>
    <extLst>
      <x:ext xmlns:xltc2="http://schemas.microsoft.com/office/spreadsheetml/2020/threadedcomments2" uri="{F7C98A9C-CBB3-438F-8F68-D28B6AF4A901}">
        <xltc2:checksum>252927044</xltc2:checksum>
        <xltc2:hyperlink startIndex="100" length="93" url="https://d18rn0p25nwr6d.cloudfront.net/CIK-0001283699/2bad1eb1-a762-4b84-b306-1f1696420a4b.pdf"/>
      </x:ext>
    </extLst>
  </threadedComment>
  <threadedComment ref="AO105" dT="2024-04-22T17:51:52.31" personId="{5FF1EC60-44F1-495B-BD45-E52FC60F1C9C}" id="{D077D98F-01AC-4031-BB90-876568DC012F}" parentId="{A4C2BCBB-0422-41AF-BA4C-4840E0E212B3}">
    <text>See also pg.6 of SBG 3Q23 Consolidated Financial Report: https://group.softbank/system/files/pdf/ir/financials/financial_reports/financial-report_q3fy2023_01_en.pdf.</text>
    <extLst>
      <x:ext xmlns:xltc2="http://schemas.microsoft.com/office/spreadsheetml/2020/threadedcomments2" uri="{F7C98A9C-CBB3-438F-8F68-D28B6AF4A901}">
        <xltc2:checksum>1310752848</xltc2:checksum>
        <xltc2:hyperlink startIndex="57" length="107" url="https://group.softbank/system/files/pdf/ir/financials/financial_reports/financial-report_q3fy2023_01_en.pdf"/>
      </x:ext>
    </extLst>
  </threadedComment>
  <threadedComment ref="V136" dT="2024-04-22T10:21:41.73" personId="{5FF1EC60-44F1-495B-BD45-E52FC60F1C9C}" id="{3AF2CDFD-5C8F-412D-8C86-D8F8ACCC3833}">
    <text>See pg.26 of T-Mobile US 8-K from April '20 post-Sprint merger: https://d18rn0p25nwr6d.cloudfront.net/CIK-0001283699/87d35a79-789f-48bf-a6e3-36cbd3eaf667.pdf.</text>
    <extLst>
      <x:ext xmlns:xltc2="http://schemas.microsoft.com/office/spreadsheetml/2020/threadedcomments2" uri="{F7C98A9C-CBB3-438F-8F68-D28B6AF4A901}">
        <xltc2:checksum>2941346829</xltc2:checksum>
        <xltc2:hyperlink startIndex="64" length="93" url="https://d18rn0p25nwr6d.cloudfront.net/CIK-0001283699/87d35a79-789f-48bf-a6e3-36cbd3eaf667.pdf"/>
      </x:ext>
    </extLst>
  </threadedComment>
  <threadedComment ref="AO145" dT="2024-04-22T17:48:38.22" personId="{5FF1EC60-44F1-495B-BD45-E52FC60F1C9C}" id="{1AADDDE3-7770-4CCD-8CC5-C92F0B507E59}">
    <text>See Schedule 13D dated 22nd December '23: 48.8m T-Mobile shares issued to SBG for no consideration: https://d18rn0p25nwr6d.cloudfront.net/CIK-0001283699/2bad1eb1-a762-4b84-b306-1f1696420a4b.pdf.</text>
    <extLst>
      <x:ext xmlns:xltc2="http://schemas.microsoft.com/office/spreadsheetml/2020/threadedcomments2" uri="{F7C98A9C-CBB3-438F-8F68-D28B6AF4A901}">
        <xltc2:checksum>252927044</xltc2:checksum>
        <xltc2:hyperlink startIndex="100" length="93" url="https://d18rn0p25nwr6d.cloudfront.net/CIK-0001283699/2bad1eb1-a762-4b84-b306-1f1696420a4b.pdf"/>
      </x:ext>
    </extLst>
  </threadedComment>
  <threadedComment ref="AO145" dT="2024-04-22T17:51:52.31" personId="{5FF1EC60-44F1-495B-BD45-E52FC60F1C9C}" id="{5F49140E-6492-498A-BD73-646E637BDB2F}" parentId="{1AADDDE3-7770-4CCD-8CC5-C92F0B507E59}">
    <text>See also pg.6 of SBG 3Q23 Consolidated Financial Report: https://group.softbank/system/files/pdf/ir/financials/financial_reports/financial-report_q3fy2023_01_en.pdf.</text>
    <extLst>
      <x:ext xmlns:xltc2="http://schemas.microsoft.com/office/spreadsheetml/2020/threadedcomments2" uri="{F7C98A9C-CBB3-438F-8F68-D28B6AF4A901}">
        <xltc2:checksum>1310752848</xltc2:checksum>
        <xltc2:hyperlink startIndex="57" length="107" url="https://group.softbank/system/files/pdf/ir/financials/financial_reports/financial-report_q3fy2023_01_en.pdf"/>
      </x:ext>
    </extLst>
  </threadedComment>
  <threadedComment ref="AR147" dT="2024-07-22T20:51:07.39" personId="{5FF1EC60-44F1-495B-BD45-E52FC60F1C9C}" id="{5F743C1B-99B8-47AA-A1DB-190B2110666E}">
    <text>See Deutsche Telekom June '24 press release re. acquisition of 6.7m T-Mobile US shares.</text>
  </threadedComment>
  <threadedComment ref="AR147" dT="2024-07-22T20:51:09.17" personId="{5FF1EC60-44F1-495B-BD45-E52FC60F1C9C}" id="{31125E7C-774A-428D-BE44-F8619A400D75}" parentId="{5F743C1B-99B8-47AA-A1DB-190B2110666E}">
    <text>https://www.telekom.com/en/media/media-information/archive/deutsche-telekom-acquires-6-7-million-t-mobile-us-shares-significantly-below-market-price-1067800#:~:text=Deutsche%20Telekom%20is%20acquiring%20roughly,were%20agreed%20in%20June%202020.</text>
    <extLst>
      <x:ext xmlns:xltc2="http://schemas.microsoft.com/office/spreadsheetml/2020/threadedcomments2" uri="{F7C98A9C-CBB3-438F-8F68-D28B6AF4A901}">
        <xltc2:checksum>1522033153</xltc2:checksum>
        <xltc2:hyperlink startIndex="0" length="243" url="https://www.telekom.com/en/media/media-information/archive/deutsche-telekom-acquires-6-7-million-t-mobile-us-shares-significantly-below-market-price-1067800#:~:text=Deutsche%20Telekom%20is%20acquiring%20roughly,were%20agreed%20in%20June%202020"/>
      </x:ext>
    </extLst>
  </threadedComment>
  <threadedComment ref="X148" dT="2024-04-22T13:03:53.13" personId="{5FF1EC60-44F1-495B-BD45-E52FC60F1C9C}" id="{16D1339F-768D-488C-BFF1-85949BE9194F}">
    <text>See pg.6-7 of SBG 1Q20 Consolidated Financial Report: SBG borrowed $4.38bn against T-Mobile shares in July '20 but $2.08bn of the margin loan is guaranteed by SBG i.e., not non-recourse vs. $2.3bn non-recourse to Group i.e., only offset $2.3bn against T-Mobile position: https://group.softbank/system/files/pdf/ir/financials/financial_reports/financial-report_q1fy2020_01_en.pdf.</text>
    <extLst>
      <x:ext xmlns:xltc2="http://schemas.microsoft.com/office/spreadsheetml/2020/threadedcomments2" uri="{F7C98A9C-CBB3-438F-8F68-D28B6AF4A901}">
        <xltc2:checksum>1351541610</xltc2:checksum>
        <xltc2:hyperlink startIndex="271" length="107" url="https://group.softbank/system/files/pdf/ir/financials/financial_reports/financial-report_q1fy2020_01_en.pdf"/>
      </x:ext>
    </extLst>
  </threadedComment>
  <threadedComment ref="AD148" dT="2024-04-22T16:40:41.01" personId="{5FF1EC60-44F1-495B-BD45-E52FC60F1C9C}" id="{B43D9726-CE20-4174-9C59-A41C59928619}">
    <text>See pg.12 of SBG 2Q21 Consolidated Financial Report and pg.11 of SBG 3Q21 Consolidated Financial Report: includes $1.25bn temporary bridge loan against T-Mobile shares later repaid using collar transactions against SBG's 225m DT shares i.e., $1.25bn of leverage switched to be backed by DT equity holding.</text>
  </threadedComment>
  <threadedComment ref="AO153" dT="2024-04-22T17:48:38.22" personId="{5FF1EC60-44F1-495B-BD45-E52FC60F1C9C}" id="{DFD50585-9727-4800-A236-4DCDE9549A41}">
    <text>See Schedule 13D dated 22nd December '23: 48.8m T-Mobile shares issued to SBG for no consideration: https://d18rn0p25nwr6d.cloudfront.net/CIK-0001283699/2bad1eb1-a762-4b84-b306-1f1696420a4b.pdf.</text>
    <extLst>
      <x:ext xmlns:xltc2="http://schemas.microsoft.com/office/spreadsheetml/2020/threadedcomments2" uri="{F7C98A9C-CBB3-438F-8F68-D28B6AF4A901}">
        <xltc2:checksum>252927044</xltc2:checksum>
        <xltc2:hyperlink startIndex="100" length="93" url="https://d18rn0p25nwr6d.cloudfront.net/CIK-0001283699/2bad1eb1-a762-4b84-b306-1f1696420a4b.pdf"/>
      </x:ext>
    </extLst>
  </threadedComment>
  <threadedComment ref="AO153" dT="2024-04-22T17:51:52.31" personId="{5FF1EC60-44F1-495B-BD45-E52FC60F1C9C}" id="{74924B00-9734-46CD-A80B-8D44A6A0BA06}" parentId="{DFD50585-9727-4800-A236-4DCDE9549A41}">
    <text>See also pg.6 of SBG 3Q23 Consolidated Financial Report: https://group.softbank/system/files/pdf/ir/financials/financial_reports/financial-report_q3fy2023_01_en.pdf.</text>
    <extLst>
      <x:ext xmlns:xltc2="http://schemas.microsoft.com/office/spreadsheetml/2020/threadedcomments2" uri="{F7C98A9C-CBB3-438F-8F68-D28B6AF4A901}">
        <xltc2:checksum>1310752848</xltc2:checksum>
        <xltc2:hyperlink startIndex="57" length="107" url="https://group.softbank/system/files/pdf/ir/financials/financial_reports/financial-report_q3fy2023_01_en.pdf"/>
      </x:ext>
    </extLst>
  </threadedComment>
  <threadedComment ref="X157" dT="2024-04-22T13:03:53.13" personId="{5FF1EC60-44F1-495B-BD45-E52FC60F1C9C}" id="{BC556393-0B62-428F-9896-EE5170F4546B}">
    <text>See pg.6-7 of SBG 1Q20 Consolidated Financial Report: SBG borrowed $4.38bn against T-Mobile shares in July '20 but $2.08bn of the margin loan is guaranteed by SBG i.e., not non-recourse vs. $2.3bn non-recourse to Group i.e., only offset $2.3bn against T-Mobile position: https://group.softbank/system/files/pdf/ir/financials/financial_reports/financial-report_q1fy2020_01_en.pdf.</text>
    <extLst>
      <x:ext xmlns:xltc2="http://schemas.microsoft.com/office/spreadsheetml/2020/threadedcomments2" uri="{F7C98A9C-CBB3-438F-8F68-D28B6AF4A901}">
        <xltc2:checksum>1351541610</xltc2:checksum>
        <xltc2:hyperlink startIndex="271" length="107" url="https://group.softbank/system/files/pdf/ir/financials/financial_reports/financial-report_q1fy2020_01_en.pdf"/>
      </x:ext>
    </extLst>
  </threadedComment>
  <threadedComment ref="AD159" dT="2024-04-22T16:29:56.83" personId="{5FF1EC60-44F1-495B-BD45-E52FC60F1C9C}" id="{817ACFDE-EF0E-441D-9CE8-1419A7AF7343}">
    <text>See pg.12 of SBG 2Q21 Consolidated Financial Report: 17.9m T-Mobile shares used for prepaid forward contracts ($1.8bn) plus margin loan borrowings ($2.6bn) made against remaining 43.0m T-Mobile shares.</text>
  </threadedComment>
  <threadedComment ref="AD159" dT="2024-04-22T16:30:00.46" personId="{5FF1EC60-44F1-495B-BD45-E52FC60F1C9C}" id="{15750BB4-A11F-4D1E-9C0D-2971B2D6FFF9}" parentId="{817ACFDE-EF0E-441D-9CE8-1419A7AF7343}">
    <text>https://group.softbank/system/files/pdf/ir/financials/financial_reports/financial-report_q2fy2021_01_en.pdf</text>
    <extLst>
      <x:ext xmlns:xltc2="http://schemas.microsoft.com/office/spreadsheetml/2020/threadedcomments2" uri="{F7C98A9C-CBB3-438F-8F68-D28B6AF4A901}">
        <xltc2:checksum>2570029314</xltc2:checksum>
        <xltc2:hyperlink startIndex="0" length="107" url="https://group.softbank/system/files/pdf/ir/financials/financial_reports/financial-report_q2fy2021_01_en.pdf"/>
      </x:ext>
    </extLst>
  </threadedComment>
  <threadedComment ref="AR166" dT="2024-07-22T20:51:07.39" personId="{5FF1EC60-44F1-495B-BD45-E52FC60F1C9C}" id="{EA006018-50DC-41A3-8E13-8542C995F2BB}">
    <text>See Deutsche Telekom June '24 press release re. acquisition of 6.7m T-Mobile US shares.</text>
  </threadedComment>
  <threadedComment ref="AR166" dT="2024-07-22T20:51:09.17" personId="{5FF1EC60-44F1-495B-BD45-E52FC60F1C9C}" id="{2A7C5C95-A54A-4CE1-93A3-8E804643896A}" parentId="{EA006018-50DC-41A3-8E13-8542C995F2BB}">
    <text>https://www.telekom.com/en/media/media-information/archive/deutsche-telekom-acquires-6-7-million-t-mobile-us-shares-significantly-below-market-price-1067800#:~:text=Deutsche%20Telekom%20is%20acquiring%20roughly,were%20agreed%20in%20June%202020.</text>
    <extLst>
      <x:ext xmlns:xltc2="http://schemas.microsoft.com/office/spreadsheetml/2020/threadedcomments2" uri="{F7C98A9C-CBB3-438F-8F68-D28B6AF4A901}">
        <xltc2:checksum>1522033153</xltc2:checksum>
        <xltc2:hyperlink startIndex="0" length="243" url="https://www.telekom.com/en/media/media-information/archive/deutsche-telekom-acquires-6-7-million-t-mobile-us-shares-significantly-below-market-price-1067800#:~:text=Deutsche%20Telekom%20is%20acquiring%20roughly,were%20agreed%20in%20June%202020"/>
      </x:ext>
    </extLst>
  </threadedComment>
  <threadedComment ref="A180" dT="2024-07-29T13:48:55.13" personId="{5FF1EC60-44F1-495B-BD45-E52FC60F1C9C}" id="{C83DCDC2-7FCE-4764-8E15-40436D9B4E6B}">
    <text>https://investor.t-mobile.com/stock-info/dividend-history/default.aspx</text>
    <extLst>
      <x:ext xmlns:xltc2="http://schemas.microsoft.com/office/spreadsheetml/2020/threadedcomments2" uri="{F7C98A9C-CBB3-438F-8F68-D28B6AF4A901}">
        <xltc2:checksum>3199814270</xltc2:checksum>
        <xltc2:hyperlink startIndex="0" length="70" url="https://investor.t-mobile.com/stock-info/dividend-history/default.aspx"/>
      </x:ext>
    </extLst>
  </threadedComment>
  <threadedComment ref="AU190" dT="2025-07-25T13:11:27.09" personId="{5FF1EC60-44F1-495B-BD45-E52FC60F1C9C}" id="{50CB367E-3576-4CC2-8A0F-754B6E5F2E9C}">
    <text>https://www.telekom.com/en/investor-relations/investor-relations/announcement-of-share-buy-back-2025-1085520</text>
    <extLst>
      <x:ext xmlns:xltc2="http://schemas.microsoft.com/office/spreadsheetml/2020/threadedcomments2" uri="{F7C98A9C-CBB3-438F-8F68-D28B6AF4A901}">
        <xltc2:checksum>2601154468</xltc2:checksum>
        <xltc2:hyperlink startIndex="0" length="108" url="https://www.telekom.com/en/investor-relations/investor-relations/announcement-of-share-buy-back-2025-1085520"/>
      </x:ext>
    </extLst>
  </threadedComment>
  <threadedComment ref="AD191" dT="2024-04-21T13:55:10.71" personId="{5FF1EC60-44F1-495B-BD45-E52FC60F1C9C}" id="{6AC8E6BA-AC4F-4617-A289-5210D2442597}">
    <text>See SoftBank Group &amp; Deutsche Telekom Long-Term Strategic Partnership and Equity Share Swap Agreement from September '21: DT to acquire 45m T-Mobile shares from SBG by issuing SBG 225m DT shares. Per the press release by SBG the DT reference price for the transaction is €20 i.e., this has been a value accretive transaction given DT share price now &gt;€21 (as at April '24).</text>
  </threadedComment>
  <threadedComment ref="AD191" dT="2024-04-21T13:55:22.19" personId="{5FF1EC60-44F1-495B-BD45-E52FC60F1C9C}" id="{E38ECB88-24F0-49D9-ACE8-666F1A15AF07}" parentId="{6AC8E6BA-AC4F-4617-A289-5210D2442597}">
    <text>https://group.softbank/en/news/press/20210907</text>
    <extLst>
      <x:ext xmlns:xltc2="http://schemas.microsoft.com/office/spreadsheetml/2020/threadedcomments2" uri="{F7C98A9C-CBB3-438F-8F68-D28B6AF4A901}">
        <xltc2:checksum>3765551768</xltc2:checksum>
        <xltc2:hyperlink startIndex="0" length="45" url="https://group.softbank/en/news/press/20210907"/>
      </x:ext>
    </extLst>
  </threadedComment>
  <threadedComment ref="AU191" dT="2025-07-25T13:06:37.69" personId="{5FF1EC60-44F1-495B-BD45-E52FC60F1C9C}" id="{44AFCF0A-6340-43CD-8FB0-7CAC077534D9}">
    <text>Per SoftBank Group’s F4Q Accounting presentation: SBG physically settled 19.5m DT collar transactions during F4Q and released some shares previously held as collateral. Calcs.: $668m of $6,947m gross DT position NOT subject to collar transaction -&gt; approx. 8.75% feed-through of share price gains to be reflected in SBG NAV.</text>
  </threadedComment>
  <threadedComment ref="AU191" dT="2025-07-25T13:06:45.21" personId="{5FF1EC60-44F1-495B-BD45-E52FC60F1C9C}" id="{C447470C-A48A-4FF7-BBE5-D20B126FE4B6}" parentId="{44AFCF0A-6340-43CD-8FB0-7CAC077534D9}">
    <text>https://group.softbank/media/Project/sbg/sbg/pdf/ir/presentations/2024/investor-accounting_q4fy2024_01_en.pdf</text>
    <extLst>
      <x:ext xmlns:xltc2="http://schemas.microsoft.com/office/spreadsheetml/2020/threadedcomments2" uri="{F7C98A9C-CBB3-438F-8F68-D28B6AF4A901}">
        <xltc2:checksum>1863571638</xltc2:checksum>
        <xltc2:hyperlink startIndex="0" length="109" url="https://group.softbank/media/Project/sbg/sbg/pdf/ir/presentations/2024/investor-accounting_q4fy2024_01_en.pdf"/>
      </x:ext>
    </extLst>
  </threadedComment>
  <threadedComment ref="AW191" dT="2025-07-25T13:06:37.69" personId="{5FF1EC60-44F1-495B-BD45-E52FC60F1C9C}" id="{68E37A26-C6D9-4C20-A922-2723EE9DE652}">
    <text>Per SoftBank Group’s F1Q Accounting presentation (pg.6): SBG held 166.5m DT shares at the end of F1Q25.</text>
  </threadedComment>
  <threadedComment ref="AW191" dT="2025-07-25T13:06:45.21" personId="{5FF1EC60-44F1-495B-BD45-E52FC60F1C9C}" id="{EBD39F89-3EB6-4498-9E12-7EDBE5C7928D}" parentId="{68E37A26-C6D9-4C20-A922-2723EE9DE652}">
    <text>https://group.softbank/media/Project/sbg/sbg/pdf/ir/presentations/2025/investor-accounting_q1fy2025_01_en.pdf</text>
    <extLst>
      <x:ext xmlns:xltc2="http://schemas.microsoft.com/office/spreadsheetml/2020/threadedcomments2" uri="{F7C98A9C-CBB3-438F-8F68-D28B6AF4A901}">
        <xltc2:checksum>4096088350</xltc2:checksum>
        <xltc2:hyperlink startIndex="0" length="109" url="https://group.softbank/media/Project/sbg/sbg/pdf/ir/presentations/2025/investor-accounting_q1fy2025_01_en.pdf"/>
      </x:ext>
    </extLst>
  </threadedComment>
  <threadedComment ref="AX191" dT="2025-11-03T18:40:53.07" personId="{5FF1EC60-44F1-495B-BD45-E52FC60F1C9C}" id="{6CBFA3AB-076E-49CE-8F5D-F2FB87C69819}">
    <text>Per SoftBank F1Q earnings presentation (pg.51) and IR commentary: post June quarter close, SoftBank’s ownership decreased from 3.3% to 0.4%/21m (18m from physical settlement + 3m from early unwind of derivatives).</text>
  </threadedComment>
  <threadedComment ref="AX191" dT="2025-11-03T18:40:59.91" personId="{5FF1EC60-44F1-495B-BD45-E52FC60F1C9C}" id="{892B77B2-71C6-4848-A7F3-25A3A79C0AF1}" parentId="{6CBFA3AB-076E-49CE-8F5D-F2FB87C69819}">
    <text>https://group.softbank/media/Project/sbg/sbg/pdf/ir/presentations/2025/earnings-presentation_q1fy2025_01_en.pdf</text>
    <extLst>
      <x:ext xmlns:xltc2="http://schemas.microsoft.com/office/spreadsheetml/2020/threadedcomments2" uri="{F7C98A9C-CBB3-438F-8F68-D28B6AF4A901}">
        <xltc2:checksum>2998094017</xltc2:checksum>
        <xltc2:hyperlink startIndex="0" length="111" url="https://group.softbank/media/Project/sbg/sbg/pdf/ir/presentations/2025/earnings-presentation_q1fy2025_01_en.pdf"/>
      </x:ext>
    </extLst>
  </threadedComment>
  <threadedComment ref="AX191" dT="2025-11-19T15:52:43.07" personId="{5FF1EC60-44F1-495B-BD45-E52FC60F1C9C}" id="{36705F71-3B8F-40BE-A32F-86786691E8B6}" parentId="{6CBFA3AB-076E-49CE-8F5D-F2FB87C69819}">
    <text>Per SoftBank F2Q earnings presentation (pg.8 of “Accounting” slides): DT position of 10.8m shares at end of F2Q.</text>
  </threadedComment>
  <threadedComment ref="AX191" dT="2025-11-19T15:52:49.00" personId="{5FF1EC60-44F1-495B-BD45-E52FC60F1C9C}" id="{65DF4BCA-EA06-48CB-B449-373DB3148C87}" parentId="{6CBFA3AB-076E-49CE-8F5D-F2FB87C69819}">
    <text>https://group.softbank/media/Project/sbg/sbg/pdf/ir/presentations/2025/investor-presentation_q2fy2025_01_en.pdf</text>
    <extLst>
      <x:ext xmlns:xltc2="http://schemas.microsoft.com/office/spreadsheetml/2020/threadedcomments2" uri="{F7C98A9C-CBB3-438F-8F68-D28B6AF4A901}">
        <xltc2:checksum>166201008</xltc2:checksum>
        <xltc2:hyperlink startIndex="0" length="111" url="https://group.softbank/media/Project/sbg/sbg/pdf/ir/presentations/2025/investor-presentation_q2fy2025_01_en.pdf"/>
      </x:ext>
    </extLst>
  </threadedComment>
  <threadedComment ref="AD193" dT="2024-04-23T07:04:37.70" personId="{5FF1EC60-44F1-495B-BD45-E52FC60F1C9C}" id="{5C9F0AA3-52D8-4A54-ABB1-A1ECD844CF71}">
    <text>DT shareholder structure page: https://www.telekom.com/en/investor-relations/share/shareholder-structure.</text>
    <extLst>
      <x:ext xmlns:xltc2="http://schemas.microsoft.com/office/spreadsheetml/2020/threadedcomments2" uri="{F7C98A9C-CBB3-438F-8F68-D28B6AF4A901}">
        <xltc2:checksum>2036664397</xltc2:checksum>
        <xltc2:hyperlink startIndex="31" length="73" url="https://www.telekom.com/en/investor-relations/share/shareholder-structure"/>
      </x:ext>
    </extLst>
  </threadedComment>
  <threadedComment ref="AP197" dT="2024-04-28T21:27:04.19" personId="{5FF1EC60-44F1-495B-BD45-E52FC60F1C9C}" id="{D44048A8-EA5D-4370-B4C2-28B939D01F8A}">
    <text>https://www.telekom.com/en/investor-relations/investor-relations/announcement-of-share-buy-back-2024-1055780</text>
    <extLst>
      <x:ext xmlns:xltc2="http://schemas.microsoft.com/office/spreadsheetml/2020/threadedcomments2" uri="{F7C98A9C-CBB3-438F-8F68-D28B6AF4A901}">
        <xltc2:checksum>2164881089</xltc2:checksum>
        <xltc2:hyperlink startIndex="0" length="108" url="https://www.telekom.com/en/investor-relations/investor-relations/announcement-of-share-buy-back-2024-1055780"/>
      </x:ext>
    </extLst>
  </threadedComment>
  <threadedComment ref="AE215" dT="2024-04-22T09:57:31.15" personId="{5FF1EC60-44F1-495B-BD45-E52FC60F1C9C}" id="{0C321568-6A96-495F-88E1-967C0589FED2}">
    <text>See pg.87 of FY21 i.e., 2022 Annual Report: details 45m/225m T-Mobile/DT share switch plus fund procurement/borrowings against T-Mobile and Deutsche Telekom shares.</text>
  </threadedComment>
  <threadedComment ref="AE215" dT="2024-04-22T09:57:36.61" personId="{5FF1EC60-44F1-495B-BD45-E52FC60F1C9C}" id="{F17C43A3-E0E0-403D-9FA4-3C3FDF3B6FBE}" parentId="{0C321568-6A96-495F-88E1-967C0589FED2}">
    <text>https://group.softbank/system/files/pdf/ir/financials/annual_reports/annual-report_fy2022_en.pdf</text>
    <extLst>
      <x:ext xmlns:xltc2="http://schemas.microsoft.com/office/spreadsheetml/2020/threadedcomments2" uri="{F7C98A9C-CBB3-438F-8F68-D28B6AF4A901}">
        <xltc2:checksum>1702577444</xltc2:checksum>
        <xltc2:hyperlink startIndex="0" length="96" url="https://group.softbank/system/files/pdf/ir/financials/annual_reports/annual-report_fy2022_en.pdf"/>
      </x:ext>
    </extLst>
  </threadedComment>
  <threadedComment ref="A230" dT="2024-07-29T14:25:56.15" personId="{5FF1EC60-44F1-495B-BD45-E52FC60F1C9C}" id="{9A4482DA-ED7B-485D-BD87-C2620DF7FFE4}">
    <text>https://www.telekom.com/en/investor-relations/share/dividend</text>
    <extLst>
      <x:ext xmlns:xltc2="http://schemas.microsoft.com/office/spreadsheetml/2020/threadedcomments2" uri="{F7C98A9C-CBB3-438F-8F68-D28B6AF4A901}">
        <xltc2:checksum>2053328632</xltc2:checksum>
        <xltc2:hyperlink startIndex="0" length="60" url="https://www.telekom.com/en/investor-relations/share/dividend"/>
      </x:ext>
    </extLst>
  </threadedComment>
</ThreadedComments>
</file>

<file path=xl/threadedComments/threadedComment5.xml><?xml version="1.0" encoding="utf-8"?>
<ThreadedComments xmlns="http://schemas.microsoft.com/office/spreadsheetml/2018/threadedcomments" xmlns:x="http://schemas.openxmlformats.org/spreadsheetml/2006/main">
  <threadedComment ref="Q4" dT="2024-04-05T11:45:50.41" personId="{5FF1EC60-44F1-495B-BD45-E52FC60F1C9C}" id="{0000EE3C-4A71-490D-BBC1-5087BCC55242}">
    <text>See pg.22-23 of 4Q18 Consolidated Financial Report: $2.8bn NVIDIA shares purchased in December '16 in anticipation of SVF1 launch in 1Q17 &amp; later transferred to SVF1. Disposed of (hedged) position in 4Q18 (i.e., January '19) for total valuation gain of $2.8bn: $1.45bn gain on shares plus $1.465bn derivative gain on collar transaction.</text>
  </threadedComment>
  <threadedComment ref="N9" dT="2024-04-04T12:42:16.65" personId="{5FF1EC60-44F1-495B-BD45-E52FC60F1C9C}" id="{18C55173-5E0F-4852-B8E3-CEDBDBFC5E9E}">
    <text>See pg.22 of 2Q18 Consolidated Financial Report: at this point in reporting cycle SBG separating SVF1 &amp; Delta Fund gains/losses within SVF segment reporting but (per our understanding) these were later combined so we simply aggregate.</text>
  </threadedComment>
  <threadedComment ref="O9" dT="2024-04-04T12:42:16.65" personId="{5FF1EC60-44F1-495B-BD45-E52FC60F1C9C}" id="{7C451149-BDD5-4805-8182-918D27B27BFE}">
    <text>See pg.21 of 2Q18 Consolidated Financial Report: at this point in reporting cycle SBG separating SVF1 &amp; Delta Fund gains/losses within SVF segment reporting but (per our understanding) these were later combined so we simply aggregate.</text>
  </threadedComment>
  <threadedComment ref="P9" dT="2024-04-04T12:42:16.65" personId="{5FF1EC60-44F1-495B-BD45-E52FC60F1C9C}" id="{A9B42A82-5448-46E2-8CA5-5B954636546F}">
    <text>See pg.21 of 3Q18 Consolidated Financial Report: at this point in reporting cycle SBG separating SVF1 &amp; Delta Fund gains/losses within SVF segment reporting but (per our understanding) these were later combined so we simply aggregate.</text>
  </threadedComment>
  <threadedComment ref="R9" dT="2024-04-05T11:48:32.07" personId="{5FF1EC60-44F1-495B-BD45-E52FC60F1C9C}" id="{22377E76-F563-4375-9B89-DABB2485F9E2}">
    <text>See pg.22 of 4Q18 Consolidated Financial Report: the main contributors to ¥1bn gain on SVF investments are Uber (¥418bn gain ahead of likely IPO valuation), Guardant Health (¥203bn &amp; already publicly listed) and OYO (¥154bn) based on private fund raisings during FY18.</text>
  </threadedComment>
  <threadedComment ref="R9" dT="2024-04-05T12:13:22.44" personId="{5FF1EC60-44F1-495B-BD45-E52FC60F1C9C}" id="{0093FF70-0B99-4665-B472-131163666A3C}" parentId="{22377E76-F563-4375-9B89-DABB2485F9E2}">
    <text>Note: per pg.26 table SVF1 invested $7.7bn in Uber with shares originally purchased at Group level for the purpose of selling on to SVF1.</text>
  </threadedComment>
  <threadedComment ref="AC10" dT="2024-04-10T09:50:43.57" personId="{5FF1EC60-44F1-495B-BD45-E52FC60F1C9C}" id="{F24FA42B-04B9-4073-B685-AA07A15A6942}">
    <text>See pg.19 of Consolidated Financial Report: ARM distributed shares of Treasure Data Inc. as a "dividend-in-kind" to SVF1 shareholders, worth ¥20.8m.</text>
  </threadedComment>
  <threadedComment ref="P31" dT="2024-04-04T12:42:16.65" personId="{5FF1EC60-44F1-495B-BD45-E52FC60F1C9C}" id="{03416C10-D3D4-461D-A30A-A8159611DE6A}">
    <text>See pg.21 of 3Q18 Consolidated Financial Report: below the line (i.e., below segment Operating income) items not yet reported for SVF segment but talks of ¥249,509m gain relating to an NVIDIA collar transaction (vs. ¥299,539m unrealised loss on NVIDIA shares during 3Q).</text>
  </threadedComment>
  <threadedComment ref="R31" dT="2024-04-05T11:34:56.66" personId="{5FF1EC60-44F1-495B-BD45-E52FC60F1C9C}" id="{63EB6B94-B0FB-4921-8A7A-264230662E12}">
    <text>See pg.21 of 4Q18 Consolidated Financial Report: ¥168,471m of Derivative gain relates to NVIDIA collar transaction.</text>
  </threadedComment>
  <threadedComment ref="Z50" dT="2024-04-09T10:08:48.52" personId="{5FF1EC60-44F1-495B-BD45-E52FC60F1C9C}" id="{52DC0B66-CD1F-41E4-B12F-7480ED16A691}">
    <text>See pg.30 of 3Q20 Consolidated Financial Report: attributing $14.7bn of $20.1bn SVF1 "unrealised gain" to investments in DoorDash and Uber (each company had previously IPO'd and so publicly listed).</text>
  </threadedComment>
  <threadedComment ref="AC50" dT="2024-04-10T09:45:38.96" personId="{5FF1EC60-44F1-495B-BD45-E52FC60F1C9C}" id="{FE7DCC29-0D0E-49F6-A77D-BEEE3B827B37}">
    <text>See pg.18 of Consolidated Financial Report: SBG calling out strong share price performances of DiDi and Full Truck Alliance (both of which IPO'd during 1Q21).</text>
  </threadedComment>
  <threadedComment ref="AD52" dT="2024-04-10T14:52:46.32" personId="{5FF1EC60-44F1-495B-BD45-E52FC60F1C9C}" id="{910D5A74-D1C9-4634-8B4A-72FE5D48AEB5}">
    <text>Use quarterly Consolidated Financial Reports: Ctrl+F "entitled to" to get to tables in the notes which reconcile Change in Third-Party interests in SVF1 &amp; SVF2 (these are presented separately i.e., we can track Third-Party interests across each fund) but key point is to reverse the sign from these tables e.g., SVF1 table will show a +ve figure for "Attributable to investors entitled to fixed distribution" but in the P&amp;L and SVF segment reporting this is a deduction of Third-Party interests so we put this in as a negative!</text>
  </threadedComment>
  <threadedComment ref="AD52" dT="2024-04-10T14:53:27.55" personId="{5FF1EC60-44F1-495B-BD45-E52FC60F1C9C}" id="{42157E81-57E3-401C-997D-6F9C6B1C7AEC}" parentId="{910D5A74-D1C9-4634-8B4A-72FE5D48AEB5}">
    <text>Key pt: an "increase" or +ve figure in Third-Party interests tables must be inputted as a "decrease" or -ve figure here.</text>
  </threadedComment>
  <threadedComment ref="AC56" dT="2024-04-10T09:45:38.96" personId="{5FF1EC60-44F1-495B-BD45-E52FC60F1C9C}" id="{CA891664-6453-4E36-933F-7F8FFB839C5C}">
    <text>See pg.19 of Consolidated Financial Report: partial sale of KE Holdings.</text>
  </threadedComment>
  <threadedComment ref="AD59" dT="2024-04-10T14:52:46.32" personId="{5FF1EC60-44F1-495B-BD45-E52FC60F1C9C}" id="{6AB4475D-B551-4232-BF3F-68693917BDD5}">
    <text>Use quarterly Consolidated Financial Reports: Ctrl+F "entitled to" to get to tables in the notes which reconcile Change in Third-Party interests in SVF1 &amp; SVF2 (these are presented separately i.e., we can track Third-Party interests across each fund) but key point is to reverse the sign from these tables e.g., SVF1 table will show a +ve figure for "Attributable to investors entitled to fixed distribution" but in the P&amp;L and SVF segment reporting this is a deduction of Third-Party interests so we put this in as a negative!</text>
  </threadedComment>
  <threadedComment ref="AD59" dT="2024-04-10T14:53:27.55" personId="{5FF1EC60-44F1-495B-BD45-E52FC60F1C9C}" id="{CFE0E7BD-6E82-44EA-ABCE-7C8F3A4B3599}" parentId="{6AB4475D-B551-4232-BF3F-68693917BDD5}">
    <text>Key pt: an "increase" or +ve figure in Third-Party interests tables must be inputted as a "decrease" or -ve figure here.</text>
  </threadedComment>
  <threadedComment ref="AN76" dT="2024-04-14T19:10:22.53" personId="{5FF1EC60-44F1-495B-BD45-E52FC60F1C9C}" id="{8BD72DCA-0B7A-43B5-8BC0-B3ED9E5356FD}">
    <text>See pg.5 of 2Q23 Consolidated Financial Report: SBG reporting ¥764m/$5.1bn gain on SVF investments in subsidiaries across 1H23 i.e., for simplicity we assume this is entirely SVF1's 24.99% ARM holding.</text>
  </threadedComment>
  <threadedComment ref="AN76" dT="2024-04-14T19:10:28.50" personId="{5FF1EC60-44F1-495B-BD45-E52FC60F1C9C}" id="{760F8C12-3293-4ACF-A3BD-AA0C8BAFB2B7}" parentId="{8BD72DCA-0B7A-43B5-8BC0-B3ED9E5356FD}">
    <text>https://group.softbank/system/files/pdf/ir/financials/financial_reports/financial-report_q2fy2023_01_en.pdf</text>
    <extLst>
      <x:ext xmlns:xltc2="http://schemas.microsoft.com/office/spreadsheetml/2020/threadedcomments2" uri="{F7C98A9C-CBB3-438F-8F68-D28B6AF4A901}">
        <xltc2:checksum>906578364</xltc2:checksum>
        <xltc2:hyperlink startIndex="0" length="107" url="https://group.softbank/system/files/pdf/ir/financials/financial_reports/financial-report_q2fy2023_01_en.pdf"/>
      </x:ext>
    </extLst>
  </threadedComment>
  <threadedComment ref="A78" dT="2024-04-11T17:30:18.68" personId="{5FF1EC60-44F1-495B-BD45-E52FC60F1C9C}" id="{05EA6C46-04C0-411B-96C9-DA3CE18988F6}">
    <text>i.e., be aware of three companies here: $8.2bn/24.99% SVF1 ARM holding (SBG subsidiary), WeWork investments across both SVF1 &amp; SVF2 (SBG equity method associate) and PayPay Corporation (SBG subsidiary).</text>
  </threadedComment>
  <threadedComment ref="W82" dT="2024-04-08T06:39:37.11" personId="{5FF1EC60-44F1-495B-BD45-E52FC60F1C9C}" id="{51FDC11A-1713-4DED-B9C0-2002E77AC1BE}">
    <text>See pg.19 of 4Q19 Consolidated Financial Report: SBG saying $17.3bn unrealised valuation loss in FY19 of which $5.2bn Uber (public share price decline), $4.6bn WeWork investments and $7.5bn "Other" portfolio investments (more than 80 companies).</text>
  </threadedComment>
  <threadedComment ref="AB82" dT="2024-04-08T06:39:37.11" personId="{5FF1EC60-44F1-495B-BD45-E52FC60F1C9C}" id="{CB37A72E-7B77-44DE-8BD7-EEAE4D786D44}">
    <text>See pg.32 of 4Q20 Consolidated Financial Report: SBG saying $52.2bn unrealised valuation gain in FY20 of which $40.5bn from listed portfolio companies i.e., Coupang and DoorDash (both IPO'd during FY20) &amp; Uber (significant share price recovery from Covid lows during FY20).</text>
  </threadedComment>
  <threadedComment ref="AG82" dT="2024-04-08T06:39:37.11" personId="{5FF1EC60-44F1-495B-BD45-E52FC60F1C9C}" id="{2010783E-55B4-4AD6-B20A-97F11FC56182}">
    <text>See pg.22-23 of 4Q21 Consolidated Financial Report: SBG saying unrealised loss of $23.9bn on SVF1 holdings and $2.2bn unrealised loss on SVF2 holdings. https://group.softbank/system/files/pdf/ir/financials/financial_reports/financial-report_q4fy2021_01_en.pdf</text>
    <extLst>
      <x:ext xmlns:xltc2="http://schemas.microsoft.com/office/spreadsheetml/2020/threadedcomments2" uri="{F7C98A9C-CBB3-438F-8F68-D28B6AF4A901}">
        <xltc2:checksum>1281440312</xltc2:checksum>
        <xltc2:hyperlink startIndex="152" length="107" url="https://group.softbank/system/files/pdf/ir/financials/financial_reports/financial-report_q4fy2021_01_en.pdf"/>
      </x:ext>
    </extLst>
  </threadedComment>
  <threadedComment ref="AG82" dT="2024-04-11T17:16:12.27" personId="{5FF1EC60-44F1-495B-BD45-E52FC60F1C9C}" id="{53432232-6F49-4BB8-9A44-F170A59FEEF8}" parentId="{2010783E-55B4-4AD6-B20A-97F11FC56182}">
    <text>SVF1: loss of $31.8bn on listed portfolio companies (e.g., calling out Coupang, DiDi and Grab as contributors: note Coupang largest single publicly listed holding in SVF1 at &gt;$8bn and loss of $14.6bn during the period &amp; DiDi loss of $8bn and one of the most significant investment in terms of acquisition cost of &gt;$12bn by SVF1). Recorded $7.9bn valuation gain on unlisted/privately held companies: again, RED FLAG in terms of private company valuation methodologies.</text>
  </threadedComment>
  <threadedComment ref="T84" dT="2024-04-06T09:04:10.79" personId="{5FF1EC60-44F1-495B-BD45-E52FC60F1C9C}" id="{B11501D3-DE86-4B53-A3CF-D6A7D9F09070}">
    <text>See pg.8 &amp; pg.12 of 2Q19 Consolidated Financial Report: SVF recorded $3.5bn loss on WeWork investments in 2Q19 &amp; also mentions Uber's share price performance (i.e., already IPO'd) as a major contributor.</text>
  </threadedComment>
  <threadedComment ref="AB110" dT="2024-04-08T06:39:37.11" personId="{5FF1EC60-44F1-495B-BD45-E52FC60F1C9C}" id="{95935F5C-B684-4D96-9039-E788F5C6766A}">
    <text>See pg.32 of 4Q20 Consolidated Financial Report: SBG saying $52.2bn unrealised valuation gain in FY20 of which $40.5bn from listed portfolio companies i.e., Coupang and DoorDash (both IPO'd during FY20) &amp; Uber (significant share price recovery from Covid lows during FY20).</text>
  </threadedComment>
  <threadedComment ref="AG110" dT="2024-04-08T06:39:37.11" personId="{5FF1EC60-44F1-495B-BD45-E52FC60F1C9C}" id="{C72B7A59-E25F-4B23-96F4-EBED59BFDE1D}">
    <text>See pg.22-23 of 4Q21 Consolidated Financial Report: SBG saying unrealised loss of $23.9bn on SVF1 holdings and $2.2bn unrealised loss on SVF2 holdings. https://group.softbank/system/files/pdf/ir/financials/financial_reports/financial-report_q4fy2021_01_en.pdf</text>
    <extLst>
      <x:ext xmlns:xltc2="http://schemas.microsoft.com/office/spreadsheetml/2020/threadedcomments2" uri="{F7C98A9C-CBB3-438F-8F68-D28B6AF4A901}">
        <xltc2:checksum>1281440312</xltc2:checksum>
        <xltc2:hyperlink startIndex="152" length="107" url="https://group.softbank/system/files/pdf/ir/financials/financial_reports/financial-report_q4fy2021_01_en.pdf"/>
      </x:ext>
    </extLst>
  </threadedComment>
  <threadedComment ref="AG110" dT="2024-04-11T17:16:12.27" personId="{5FF1EC60-44F1-495B-BD45-E52FC60F1C9C}" id="{0AE04CC2-C236-4E8E-91C9-D01997A9AC05}" parentId="{C72B7A59-E25F-4B23-96F4-EBED59BFDE1D}">
    <text>SVF1: loss of $31.8bn on listed portfolio companies (e.g., calling out Coupang, DiDi and Grab as contributors: note Coupang largest single publicly listed holding in SVF1 at &gt;$8bn and loss of $14.6bn during the period &amp; DiDi loss of $8bn and one of the most significant investment in terms of acquisition cost of &gt;$12bn by SVF1). Recorded $7.9bn valuation gain on unlisted/privately held companies: again, RED FLAG in terms of private company valuation methodologies.</text>
  </threadedComment>
  <threadedComment ref="AL111" dT="2024-04-13T14:26:31.08" personId="{5FF1EC60-44F1-495B-BD45-E52FC60F1C9C}" id="{D5C5DC1B-EDE7-4357-B614-547DF813103F}">
    <text>See pg.15 of 4Q22 Consolidated Financial Report: SBG saying 8% gain on listed (i.e., IPO'd) holdings vs. 3.6% loss on private portfolio companies &amp; the main contributors to listed company gains: DiDi, Coupang and DoorDash, partly offset by Grab.</text>
  </threadedComment>
  <threadedComment ref="AL118" dT="2024-04-13T14:26:31.08" personId="{5FF1EC60-44F1-495B-BD45-E52FC60F1C9C}" id="{CF2F624C-1AC2-4B57-9EDF-E13BF711E0FB}">
    <text>See pg.15 of 4Q22 Consolidated Financial Report: SBG saying 10% gain on listed (i.e., IPO'd) holdings vs. 7.7% loss on private portfolio companies &amp; the main contributors to listed company gains: AutoStore and Symbotic, partly offset by WeWork.</text>
  </threadedComment>
  <threadedComment ref="AM139" dT="2024-04-14T12:50:29.60" personId="{5FF1EC60-44F1-495B-BD45-E52FC60F1C9C}" id="{096B0520-5D75-4FD6-9CBE-B6BA585B91CF}">
    <text>See pg.3 of 1Q23 Consolidated Financial Report: SBG calling out increase in ARM valuation for SVF1 then eliminated in consolidated P&amp;L due to being a subsidiary of SBG (also still calling out PayPay Corporation in SVF2 as a fully consolidated subsidiary whose gains/losses would be eliminated upon consolidation: see pg.16 but unclear on size of holding!).</text>
  </threadedComment>
  <threadedComment ref="AM139" dT="2024-04-14T12:50:34.57" personId="{5FF1EC60-44F1-495B-BD45-E52FC60F1C9C}" id="{E040EC5B-7BC9-4F61-9DC4-8B3AA7BA5704}" parentId="{096B0520-5D75-4FD6-9CBE-B6BA585B91CF}">
    <text>https://group.softbank/system/files/pdf/ir/financials/financial_reports/financial-report_q1fy2023_01_en.pdf</text>
    <extLst>
      <x:ext xmlns:xltc2="http://schemas.microsoft.com/office/spreadsheetml/2020/threadedcomments2" uri="{F7C98A9C-CBB3-438F-8F68-D28B6AF4A901}">
        <xltc2:checksum>176002441</xltc2:checksum>
        <xltc2:hyperlink startIndex="0" length="107" url="https://group.softbank/system/files/pdf/ir/financials/financial_reports/financial-report_q1fy2023_01_en.pdf"/>
      </x:ext>
    </extLst>
  </threadedComment>
  <threadedComment ref="AN139" dT="2024-04-14T19:10:22.53" personId="{5FF1EC60-44F1-495B-BD45-E52FC60F1C9C}" id="{20F260BB-E39C-430D-AD1F-2FEDFE7B6421}">
    <text>See pg.5 of 2Q23 Consolidated Financial Report: SBG reporting ¥764m/$5.1bn gain on SVF investments in subsidiaries across 1H23 i.e., for simplicity we assume this is entirely SVF1's 24.99% ARM holding.</text>
  </threadedComment>
  <threadedComment ref="AN139" dT="2024-04-14T19:10:28.50" personId="{5FF1EC60-44F1-495B-BD45-E52FC60F1C9C}" id="{3E171387-8684-4160-A628-DD07FE865BB1}" parentId="{20F260BB-E39C-430D-AD1F-2FEDFE7B6421}">
    <text>https://group.softbank/system/files/pdf/ir/financials/financial_reports/financial-report_q2fy2023_01_en.pdf</text>
    <extLst>
      <x:ext xmlns:xltc2="http://schemas.microsoft.com/office/spreadsheetml/2020/threadedcomments2" uri="{F7C98A9C-CBB3-438F-8F68-D28B6AF4A901}">
        <xltc2:checksum>906578364</xltc2:checksum>
        <xltc2:hyperlink startIndex="0" length="107" url="https://group.softbank/system/files/pdf/ir/financials/financial_reports/financial-report_q2fy2023_01_en.pdf"/>
      </x:ext>
    </extLst>
  </threadedComment>
  <threadedComment ref="AA205" dT="2024-04-10T07:34:59.78" personId="{5FF1EC60-44F1-495B-BD45-E52FC60F1C9C}" id="{9068B293-D607-455C-AD18-2ADAAF5E74E8}">
    <text>See slide 18 of 4Q20 SoftBank Vision Funds Update presentation. https://group.softbank/system/files/pdf/ir/presentations/2020/investor-svf_q4fy2020_01_en.pdf</text>
    <extLst>
      <x:ext xmlns:xltc2="http://schemas.microsoft.com/office/spreadsheetml/2020/threadedcomments2" uri="{F7C98A9C-CBB3-438F-8F68-D28B6AF4A901}">
        <xltc2:checksum>607308184</xltc2:checksum>
        <xltc2:hyperlink startIndex="64" length="93" url="https://group.softbank/system/files/pdf/ir/presentations/2020/investor-svf_q4fy2020_01_en.pdf"/>
      </x:ext>
    </extLst>
  </threadedComment>
  <threadedComment ref="X318" dT="2024-04-08T18:22:17.44" personId="{5FF1EC60-44F1-495B-BD45-E52FC60F1C9C}" id="{9B74AE2B-E70D-48D1-AC10-4C67F3F9ED9B}">
    <text>See pg.19 of 1Q20 Consolidated Financial Report: no mention of SVF2 contributed capital or investments in Financial Report vs. $1.27bn SVF1 follow-on investments and $2.1bn SVF1 monetisations as mentioned at end of pg.19. https://group.softbank/system/files/pdf/ir/financials/financial_reports/financial-report_q1fy2020_01_en.pdf</text>
    <extLst>
      <x:ext xmlns:xltc2="http://schemas.microsoft.com/office/spreadsheetml/2020/threadedcomments2" uri="{F7C98A9C-CBB3-438F-8F68-D28B6AF4A901}">
        <xltc2:checksum>879407939</xltc2:checksum>
        <xltc2:hyperlink startIndex="222" length="107" url="https://group.softbank/system/files/pdf/ir/financials/financial_reports/financial-report_q1fy2020_01_en.pdf"/>
      </x:ext>
    </extLst>
  </threadedComment>
  <threadedComment ref="AC325" dT="2024-04-11T09:16:02.93" personId="{5FF1EC60-44F1-495B-BD45-E52FC60F1C9C}" id="{094D6870-DC04-4F1E-B2B8-DECBD65CBFD8}">
    <text>See pg.83 of 2Q21 Consolidated Financial Report: "Collateral and other credit protection for receivables". Seems as though Son's $2.6bn commitment to SVF2 LLC is never to be paid in cash but this amount compounded at 3% p.a. would offset against Ordinary equity distributions from SVF 2 LLC for which MgmtCo owns 17.25%. Further, Son would personally guarantee receivables and deposited 8.9m SBG shares in SVF 2 LLC as collateral: equivalent to $500m-$550m in August '21 so approximately 1/5 of $2.6bn commitment.</text>
  </threadedComment>
  <threadedComment ref="AC325" dT="2024-04-11T09:16:11.66" personId="{5FF1EC60-44F1-495B-BD45-E52FC60F1C9C}" id="{B8BC2E6F-604A-43F1-978B-D31A66557D66}" parentId="{094D6870-DC04-4F1E-B2B8-DECBD65CBFD8}">
    <text>https://group.softbank/system/files/pdf/ir/financials/financial_reports/financial-report_q2fy2021_01_en.pdf</text>
    <extLst>
      <x:ext xmlns:xltc2="http://schemas.microsoft.com/office/spreadsheetml/2020/threadedcomments2" uri="{F7C98A9C-CBB3-438F-8F68-D28B6AF4A901}">
        <xltc2:checksum>2570029314</xltc2:checksum>
        <xltc2:hyperlink startIndex="0" length="107" url="https://group.softbank/system/files/pdf/ir/financials/financial_reports/financial-report_q2fy2021_01_en.pdf"/>
      </x:ext>
    </extLst>
  </threadedComment>
  <threadedComment ref="AC325" dT="2024-04-11T18:12:49.68" personId="{5FF1EC60-44F1-495B-BD45-E52FC60F1C9C}" id="{6C90702F-84A8-49FE-A3F9-A3D0F865F7C4}" parentId="{094D6870-DC04-4F1E-B2B8-DECBD65CBFD8}">
    <text>See pg.110-112 of 4Q21 Consolidated Financial Report: details Related party transactions between SVF2 and MgmtCo &amp; shows that MgmtCo made no cash contributions to SVF2 LLC equity i.e., contribution is owed as a receivable to SBG and is offset against Performance based equity distributions.</text>
  </threadedComment>
  <threadedComment ref="AC325" dT="2024-04-11T18:12:57.08" personId="{5FF1EC60-44F1-495B-BD45-E52FC60F1C9C}" id="{300C1C25-F2C4-47B6-B6EA-B1C0AA9413D5}" parentId="{094D6870-DC04-4F1E-B2B8-DECBD65CBFD8}">
    <text>https://group.softbank/system/files/pdf/ir/financials/financial_reports/financial-report_q4fy2021_01_en.pdf</text>
    <extLst>
      <x:ext xmlns:xltc2="http://schemas.microsoft.com/office/spreadsheetml/2020/threadedcomments2" uri="{F7C98A9C-CBB3-438F-8F68-D28B6AF4A901}">
        <xltc2:checksum>3787862376</xltc2:checksum>
        <xltc2:hyperlink startIndex="0" length="107" url="https://group.softbank/system/files/pdf/ir/financials/financial_reports/financial-report_q4fy2021_01_en.pdf"/>
      </x:ext>
    </extLst>
  </threadedComment>
  <threadedComment ref="AC335" dT="2024-04-10T10:30:46.38" personId="{5FF1EC60-44F1-495B-BD45-E52FC60F1C9C}" id="{72373773-54ED-4F6F-8301-A3F4273FF2EF}">
    <text>See pg.19 of Consolidated Financial Report: table at bottom of page shows $1.5bn of sales by SBG to SVF2 and in-kind contributions each of which would bypass FCF statement numbers &amp; therefore distort reconciliation.</text>
  </threadedComment>
  <threadedComment ref="AD372" dT="2024-04-11T18:22:23.21" personId="{5FF1EC60-44F1-495B-BD45-E52FC60F1C9C}" id="{9DF0D109-F037-4479-B423-6C98B748CEE5}">
    <text>Note: have not needed to amend this formula as SVF1 accounts for entirety of "Contributions into SVF from Third-party investors" as MgmtCo yet to make a "cash" equity contribution to SVF2 LLC.</text>
  </threadedComment>
  <threadedComment ref="I375" dT="2024-04-02T12:41:44.94" personId="{5FF1EC60-44F1-495B-BD45-E52FC60F1C9C}" id="{514F3028-672D-4099-8DCB-A6553DCD2891}">
    <text>See pg.19 of 1Q17 Consolidated Financial Report: no Contributions into SVF from third-party investors had been recorded in Cashflow statement at end 1Q17 but management commentary talks of gain on NVIDIA shares (held by the Company but to be transferred to SVF1) &amp; as such have attributed entire change in third-party interest during 1Q17 to ordinary equity holders.</text>
  </threadedComment>
  <threadedComment ref="K376" dT="2024-04-02T13:05:51.50" personId="{5FF1EC60-44F1-495B-BD45-E52FC60F1C9C}" id="{BC03B886-91D6-4661-9088-AF45B373A32A}">
    <text>Assumes there is no redemption of "principal" in 3Q17 as SVF1 "closing" not even complete at this point: i.e., assume all Distributions to/redemptions from SVF to third-party investors either payment of Preferred equity coupon (= June/December each year) or dividend pass-through to ordinary (third-party) equity portion (e.g., could be NVIDIA dividend..?).</text>
  </threadedComment>
  <threadedComment ref="L377" dT="2024-04-02T16:26:49.79" personId="{5FF1EC60-44F1-495B-BD45-E52FC60F1C9C}" id="{955D5548-0503-4E11-B181-BCDA9046F8F4}">
    <text>Assumes there are no "Fixed" (i.e., Preferred equity) distributions in 4Q17 as per IR comments Preferred equity coupons paid semi-annually in December/June.</text>
  </threadedComment>
  <threadedComment ref="I394" dT="2024-04-02T12:41:44.94" personId="{5FF1EC60-44F1-495B-BD45-E52FC60F1C9C}" id="{E371D00D-FF74-46FE-8395-997B505E5CD2}">
    <text>See pg.19 of 1Q17 Consolidated Financial Report: no Contributions into SVF from third-party investors had been recorded in Cashflow statement at end 1Q17 but management commentary talks of gain on NVIDIA shares (held by the Company but to be transferred to SVF1) &amp; as such have attributed entire change in third-party interest during 1Q17 to ordinary equity holders.</text>
  </threadedComment>
  <threadedComment ref="I403" dT="2024-04-02T12:41:44.94" personId="{5FF1EC60-44F1-495B-BD45-E52FC60F1C9C}" id="{317F449B-5C67-47C3-9B19-6EED056CF58C}">
    <text>See pg.19 of 1Q17 Consolidated Financial Report: no Contributions into SVF from third-party investors had been recorded in Cashflow statement at end 1Q17 but management commentary talks of gain on NVIDIA shares (held by the Company but to be transferred to SVF1) &amp; as such have attributed entire change in third-party interest during 1Q17 to ordinary equity holders.</text>
  </threadedComment>
  <threadedComment ref="R404" dT="2024-04-09T18:47:33.02" personId="{5FF1EC60-44F1-495B-BD45-E52FC60F1C9C}" id="{E2102288-0409-4408-9C5F-A76C6A445BCD}">
    <text>See pg.114 of SBG 2019 Annual Report: footnote below Third-party interests reconciliation table.</text>
  </threadedComment>
  <threadedComment ref="I468" dT="2024-04-02T12:41:44.94" personId="{5FF1EC60-44F1-495B-BD45-E52FC60F1C9C}" id="{FF3536BC-2478-4BEF-BBFF-B7245E3CE4DF}">
    <text>See pg.19 of 1Q17 Consolidated Financial Report: no Contributions into SVF from third-party investors had been recorded in Cashflow statement at end 1Q17 but management commentary talks of gain on NVIDIA shares (held by the Company but to be transferred to SVF1) &amp; as such have attributed entire change in third-party interest during 1Q17 to ordinary equity holders.</text>
  </threadedComment>
  <threadedComment ref="AA479" dT="2024-04-10T07:34:59.78" personId="{5FF1EC60-44F1-495B-BD45-E52FC60F1C9C}" id="{D1F278A2-6024-4DA1-969A-EA9EBE33A1AB}">
    <text>See slide 26 of 4Q20 SoftBank Vision Funds Update presentation. https://group.softbank/system/files/pdf/ir/presentations/2020/investor-svf_q4fy2020_01_en.pdf</text>
    <extLst>
      <x:ext xmlns:xltc2="http://schemas.microsoft.com/office/spreadsheetml/2020/threadedcomments2" uri="{F7C98A9C-CBB3-438F-8F68-D28B6AF4A901}">
        <xltc2:checksum>3666212634</xltc2:checksum>
        <xltc2:hyperlink startIndex="64" length="93" url="https://group.softbank/system/files/pdf/ir/presentations/2020/investor-svf_q4fy2020_01_en.pdf"/>
      </x:ext>
    </extLst>
  </threadedComment>
  <threadedComment ref="AA485" dT="2024-04-10T07:34:59.78" personId="{5FF1EC60-44F1-495B-BD45-E52FC60F1C9C}" id="{523FF0B6-79A0-456B-96E9-81E842EB7793}">
    <text>See slide 25 of 4Q20 SoftBank Vision Funds Update presentation. https://group.softbank/system/files/pdf/ir/presentations/2020/investor-svf_q4fy2020_01_en.pdf</text>
    <extLst>
      <x:ext xmlns:xltc2="http://schemas.microsoft.com/office/spreadsheetml/2020/threadedcomments2" uri="{F7C98A9C-CBB3-438F-8F68-D28B6AF4A901}">
        <xltc2:checksum>3279192262</xltc2:checksum>
        <xltc2:hyperlink startIndex="64" length="93" url="https://group.softbank/system/files/pdf/ir/presentations/2020/investor-svf_q4fy2020_01_en.pdf"/>
      </x:ext>
    </extLst>
  </threadedComment>
  <threadedComment ref="AA490" dT="2024-04-10T07:34:59.78" personId="{5FF1EC60-44F1-495B-BD45-E52FC60F1C9C}" id="{06FC85D3-58D7-408E-ABAF-BC99592F4412}">
    <text>See slide 25 of 4Q20 SoftBank Vision Funds Update presentation. https://group.softbank/system/files/pdf/ir/presentations/2020/investor-svf_q4fy2020_01_en.pdf</text>
    <extLst>
      <x:ext xmlns:xltc2="http://schemas.microsoft.com/office/spreadsheetml/2020/threadedcomments2" uri="{F7C98A9C-CBB3-438F-8F68-D28B6AF4A901}">
        <xltc2:checksum>3279192262</xltc2:checksum>
        <xltc2:hyperlink startIndex="64" length="93" url="https://group.softbank/system/files/pdf/ir/presentations/2020/investor-svf_q4fy2020_01_en.pdf"/>
      </x:ext>
    </extLst>
  </threadedComment>
  <threadedComment ref="A543" dT="2024-04-04T11:21:46.99" personId="{5FF1EC60-44F1-495B-BD45-E52FC60F1C9C}" id="{89842C71-5527-41F8-BAB9-65C096F863C9}">
    <text>Hurdle rate/high watermark calculations use Third-party Performance-based distributions &amp; Repayments which are "net" of "bonus" Performance fees (i.e., 20% of return above 8% p.a. goes to SBIA): but hurdle rate/high watermark needs to be lowered by "grossed up" distributions i.e., also including Performance fees paid out to SBIA as this theoretically lowers the high watermark from which future returns are judged. See 4Q Consolidated Financial Reports (Ctrl+F "Performance fees paid") to find yoy SVF Performance fees paid: e.g., pg.73 4Q23.</text>
  </threadedComment>
  <threadedComment ref="O543" dT="2024-04-05T10:08:15.86" personId="{5FF1EC60-44F1-495B-BD45-E52FC60F1C9C}" id="{97B83119-E6C2-421B-8EA3-AD98DDAEA000}">
    <text>See pg.66 of 2Q18 Consolidated Financial Report: Performance fees for SVF1 cannot be paid to SBIA until late '22 (at this point: assumed November '22) when 5 year investment period has finished i.e., Performance fees accrued on monetisations of investments (e.g., Flipkart shares in this instance) paid up to LPs and held there until these can be paid to SBIA &amp; could be clawbacks on poor future performance.</text>
  </threadedComment>
  <threadedComment ref="AM543" dT="2024-04-14T20:53:13.64" personId="{5FF1EC60-44F1-495B-BD45-E52FC60F1C9C}" id="{FD4A8873-8425-4144-89D5-7FFD79AA2C92}">
    <text xml:space="preserve">See pg.63 of 1Q23 Consolidated Financial Report: SBG now saying that cumulative Performance fee to SBIA for SVF1 is $454m vs. $439m previously i.e., increase of $15m &amp; we assume on the revaluation of 24.99% ARM holding. </text>
  </threadedComment>
  <threadedComment ref="AM571" dT="2024-04-14T14:58:43.58" personId="{5FF1EC60-44F1-495B-BD45-E52FC60F1C9C}" id="{8F17D196-5A23-4BA3-B117-676BC1A3297F}">
    <text>See pg.3 &amp; pg.59 of 1Q23 Consolidated Financial Report: SBG calling out an ARM valuation gain for SVF1 &amp; on pg.59 says ¥175.5bn unrealised gain arising from shares of SBG's subsidiaries: this could also mean PayPay Corporation but we attribute full ¥175.5bn/$1.2bn gain to ARM holding given this is called out and ARM filed its F-1 during the quarter.</text>
  </threadedComment>
  <threadedComment ref="AM571" dT="2024-04-14T14:58:47.34" personId="{5FF1EC60-44F1-495B-BD45-E52FC60F1C9C}" id="{F41C9E9A-32F9-4EF3-842B-282A71D81BD3}" parentId="{8F17D196-5A23-4BA3-B117-676BC1A3297F}">
    <text>https://group.softbank/system/files/pdf/ir/financials/financial_reports/financial-report_q1fy2023_01_en.pdf</text>
    <extLst>
      <x:ext xmlns:xltc2="http://schemas.microsoft.com/office/spreadsheetml/2020/threadedcomments2" uri="{F7C98A9C-CBB3-438F-8F68-D28B6AF4A901}">
        <xltc2:checksum>176002441</xltc2:checksum>
        <xltc2:hyperlink startIndex="0" length="107" url="https://group.softbank/system/files/pdf/ir/financials/financial_reports/financial-report_q1fy2023_01_en.pdf"/>
      </x:ext>
    </extLst>
  </threadedComment>
  <threadedComment ref="AN571" dT="2024-04-14T19:33:15.40" personId="{5FF1EC60-44F1-495B-BD45-E52FC60F1C9C}" id="{0FD23251-4F13-4288-A788-45D7AD92B27E}">
    <text>See pg.5 of 2Q23 Consolidated Financial Report: SBG saying 24.99% ARM holding sale value of $16.1bn but due to timing of cash payments through August '25 only recognising $15.1bn at 2Q i.e., we have kept $1bn delta as an "unsold" ARM valuation in our SVF1 modelling.</text>
  </threadedComment>
  <threadedComment ref="AN571" dT="2024-04-14T19:33:19.23" personId="{5FF1EC60-44F1-495B-BD45-E52FC60F1C9C}" id="{8DC3D2E8-76BA-413F-AE44-360AEEE51595}" parentId="{0FD23251-4F13-4288-A788-45D7AD92B27E}">
    <text>https://group.softbank/system/files/pdf/ir/financials/financial_reports/financial-report_q2fy2023_01_en.pdf</text>
    <extLst>
      <x:ext xmlns:xltc2="http://schemas.microsoft.com/office/spreadsheetml/2020/threadedcomments2" uri="{F7C98A9C-CBB3-438F-8F68-D28B6AF4A901}">
        <xltc2:checksum>906578364</xltc2:checksum>
        <xltc2:hyperlink startIndex="0" length="107" url="https://group.softbank/system/files/pdf/ir/financials/financial_reports/financial-report_q2fy2023_01_en.pdf"/>
      </x:ext>
    </extLst>
  </threadedComment>
  <threadedComment ref="AN582" dT="2024-04-14T19:33:15.40" personId="{5FF1EC60-44F1-495B-BD45-E52FC60F1C9C}" id="{76964DFD-57CC-4475-9EC5-D0242E3045DF}">
    <text>See pg.5 of 2Q23 Consolidated Financial Report: SBG saying 24.99% ARM holding sale value of $16.1bn but due to timing of cash payments through August '25 only recognising $15.1bn at 2Q i.e., we have kept $1bn delta as an "unsold" ARM valuation in our SVF1 modelling.</text>
  </threadedComment>
  <threadedComment ref="AN582" dT="2024-04-14T19:33:19.23" personId="{5FF1EC60-44F1-495B-BD45-E52FC60F1C9C}" id="{6A0BA710-CF94-4F6A-B688-F0253DF2135E}" parentId="{76964DFD-57CC-4475-9EC5-D0242E3045DF}">
    <text>https://group.softbank/system/files/pdf/ir/financials/financial_reports/financial-report_q2fy2023_01_en.pdf</text>
    <extLst>
      <x:ext xmlns:xltc2="http://schemas.microsoft.com/office/spreadsheetml/2020/threadedcomments2" uri="{F7C98A9C-CBB3-438F-8F68-D28B6AF4A901}">
        <xltc2:checksum>906578364</xltc2:checksum>
        <xltc2:hyperlink startIndex="0" length="107" url="https://group.softbank/system/files/pdf/ir/financials/financial_reports/financial-report_q2fy2023_01_en.pdf"/>
      </x:ext>
    </extLst>
  </threadedComment>
  <threadedComment ref="K645" dT="2024-03-29T15:07:56.05" personId="{5FF1EC60-44F1-495B-BD45-E52FC60F1C9C}" id="{BBB26540-66B4-487E-87E6-AF9FC5071371}">
    <text>Use pg.23 of 3Q17 Consolidated Financial Report: 3Q is first quarter where SBG starts splitting out Delta Fund (co-invested with Mubadala Investment Company but later absorbed into SVF1, per our understanding) i.e., we are simply aggregating SVF1 plus Delta Fund figures for the purposes of this segment reporting.</text>
  </threadedComment>
  <threadedComment ref="L645" dT="2024-03-29T21:37:50.26" personId="{5FF1EC60-44F1-495B-BD45-E52FC60F1C9C}" id="{4B960F8C-F718-44BC-B727-B6ED1EBE26EC}">
    <text>Use pg.24 of 4Q17 Consolidated Financial Report. SBG reporting both SVF1 and Delta Fund figures: given Delta Fund later merged into SVF1 (per our understanding), we are simply aggregating SVF1 plus Delta Fund figures for the purposes of this segment reporting.</text>
  </threadedComment>
  <threadedComment ref="N645" dT="2024-03-29T21:37:50.26" personId="{5FF1EC60-44F1-495B-BD45-E52FC60F1C9C}" id="{2F8A6E80-672B-4D9A-B2BE-2680F16D067E}">
    <text>Use pg.20 of 1Q18 Consolidated Financial Report. SBG reporting both SVF1 and Delta Fund figures: given Delta Fund later merged into SVF1 (per our understanding), we are simply aggregating SVF1 plus Delta Fund figures for the purposes of this segment reporting.</text>
  </threadedComment>
  <threadedComment ref="O645" dT="2024-03-29T21:37:50.26" personId="{5FF1EC60-44F1-495B-BD45-E52FC60F1C9C}" id="{99FE2579-F83E-4446-97BB-2BBA7C3F5725}">
    <text>Use pg.21 of 2Q18 Consolidated Financial Report. SBG reporting both SVF1 and Delta Fund figures: given Delta Fund later merged into SVF1 (per our understanding), we are simply aggregating SVF1 plus Delta Fund figures for the purposes of this segment reporting.</text>
  </threadedComment>
  <threadedComment ref="M652" dT="2024-03-30T10:32:28.99" personId="{5FF1EC60-44F1-495B-BD45-E52FC60F1C9C}" id="{58BA8892-738F-4A68-A45F-3515152ECB0F}">
    <text>SBG disclosure on SVF Ordinary vs. Preferred equity is poor. FT article on SVF1 capital structure is useful: link below. IR gives $40bn Preferred equity figure with regards to the balance of Total committed capital: see email chain with Sayaka but structure provided by IR gives $98.6bn committed capital figure but assume delta of $98.6bn vs. $97.7bn is driven by Ordinary equity and the $40bn Preferred equity figure remains fixed. Methodology: then feed all %'s of capital structure off $40bn Preferred equity figure.</text>
  </threadedComment>
  <threadedComment ref="M652" dT="2024-03-30T10:33:06.71" personId="{5FF1EC60-44F1-495B-BD45-E52FC60F1C9C}" id="{C6BF58A2-D35F-496B-A87B-AF2FDF1417E2}" parentId="{58BA8892-738F-4A68-A45F-3515152ECB0F}">
    <text>FT article: https://www.ft.com/content/b6fe313a-4add-11e7-a3f4-c742b9791d43</text>
    <extLst>
      <x:ext xmlns:xltc2="http://schemas.microsoft.com/office/spreadsheetml/2020/threadedcomments2" uri="{F7C98A9C-CBB3-438F-8F68-D28B6AF4A901}">
        <xltc2:checksum>1561044333</xltc2:checksum>
        <xltc2:hyperlink startIndex="12" length="63" url="https://www.ft.com/content/b6fe313a-4add-11e7-a3f4-c742b9791d43"/>
      </x:ext>
    </extLst>
  </threadedComment>
  <threadedComment ref="AN685" dT="2024-07-22T11:55:59.40" personId="{5FF1EC60-44F1-495B-BD45-E52FC60F1C9C}" id="{798A5EF6-CE9D-481C-AB2F-3D769AFE4B7A}">
    <text>Remember: why do we add "total" Arm receivable back to SVF1 reported NAV. "SVF1 total fair value $m" excludes Arm receivable (as considered to be already monetised/exited) but "Third-party minority interests $m" includes the portion of Arm receivable belonging to third-party investors i.e., theoretically should add "PV of future Arm receivable" to "SVF1 total fair value" before deducting "Third-party minority interests" to make the calculation intuitive.</text>
  </threadedComment>
  <threadedComment ref="J707" dT="2024-03-23T11:35:03.23" personId="{5FF1EC60-44F1-495B-BD45-E52FC60F1C9C}" id="{3923EBE4-3FDA-4B58-8AC4-48DA7B9838A7}">
    <text>See pg.21 of 2Q17 Consolidated financial report: $3.8bn ARM shares plus $3.6bn DiDi share contributed.</text>
  </threadedComment>
  <threadedComment ref="Q722" dT="2024-04-05T12:11:31.67" personId="{5FF1EC60-44F1-495B-BD45-E52FC60F1C9C}" id="{FDB93FD7-B0AD-4E9B-9AC9-E9463585C943}">
    <text>See pg.25-27 of 4Q18 Consolidated Financial Report: has details of SVF1's DiDi transactions with Delta Fund and SBG. SVF1 ends FY18 with $11.8bn DiDi investment.</text>
  </threadedComment>
  <threadedComment ref="J725" dT="2024-04-03T10:51:59.27" personId="{5FF1EC60-44F1-495B-BD45-E52FC60F1C9C}" id="{8112A252-3367-4EE2-BACA-F4C026823EC9}">
    <text>See pg.21 of 2Q17 Consolidated Financial Report: includes $3.6bn of investments in WeWork and OSIsoft held at Group but agreed to be transferred to SVF.</text>
  </threadedComment>
  <threadedComment ref="K725" dT="2024-04-03T10:57:09.37" personId="{5FF1EC60-44F1-495B-BD45-E52FC60F1C9C}" id="{BA91FC6A-DD06-4CD9-AC36-A8B5E54CC36B}">
    <text>See pg.24 of 3Q17 Consolidated Financial Report: includes $100m of investments held at Group but agreed to be transferred to SVF.</text>
  </threadedComment>
  <threadedComment ref="N725" dT="2024-04-03T10:57:09.37" personId="{5FF1EC60-44F1-495B-BD45-E52FC60F1C9C}" id="{F291271E-D935-492E-98C7-0921DB85C3ED}">
    <text>See pg.22 of 1Q18 Consolidated Financial Report: during 1Q18 SBG were separating SVF1 and Delta Fund reporting but (per our understanding) these funds later combined so we have aggregated all figures in historics.</text>
  </threadedComment>
  <threadedComment ref="O725" dT="2024-04-03T10:57:09.37" personId="{5FF1EC60-44F1-495B-BD45-E52FC60F1C9C}" id="{3BB891F0-E050-4CB3-AAFC-B4DB6FE2C385}">
    <text>See pg.24 of 2Q18 Consolidated Financial Report: during 2Q18 SBG were separating SVF1 and Delta Fund reporting but (per our understanding) these funds later combined so we have aggregated all figures in historics.</text>
  </threadedComment>
  <threadedComment ref="P725" dT="2024-04-03T10:57:09.37" personId="{5FF1EC60-44F1-495B-BD45-E52FC60F1C9C}" id="{1AFB8A25-D15C-4E03-8719-0B7ED9AE550D}">
    <text>See pg.22-24 of 3Q18 Consolidated Financial Report: during 3Q18 SBG were separating SVF1 and Delta Fund reporting but (per our understanding) these funds later combined so we have aggregated all figures in historics.</text>
  </threadedComment>
  <threadedComment ref="J726" dT="2024-04-03T10:51:59.27" personId="{5FF1EC60-44F1-495B-BD45-E52FC60F1C9C}" id="{89460835-C989-4CDF-92CD-2136A0880625}">
    <text>See pg.21 of 2Q17 Consolidated Financial Report: includes $3.6bn of investments in WeWork and OSIsoft held at Group but agreed to be transferred to SVF.</text>
  </threadedComment>
  <threadedComment ref="K726" dT="2024-04-03T10:57:09.37" personId="{5FF1EC60-44F1-495B-BD45-E52FC60F1C9C}" id="{3B51921F-FD81-4954-B5CF-220D55372A3A}">
    <text>See pg.24 of 3Q17 Consolidated Financial Report: includes $100m of investments held at Group but agreed to be transferred to SVF.</text>
  </threadedComment>
  <threadedComment ref="N726" dT="2024-04-03T10:57:09.37" personId="{5FF1EC60-44F1-495B-BD45-E52FC60F1C9C}" id="{BFDF0657-9AD6-451B-8E41-7F93F239303C}">
    <text>See pg.22 of 1Q18 Consolidated Financial Report: during 1Q18 SBG were separating SVF1 and Delta Fund reporting but (per our understanding) these funds later combined so we have aggregated all figures in historics.</text>
  </threadedComment>
  <threadedComment ref="O726" dT="2024-04-03T10:57:09.37" personId="{5FF1EC60-44F1-495B-BD45-E52FC60F1C9C}" id="{E13AF647-78F8-41A3-BE2E-2D1C3FA673E7}">
    <text>See pg.24 of 2Q18 Consolidated Financial Report: during 2Q18 SBG were separating SVF1 and Delta Fund reporting but (per our understanding) these funds later combined so we have aggregated all figures in historics.</text>
  </threadedComment>
  <threadedComment ref="P726" dT="2024-04-03T10:57:09.37" personId="{5FF1EC60-44F1-495B-BD45-E52FC60F1C9C}" id="{C32DBF35-E2E0-4AA4-9FBF-D29D3A0885DB}">
    <text>See pg.22-24 of 3Q18 Consolidated Financial Report: during 3Q18 SBG were separating SVF1 and Delta Fund reporting but (per our understanding) these funds later combined so we have aggregated all figures in historics.</text>
  </threadedComment>
  <threadedComment ref="V728" dT="2024-04-23T15:32:59.68" personId="{5FF1EC60-44F1-495B-BD45-E52FC60F1C9C}" id="{CCCAE25F-F5CB-4D84-96E7-09A14DDBEAE6}">
    <text>Using more complete SBG disclosures we can more accurately estimate SVF1's periodic return: we know amount of capital coming in during period from "Cumulative investment cost" and we know the amount of capital distributed from/taken out of SVF1 during period from periodic delta on Distributions.</text>
  </threadedComment>
  <threadedComment ref="T761" dT="2024-04-07T14:34:45.40" personId="{5FF1EC60-44F1-495B-BD45-E52FC60F1C9C}" id="{A2FD3459-8FEC-427A-BCE8-40281E680377}">
    <text>See slide 16 of SVF1 1Q19 update: $4.1bn Portfolio financing facility effective from 25th July '19. https://group.softbank/system/files/pdf/ir/presentations/2019/investor-svf_q1fy2019_01_en.pdf</text>
    <extLst>
      <x:ext xmlns:xltc2="http://schemas.microsoft.com/office/spreadsheetml/2020/threadedcomments2" uri="{F7C98A9C-CBB3-438F-8F68-D28B6AF4A901}">
        <xltc2:checksum>2148782499</xltc2:checksum>
        <xltc2:hyperlink startIndex="100" length="93" url="https://group.softbank/system/files/pdf/ir/presentations/2019/investor-svf_q1fy2019_01_en.pdf"/>
      </x:ext>
    </extLst>
  </threadedComment>
  <threadedComment ref="W761" dT="2024-04-07T14:34:45.40" personId="{5FF1EC60-44F1-495B-BD45-E52FC60F1C9C}" id="{86C72033-5763-48BF-BE41-B359B8737319}">
    <text>See slide 17 of SVF1 4Q19 update: now saying original Portfolio facility only $3.1bn but increased to $3.4bn in March '20. https://group.softbank/system/files/pdf/ir/presentations/2019/investor-svf_q4fy2019_01_en.pdf</text>
    <extLst>
      <x:ext xmlns:xltc2="http://schemas.microsoft.com/office/spreadsheetml/2020/threadedcomments2" uri="{F7C98A9C-CBB3-438F-8F68-D28B6AF4A901}">
        <xltc2:checksum>400027640</xltc2:checksum>
        <xltc2:hyperlink startIndex="123" length="93" url="https://group.softbank/system/files/pdf/ir/presentations/2019/investor-svf_q4fy2019_01_en.pdf"/>
      </x:ext>
    </extLst>
  </threadedComment>
  <threadedComment ref="A790" dT="2024-04-10T14:10:52.78" personId="{5FF1EC60-44F1-495B-BD45-E52FC60F1C9C}" id="{950D46EC-7E7F-4C1F-9306-147C83F66745}">
    <text>See pg.20 of 2Q21 Consolidated Financial Report for explanation &amp; general capital structure of SVF II following agreement with MgmtCo: SVF II investments publicly listed (i.e., IPO'd) prior to 23rd June '21 or those which have applied for IPO at the same date plus Board-selected privately held companies would continue to be owned as 100% Ordinary equity by SBG via SVF II.</text>
  </threadedComment>
  <threadedComment ref="AD790" dT="2024-04-10T14:21:52.93" personId="{5FF1EC60-44F1-495B-BD45-E52FC60F1C9C}" id="{BB84523F-774A-4988-8E62-B678D8CC17D5}">
    <text>See pg.19-21 of 1Q21 Consolidated Financial Report: at June '21 SVF II had 7 publicly listed investments with acquisition cost of $2.5bn and fair value of $5.8bn: we know these would have been part of the carve out in the agreement with MgmtCo but unclear the extent of privately held investments carved out as $2.5bn acquisition cost for publicly held investments would only have required $2.5bn committed capital.</text>
  </threadedComment>
  <threadedComment ref="AD790" dT="2024-04-10T14:24:06.49" personId="{5FF1EC60-44F1-495B-BD45-E52FC60F1C9C}" id="{AB454585-BA03-458E-A47D-804F8BC3C2D5}" parentId="{BB84523F-774A-4988-8E62-B678D8CC17D5}">
    <text>Question: vs. 7 publicly listed investments of SVF II at June '21/end 1Q21 we have $5.2bn of "missing" Contributed capital or carved out Ordinary equity.</text>
  </threadedComment>
  <threadedComment ref="AE888" dT="2024-04-23T15:32:59.68" personId="{5FF1EC60-44F1-495B-BD45-E52FC60F1C9C}" id="{44B5E4A7-144B-4E11-8EC4-765E6FDB8514}">
    <text>Using more complete SBG disclosures we can more accurately estimate SVF1's periodic return: we know amount of capital coming in during period from "Cumulative investment cost" and we know the amount of capital distributed from/taken out of SVF1 during period from periodic delta on Distributions.</text>
  </threadedComment>
</ThreadedComments>
</file>

<file path=xl/threadedComments/threadedComment6.xml><?xml version="1.0" encoding="utf-8"?>
<ThreadedComments xmlns="http://schemas.microsoft.com/office/spreadsheetml/2018/threadedcomments" xmlns:x="http://schemas.openxmlformats.org/spreadsheetml/2006/main">
  <threadedComment ref="AR82" dT="2024-07-17T13:07:24.92" personId="{5FF1EC60-44F1-495B-BD45-E52FC60F1C9C}" id="{7321C0DD-3ABB-4B97-9383-A3E56D8BE10F}">
    <text>View Inc. entered Chapter 11 restructuring during April '24: https://investors.view.com/news-releases/news-release-details/view-inc-reaches-agreement-cantor-fitzgerald-and-rxr-become.</text>
    <extLst>
      <x:ext xmlns:xltc2="http://schemas.microsoft.com/office/spreadsheetml/2020/threadedcomments2" uri="{F7C98A9C-CBB3-438F-8F68-D28B6AF4A901}">
        <xltc2:checksum>417317079</xltc2:checksum>
        <xltc2:hyperlink startIndex="61" length="121" url="https://investors.view.com/news-releases/news-release-details/view-inc-reaches-agreement-cantor-fitzgerald-and-rxr-become"/>
      </x:ext>
    </extLst>
  </threadedComment>
  <threadedComment ref="AO129" dT="2024-04-23T14:32:33.71" personId="{5FF1EC60-44F1-495B-BD45-E52FC60F1C9C}" id="{BE4AFEA4-CDC2-45FB-94B0-00A76CA7413A}">
    <text>Per pre-initiation catch-up with IR in April '24: said latest periodic valuation for ByteDance equity stake is "around $11bn" which is based on SBIA's est. valuation not the employee buyback implied valuation of $160 per share/$268bn as at December '23 (see FT article below from April '24 on employee buyback programme &amp; December '23 valuation). SBG says that &lt;10% of their estimated valuation is attributable to TikTok US.</text>
  </threadedComment>
  <threadedComment ref="AO129" dT="2024-04-23T14:32:46.65" personId="{5FF1EC60-44F1-495B-BD45-E52FC60F1C9C}" id="{8B9F7FB0-B01D-44EE-BACD-4A5C22038690}" parentId="{BE4AFEA4-CDC2-45FB-94B0-00A76CA7413A}">
    <text>https://www.ft.com/content/540985a4-6c20-4fac-b38b-52dd59d5f543</text>
    <extLst>
      <x:ext xmlns:xltc2="http://schemas.microsoft.com/office/spreadsheetml/2020/threadedcomments2" uri="{F7C98A9C-CBB3-438F-8F68-D28B6AF4A901}">
        <xltc2:checksum>2869724191</xltc2:checksum>
        <xltc2:hyperlink startIndex="0" length="63" url="https://www.ft.com/content/540985a4-6c20-4fac-b38b-52dd59d5f543"/>
      </x:ext>
    </extLst>
  </threadedComment>
  <threadedComment ref="AO129" dT="2024-04-23T14:39:23.22" personId="{5FF1EC60-44F1-495B-BD45-E52FC60F1C9C}" id="{49EC8BBA-A0EB-4F23-9B63-63DF9565E6FE}" parentId="{BE4AFEA4-CDC2-45FB-94B0-00A76CA7413A}">
    <text>SBG est. ordinary equity stake: 3%-3.25%: per BBG article in October '18 SBG led a $3bn funding round at a $75bn valuation with SBG reportedly putting in $1.8bn i.e., taking a 2.4% equity stake (see BBG article below). Per SBG IR comments, SBG had already put a smaller amount of capital (we assume $700m given total acquisition cost of $2.5bn) which we reckon would have given SBG an initial 75bps-100bps position in ByteDance.</text>
  </threadedComment>
  <threadedComment ref="AO129" dT="2024-04-23T14:39:32.62" personId="{5FF1EC60-44F1-495B-BD45-E52FC60F1C9C}" id="{978A3D54-7804-4A7A-B88D-BE7354B2A334}" parentId="{BE4AFEA4-CDC2-45FB-94B0-00A76CA7413A}">
    <text>https://www.bloomberg.com/news/articles/2018-10-26/bytedance-is-said-to-secure-funding-at-record-75-billion-value?embedded-checkout=true</text>
    <extLst>
      <x:ext xmlns:xltc2="http://schemas.microsoft.com/office/spreadsheetml/2020/threadedcomments2" uri="{F7C98A9C-CBB3-438F-8F68-D28B6AF4A901}">
        <xltc2:checksum>1317528520</xltc2:checksum>
        <xltc2:hyperlink startIndex="0" length="136" url="https://www.bloomberg.com/news/articles/2018-10-26/bytedance-is-said-to-secure-funding-at-record-75-billion-value?embedded-checkout=true"/>
      </x:ext>
    </extLst>
  </threadedComment>
  <threadedComment ref="AO129" dT="2024-04-23T14:41:56.76" personId="{5FF1EC60-44F1-495B-BD45-E52FC60F1C9C}" id="{81DB5D08-6476-449E-914D-EAA16F029191}" parentId="{BE4AFEA4-CDC2-45FB-94B0-00A76CA7413A}">
    <text>3% equity stake: around $365bn valuation on SBIA discounted cashflow.
3.25% equity stake: around $340bn valuation on SBIA discounted cashflow.
i.e., both at a premium to $176 per share/$295bn valuation reported in April '24 FT article: https://www.ft.com/content/540985a4-6c20-4fac-b38b-52dd59d5f543.</text>
    <extLst>
      <x:ext xmlns:xltc2="http://schemas.microsoft.com/office/spreadsheetml/2020/threadedcomments2" uri="{F7C98A9C-CBB3-438F-8F68-D28B6AF4A901}">
        <xltc2:checksum>2692307774</xltc2:checksum>
        <xltc2:hyperlink startIndex="236" length="63" url="https://www.ft.com/content/540985a4-6c20-4fac-b38b-52dd59d5f543"/>
      </x:ext>
    </extLst>
  </threadedComment>
  <threadedComment ref="AR129" dT="2024-08-07T15:15:47.30" personId="{5FF1EC60-44F1-495B-BD45-E52FC60F1C9C}" id="{01003E30-4F6B-4C72-ABB2-34CC647BACD6}">
    <text>See pg.14 of F1Q24 Financial Report: SBG saying SVF1 private portfolio companies gain "primarily driven by the markup of ByteDance" and "partially offset" by markdowns of other private companies.</text>
  </threadedComment>
  <threadedComment ref="AR129" dT="2024-08-07T15:15:50.66" personId="{5FF1EC60-44F1-495B-BD45-E52FC60F1C9C}" id="{6DC9004F-54F1-4F6B-9E03-93BBB8C80D3D}" parentId="{01003E30-4F6B-4C72-ABB2-34CC647BACD6}">
    <text>https://group.softbank/system/files/pdf/ir/financials/financial_reports/financial-report_q1fy2024_01_en.pdf</text>
    <extLst>
      <x:ext xmlns:xltc2="http://schemas.microsoft.com/office/spreadsheetml/2020/threadedcomments2" uri="{F7C98A9C-CBB3-438F-8F68-D28B6AF4A901}">
        <xltc2:checksum>2894443707</xltc2:checksum>
        <xltc2:hyperlink startIndex="0" length="107" url="https://group.softbank/system/files/pdf/ir/financials/financial_reports/financial-report_q1fy2024_01_en.pdf"/>
      </x:ext>
    </extLst>
  </threadedComment>
  <threadedComment ref="AU129" dT="2025-11-12T11:11:45.69" personId="{5FF1EC60-44F1-495B-BD45-E52FC60F1C9C}" id="{6DA22BAC-43F1-4D9B-BA3F-B04FA638F171}">
    <text>See pg.9 of F4Q24 Financial Report: SBG saying SVF1 private portfolio companies gain "mainly led by an increase in the fair value of Bytedance Ltd.".</text>
  </threadedComment>
  <threadedComment ref="AU129" dT="2025-11-12T11:11:56.75" personId="{5FF1EC60-44F1-495B-BD45-E52FC60F1C9C}" id="{819034D7-83D4-428D-B6AC-522D73F14BA6}" parentId="{6DA22BAC-43F1-4D9B-BA3F-B04FA638F171}">
    <text>https://group.softbank/media/Project/sbg/sbg/pdf/ir/financials/financial_reports/financial-report_q4fy2024_01_en.pdf</text>
    <extLst>
      <x:ext xmlns:xltc2="http://schemas.microsoft.com/office/spreadsheetml/2020/threadedcomments2" uri="{F7C98A9C-CBB3-438F-8F68-D28B6AF4A901}">
        <xltc2:checksum>4129445384</xltc2:checksum>
        <xltc2:hyperlink startIndex="0" length="116" url="https://group.softbank/media/Project/sbg/sbg/pdf/ir/financials/financial_reports/financial-report_q4fy2024_01_en.pdf"/>
      </x:ext>
    </extLst>
  </threadedComment>
  <threadedComment ref="AX129" dT="2025-07-02T16:44:06.33" personId="{5FF1EC60-44F1-495B-BD45-E52FC60F1C9C}" id="{6D9CB39F-AE8C-4C49-9025-5B20DDA52F81}">
    <text>IR confirmed that ByteDance valuation written-up again in F2Q: pg.8 of F2Q Vision Funds presentation references performance of Alibaba (+58%) and Tencent (+32%) and we assume +20% for ByteDance private mark.</text>
  </threadedComment>
  <threadedComment ref="AX129" dT="2025-11-19T15:41:24.82" personId="{5FF1EC60-44F1-495B-BD45-E52FC60F1C9C}" id="{46A9A17A-9571-4C6A-AC7F-209376AD47BC}" parentId="{6D9CB39F-AE8C-4C49-9025-5B20DDA52F81}">
    <text>https://group.softbank/media/Project/sbg/sbg/pdf/ir/presentations/2025/investor-svf_q2fy2025_01_en.pdf</text>
    <extLst>
      <x:ext xmlns:xltc2="http://schemas.microsoft.com/office/spreadsheetml/2020/threadedcomments2" uri="{F7C98A9C-CBB3-438F-8F68-D28B6AF4A901}">
        <xltc2:checksum>98183824</xltc2:checksum>
        <xltc2:hyperlink startIndex="0" length="102" url="https://group.softbank/media/Project/sbg/sbg/pdf/ir/presentations/2025/investor-svf_q2fy2025_01_en.pdf"/>
      </x:ext>
    </extLst>
  </threadedComment>
  <threadedComment ref="AY129" dT="2025-07-02T16:44:06.33" personId="{5FF1EC60-44F1-495B-BD45-E52FC60F1C9C}" id="{F29BABA9-47C9-4141-A7E3-A0163749FF84}">
    <text>ByteDance investment marked down in F3Q per pg.6 of Vision Funds presentation: previous quarter slides referenced performance of Alibaba (-18% in F3Q) and Tencent (-10% in F3Q) and we assume -15% for ByteDance private mark.</text>
  </threadedComment>
  <threadedComment ref="AS130" dT="2024-07-18T08:26:13.97" personId="{5FF1EC60-44F1-495B-BD45-E52FC60F1C9C}" id="{EFA9E311-57B1-4812-BC5D-6AF46D1CE1A5}">
    <text>https://www.reuters.com/world/india/softbank-backed-oyo-withdraws-ipo-papers-second-time-2024-05-22/</text>
    <extLst>
      <x:ext xmlns:xltc2="http://schemas.microsoft.com/office/spreadsheetml/2020/threadedcomments2" uri="{F7C98A9C-CBB3-438F-8F68-D28B6AF4A901}">
        <xltc2:checksum>3327016378</xltc2:checksum>
        <xltc2:hyperlink startIndex="0" length="100" url="https://www.reuters.com/world/india/softbank-backed-oyo-withdraws-ipo-papers-second-time-2024-05-22/"/>
      </x:ext>
    </extLst>
  </threadedComment>
  <threadedComment ref="AS130" dT="2024-07-18T08:26:19.98" personId="{5FF1EC60-44F1-495B-BD45-E52FC60F1C9C}" id="{437EE98D-99A5-40F4-81DF-476D04D9743F}" parentId="{EFA9E311-57B1-4812-BC5D-6AF46D1CE1A5}">
    <text>https://economictimes.indiatimes.com/tech/technology/oyo-withdraws-ipo-application-opts-for-private-funding-in-downround/articleshow/110332846.cms?from=mdr</text>
    <extLst>
      <x:ext xmlns:xltc2="http://schemas.microsoft.com/office/spreadsheetml/2020/threadedcomments2" uri="{F7C98A9C-CBB3-438F-8F68-D28B6AF4A901}">
        <xltc2:checksum>177923430</xltc2:checksum>
        <xltc2:hyperlink startIndex="0" length="155" url="https://economictimes.indiatimes.com/tech/technology/oyo-withdraws-ipo-application-opts-for-private-funding-in-downround/articleshow/110332846.cms?from=mdr"/>
      </x:ext>
    </extLst>
  </threadedComment>
  <threadedComment ref="AO132" dT="2025-11-05T12:23:41.42" personId="{5FF1EC60-44F1-495B-BD45-E52FC60F1C9C}" id="{23142D6D-384F-46DC-9115-A5E9B4939503}">
    <text>Per tracxn: Nuro valuation hit $8.6bn at Nov. ‘21 Series D funding round and we assume SVF co-invested to prevent equity dilution up to this point.</text>
  </threadedComment>
  <threadedComment ref="AO132" dT="2025-11-05T12:23:45.83" personId="{5FF1EC60-44F1-495B-BD45-E52FC60F1C9C}" id="{9B60F32E-C240-46C7-A9CD-BC0199A44423}" parentId="{23142D6D-384F-46DC-9115-A5E9B4939503}">
    <text>https://tracxn.com/d/companies/nuro/__kZIHQ5O-_3IZyro8NW7D_MgT95dHsu-fp13xeGHsKLE/funding-and-investors#funding-rounds</text>
    <extLst>
      <x:ext xmlns:xltc2="http://schemas.microsoft.com/office/spreadsheetml/2020/threadedcomments2" uri="{F7C98A9C-CBB3-438F-8F68-D28B6AF4A901}">
        <xltc2:checksum>2861065985</xltc2:checksum>
        <xltc2:hyperlink startIndex="0" length="118" url="https://tracxn.com/d/companies/nuro/__kZIHQ5O-_3IZyro8NW7D_MgT95dHsu-fp13xeGHsKLE/funding-and-investors#funding-rounds"/>
      </x:ext>
    </extLst>
  </threadedComment>
  <threadedComment ref="AW132" dT="2025-11-05T12:25:10.00" personId="{5FF1EC60-44F1-495B-BD45-E52FC60F1C9C}" id="{95CAEFE3-F70F-4875-82C2-FE0BBD029CCD}">
    <text>Per Nuro press release: $106m Series E funding round valuing Nuro at $6bn all-in valuation in Apr. ‘25.</text>
  </threadedComment>
  <threadedComment ref="AW132" dT="2025-11-05T12:25:14.83" personId="{5FF1EC60-44F1-495B-BD45-E52FC60F1C9C}" id="{A5AD1F61-555D-40FA-A9A3-D7F6CE11EA4E}" parentId="{95CAEFE3-F70F-4875-82C2-FE0BBD029CCD}">
    <text>https://www.prnewswire.com/news-releases/nuro-announces-series-e-financing-at-6b-valuation-backed-by-leading-financial-and-strategic-investors-302424082.html?utm_source=chatgpt.com</text>
    <extLst>
      <x:ext xmlns:xltc2="http://schemas.microsoft.com/office/spreadsheetml/2020/threadedcomments2" uri="{F7C98A9C-CBB3-438F-8F68-D28B6AF4A901}">
        <xltc2:checksum>1469855166</xltc2:checksum>
        <xltc2:hyperlink startIndex="0" length="180" url="https://www.prnewswire.com/news-releases/nuro-announces-series-e-financing-at-6b-valuation-backed-by-leading-financial-and-strategic-investors-302424082.html?utm_source=chatgpt.com"/>
      </x:ext>
    </extLst>
  </threadedComment>
  <threadedComment ref="AX132" dT="2026-02-12T16:43:46.48" personId="{5FF1EC60-44F1-495B-BD45-E52FC60F1C9C}" id="{ECB36F22-CBA8-45C8-A86D-15B88427AA95}">
    <text>https://www.nuro.ai/blog/nuro-closes-203-million-series-e-financing-to-advance-its-ai-first-self-driving-technology-and-commercial-partnerships</text>
    <extLst>
      <x:ext xmlns:xltc2="http://schemas.microsoft.com/office/spreadsheetml/2020/threadedcomments2" uri="{F7C98A9C-CBB3-438F-8F68-D28B6AF4A901}">
        <xltc2:checksum>1213691245</xltc2:checksum>
        <xltc2:hyperlink startIndex="0" length="143" url="https://www.nuro.ai/blog/nuro-closes-203-million-series-e-financing-to-advance-its-ai-first-self-driving-technology-and-commercial-partnerships"/>
      </x:ext>
    </extLst>
  </threadedComment>
  <threadedComment ref="AO148" dT="2025-11-05T12:20:49.78" personId="{5FF1EC60-44F1-495B-BD45-E52FC60F1C9C}" id="{5794C71F-0844-4675-A279-78DECA881393}">
    <text>Per Wall Street Journal: SVF1 invested $940m in Nuro Inc. in Feb. ‘19 at $2.7bn valuation (Series B). Tracxn then reports that SVF participated in $500m Series C and $600m Series D funding rounds in Nov. ‘20 and Nov. ‘21: we assume $100m participation by SVF1 at Series C and Series D funding rounds, simplistically in order to prevent any equity dilution.</text>
  </threadedComment>
  <threadedComment ref="AO148" dT="2025-11-05T12:21:31.27" personId="{5FF1EC60-44F1-495B-BD45-E52FC60F1C9C}" id="{04722763-AF9C-4A24-9284-911D33BB7028}" parentId="{5794C71F-0844-4675-A279-78DECA881393}">
    <text>https://www.wsj.com/articles/softbank-invests-940-million-in-nuro-for-driverless-deliveries-11549893721</text>
    <extLst>
      <x:ext xmlns:xltc2="http://schemas.microsoft.com/office/spreadsheetml/2020/threadedcomments2" uri="{F7C98A9C-CBB3-438F-8F68-D28B6AF4A901}">
        <xltc2:checksum>1601288413</xltc2:checksum>
        <xltc2:hyperlink startIndex="0" length="103" url="https://www.wsj.com/articles/softbank-invests-940-million-in-nuro-for-driverless-deliveries-11549893721"/>
      </x:ext>
    </extLst>
  </threadedComment>
  <threadedComment ref="AO148" dT="2025-11-05T12:21:46.20" personId="{5FF1EC60-44F1-495B-BD45-E52FC60F1C9C}" id="{2DA0AD29-4E7D-4F0D-92BF-E25AA1B9B176}" parentId="{5794C71F-0844-4675-A279-78DECA881393}">
    <text>https://tracxn.com/d/companies/nuro/__kZIHQ5O-_3IZyro8NW7D_MgT95dHsu-fp13xeGHsKLE/funding-and-investors#funding-rounds</text>
    <extLst>
      <x:ext xmlns:xltc2="http://schemas.microsoft.com/office/spreadsheetml/2020/threadedcomments2" uri="{F7C98A9C-CBB3-438F-8F68-D28B6AF4A901}">
        <xltc2:checksum>2861065985</xltc2:checksum>
        <xltc2:hyperlink startIndex="0" length="118" url="https://tracxn.com/d/companies/nuro/__kZIHQ5O-_3IZyro8NW7D_MgT95dHsu-fp13xeGHsKLE/funding-and-investors#funding-rounds"/>
      </x:ext>
    </extLst>
  </threadedComment>
  <threadedComment ref="AO148" dT="2025-11-05T12:25:48.82" personId="{5FF1EC60-44F1-495B-BD45-E52FC60F1C9C}" id="{E528B804-D7FE-4609-B8FA-ABC0D9A40861}" parentId="{5794C71F-0844-4675-A279-78DECA881393}">
    <text>https://www.globenewswire.com/news-release/2019/02/11/1716644/0/en/Nuro-Raises-Close-to-1-Billion-from-the-SoftBank-Vision-Fund-to-Transform-Local-Commerce-Through-Self-Driving.html?utm_source=chatgpt.com</text>
    <extLst>
      <x:ext xmlns:xltc2="http://schemas.microsoft.com/office/spreadsheetml/2020/threadedcomments2" uri="{F7C98A9C-CBB3-438F-8F68-D28B6AF4A901}">
        <xltc2:checksum>1239386636</xltc2:checksum>
        <xltc2:hyperlink startIndex="0" length="204" url="https://www.globenewswire.com/news-release/2019/02/11/1716644/0/en/Nuro-Raises-Close-to-1-Billion-from-the-SoftBank-Vision-Fund-to-Transform-Local-Commerce-Through-Self-Driving.html?utm_source=chatgpt.com"/>
      </x:ext>
    </extLst>
  </threadedComment>
  <threadedComment ref="AR162" dT="2025-07-02T16:24:32.84" personId="{5FF1EC60-44F1-495B-BD45-E52FC60F1C9C}" id="{4D16C1BC-D2E2-4F22-8A6D-199897523C2C}">
    <text>F1Q24 earnings report: ByteDance markup “reflecting share price increases among its market comparable companies and its strong performance”.
Meta: +3.8%
Tencent: +22.6%
Kuaishou Technology: -5.9%
Alibaba: -0.5%
JD.com: -5.7%</text>
  </threadedComment>
  <threadedComment ref="AU162" dT="2025-07-02T16:44:06.33" personId="{5FF1EC60-44F1-495B-BD45-E52FC60F1C9C}" id="{11EEFF27-385B-4049-98E4-3827A1E84EB4}">
    <text>F4Q24 earnings report: ByteDance markup “reflecting higher share prices of market comparable companies and its stronger business performance”.
Meta: -1.6%
Tencent: +19.2%
Kuaishou Technology: +31.4%
Alibaba: +55.9%
JD.com: +18.6%</text>
  </threadedComment>
  <threadedComment ref="AX162" dT="2025-07-02T16:44:06.33" personId="{5FF1EC60-44F1-495B-BD45-E52FC60F1C9C}" id="{0DFAB6BF-F030-4896-9382-DC42988945B9}">
    <text>IR confirmed that ByteDance valuation written-up again in F2Q: pg.8 of F2Q Vision Funds presentation references performance of Alibaba (+58%) and Tencent (+32%) and we assume +20% for ByteDance private mark.</text>
  </threadedComment>
  <threadedComment ref="AX162" dT="2025-11-19T15:41:24.82" personId="{5FF1EC60-44F1-495B-BD45-E52FC60F1C9C}" id="{3F4BCFBD-0907-4D95-B069-8C14A5655C86}" parentId="{0DFAB6BF-F030-4896-9382-DC42988945B9}">
    <text>https://group.softbank/media/Project/sbg/sbg/pdf/ir/presentations/2025/investor-svf_q2fy2025_01_en.pdf</text>
    <extLst>
      <x:ext xmlns:xltc2="http://schemas.microsoft.com/office/spreadsheetml/2020/threadedcomments2" uri="{F7C98A9C-CBB3-438F-8F68-D28B6AF4A901}">
        <xltc2:checksum>98183824</xltc2:checksum>
        <xltc2:hyperlink startIndex="0" length="102" url="https://group.softbank/media/Project/sbg/sbg/pdf/ir/presentations/2025/investor-svf_q2fy2025_01_en.pdf"/>
      </x:ext>
    </extLst>
  </threadedComment>
  <threadedComment ref="AY162" dT="2025-07-02T16:44:06.33" personId="{5FF1EC60-44F1-495B-BD45-E52FC60F1C9C}" id="{0767E6EE-A0FA-4F37-81EF-30AE35864695}">
    <text>ByteDance investment marked down in F3Q per pg.6 of Vision Funds presentation: previous quarter slides referenced performance of Alibaba (-18% in F3Q) and Tencent (-10% in F3Q) and we assume -10% for ByteDance private mark.</text>
  </threadedComment>
  <threadedComment ref="AP171" dT="2024-04-18T17:49:38.13" personId="{5FF1EC60-44F1-495B-BD45-E52FC60F1C9C}" id="{4DE789AB-F039-4397-8341-26B96BEC9A3A}">
    <text>Using Schedule 13G for 31st December '23: https://d18rn0p25nwr6d.cloudfront.net/CIK-0001834584/36bc35f9-d040-435f-bc11-852f387eca73.pdf</text>
    <extLst>
      <x:ext xmlns:xltc2="http://schemas.microsoft.com/office/spreadsheetml/2020/threadedcomments2" uri="{F7C98A9C-CBB3-438F-8F68-D28B6AF4A901}">
        <xltc2:checksum>935311209</xltc2:checksum>
        <xltc2:hyperlink startIndex="42" length="93" url="https://d18rn0p25nwr6d.cloudfront.net/CIK-0001834584/36bc35f9-d040-435f-bc11-852f387eca73.pdf"/>
      </x:ext>
    </extLst>
  </threadedComment>
  <threadedComment ref="AP171" dT="2024-04-18T17:57:46.86" personId="{5FF1EC60-44F1-495B-BD45-E52FC60F1C9C}" id="{1C07D090-D833-4E44-8485-E1A5EB9B29C6}" parentId="{4DE789AB-F039-4397-8341-26B96BEC9A3A}">
    <text>Per Form 144 sold 31.6m shares in March '24: https://d18rn0p25nwr6d.cloudfront.net/CIK-0001834584/c6503d36-bf91-4804-9eb1-3babb168c319.pdf</text>
    <extLst>
      <x:ext xmlns:xltc2="http://schemas.microsoft.com/office/spreadsheetml/2020/threadedcomments2" uri="{F7C98A9C-CBB3-438F-8F68-D28B6AF4A901}">
        <xltc2:checksum>3224050708</xltc2:checksum>
        <xltc2:hyperlink startIndex="45" length="93" url="https://d18rn0p25nwr6d.cloudfront.net/CIK-0001834584/c6503d36-bf91-4804-9eb1-3babb168c319.pdf"/>
      </x:ext>
    </extLst>
  </threadedComment>
  <threadedComment ref="AP171" dT="2024-04-18T17:59:25.50" personId="{5FF1EC60-44F1-495B-BD45-E52FC60F1C9C}" id="{A6D4F288-3A20-4414-A317-3A6E71773DCF}" parentId="{4DE789AB-F039-4397-8341-26B96BEC9A3A}">
    <text>Per Form 144 sold a further 15m shares in March '24: https://d18rn0p25nwr6d.cloudfront.net/CIK-0001834584/4fa3a7b9-4364-4d26-b91b-c0a0ad19919d.pdf</text>
    <extLst>
      <x:ext xmlns:xltc2="http://schemas.microsoft.com/office/spreadsheetml/2020/threadedcomments2" uri="{F7C98A9C-CBB3-438F-8F68-D28B6AF4A901}">
        <xltc2:checksum>3082701795</xltc2:checksum>
        <xltc2:hyperlink startIndex="53" length="93" url="https://d18rn0p25nwr6d.cloudfront.net/CIK-0001834584/4fa3a7b9-4364-4d26-b91b-c0a0ad19919d.pdf"/>
      </x:ext>
    </extLst>
  </threadedComment>
  <threadedComment ref="AP171" dT="2024-04-18T18:04:52.78" personId="{5FF1EC60-44F1-495B-BD45-E52FC60F1C9C}" id="{0A9079CE-641B-47AA-AFF0-DC2C35D06C30}" parentId="{4DE789AB-F039-4397-8341-26B96BEC9A3A}">
    <text>Per Form 4: SVF1 disposed of a total of 46.6m shares during March '24 at weighted average price of $19.20 per share: https://d18rn0p25nwr6d.cloudfront.net/CIK-0001834584/fc1f8b48-d777-4f0d-9fbd-32f7bfb3df99.pdf</text>
    <extLst>
      <x:ext xmlns:xltc2="http://schemas.microsoft.com/office/spreadsheetml/2020/threadedcomments2" uri="{F7C98A9C-CBB3-438F-8F68-D28B6AF4A901}">
        <xltc2:checksum>4207490028</xltc2:checksum>
        <xltc2:hyperlink startIndex="117" length="93" url="https://d18rn0p25nwr6d.cloudfront.net/CIK-0001834584/fc1f8b48-d777-4f0d-9fbd-32f7bfb3df99.pdf"/>
      </x:ext>
    </extLst>
  </threadedComment>
  <threadedComment ref="AW171" dT="2024-04-18T17:49:38.13" personId="{5FF1EC60-44F1-495B-BD45-E52FC60F1C9C}" id="{7C27247A-CF15-443B-B35D-954FFF0D8C4B}">
    <text>Using Schedule 13G for 31st December '23: https://d18rn0p25nwr6d.cloudfront.net/CIK-0001834584/36bc35f9-d040-435f-bc11-852f387eca73.pdf</text>
    <extLst>
      <x:ext xmlns:xltc2="http://schemas.microsoft.com/office/spreadsheetml/2020/threadedcomments2" uri="{F7C98A9C-CBB3-438F-8F68-D28B6AF4A901}">
        <xltc2:checksum>935311209</xltc2:checksum>
        <xltc2:hyperlink startIndex="42" length="93" url="https://d18rn0p25nwr6d.cloudfront.net/CIK-0001834584/36bc35f9-d040-435f-bc11-852f387eca73.pdf"/>
      </x:ext>
    </extLst>
  </threadedComment>
  <threadedComment ref="AW171" dT="2024-04-18T17:57:46.86" personId="{5FF1EC60-44F1-495B-BD45-E52FC60F1C9C}" id="{9DE2D175-CBF8-4341-8F4B-A1D6C39BA8FA}" parentId="{7C27247A-CF15-443B-B35D-954FFF0D8C4B}">
    <text>Per Form 144 sold 31.6m shares in March '24: https://d18rn0p25nwr6d.cloudfront.net/CIK-0001834584/c6503d36-bf91-4804-9eb1-3babb168c319.pdf</text>
    <extLst>
      <x:ext xmlns:xltc2="http://schemas.microsoft.com/office/spreadsheetml/2020/threadedcomments2" uri="{F7C98A9C-CBB3-438F-8F68-D28B6AF4A901}">
        <xltc2:checksum>3224050708</xltc2:checksum>
        <xltc2:hyperlink startIndex="45" length="93" url="https://d18rn0p25nwr6d.cloudfront.net/CIK-0001834584/c6503d36-bf91-4804-9eb1-3babb168c319.pdf"/>
      </x:ext>
    </extLst>
  </threadedComment>
  <threadedComment ref="AW171" dT="2024-04-18T17:59:25.50" personId="{5FF1EC60-44F1-495B-BD45-E52FC60F1C9C}" id="{686345BA-B7E4-4B2D-8F7C-DF9742E56DD9}" parentId="{7C27247A-CF15-443B-B35D-954FFF0D8C4B}">
    <text>Per Form 144 sold a further 15m shares in March '24: https://d18rn0p25nwr6d.cloudfront.net/CIK-0001834584/4fa3a7b9-4364-4d26-b91b-c0a0ad19919d.pdf</text>
    <extLst>
      <x:ext xmlns:xltc2="http://schemas.microsoft.com/office/spreadsheetml/2020/threadedcomments2" uri="{F7C98A9C-CBB3-438F-8F68-D28B6AF4A901}">
        <xltc2:checksum>3082701795</xltc2:checksum>
        <xltc2:hyperlink startIndex="53" length="93" url="https://d18rn0p25nwr6d.cloudfront.net/CIK-0001834584/4fa3a7b9-4364-4d26-b91b-c0a0ad19919d.pdf"/>
      </x:ext>
    </extLst>
  </threadedComment>
  <threadedComment ref="AW171" dT="2024-04-18T18:04:52.78" personId="{5FF1EC60-44F1-495B-BD45-E52FC60F1C9C}" id="{2AD76CE8-5A39-46C2-BB83-CE24181A3C15}" parentId="{7C27247A-CF15-443B-B35D-954FFF0D8C4B}">
    <text>Per Form 4: SVF1 disposed of a total of 46.6m shares during March '24 at weighted average price of $19.20 per share: https://d18rn0p25nwr6d.cloudfront.net/CIK-0001834584/fc1f8b48-d777-4f0d-9fbd-32f7bfb3df99.pdf</text>
    <extLst>
      <x:ext xmlns:xltc2="http://schemas.microsoft.com/office/spreadsheetml/2020/threadedcomments2" uri="{F7C98A9C-CBB3-438F-8F68-D28B6AF4A901}">
        <xltc2:checksum>4207490028</xltc2:checksum>
        <xltc2:hyperlink startIndex="117" length="93" url="https://d18rn0p25nwr6d.cloudfront.net/CIK-0001834584/fc1f8b48-d777-4f0d-9fbd-32f7bfb3df99.pdf"/>
      </x:ext>
    </extLst>
  </threadedComment>
  <threadedComment ref="AW171" dT="2025-02-05T15:23:26.46" personId="{5FF1EC60-44F1-495B-BD45-E52FC60F1C9C}" id="{93E92B60-4A69-4589-9924-252476B4C605}" parentId="{7C27247A-CF15-443B-B35D-954FFF0D8C4B}">
    <text>Using Schedule 13G for 30th September '24: https://d18rn0p25nwr6d.cloudfront.net/CIK-0001834584/bf064a57-5dd1-4073-8374-66b7465879ba.pdf</text>
    <extLst>
      <x:ext xmlns:xltc2="http://schemas.microsoft.com/office/spreadsheetml/2020/threadedcomments2" uri="{F7C98A9C-CBB3-438F-8F68-D28B6AF4A901}">
        <xltc2:checksum>2466352609</xltc2:checksum>
        <xltc2:hyperlink startIndex="43" length="93" url="https://d18rn0p25nwr6d.cloudfront.net/CIK-0001834584/bf064a57-5dd1-4073-8374-66b7465879ba.pdf"/>
      </x:ext>
    </extLst>
  </threadedComment>
  <threadedComment ref="AW171" dT="2025-07-23T10:22:00.82" personId="{5FF1EC60-44F1-495B-BD45-E52FC60F1C9C}" id="{592720B5-22EE-4295-8DBD-F4DA1666C678}" parentId="{7C27247A-CF15-443B-B35D-954FFF0D8C4B}">
    <text>See Form 4’s published in C2Q25: https://d18rn0p25nwr6d.cloudfront.net/CIK-0001834584/4fd815f2-3237-4655-b41a-d7a60f7c2b50.pdf; https://d18rn0p25nwr6d.cloudfront.net/CIK-0001834584/297e398b-f1b6-4af5-82cf-cc0dd2027d7f.pdf.</text>
    <extLst>
      <x:ext xmlns:xltc2="http://schemas.microsoft.com/office/spreadsheetml/2020/threadedcomments2" uri="{F7C98A9C-CBB3-438F-8F68-D28B6AF4A901}">
        <xltc2:checksum>3508655546</xltc2:checksum>
        <xltc2:hyperlink startIndex="33" length="93" url="https://d18rn0p25nwr6d.cloudfront.net/CIK-0001834584/4fd815f2-3237-4655-b41a-d7a60f7c2b50.pdf"/>
        <xltc2:hyperlink startIndex="128" length="93" url="https://d18rn0p25nwr6d.cloudfront.net/CIK-0001834584/297e398b-f1b6-4af5-82cf-cc0dd2027d7f.pdf"/>
      </x:ext>
    </extLst>
  </threadedComment>
  <threadedComment ref="AX171" dT="2024-04-18T17:49:38.13" personId="{5FF1EC60-44F1-495B-BD45-E52FC60F1C9C}" id="{9416A477-0013-4B98-8E03-2AA74BB6ED10}">
    <text>Using Schedule 13G for 31st December '23: https://d18rn0p25nwr6d.cloudfront.net/CIK-0001834584/36bc35f9-d040-435f-bc11-852f387eca73.pdf</text>
    <extLst>
      <x:ext xmlns:xltc2="http://schemas.microsoft.com/office/spreadsheetml/2020/threadedcomments2" uri="{F7C98A9C-CBB3-438F-8F68-D28B6AF4A901}">
        <xltc2:checksum>935311209</xltc2:checksum>
        <xltc2:hyperlink startIndex="42" length="93" url="https://d18rn0p25nwr6d.cloudfront.net/CIK-0001834584/36bc35f9-d040-435f-bc11-852f387eca73.pdf"/>
      </x:ext>
    </extLst>
  </threadedComment>
  <threadedComment ref="AX171" dT="2024-04-18T17:57:46.86" personId="{5FF1EC60-44F1-495B-BD45-E52FC60F1C9C}" id="{5B3A9BDD-2301-4B32-AD05-7934A7ACBDE3}" parentId="{9416A477-0013-4B98-8E03-2AA74BB6ED10}">
    <text>Per Form 144 sold 31.6m shares in March '24: https://d18rn0p25nwr6d.cloudfront.net/CIK-0001834584/c6503d36-bf91-4804-9eb1-3babb168c319.pdf</text>
    <extLst>
      <x:ext xmlns:xltc2="http://schemas.microsoft.com/office/spreadsheetml/2020/threadedcomments2" uri="{F7C98A9C-CBB3-438F-8F68-D28B6AF4A901}">
        <xltc2:checksum>3224050708</xltc2:checksum>
        <xltc2:hyperlink startIndex="45" length="93" url="https://d18rn0p25nwr6d.cloudfront.net/CIK-0001834584/c6503d36-bf91-4804-9eb1-3babb168c319.pdf"/>
      </x:ext>
    </extLst>
  </threadedComment>
  <threadedComment ref="AX171" dT="2024-04-18T17:59:25.50" personId="{5FF1EC60-44F1-495B-BD45-E52FC60F1C9C}" id="{F8F57B61-C792-45BD-9DAE-DF3A656E1226}" parentId="{9416A477-0013-4B98-8E03-2AA74BB6ED10}">
    <text>Per Form 144 sold a further 15m shares in March '24: https://d18rn0p25nwr6d.cloudfront.net/CIK-0001834584/4fa3a7b9-4364-4d26-b91b-c0a0ad19919d.pdf</text>
    <extLst>
      <x:ext xmlns:xltc2="http://schemas.microsoft.com/office/spreadsheetml/2020/threadedcomments2" uri="{F7C98A9C-CBB3-438F-8F68-D28B6AF4A901}">
        <xltc2:checksum>3082701795</xltc2:checksum>
        <xltc2:hyperlink startIndex="53" length="93" url="https://d18rn0p25nwr6d.cloudfront.net/CIK-0001834584/4fa3a7b9-4364-4d26-b91b-c0a0ad19919d.pdf"/>
      </x:ext>
    </extLst>
  </threadedComment>
  <threadedComment ref="AX171" dT="2024-04-18T18:04:52.78" personId="{5FF1EC60-44F1-495B-BD45-E52FC60F1C9C}" id="{53AA3F7D-7323-44EF-A6B3-561D1736D8DA}" parentId="{9416A477-0013-4B98-8E03-2AA74BB6ED10}">
    <text>Per Form 4: SVF1 disposed of a total of 46.6m shares during March '24 at weighted average price of $19.20 per share: https://d18rn0p25nwr6d.cloudfront.net/CIK-0001834584/fc1f8b48-d777-4f0d-9fbd-32f7bfb3df99.pdf</text>
    <extLst>
      <x:ext xmlns:xltc2="http://schemas.microsoft.com/office/spreadsheetml/2020/threadedcomments2" uri="{F7C98A9C-CBB3-438F-8F68-D28B6AF4A901}">
        <xltc2:checksum>4207490028</xltc2:checksum>
        <xltc2:hyperlink startIndex="117" length="93" url="https://d18rn0p25nwr6d.cloudfront.net/CIK-0001834584/fc1f8b48-d777-4f0d-9fbd-32f7bfb3df99.pdf"/>
      </x:ext>
    </extLst>
  </threadedComment>
  <threadedComment ref="AX171" dT="2025-02-05T15:23:26.46" personId="{5FF1EC60-44F1-495B-BD45-E52FC60F1C9C}" id="{019ED622-4EFA-42AA-B26B-643FA46F154F}" parentId="{9416A477-0013-4B98-8E03-2AA74BB6ED10}">
    <text>Using Schedule 13G for 30th September '24: https://d18rn0p25nwr6d.cloudfront.net/CIK-0001834584/bf064a57-5dd1-4073-8374-66b7465879ba.pdf</text>
    <extLst>
      <x:ext xmlns:xltc2="http://schemas.microsoft.com/office/spreadsheetml/2020/threadedcomments2" uri="{F7C98A9C-CBB3-438F-8F68-D28B6AF4A901}">
        <xltc2:checksum>2466352609</xltc2:checksum>
        <xltc2:hyperlink startIndex="43" length="93" url="https://d18rn0p25nwr6d.cloudfront.net/CIK-0001834584/bf064a57-5dd1-4073-8374-66b7465879ba.pdf"/>
      </x:ext>
    </extLst>
  </threadedComment>
  <threadedComment ref="AX171" dT="2025-07-23T10:22:00.82" personId="{5FF1EC60-44F1-495B-BD45-E52FC60F1C9C}" id="{4CA20357-64C4-4EA3-9034-8C96CC88D370}" parentId="{9416A477-0013-4B98-8E03-2AA74BB6ED10}">
    <text>See Form 4’s published in C2Q25: https://d18rn0p25nwr6d.cloudfront.net/CIK-0001834584/4fd815f2-3237-4655-b41a-d7a60f7c2b50.pdf; https://d18rn0p25nwr6d.cloudfront.net/CIK-0001834584/297e398b-f1b6-4af5-82cf-cc0dd2027d7f.pdf.</text>
    <extLst>
      <x:ext xmlns:xltc2="http://schemas.microsoft.com/office/spreadsheetml/2020/threadedcomments2" uri="{F7C98A9C-CBB3-438F-8F68-D28B6AF4A901}">
        <xltc2:checksum>3508655546</xltc2:checksum>
        <xltc2:hyperlink startIndex="33" length="93" url="https://d18rn0p25nwr6d.cloudfront.net/CIK-0001834584/4fd815f2-3237-4655-b41a-d7a60f7c2b50.pdf"/>
        <xltc2:hyperlink startIndex="128" length="93" url="https://d18rn0p25nwr6d.cloudfront.net/CIK-0001834584/297e398b-f1b6-4af5-82cf-cc0dd2027d7f.pdf"/>
      </x:ext>
    </extLst>
  </threadedComment>
  <threadedComment ref="AY171" dT="2026-01-04T17:54:59.67" personId="{5FF1EC60-44F1-495B-BD45-E52FC60F1C9C}" id="{07AC7D14-82D1-4CC8-B689-DCEBFE18E267}">
    <text>Note: no evidence of SVF1 selling Coupang shares in F3Q after reviewing Form 144s and Form 4s.</text>
  </threadedComment>
  <threadedComment ref="AY171" dT="2026-01-04T17:55:09.12" personId="{5FF1EC60-44F1-495B-BD45-E52FC60F1C9C}" id="{B18B80A6-832D-48EB-80D4-F57778847E30}" parentId="{07AC7D14-82D1-4CC8-B689-DCEBFE18E267}">
    <text>https://d18rn0p25nwr6d.cloudfront.net/CIK-0001834584/d03ba82a-5adc-44d2-80e7-bbd7ff51c184.pdf</text>
    <extLst>
      <x:ext xmlns:xltc2="http://schemas.microsoft.com/office/spreadsheetml/2020/threadedcomments2" uri="{F7C98A9C-CBB3-438F-8F68-D28B6AF4A901}">
        <xltc2:checksum>342578530</xltc2:checksum>
        <xltc2:hyperlink startIndex="0" length="93" url="https://d18rn0p25nwr6d.cloudfront.net/CIK-0001834584/d03ba82a-5adc-44d2-80e7-bbd7ff51c184.pdf"/>
      </x:ext>
    </extLst>
  </threadedComment>
  <threadedComment ref="AZ217" dT="2024-04-18T19:05:45.31" personId="{5FF1EC60-44F1-495B-BD45-E52FC60F1C9C}" id="{BA58E1AF-4CA5-4B21-B165-D853D696A50F}">
    <text>Using Schedule 13G for 31st December '23: https://investors.grab.com/static-files/aae5aa01-44d3-468a-a43c-cbb911e13910</text>
    <extLst>
      <x:ext xmlns:xltc2="http://schemas.microsoft.com/office/spreadsheetml/2020/threadedcomments2" uri="{F7C98A9C-CBB3-438F-8F68-D28B6AF4A901}">
        <xltc2:checksum>3914406545</xltc2:checksum>
        <xltc2:hyperlink startIndex="42" length="76" url="https://investors.grab.com/static-files/aae5aa01-44d3-468a-a43c-cbb911e13910"/>
      </x:ext>
    </extLst>
  </threadedComment>
  <threadedComment ref="AZ217" dT="2025-02-05T15:32:20.77" personId="{5FF1EC60-44F1-495B-BD45-E52FC60F1C9C}" id="{494F4D06-ACB7-4B10-B14F-D20C8C2DB72E}" parentId="{BA58E1AF-4CA5-4B21-B165-D853D696A50F}">
    <text>Using Schedule 13G for 30th September '24: https://d18rn0p25nwr6d.cloudfront.net/CIK-0001855612/04f4684a-4baa-4033-88c9-2068651a659e.pdf</text>
    <extLst>
      <x:ext xmlns:xltc2="http://schemas.microsoft.com/office/spreadsheetml/2020/threadedcomments2" uri="{F7C98A9C-CBB3-438F-8F68-D28B6AF4A901}">
        <xltc2:checksum>3478490204</xltc2:checksum>
        <xltc2:hyperlink startIndex="43" length="93" url="https://d18rn0p25nwr6d.cloudfront.net/CIK-0001855612/04f4684a-4baa-4033-88c9-2068651a659e.pdf"/>
      </x:ext>
    </extLst>
  </threadedComment>
  <threadedComment ref="AO222" dT="2024-04-18T19:10:01.72" personId="{5FF1EC60-44F1-495B-BD45-E52FC60F1C9C}" id="{6EF93D28-19AF-4ED2-9524-49FC1AE4C69F}">
    <text>Using Form 20-F but excludes 26m warrants with $11.50 exercise price.</text>
  </threadedComment>
  <threadedComment ref="AT222" dT="2024-04-18T19:10:01.72" personId="{5FF1EC60-44F1-495B-BD45-E52FC60F1C9C}" id="{401D64AA-B04C-4279-BD52-32F6A50343AD}">
    <text>Using Form 20-F but excludes 26m warrants with $11.50 exercise price.</text>
  </threadedComment>
  <threadedComment ref="AP240" dT="2024-04-18T19:05:45.31" personId="{5FF1EC60-44F1-495B-BD45-E52FC60F1C9C}" id="{D5EF9377-77A1-470C-8A71-E3EDA53CB654}">
    <text>Using Schedule 13G for 31st December '23: https://app.quotemedia.com/data/downloadFiling?webmasterId=101533&amp;ref=318061389&amp;type=PDF&amp;cdn=d1cb07e38cd81b5d180164e2624528d0&amp;formType=SC+13G%2FA&amp;dateFiled=2024-02-13&amp;cik=0001838413&amp;symbol=0001838413&amp;companyName=</text>
    <extLst>
      <x:ext xmlns:xltc2="http://schemas.microsoft.com/office/spreadsheetml/2020/threadedcomments2" uri="{F7C98A9C-CBB3-438F-8F68-D28B6AF4A901}">
        <xltc2:checksum>4134436638</xltc2:checksum>
        <xltc2:hyperlink startIndex="42" length="212" url="https://app.quotemedia.com/data/downloadFiling?webmasterId=101533&amp;ref=318061389&amp;type=PDF&amp;cdn=d1cb07e38cd81b5d180164e2624528d0&amp;formType=SC+13G%2FA&amp;dateFiled=2024-02-13&amp;cik=0001838413&amp;symbol=0001838413&amp;companyName="/>
      </x:ext>
    </extLst>
  </threadedComment>
  <threadedComment ref="AP240" dT="2024-04-19T09:22:23.19" personId="{5FF1EC60-44F1-495B-BD45-E52FC60F1C9C}" id="{7D8CF626-1BC7-41DE-BB27-576024CF0BBA}" parentId="{D5EF9377-77A1-470C-8A71-E3EDA53CB654}">
    <text>Important: per front page of Form 20-F each ADS represents 20 Class A ordinary shares.</text>
  </threadedComment>
  <threadedComment ref="AP240" dT="2025-02-05T15:49:59.92" personId="{5FF1EC60-44F1-495B-BD45-E52FC60F1C9C}" id="{AD4751CB-E2E5-4DDC-A000-289C1BEEA933}" parentId="{D5EF9377-77A1-470C-8A71-E3EDA53CB654}">
    <text>Using Schedule 13G for 30th September '24: https://app.quotemedia.com/data/downloadFiling?webmasterId=101533&amp;ref=318764385&amp;type=PDF&amp;cdn=8383b46371e0bdc42a8d22b37636804b&amp;formType=SC+13G%2FA&amp;dateFiled=2024-12-03&amp;cik=0001838413&amp;symbol=0001838413&amp;companyName=</text>
    <extLst>
      <x:ext xmlns:xltc2="http://schemas.microsoft.com/office/spreadsheetml/2020/threadedcomments2" uri="{F7C98A9C-CBB3-438F-8F68-D28B6AF4A901}">
        <xltc2:checksum>1494906859</xltc2:checksum>
        <xltc2:hyperlink startIndex="43" length="212" url="https://app.quotemedia.com/data/downloadFiling?webmasterId=101533&amp;ref=318764385&amp;type=PDF&amp;cdn=8383b46371e0bdc42a8d22b37636804b&amp;formType=SC+13G%2FA&amp;dateFiled=2024-12-03&amp;cik=0001838413&amp;symbol=0001838413&amp;companyName="/>
      </x:ext>
    </extLst>
  </threadedComment>
  <threadedComment ref="AZ240" dT="2024-04-18T19:05:45.31" personId="{5FF1EC60-44F1-495B-BD45-E52FC60F1C9C}" id="{9F2D2867-3B8A-4E6B-AE21-7E36E081F4C6}">
    <text>Using Schedule 13G for 31st December '23: https://app.quotemedia.com/data/downloadFiling?webmasterId=101533&amp;ref=318061389&amp;type=PDF&amp;cdn=d1cb07e38cd81b5d180164e2624528d0&amp;formType=SC+13G%2FA&amp;dateFiled=2024-02-13&amp;cik=0001838413&amp;symbol=0001838413&amp;companyName=</text>
    <extLst>
      <x:ext xmlns:xltc2="http://schemas.microsoft.com/office/spreadsheetml/2020/threadedcomments2" uri="{F7C98A9C-CBB3-438F-8F68-D28B6AF4A901}">
        <xltc2:checksum>4134436638</xltc2:checksum>
        <xltc2:hyperlink startIndex="42" length="212" url="https://app.quotemedia.com/data/downloadFiling?webmasterId=101533&amp;ref=318061389&amp;type=PDF&amp;cdn=d1cb07e38cd81b5d180164e2624528d0&amp;formType=SC+13G%2FA&amp;dateFiled=2024-02-13&amp;cik=0001838413&amp;symbol=0001838413&amp;companyName="/>
      </x:ext>
    </extLst>
  </threadedComment>
  <threadedComment ref="AZ240" dT="2024-04-19T09:22:23.19" personId="{5FF1EC60-44F1-495B-BD45-E52FC60F1C9C}" id="{955FFB8A-4FE5-414E-A1E2-329CFB317537}" parentId="{9F2D2867-3B8A-4E6B-AE21-7E36E081F4C6}">
    <text>Important: per front page of Form 20-F each ADS represents 20 Class A ordinary shares.</text>
  </threadedComment>
  <threadedComment ref="AO245" dT="2024-04-19T09:30:40.89" personId="{5FF1EC60-44F1-495B-BD45-E52FC60F1C9C}" id="{194FF88D-FC35-46CB-B7CC-131E530DC8FA}">
    <text>Important: per front page of Form 20-F each ADS represents 20 Class A ordinary shares i.e., we have taken Class A ordinary shares outstanding from Form 20-F and divided by 20.</text>
  </threadedComment>
  <threadedComment ref="AT245" dT="2024-04-19T09:30:40.89" personId="{5FF1EC60-44F1-495B-BD45-E52FC60F1C9C}" id="{BE78C000-6FB5-4668-AF17-63705CDC830F}">
    <text>Important: per front page of Form 20-F each ADS represents 20 Class A ordinary shares i.e., we have taken Class A ordinary shares outstanding from Form 20-F and divided by 20.</text>
  </threadedComment>
  <threadedComment ref="AP292" dT="2024-04-19T09:47:43.10" personId="{5FF1EC60-44F1-495B-BD45-E52FC60F1C9C}" id="{32C74F71-083A-47D3-AD51-38878D005463}">
    <text xml:space="preserve">Using Schedule 13G for 31st December '23: https://d18rn0p25nwr6d.cloudfront.net/CIK-0001792789/f7307a11-bcad-4300-aac6-9538237d315a.pdf </text>
    <extLst>
      <x:ext xmlns:xltc2="http://schemas.microsoft.com/office/spreadsheetml/2020/threadedcomments2" uri="{F7C98A9C-CBB3-438F-8F68-D28B6AF4A901}">
        <xltc2:checksum>4089251860</xltc2:checksum>
        <xltc2:hyperlink startIndex="42" length="93" url="https://d18rn0p25nwr6d.cloudfront.net/CIK-0001792789/f7307a11-bcad-4300-aac6-9538237d315a.pdf"/>
      </x:ext>
    </extLst>
  </threadedComment>
  <threadedComment ref="AO297" dT="2024-04-19T09:54:49.70" personId="{5FF1EC60-44F1-495B-BD45-E52FC60F1C9C}" id="{5EE5304E-EAAC-4C69-9B72-BB0812A13279}">
    <text>Using 10-K: summation of Class A and Class B ordinary shares as at 9 February '24.</text>
  </threadedComment>
  <threadedComment ref="AO297" dT="2024-04-19T09:55:08.14" personId="{5FF1EC60-44F1-495B-BD45-E52FC60F1C9C}" id="{86FF8233-6CA7-4B1E-807C-883EC0DDA039}" parentId="{5EE5304E-EAAC-4C69-9B72-BB0812A13279}">
    <text>https://d18rn0p25nwr6d.cloudfront.net/CIK-0001792789/22478833-4051-473e-9a9d-048e0c200bfa.pdf</text>
    <extLst>
      <x:ext xmlns:xltc2="http://schemas.microsoft.com/office/spreadsheetml/2020/threadedcomments2" uri="{F7C98A9C-CBB3-438F-8F68-D28B6AF4A901}">
        <xltc2:checksum>3260686938</xltc2:checksum>
        <xltc2:hyperlink startIndex="0" length="93" url="https://d18rn0p25nwr6d.cloudfront.net/CIK-0001792789/22478833-4051-473e-9a9d-048e0c200bfa.pdf"/>
      </x:ext>
    </extLst>
  </threadedComment>
  <threadedComment ref="AP315" dT="2024-04-19T11:02:46.90" personId="{5FF1EC60-44F1-495B-BD45-E52FC60F1C9C}" id="{7B155848-E3CA-4090-90B5-2707120B67CA}">
    <text>Using Schedule 13G for 31st December '23: https://investor.roivant.com/static-files/a9c8224d-7365-4b17-bfaa-69e4c8b08d65</text>
    <extLst>
      <x:ext xmlns:xltc2="http://schemas.microsoft.com/office/spreadsheetml/2020/threadedcomments2" uri="{F7C98A9C-CBB3-438F-8F68-D28B6AF4A901}">
        <xltc2:checksum>1129205971</xltc2:checksum>
        <xltc2:hyperlink startIndex="42" length="78" url="https://investor.roivant.com/static-files/a9c8224d-7365-4b17-bfaa-69e4c8b08d65"/>
      </x:ext>
    </extLst>
  </threadedComment>
  <threadedComment ref="AO320" dT="2024-04-19T11:00:35.13" personId="{5FF1EC60-44F1-495B-BD45-E52FC60F1C9C}" id="{E55D8937-A480-4771-B2D2-5B68C7BCFF75}">
    <text>Using 10-Q but excludes 30.7m warrants with $11.50 exercise price.</text>
  </threadedComment>
  <threadedComment ref="AR378" dT="2024-07-17T12:14:24.23" personId="{5FF1EC60-44F1-495B-BD45-E52FC60F1C9C}" id="{4B1B28BB-B628-4121-8FC5-48F4A6E7125D}">
    <text>Per S&amp;P Capital IQ 17th July '24.</text>
  </threadedComment>
  <threadedComment ref="AR407" dT="2024-07-17T12:14:24.23" personId="{5FF1EC60-44F1-495B-BD45-E52FC60F1C9C}" id="{6790C6C1-868B-4220-BB2D-CAD640D4E32F}">
    <text>Per S&amp;P Capital IQ 17th July '24.</text>
  </threadedComment>
  <threadedComment ref="AS407" dT="2024-07-17T12:14:24.23" personId="{5FF1EC60-44F1-495B-BD45-E52FC60F1C9C}" id="{D5D72802-4B72-437C-9925-193128C46A5B}">
    <text>Per S&amp;P Capital IQ 28th October '24.</text>
  </threadedComment>
  <threadedComment ref="AT407" dT="2024-07-17T12:14:24.23" personId="{5FF1EC60-44F1-495B-BD45-E52FC60F1C9C}" id="{CB589507-D603-46F6-8CA9-90BD6D5BF8BD}">
    <text>Per S&amp;P Capital IQ 5th February ‘25.</text>
  </threadedComment>
  <threadedComment ref="AU407" dT="2024-07-17T12:14:24.23" personId="{5FF1EC60-44F1-495B-BD45-E52FC60F1C9C}" id="{BC05E568-35CF-429B-A5EC-3EF3AA19C3DF}">
    <text>Per S&amp;P Capital IQ 29th April ‘25.</text>
  </threadedComment>
  <threadedComment ref="AW407" dT="2024-07-17T12:14:24.23" personId="{5FF1EC60-44F1-495B-BD45-E52FC60F1C9C}" id="{02234043-FD86-4714-983C-1ADEAD4C8313}">
    <text>Per S&amp;P Capital IQ 30th July ‘25.</text>
  </threadedComment>
  <threadedComment ref="AX407" dT="2024-07-17T12:14:24.23" personId="{5FF1EC60-44F1-495B-BD45-E52FC60F1C9C}" id="{0D8E76E2-7BDF-49EA-9369-318336403242}">
    <text>Per S&amp;P Capital IQ 29th October '25.</text>
  </threadedComment>
  <threadedComment ref="AY407" dT="2024-07-17T12:14:24.23" personId="{5FF1EC60-44F1-495B-BD45-E52FC60F1C9C}" id="{21A0B4E2-4937-4069-88A5-C43287498B2D}">
    <text>Per S&amp;P Capital IQ 5th January ‘26.</text>
  </threadedComment>
  <threadedComment ref="AO425" dT="2024-07-17T11:53:25.70" personId="{5FF1EC60-44F1-495B-BD45-E52FC60F1C9C}" id="{4CFCC813-2F91-43F1-9BC5-64FD85017D51}">
    <text>https://d18rn0p25nwr6d.cloudfront.net/CIK-0001563190/e9c0f7ce-6fca-48ec-8a46-dff96f2c1862.pdf</text>
    <extLst>
      <x:ext xmlns:xltc2="http://schemas.microsoft.com/office/spreadsheetml/2020/threadedcomments2" uri="{F7C98A9C-CBB3-438F-8F68-D28B6AF4A901}">
        <xltc2:checksum>3366015230</xltc2:checksum>
        <xltc2:hyperlink startIndex="0" length="93" url="https://d18rn0p25nwr6d.cloudfront.net/CIK-0001563190/e9c0f7ce-6fca-48ec-8a46-dff96f2c1862.pdf"/>
      </x:ext>
    </extLst>
  </threadedComment>
  <threadedComment ref="AS425" dT="2025-02-05T16:32:33.24" personId="{5FF1EC60-44F1-495B-BD45-E52FC60F1C9C}" id="{5DDDBD31-021C-4F64-AF87-110BD966DFE8}">
    <text>Using Schedule 13G for 30th September '24: https://d18rn0p25nwr6d.cloudfront.net/CIK-0001563190/d700d2ab-2a5a-4650-835d-cc4b8f2a5ce2.pdf</text>
    <extLst>
      <x:ext xmlns:xltc2="http://schemas.microsoft.com/office/spreadsheetml/2020/threadedcomments2" uri="{F7C98A9C-CBB3-438F-8F68-D28B6AF4A901}">
        <xltc2:checksum>3436517185</xltc2:checksum>
        <xltc2:hyperlink startIndex="43" length="93" url="https://d18rn0p25nwr6d.cloudfront.net/CIK-0001563190/d700d2ab-2a5a-4650-835d-cc4b8f2a5ce2.pdf"/>
      </x:ext>
    </extLst>
  </threadedComment>
  <threadedComment ref="AT425" dT="2025-02-05T16:32:33.24" personId="{5FF1EC60-44F1-495B-BD45-E52FC60F1C9C}" id="{C339D11D-AE11-4993-B350-E284001A2C9C}">
    <text>Using Schedule 13G for 31st December '24: https://d18rn0p25nwr6d.cloudfront.net/CIK-0001563190/29103615-faee-4aa7-b966-a38eddf0220f.pdf.</text>
    <extLst>
      <x:ext xmlns:xltc2="http://schemas.microsoft.com/office/spreadsheetml/2020/threadedcomments2" uri="{F7C98A9C-CBB3-438F-8F68-D28B6AF4A901}">
        <xltc2:checksum>2223159900</xltc2:checksum>
        <xltc2:hyperlink startIndex="42" length="93" url="https://d18rn0p25nwr6d.cloudfront.net/CIK-0001563190/29103615-faee-4aa7-b966-a38eddf0220f.pdf"/>
      </x:ext>
    </extLst>
  </threadedComment>
  <threadedComment ref="AU425" dT="2025-02-05T16:32:33.24" personId="{5FF1EC60-44F1-495B-BD45-E52FC60F1C9C}" id="{76D29C51-10BE-46AD-B288-B03512527010}">
    <text>Using Schedule 13G for 31st March '25: https://d18rn0p25nwr6d.cloudfront.net/CIK-0001563190/6b6b799a-be6e-451d-bcca-d0ea5d286e59.pdf.</text>
    <extLst>
      <x:ext xmlns:xltc2="http://schemas.microsoft.com/office/spreadsheetml/2020/threadedcomments2" uri="{F7C98A9C-CBB3-438F-8F68-D28B6AF4A901}">
        <xltc2:checksum>664864625</xltc2:checksum>
        <xltc2:hyperlink startIndex="39" length="93" url="https://d18rn0p25nwr6d.cloudfront.net/CIK-0001563190/6b6b799a-be6e-451d-bcca-d0ea5d286e59.pdf"/>
      </x:ext>
    </extLst>
  </threadedComment>
  <threadedComment ref="AO430" dT="2024-04-23T09:33:27.69" personId="{5FF1EC60-44F1-495B-BD45-E52FC60F1C9C}" id="{33E33FEB-356E-49EB-8C64-80762B6497B5}">
    <text>Using Compass, Inc. 10-K for Basic shares outstanding at 31st December '23: https://d18rn0p25nwr6d.cloudfront.net/CIK-0001563190/3c9e8255-f380-4a9e-9e6a-c928e2d5b471.pdf.</text>
    <extLst>
      <x:ext xmlns:xltc2="http://schemas.microsoft.com/office/spreadsheetml/2020/threadedcomments2" uri="{F7C98A9C-CBB3-438F-8F68-D28B6AF4A901}">
        <xltc2:checksum>384317466</xltc2:checksum>
        <xltc2:hyperlink startIndex="76" length="93" url="https://d18rn0p25nwr6d.cloudfront.net/CIK-0001563190/3c9e8255-f380-4a9e-9e6a-c928e2d5b471.pdf"/>
      </x:ext>
    </extLst>
  </threadedComment>
  <threadedComment ref="AP432" dT="2024-07-17T11:52:12.98" personId="{5FF1EC60-44F1-495B-BD45-E52FC60F1C9C}" id="{1E8D6DBD-FA1A-4424-BF1F-0251A7F87097}">
    <text>https://d18rn0p25nwr6d.cloudfront.net/CIK-0001563190/c398f88f-06a4-47e6-8f5b-594ee702d210.pdf</text>
    <extLst>
      <x:ext xmlns:xltc2="http://schemas.microsoft.com/office/spreadsheetml/2020/threadedcomments2" uri="{F7C98A9C-CBB3-438F-8F68-D28B6AF4A901}">
        <xltc2:checksum>2496818237</xltc2:checksum>
        <xltc2:hyperlink startIndex="0" length="93" url="https://d18rn0p25nwr6d.cloudfront.net/CIK-0001563190/c398f88f-06a4-47e6-8f5b-594ee702d210.pdf"/>
      </x:ext>
    </extLst>
  </threadedComment>
  <threadedComment ref="AR432" dT="2024-07-17T12:05:44.51" personId="{5FF1EC60-44F1-495B-BD45-E52FC60F1C9C}" id="{595462C6-B81D-4D1B-934E-B9C9A6509C88}">
    <text>https://d18rn0p25nwr6d.cloudfront.net/CIK-0001563190/040ea8f8-1c74-4db6-8009-367242075abf.pdf</text>
    <extLst>
      <x:ext xmlns:xltc2="http://schemas.microsoft.com/office/spreadsheetml/2020/threadedcomments2" uri="{F7C98A9C-CBB3-438F-8F68-D28B6AF4A901}">
        <xltc2:checksum>1044445509</xltc2:checksum>
        <xltc2:hyperlink startIndex="0" length="93" url="https://d18rn0p25nwr6d.cloudfront.net/CIK-0001563190/040ea8f8-1c74-4db6-8009-367242075abf.pdf"/>
      </x:ext>
    </extLst>
  </threadedComment>
  <threadedComment ref="AS432" dT="2024-07-17T12:05:44.51" personId="{5FF1EC60-44F1-495B-BD45-E52FC60F1C9C}" id="{3AAD32C3-11D3-4EEB-B8BB-0B456077F822}">
    <text>https://d18rn0p25nwr6d.cloudfront.net/CIK-0001563190/e23e942a-8d00-4e1b-931a-b02f1e8186da.pdf</text>
    <extLst>
      <x:ext xmlns:xltc2="http://schemas.microsoft.com/office/spreadsheetml/2020/threadedcomments2" uri="{F7C98A9C-CBB3-438F-8F68-D28B6AF4A901}">
        <xltc2:checksum>1150004464</xltc2:checksum>
        <xltc2:hyperlink startIndex="0" length="93" url="https://d18rn0p25nwr6d.cloudfront.net/CIK-0001563190/e23e942a-8d00-4e1b-931a-b02f1e8186da.pdf"/>
      </x:ext>
    </extLst>
  </threadedComment>
  <threadedComment ref="AT432" dT="2025-02-05T16:34:04.22" personId="{5FF1EC60-44F1-495B-BD45-E52FC60F1C9C}" id="{928AE54B-2249-4427-A94D-4C77A574FB41}">
    <text>https://d18rn0p25nwr6d.cloudfront.net/CIK-0001563190/27aabf3b-0262-495d-92ed-b990c64d3702.pdf</text>
    <extLst>
      <x:ext xmlns:xltc2="http://schemas.microsoft.com/office/spreadsheetml/2020/threadedcomments2" uri="{F7C98A9C-CBB3-438F-8F68-D28B6AF4A901}">
        <xltc2:checksum>3923666064</xltc2:checksum>
        <xltc2:hyperlink startIndex="0" length="93" url="https://d18rn0p25nwr6d.cloudfront.net/CIK-0001563190/27aabf3b-0262-495d-92ed-b990c64d3702.pdf"/>
      </x:ext>
    </extLst>
  </threadedComment>
  <threadedComment ref="AU432" dT="2025-04-29T15:24:22.88" personId="{5FF1EC60-44F1-495B-BD45-E52FC60F1C9C}" id="{8AC3C86F-FCF5-4B13-89C1-1D76565C4289}">
    <text>https://d18rn0p25nwr6d.cloudfront.net/CIK-0001563190/a5db5673-2195-458a-ba13-4dd5e8a54753.pdf</text>
    <extLst>
      <x:ext xmlns:xltc2="http://schemas.microsoft.com/office/spreadsheetml/2020/threadedcomments2" uri="{F7C98A9C-CBB3-438F-8F68-D28B6AF4A901}">
        <xltc2:checksum>2696427366</xltc2:checksum>
        <xltc2:hyperlink startIndex="0" length="93" url="https://d18rn0p25nwr6d.cloudfront.net/CIK-0001563190/a5db5673-2195-458a-ba13-4dd5e8a54753.pdf"/>
      </x:ext>
    </extLst>
  </threadedComment>
  <threadedComment ref="AP454" dT="2024-04-23T10:08:51.31" personId="{5FF1EC60-44F1-495B-BD45-E52FC60F1C9C}" id="{AA38A309-D774-4F1B-B500-9C2C88F9DA08}">
    <text>Per press reports dated 24th January '24 (e.g., see The Economic Times link below) SVF India Holdings managed to dispose of another 2% of Paytm stake before share price collapse caused by regulatory crackdown on the fintech i.e., Indian regulator forced Paytm to shut down its banking unit due to non-compliance with regulations.</text>
  </threadedComment>
  <threadedComment ref="AP454" dT="2024-04-23T10:08:53.24" personId="{5FF1EC60-44F1-495B-BD45-E52FC60F1C9C}" id="{B6438C13-4EF7-4CAC-B60E-58D66D3A95CC}" parentId="{AA38A309-D774-4F1B-B500-9C2C88F9DA08}">
    <text>https://economictimes.indiatimes.com/markets/stocks/news/softbank-sells-another-2-stake-in-paytm-via-open-market/articleshow/107103098.cms?from=mdr</text>
    <extLst>
      <x:ext xmlns:xltc2="http://schemas.microsoft.com/office/spreadsheetml/2020/threadedcomments2" uri="{F7C98A9C-CBB3-438F-8F68-D28B6AF4A901}">
        <xltc2:checksum>3149049722</xltc2:checksum>
        <xltc2:hyperlink startIndex="0" length="147" url="https://economictimes.indiatimes.com/markets/stocks/news/softbank-sells-another-2-stake-in-paytm-via-open-market/articleshow/107103098.cms?from=mdr"/>
      </x:ext>
    </extLst>
  </threadedComment>
  <threadedComment ref="AP454" dT="2024-04-23T10:12:54.71" personId="{5FF1EC60-44F1-495B-BD45-E52FC60F1C9C}" id="{63E4E44B-BFEA-4C3B-B965-9BE27ECAAEB4}" parentId="{AA38A309-D774-4F1B-B500-9C2C88F9DA08}">
    <text>Per The Economic Times (article dated 29th February '24) SVF sold another 2.17% stake in late February '24: https://economictimes.indiatimes.com/tech/startups/japans-softbank-cuts-stake-in-paytm/articleshow/108096958.cms?from=mdr.</text>
    <extLst>
      <x:ext xmlns:xltc2="http://schemas.microsoft.com/office/spreadsheetml/2020/threadedcomments2" uri="{F7C98A9C-CBB3-438F-8F68-D28B6AF4A901}">
        <xltc2:checksum>2377179677</xltc2:checksum>
        <xltc2:hyperlink startIndex="108" length="121" url="https://economictimes.indiatimes.com/tech/startups/japans-softbank-cuts-stake-in-paytm/articleshow/108096958.cms?from=mdr"/>
      </x:ext>
    </extLst>
  </threadedComment>
  <threadedComment ref="AR459" dT="2024-07-17T12:14:24.23" personId="{5FF1EC60-44F1-495B-BD45-E52FC60F1C9C}" id="{CA2CB47E-72EF-49E7-908E-25FE95616C48}">
    <text>Per S&amp;P Capital IQ 17th July '24.</text>
  </threadedComment>
  <threadedComment ref="AP463" dT="2024-04-23T10:10:31.01" personId="{5FF1EC60-44F1-495B-BD45-E52FC60F1C9C}" id="{60F43980-3D28-4F46-AFA6-1332B92C5B31}">
    <text>Assumes 23rd January sale at INR 750 &amp; adjusted for exchange rate.</text>
  </threadedComment>
  <threadedComment ref="AP463" dT="2024-04-23T10:10:38.52" personId="{5FF1EC60-44F1-495B-BD45-E52FC60F1C9C}" id="{F90A1239-D393-4380-9E51-2C3ACB4E6D8D}" parentId="{60F43980-3D28-4F46-AFA6-1332B92C5B31}">
    <text>https://economictimes.indiatimes.com/markets/stocks/news/softbank-sells-another-2-stake-in-paytm-via-open-market/articleshow/107103098.cms?from=mdr</text>
    <extLst>
      <x:ext xmlns:xltc2="http://schemas.microsoft.com/office/spreadsheetml/2020/threadedcomments2" uri="{F7C98A9C-CBB3-438F-8F68-D28B6AF4A901}">
        <xltc2:checksum>3149049722</xltc2:checksum>
        <xltc2:hyperlink startIndex="0" length="147" url="https://economictimes.indiatimes.com/markets/stocks/news/softbank-sells-another-2-stake-in-paytm-via-open-market/articleshow/107103098.cms?from=mdr"/>
      </x:ext>
    </extLst>
  </threadedComment>
  <threadedComment ref="AP463" dT="2024-04-23T10:15:12.15" personId="{5FF1EC60-44F1-495B-BD45-E52FC60F1C9C}" id="{BB0DF6EB-DE12-4F4C-A13F-48D241B60BD8}" parentId="{60F43980-3D28-4F46-AFA6-1332B92C5B31}">
    <text>SVF sold another 2% tranche towards end of February '24 with share price around INR 400 &amp; have adjusted for exchange rate.</text>
  </threadedComment>
  <threadedComment ref="AP463" dT="2024-04-23T10:15:19.32" personId="{5FF1EC60-44F1-495B-BD45-E52FC60F1C9C}" id="{487FBE4D-9E14-429B-954F-0D21C1453DC5}" parentId="{60F43980-3D28-4F46-AFA6-1332B92C5B31}">
    <text>https://economictimes.indiatimes.com/tech/startups/japans-softbank-cuts-stake-in-paytm/articleshow/108096958.cms?from=mdr</text>
    <extLst>
      <x:ext xmlns:xltc2="http://schemas.microsoft.com/office/spreadsheetml/2020/threadedcomments2" uri="{F7C98A9C-CBB3-438F-8F68-D28B6AF4A901}">
        <xltc2:checksum>4099576238</xltc2:checksum>
        <xltc2:hyperlink startIndex="0" length="121" url="https://economictimes.indiatimes.com/tech/startups/japans-softbank-cuts-stake-in-paytm/articleshow/108096958.cms?from=mdr"/>
      </x:ext>
    </extLst>
  </threadedComment>
  <threadedComment ref="AO482" dT="2024-04-23T09:33:27.69" personId="{5FF1EC60-44F1-495B-BD45-E52FC60F1C9C}" id="{21D54794-9B3B-4AEA-BD42-29218E6231A1}">
    <text>Using Relay Therapeutics, Inc. 10-K for Basic shares outstanding at 16th February '24: https://ir.relaytx.com/static-files/9088966d-3ce7-4ca3-82d6-470b0c9dfa93.</text>
    <extLst>
      <x:ext xmlns:xltc2="http://schemas.microsoft.com/office/spreadsheetml/2020/threadedcomments2" uri="{F7C98A9C-CBB3-438F-8F68-D28B6AF4A901}">
        <xltc2:checksum>4216549963</xltc2:checksum>
        <xltc2:hyperlink startIndex="87" length="72" url="https://ir.relaytx.com/static-files/9088966d-3ce7-4ca3-82d6-470b0c9dfa93"/>
      </x:ext>
    </extLst>
  </threadedComment>
  <threadedComment ref="AT482" dT="2024-04-23T09:33:27.69" personId="{5FF1EC60-44F1-495B-BD45-E52FC60F1C9C}" id="{8C180E1D-6DB5-465B-AF1D-D2AB911DA534}">
    <text>Using Relay Therapeutics, Inc. 10-K for Basic shares outstanding at 21st February '25: https://ir.relaytx.com/static-files/9da8b6b3-0850-4d10-8712-f2e70284d906.</text>
    <extLst>
      <x:ext xmlns:xltc2="http://schemas.microsoft.com/office/spreadsheetml/2020/threadedcomments2" uri="{F7C98A9C-CBB3-438F-8F68-D28B6AF4A901}">
        <xltc2:checksum>2964515826</xltc2:checksum>
        <xltc2:hyperlink startIndex="87" length="72" url="https://ir.relaytx.com/static-files/9da8b6b3-0850-4d10-8712-f2e70284d906"/>
      </x:ext>
    </extLst>
  </threadedComment>
  <threadedComment ref="AR511" dT="2024-07-17T12:14:24.23" personId="{5FF1EC60-44F1-495B-BD45-E52FC60F1C9C}" id="{8358E1DF-3D07-4131-96EA-8F22AC42EE85}">
    <text>Per S&amp;P Capital IQ 17th July '24.</text>
  </threadedComment>
  <threadedComment ref="AS511" dT="2024-07-17T12:14:24.23" personId="{5FF1EC60-44F1-495B-BD45-E52FC60F1C9C}" id="{9ED5A4B6-2781-446C-A0AB-25DE9602F10F}">
    <text>Per S&amp;P Capital IQ 28th October '24.</text>
  </threadedComment>
  <threadedComment ref="AT511" dT="2024-07-17T12:14:24.23" personId="{5FF1EC60-44F1-495B-BD45-E52FC60F1C9C}" id="{6ED1A06C-9B55-4267-A6AA-5122BF6C6B3D}">
    <text>Per S&amp;P Capital IQ 5th February ‘25.</text>
  </threadedComment>
  <threadedComment ref="AU511" dT="2024-07-17T12:14:24.23" personId="{5FF1EC60-44F1-495B-BD45-E52FC60F1C9C}" id="{AC0C6C81-0B7F-4654-8ACD-914917D3606C}">
    <text>Per S&amp;P Capital IQ 29th April ‘25.</text>
  </threadedComment>
  <threadedComment ref="AX511" dT="2024-07-17T12:14:24.23" personId="{5FF1EC60-44F1-495B-BD45-E52FC60F1C9C}" id="{4B964F17-16FD-407C-A827-4881F2C7D2D6}">
    <text>Per S&amp;P Capital IQ 29th April ‘25.</text>
  </threadedComment>
  <threadedComment ref="W531" dT="2025-11-05T16:29:58.37" personId="{5FF1EC60-44F1-495B-BD45-E52FC60F1C9C}" id="{345F59CD-5152-4CA2-B72E-9FB84285AB02}">
    <text>Companies House for TikTok Europe accounts: https://find-and-update.company-information.service.gov.uk/company/10165711.</text>
    <extLst>
      <x:ext xmlns:xltc2="http://schemas.microsoft.com/office/spreadsheetml/2020/threadedcomments2" uri="{F7C98A9C-CBB3-438F-8F68-D28B6AF4A901}">
        <xltc2:checksum>3291718322</xltc2:checksum>
        <xltc2:hyperlink startIndex="44" length="75" url="https://find-and-update.company-information.service.gov.uk/company/10165711"/>
      </x:ext>
    </extLst>
  </threadedComment>
  <threadedComment ref="AP533" dT="2024-04-24T17:11:11.11" personId="{5FF1EC60-44F1-495B-BD45-E52FC60F1C9C}" id="{DD76DE99-77CF-46EC-A9F4-83B44321A7D1}">
    <text>Note: April '23 FT article suggests "around $15bn" in ByteDance International (i.e., TikTok) sales although prior November '22 article suggested TikTok had slashed revenue target for '22 to nearer to $10.5bn from $12bn-$14.5bn so assume it couldn't have achieved much more than $13.5bn.</text>
  </threadedComment>
  <threadedComment ref="AP533" dT="2024-04-24T17:11:30.58" personId="{5FF1EC60-44F1-495B-BD45-E52FC60F1C9C}" id="{1EC1991B-FC8E-4B4B-AE3C-CFAB7008F630}" parentId="{DD76DE99-77CF-46EC-A9F4-83B44321A7D1}">
    <text>November '22 FT article: https://www.ft.com/content/c4ce8f13-bec0-4cde-a885-7857f0bbb733.</text>
    <extLst>
      <x:ext xmlns:xltc2="http://schemas.microsoft.com/office/spreadsheetml/2020/threadedcomments2" uri="{F7C98A9C-CBB3-438F-8F68-D28B6AF4A901}">
        <xltc2:checksum>1281477868</xltc2:checksum>
        <xltc2:hyperlink startIndex="25" length="63" url="https://www.ft.com/content/c4ce8f13-bec0-4cde-a885-7857f0bbb733"/>
      </x:ext>
    </extLst>
  </threadedComment>
  <threadedComment ref="AP537" dT="2024-04-24T16:05:22.76" personId="{5FF1EC60-44F1-495B-BD45-E52FC60F1C9C}" id="{BFCA1CCD-F368-428D-9F13-6A91B38EA69D}">
    <text>See April '23 FT article: https://www.ft.com/content/b990b325-5af1-4713-b8d0-580b823cad3c.</text>
    <extLst>
      <x:ext xmlns:xltc2="http://schemas.microsoft.com/office/spreadsheetml/2020/threadedcomments2" uri="{F7C98A9C-CBB3-438F-8F68-D28B6AF4A901}">
        <xltc2:checksum>2916619949</xltc2:checksum>
        <xltc2:hyperlink startIndex="26" length="63" url="https://www.ft.com/content/b990b325-5af1-4713-b8d0-580b823cad3c"/>
      </x:ext>
    </extLst>
  </threadedComment>
  <threadedComment ref="AO559" dT="2024-04-24T16:05:01.13" personId="{5FF1EC60-44F1-495B-BD45-E52FC60F1C9C}" id="{92D34F68-4915-4FDE-BB34-BB38B6C7286B}">
    <text>See April '23 FT article noting that ByteDance EBITDA grew 79% in '22 to reach $25bn: https://www.ft.com/content/b990b325-5af1-4713-b8d0-580b823cad3c.</text>
    <extLst>
      <x:ext xmlns:xltc2="http://schemas.microsoft.com/office/spreadsheetml/2020/threadedcomments2" uri="{F7C98A9C-CBB3-438F-8F68-D28B6AF4A901}">
        <xltc2:checksum>1707037738</xltc2:checksum>
        <xltc2:hyperlink startIndex="86" length="63" url="https://www.ft.com/content/b990b325-5af1-4713-b8d0-580b823cad3c"/>
      </x:ext>
    </extLst>
  </threadedComment>
  <threadedComment ref="AR581" dT="2024-04-24T15:03:50.14" personId="{5FF1EC60-44F1-495B-BD45-E52FC60F1C9C}" id="{F0C2D687-4901-41E1-AE7E-10A9553063D4}">
    <text>See December '23 FT article which notes TikTok has &gt;$50bn of cash on the balance sheet: https://www.ft.com/content/e721bca0-0c9c-49d1-81e7-09675e8f176f.</text>
    <extLst>
      <x:ext xmlns:xltc2="http://schemas.microsoft.com/office/spreadsheetml/2020/threadedcomments2" uri="{F7C98A9C-CBB3-438F-8F68-D28B6AF4A901}">
        <xltc2:checksum>2519078610</xltc2:checksum>
        <xltc2:hyperlink startIndex="88" length="63" url="https://www.ft.com/content/e721bca0-0c9c-49d1-81e7-09675e8f176f"/>
      </x:ext>
    </extLst>
  </threadedComment>
  <threadedComment ref="AS589" dT="2024-04-24T15:10:59.75" personId="{5FF1EC60-44F1-495B-BD45-E52FC60F1C9C}" id="{A923B3D3-C799-4A91-AE6F-B024A32CDE3C}">
    <text>See April '24 FT article for valuation details: https://www.ft.com/content/540985a4-6c20-4fac-b38b-52dd59d5f543.</text>
    <extLst>
      <x:ext xmlns:xltc2="http://schemas.microsoft.com/office/spreadsheetml/2020/threadedcomments2" uri="{F7C98A9C-CBB3-438F-8F68-D28B6AF4A901}">
        <xltc2:checksum>2512625951</xltc2:checksum>
        <xltc2:hyperlink startIndex="48" length="63" url="https://www.ft.com/content/540985a4-6c20-4fac-b38b-52dd59d5f543"/>
      </x:ext>
    </extLst>
  </threadedComment>
  <threadedComment ref="AS590" dT="2024-04-24T15:10:59.75" personId="{5FF1EC60-44F1-495B-BD45-E52FC60F1C9C}" id="{753F737E-D50C-4B8E-93E5-522CF869CDE5}">
    <text>See April '24 FT article for valuation details: https://www.ft.com/content/540985a4-6c20-4fac-b38b-52dd59d5f543.</text>
    <extLst>
      <x:ext xmlns:xltc2="http://schemas.microsoft.com/office/spreadsheetml/2020/threadedcomments2" uri="{F7C98A9C-CBB3-438F-8F68-D28B6AF4A901}">
        <xltc2:checksum>2512625951</xltc2:checksum>
        <xltc2:hyperlink startIndex="48" length="63" url="https://www.ft.com/content/540985a4-6c20-4fac-b38b-52dd59d5f543"/>
      </x:ext>
    </extLst>
  </threadedComment>
</ThreadedComments>
</file>

<file path=xl/threadedComments/threadedComment7.xml><?xml version="1.0" encoding="utf-8"?>
<ThreadedComments xmlns="http://schemas.microsoft.com/office/spreadsheetml/2018/threadedcomments" xmlns:x="http://schemas.openxmlformats.org/spreadsheetml/2006/main">
  <threadedComment ref="A44" dT="2024-05-12T14:41:24.93" personId="{5FF1EC60-44F1-495B-BD45-E52FC60F1C9C}" id="{A8D0E0A0-9680-47B0-A47D-04D37725C800}">
    <text>Per Tech Crunch: SVF invested $275m in Series G funding round in December '19 at $1.5bn valuation i.e., 18.3% implied stake.</text>
  </threadedComment>
  <threadedComment ref="A44" dT="2024-05-12T14:41:30.61" personId="{5FF1EC60-44F1-495B-BD45-E52FC60F1C9C}" id="{DA0F7A7A-C8FA-4577-94F3-C2E33978C7C7}" parentId="{A8D0E0A0-9680-47B0-A47D-04D37725C800}">
    <text>https://techcrunch.com/2019/12/20/softbank-lenskart-india/</text>
    <extLst>
      <x:ext xmlns:xltc2="http://schemas.microsoft.com/office/spreadsheetml/2020/threadedcomments2" uri="{F7C98A9C-CBB3-438F-8F68-D28B6AF4A901}">
        <xltc2:checksum>2211499252</xltc2:checksum>
        <xltc2:hyperlink startIndex="0" length="58" url="https://techcrunch.com/2019/12/20/softbank-lenskart-india/"/>
      </x:ext>
    </extLst>
  </threadedComment>
  <threadedComment ref="A44" dT="2024-05-12T14:43:19.28" personId="{5FF1EC60-44F1-495B-BD45-E52FC60F1C9C}" id="{56BF67BD-A8A7-4A77-A4E6-83E3F69DFA87}" parentId="{A8D0E0A0-9680-47B0-A47D-04D37725C800}">
    <text>Per The Economic Times (India): Temasek &amp; Fidelity could be investing $200m this year (article from April '24) in Lenskart at $5bn valuation. Article notes that SoftBank is the largest institutional investor in Lenskart with 16.5% stake but is not selling down via latest funding round. Prior valuation at $4.5bn so we take 16.5% x $4.5bn = $745m valuation.</text>
  </threadedComment>
  <threadedComment ref="A44" dT="2024-05-12T14:43:24.76" personId="{5FF1EC60-44F1-495B-BD45-E52FC60F1C9C}" id="{4547E257-11E7-496A-A657-9EB64B4B1E36}" parentId="{A8D0E0A0-9680-47B0-A47D-04D37725C800}">
    <text>https://economictimes.indiatimes.com/tech/funding/temasek-fidelity-may-invest-200-million-in-lenskart-at-5-billion-valuation/articleshow/109572374.cms?from=mdr</text>
    <extLst>
      <x:ext xmlns:xltc2="http://schemas.microsoft.com/office/spreadsheetml/2020/threadedcomments2" uri="{F7C98A9C-CBB3-438F-8F68-D28B6AF4A901}">
        <xltc2:checksum>2834173597</xltc2:checksum>
        <xltc2:hyperlink startIndex="0" length="159" url="https://economictimes.indiatimes.com/tech/funding/temasek-fidelity-may-invest-200-million-in-lenskart-at-5-billion-valuation/articleshow/109572374.cms?from=mdr"/>
      </x:ext>
    </extLst>
  </threadedComment>
  <threadedComment ref="A44" dT="2024-07-18T12:34:46.48" personId="{5FF1EC60-44F1-495B-BD45-E52FC60F1C9C}" id="{6F4073E0-89AB-4D83-816E-06C98567FCFB}" parentId="{A8D0E0A0-9680-47B0-A47D-04D37725C800}">
    <text>Per The Economic Times (India): in June '24 Singapore Sovereign Fund Temasek and Fidelity invested further $200m in Lenskart at a valuation of $5bn i.e., $500m/11% uplift on prior $4.5bn valuation but SoftBank's 16.5% ownership diluted by 4% (or $200m/$5bn).</text>
  </threadedComment>
  <threadedComment ref="A44" dT="2024-07-18T12:36:42.05" personId="{5FF1EC60-44F1-495B-BD45-E52FC60F1C9C}" id="{06744475-6902-4A64-AF97-4B282F642E4B}" parentId="{A8D0E0A0-9680-47B0-A47D-04D37725C800}">
    <text>https://economictimes.indiatimes.com/tech/funding/peyush-bansal-other-lenskart-founders-invest-20-million-in-new-funding-round/articleshow/111838072.cms</text>
    <extLst>
      <x:ext xmlns:xltc2="http://schemas.microsoft.com/office/spreadsheetml/2020/threadedcomments2" uri="{F7C98A9C-CBB3-438F-8F68-D28B6AF4A901}">
        <xltc2:checksum>4170229742</xltc2:checksum>
        <xltc2:hyperlink startIndex="0" length="152" url="https://economictimes.indiatimes.com/tech/funding/peyush-bansal-other-lenskart-founders-invest-20-million-in-new-funding-round/articleshow/111838072.cms"/>
      </x:ext>
    </extLst>
  </threadedComment>
  <threadedComment ref="A44" dT="2025-04-30T13:47:43.15" personId="{5FF1EC60-44F1-495B-BD45-E52FC60F1C9C}" id="{D16D8FC5-940C-4B58-A040-5F8E524AAC8A}" parentId="{A8D0E0A0-9680-47B0-A47D-04D37725C800}">
    <text>Per Times of India: in February ‘25 Lenskart had been planning to file draft IPO documentation by May ‘25 and potentially seeking a $10bn valuation (i.e., 2x the prior $5bn mark). Note: given tariff uncertainty we anticipate a delay in the IPO so we have kept SVF2’s all-in private mark at $5bn.</text>
  </threadedComment>
  <threadedComment ref="A44" dT="2025-04-30T13:47:51.37" personId="{5FF1EC60-44F1-495B-BD45-E52FC60F1C9C}" id="{C7B7A2C3-0415-416B-8F06-AFE6F20E9401}" parentId="{A8D0E0A0-9680-47B0-A47D-04D37725C800}">
    <text>https://timesofindia.indiatimes.com/business/india-business/lenskart-eyes-10-billion-valuation-plans-1-billion-ipo-at-double-its-2024-value/articleshow/118321843.cms</text>
    <extLst>
      <x:ext xmlns:xltc2="http://schemas.microsoft.com/office/spreadsheetml/2020/threadedcomments2" uri="{F7C98A9C-CBB3-438F-8F68-D28B6AF4A901}">
        <xltc2:checksum>3424651152</xltc2:checksum>
        <xltc2:hyperlink startIndex="0" length="165" url="https://timesofindia.indiatimes.com/business/india-business/lenskart-eyes-10-billion-valuation-plans-1-billion-ipo-at-double-its-2024-value/articleshow/118321843.cms"/>
      </x:ext>
    </extLst>
  </threadedComment>
  <threadedComment ref="BP44" dT="2024-05-12T14:47:38.71" personId="{5FF1EC60-44F1-495B-BD45-E52FC60F1C9C}" id="{4000468B-6F28-4736-A003-5B88C8F6A985}">
    <text>Per Tech Crunch: SoftBank invested $450m in $1.25bn funding round in July '21 at a post-money valuation of $4.9bn/$5.5bn giving SVF2 an 8-9% equity stake.</text>
  </threadedComment>
  <threadedComment ref="BP44" dT="2024-05-12T14:47:43.71" personId="{5FF1EC60-44F1-495B-BD45-E52FC60F1C9C}" id="{2E8C9F2E-9264-4555-8A8A-2A16C0B40776}" parentId="{4000468B-6F28-4736-A003-5B88C8F6A985}">
    <text>https://techcrunch.com/2021/07/20/indian-food-delivery-startup-swiggy-raises-1-25-billion-led-by-softbank-and-prosus/</text>
    <extLst>
      <x:ext xmlns:xltc2="http://schemas.microsoft.com/office/spreadsheetml/2020/threadedcomments2" uri="{F7C98A9C-CBB3-438F-8F68-D28B6AF4A901}">
        <xltc2:checksum>573034353</xltc2:checksum>
        <xltc2:hyperlink startIndex="0" length="117" url="https://techcrunch.com/2021/07/20/indian-food-delivery-startup-swiggy-raises-1-25-billion-led-by-softbank-and-prosus/"/>
      </x:ext>
    </extLst>
  </threadedComment>
  <threadedComment ref="BP44" dT="2024-05-12T14:51:49.06" personId="{5FF1EC60-44F1-495B-BD45-E52FC60F1C9C}" id="{1532E916-8C08-4C5D-BAE0-4E13A260F0F7}" parentId="{4000468B-6F28-4736-A003-5B88C8F6A985}">
    <text>Per The Economic Times (India): Invesco marked up Swiggy valuation to $12.7bn ahead of potential IPO (filed for IPO in April '24) with Baron previously increasing its own estimated valuation to $12.1bn in March '24. $12.1bn x 9% = $1.1bn fair value for SVF2.</text>
  </threadedComment>
  <threadedComment ref="BP44" dT="2024-05-12T14:51:56.61" personId="{5FF1EC60-44F1-495B-BD45-E52FC60F1C9C}" id="{2ACAC081-3FAC-46A8-A15C-F5D5F59B7C25}" parentId="{4000468B-6F28-4736-A003-5B88C8F6A985}">
    <text>https://economictimes.indiatimes.com/tech/startups/invesco-marks-swiggy-valuation-at-12-7-billion-up-18-from-last-fundraise/articleshow/109157973.cms?from=mdr</text>
    <extLst>
      <x:ext xmlns:xltc2="http://schemas.microsoft.com/office/spreadsheetml/2020/threadedcomments2" uri="{F7C98A9C-CBB3-438F-8F68-D28B6AF4A901}">
        <xltc2:checksum>1916725655</xltc2:checksum>
        <xltc2:hyperlink startIndex="0" length="158" url="https://economictimes.indiatimes.com/tech/startups/invesco-marks-swiggy-valuation-at-12-7-billion-up-18-from-last-fundraise/articleshow/109157973.cms?from=mdr"/>
      </x:ext>
    </extLst>
  </threadedComment>
  <threadedComment ref="BH45" dT="2025-04-30T13:38:56.63" personId="{5FF1EC60-44F1-495B-BD45-E52FC60F1C9C}" id="{C91CEA2E-2CC3-4AEA-AF3A-B786665E324D}">
    <text>Swiggy Limited + Ola Electric Mobility Limited.</text>
  </threadedComment>
  <threadedComment ref="BM45" dT="2024-05-12T14:41:24.93" personId="{5FF1EC60-44F1-495B-BD45-E52FC60F1C9C}" id="{626D60DF-FE6F-4641-B516-8D332171D04A}">
    <text>Per Tech Crunch: SVF invested $275m in Series G funding round in December '19 at $1.5bn valuation i.e., 18.3% implied stake.</text>
  </threadedComment>
  <threadedComment ref="BM45" dT="2024-05-12T14:41:30.61" personId="{5FF1EC60-44F1-495B-BD45-E52FC60F1C9C}" id="{B6A98B04-A8CE-4030-B028-6D0E09F1AC5F}" parentId="{626D60DF-FE6F-4641-B516-8D332171D04A}">
    <text>https://techcrunch.com/2019/12/20/softbank-lenskart-india/</text>
    <extLst>
      <x:ext xmlns:xltc2="http://schemas.microsoft.com/office/spreadsheetml/2020/threadedcomments2" uri="{F7C98A9C-CBB3-438F-8F68-D28B6AF4A901}">
        <xltc2:checksum>2211499252</xltc2:checksum>
        <xltc2:hyperlink startIndex="0" length="58" url="https://techcrunch.com/2019/12/20/softbank-lenskart-india/"/>
      </x:ext>
    </extLst>
  </threadedComment>
  <threadedComment ref="BM45" dT="2024-05-12T14:43:19.28" personId="{5FF1EC60-44F1-495B-BD45-E52FC60F1C9C}" id="{72A5DA8C-AF7B-4168-90E9-C524D54D7435}" parentId="{626D60DF-FE6F-4641-B516-8D332171D04A}">
    <text>Per The Economic Times (India): Temasek &amp; Fidelity could be investing $200m this year (article from April '24) in Lenskart at $5bn valuation. Article notes that SoftBank is the largest institutional investor in Lenskart with 16.5% stake but is not selling down via latest funding round. Prior valuation at $4.5bn so we take 16.5% x $4.5bn = $745m valuation.</text>
  </threadedComment>
  <threadedComment ref="BM45" dT="2024-05-12T14:43:24.76" personId="{5FF1EC60-44F1-495B-BD45-E52FC60F1C9C}" id="{B34A5D58-96B3-42F0-9557-02615FE6954B}" parentId="{626D60DF-FE6F-4641-B516-8D332171D04A}">
    <text>https://economictimes.indiatimes.com/tech/funding/temasek-fidelity-may-invest-200-million-in-lenskart-at-5-billion-valuation/articleshow/109572374.cms?from=mdr</text>
    <extLst>
      <x:ext xmlns:xltc2="http://schemas.microsoft.com/office/spreadsheetml/2020/threadedcomments2" uri="{F7C98A9C-CBB3-438F-8F68-D28B6AF4A901}">
        <xltc2:checksum>2834173597</xltc2:checksum>
        <xltc2:hyperlink startIndex="0" length="159" url="https://economictimes.indiatimes.com/tech/funding/temasek-fidelity-may-invest-200-million-in-lenskart-at-5-billion-valuation/articleshow/109572374.cms?from=mdr"/>
      </x:ext>
    </extLst>
  </threadedComment>
  <threadedComment ref="BM45" dT="2024-07-18T12:34:46.48" personId="{5FF1EC60-44F1-495B-BD45-E52FC60F1C9C}" id="{8571768B-7A6A-4B5E-9AAC-77AAE6CB70AE}" parentId="{626D60DF-FE6F-4641-B516-8D332171D04A}">
    <text>Per The Economic Times (India): in June '24 Singapore Sovereign Fund Temasek and Fidelity invested further $200m in Lenskart at a valuation of $5bn i.e., $500m/11% uplift on prior $4.5bn valuation but SoftBank's 16.5% ownership diluted by 4% (or $200m/$5bn).</text>
  </threadedComment>
  <threadedComment ref="BM45" dT="2024-07-18T12:36:42.05" personId="{5FF1EC60-44F1-495B-BD45-E52FC60F1C9C}" id="{E426B533-2C74-4C26-8595-41CE0FB1D3C0}" parentId="{626D60DF-FE6F-4641-B516-8D332171D04A}">
    <text>https://economictimes.indiatimes.com/tech/funding/peyush-bansal-other-lenskart-founders-invest-20-million-in-new-funding-round/articleshow/111838072.cms</text>
    <extLst>
      <x:ext xmlns:xltc2="http://schemas.microsoft.com/office/spreadsheetml/2020/threadedcomments2" uri="{F7C98A9C-CBB3-438F-8F68-D28B6AF4A901}">
        <xltc2:checksum>4170229742</xltc2:checksum>
        <xltc2:hyperlink startIndex="0" length="152" url="https://economictimes.indiatimes.com/tech/funding/peyush-bansal-other-lenskart-founders-invest-20-million-in-new-funding-round/articleshow/111838072.cms"/>
      </x:ext>
    </extLst>
  </threadedComment>
  <threadedComment ref="BM45" dT="2025-04-30T13:47:43.15" personId="{5FF1EC60-44F1-495B-BD45-E52FC60F1C9C}" id="{9C9A2683-C527-4192-8E82-19273B363E15}" parentId="{626D60DF-FE6F-4641-B516-8D332171D04A}">
    <text>Per Times of India: in February ‘25 Lenskart had been planning to file draft IPO documentation by May ‘25 and potentially seeking a $10bn valuation (i.e., 2x the prior $5bn mark). Note: given tariff uncertainty we anticipate a delay in the IPO so we have kept SVF2’s all-in private mark at $5bn.</text>
  </threadedComment>
  <threadedComment ref="BM45" dT="2025-04-30T13:47:51.37" personId="{5FF1EC60-44F1-495B-BD45-E52FC60F1C9C}" id="{08241DB1-E6A2-4145-95E1-7F063DB8A5B5}" parentId="{626D60DF-FE6F-4641-B516-8D332171D04A}">
    <text>https://timesofindia.indiatimes.com/business/india-business/lenskart-eyes-10-billion-valuation-plans-1-billion-ipo-at-double-its-2024-value/articleshow/118321843.cms</text>
    <extLst>
      <x:ext xmlns:xltc2="http://schemas.microsoft.com/office/spreadsheetml/2020/threadedcomments2" uri="{F7C98A9C-CBB3-438F-8F68-D28B6AF4A901}">
        <xltc2:checksum>3424651152</xltc2:checksum>
        <xltc2:hyperlink startIndex="0" length="165" url="https://timesofindia.indiatimes.com/business/india-business/lenskart-eyes-10-billion-valuation-plans-1-billion-ipo-at-double-its-2024-value/articleshow/118321843.cms"/>
      </x:ext>
    </extLst>
  </threadedComment>
  <threadedComment ref="A46" dT="2024-05-12T14:47:38.71" personId="{5FF1EC60-44F1-495B-BD45-E52FC60F1C9C}" id="{A6484E7B-634B-4A11-BF1A-6F23D24214EA}">
    <text>Per Tech Crunch: SoftBank invested $450m in $1.25bn funding round in July '21 at a post-money valuation of $4.9bn/$5.5bn giving SVF2 an 8-9% equity stake.</text>
  </threadedComment>
  <threadedComment ref="A46" dT="2024-05-12T14:47:43.71" personId="{5FF1EC60-44F1-495B-BD45-E52FC60F1C9C}" id="{4CA2375A-9F3B-44D8-900F-28C5D47FCB47}" parentId="{A6484E7B-634B-4A11-BF1A-6F23D24214EA}">
    <text>https://techcrunch.com/2021/07/20/indian-food-delivery-startup-swiggy-raises-1-25-billion-led-by-softbank-and-prosus/</text>
    <extLst>
      <x:ext xmlns:xltc2="http://schemas.microsoft.com/office/spreadsheetml/2020/threadedcomments2" uri="{F7C98A9C-CBB3-438F-8F68-D28B6AF4A901}">
        <xltc2:checksum>573034353</xltc2:checksum>
        <xltc2:hyperlink startIndex="0" length="117" url="https://techcrunch.com/2021/07/20/indian-food-delivery-startup-swiggy-raises-1-25-billion-led-by-softbank-and-prosus/"/>
      </x:ext>
    </extLst>
  </threadedComment>
  <threadedComment ref="A46" dT="2024-05-12T14:51:49.06" personId="{5FF1EC60-44F1-495B-BD45-E52FC60F1C9C}" id="{FA900161-6AA7-4814-8AFB-5159EC8F3778}" parentId="{A6484E7B-634B-4A11-BF1A-6F23D24214EA}">
    <text>Per The Economic Times (India): Invesco marked up Swiggy valuation to $12.7bn ahead of potential IPO (filed for IPO in April '24) with Baron previously increasing its own estimated valuation to $12.1bn in March '24. $12.1bn x 9% = $1.1bn fair value for SVF2.</text>
  </threadedComment>
  <threadedComment ref="A46" dT="2024-05-12T14:51:56.61" personId="{5FF1EC60-44F1-495B-BD45-E52FC60F1C9C}" id="{470DAC5A-3B09-4000-A0D3-40D583271589}" parentId="{A6484E7B-634B-4A11-BF1A-6F23D24214EA}">
    <text>https://economictimes.indiatimes.com/tech/startups/invesco-marks-swiggy-valuation-at-12-7-billion-up-18-from-last-fundraise/articleshow/109157973.cms?from=mdr</text>
    <extLst>
      <x:ext xmlns:xltc2="http://schemas.microsoft.com/office/spreadsheetml/2020/threadedcomments2" uri="{F7C98A9C-CBB3-438F-8F68-D28B6AF4A901}">
        <xltc2:checksum>1916725655</xltc2:checksum>
        <xltc2:hyperlink startIndex="0" length="158" url="https://economictimes.indiatimes.com/tech/startups/invesco-marks-swiggy-valuation-at-12-7-billion-up-18-from-last-fundraise/articleshow/109157973.cms?from=mdr"/>
      </x:ext>
    </extLst>
  </threadedComment>
  <threadedComment ref="A46" dT="2024-07-30T22:08:13.00" personId="{5FF1EC60-44F1-495B-BD45-E52FC60F1C9C}" id="{49F134C7-4076-4409-98D6-838C83353DD6}" parentId="{A6484E7B-634B-4A11-BF1A-6F23D24214EA}">
    <text>Assumptions: we marked up SBG's 8-9% Swiggy Priv. Ltd. Stake by $50m (from $1.1bn to $1.15bn) to reflect ET reporting that both Invesco/Baron Capital had marked up their valuations to $12.7bn/$12.1bn respectively (ahead of $1bn IPO) i.e., we took an 8-9% share of $600m increase in valuation to get to Invesco's latest mark.</text>
  </threadedComment>
  <threadedComment ref="BP46" dT="2024-05-12T15:02:06.27" personId="{5FF1EC60-44F1-495B-BD45-E52FC60F1C9C}" id="{AFFFF9A8-2BAB-4432-9494-D5ABCB00655C}">
    <text>SoftBank carried out a sole $1.7bn funding round for Yanolja in July '21.</text>
  </threadedComment>
  <threadedComment ref="BP46" dT="2024-05-12T15:02:10.93" personId="{5FF1EC60-44F1-495B-BD45-E52FC60F1C9C}" id="{74B3E32F-8D07-4119-A019-B67BFE3034D6}" parentId="{AFFFF9A8-2BAB-4432-9494-D5ABCB00655C}">
    <text>https://www.prnewswire.com/news-releases/yanolja-raises-usd-1-7-billion-in-new-funding-from-softbank-vision-fund-2--301334416.html#:~:text=SEOUL%2C%20South%20Korea%2C%20July%2015,largest%20technology%2Dfocused%20investment%20funds.</text>
    <extLst>
      <x:ext xmlns:xltc2="http://schemas.microsoft.com/office/spreadsheetml/2020/threadedcomments2" uri="{F7C98A9C-CBB3-438F-8F68-D28B6AF4A901}">
        <xltc2:checksum>1069918672</xltc2:checksum>
        <xltc2:hyperlink startIndex="0" length="230" url="https://www.prnewswire.com/news-releases/yanolja-raises-usd-1-7-billion-in-new-funding-from-softbank-vision-fund-2--301334416.html#:~:text=SEOUL%2C%20South%20Korea%2C%20July%2015,largest%20technology%2Dfocused%20investment%20funds"/>
      </x:ext>
    </extLst>
  </threadedComment>
  <threadedComment ref="BP46" dT="2024-05-12T15:03:40.63" personId="{5FF1EC60-44F1-495B-BD45-E52FC60F1C9C}" id="{A44D3C3E-A8A2-4D9D-81C7-5BFF7779E186}" parentId="{AFFFF9A8-2BAB-4432-9494-D5ABCB00655C}">
    <text>Pre Bloomberg report: Yanolja valuation reportedly &gt;$9bn based on SoftBank funding round i.e., SoftBank holds up to 19% equity stake in Yanolja.</text>
  </threadedComment>
  <threadedComment ref="BP46" dT="2024-05-12T15:03:46.70" personId="{5FF1EC60-44F1-495B-BD45-E52FC60F1C9C}" id="{3255DB5E-7E91-4C2E-94AD-42CAEFB3BF0B}" parentId="{AFFFF9A8-2BAB-4432-9494-D5ABCB00655C}">
    <text>https://www.bloomberg.com/news/articles/2021-07-15/softbank-invests-1-7-billion-in-korea-s-yanolja-ahead-of-ipo?embedded-checkout=true</text>
    <extLst>
      <x:ext xmlns:xltc2="http://schemas.microsoft.com/office/spreadsheetml/2020/threadedcomments2" uri="{F7C98A9C-CBB3-438F-8F68-D28B6AF4A901}">
        <xltc2:checksum>821239001</xltc2:checksum>
        <xltc2:hyperlink startIndex="0" length="134" url="https://www.bloomberg.com/news/articles/2021-07-15/softbank-invests-1-7-billion-in-korea-s-yanolja-ahead-of-ipo?embedded-checkout=true"/>
      </x:ext>
    </extLst>
  </threadedComment>
  <threadedComment ref="BQ46" dT="2024-05-12T15:06:04.00" personId="{5FF1EC60-44F1-495B-BD45-E52FC60F1C9C}" id="{4145E92B-C049-47A5-BA97-9A50E1BA9D02}">
    <text>Per The Korea Herald: OTC market implies Yanolja valuation down circa 50% (5 trillion won vs. 10 trillion won) since SoftBank funding round although saying IPO valuation &gt;10 trillion which would put SVF2 back in the green.</text>
  </threadedComment>
  <threadedComment ref="BQ46" dT="2024-05-12T15:06:06.16" personId="{5FF1EC60-44F1-495B-BD45-E52FC60F1C9C}" id="{A1D7CD21-0CC9-437A-9912-AA92F9E5566D}" parentId="{4145E92B-C049-47A5-BA97-9A50E1BA9D02}">
    <text>https://www.koreaherald.com/view.php?ud=20240313050593#:~:text=The%20company%20aims%20to%20launch,at%20around%205.3%20trillion%20won.</text>
    <extLst>
      <x:ext xmlns:xltc2="http://schemas.microsoft.com/office/spreadsheetml/2020/threadedcomments2" uri="{F7C98A9C-CBB3-438F-8F68-D28B6AF4A901}">
        <xltc2:checksum>1259863565</xltc2:checksum>
        <xltc2:hyperlink startIndex="0" length="132" url="https://www.koreaherald.com/view.php?ud=20240313050593#:~:text=The%20company%20aims%20to%20launch,at%20around%205.3%20trillion%20won"/>
      </x:ext>
    </extLst>
  </threadedComment>
  <threadedComment ref="BS46" dT="2025-04-30T13:40:23.68" personId="{5FF1EC60-44F1-495B-BD45-E52FC60F1C9C}" id="{4130C4AE-CED5-423E-A134-D2E53D300459}">
    <text>Lenskart Solutions + Yanolja Group.</text>
  </threadedComment>
  <threadedComment ref="BP47" dT="2024-05-12T14:58:04.45" personId="{5FF1EC60-44F1-495B-BD45-E52FC60F1C9C}" id="{CF7279E1-14F3-48B4-98CD-EC48C328EB8B}">
    <text>Per SoftBank IR: SVF2 has invested "just under $1bn" in Revolut. Per Revolut Series E funding press release, SBG led an $800m Series E funding round at $33bn valuation in July '21 i.e., we assume over time in '21 SBG acquires a 2.5% equity stake in Revolut.</text>
  </threadedComment>
  <threadedComment ref="BP47" dT="2024-05-12T14:58:07.00" personId="{5FF1EC60-44F1-495B-BD45-E52FC60F1C9C}" id="{047F1987-8AE7-46C3-8090-071744568CF8}" parentId="{CF7279E1-14F3-48B4-98CD-EC48C328EB8B}">
    <text>https://www.revolut.com/en-US/news/revolut_raises_800m_series_e_funding_from_softbank_vision_fund_2_and_tiger_global/</text>
    <extLst>
      <x:ext xmlns:xltc2="http://schemas.microsoft.com/office/spreadsheetml/2020/threadedcomments2" uri="{F7C98A9C-CBB3-438F-8F68-D28B6AF4A901}">
        <xltc2:checksum>2541820822</xltc2:checksum>
        <xltc2:hyperlink startIndex="0" length="117" url="https://www.revolut.com/en-US/news/revolut_raises_800m_series_e_funding_from_softbank_vision_fund_2_and_tiger_global/"/>
      </x:ext>
    </extLst>
  </threadedComment>
  <threadedComment ref="BP47" dT="2024-05-12T14:59:19.77" personId="{5FF1EC60-44F1-495B-BD45-E52FC60F1C9C}" id="{693E1FA5-4D5C-47FA-885B-351842EF1D6B}" parentId="{CF7279E1-14F3-48B4-98CD-EC48C328EB8B}">
    <text>Revolut valuation fell dramatically post-SBG investment but Bloomberg reports in April '24 that shareholders increasing mark back to &gt;$25bn valuation i.e., SoftBank stake worth perhaps $600m.</text>
  </threadedComment>
  <threadedComment ref="BP47" dT="2024-05-12T14:59:30.39" personId="{5FF1EC60-44F1-495B-BD45-E52FC60F1C9C}" id="{466BEBC4-EE73-4BAF-9166-3AF3FCC0D0E6}" parentId="{CF7279E1-14F3-48B4-98CD-EC48C328EB8B}">
    <text>https://www.bloomberg.com/news/articles/2024-04-15/revolut-valuation-raised-by-investor-schroders-as-fintech-fortunes-rebound?embedded-checkout=true</text>
    <extLst>
      <x:ext xmlns:xltc2="http://schemas.microsoft.com/office/spreadsheetml/2020/threadedcomments2" uri="{F7C98A9C-CBB3-438F-8F68-D28B6AF4A901}">
        <xltc2:checksum>3220811739</xltc2:checksum>
        <xltc2:hyperlink startIndex="0" length="148" url="https://www.bloomberg.com/news/articles/2024-04-15/revolut-valuation-raised-by-investor-schroders-as-fintech-fortunes-rebound?embedded-checkout=true"/>
      </x:ext>
    </extLst>
  </threadedComment>
  <threadedComment ref="BS47" dT="2025-04-30T13:38:56.63" personId="{5FF1EC60-44F1-495B-BD45-E52FC60F1C9C}" id="{DF8041EF-D145-45C7-86B7-52D9B4164E2E}">
    <text>Swiggy Limited + Ola Electric Mobility Limited.</text>
  </threadedComment>
  <threadedComment ref="BH49" dT="2025-04-30T13:40:23.68" personId="{5FF1EC60-44F1-495B-BD45-E52FC60F1C9C}" id="{7D8FFC06-0B97-4B1F-8447-AFFA533B36B9}">
    <text>Lenskart Solutions + Yanolja Group.</text>
  </threadedComment>
  <threadedComment ref="AS140" dT="2025-02-05T19:06:25.37" personId="{5FF1EC60-44F1-495B-BD45-E52FC60F1C9C}" id="{5DFF48CA-7833-4C8B-876A-B7820DAB7DDF}">
    <text>OpenAI raised $6.6bn at $157bn post-money valuation in Sep. ‘24 with SVF2 investing $500m (see links below).</text>
  </threadedComment>
  <threadedComment ref="AS140" dT="2025-02-05T19:06:46.06" personId="{5FF1EC60-44F1-495B-BD45-E52FC60F1C9C}" id="{1262CFDF-D515-4A41-9A85-5554F9544136}" parentId="{5DFF48CA-7833-4C8B-876A-B7820DAB7DDF}">
    <text>https://openai.com/index/scale-the-benefits-of-ai/</text>
    <extLst>
      <x:ext xmlns:xltc2="http://schemas.microsoft.com/office/spreadsheetml/2020/threadedcomments2" uri="{F7C98A9C-CBB3-438F-8F68-D28B6AF4A901}">
        <xltc2:checksum>3075784989</xltc2:checksum>
        <xltc2:hyperlink startIndex="0" length="50" url="https://openai.com/index/scale-the-benefits-of-ai/"/>
      </x:ext>
    </extLst>
  </threadedComment>
  <threadedComment ref="AS140" dT="2025-02-05T19:07:13.60" personId="{5FF1EC60-44F1-495B-BD45-E52FC60F1C9C}" id="{5250D514-ECBE-4A67-BEE4-3DCE37DF186B}" parentId="{5DFF48CA-7833-4C8B-876A-B7820DAB7DDF}">
    <text>https://group.softbank/system/files/pdf/ir/presentations/2024/investor-svf_q2fy2024_01_en.pdf</text>
    <extLst>
      <x:ext xmlns:xltc2="http://schemas.microsoft.com/office/spreadsheetml/2020/threadedcomments2" uri="{F7C98A9C-CBB3-438F-8F68-D28B6AF4A901}">
        <xltc2:checksum>1641495965</xltc2:checksum>
        <xltc2:hyperlink startIndex="0" length="93" url="https://group.softbank/system/files/pdf/ir/presentations/2024/investor-svf_q2fy2024_01_en.pdf"/>
      </x:ext>
    </extLst>
  </threadedComment>
  <threadedComment ref="AU140" dT="2025-11-19T11:18:31.55" personId="{5FF1EC60-44F1-495B-BD45-E52FC60F1C9C}" id="{772E82ED-E7CF-49B7-9CD4-F83162D575E2}">
    <text>See “OpenAI SBG rough” tab for workings, based on pgs.4-5 of F2Q “Accounting” slides: SoftBank recognised $1.1bn SVF gain in P&amp;L at FY24 for OpenAI investment.</text>
  </threadedComment>
  <threadedComment ref="AU140" dT="2025-11-19T11:20:50.15" personId="{5FF1EC60-44F1-495B-BD45-E52FC60F1C9C}" id="{D8669F3B-4C85-446B-A126-049F4B0606D3}" parentId="{772E82ED-E7CF-49B7-9CD4-F83162D575E2}">
    <text>https://group.softbank/media/Project/sbg/sbg/pdf/ir/presentations/2025/investor-presentation_q2fy2025_01_en.pdf</text>
    <extLst>
      <x:ext xmlns:xltc2="http://schemas.microsoft.com/office/spreadsheetml/2020/threadedcomments2" uri="{F7C98A9C-CBB3-438F-8F68-D28B6AF4A901}">
        <xltc2:checksum>166201008</xltc2:checksum>
        <xltc2:hyperlink startIndex="0" length="111" url="https://group.softbank/media/Project/sbg/sbg/pdf/ir/presentations/2025/investor-presentation_q2fy2025_01_en.pdf"/>
      </x:ext>
    </extLst>
  </threadedComment>
  <threadedComment ref="AW140" dT="2025-04-30T10:15:56.57" personId="{5FF1EC60-44F1-495B-BD45-E52FC60F1C9C}" id="{5A529D9F-36F7-4716-AA3C-49224BC3383F}">
    <text>We adjust SVF2’s OpenAI mark to Apr. ‘25 $300bn post-money valuation for SBG’s syndicated $40bn OpenAI Global LLC investment. Note: dilution of prior investment for First Closing ($10bn in Apr. ‘25) only.</text>
  </threadedComment>
  <threadedComment ref="AW140" dT="2025-04-30T10:16:00.13" personId="{5FF1EC60-44F1-495B-BD45-E52FC60F1C9C}" id="{C2A858C9-EDD7-4FDD-B18D-BC96B75E7D71}" parentId="{5A529D9F-36F7-4716-AA3C-49224BC3383F}">
    <text>https://group.softbank/en/news/press/20250401</text>
    <extLst>
      <x:ext xmlns:xltc2="http://schemas.microsoft.com/office/spreadsheetml/2020/threadedcomments2" uri="{F7C98A9C-CBB3-438F-8F68-D28B6AF4A901}">
        <xltc2:checksum>1182336408</xltc2:checksum>
        <xltc2:hyperlink startIndex="0" length="45" url="https://group.softbank/en/news/press/20250401"/>
      </x:ext>
    </extLst>
  </threadedComment>
  <threadedComment ref="AW140" dT="2025-11-19T11:23:16.98" personId="{5FF1EC60-44F1-495B-BD45-E52FC60F1C9C}" id="{73914353-40D2-47FD-AFEE-AED68AF3D1CB}" parentId="{5A529D9F-36F7-4716-AA3C-49224BC3383F}">
    <text>See “OpenAI SBG rough” tab for workings, based on pgs.4-5 of F2Q “Accounting” slides: SoftBank recognised $1.1bn SVF gain in P&amp;L at FY24 for OpenAI investment.</text>
  </threadedComment>
  <threadedComment ref="AW140" dT="2025-11-19T11:23:24.28" personId="{5FF1EC60-44F1-495B-BD45-E52FC60F1C9C}" id="{B1D3624A-C21A-46EC-B977-CA1D1CE57A2C}" parentId="{5A529D9F-36F7-4716-AA3C-49224BC3383F}">
    <text>https://group.softbank/media/Project/sbg/sbg/pdf/ir/presentations/2025/investor-presentation_q2fy2025_01_en.pdf</text>
    <extLst>
      <x:ext xmlns:xltc2="http://schemas.microsoft.com/office/spreadsheetml/2020/threadedcomments2" uri="{F7C98A9C-CBB3-438F-8F68-D28B6AF4A901}">
        <xltc2:checksum>166201008</xltc2:checksum>
        <xltc2:hyperlink startIndex="0" length="111" url="https://group.softbank/media/Project/sbg/sbg/pdf/ir/presentations/2025/investor-presentation_q2fy2025_01_en.pdf"/>
      </x:ext>
    </extLst>
  </threadedComment>
  <threadedComment ref="AX142" dT="2025-11-19T11:38:07.62" personId="{5FF1EC60-44F1-495B-BD45-E52FC60F1C9C}" id="{9053761C-B4BE-4064-8E0F-D900F63E45C4}">
    <text>During F2Q SBG’s “OpenAI Forward Contract” was transferred to SVF2: per pgs.4-5 of F2Q “Accounting” slides: TopCo recognised $1.8bn of $8bn recorded gain on “OpenAI Forward Contract” with SVF2 recognising the remaining $6.2bn (i.e., implying that SVF2 effectively acquired the “OpenAI Forward Contract” from TopCo for $1.8bn in cash).</text>
  </threadedComment>
  <threadedComment ref="AR146" dT="2025-04-30T09:45:18.11" personId="{5FF1EC60-44F1-495B-BD45-E52FC60F1C9C}" id="{1BBAD50C-8E27-49E6-8563-5273C4D6BDD1}">
    <text>Per Reuters article: SoftBank Vision Fund 2 invested $10m-$20m in Perplexity AI at $3bn valuation in June ‘24 as part of Perplexity AI’s $250m Series C funding round.</text>
  </threadedComment>
  <threadedComment ref="AR146" dT="2025-04-30T09:45:20.84" personId="{5FF1EC60-44F1-495B-BD45-E52FC60F1C9C}" id="{68E8AA98-428D-455D-946E-C1B708F18A35}" parentId="{1BBAD50C-8E27-49E6-8563-5273C4D6BDD1}">
    <text>https://www.reuters.com/technology/artificial-intelligence/softbank-invest-search-startup-perplexity-ai-3-bln-valuation-bloomberg-reports-2024-06-27/#:~:text=SoftBank%20to%20invest%20in%20search,bln%20valuation%2C%20Bloomberg%20reports%20%7C%20Reuters</text>
    <extLst>
      <x:ext xmlns:xltc2="http://schemas.microsoft.com/office/spreadsheetml/2020/threadedcomments2" uri="{F7C98A9C-CBB3-438F-8F68-D28B6AF4A901}">
        <xltc2:checksum>1798746667</xltc2:checksum>
        <xltc2:hyperlink startIndex="0" length="251" url="https://www.reuters.com/technology/artificial-intelligence/softbank-invest-search-startup-perplexity-ai-3-bln-valuation-bloomberg-reports-2024-06-27/#:~:text=SoftBank%20to%20invest%20in%20search,bln%20valuation%2C%20Bloomberg%20reports%20%7C%20Reuters"/>
      </x:ext>
    </extLst>
  </threadedComment>
  <threadedComment ref="AR146" dT="2025-04-30T09:46:22.60" personId="{5FF1EC60-44F1-495B-BD45-E52FC60F1C9C}" id="{6783E378-9F89-41A9-BD93-4F653ED57AE3}" parentId="{1BBAD50C-8E27-49E6-8563-5273C4D6BDD1}">
    <text>See slide 15 of F1Q24 SVF earnings presentation: https://group.softbank/media/Project/sbg/sbg/pdf/ir/presentations/2024/investor-svf_q1fy2024_01_en.pdf.</text>
    <extLst>
      <x:ext xmlns:xltc2="http://schemas.microsoft.com/office/spreadsheetml/2020/threadedcomments2" uri="{F7C98A9C-CBB3-438F-8F68-D28B6AF4A901}">
        <xltc2:checksum>2762870618</xltc2:checksum>
        <xltc2:hyperlink startIndex="49" length="102" url="https://group.softbank/media/Project/sbg/sbg/pdf/ir/presentations/2024/investor-svf_q1fy2024_01_en.pdf"/>
      </x:ext>
    </extLst>
  </threadedComment>
  <threadedComment ref="AT146" dT="2025-04-30T09:55:36.26" personId="{5FF1EC60-44F1-495B-BD45-E52FC60F1C9C}" id="{8A69063E-4ED5-4E2D-A6FF-BC9F8484F89C}">
    <text>Per Bloomberg reports: Perplexity AI closed a $500m Series D funding round in Dec. ‘24 at $9bn valuation or approximately 3x Series C valuation at time of SVF2 original investment. Note: it is unclear whether SoftBank participated in this Series D funding round (at this point had committed to OpenAI by investing $500m in $6.6bn/$157bn funding round in Sep. ‘24).</text>
  </threadedComment>
  <threadedComment ref="AT146" dT="2025-04-30T09:55:44.18" personId="{5FF1EC60-44F1-495B-BD45-E52FC60F1C9C}" id="{CEB38D3D-F547-4B9F-AC8D-83880D9E6D4D}" parentId="{8A69063E-4ED5-4E2D-A6FF-BC9F8484F89C}">
    <text>https://www.verdict.co.uk/perplexity-raises-500m/</text>
    <extLst>
      <x:ext xmlns:xltc2="http://schemas.microsoft.com/office/spreadsheetml/2020/threadedcomments2" uri="{F7C98A9C-CBB3-438F-8F68-D28B6AF4A901}">
        <xltc2:checksum>3077075067</xltc2:checksum>
        <xltc2:hyperlink startIndex="0" length="49" url="https://www.verdict.co.uk/perplexity-raises-500m/"/>
      </x:ext>
    </extLst>
  </threadedComment>
  <threadedComment ref="AW146" dT="2025-04-30T10:03:04.99" personId="{5FF1EC60-44F1-495B-BD45-E52FC60F1C9C}" id="{E2FB3A25-C0B5-472B-B680-01ECD1A2BE3E}">
    <text>Per CNBC: Perplexity AI is in talks to raise an additional $500m-$1bn at an $18bn post-money valuation.</text>
  </threadedComment>
  <threadedComment ref="AW146" dT="2025-04-30T10:03:30.84" personId="{5FF1EC60-44F1-495B-BD45-E52FC60F1C9C}" id="{C0037C1D-F621-4FB1-92CD-3C5937036A13}" parentId="{E2FB3A25-C0B5-472B-B680-01ECD1A2BE3E}">
    <text>https://www.cnbc.com/2025/03/20/perplexity-in-talks-to-double-valuation-to-18-billion-via-new-funding.html</text>
    <extLst>
      <x:ext xmlns:xltc2="http://schemas.microsoft.com/office/spreadsheetml/2020/threadedcomments2" uri="{F7C98A9C-CBB3-438F-8F68-D28B6AF4A901}">
        <xltc2:checksum>3706888040</xltc2:checksum>
        <xltc2:hyperlink startIndex="0" length="106" url="https://www.cnbc.com/2025/03/20/perplexity-in-talks-to-double-valuation-to-18-billion-via-new-funding.html"/>
      </x:ext>
    </extLst>
  </threadedComment>
  <threadedComment ref="AW146" dT="2025-07-30T13:50:33.06" personId="{5FF1EC60-44F1-495B-BD45-E52FC60F1C9C}" id="{D0980F4F-DC45-4B09-8517-92CFBBAB50E5}" parentId="{E2FB3A25-C0B5-472B-B680-01ECD1A2BE3E}">
    <text>Per various reports: Perplexity AI later secured $500m of additional funding at $14bn valuation (and some reports of SVF2 participating in this $500m funding round).</text>
  </threadedComment>
  <threadedComment ref="AW146" dT="2025-07-30T13:50:39.90" personId="{5FF1EC60-44F1-495B-BD45-E52FC60F1C9C}" id="{0E15B208-62A0-453A-8E82-6C2B87912F79}" parentId="{E2FB3A25-C0B5-472B-B680-01ECD1A2BE3E}">
    <text>https://www.perplexity.ai/discover/top/perplexity-ai-wrapping-talks-t-lkMydBK6QFuNZI6P5sg0Hw#:~:text=As%20reported%20by%20NBC%20and,billion%20valuation%20in%20December%202024.</text>
    <extLst>
      <x:ext xmlns:xltc2="http://schemas.microsoft.com/office/spreadsheetml/2020/threadedcomments2" uri="{F7C98A9C-CBB3-438F-8F68-D28B6AF4A901}">
        <xltc2:checksum>1678971331</xltc2:checksum>
        <xltc2:hyperlink startIndex="0" length="174" url="https://www.perplexity.ai/discover/top/perplexity-ai-wrapping-talks-t-lkMydBK6QFuNZI6P5sg0Hw#:~:text=As%20reported%20by%20NBC%20and,billion%20valuation%20in%20December%202024"/>
      </x:ext>
    </extLst>
  </threadedComment>
  <threadedComment ref="AX146" dT="2025-07-30T13:53:31.87" personId="{5FF1EC60-44F1-495B-BD45-E52FC60F1C9C}" id="{E973114A-145F-4C6D-BC43-5542CA54CCEB}">
    <text>Per Financial Times: Perplexity AI secured another $100m of funding at $18bn valuation in July ‘25 (annualised revenues of $150m as of July ‘25 indicating a P/S multiple of 120).</text>
  </threadedComment>
  <threadedComment ref="AX146" dT="2025-07-30T13:53:39.78" personId="{5FF1EC60-44F1-495B-BD45-E52FC60F1C9C}" id="{3BCC233F-5D15-4736-A326-A0E9DA10B3BC}" parentId="{E973114A-145F-4C6D-BC43-5542CA54CCEB}">
    <text>https://www.ft.com/content/4e05a5c5-84ad-4f8a-991a-d7f3842de76d</text>
    <extLst>
      <x:ext xmlns:xltc2="http://schemas.microsoft.com/office/spreadsheetml/2020/threadedcomments2" uri="{F7C98A9C-CBB3-438F-8F68-D28B6AF4A901}">
        <xltc2:checksum>4186180028</xltc2:checksum>
        <xltc2:hyperlink startIndex="0" length="63" url="https://www.ft.com/content/4e05a5c5-84ad-4f8a-991a-d7f3842de76d"/>
      </x:ext>
    </extLst>
  </threadedComment>
  <threadedComment ref="AY146" dT="2025-11-06T08:28:53.71" personId="{5FF1EC60-44F1-495B-BD45-E52FC60F1C9C}" id="{9834126B-842C-4D18-8B89-58F43158AD40}">
    <text>https://www.theinformation.com/briefings/perplexity-finalizes-20-billion-valuation-round?utm_source=chatgpt.com&amp;rc=oyp3ga</text>
    <extLst>
      <x:ext xmlns:xltc2="http://schemas.microsoft.com/office/spreadsheetml/2020/threadedcomments2" uri="{F7C98A9C-CBB3-438F-8F68-D28B6AF4A901}">
        <xltc2:checksum>4022586718</xltc2:checksum>
        <xltc2:hyperlink startIndex="0" length="121" url="https://www.theinformation.com/briefings/perplexity-finalizes-20-billion-valuation-round?utm_source=chatgpt.com&amp;rc=oyp3ga"/>
      </x:ext>
    </extLst>
  </threadedComment>
  <threadedComment ref="AR147" dT="2024-05-12T14:58:04.45" personId="{5FF1EC60-44F1-495B-BD45-E52FC60F1C9C}" id="{F1583FF1-09F3-4C3F-8670-D5DCADCE93DB}">
    <text>Per SoftBank IR: SVF2 has invested "just under $1bn" in Revolut. Per Revolut Series E funding press release, SBG led an $800m Series E funding round at $33bn valuation in July '21 i.e., we assume over time in '21 SBG acquires a 2.5% equity stake in Revolut.</text>
  </threadedComment>
  <threadedComment ref="AR147" dT="2024-05-12T14:58:07.00" personId="{5FF1EC60-44F1-495B-BD45-E52FC60F1C9C}" id="{AA346936-0D48-4E9A-809C-4FC4C556E3F1}" parentId="{F1583FF1-09F3-4C3F-8670-D5DCADCE93DB}">
    <text>https://www.revolut.com/en-US/news/revolut_raises_800m_series_e_funding_from_softbank_vision_fund_2_and_tiger_global/</text>
    <extLst>
      <x:ext xmlns:xltc2="http://schemas.microsoft.com/office/spreadsheetml/2020/threadedcomments2" uri="{F7C98A9C-CBB3-438F-8F68-D28B6AF4A901}">
        <xltc2:checksum>2541820822</xltc2:checksum>
        <xltc2:hyperlink startIndex="0" length="117" url="https://www.revolut.com/en-US/news/revolut_raises_800m_series_e_funding_from_softbank_vision_fund_2_and_tiger_global/"/>
      </x:ext>
    </extLst>
  </threadedComment>
  <threadedComment ref="AR147" dT="2024-05-12T14:59:19.77" personId="{5FF1EC60-44F1-495B-BD45-E52FC60F1C9C}" id="{D67FF8DC-EC2D-4703-99A8-2F694F6D5492}" parentId="{F1583FF1-09F3-4C3F-8670-D5DCADCE93DB}">
    <text>Revolut valuation fell dramatically post-SBG investment but Bloomberg reports in April '24 that shareholders increasing mark back to &gt;$25bn valuation i.e., SoftBank stake worth perhaps $600m.</text>
  </threadedComment>
  <threadedComment ref="AR147" dT="2024-05-12T14:59:30.39" personId="{5FF1EC60-44F1-495B-BD45-E52FC60F1C9C}" id="{C1EBE601-0725-43E9-A685-DC6EC86FEF49}" parentId="{F1583FF1-09F3-4C3F-8670-D5DCADCE93DB}">
    <text>https://www.bloomberg.com/news/articles/2024-04-15/revolut-valuation-raised-by-investor-schroders-as-fintech-fortunes-rebound?embedded-checkout=true</text>
    <extLst>
      <x:ext xmlns:xltc2="http://schemas.microsoft.com/office/spreadsheetml/2020/threadedcomments2" uri="{F7C98A9C-CBB3-438F-8F68-D28B6AF4A901}">
        <xltc2:checksum>3220811739</xltc2:checksum>
        <xltc2:hyperlink startIndex="0" length="148" url="https://www.bloomberg.com/news/articles/2024-04-15/revolut-valuation-raised-by-investor-schroders-as-fintech-fortunes-rebound?embedded-checkout=true"/>
      </x:ext>
    </extLst>
  </threadedComment>
  <threadedComment ref="AS147" dT="2025-04-30T13:28:35.44" personId="{5FF1EC60-44F1-495B-BD45-E52FC60F1C9C}" id="{DC67202E-CFA6-4E98-BC4A-AF1F8D4AB393}">
    <text>Per Revolut press release: Revolut carried out a secondary share sale (i.e., no dilution for SVF2 as an existing investor) in Aug. ‘24 at a $45bn valuation.</text>
  </threadedComment>
  <threadedComment ref="AS147" dT="2025-04-30T13:28:42.50" personId="{5FF1EC60-44F1-495B-BD45-E52FC60F1C9C}" id="{DFF72D9B-73F2-45DB-B154-AD7D894721E7}" parentId="{DC67202E-CFA6-4E98-BC4A-AF1F8D4AB393}">
    <text>https://www.revolut.com/news/revolut_announces_secondary_share_sale_to_provide_employee_liquidity/</text>
    <extLst>
      <x:ext xmlns:xltc2="http://schemas.microsoft.com/office/spreadsheetml/2020/threadedcomments2" uri="{F7C98A9C-CBB3-438F-8F68-D28B6AF4A901}">
        <xltc2:checksum>691555400</xltc2:checksum>
        <xltc2:hyperlink startIndex="0" length="98" url="https://www.revolut.com/news/revolut_announces_secondary_share_sale_to_provide_employee_liquidity/"/>
      </x:ext>
    </extLst>
  </threadedComment>
  <threadedComment ref="AU147" dT="2025-04-30T13:31:33.64" personId="{5FF1EC60-44F1-495B-BD45-E52FC60F1C9C}" id="{2CF6C537-DD2A-4656-9708-FD3D0649D966}">
    <text>Per City A.M.: Schroders upgraded the value of its Revolut stake to an implied all-in value for Revolut of $48bn in Mar. ‘25.</text>
  </threadedComment>
  <threadedComment ref="AU147" dT="2025-04-30T13:31:37.12" personId="{5FF1EC60-44F1-495B-BD45-E52FC60F1C9C}" id="{43AD9B45-09A3-4BA5-BFB0-8EFCF40046B2}" parentId="{2CF6C537-DD2A-4656-9708-FD3D0649D966}">
    <text>https://www.cityam.com/schroders-upgrades-revolut-stake-in-former-woodford-trust-by-85-per-cent/</text>
    <extLst>
      <x:ext xmlns:xltc2="http://schemas.microsoft.com/office/spreadsheetml/2020/threadedcomments2" uri="{F7C98A9C-CBB3-438F-8F68-D28B6AF4A901}">
        <xltc2:checksum>3449628452</xltc2:checksum>
        <xltc2:hyperlink startIndex="0" length="96" url="https://www.cityam.com/schroders-upgrades-revolut-stake-in-former-woodford-trust-by-85-per-cent/"/>
      </x:ext>
    </extLst>
  </threadedComment>
  <threadedComment ref="AY147" dT="2025-07-23T16:49:30.71" personId="{5FF1EC60-44F1-495B-BD45-E52FC60F1C9C}" id="{3EB76E0D-B021-46D3-BFAE-27C7301AEC4E}">
    <text>Per the FT: Revolut is in talks to raise new funding at $65bn valuation.</text>
  </threadedComment>
  <threadedComment ref="AY147" dT="2025-07-23T16:49:48.89" personId="{5FF1EC60-44F1-495B-BD45-E52FC60F1C9C}" id="{E21E580C-E8AB-445F-BD96-9326D278F391}" parentId="{3EB76E0D-B021-46D3-BFAE-27C7301AEC4E}">
    <text>https://www.ft.com/content/f4de3f2e-2476-4048-a035-f1f78a59922e</text>
    <extLst>
      <x:ext xmlns:xltc2="http://schemas.microsoft.com/office/spreadsheetml/2020/threadedcomments2" uri="{F7C98A9C-CBB3-438F-8F68-D28B6AF4A901}">
        <xltc2:checksum>2372392843</xltc2:checksum>
        <xltc2:hyperlink startIndex="0" length="63" url="https://www.ft.com/content/f4de3f2e-2476-4048-a035-f1f78a59922e"/>
      </x:ext>
    </extLst>
  </threadedComment>
  <threadedComment ref="AY147" dT="2025-10-30T17:41:24.80" personId="{5FF1EC60-44F1-495B-BD45-E52FC60F1C9C}" id="{98E7D747-412A-476E-A0C6-EC039B582AC4}" parentId="{3EB76E0D-B021-46D3-BFAE-27C7301AEC4E}">
    <text>Per Reuters: Revolut carried out a secondary share sale at $75bn valuation in Sep. ‘25.</text>
  </threadedComment>
  <threadedComment ref="AY147" dT="2025-10-30T17:41:29.81" personId="{5FF1EC60-44F1-495B-BD45-E52FC60F1C9C}" id="{B6CADBB3-C0F2-4B2C-8944-BF2E482B5344}" parentId="{3EB76E0D-B021-46D3-BFAE-27C7301AEC4E}">
    <text>https://www.reuters.com/business/finance/uks-revolut-kicks-off-secondary-share-sale-75-billion-valuation-source-says-2025-09-01/</text>
    <extLst>
      <x:ext xmlns:xltc2="http://schemas.microsoft.com/office/spreadsheetml/2020/threadedcomments2" uri="{F7C98A9C-CBB3-438F-8F68-D28B6AF4A901}">
        <xltc2:checksum>2724533352</xltc2:checksum>
        <xltc2:hyperlink startIndex="0" length="128" url="https://www.reuters.com/business/finance/uks-revolut-kicks-off-secondary-share-sale-75-billion-valuation-source-says-2025-09-01/"/>
      </x:ext>
    </extLst>
  </threadedComment>
  <threadedComment ref="AY147" dT="2026-02-12T17:02:35.64" personId="{5FF1EC60-44F1-495B-BD45-E52FC60F1C9C}" id="{2445A570-9CC5-424C-9BDF-C3911619D67B}" parentId="{3EB76E0D-B021-46D3-BFAE-27C7301AEC4E}">
    <text>Per Revolut press release: $75bn valuation fundraising (incl. employee share sale) completed in Nov. ‘25.</text>
  </threadedComment>
  <threadedComment ref="AY147" dT="2026-02-12T17:02:40.15" personId="{5FF1EC60-44F1-495B-BD45-E52FC60F1C9C}" id="{EFF0D392-B25C-4E5E-B2BE-FEB18C734A56}" parentId="{3EB76E0D-B021-46D3-BFAE-27C7301AEC4E}">
    <text>https://www.revolut.com/news/revolut_completes_fundraising_process_establishing_75_billion_valuation/</text>
    <extLst>
      <x:ext xmlns:xltc2="http://schemas.microsoft.com/office/spreadsheetml/2020/threadedcomments2" uri="{F7C98A9C-CBB3-438F-8F68-D28B6AF4A901}">
        <xltc2:checksum>3104047108</xltc2:checksum>
        <xltc2:hyperlink startIndex="0" length="101" url="https://www.revolut.com/news/revolut_completes_fundraising_process_establishing_75_billion_valuation/"/>
      </x:ext>
    </extLst>
  </threadedComment>
  <threadedComment ref="AU148" dT="2025-10-31T11:46:29.18" personId="{5FF1EC60-44F1-495B-BD45-E52FC60F1C9C}" id="{6B02CC52-8E34-4199-BDED-6D49D15550B5}">
    <text>Wayve Series C valuation estimate: no publicly disclosed valuation for Wayve at May ‘24 Series C but Tracxn (only available source) puts valuation at £4.4bn/$5.75bn.</text>
  </threadedComment>
  <threadedComment ref="AU148" dT="2025-10-31T11:46:32.46" personId="{5FF1EC60-44F1-495B-BD45-E52FC60F1C9C}" id="{60DA4B03-2DF6-4AB0-BA70-533C21EFDC3D}" parentId="{6B02CC52-8E34-4199-BDED-6D49D15550B5}">
    <text>https://tracxn.com/d/companies/wayve/__go5_Z58BAb4tRQ9srOvG14MIffdlqtv-Xbv6nI1E3eg</text>
    <extLst>
      <x:ext xmlns:xltc2="http://schemas.microsoft.com/office/spreadsheetml/2020/threadedcomments2" uri="{F7C98A9C-CBB3-438F-8F68-D28B6AF4A901}">
        <xltc2:checksum>213324951</xltc2:checksum>
        <xltc2:hyperlink startIndex="0" length="82" url="https://tracxn.com/d/companies/wayve/__go5_Z58BAb4tRQ9srOvG14MIffdlqtv-Xbv6nI1E3eg"/>
      </x:ext>
    </extLst>
  </threadedComment>
  <threadedComment ref="AZ148" dT="2025-10-31T11:52:48.16" personId="{5FF1EC60-44F1-495B-BD45-E52FC60F1C9C}" id="{98A69331-F521-485C-BA29-8B4248D0720D}">
    <text>FT reports that Wayve is raising $2bn from SoftBank, Microsoft, etc. at $8bn reported valuation.</text>
  </threadedComment>
  <threadedComment ref="AZ148" dT="2025-10-31T11:53:16.14" personId="{5FF1EC60-44F1-495B-BD45-E52FC60F1C9C}" id="{E092483E-89CA-4655-AABD-DA1BD6D17EB8}" parentId="{98A69331-F521-485C-BA29-8B4248D0720D}">
    <text>https://www.ft.com/content/3f6b6126-06d6-4b31-b907-30d25c8c7236</text>
    <extLst>
      <x:ext xmlns:xltc2="http://schemas.microsoft.com/office/spreadsheetml/2020/threadedcomments2" uri="{F7C98A9C-CBB3-438F-8F68-D28B6AF4A901}">
        <xltc2:checksum>2926006223</xltc2:checksum>
        <xltc2:hyperlink startIndex="0" length="63" url="https://www.ft.com/content/3f6b6126-06d6-4b31-b907-30d25c8c7236"/>
      </x:ext>
    </extLst>
  </threadedComment>
  <threadedComment ref="AX149" dT="2025-10-31T12:18:22.79" personId="{5FF1EC60-44F1-495B-BD45-E52FC60F1C9C}" id="{4AC471AC-95F9-4ED0-9D1C-88D6839B7A8C}">
    <text>Arete estimate of SoftBank participation in $10bn Series J funding round valuing Databricks at $62bn: IR has guided that initial exposure is &lt;$50m but unclear whether SoftBank went on to participate in Series K valuing Databricks at &gt;$100bn.</text>
  </threadedComment>
  <threadedComment ref="AX149" dT="2025-10-31T12:21:52.47" personId="{5FF1EC60-44F1-495B-BD45-E52FC60F1C9C}" id="{274E6CA0-DA01-4F3D-A865-5C9492C91AAC}" parentId="{4AC471AC-95F9-4ED0-9D1C-88D6839B7A8C}">
    <text>https://www.databricks.com/company/newsroom/press-releases/databricks-raising-10b-series-j-investment-62b-valuation</text>
    <extLst>
      <x:ext xmlns:xltc2="http://schemas.microsoft.com/office/spreadsheetml/2020/threadedcomments2" uri="{F7C98A9C-CBB3-438F-8F68-D28B6AF4A901}">
        <xltc2:checksum>1994250579</xltc2:checksum>
        <xltc2:hyperlink startIndex="0" length="115" url="https://www.databricks.com/company/newsroom/press-releases/databricks-raising-10b-series-j-investment-62b-valuation"/>
      </x:ext>
    </extLst>
  </threadedComment>
  <threadedComment ref="AX149" dT="2026-02-13T11:58:34.50" personId="{5FF1EC60-44F1-495B-BD45-E52FC60F1C9C}" id="{DF483E7D-AEFD-4786-9E35-5E3CF1C1FB03}" parentId="{4AC471AC-95F9-4ED0-9D1C-88D6839B7A8C}">
    <text>Databricks closed $1bn Series K funding round at &gt;$100bn valuation in Sep. ‘25: i.e., maximum 1% dilution to SoftBank as existing shareholder but unclear whether SoftBank participated in follow-on round.</text>
  </threadedComment>
  <threadedComment ref="AX149" dT="2026-02-13T11:58:38.60" personId="{5FF1EC60-44F1-495B-BD45-E52FC60F1C9C}" id="{FF5BA036-10FD-47B1-BB94-BB99D884D34C}" parentId="{4AC471AC-95F9-4ED0-9D1C-88D6839B7A8C}">
    <text>https://www.databricks.com/company/newsroom/press-releases/databricks-surpasses-4b-revenue-run-rate-exceeding-1b-ai-revenue</text>
    <extLst>
      <x:ext xmlns:xltc2="http://schemas.microsoft.com/office/spreadsheetml/2020/threadedcomments2" uri="{F7C98A9C-CBB3-438F-8F68-D28B6AF4A901}">
        <xltc2:checksum>532556833</xltc2:checksum>
        <xltc2:hyperlink startIndex="0" length="123" url="https://www.databricks.com/company/newsroom/press-releases/databricks-surpasses-4b-revenue-run-rate-exceeding-1b-ai-revenue"/>
      </x:ext>
    </extLst>
  </threadedComment>
  <threadedComment ref="AY149" dT="2025-10-31T12:18:22.79" personId="{5FF1EC60-44F1-495B-BD45-E52FC60F1C9C}" id="{38ACE20C-DE6A-459D-BEB6-818331CF5596}">
    <text>Arete estimate of SoftBank participation in $10bn Series J funding round valuing Databricks at $62bn: IR has guided that initial exposure is &lt;$50m but unclear whether SoftBank went on to participate in Series K valuing Databricks at &gt;$100bn.</text>
  </threadedComment>
  <threadedComment ref="AY149" dT="2025-10-31T12:21:52.47" personId="{5FF1EC60-44F1-495B-BD45-E52FC60F1C9C}" id="{95129F7C-292E-4D62-A4D7-652C0DAD623B}" parentId="{38ACE20C-DE6A-459D-BEB6-818331CF5596}">
    <text>https://www.databricks.com/company/newsroom/press-releases/databricks-raising-10b-series-j-investment-62b-valuation</text>
    <extLst>
      <x:ext xmlns:xltc2="http://schemas.microsoft.com/office/spreadsheetml/2020/threadedcomments2" uri="{F7C98A9C-CBB3-438F-8F68-D28B6AF4A901}">
        <xltc2:checksum>1994250579</xltc2:checksum>
        <xltc2:hyperlink startIndex="0" length="115" url="https://www.databricks.com/company/newsroom/press-releases/databricks-raising-10b-series-j-investment-62b-valuation"/>
      </x:ext>
    </extLst>
  </threadedComment>
  <threadedComment ref="AY149" dT="2026-02-13T11:58:34.50" personId="{5FF1EC60-44F1-495B-BD45-E52FC60F1C9C}" id="{27A786B3-8BA4-436D-AAA1-2C05A066874D}" parentId="{38ACE20C-DE6A-459D-BEB6-818331CF5596}">
    <text>Databricks closed $1bn Series K funding round at &gt;$100bn valuation in Sep. ‘25: i.e., maximum 1% dilution to SoftBank as existing shareholder but unclear whether SoftBank participated in follow-on round.</text>
  </threadedComment>
  <threadedComment ref="AY149" dT="2026-02-13T11:58:38.60" personId="{5FF1EC60-44F1-495B-BD45-E52FC60F1C9C}" id="{4A971D11-4560-47A4-B942-951AC9C1DC4A}" parentId="{38ACE20C-DE6A-459D-BEB6-818331CF5596}">
    <text>https://www.databricks.com/company/newsroom/press-releases/databricks-surpasses-4b-revenue-run-rate-exceeding-1b-ai-revenue</text>
    <extLst>
      <x:ext xmlns:xltc2="http://schemas.microsoft.com/office/spreadsheetml/2020/threadedcomments2" uri="{F7C98A9C-CBB3-438F-8F68-D28B6AF4A901}">
        <xltc2:checksum>532556833</xltc2:checksum>
        <xltc2:hyperlink startIndex="0" length="123" url="https://www.databricks.com/company/newsroom/press-releases/databricks-surpasses-4b-revenue-run-rate-exceeding-1b-ai-revenue"/>
      </x:ext>
    </extLst>
  </threadedComment>
  <threadedComment ref="AY149" dT="2026-02-13T12:02:29.39" personId="{5FF1EC60-44F1-495B-BD45-E52FC60F1C9C}" id="{445F0359-6E8C-43C8-A5FE-6C12766497BC}" parentId="{38ACE20C-DE6A-459D-BEB6-818331CF5596}">
    <text>CNBC reported that Databricks closed $5bn additional equity funding at $134bn valuation in Feb. ‘26.</text>
  </threadedComment>
  <threadedComment ref="AY149" dT="2026-02-13T12:02:36.53" personId="{5FF1EC60-44F1-495B-BD45-E52FC60F1C9C}" id="{49B89998-46CF-4856-A89C-A9CC7D5E0265}" parentId="{38ACE20C-DE6A-459D-BEB6-818331CF5596}">
    <text>https://www.cnbc.com/2026/02/09/databricks-completes-5-billion-funding-round-with-2-billion-in-debt.html</text>
    <extLst>
      <x:ext xmlns:xltc2="http://schemas.microsoft.com/office/spreadsheetml/2020/threadedcomments2" uri="{F7C98A9C-CBB3-438F-8F68-D28B6AF4A901}">
        <xltc2:checksum>1716917041</xltc2:checksum>
        <xltc2:hyperlink startIndex="0" length="104" url="https://www.cnbc.com/2026/02/09/databricks-completes-5-billion-funding-round-with-2-billion-in-debt.html"/>
      </x:ext>
    </extLst>
  </threadedComment>
  <threadedComment ref="AY149" dT="2026-02-13T12:20:33.25" personId="{5FF1EC60-44F1-495B-BD45-E52FC60F1C9C}" id="{2C11CC63-3008-4802-AA19-FABF8ADB7AC2}" parentId="{38ACE20C-DE6A-459D-BEB6-818331CF5596}">
    <text>https://www.databricks.com/company/newsroom/press-releases/databricks-grows-65-yoy-surpasses-5-4-billion-revenue-run-rate</text>
    <extLst>
      <x:ext xmlns:xltc2="http://schemas.microsoft.com/office/spreadsheetml/2020/threadedcomments2" uri="{F7C98A9C-CBB3-438F-8F68-D28B6AF4A901}">
        <xltc2:checksum>1998836866</xltc2:checksum>
        <xltc2:hyperlink startIndex="0" length="121" url="https://www.databricks.com/company/newsroom/press-releases/databricks-grows-65-yoy-surpasses-5-4-billion-revenue-run-rate"/>
      </x:ext>
    </extLst>
  </threadedComment>
  <threadedComment ref="AT150" dT="2026-02-13T12:35:32.52" personId="{5FF1EC60-44F1-495B-BD45-E52FC60F1C9C}" id="{3298BC38-1632-44CC-B190-9D6171DAA994}">
    <text>SoftBank participated in Series A funding round in Jul. ‘24: $300m round at $1.5bn valuation, led by four investors incl. SoftBank, so we assume $75m each.</text>
  </threadedComment>
  <threadedComment ref="AT150" dT="2026-02-13T12:35:36.18" personId="{5FF1EC60-44F1-495B-BD45-E52FC60F1C9C}" id="{630DDF05-AC86-44C9-8B22-7DC919B414F1}" parentId="{3298BC38-1632-44CC-B190-9D6171DAA994}">
    <text>https://www.businesswire.com/news/home/20240709306400/en/Skild-AI-Raises-%24300M-Series-A-To-Build-A-Scalable-AI-Foundation-Model-For-Robotics?utm_source=chatgpt.com</text>
    <extLst>
      <x:ext xmlns:xltc2="http://schemas.microsoft.com/office/spreadsheetml/2020/threadedcomments2" uri="{F7C98A9C-CBB3-438F-8F68-D28B6AF4A901}">
        <xltc2:checksum>1410254237</xltc2:checksum>
        <xltc2:hyperlink startIndex="0" length="165" url="https://www.businesswire.com/news/home/20240709306400/en/Skild-AI-Raises-%24300M-Series-A-To-Build-A-Scalable-AI-Foundation-Model-For-Robotics?utm_source=chatgpt.com"/>
      </x:ext>
    </extLst>
  </threadedComment>
  <threadedComment ref="AT150" dT="2026-02-13T13:05:20.20" personId="{5FF1EC60-44F1-495B-BD45-E52FC60F1C9C}" id="{DB292655-7BFD-4403-ADB7-6B2E70A7ED98}" parentId="{3298BC38-1632-44CC-B190-9D6171DAA994}">
    <text>Per pg.10 of SoftBank’s F4Q24 Accounting presentation: SBG transferred Skild AI investment to SVF2 in F4Q23.</text>
  </threadedComment>
  <threadedComment ref="AT150" dT="2026-02-13T13:05:27.91" personId="{5FF1EC60-44F1-495B-BD45-E52FC60F1C9C}" id="{E4459B25-42CF-4625-98C1-DFEB5B9CCDB9}" parentId="{3298BC38-1632-44CC-B190-9D6171DAA994}">
    <text>https://group.softbank/media/Project/sbg/sbg/pdf/ir/presentations/2024/investor-presentation_q4fy2024_01_en.pdf</text>
    <extLst>
      <x:ext xmlns:xltc2="http://schemas.microsoft.com/office/spreadsheetml/2020/threadedcomments2" uri="{F7C98A9C-CBB3-438F-8F68-D28B6AF4A901}">
        <xltc2:checksum>3299814131</xltc2:checksum>
        <xltc2:hyperlink startIndex="0" length="111" url="https://group.softbank/media/Project/sbg/sbg/pdf/ir/presentations/2024/investor-presentation_q4fy2024_01_en.pdf"/>
      </x:ext>
    </extLst>
  </threadedComment>
  <threadedComment ref="AU152" dT="2026-02-13T13:03:27.75" personId="{5FF1EC60-44F1-495B-BD45-E52FC60F1C9C}" id="{25F8CD23-112E-4AD0-976A-63091AA8A3DC}">
    <text>See pg.11 of F4Q24 Accounting slides which indicates &lt;49.9% SVF2 ownership of Robo HD entity: https://group.softbank/media/Project/sbg/sbg/pdf/ir/presentations/2024/investor-presentation_q4fy2024_01_en.pdf.</text>
    <extLst>
      <x:ext xmlns:xltc2="http://schemas.microsoft.com/office/spreadsheetml/2020/threadedcomments2" uri="{F7C98A9C-CBB3-438F-8F68-D28B6AF4A901}">
        <xltc2:checksum>2788997807</xltc2:checksum>
        <xltc2:hyperlink startIndex="94" length="111" url="https://group.softbank/media/Project/sbg/sbg/pdf/ir/presentations/2024/investor-presentation_q4fy2024_01_en.pdf"/>
      </x:ext>
    </extLst>
  </threadedComment>
  <threadedComment ref="AW152" dT="2026-02-13T13:13:04.51" personId="{5FF1EC60-44F1-495B-BD45-E52FC60F1C9C}" id="{AE34E9AC-BC49-4BE1-9DC7-3147EF570F79}">
    <text>Per Reuters: Skild AI reportedly raised another $500m in a Series B funding round at a $4.5bn valuation.</text>
  </threadedComment>
  <threadedComment ref="AW152" dT="2026-02-13T13:13:10.32" personId="{5FF1EC60-44F1-495B-BD45-E52FC60F1C9C}" id="{167E50E6-93A3-4845-A2CF-74FA59A8BD33}" parentId="{AE34E9AC-BC49-4BE1-9DC7-3147EF570F79}">
    <text>https://www.reuters.com/business/media-telecom/softbank-nvidia-looking-invest-skild-ai-14-billion-valuation-sources-say-2025-12-08/</text>
    <extLst>
      <x:ext xmlns:xltc2="http://schemas.microsoft.com/office/spreadsheetml/2020/threadedcomments2" uri="{F7C98A9C-CBB3-438F-8F68-D28B6AF4A901}">
        <xltc2:checksum>1304808066</xltc2:checksum>
        <xltc2:hyperlink startIndex="0" length="131" url="https://www.reuters.com/business/media-telecom/softbank-nvidia-looking-invest-skild-ai-14-billion-valuation-sources-say-2025-12-08/"/>
      </x:ext>
    </extLst>
  </threadedComment>
  <threadedComment ref="AW152" dT="2026-02-13T13:14:21.82" personId="{5FF1EC60-44F1-495B-BD45-E52FC60F1C9C}" id="{8B8E5999-45AC-4544-8209-A4BAE47BF15E}" parentId="{AE34E9AC-BC49-4BE1-9DC7-3147EF570F79}">
    <text>Per Crunchbase: SoftBank Group participated in Series B funding round alongside NVIDIA and Samsung Electronics.</text>
  </threadedComment>
  <threadedComment ref="AW152" dT="2026-02-13T13:14:42.07" personId="{5FF1EC60-44F1-495B-BD45-E52FC60F1C9C}" id="{DEDB55B0-D8A7-4DC0-AFCD-6E3B214F65BA}" parentId="{AE34E9AC-BC49-4BE1-9DC7-3147EF570F79}">
    <text>https://www.crunchbase.com/funding_round/skild-ai-series-b--968d99de</text>
    <extLst>
      <x:ext xmlns:xltc2="http://schemas.microsoft.com/office/spreadsheetml/2020/threadedcomments2" uri="{F7C98A9C-CBB3-438F-8F68-D28B6AF4A901}">
        <xltc2:checksum>2798438139</xltc2:checksum>
        <xltc2:hyperlink startIndex="0" length="68" url="https://www.crunchbase.com/funding_round/skild-ai-series-b--968d99de"/>
      </x:ext>
    </extLst>
  </threadedComment>
  <threadedComment ref="AW152" dT="2026-02-13T13:16:02.28" personId="{5FF1EC60-44F1-495B-BD45-E52FC60F1C9C}" id="{0BA2EDE3-7C41-4F8D-A38F-4C5D7BDA3B73}" parentId="{AE34E9AC-BC49-4BE1-9DC7-3147EF570F79}">
    <text>We assume $150m contribution by RoboHD on the basis of FT article in Jan. ‘25 suggesting SoftBank would look to lead the funding round.</text>
  </threadedComment>
  <threadedComment ref="AW152" dT="2026-02-13T13:16:06.47" personId="{5FF1EC60-44F1-495B-BD45-E52FC60F1C9C}" id="{A66E862A-7DBB-4E80-B19E-E1F2DD5424D8}" parentId="{AE34E9AC-BC49-4BE1-9DC7-3147EF570F79}">
    <text>https://www.ft.com/content/c1ddf355-1de8-4c9a-a9ee-e37e4c7cf1a8</text>
    <extLst>
      <x:ext xmlns:xltc2="http://schemas.microsoft.com/office/spreadsheetml/2020/threadedcomments2" uri="{F7C98A9C-CBB3-438F-8F68-D28B6AF4A901}">
        <xltc2:checksum>4207602046</xltc2:checksum>
        <xltc2:hyperlink startIndex="0" length="63" url="https://www.ft.com/content/c1ddf355-1de8-4c9a-a9ee-e37e4c7cf1a8"/>
      </x:ext>
    </extLst>
  </threadedComment>
  <threadedComment ref="AZ152" dT="2026-02-20T15:13:53.71" personId="{5FF1EC60-44F1-495B-BD45-E52FC60F1C9C}" id="{06FD1944-2534-4FF0-9251-60537A050C5C}">
    <text>Per Skild AI press release: the company raised $1.4bn in Jan. ‘26 at a $14bn valuation, with the investment round led by SoftBank (so we assume $700m participation by RoboHD).</text>
  </threadedComment>
  <threadedComment ref="AZ152" dT="2026-02-20T15:13:57.70" personId="{5FF1EC60-44F1-495B-BD45-E52FC60F1C9C}" id="{D9560643-17DA-4D18-9112-098295E2B3E1}" parentId="{06FD1944-2534-4FF0-9251-60537A050C5C}">
    <text>https://www.skild.ai/blogs/series-c</text>
    <extLst>
      <x:ext xmlns:xltc2="http://schemas.microsoft.com/office/spreadsheetml/2020/threadedcomments2" uri="{F7C98A9C-CBB3-438F-8F68-D28B6AF4A901}">
        <xltc2:checksum>207284676</xltc2:checksum>
        <xltc2:hyperlink startIndex="0" length="35" url="https://www.skild.ai/blogs/series-c"/>
      </x:ext>
    </extLst>
  </threadedComment>
  <threadedComment ref="AU156" dT="2025-05-01T05:57:05.90" personId="{5FF1EC60-44F1-495B-BD45-E52FC60F1C9C}" id="{5E522686-A87B-4C4C-BF50-E205BC1CF334}">
    <text>Wiz acquisition: SoftBank participated in Wiz’s $1bn Series E funding round in May ‘24 at a $12bn valuation and made a strategic follow-on investment in Nov. ‘24 to help finance Wiz’s expansion into Asian markets (see various links below). We est. $50m total investment by SVF2. In Mar. ‘25, Alphabet agreed to acquire Wiz for $32bn so a 2.7x mark-up in SoftBank’s equity to approximately $135m.</text>
  </threadedComment>
  <threadedComment ref="AU156" dT="2025-05-01T05:57:16.94" personId="{5FF1EC60-44F1-495B-BD45-E52FC60F1C9C}" id="{F7AE8F2E-8A73-4EE8-89BE-5CF5E0817952}" parentId="{5E522686-A87B-4C4C-BF50-E205BC1CF334}">
    <text>https://www.wiz.io/blog/celebrating-our-1-billion-funding-round-and-12-billion-valuation</text>
    <extLst>
      <x:ext xmlns:xltc2="http://schemas.microsoft.com/office/spreadsheetml/2020/threadedcomments2" uri="{F7C98A9C-CBB3-438F-8F68-D28B6AF4A901}">
        <xltc2:checksum>2537816930</xltc2:checksum>
        <xltc2:hyperlink startIndex="0" length="88" url="https://www.wiz.io/blog/celebrating-our-1-billion-funding-round-and-12-billion-valuation"/>
      </x:ext>
    </extLst>
  </threadedComment>
  <threadedComment ref="AU156" dT="2025-05-01T05:57:31.72" personId="{5FF1EC60-44F1-495B-BD45-E52FC60F1C9C}" id="{F023C375-84E2-457C-87F4-716E65C6FE3F}" parentId="{5E522686-A87B-4C4C-BF50-E205BC1CF334}">
    <text>https://www.accessnewswire.com/newsroom/en/computers-technology-and-internet/softbank-vision-fund-2-makes-strategic-investment-in-wiz-to-expand-943766</text>
    <extLst>
      <x:ext xmlns:xltc2="http://schemas.microsoft.com/office/spreadsheetml/2020/threadedcomments2" uri="{F7C98A9C-CBB3-438F-8F68-D28B6AF4A901}">
        <xltc2:checksum>1868240249</xltc2:checksum>
        <xltc2:hyperlink startIndex="0" length="150" url="https://www.accessnewswire.com/newsroom/en/computers-technology-and-internet/softbank-vision-fund-2-makes-strategic-investment-in-wiz-to-expand-943766"/>
      </x:ext>
    </extLst>
  </threadedComment>
  <threadedComment ref="AU156" dT="2025-05-01T05:58:29.06" personId="{5FF1EC60-44F1-495B-BD45-E52FC60F1C9C}" id="{953DB4D6-6FAB-458A-9199-F9F18DF4107B}" parentId="{5E522686-A87B-4C4C-BF50-E205BC1CF334}">
    <text>https://blog.google/inside-google/company-announcements/google-agreement-acquire-wiz/</text>
    <extLst>
      <x:ext xmlns:xltc2="http://schemas.microsoft.com/office/spreadsheetml/2020/threadedcomments2" uri="{F7C98A9C-CBB3-438F-8F68-D28B6AF4A901}">
        <xltc2:checksum>3716342820</xltc2:checksum>
        <xltc2:hyperlink startIndex="0" length="85" url="https://blog.google/inside-google/company-announcements/google-agreement-acquire-wiz/"/>
      </x:ext>
    </extLst>
  </threadedComment>
  <threadedComment ref="AS159" dT="2025-02-05T19:06:25.37" personId="{5FF1EC60-44F1-495B-BD45-E52FC60F1C9C}" id="{04B62550-BF92-4FDD-868B-6FD1FE7C2924}">
    <text>OpenAI raised $6.6bn at $157bn post-money valuation in Sep. ‘24 with SVF2 investing $500m (see links below).</text>
  </threadedComment>
  <threadedComment ref="AS159" dT="2025-02-05T19:06:46.06" personId="{5FF1EC60-44F1-495B-BD45-E52FC60F1C9C}" id="{1AC8B1DC-C2DC-46DF-8D9F-D0D071A7E809}" parentId="{04B62550-BF92-4FDD-868B-6FD1FE7C2924}">
    <text>https://openai.com/index/scale-the-benefits-of-ai/</text>
    <extLst>
      <x:ext xmlns:xltc2="http://schemas.microsoft.com/office/spreadsheetml/2020/threadedcomments2" uri="{F7C98A9C-CBB3-438F-8F68-D28B6AF4A901}">
        <xltc2:checksum>3075784989</xltc2:checksum>
        <xltc2:hyperlink startIndex="0" length="50" url="https://openai.com/index/scale-the-benefits-of-ai/"/>
      </x:ext>
    </extLst>
  </threadedComment>
  <threadedComment ref="AS159" dT="2025-02-05T19:07:13.60" personId="{5FF1EC60-44F1-495B-BD45-E52FC60F1C9C}" id="{4C62A8DB-469E-4791-A3BC-51722E40A5E8}" parentId="{04B62550-BF92-4FDD-868B-6FD1FE7C2924}">
    <text>https://group.softbank/system/files/pdf/ir/presentations/2024/investor-svf_q2fy2024_01_en.pdf</text>
    <extLst>
      <x:ext xmlns:xltc2="http://schemas.microsoft.com/office/spreadsheetml/2020/threadedcomments2" uri="{F7C98A9C-CBB3-438F-8F68-D28B6AF4A901}">
        <xltc2:checksum>1641495965</xltc2:checksum>
        <xltc2:hyperlink startIndex="0" length="93" url="https://group.softbank/system/files/pdf/ir/presentations/2024/investor-svf_q2fy2024_01_en.pdf"/>
      </x:ext>
    </extLst>
  </threadedComment>
  <threadedComment ref="AU159" dT="2025-04-30T10:09:11.71" personId="{5FF1EC60-44F1-495B-BD45-E52FC60F1C9C}" id="{9A94E70A-8141-4F7D-9142-D4AD0A3E8842}">
    <text>SBG confirmed at F3Q24 earnings a $1.5bn follow-on investment in OpenAI by SVF2 in Jan. ‘25: carried out via tender offer to OpenAI employees and unclear what valuation the investment got made at but we assume $225bn (i.e., approximate average between $157bn Sep. ‘24 valuation and $300bn Mar. ‘24 valuation for SBG’s $40bn syndicated investment).</text>
  </threadedComment>
  <threadedComment ref="AU159" dT="2025-04-30T10:10:29.24" personId="{5FF1EC60-44F1-495B-BD45-E52FC60F1C9C}" id="{589FD11D-8B91-4245-9926-06B852CCD375}" parentId="{9A94E70A-8141-4F7D-9142-D4AD0A3E8842}">
    <text>See slide 12 of F3Q24 SVF earnings presentation: https://group.softbank/media/Project/sbg/sbg/pdf/ir/presentations/2024/investor-svf_q3fy2024_01_en.pdf.</text>
    <extLst>
      <x:ext xmlns:xltc2="http://schemas.microsoft.com/office/spreadsheetml/2020/threadedcomments2" uri="{F7C98A9C-CBB3-438F-8F68-D28B6AF4A901}">
        <xltc2:checksum>3320696384</xltc2:checksum>
        <xltc2:hyperlink startIndex="49" length="102" url="https://group.softbank/media/Project/sbg/sbg/pdf/ir/presentations/2024/investor-svf_q3fy2024_01_en.pdf"/>
      </x:ext>
    </extLst>
  </threadedComment>
  <threadedComment ref="AX159" dT="2025-11-19T11:02:06.33" personId="{5FF1EC60-44F1-495B-BD45-E52FC60F1C9C}" id="{F6F791DB-DF4B-4168-BF7E-81714DEBC147}">
    <text>See pg.8 of F2Q “Finance” slides: SVF2 acquired a further $1.1bn OpenAI shares from employees in August (per IR: $260bn pre-money valuation per CY25 funding round).</text>
  </threadedComment>
  <threadedComment ref="AX159" dT="2025-11-19T11:02:11.97" personId="{5FF1EC60-44F1-495B-BD45-E52FC60F1C9C}" id="{1A23DA9A-7D0C-40F6-969C-A3E858F14DD0}" parentId="{F6F791DB-DF4B-4168-BF7E-81714DEBC147}">
    <text>https://group.softbank/media/Project/sbg/sbg/pdf/ir/presentations/2025/investor-presentation_q2fy2025_01_en.pdf</text>
    <extLst>
      <x:ext xmlns:xltc2="http://schemas.microsoft.com/office/spreadsheetml/2020/threadedcomments2" uri="{F7C98A9C-CBB3-438F-8F68-D28B6AF4A901}">
        <xltc2:checksum>166201008</xltc2:checksum>
        <xltc2:hyperlink startIndex="0" length="111" url="https://group.softbank/media/Project/sbg/sbg/pdf/ir/presentations/2025/investor-presentation_q2fy2025_01_en.pdf"/>
      </x:ext>
    </extLst>
  </threadedComment>
  <threadedComment ref="AY159" dT="2025-11-19T11:04:34.92" personId="{5FF1EC60-44F1-495B-BD45-E52FC60F1C9C}" id="{E1E44DE4-BF5F-49D6-B53C-576A0700FB37}">
    <text>See pg.42 of SoftBank’s F2Q earnings presentation: SVF2 invested a further $1.45bn in OpenAI via an employee share sale at all-in valuation of $500bn.</text>
  </threadedComment>
  <threadedComment ref="AY159" dT="2025-11-19T11:04:41.02" personId="{5FF1EC60-44F1-495B-BD45-E52FC60F1C9C}" id="{201BD774-5687-4383-BBCD-46D9298C4389}" parentId="{E1E44DE4-BF5F-49D6-B53C-576A0700FB37}">
    <text>https://group.softbank/media/Project/sbg/sbg/pdf/ir/presentations/2025/earnings-presentation_q2fy2025_01_en.pdf</text>
    <extLst>
      <x:ext xmlns:xltc2="http://schemas.microsoft.com/office/spreadsheetml/2020/threadedcomments2" uri="{F7C98A9C-CBB3-438F-8F68-D28B6AF4A901}">
        <xltc2:checksum>2395444468</xltc2:checksum>
        <xltc2:hyperlink startIndex="0" length="111" url="https://group.softbank/media/Project/sbg/sbg/pdf/ir/presentations/2025/earnings-presentation_q2fy2025_01_en.pdf"/>
      </x:ext>
    </extLst>
  </threadedComment>
  <threadedComment ref="AX161" dT="2025-11-19T11:38:07.62" personId="{5FF1EC60-44F1-495B-BD45-E52FC60F1C9C}" id="{B7811F33-1DC1-43D7-8CCA-C69AB7A630A5}">
    <text>During F2Q SBG’s “OpenAI Forward Contract” was transferred to SVF2: per pgs.4-5 of F2Q “Accounting” slides: TopCo recognised $1.8bn of $8bn recorded gain on “OpenAI Forward Contract” with SVF2 recognising the remaining $6.2bn (i.e., implying that SVF2 effectively acquired the “OpenAI Forward Contract” from TopCo for $1.8bn in cash).</text>
  </threadedComment>
  <threadedComment ref="AR163" dT="2025-04-30T09:45:18.11" personId="{5FF1EC60-44F1-495B-BD45-E52FC60F1C9C}" id="{B33CAD87-2F53-47F1-906F-5968B4BB14AD}">
    <text>Per Reuters article: SoftBank Vision Fund 2 invested $10m-$20m in Perplexity AI at $3bn valuation in June ‘24 as part of Perplexity AI’s $250m Series C funding round.</text>
  </threadedComment>
  <threadedComment ref="AR163" dT="2025-04-30T09:45:20.84" personId="{5FF1EC60-44F1-495B-BD45-E52FC60F1C9C}" id="{E3DB78D0-2FD5-4386-9823-79184103B072}" parentId="{B33CAD87-2F53-47F1-906F-5968B4BB14AD}">
    <text>https://www.reuters.com/technology/artificial-intelligence/softbank-invest-search-startup-perplexity-ai-3-bln-valuation-bloomberg-reports-2024-06-27/#:~:text=SoftBank%20to%20invest%20in%20search,bln%20valuation%2C%20Bloomberg%20reports%20%7C%20Reuters</text>
    <extLst>
      <x:ext xmlns:xltc2="http://schemas.microsoft.com/office/spreadsheetml/2020/threadedcomments2" uri="{F7C98A9C-CBB3-438F-8F68-D28B6AF4A901}">
        <xltc2:checksum>1798746667</xltc2:checksum>
        <xltc2:hyperlink startIndex="0" length="251" url="https://www.reuters.com/technology/artificial-intelligence/softbank-invest-search-startup-perplexity-ai-3-bln-valuation-bloomberg-reports-2024-06-27/#:~:text=SoftBank%20to%20invest%20in%20search,bln%20valuation%2C%20Bloomberg%20reports%20%7C%20Reuters"/>
      </x:ext>
    </extLst>
  </threadedComment>
  <threadedComment ref="AR163" dT="2025-04-30T09:46:22.60" personId="{5FF1EC60-44F1-495B-BD45-E52FC60F1C9C}" id="{05957271-0A62-42B0-A914-A45048240C4D}" parentId="{B33CAD87-2F53-47F1-906F-5968B4BB14AD}">
    <text>See slide 15 of F1Q24 SVF earnings presentation: https://group.softbank/media/Project/sbg/sbg/pdf/ir/presentations/2024/investor-svf_q1fy2024_01_en.pdf.</text>
    <extLst>
      <x:ext xmlns:xltc2="http://schemas.microsoft.com/office/spreadsheetml/2020/threadedcomments2" uri="{F7C98A9C-CBB3-438F-8F68-D28B6AF4A901}">
        <xltc2:checksum>2762870618</xltc2:checksum>
        <xltc2:hyperlink startIndex="49" length="102" url="https://group.softbank/media/Project/sbg/sbg/pdf/ir/presentations/2024/investor-svf_q1fy2024_01_en.pdf"/>
      </x:ext>
    </extLst>
  </threadedComment>
  <threadedComment ref="AT163" dT="2025-04-30T09:55:36.26" personId="{5FF1EC60-44F1-495B-BD45-E52FC60F1C9C}" id="{34837028-1420-492B-82B5-6F6AAF66299D}">
    <text>Per Bloomberg reports: Perplexity AI closed a $500m Series D funding round in Dec. ‘24 at $9bn valuation or approximately 3x Series C valuation at time of SVF2 original investment. Note: it is unclear whether SoftBank participated in this Series D funding round (at this point had committed to OpenAI by investing $500m in $6.6bn/$157bn funding round in Sep. ‘24).</text>
  </threadedComment>
  <threadedComment ref="AT163" dT="2025-04-30T09:55:44.18" personId="{5FF1EC60-44F1-495B-BD45-E52FC60F1C9C}" id="{7700076F-7766-4F4F-9FB8-730FC57FA34B}" parentId="{34837028-1420-492B-82B5-6F6AAF66299D}">
    <text>https://www.verdict.co.uk/perplexity-raises-500m/</text>
    <extLst>
      <x:ext xmlns:xltc2="http://schemas.microsoft.com/office/spreadsheetml/2020/threadedcomments2" uri="{F7C98A9C-CBB3-438F-8F68-D28B6AF4A901}">
        <xltc2:checksum>3077075067</xltc2:checksum>
        <xltc2:hyperlink startIndex="0" length="49" url="https://www.verdict.co.uk/perplexity-raises-500m/"/>
      </x:ext>
    </extLst>
  </threadedComment>
  <threadedComment ref="AW163" dT="2025-04-30T10:03:04.99" personId="{5FF1EC60-44F1-495B-BD45-E52FC60F1C9C}" id="{670BEFE5-7918-43D5-AA5B-AB6772BD45B3}">
    <text>Per CNBC: Perplexity AI is in talks to raise an additional $500m-$1bn at an $18bn post-money valuation.</text>
  </threadedComment>
  <threadedComment ref="AW163" dT="2025-04-30T10:03:30.84" personId="{5FF1EC60-44F1-495B-BD45-E52FC60F1C9C}" id="{2C292A0B-FA6F-4B53-B85D-94EC1BE90B93}" parentId="{670BEFE5-7918-43D5-AA5B-AB6772BD45B3}">
    <text>https://www.cnbc.com/2025/03/20/perplexity-in-talks-to-double-valuation-to-18-billion-via-new-funding.html</text>
    <extLst>
      <x:ext xmlns:xltc2="http://schemas.microsoft.com/office/spreadsheetml/2020/threadedcomments2" uri="{F7C98A9C-CBB3-438F-8F68-D28B6AF4A901}">
        <xltc2:checksum>3706888040</xltc2:checksum>
        <xltc2:hyperlink startIndex="0" length="106" url="https://www.cnbc.com/2025/03/20/perplexity-in-talks-to-double-valuation-to-18-billion-via-new-funding.html"/>
      </x:ext>
    </extLst>
  </threadedComment>
  <threadedComment ref="AR164" dT="2024-05-12T14:58:04.45" personId="{5FF1EC60-44F1-495B-BD45-E52FC60F1C9C}" id="{A2F6E2DA-E8E5-433C-927B-443D27B073BB}">
    <text>Per SoftBank IR: SVF2 has invested "just under $1bn" in Revolut. Per Revolut Series E funding press release, SBG led an $800m Series E funding round at $33bn valuation in July '21 i.e., we assume over time in '21 SBG acquires a 2.5% equity stake in Revolut.</text>
  </threadedComment>
  <threadedComment ref="AR164" dT="2024-05-12T14:58:07.00" personId="{5FF1EC60-44F1-495B-BD45-E52FC60F1C9C}" id="{36D9BA14-01F0-4306-B191-A5A59D76FBEB}" parentId="{A2F6E2DA-E8E5-433C-927B-443D27B073BB}">
    <text>https://www.revolut.com/en-US/news/revolut_raises_800m_series_e_funding_from_softbank_vision_fund_2_and_tiger_global/</text>
    <extLst>
      <x:ext xmlns:xltc2="http://schemas.microsoft.com/office/spreadsheetml/2020/threadedcomments2" uri="{F7C98A9C-CBB3-438F-8F68-D28B6AF4A901}">
        <xltc2:checksum>2541820822</xltc2:checksum>
        <xltc2:hyperlink startIndex="0" length="117" url="https://www.revolut.com/en-US/news/revolut_raises_800m_series_e_funding_from_softbank_vision_fund_2_and_tiger_global/"/>
      </x:ext>
    </extLst>
  </threadedComment>
  <threadedComment ref="AR164" dT="2024-05-12T14:59:19.77" personId="{5FF1EC60-44F1-495B-BD45-E52FC60F1C9C}" id="{047CB16A-948C-4705-A6E9-0CD326F62D5C}" parentId="{A2F6E2DA-E8E5-433C-927B-443D27B073BB}">
    <text>Revolut valuation fell dramatically post-SBG investment but Bloomberg reports in April '24 that shareholders increasing mark back to &gt;$25bn valuation i.e., SoftBank stake worth perhaps $600m.</text>
  </threadedComment>
  <threadedComment ref="AR164" dT="2024-05-12T14:59:30.39" personId="{5FF1EC60-44F1-495B-BD45-E52FC60F1C9C}" id="{F6E4B5A4-2514-48F6-A0E1-C8B93A93ED7C}" parentId="{A2F6E2DA-E8E5-433C-927B-443D27B073BB}">
    <text>https://www.bloomberg.com/news/articles/2024-04-15/revolut-valuation-raised-by-investor-schroders-as-fintech-fortunes-rebound?embedded-checkout=true</text>
    <extLst>
      <x:ext xmlns:xltc2="http://schemas.microsoft.com/office/spreadsheetml/2020/threadedcomments2" uri="{F7C98A9C-CBB3-438F-8F68-D28B6AF4A901}">
        <xltc2:checksum>3220811739</xltc2:checksum>
        <xltc2:hyperlink startIndex="0" length="148" url="https://www.bloomberg.com/news/articles/2024-04-15/revolut-valuation-raised-by-investor-schroders-as-fintech-fortunes-rebound?embedded-checkout=true"/>
      </x:ext>
    </extLst>
  </threadedComment>
  <threadedComment ref="AU165" dT="2025-10-31T11:38:49.17" personId="{5FF1EC60-44F1-495B-BD45-E52FC60F1C9C}" id="{BEC20971-3F76-4F11-BDF2-824ED8F020B8}">
    <text>Wayve investment estimate: SoftBank’s contribution to $1.05bn Series C funding round (https://wayve.ai/press/series-c/) not disclosed but SoftBank is said to have led the round in its F1Q24 quarter (Group level investment at this point). See pg.3 of F1Q earnings report where SoftBank references two key Group level investments: Wayve and Tempus, totaling $1.2bn at F1Q average FX. We estimate $800m investment in Wayve.</text>
    <extLst>
      <x:ext xmlns:xltc2="http://schemas.microsoft.com/office/spreadsheetml/2020/threadedcomments2" uri="{F7C98A9C-CBB3-438F-8F68-D28B6AF4A901}">
        <xltc2:checksum>3806656737</xltc2:checksum>
        <xltc2:hyperlink startIndex="86" length="32" url="https://wayve.ai/press/series-c/"/>
      </x:ext>
    </extLst>
  </threadedComment>
  <threadedComment ref="AU165" dT="2025-10-31T11:38:59.00" personId="{5FF1EC60-44F1-495B-BD45-E52FC60F1C9C}" id="{4200A882-1350-43FD-865F-36860CD5F7F9}" parentId="{BEC20971-3F76-4F11-BDF2-824ED8F020B8}">
    <text>https://group.softbank/media/Project/sbg/sbg/pdf/ir/financials/financial_reports/financial-report_q1fy2024_01_en.pdf</text>
    <extLst>
      <x:ext xmlns:xltc2="http://schemas.microsoft.com/office/spreadsheetml/2020/threadedcomments2" uri="{F7C98A9C-CBB3-438F-8F68-D28B6AF4A901}">
        <xltc2:checksum>2998874711</xltc2:checksum>
        <xltc2:hyperlink startIndex="0" length="116" url="https://group.softbank/media/Project/sbg/sbg/pdf/ir/financials/financial_reports/financial-report_q1fy2024_01_en.pdf"/>
      </x:ext>
    </extLst>
  </threadedComment>
  <threadedComment ref="AZ165" dT="2025-11-06T08:39:22.39" personId="{5FF1EC60-44F1-495B-BD45-E52FC60F1C9C}" id="{4DCDB6A3-9FBB-4792-A6D1-7A698A8F0169}">
    <text>We assume SVF2 invests $500m in Wayve’s upcoming $2bn funding round at $8bn valuation, per the Financial Times.</text>
  </threadedComment>
  <threadedComment ref="AZ165" dT="2025-11-06T08:39:33.10" personId="{5FF1EC60-44F1-495B-BD45-E52FC60F1C9C}" id="{8DE25027-C964-40F5-9D46-73B474A7C145}" parentId="{4DCDB6A3-9FBB-4792-A6D1-7A698A8F0169}">
    <text>https://www.ft.com/content/3f6b6126-06d6-4b31-b907-30d25c8c7236</text>
    <extLst>
      <x:ext xmlns:xltc2="http://schemas.microsoft.com/office/spreadsheetml/2020/threadedcomments2" uri="{F7C98A9C-CBB3-438F-8F68-D28B6AF4A901}">
        <xltc2:checksum>2926006223</xltc2:checksum>
        <xltc2:hyperlink startIndex="0" length="63" url="https://www.ft.com/content/3f6b6126-06d6-4b31-b907-30d25c8c7236"/>
      </x:ext>
    </extLst>
  </threadedComment>
  <threadedComment ref="AT166" dT="2025-10-31T12:18:22.79" personId="{5FF1EC60-44F1-495B-BD45-E52FC60F1C9C}" id="{C8B1F49C-EEAA-4A89-AAC4-15BCEE5C03D4}">
    <text>Arete estimate of SoftBank participation in $10bn Series J funding round valuing Databricks at $62bn: IR has guided that initial exposure is &lt;$50m but unclear whether SoftBank went on to participate in Series K valuing Databricks at &gt;$100bn.</text>
  </threadedComment>
  <threadedComment ref="AT166" dT="2025-10-31T12:21:52.47" personId="{5FF1EC60-44F1-495B-BD45-E52FC60F1C9C}" id="{9AF289D0-3D8E-4E7C-B5EC-DBF65975B0DA}" parentId="{C8B1F49C-EEAA-4A89-AAC4-15BCEE5C03D4}">
    <text>https://www.databricks.com/company/newsroom/press-releases/databricks-raising-10b-series-j-investment-62b-valuation</text>
    <extLst>
      <x:ext xmlns:xltc2="http://schemas.microsoft.com/office/spreadsheetml/2020/threadedcomments2" uri="{F7C98A9C-CBB3-438F-8F68-D28B6AF4A901}">
        <xltc2:checksum>1994250579</xltc2:checksum>
        <xltc2:hyperlink startIndex="0" length="115" url="https://www.databricks.com/company/newsroom/press-releases/databricks-raising-10b-series-j-investment-62b-valuation"/>
      </x:ext>
    </extLst>
  </threadedComment>
  <threadedComment ref="AT167" dT="2026-02-13T12:35:32.52" personId="{5FF1EC60-44F1-495B-BD45-E52FC60F1C9C}" id="{DDCC6589-765D-4155-A819-3C5187149E7B}">
    <text>SoftBank participated in Series A funding round in Jul. ‘24: $300m round at $1.5bn valuation, led by four investors incl. SoftBank, so we assume $75m each.</text>
  </threadedComment>
  <threadedComment ref="AT167" dT="2026-02-13T12:35:36.18" personId="{5FF1EC60-44F1-495B-BD45-E52FC60F1C9C}" id="{C435500D-3AF6-418C-B913-B8FC92DE0D15}" parentId="{DDCC6589-765D-4155-A819-3C5187149E7B}">
    <text>https://www.businesswire.com/news/home/20240709306400/en/Skild-AI-Raises-%24300M-Series-A-To-Build-A-Scalable-AI-Foundation-Model-For-Robotics?utm_source=chatgpt.com</text>
    <extLst>
      <x:ext xmlns:xltc2="http://schemas.microsoft.com/office/spreadsheetml/2020/threadedcomments2" uri="{F7C98A9C-CBB3-438F-8F68-D28B6AF4A901}">
        <xltc2:checksum>1410254237</xltc2:checksum>
        <xltc2:hyperlink startIndex="0" length="165" url="https://www.businesswire.com/news/home/20240709306400/en/Skild-AI-Raises-%24300M-Series-A-To-Build-A-Scalable-AI-Foundation-Model-For-Robotics?utm_source=chatgpt.com"/>
      </x:ext>
    </extLst>
  </threadedComment>
  <threadedComment ref="AT167" dT="2026-02-13T13:05:20.20" personId="{5FF1EC60-44F1-495B-BD45-E52FC60F1C9C}" id="{CF3A51A8-DBCE-4651-A3AC-7E375A07085B}" parentId="{DDCC6589-765D-4155-A819-3C5187149E7B}">
    <text>Per pg.10 of SoftBank’s F4Q24 Accounting presentation: SBG transferred Skild AI investment to SVF2 in F4Q23.</text>
  </threadedComment>
  <threadedComment ref="AT167" dT="2026-02-13T13:05:27.91" personId="{5FF1EC60-44F1-495B-BD45-E52FC60F1C9C}" id="{FA0ADC8F-2398-459F-91E7-AA90287995F1}" parentId="{DDCC6589-765D-4155-A819-3C5187149E7B}">
    <text>https://group.softbank/media/Project/sbg/sbg/pdf/ir/presentations/2024/investor-presentation_q4fy2024_01_en.pdf</text>
    <extLst>
      <x:ext xmlns:xltc2="http://schemas.microsoft.com/office/spreadsheetml/2020/threadedcomments2" uri="{F7C98A9C-CBB3-438F-8F68-D28B6AF4A901}">
        <xltc2:checksum>3299814131</xltc2:checksum>
        <xltc2:hyperlink startIndex="0" length="111" url="https://group.softbank/media/Project/sbg/sbg/pdf/ir/presentations/2024/investor-presentation_q4fy2024_01_en.pdf"/>
      </x:ext>
    </extLst>
  </threadedComment>
  <threadedComment ref="AU169" dT="2026-02-13T13:03:27.75" personId="{5FF1EC60-44F1-495B-BD45-E52FC60F1C9C}" id="{659C752A-4373-47C0-B16D-BE47D43EBF57}">
    <text>See pg.11 of F4Q24 Accounting slides which indicates &lt;49.9% SVF2 ownership of Robo HD entity: https://group.softbank/media/Project/sbg/sbg/pdf/ir/presentations/2024/investor-presentation_q4fy2024_01_en.pdf.</text>
    <extLst>
      <x:ext xmlns:xltc2="http://schemas.microsoft.com/office/spreadsheetml/2020/threadedcomments2" uri="{F7C98A9C-CBB3-438F-8F68-D28B6AF4A901}">
        <xltc2:checksum>2788997807</xltc2:checksum>
        <xltc2:hyperlink startIndex="94" length="111" url="https://group.softbank/media/Project/sbg/sbg/pdf/ir/presentations/2024/investor-presentation_q4fy2024_01_en.pdf"/>
      </x:ext>
    </extLst>
  </threadedComment>
  <threadedComment ref="AW169" dT="2026-02-13T13:13:04.51" personId="{5FF1EC60-44F1-495B-BD45-E52FC60F1C9C}" id="{D573EB0E-543B-472B-BAE3-7A35EBD4CD06}">
    <text>Per Reuters: Skild AI reportedly raised another $500m in a Series B funding round at a $4.5bn valuation.</text>
  </threadedComment>
  <threadedComment ref="AW169" dT="2026-02-13T13:13:10.32" personId="{5FF1EC60-44F1-495B-BD45-E52FC60F1C9C}" id="{C97851BA-F06F-4455-807D-8A2C08EBD26F}" parentId="{D573EB0E-543B-472B-BAE3-7A35EBD4CD06}">
    <text>https://www.reuters.com/business/media-telecom/softbank-nvidia-looking-invest-skild-ai-14-billion-valuation-sources-say-2025-12-08/</text>
    <extLst>
      <x:ext xmlns:xltc2="http://schemas.microsoft.com/office/spreadsheetml/2020/threadedcomments2" uri="{F7C98A9C-CBB3-438F-8F68-D28B6AF4A901}">
        <xltc2:checksum>1304808066</xltc2:checksum>
        <xltc2:hyperlink startIndex="0" length="131" url="https://www.reuters.com/business/media-telecom/softbank-nvidia-looking-invest-skild-ai-14-billion-valuation-sources-say-2025-12-08/"/>
      </x:ext>
    </extLst>
  </threadedComment>
  <threadedComment ref="AW169" dT="2026-02-13T13:14:21.82" personId="{5FF1EC60-44F1-495B-BD45-E52FC60F1C9C}" id="{B57084DC-47B1-4988-A0F0-0D9FC0E9115E}" parentId="{D573EB0E-543B-472B-BAE3-7A35EBD4CD06}">
    <text>Per Crunchbase: SoftBank Group participated in Series B funding round alongside NVIDIA and Samsung Electronics.</text>
  </threadedComment>
  <threadedComment ref="AW169" dT="2026-02-13T13:14:42.07" personId="{5FF1EC60-44F1-495B-BD45-E52FC60F1C9C}" id="{F9CB42BE-99C8-4F67-A8E5-E614A9A5F551}" parentId="{D573EB0E-543B-472B-BAE3-7A35EBD4CD06}">
    <text>https://www.crunchbase.com/funding_round/skild-ai-series-b--968d99de</text>
    <extLst>
      <x:ext xmlns:xltc2="http://schemas.microsoft.com/office/spreadsheetml/2020/threadedcomments2" uri="{F7C98A9C-CBB3-438F-8F68-D28B6AF4A901}">
        <xltc2:checksum>2798438139</xltc2:checksum>
        <xltc2:hyperlink startIndex="0" length="68" url="https://www.crunchbase.com/funding_round/skild-ai-series-b--968d99de"/>
      </x:ext>
    </extLst>
  </threadedComment>
  <threadedComment ref="AW169" dT="2026-02-13T13:16:02.28" personId="{5FF1EC60-44F1-495B-BD45-E52FC60F1C9C}" id="{8ACE7E9D-F6FE-4A6E-A3E9-06B3B063DF63}" parentId="{D573EB0E-543B-472B-BAE3-7A35EBD4CD06}">
    <text>We assume $125m contribution by RoboHD on the basis of FT article in Jan. ‘25 suggesting SoftBank would look to lead the funding round.</text>
  </threadedComment>
  <threadedComment ref="AW169" dT="2026-02-13T13:16:06.47" personId="{5FF1EC60-44F1-495B-BD45-E52FC60F1C9C}" id="{FAF1B1A2-0D4B-40BF-B743-0F0A338863E8}" parentId="{D573EB0E-543B-472B-BAE3-7A35EBD4CD06}">
    <text>https://www.ft.com/content/c1ddf355-1de8-4c9a-a9ee-e37e4c7cf1a8</text>
    <extLst>
      <x:ext xmlns:xltc2="http://schemas.microsoft.com/office/spreadsheetml/2020/threadedcomments2" uri="{F7C98A9C-CBB3-438F-8F68-D28B6AF4A901}">
        <xltc2:checksum>4207602046</xltc2:checksum>
        <xltc2:hyperlink startIndex="0" length="63" url="https://www.ft.com/content/c1ddf355-1de8-4c9a-a9ee-e37e4c7cf1a8"/>
      </x:ext>
    </extLst>
  </threadedComment>
  <threadedComment ref="AR172" dT="2025-11-20T15:35:24.02" personId="{5FF1EC60-44F1-495B-BD45-E52FC60F1C9C}" id="{5EAE1158-D284-4FA2-A017-DDC351E769FE}">
    <text>Refer to pg.20 of F3Q21 earnings report: 30.2% PayPay stake transferred to SVF2 at $1.467bn valuation.</text>
  </threadedComment>
  <threadedComment ref="AR172" dT="2025-11-20T15:35:28.49" personId="{5FF1EC60-44F1-495B-BD45-E52FC60F1C9C}" id="{C662C529-EF06-4A5D-815E-1A7A82CC1C7C}" parentId="{5EAE1158-D284-4FA2-A017-DDC351E769FE}">
    <text>https://group.softbank/media/Project/sbg/sbg/pdf/ir/financials/financial_reports/financial-report_q3fy2021_01_en.pdf</text>
    <extLst>
      <x:ext xmlns:xltc2="http://schemas.microsoft.com/office/spreadsheetml/2020/threadedcomments2" uri="{F7C98A9C-CBB3-438F-8F68-D28B6AF4A901}">
        <xltc2:checksum>1824963480</xltc2:checksum>
        <xltc2:hyperlink startIndex="0" length="116" url="https://group.softbank/media/Project/sbg/sbg/pdf/ir/financials/financial_reports/financial-report_q3fy2021_01_en.pdf"/>
      </x:ext>
    </extLst>
  </threadedComment>
  <threadedComment ref="AW172" dT="2025-11-20T15:36:21.65" personId="{5FF1EC60-44F1-495B-BD45-E52FC60F1C9C}" id="{03030C5D-EB8A-495A-8E43-6D4669939CEC}">
    <text>Per IR commentary: SVF2 exercised SARs from Paytm for $280m in F1Q25, increasing SVF2’s ownership stake from 30.2% to 34%.</text>
  </threadedComment>
  <threadedComment ref="AO188" dT="2024-04-25T15:32:20.26" personId="{5FF1EC60-44F1-495B-BD45-E52FC60F1C9C}" id="{6D4E8C96-25B3-415D-B927-707C0513E6BF}">
    <text>Use FT for AutoStore Holdings Ltd. share price as S&amp;P Capital IQ share price incorrect i.e., seems to be reported in € despite being a Norwegian listed company: https://markets.ft.com/data/equities/tearsheet/charts?s=AUTO:OSL.</text>
    <extLst>
      <x:ext xmlns:xltc2="http://schemas.microsoft.com/office/spreadsheetml/2020/threadedcomments2" uri="{F7C98A9C-CBB3-438F-8F68-D28B6AF4A901}">
        <xltc2:checksum>3524452530</xltc2:checksum>
        <xltc2:hyperlink startIndex="161" length="64" url="https://markets.ft.com/data/equities/tearsheet/charts?s=AUTO:OSL"/>
      </x:ext>
    </extLst>
  </threadedComment>
  <threadedComment ref="AP188" dT="2024-04-25T15:32:20.26" personId="{5FF1EC60-44F1-495B-BD45-E52FC60F1C9C}" id="{33AF84E4-81BA-45D5-839C-15399CC8E755}">
    <text>Use FT for AutoStore Holdings Ltd. share price as S&amp;P Capital IQ share price incorrect i.e., seems to be reported in € despite being a Norwegian listed company: https://markets.ft.com/data/equities/tearsheet/charts?s=AUTO:OSL.</text>
    <extLst>
      <x:ext xmlns:xltc2="http://schemas.microsoft.com/office/spreadsheetml/2020/threadedcomments2" uri="{F7C98A9C-CBB3-438F-8F68-D28B6AF4A901}">
        <xltc2:checksum>3524452530</xltc2:checksum>
        <xltc2:hyperlink startIndex="161" length="64" url="https://markets.ft.com/data/equities/tearsheet/charts?s=AUTO:OSL"/>
      </x:ext>
    </extLst>
  </threadedComment>
  <threadedComment ref="AR188" dT="2024-04-25T15:32:20.26" personId="{5FF1EC60-44F1-495B-BD45-E52FC60F1C9C}" id="{09500631-693C-43EF-8BCA-4BE87AB73D2E}">
    <text>Use FT for AutoStore Holdings Ltd. share price as S&amp;P Capital IQ share price incorrect i.e., seems to be reported in € despite being a Norwegian listed company: https://markets.ft.com/data/equities/tearsheet/charts?s=AUTO:OSL.</text>
    <extLst>
      <x:ext xmlns:xltc2="http://schemas.microsoft.com/office/spreadsheetml/2020/threadedcomments2" uri="{F7C98A9C-CBB3-438F-8F68-D28B6AF4A901}">
        <xltc2:checksum>3524452530</xltc2:checksum>
        <xltc2:hyperlink startIndex="161" length="64" url="https://markets.ft.com/data/equities/tearsheet/charts?s=AUTO:OSL"/>
      </x:ext>
    </extLst>
  </threadedComment>
  <threadedComment ref="AS188" dT="2024-04-25T15:32:20.26" personId="{5FF1EC60-44F1-495B-BD45-E52FC60F1C9C}" id="{A722766D-1B7C-45C4-A14E-1061BD7C2842}">
    <text>Use FT for AutoStore Holdings Ltd. share price as S&amp;P Capital IQ share price incorrect i.e., seems to be reported in € despite being a Norwegian listed company: https://markets.ft.com/data/equities/tearsheet/charts?s=AUTO:OSL.</text>
    <extLst>
      <x:ext xmlns:xltc2="http://schemas.microsoft.com/office/spreadsheetml/2020/threadedcomments2" uri="{F7C98A9C-CBB3-438F-8F68-D28B6AF4A901}">
        <xltc2:checksum>3524452530</xltc2:checksum>
        <xltc2:hyperlink startIndex="161" length="64" url="https://markets.ft.com/data/equities/tearsheet/charts?s=AUTO:OSL"/>
      </x:ext>
    </extLst>
  </threadedComment>
  <threadedComment ref="AT188" dT="2024-04-25T15:32:20.26" personId="{5FF1EC60-44F1-495B-BD45-E52FC60F1C9C}" id="{BE9DD946-4EDA-4672-86DC-D3AF0E13F53F}">
    <text>Use FT for AutoStore Holdings Ltd. share price as S&amp;P Capital IQ share price incorrect i.e., seems to be reported in € despite being a Norwegian listed company: https://markets.ft.com/data/equities/tearsheet/charts?s=AUTO:OSL.</text>
    <extLst>
      <x:ext xmlns:xltc2="http://schemas.microsoft.com/office/spreadsheetml/2020/threadedcomments2" uri="{F7C98A9C-CBB3-438F-8F68-D28B6AF4A901}">
        <xltc2:checksum>3524452530</xltc2:checksum>
        <xltc2:hyperlink startIndex="161" length="64" url="https://markets.ft.com/data/equities/tearsheet/charts?s=AUTO:OSL"/>
      </x:ext>
    </extLst>
  </threadedComment>
  <threadedComment ref="AU188" dT="2024-04-25T15:32:20.26" personId="{5FF1EC60-44F1-495B-BD45-E52FC60F1C9C}" id="{518D760E-1FC3-4DC8-8D9F-14938D626D62}">
    <text>Use FT for AutoStore Holdings Ltd. share price as S&amp;P Capital IQ share price incorrect i.e., seems to be reported in € despite being a Norwegian listed company: https://markets.ft.com/data/equities/tearsheet/charts?s=AUTO:OSL.</text>
    <extLst>
      <x:ext xmlns:xltc2="http://schemas.microsoft.com/office/spreadsheetml/2020/threadedcomments2" uri="{F7C98A9C-CBB3-438F-8F68-D28B6AF4A901}">
        <xltc2:checksum>3524452530</xltc2:checksum>
        <xltc2:hyperlink startIndex="161" length="64" url="https://markets.ft.com/data/equities/tearsheet/charts?s=AUTO:OSL"/>
      </x:ext>
    </extLst>
  </threadedComment>
  <threadedComment ref="AW188" dT="2024-04-25T15:32:20.26" personId="{5FF1EC60-44F1-495B-BD45-E52FC60F1C9C}" id="{4256DB16-A966-4983-96AB-1E94371682DB}">
    <text>Use FT for AutoStore Holdings Ltd. share price as S&amp;P Capital IQ share price incorrect i.e., seems to be reported in € despite being a Norwegian listed company: https://markets.ft.com/data/equities/tearsheet/charts?s=AUTO:OSL.</text>
    <extLst>
      <x:ext xmlns:xltc2="http://schemas.microsoft.com/office/spreadsheetml/2020/threadedcomments2" uri="{F7C98A9C-CBB3-438F-8F68-D28B6AF4A901}">
        <xltc2:checksum>3524452530</xltc2:checksum>
        <xltc2:hyperlink startIndex="161" length="64" url="https://markets.ft.com/data/equities/tearsheet/charts?s=AUTO:OSL"/>
      </x:ext>
    </extLst>
  </threadedComment>
  <threadedComment ref="AX188" dT="2024-04-25T15:32:20.26" personId="{5FF1EC60-44F1-495B-BD45-E52FC60F1C9C}" id="{86BC2147-9ABB-4504-8F54-08B016CAF998}">
    <text>Use FT for AutoStore Holdings Ltd. share price as S&amp;P Capital IQ share price incorrect i.e., seems to be reported in € despite being a Norwegian listed company: https://markets.ft.com/data/equities/tearsheet/charts?s=AUTO:OSL.</text>
    <extLst>
      <x:ext xmlns:xltc2="http://schemas.microsoft.com/office/spreadsheetml/2020/threadedcomments2" uri="{F7C98A9C-CBB3-438F-8F68-D28B6AF4A901}">
        <xltc2:checksum>3524452530</xltc2:checksum>
        <xltc2:hyperlink startIndex="161" length="64" url="https://markets.ft.com/data/equities/tearsheet/charts?s=AUTO:OSL"/>
      </x:ext>
    </extLst>
  </threadedComment>
  <threadedComment ref="AY188" dT="2024-04-25T15:32:20.26" personId="{5FF1EC60-44F1-495B-BD45-E52FC60F1C9C}" id="{8339EB57-AC0F-4DFF-A9BD-BCE60B8D26B1}">
    <text>Use FT for AutoStore Holdings Ltd. share price as S&amp;P Capital IQ share price incorrect i.e., seems to be reported in € despite being a Norwegian listed company: https://markets.ft.com/data/equities/tearsheet/charts?s=AUTO:OSL.</text>
    <extLst>
      <x:ext xmlns:xltc2="http://schemas.microsoft.com/office/spreadsheetml/2020/threadedcomments2" uri="{F7C98A9C-CBB3-438F-8F68-D28B6AF4A901}">
        <xltc2:checksum>3524452530</xltc2:checksum>
        <xltc2:hyperlink startIndex="161" length="64" url="https://markets.ft.com/data/equities/tearsheet/charts?s=AUTO:OSL"/>
      </x:ext>
    </extLst>
  </threadedComment>
  <threadedComment ref="AW364" dT="2024-04-25T16:38:20.68" personId="{5FF1EC60-44F1-495B-BD45-E52FC60F1C9C}" id="{8F20C922-43C2-46F7-8210-17D48E732AD1}">
    <text>See Chime 10-Q from August ‘25: https://investors.chime.com/static-files/dca39098-a64a-4dfa-9544-bf0ba2a6c72e.</text>
    <extLst>
      <x:ext xmlns:xltc2="http://schemas.microsoft.com/office/spreadsheetml/2020/threadedcomments2" uri="{F7C98A9C-CBB3-438F-8F68-D28B6AF4A901}">
        <xltc2:checksum>772138757</xltc2:checksum>
        <xltc2:hyperlink startIndex="32" length="77" url="https://investors.chime.com/static-files/dca39098-a64a-4dfa-9544-bf0ba2a6c72e"/>
      </x:ext>
    </extLst>
  </threadedComment>
  <threadedComment ref="AO410" dT="2024-04-25T16:36:45.35" personId="{5FF1EC60-44F1-495B-BD45-E52FC60F1C9C}" id="{6E838F1A-7251-472B-993F-19D4277F9647}">
    <text>See Neumora Therapeutics 10-Q from November '23: https://ir.neumoratx.com/static-files/25c23a40-0e50-4fda-a5bd-a11c694de070.</text>
    <extLst>
      <x:ext xmlns:xltc2="http://schemas.microsoft.com/office/spreadsheetml/2020/threadedcomments2" uri="{F7C98A9C-CBB3-438F-8F68-D28B6AF4A901}">
        <xltc2:checksum>1981050989</xltc2:checksum>
        <xltc2:hyperlink startIndex="49" length="74" url="https://ir.neumoratx.com/static-files/25c23a40-0e50-4fda-a5bd-a11c694de070"/>
      </x:ext>
    </extLst>
  </threadedComment>
  <threadedComment ref="AP410" dT="2024-04-25T16:38:20.68" personId="{5FF1EC60-44F1-495B-BD45-E52FC60F1C9C}" id="{7ED501D0-CD62-42AC-B207-3D06E1078B6D}">
    <text>See Neumora Therapeutics 10-K from March '24: https://ir.neumoratx.com/static-files/d08c50ad-53ae-46f6-afb1-f897de7586af.</text>
    <extLst>
      <x:ext xmlns:xltc2="http://schemas.microsoft.com/office/spreadsheetml/2020/threadedcomments2" uri="{F7C98A9C-CBB3-438F-8F68-D28B6AF4A901}">
        <xltc2:checksum>856852324</xltc2:checksum>
        <xltc2:hyperlink startIndex="46" length="74" url="https://ir.neumoratx.com/static-files/d08c50ad-53ae-46f6-afb1-f897de7586af"/>
      </x:ext>
    </extLst>
  </threadedComment>
  <threadedComment ref="AR410" dT="2024-04-25T16:38:20.68" personId="{5FF1EC60-44F1-495B-BD45-E52FC60F1C9C}" id="{8A9BC52E-0C87-4CED-B108-CDCC8C29EB16}">
    <text>See Neumora Therapeutics 10-Q from August '24: https://ir.neumoratx.com/static-files/f2463cf9-52d8-4c61-8c72-44ee9766bd4e.</text>
    <extLst>
      <x:ext xmlns:xltc2="http://schemas.microsoft.com/office/spreadsheetml/2020/threadedcomments2" uri="{F7C98A9C-CBB3-438F-8F68-D28B6AF4A901}">
        <xltc2:checksum>2692789183</xltc2:checksum>
        <xltc2:hyperlink startIndex="47" length="74" url="https://ir.neumoratx.com/static-files/f2463cf9-52d8-4c61-8c72-44ee9766bd4e"/>
      </x:ext>
    </extLst>
  </threadedComment>
  <threadedComment ref="AS410" dT="2024-04-25T16:38:20.68" personId="{5FF1EC60-44F1-495B-BD45-E52FC60F1C9C}" id="{83BF2605-4DD9-47DA-8638-3D9B1F46C79F}">
    <text>See Neumora Therapeutics 10-Q from November '24: https://ir.neumoratx.com/static-files/0b4eb540-de78-446f-8de4-89d558790ca5.</text>
    <extLst>
      <x:ext xmlns:xltc2="http://schemas.microsoft.com/office/spreadsheetml/2020/threadedcomments2" uri="{F7C98A9C-CBB3-438F-8F68-D28B6AF4A901}">
        <xltc2:checksum>2396144496</xltc2:checksum>
        <xltc2:hyperlink startIndex="49" length="74" url="https://ir.neumoratx.com/static-files/0b4eb540-de78-446f-8de4-89d558790ca5"/>
      </x:ext>
    </extLst>
  </threadedComment>
  <threadedComment ref="AT410" dT="2024-04-25T16:38:20.68" personId="{5FF1EC60-44F1-495B-BD45-E52FC60F1C9C}" id="{F2A8314D-4344-4385-8A36-C2FCFB5C88F6}">
    <text>See Neumora Therapeutics 10-K from March '25: https://ir.neumoratx.com/static-files/0bf25367-28a0-403d-9ace-74ee101ccf20.</text>
    <extLst>
      <x:ext xmlns:xltc2="http://schemas.microsoft.com/office/spreadsheetml/2020/threadedcomments2" uri="{F7C98A9C-CBB3-438F-8F68-D28B6AF4A901}">
        <xltc2:checksum>156172600</xltc2:checksum>
        <xltc2:hyperlink startIndex="46" length="74" url="https://ir.neumoratx.com/static-files/0bf25367-28a0-403d-9ace-74ee101ccf20"/>
      </x:ext>
    </extLst>
  </threadedComment>
  <threadedComment ref="AU410" dT="2024-04-25T16:38:20.68" personId="{5FF1EC60-44F1-495B-BD45-E52FC60F1C9C}" id="{53F045B3-6BEA-4F20-8E34-F2F800D67F08}">
    <text>See Neumora Therapeutics 10-Q from May ‘25:  https://ir.neumoratx.com/static-files/de279624-40d5-479b-8dde-bc03902f7e4c.</text>
    <extLst>
      <x:ext xmlns:xltc2="http://schemas.microsoft.com/office/spreadsheetml/2020/threadedcomments2" uri="{F7C98A9C-CBB3-438F-8F68-D28B6AF4A901}">
        <xltc2:checksum>3413976722</xltc2:checksum>
        <xltc2:hyperlink startIndex="45" length="74" url="https://ir.neumoratx.com/static-files/de279624-40d5-479b-8dde-bc03902f7e4c"/>
      </x:ext>
    </extLst>
  </threadedComment>
  <threadedComment ref="AW410" dT="2024-04-25T16:38:20.68" personId="{5FF1EC60-44F1-495B-BD45-E52FC60F1C9C}" id="{042007EA-BAF7-4638-B85D-8FF1CBF134C2}">
    <text>See Neumora Therapeutics 10-Q from August ‘25: https://ir.neumoratx.com/static-files/6e9d5b08-5415-4f2f-8e58-db1d41585f06.</text>
    <extLst>
      <x:ext xmlns:xltc2="http://schemas.microsoft.com/office/spreadsheetml/2020/threadedcomments2" uri="{F7C98A9C-CBB3-438F-8F68-D28B6AF4A901}">
        <xltc2:checksum>2618106801</xltc2:checksum>
        <xltc2:hyperlink startIndex="47" length="74" url="https://ir.neumoratx.com/static-files/6e9d5b08-5415-4f2f-8e58-db1d41585f06"/>
      </x:ext>
    </extLst>
  </threadedComment>
</ThreadedComments>
</file>

<file path=xl/threadedComments/threadedComment8.xml><?xml version="1.0" encoding="utf-8"?>
<ThreadedComments xmlns="http://schemas.microsoft.com/office/spreadsheetml/2018/threadedcomments" xmlns:x="http://schemas.openxmlformats.org/spreadsheetml/2006/main">
  <threadedComment ref="BD18" dT="2026-02-19T14:43:57.59" personId="{5FF1EC60-44F1-495B-BD45-E52FC60F1C9C}" id="{30A14541-C745-4242-AC04-C219EA41874B}">
    <text>https://group.softbank/en/news/press/20251229</text>
    <extLst>
      <x:ext xmlns:xltc2="http://schemas.microsoft.com/office/spreadsheetml/2020/threadedcomments2" uri="{F7C98A9C-CBB3-438F-8F68-D28B6AF4A901}">
        <xltc2:checksum>1290119755</xltc2:checksum>
        <xltc2:hyperlink startIndex="0" length="45" url="https://group.softbank/en/news/press/20251229"/>
      </x:ext>
    </extLst>
  </threadedComment>
  <threadedComment ref="AR20" dT="2024-07-30T12:01:16.35" personId="{5FF1EC60-44F1-495B-BD45-E52FC60F1C9C}" id="{8733A900-13D1-40CF-B4C5-91D4AA628900}">
    <text>Assumptions: $650m for Graphcore acquisition in July '24 (note: said to be more than $600m but less than $700m cumulatively raised by Graphcore from Venture Capital in the past), $95m SB Tempus JV investments and $1.25bn "other" investments in line with $9bn p.a. AI investments run-rate.</text>
  </threadedComment>
  <threadedComment ref="AR20" dT="2024-07-30T12:01:42.41" personId="{5FF1EC60-44F1-495B-BD45-E52FC60F1C9C}" id="{8BAA6DFB-401D-4BCE-81CB-BE10F2E766CA}" parentId="{8733A900-13D1-40CF-B4C5-91D4AA628900}">
    <text>Graphcore acquisition FT article: https://www.ft.com/content/e33bab13-2d64-47f7-b0e2-9ba446296234.</text>
    <extLst>
      <x:ext xmlns:xltc2="http://schemas.microsoft.com/office/spreadsheetml/2020/threadedcomments2" uri="{F7C98A9C-CBB3-438F-8F68-D28B6AF4A901}">
        <xltc2:checksum>2428514788</xltc2:checksum>
        <xltc2:hyperlink startIndex="34" length="63" url="https://www.ft.com/content/e33bab13-2d64-47f7-b0e2-9ba446296234"/>
      </x:ext>
    </extLst>
  </threadedComment>
  <threadedComment ref="BC21" dT="2026-02-19T14:43:43.75" personId="{5FF1EC60-44F1-495B-BD45-E52FC60F1C9C}" id="{48EB2C58-5BEF-447A-B6F1-7A1BBDC0C095}">
    <text>https://group.softbank/en/news/press/20251008</text>
    <extLst>
      <x:ext xmlns:xltc2="http://schemas.microsoft.com/office/spreadsheetml/2020/threadedcomments2" uri="{F7C98A9C-CBB3-438F-8F68-D28B6AF4A901}">
        <xltc2:checksum>309178340</xltc2:checksum>
        <xltc2:hyperlink startIndex="0" length="45" url="https://group.softbank/en/news/press/20251008"/>
      </x:ext>
    </extLst>
  </threadedComment>
  <threadedComment ref="AX30" dT="2025-11-19T12:42:16.58" personId="{5FF1EC60-44F1-495B-BD45-E52FC60F1C9C}" id="{FCA097A3-06B8-4107-AAB4-DC83421DC576}">
    <text>Note: $8bn reported fair value of “OpenAI Forward Contract” at F2Q includes $1.8bn recognised at TopCo (i.e., value of derivative contract when it was transferred to SVF2 in Sep. ‘25).</text>
  </threadedComment>
  <threadedComment ref="AY46" dT="2025-11-18T17:15:40.84" personId="{5FF1EC60-44F1-495B-BD45-E52FC60F1C9C}" id="{DEDDB1D9-25AB-4945-B578-C8BDCD26AB0A}">
    <text>SBG disclosed that after F2Q close it sold all 32.1m NVIDIA shares for $5.83bn in Oct. ‘25 (see pg.4 of F2Q earnings report): implies $181.50/share selling price.</text>
  </threadedComment>
  <threadedComment ref="AY46" dT="2025-11-18T17:15:54.71" personId="{5FF1EC60-44F1-495B-BD45-E52FC60F1C9C}" id="{8A597A8B-8281-43A9-ACD8-29A9A97C5748}" parentId="{DEDDB1D9-25AB-4945-B578-C8BDCD26AB0A}">
    <text>https://group.softbank/media/Project/sbg/sbg/pdf/ir/financials/financial_reports/financial-report_q2fy2025_01_en.pdf</text>
    <extLst>
      <x:ext xmlns:xltc2="http://schemas.microsoft.com/office/spreadsheetml/2020/threadedcomments2" uri="{F7C98A9C-CBB3-438F-8F68-D28B6AF4A901}">
        <xltc2:checksum>3646459453</xltc2:checksum>
        <xltc2:hyperlink startIndex="0" length="116" url="https://group.softbank/media/Project/sbg/sbg/pdf/ir/financials/financial_reports/financial-report_q2fy2025_01_en.pdf"/>
      </x:ext>
    </extLst>
  </threadedComment>
  <threadedComment ref="AY108" dT="2026-03-01T13:02:27.02" personId="{5FF1EC60-44F1-495B-BD45-E52FC60F1C9C}" id="{BBD44456-54AD-4915-A007-023E351EE161}">
    <text>https://ir.symbotic.com/news-releases/news-release-details/symbotic-announces-pricing-primary-and-secondary-offering-0</text>
    <extLst>
      <x:ext xmlns:xltc2="http://schemas.microsoft.com/office/spreadsheetml/2020/threadedcomments2" uri="{F7C98A9C-CBB3-438F-8F68-D28B6AF4A901}">
        <xltc2:checksum>2012356100</xltc2:checksum>
        <xltc2:hyperlink startIndex="0" length="118" url="https://ir.symbotic.com/news-releases/news-release-details/symbotic-announces-pricing-primary-and-secondary-offering-0"/>
      </x:ext>
    </extLst>
  </threadedComment>
  <threadedComment ref="AO109" dT="2024-07-25T14:37:10.24" personId="{5FF1EC60-44F1-495B-BD45-E52FC60F1C9C}" id="{11FB0120-5091-4D8C-815E-89945EEEB394}">
    <text>Note: SoftBank's Symbotic shares split between: 1) 20m shares held within SVF2, 2) 17.8m shares held at a TopCo/HoldCo subsidiary i.e., directly by the Group, 3) 2m shares held at SoftBank Northstar i.e., 2) and 3) are reported within "Other".</text>
  </threadedComment>
  <threadedComment ref="AO109" dT="2024-07-25T14:38:38.06" personId="{5FF1EC60-44F1-495B-BD45-E52FC60F1C9C}" id="{298EE9D2-A1A3-4AAB-B105-BF0C7AF30537}" parentId="{11FB0120-5091-4D8C-815E-89945EEEB394}">
    <text>https://ir.symbotic.com/static-files/46f96247-43cc-4102-bb7d-d94f09b7c5dc</text>
    <extLst>
      <x:ext xmlns:xltc2="http://schemas.microsoft.com/office/spreadsheetml/2020/threadedcomments2" uri="{F7C98A9C-CBB3-438F-8F68-D28B6AF4A901}">
        <xltc2:checksum>1436305236</xltc2:checksum>
        <xltc2:hyperlink startIndex="0" length="73" url="https://eur03.safelinks.protection.outlook.com/?url=https%3A%2F%2Fir.symbotic.com%2Fstatic-files%2F46f96247-43cc-4102-bb7d-d94f09b7c5dc&amp;data=05%7C02%7CAlex.Pound%40arete.net%7C33563b5a3cfd4953ce0108dcaa42184b%7Ce2e26a4604f447869474e58e040cb8da%7C0%7C0%7C638572450332387039%7CUnknown%7CTWFpbGZsb3d8eyJWIjoiMC4wLjAwMDAiLCJQIjoiV2luMzIiLCJBTiI6Ik1haWwiLCJXVCI6Mn0%3D%7C0%7C%7C%7C&amp;sdata=XrMSfajS5gZqo4AyoTL2RiQdf2IfuLj5v1q%2FBI%2Bn7OI%3D&amp;reserved=0"/>
      </x:ext>
    </extLst>
  </threadedComment>
  <threadedComment ref="AO109" dT="2024-07-25T14:42:33.01" personId="{5FF1EC60-44F1-495B-BD45-E52FC60F1C9C}" id="{2D3A24BA-B97E-4F40-B254-22C757C1E310}" parentId="{11FB0120-5091-4D8C-815E-89945EEEB394}">
    <text>Note: SoftBank also holds 11.4m warrants as part of GreenBox JV agreement &amp; were transferred to the same TopCo subsidiary which holds the 17.8m additional (non-SVF2) shares in Symbotic i.e., "SVF II Strategic Investments AIV LLC".</text>
  </threadedComment>
  <threadedComment ref="AP109" dT="2024-07-25T14:37:10.24" personId="{5FF1EC60-44F1-495B-BD45-E52FC60F1C9C}" id="{63036C25-1936-4C06-BC12-BF6E9A96EDFB}">
    <text>Note: SoftBank's Symbotic shares split between: 1) 20m shares held within SVF2, 2) 17.8m shares held at a TopCo/HoldCo subsidiary i.e., directly by the Group, 3) 2m shares held at SoftBank Northstar i.e., 2) and 3) are reported within "Other".</text>
  </threadedComment>
  <threadedComment ref="AP109" dT="2024-07-25T14:38:38.06" personId="{5FF1EC60-44F1-495B-BD45-E52FC60F1C9C}" id="{A01A0821-B996-49F0-A828-57DFEEEB1192}" parentId="{63036C25-1936-4C06-BC12-BF6E9A96EDFB}">
    <text>https://ir.symbotic.com/static-files/46f96247-43cc-4102-bb7d-d94f09b7c5dc</text>
    <extLst>
      <x:ext xmlns:xltc2="http://schemas.microsoft.com/office/spreadsheetml/2020/threadedcomments2" uri="{F7C98A9C-CBB3-438F-8F68-D28B6AF4A901}">
        <xltc2:checksum>1436305236</xltc2:checksum>
        <xltc2:hyperlink startIndex="0" length="73" url="https://eur03.safelinks.protection.outlook.com/?url=https%3A%2F%2Fir.symbotic.com%2Fstatic-files%2F46f96247-43cc-4102-bb7d-d94f09b7c5dc&amp;data=05%7C02%7CAlex.Pound%40arete.net%7C33563b5a3cfd4953ce0108dcaa42184b%7Ce2e26a4604f447869474e58e040cb8da%7C0%7C0%7C638572450332387039%7CUnknown%7CTWFpbGZsb3d8eyJWIjoiMC4wLjAwMDAiLCJQIjoiV2luMzIiLCJBTiI6Ik1haWwiLCJXVCI6Mn0%3D%7C0%7C%7C%7C&amp;sdata=XrMSfajS5gZqo4AyoTL2RiQdf2IfuLj5v1q%2FBI%2Bn7OI%3D&amp;reserved=0"/>
      </x:ext>
    </extLst>
  </threadedComment>
  <threadedComment ref="AP109" dT="2024-07-25T14:42:33.01" personId="{5FF1EC60-44F1-495B-BD45-E52FC60F1C9C}" id="{6669AB84-764E-45BD-9552-63986F9C286A}" parentId="{63036C25-1936-4C06-BC12-BF6E9A96EDFB}">
    <text>Note: SoftBank also holds 11.4m warrants as part of GreenBox JV agreement &amp; were transferred to the same TopCo subsidiary which holds the 17.8m additional (non-SVF2) shares in Symbotic i.e., "SVF II Strategic Investments AIV LLC".</text>
  </threadedComment>
  <threadedComment ref="AR109" dT="2024-07-25T14:37:10.24" personId="{5FF1EC60-44F1-495B-BD45-E52FC60F1C9C}" id="{27F1C3C5-2EEE-4135-8E2B-3B7C841C6D79}">
    <text>Note: SoftBank's Symbotic shares split between: 1) 20m shares held within SVF2, 2) 17.8m shares held at a TopCo/HoldCo subsidiary i.e., directly by the Group, 3) 2m shares held at SoftBank Northstar i.e., 2) and 3) are reported within "Other".</text>
  </threadedComment>
  <threadedComment ref="AR109" dT="2024-07-25T14:38:38.06" personId="{5FF1EC60-44F1-495B-BD45-E52FC60F1C9C}" id="{67230305-9C50-45B3-97D3-C0F468FF3DF0}" parentId="{27F1C3C5-2EEE-4135-8E2B-3B7C841C6D79}">
    <text>https://ir.symbotic.com/static-files/46f96247-43cc-4102-bb7d-d94f09b7c5dc</text>
    <extLst>
      <x:ext xmlns:xltc2="http://schemas.microsoft.com/office/spreadsheetml/2020/threadedcomments2" uri="{F7C98A9C-CBB3-438F-8F68-D28B6AF4A901}">
        <xltc2:checksum>1436305236</xltc2:checksum>
        <xltc2:hyperlink startIndex="0" length="73" url="https://eur03.safelinks.protection.outlook.com/?url=https%3A%2F%2Fir.symbotic.com%2Fstatic-files%2F46f96247-43cc-4102-bb7d-d94f09b7c5dc&amp;data=05%7C02%7CAlex.Pound%40arete.net%7C33563b5a3cfd4953ce0108dcaa42184b%7Ce2e26a4604f447869474e58e040cb8da%7C0%7C0%7C638572450332387039%7CUnknown%7CTWFpbGZsb3d8eyJWIjoiMC4wLjAwMDAiLCJQIjoiV2luMzIiLCJBTiI6Ik1haWwiLCJXVCI6Mn0%3D%7C0%7C%7C%7C&amp;sdata=XrMSfajS5gZqo4AyoTL2RiQdf2IfuLj5v1q%2FBI%2Bn7OI%3D&amp;reserved=0"/>
      </x:ext>
    </extLst>
  </threadedComment>
  <threadedComment ref="AR109" dT="2024-07-25T14:42:33.01" personId="{5FF1EC60-44F1-495B-BD45-E52FC60F1C9C}" id="{436A405A-D806-4546-859A-47160079DCAE}" parentId="{27F1C3C5-2EEE-4135-8E2B-3B7C841C6D79}">
    <text>Note: SoftBank also holds 11.4m warrants as part of GreenBox JV agreement &amp; were transferred to the same TopCo subsidiary which holds the 17.8m additional (non-SVF2) shares in Symbotic i.e., "SVF II Strategic Investments AIV LLC".</text>
  </threadedComment>
  <threadedComment ref="AS109" dT="2024-07-25T14:37:10.24" personId="{5FF1EC60-44F1-495B-BD45-E52FC60F1C9C}" id="{DC5FEAF3-5F57-4860-A819-D2932CEFD6E7}">
    <text>Note: SoftBank's Symbotic shares split between: 1) 20m shares held within SVF2, 2) 17.8m shares held at a TopCo/HoldCo subsidiary i.e., directly by the Group, 3) 2m shares held at SoftBank Northstar i.e., 2) and 3) are reported within "Other".</text>
  </threadedComment>
  <threadedComment ref="AS109" dT="2024-07-25T14:38:38.06" personId="{5FF1EC60-44F1-495B-BD45-E52FC60F1C9C}" id="{98726FDC-6368-4032-8FD9-71D493176576}" parentId="{DC5FEAF3-5F57-4860-A819-D2932CEFD6E7}">
    <text>https://ir.symbotic.com/static-files/46f96247-43cc-4102-bb7d-d94f09b7c5dc</text>
    <extLst>
      <x:ext xmlns:xltc2="http://schemas.microsoft.com/office/spreadsheetml/2020/threadedcomments2" uri="{F7C98A9C-CBB3-438F-8F68-D28B6AF4A901}">
        <xltc2:checksum>1436305236</xltc2:checksum>
        <xltc2:hyperlink startIndex="0" length="73" url="https://eur03.safelinks.protection.outlook.com/?url=https%3A%2F%2Fir.symbotic.com%2Fstatic-files%2F46f96247-43cc-4102-bb7d-d94f09b7c5dc&amp;data=05%7C02%7CAlex.Pound%40arete.net%7C33563b5a3cfd4953ce0108dcaa42184b%7Ce2e26a4604f447869474e58e040cb8da%7C0%7C0%7C638572450332387039%7CUnknown%7CTWFpbGZsb3d8eyJWIjoiMC4wLjAwMDAiLCJQIjoiV2luMzIiLCJBTiI6Ik1haWwiLCJXVCI6Mn0%3D%7C0%7C%7C%7C&amp;sdata=XrMSfajS5gZqo4AyoTL2RiQdf2IfuLj5v1q%2FBI%2Bn7OI%3D&amp;reserved=0"/>
      </x:ext>
    </extLst>
  </threadedComment>
  <threadedComment ref="AS109" dT="2024-07-25T14:42:33.01" personId="{5FF1EC60-44F1-495B-BD45-E52FC60F1C9C}" id="{8C39F91B-0F15-4E6D-BBFF-97278BE06661}" parentId="{DC5FEAF3-5F57-4860-A819-D2932CEFD6E7}">
    <text>Note: SoftBank also holds 11.4m warrants as part of GreenBox JV agreement &amp; were transferred to the same TopCo subsidiary which holds the 17.8m additional (non-SVF2) shares in Symbotic i.e., "SVF II Strategic Investments AIV LLC".</text>
  </threadedComment>
  <threadedComment ref="AT109" dT="2024-07-25T14:37:10.24" personId="{5FF1EC60-44F1-495B-BD45-E52FC60F1C9C}" id="{68F8AB12-6B97-40E4-A382-63696DE1280E}">
    <text>Note: SoftBank's Symbotic shares split between: 1) 20m shares held within SVF2, 2) 17.8m shares held at a TopCo/HoldCo subsidiary i.e., directly by the Group, 3) 2m shares held at SoftBank Northstar i.e., 2) and 3) are reported within "Other".</text>
  </threadedComment>
  <threadedComment ref="AT109" dT="2024-07-25T14:38:38.06" personId="{5FF1EC60-44F1-495B-BD45-E52FC60F1C9C}" id="{5986BA0A-2D61-41FC-A2D9-AA6071A2001E}" parentId="{68F8AB12-6B97-40E4-A382-63696DE1280E}">
    <text>https://ir.symbotic.com/static-files/46f96247-43cc-4102-bb7d-d94f09b7c5dc</text>
    <extLst>
      <x:ext xmlns:xltc2="http://schemas.microsoft.com/office/spreadsheetml/2020/threadedcomments2" uri="{F7C98A9C-CBB3-438F-8F68-D28B6AF4A901}">
        <xltc2:checksum>1436305236</xltc2:checksum>
        <xltc2:hyperlink startIndex="0" length="73" url="https://eur03.safelinks.protection.outlook.com/?url=https%3A%2F%2Fir.symbotic.com%2Fstatic-files%2F46f96247-43cc-4102-bb7d-d94f09b7c5dc&amp;data=05%7C02%7CAlex.Pound%40arete.net%7C33563b5a3cfd4953ce0108dcaa42184b%7Ce2e26a4604f447869474e58e040cb8da%7C0%7C0%7C638572450332387039%7CUnknown%7CTWFpbGZsb3d8eyJWIjoiMC4wLjAwMDAiLCJQIjoiV2luMzIiLCJBTiI6Ik1haWwiLCJXVCI6Mn0%3D%7C0%7C%7C%7C&amp;sdata=XrMSfajS5gZqo4AyoTL2RiQdf2IfuLj5v1q%2FBI%2Bn7OI%3D&amp;reserved=0"/>
      </x:ext>
    </extLst>
  </threadedComment>
  <threadedComment ref="AT109" dT="2024-07-25T14:42:33.01" personId="{5FF1EC60-44F1-495B-BD45-E52FC60F1C9C}" id="{0DBCE3F9-BBF2-45F3-9BB2-E50029B00C98}" parentId="{68F8AB12-6B97-40E4-A382-63696DE1280E}">
    <text>Note: SoftBank also holds 11.4m warrants as part of GreenBox JV agreement &amp; were transferred to the same TopCo subsidiary which holds the 17.8m additional (non-SVF2) shares in Symbotic i.e., "SVF II Strategic Investments AIV LLC".</text>
  </threadedComment>
  <threadedComment ref="AU109" dT="2024-07-25T14:37:10.24" personId="{5FF1EC60-44F1-495B-BD45-E52FC60F1C9C}" id="{FA8151BE-60D8-45C3-B9F7-9E829110B6DF}">
    <text>Note: SoftBank's Symbotic shares split between: 1) 20m shares held within SVF2, 2) 17.8m shares held at a TopCo/HoldCo subsidiary i.e., directly by the Group, 3) 2m shares held at SoftBank Northstar i.e., 2) and 3) are reported within "Other".</text>
  </threadedComment>
  <threadedComment ref="AU109" dT="2024-07-25T14:38:38.06" personId="{5FF1EC60-44F1-495B-BD45-E52FC60F1C9C}" id="{CE3E12B8-91B6-4913-9FB9-C59AAD3993B3}" parentId="{FA8151BE-60D8-45C3-B9F7-9E829110B6DF}">
    <text>https://ir.symbotic.com/static-files/46f96247-43cc-4102-bb7d-d94f09b7c5dc</text>
    <extLst>
      <x:ext xmlns:xltc2="http://schemas.microsoft.com/office/spreadsheetml/2020/threadedcomments2" uri="{F7C98A9C-CBB3-438F-8F68-D28B6AF4A901}">
        <xltc2:checksum>1436305236</xltc2:checksum>
        <xltc2:hyperlink startIndex="0" length="73" url="https://eur03.safelinks.protection.outlook.com/?url=https%3A%2F%2Fir.symbotic.com%2Fstatic-files%2F46f96247-43cc-4102-bb7d-d94f09b7c5dc&amp;data=05%7C02%7CAlex.Pound%40arete.net%7C33563b5a3cfd4953ce0108dcaa42184b%7Ce2e26a4604f447869474e58e040cb8da%7C0%7C0%7C638572450332387039%7CUnknown%7CTWFpbGZsb3d8eyJWIjoiMC4wLjAwMDAiLCJQIjoiV2luMzIiLCJBTiI6Ik1haWwiLCJXVCI6Mn0%3D%7C0%7C%7C%7C&amp;sdata=XrMSfajS5gZqo4AyoTL2RiQdf2IfuLj5v1q%2FBI%2Bn7OI%3D&amp;reserved=0"/>
      </x:ext>
    </extLst>
  </threadedComment>
  <threadedComment ref="AU109" dT="2024-07-25T14:42:33.01" personId="{5FF1EC60-44F1-495B-BD45-E52FC60F1C9C}" id="{25C50FA2-F3E4-45C3-AA24-485446C25A70}" parentId="{FA8151BE-60D8-45C3-B9F7-9E829110B6DF}">
    <text>Note: SoftBank also holds 11.4m warrants as part of GreenBox JV agreement &amp; were transferred to the same TopCo subsidiary which holds the 17.8m additional (non-SVF2) shares in Symbotic i.e., "SVF II Strategic Investments AIV LLC".</text>
  </threadedComment>
  <threadedComment ref="AW109" dT="2024-07-25T14:37:10.24" personId="{5FF1EC60-44F1-495B-BD45-E52FC60F1C9C}" id="{6B2ECDEB-F2AC-4079-B5F0-F10168184EC3}">
    <text>Note: SoftBank's Symbotic shares split between: 1) 20m shares held within SVF2, 2) 17.8m shares held at a TopCo/HoldCo subsidiary i.e., directly by the Group, 3) 2m shares held at SoftBank Northstar i.e., 2) and 3) are reported within "Other".</text>
  </threadedComment>
  <threadedComment ref="AW109" dT="2024-07-25T14:38:38.06" personId="{5FF1EC60-44F1-495B-BD45-E52FC60F1C9C}" id="{0273090D-7AF0-41B1-8AF0-B0544F0365DC}" parentId="{6B2ECDEB-F2AC-4079-B5F0-F10168184EC3}">
    <text>https://ir.symbotic.com/static-files/46f96247-43cc-4102-bb7d-d94f09b7c5dc</text>
    <extLst>
      <x:ext xmlns:xltc2="http://schemas.microsoft.com/office/spreadsheetml/2020/threadedcomments2" uri="{F7C98A9C-CBB3-438F-8F68-D28B6AF4A901}">
        <xltc2:checksum>1436305236</xltc2:checksum>
        <xltc2:hyperlink startIndex="0" length="73" url="https://eur03.safelinks.protection.outlook.com/?url=https%3A%2F%2Fir.symbotic.com%2Fstatic-files%2F46f96247-43cc-4102-bb7d-d94f09b7c5dc&amp;data=05%7C02%7CAlex.Pound%40arete.net%7C33563b5a3cfd4953ce0108dcaa42184b%7Ce2e26a4604f447869474e58e040cb8da%7C0%7C0%7C638572450332387039%7CUnknown%7CTWFpbGZsb3d8eyJWIjoiMC4wLjAwMDAiLCJQIjoiV2luMzIiLCJBTiI6Ik1haWwiLCJXVCI6Mn0%3D%7C0%7C%7C%7C&amp;sdata=XrMSfajS5gZqo4AyoTL2RiQdf2IfuLj5v1q%2FBI%2Bn7OI%3D&amp;reserved=0"/>
      </x:ext>
    </extLst>
  </threadedComment>
  <threadedComment ref="AW109" dT="2024-07-25T14:42:33.01" personId="{5FF1EC60-44F1-495B-BD45-E52FC60F1C9C}" id="{AB7B4E87-AD34-41F9-B1D5-D7ED9251BF5E}" parentId="{6B2ECDEB-F2AC-4079-B5F0-F10168184EC3}">
    <text>Note: SoftBank also holds 11.4m warrants as part of GreenBox JV agreement &amp; were transferred to the same TopCo subsidiary which holds the 17.8m additional (non-SVF2) shares in Symbotic i.e., "SVF II Strategic Investments AIV LLC".</text>
  </threadedComment>
  <threadedComment ref="AX109" dT="2024-07-25T14:37:10.24" personId="{5FF1EC60-44F1-495B-BD45-E52FC60F1C9C}" id="{8C10D22A-4D38-46C3-88E4-EA7277DA994B}">
    <text>Note: SoftBank's Symbotic shares split between: 1) 20m shares held within SVF2, 2) 17.8m shares held at a TopCo/HoldCo subsidiary i.e., directly by the Group, 3) 2m shares held at SoftBank Northstar i.e., 2) and 3) are reported within "Other".</text>
  </threadedComment>
  <threadedComment ref="AX109" dT="2024-07-25T14:38:38.06" personId="{5FF1EC60-44F1-495B-BD45-E52FC60F1C9C}" id="{3E1E831A-00C6-4C76-A4B2-B55173116F7C}" parentId="{8C10D22A-4D38-46C3-88E4-EA7277DA994B}">
    <text>https://ir.symbotic.com/static-files/46f96247-43cc-4102-bb7d-d94f09b7c5dc</text>
    <extLst>
      <x:ext xmlns:xltc2="http://schemas.microsoft.com/office/spreadsheetml/2020/threadedcomments2" uri="{F7C98A9C-CBB3-438F-8F68-D28B6AF4A901}">
        <xltc2:checksum>1436305236</xltc2:checksum>
        <xltc2:hyperlink startIndex="0" length="73" url="https://eur03.safelinks.protection.outlook.com/?url=https%3A%2F%2Fir.symbotic.com%2Fstatic-files%2F46f96247-43cc-4102-bb7d-d94f09b7c5dc&amp;data=05%7C02%7CAlex.Pound%40arete.net%7C33563b5a3cfd4953ce0108dcaa42184b%7Ce2e26a4604f447869474e58e040cb8da%7C0%7C0%7C638572450332387039%7CUnknown%7CTWFpbGZsb3d8eyJWIjoiMC4wLjAwMDAiLCJQIjoiV2luMzIiLCJBTiI6Ik1haWwiLCJXVCI6Mn0%3D%7C0%7C%7C%7C&amp;sdata=XrMSfajS5gZqo4AyoTL2RiQdf2IfuLj5v1q%2FBI%2Bn7OI%3D&amp;reserved=0"/>
      </x:ext>
    </extLst>
  </threadedComment>
  <threadedComment ref="AX109" dT="2024-07-25T14:42:33.01" personId="{5FF1EC60-44F1-495B-BD45-E52FC60F1C9C}" id="{C250ED84-9826-4C7B-AD5B-DB5DA0B01C9E}" parentId="{8C10D22A-4D38-46C3-88E4-EA7277DA994B}">
    <text>Note: SoftBank also holds 11.4m warrants as part of GreenBox JV agreement &amp; were transferred to the same TopCo subsidiary which holds the 17.8m additional (non-SVF2) shares in Symbotic i.e., "SVF II Strategic Investments AIV LLC".</text>
  </threadedComment>
  <threadedComment ref="AY109" dT="2024-07-25T14:37:10.24" personId="{5FF1EC60-44F1-495B-BD45-E52FC60F1C9C}" id="{3964A318-5C4D-4354-AA21-0A5EAB0A059B}">
    <text>Note: SoftBank's Symbotic shares split between: 1) 20m shares held within SVF2, 2) 17.8m shares held at a TopCo/HoldCo subsidiary i.e., directly by the Group, 3) 2m shares held at SoftBank Northstar i.e., 2) and 3) are reported within "Other".</text>
  </threadedComment>
  <threadedComment ref="AY109" dT="2024-07-25T14:38:38.06" personId="{5FF1EC60-44F1-495B-BD45-E52FC60F1C9C}" id="{C6D91267-D21A-4A55-904F-3D74A0D79CD5}" parentId="{3964A318-5C4D-4354-AA21-0A5EAB0A059B}">
    <text>https://ir.symbotic.com/static-files/46f96247-43cc-4102-bb7d-d94f09b7c5dc</text>
    <extLst>
      <x:ext xmlns:xltc2="http://schemas.microsoft.com/office/spreadsheetml/2020/threadedcomments2" uri="{F7C98A9C-CBB3-438F-8F68-D28B6AF4A901}">
        <xltc2:checksum>1436305236</xltc2:checksum>
        <xltc2:hyperlink startIndex="0" length="73" url="https://eur03.safelinks.protection.outlook.com/?url=https%3A%2F%2Fir.symbotic.com%2Fstatic-files%2F46f96247-43cc-4102-bb7d-d94f09b7c5dc&amp;data=05%7C02%7CAlex.Pound%40arete.net%7C33563b5a3cfd4953ce0108dcaa42184b%7Ce2e26a4604f447869474e58e040cb8da%7C0%7C0%7C638572450332387039%7CUnknown%7CTWFpbGZsb3d8eyJWIjoiMC4wLjAwMDAiLCJQIjoiV2luMzIiLCJBTiI6Ik1haWwiLCJXVCI6Mn0%3D%7C0%7C%7C%7C&amp;sdata=XrMSfajS5gZqo4AyoTL2RiQdf2IfuLj5v1q%2FBI%2Bn7OI%3D&amp;reserved=0"/>
      </x:ext>
    </extLst>
  </threadedComment>
  <threadedComment ref="AY109" dT="2024-07-25T14:42:33.01" personId="{5FF1EC60-44F1-495B-BD45-E52FC60F1C9C}" id="{1F2B294B-4B08-4CAD-A4A9-8D39C0A5A9ED}" parentId="{3964A318-5C4D-4354-AA21-0A5EAB0A059B}">
    <text>Note: SoftBank also holds 11.4m warrants as part of GreenBox JV agreement &amp; were transferred to the same TopCo subsidiary which holds the 17.8m additional (non-SVF2) shares in Symbotic i.e., "SVF II Strategic Investments AIV LLC".</text>
  </threadedComment>
</ThreadedComments>
</file>

<file path=xl/threadedComments/threadedComment9.xml><?xml version="1.0" encoding="utf-8"?>
<ThreadedComments xmlns="http://schemas.microsoft.com/office/spreadsheetml/2018/threadedcomments" xmlns:x="http://schemas.openxmlformats.org/spreadsheetml/2006/main">
  <threadedComment ref="AS51" dT="2024-07-30T10:36:39.24" personId="{5FF1EC60-44F1-495B-BD45-E52FC60F1C9C}" id="{26A03288-817D-457F-BD31-8D45EFCD9687}">
    <text>Note: 13F disclosures inconsistent with SBIA SEC filings (see 1st April '23 filing below which gives a 38.4m/38.5% holding vs. 19.9m reported within 13F).</text>
  </threadedComment>
  <threadedComment ref="AS51" dT="2024-07-30T10:36:44.39" personId="{5FF1EC60-44F1-495B-BD45-E52FC60F1C9C}" id="{94823DA0-E94D-41E4-94CD-AD28C9C77DAC}" parentId="{26A03288-817D-457F-BD31-8D45EFCD9687}">
    <text>https://d18rn0p25nwr6d.cloudfront.net/CIK-0001793663/72eb39cc-6c43-4729-9a47-1a96ed1989b2.pdf</text>
    <extLst>
      <x:ext xmlns:xltc2="http://schemas.microsoft.com/office/spreadsheetml/2020/threadedcomments2" uri="{F7C98A9C-CBB3-438F-8F68-D28B6AF4A901}">
        <xltc2:checksum>2640434230</xltc2:checksum>
        <xltc2:hyperlink startIndex="0" length="93" url="https://d18rn0p25nwr6d.cloudfront.net/CIK-0001793663/72eb39cc-6c43-4729-9a47-1a96ed1989b2.pdf"/>
      </x:ext>
    </extLst>
  </threadedComment>
  <threadedComment ref="AS51" dT="2024-07-30T10:36:50.61" personId="{5FF1EC60-44F1-495B-BD45-E52FC60F1C9C}" id="{3E288F38-A265-45A6-ADB8-70D1F873CC5B}" parentId="{26A03288-817D-457F-BD31-8D45EFCD9687}">
    <text>https://www.sec.gov/Archives/edgar/data/1065521/000106299324010266/xslForm13F_X02/form13fInfoTable.xml</text>
    <extLst>
      <x:ext xmlns:xltc2="http://schemas.microsoft.com/office/spreadsheetml/2020/threadedcomments2" uri="{F7C98A9C-CBB3-438F-8F68-D28B6AF4A901}">
        <xltc2:checksum>2919765246</xltc2:checksum>
        <xltc2:hyperlink startIndex="0" length="102" url="https://www.sec.gov/Archives/edgar/data/1065521/000106299324010266/xslForm13F_X02/form13fInfoTable.xml"/>
      </x:ext>
    </extLst>
  </threadedComment>
</ThreadedComments>
</file>

<file path=xl/threadedComments/threadedComment10.xml><?xml version="1.0" encoding="utf-8"?>
<ThreadedComments xmlns="http://schemas.microsoft.com/office/spreadsheetml/2018/threadedcomments" xmlns:x="http://schemas.openxmlformats.org/spreadsheetml/2006/main">
  <threadedComment ref="AZ292" dT="2025-11-12T14:17:30.39" personId="{5FF1EC60-44F1-495B-BD45-E52FC60F1C9C}" id="{0262D7DE-0488-490F-A395-D5842E14989F}">
    <text>https://fred.stlouisfed.org/series/DFEDTARU</text>
    <extLst>
      <x:ext xmlns:xltc2="http://schemas.microsoft.com/office/spreadsheetml/2020/threadedcomments2" uri="{F7C98A9C-CBB3-438F-8F68-D28B6AF4A901}">
        <xltc2:checksum>1110283420</xltc2:checksum>
        <xltc2:hyperlink startIndex="0" length="43" url="https://fred.stlouisfed.org/series/DFEDTARU"/>
      </x:ext>
    </extLst>
  </threadedComment>
</ThreadedComments>
</file>

<file path=xl/threadedComments/threadedComment11.xml><?xml version="1.0" encoding="utf-8"?>
<ThreadedComments xmlns="http://schemas.microsoft.com/office/spreadsheetml/2018/threadedcomments" xmlns:x="http://schemas.openxmlformats.org/spreadsheetml/2006/main">
  <threadedComment ref="AR20" dT="2024-07-30T12:31:12.05" personId="{5FF1EC60-44F1-495B-BD45-E52FC60F1C9C}" id="{CB045788-2AAF-4908-BD0E-4DB52DB8B033}">
    <text>6.73m call option settled with DT at "fixed" price of $99.51 per share ($101.46 per share as original agreement stated but adjusted for $1.95 dividends paid out by T-Mobile US over the call option contract period).</text>
  </threadedComment>
  <threadedComment ref="AR20" dT="2024-10-29T14:26:51.37" personId="{5FF1EC60-44F1-495B-BD45-E52FC60F1C9C}" id="{48E30DFC-97EA-42C4-985A-4205E4D99CC8}" parentId="{CB045788-2AAF-4908-BD0E-4DB52DB8B033}">
    <text>See slide 6 of F1Q Accounting presentation: SoftBank settled 20m T-Mobile prepaid forward contracts with cash for $2.6bn plus $880m deposited for 1 July ‘24 settlement of remaining 4.8m contract settlement.</text>
  </threadedComment>
  <threadedComment ref="AR20" dT="2024-10-29T14:26:54.53" personId="{5FF1EC60-44F1-495B-BD45-E52FC60F1C9C}" id="{E9AE918C-CA4A-4A2C-8E22-D3C9BC72BE3D}" parentId="{CB045788-2AAF-4908-BD0E-4DB52DB8B033}">
    <text>https://group.softbank/system/files/pdf/ir/presentations/2024/investor-accounting_q1fy2024_01_en.pdf</text>
    <extLst>
      <x:ext xmlns:xltc2="http://schemas.microsoft.com/office/spreadsheetml/2020/threadedcomments2" uri="{F7C98A9C-CBB3-438F-8F68-D28B6AF4A901}">
        <xltc2:checksum>2207970632</xltc2:checksum>
        <xltc2:hyperlink startIndex="0" length="100" url="https://group.softbank/system/files/pdf/ir/presentations/2024/investor-accounting_q1fy2024_01_en.pdf"/>
      </x:ext>
    </extLst>
  </threadedComment>
  <threadedComment ref="AX20" dT="2025-11-19T17:15:04.57" personId="{5FF1EC60-44F1-495B-BD45-E52FC60F1C9C}" id="{340D2025-D30B-429A-9D86-BFCCDE5CD094}">
    <text>Refer to pgs.7-8 of SoftBank’s F2Q “Accounting” slides: SBG sold 40.2m TMUS shares for $9.2bn across F1Q-F2Q and generated $2.4bn across F1H25 from sale of DT shares and settlement of DT collar transactions.</text>
  </threadedComment>
  <threadedComment ref="AX20" dT="2025-11-19T17:15:27.20" personId="{5FF1EC60-44F1-495B-BD45-E52FC60F1C9C}" id="{8A3781DA-ACCC-471B-9B42-8D1DE3059B2A}" parentId="{340D2025-D30B-429A-9D86-BFCCDE5CD094}">
    <text>https://group.softbank/media/Project/sbg/sbg/pdf/ir/presentations/2025/investor-presentation_q2fy2025_01_en.pdf</text>
    <extLst>
      <x:ext xmlns:xltc2="http://schemas.microsoft.com/office/spreadsheetml/2020/threadedcomments2" uri="{F7C98A9C-CBB3-438F-8F68-D28B6AF4A901}">
        <xltc2:checksum>166201008</xltc2:checksum>
        <xltc2:hyperlink startIndex="0" length="111" url="https://group.softbank/media/Project/sbg/sbg/pdf/ir/presentations/2025/investor-presentation_q2fy2025_01_en.pdf"/>
      </x:ext>
    </extLst>
  </threadedComment>
  <threadedComment ref="AY20" dT="2026-02-17T13:22:29.85" personId="{5FF1EC60-44F1-495B-BD45-E52FC60F1C9C}" id="{80F66660-D31F-43B9-BB5F-C2D6E882BAAC}">
    <text>Using pgs.7-8 of F2Q and pg.8 of F3Q “Accounting” slides for TMUS (i.e., $12.7bn F1Q-F3Q less $9.2bn F1Q-F2Q) and for DT taking average share price during F3Q and applying to end-F2Q disclosed position of $369m.</text>
  </threadedComment>
  <threadedComment ref="AY20" dT="2026-02-17T13:22:37.87" personId="{5FF1EC60-44F1-495B-BD45-E52FC60F1C9C}" id="{821132CA-58E7-4DE9-8538-81D14002B8EA}" parentId="{80F66660-D31F-43B9-BB5F-C2D6E882BAAC}">
    <text>https://group.softbank/media/Project/sbg/sbg/pdf/ir/presentations/2025/investor-presentation_q2fy2025_01_en.pdf</text>
    <extLst>
      <x:ext xmlns:xltc2="http://schemas.microsoft.com/office/spreadsheetml/2020/threadedcomments2" uri="{F7C98A9C-CBB3-438F-8F68-D28B6AF4A901}">
        <xltc2:checksum>166201008</xltc2:checksum>
        <xltc2:hyperlink startIndex="0" length="111" url="https://group.softbank/media/Project/sbg/sbg/pdf/ir/presentations/2025/investor-presentation_q2fy2025_01_en.pdf"/>
      </x:ext>
    </extLst>
  </threadedComment>
  <threadedComment ref="AY20" dT="2026-02-17T13:22:43.81" personId="{5FF1EC60-44F1-495B-BD45-E52FC60F1C9C}" id="{4361456D-539E-4400-B0CD-49673D1679AD}" parentId="{80F66660-D31F-43B9-BB5F-C2D6E882BAAC}">
    <text>https://group.softbank/media/Project/sbg/sbg/pdf/ir/presentations/2025/investor-presentation_q3fy2025_01_en.pdf</text>
    <extLst>
      <x:ext xmlns:xltc2="http://schemas.microsoft.com/office/spreadsheetml/2020/threadedcomments2" uri="{F7C98A9C-CBB3-438F-8F68-D28B6AF4A901}">
        <xltc2:checksum>3795563206</xltc2:checksum>
        <xltc2:hyperlink startIndex="0" length="111" url="https://group.softbank/media/Project/sbg/sbg/pdf/ir/presentations/2025/investor-presentation_q3fy2025_01_en.pdf"/>
      </x:ext>
    </extLst>
  </threadedComment>
  <threadedComment ref="AZ20" dT="2026-02-17T13:23:17.89" personId="{5FF1EC60-44F1-495B-BD45-E52FC60F1C9C}" id="{E3DDCA35-A244-41A0-BDAB-5BDAEE959F2B}">
    <text>Refer to pg.8 of F3Q “Accounting” slides: https://group.softbank/media/Project/sbg/sbg/pdf/ir/presentations/2025/investor-presentation_q3fy2025_01_en.pdf.</text>
    <extLst>
      <x:ext xmlns:xltc2="http://schemas.microsoft.com/office/spreadsheetml/2020/threadedcomments2" uri="{F7C98A9C-CBB3-438F-8F68-D28B6AF4A901}">
        <xltc2:checksum>869680786</xltc2:checksum>
        <xltc2:hyperlink startIndex="42" length="111" url="https://group.softbank/media/Project/sbg/sbg/pdf/ir/presentations/2025/investor-presentation_q3fy2025_01_en.pdf"/>
      </x:ext>
    </extLst>
  </threadedComment>
  <threadedComment ref="AT26" dT="2024-10-31T12:16:24.40" personId="{5FF1EC60-44F1-495B-BD45-E52FC60F1C9C}" id="{75E9005F-3C62-4D95-8C1F-45619BE6AC95}">
    <text>Assumptions: $500m OpenAI investment in October ‘24.</text>
  </threadedComment>
  <threadedComment ref="AT26" dT="2024-10-31T12:16:39.17" personId="{5FF1EC60-44F1-495B-BD45-E52FC60F1C9C}" id="{09B298D4-B020-43E6-A036-3BD2504B3722}" parentId="{75E9005F-3C62-4D95-8C1F-45619BE6AC95}">
    <text>https://www.ft.com/content/b1efdc2a-4dbc-40cc-920e-2cf389d261e8</text>
    <extLst>
      <x:ext xmlns:xltc2="http://schemas.microsoft.com/office/spreadsheetml/2020/threadedcomments2" uri="{F7C98A9C-CBB3-438F-8F68-D28B6AF4A901}">
        <xltc2:checksum>719674100</xltc2:checksum>
        <xltc2:hyperlink startIndex="0" length="63" url="https://www.ft.com/content/b1efdc2a-4dbc-40cc-920e-2cf389d261e8"/>
      </x:ext>
    </extLst>
  </threadedComment>
  <threadedComment ref="AU26" dT="2025-04-01T17:16:00.59" personId="{5FF1EC60-44F1-495B-BD45-E52FC60F1C9C}" id="{24E38976-FAFB-4590-AD3B-860ED43CC6C1}">
    <text>Per slide 33 of SoftBank’s F3Q24 earnings presentation: in Jan. ‘25 SVF2 invested $1.5bn as a follow-on investment in OpenAI after participating ($500m) in $6.6bn October ‘24 OpenAI fundraising (at $157bn valuation).</text>
  </threadedComment>
  <threadedComment ref="AU26" dT="2025-04-01T17:16:19.05" personId="{5FF1EC60-44F1-495B-BD45-E52FC60F1C9C}" id="{3EB5C007-BF52-4A27-8B04-2A99B5D8E194}" parentId="{24E38976-FAFB-4590-AD3B-860ED43CC6C1}">
    <text>https://group.softbank/media/Project/sbg/sbg/pdf/ir/presentations/2024/earnings-presentation_q3fy2024_01_en.pdf</text>
    <extLst>
      <x:ext xmlns:xltc2="http://schemas.microsoft.com/office/spreadsheetml/2020/threadedcomments2" uri="{F7C98A9C-CBB3-438F-8F68-D28B6AF4A901}">
        <xltc2:checksum>3501896875</xltc2:checksum>
        <xltc2:hyperlink startIndex="0" length="111" url="https://group.softbank/media/Project/sbg/sbg/pdf/ir/presentations/2024/earnings-presentation_q3fy2024_01_en.pdf"/>
      </x:ext>
    </extLst>
  </threadedComment>
  <threadedComment ref="AW26" dT="2024-07-30T12:04:46.30" personId="{5FF1EC60-44F1-495B-BD45-E52FC60F1C9C}" id="{ED389B42-C040-4AEE-A658-2876560A9575}">
    <text>Assumes 80% of "up to $9bn p.a." AI investments run-rate set out by CFO in interview with FT (https://www.ft.com/content/2245e6f1-c8fa-49a4-af8a-2871dd1161ec) but excludes an assumed $1.5bn p.a. via SoftBank KK (e.g., data centre, LLM investments etc., etc.).</text>
    <extLst>
      <x:ext xmlns:xltc2="http://schemas.microsoft.com/office/spreadsheetml/2020/threadedcomments2" uri="{F7C98A9C-CBB3-438F-8F68-D28B6AF4A901}">
        <xltc2:checksum>2980636981</xltc2:checksum>
        <xltc2:hyperlink startIndex="94" length="63" url="https://www.ft.com/content/2245e6f1-c8fa-49a4-af8a-2871dd1161ec"/>
      </x:ext>
    </extLst>
  </threadedComment>
  <threadedComment ref="AW26" dT="2025-02-06T11:31:53.69" personId="{5FF1EC60-44F1-495B-BD45-E52FC60F1C9C}" id="{4D878173-B861-4933-80A6-AA664D2DB294}" parentId="{ED389B42-C040-4AEE-A658-2876560A9575}">
    <text>OpenAI investment: SoftBank is reportedly set to lead an OpenAI funding round at $300bn valuation and investing between $15bn-$25bn (of total $40bn investment which OpenAI is looking for).</text>
  </threadedComment>
  <threadedComment ref="AW26" dT="2025-02-06T11:31:59.46" personId="{5FF1EC60-44F1-495B-BD45-E52FC60F1C9C}" id="{0D8B8539-8FBF-443E-85FA-0A306E595CE3}" parentId="{ED389B42-C040-4AEE-A658-2876560A9575}">
    <text>https://www.ft.com/content/2c697ff8-dfe9-4c42-a328-d21216293aa3</text>
    <extLst>
      <x:ext xmlns:xltc2="http://schemas.microsoft.com/office/spreadsheetml/2020/threadedcomments2" uri="{F7C98A9C-CBB3-438F-8F68-D28B6AF4A901}">
        <xltc2:checksum>2012989068</xltc2:checksum>
        <xltc2:hyperlink startIndex="0" length="63" url="https://www.ft.com/content/2c697ff8-dfe9-4c42-a328-d21216293aa3"/>
      </x:ext>
    </extLst>
  </threadedComment>
  <threadedComment ref="AW26" dT="2025-04-01T16:55:05.82" personId="{5FF1EC60-44F1-495B-BD45-E52FC60F1C9C}" id="{CC2A5F7C-7083-4C66-8567-745079C609E5}" parentId="{ED389B42-C040-4AEE-A658-2876560A9575}">
    <text>Updated assumptions per SoftBank press release on $40bn syndicated OpenAI investment: https://group.softbank/en/news/press/20250401.</text>
    <extLst>
      <x:ext xmlns:xltc2="http://schemas.microsoft.com/office/spreadsheetml/2020/threadedcomments2" uri="{F7C98A9C-CBB3-438F-8F68-D28B6AF4A901}">
        <xltc2:checksum>346885878</xltc2:checksum>
        <xltc2:hyperlink startIndex="86" length="45" url="https://group.softbank/en/news/press/20250401"/>
      </x:ext>
    </extLst>
  </threadedComment>
  <threadedComment ref="AW26" dT="2025-04-01T16:57:44.76" personId="{5FF1EC60-44F1-495B-BD45-E52FC60F1C9C}" id="{124DF23B-C6E1-4287-B52F-7F27EFDAEBA0}" parentId="{ED389B42-C040-4AEE-A658-2876560A9575}">
    <text>SBG to invest $10bn in April ‘25 with some participation from syndicate: per SBG press release syndicate to contribute up to $10bn of total $40bn (i.e., up to 25% of total equity investment).</text>
  </threadedComment>
  <threadedComment ref="AW26" dT="2025-04-01T17:00:11.10" personId="{5FF1EC60-44F1-495B-BD45-E52FC60F1C9C}" id="{C69956B2-12F8-46CB-9256-DEC88ED1F605}" parentId="{ED389B42-C040-4AEE-A658-2876560A9575}">
    <text>Subject to OpenAI Global LLC “recapitalising its economic waterfall” (i.e., conversion from capped-profit to for-profit PBC) the syndicate is to invest an additional $30bn in OpenAI in Dec. ‘25 or early ‘26 (we assume early ‘26 given expedited trial between Musk/OpenAI only likely to begin in Dec. ‘25).</text>
  </threadedComment>
  <threadedComment ref="AX26" dT="2026-02-17T12:21:11.84" personId="{5FF1EC60-44F1-495B-BD45-E52FC60F1C9C}" id="{DD4D943B-F95F-405A-9104-7AD091AA907D}">
    <text>Per slide 63 of SoftBank’s F3Q25 earnings presentation: https://group.softbank/media/Project/sbg/sbg/pdf/ir/presentations/2025/earnings-presentation_q2fy2025_01_en.pdf.</text>
    <extLst>
      <x:ext xmlns:xltc2="http://schemas.microsoft.com/office/spreadsheetml/2020/threadedcomments2" uri="{F7C98A9C-CBB3-438F-8F68-D28B6AF4A901}">
        <xltc2:checksum>589026657</xltc2:checksum>
        <xltc2:hyperlink startIndex="56" length="111" url="https://group.softbank/media/Project/sbg/sbg/pdf/ir/presentations/2025/earnings-presentation_q2fy2025_01_en.pdf"/>
      </x:ext>
    </extLst>
  </threadedComment>
  <threadedComment ref="AY26" dT="2024-07-30T12:04:46.30" personId="{5FF1EC60-44F1-495B-BD45-E52FC60F1C9C}" id="{AB1584AB-FC6D-4E62-8AA0-0F64A7A3F0CC}">
    <text>Assumes 80% of "up to $9bn p.a." AI investments run-rate set out by CFO in interview with FT (https://www.ft.com/content/2245e6f1-c8fa-49a4-af8a-2871dd1161ec) but excludes an assumed $1.5bn p.a. via SoftBank KK (e.g., data centre, LLM investments etc., etc.).</text>
    <extLst>
      <x:ext xmlns:xltc2="http://schemas.microsoft.com/office/spreadsheetml/2020/threadedcomments2" uri="{F7C98A9C-CBB3-438F-8F68-D28B6AF4A901}">
        <xltc2:checksum>2980636981</xltc2:checksum>
        <xltc2:hyperlink startIndex="94" length="63" url="https://www.ft.com/content/2245e6f1-c8fa-49a4-af8a-2871dd1161ec"/>
      </x:ext>
    </extLst>
  </threadedComment>
  <threadedComment ref="AY26" dT="2025-02-06T11:31:53.69" personId="{5FF1EC60-44F1-495B-BD45-E52FC60F1C9C}" id="{79A01915-EEAC-495D-8A3C-A314370C04B0}" parentId="{AB1584AB-FC6D-4E62-8AA0-0F64A7A3F0CC}">
    <text>OpenAI investment: SoftBank is reportedly set to lead an OpenAI funding round at $300bn valuation and investing between $15bn-$25bn (of total $40bn investment which OpenAI is looking for).</text>
  </threadedComment>
  <threadedComment ref="AY26" dT="2025-02-06T11:31:59.46" personId="{5FF1EC60-44F1-495B-BD45-E52FC60F1C9C}" id="{B5B672D5-889D-45E8-8693-0EBF7AFA498D}" parentId="{AB1584AB-FC6D-4E62-8AA0-0F64A7A3F0CC}">
    <text>https://www.ft.com/content/2c697ff8-dfe9-4c42-a328-d21216293aa3</text>
    <extLst>
      <x:ext xmlns:xltc2="http://schemas.microsoft.com/office/spreadsheetml/2020/threadedcomments2" uri="{F7C98A9C-CBB3-438F-8F68-D28B6AF4A901}">
        <xltc2:checksum>2012989068</xltc2:checksum>
        <xltc2:hyperlink startIndex="0" length="63" url="https://www.ft.com/content/2c697ff8-dfe9-4c42-a328-d21216293aa3"/>
      </x:ext>
    </extLst>
  </threadedComment>
  <threadedComment ref="AY26" dT="2025-04-01T16:55:05.82" personId="{5FF1EC60-44F1-495B-BD45-E52FC60F1C9C}" id="{D278E5F1-5CC1-43D8-B7D8-46145877BAA5}" parentId="{AB1584AB-FC6D-4E62-8AA0-0F64A7A3F0CC}">
    <text>Updated assumptions per SoftBank press release on $40bn syndicated OpenAI investment: https://group.softbank/en/news/press/20250401.</text>
    <extLst>
      <x:ext xmlns:xltc2="http://schemas.microsoft.com/office/spreadsheetml/2020/threadedcomments2" uri="{F7C98A9C-CBB3-438F-8F68-D28B6AF4A901}">
        <xltc2:checksum>346885878</xltc2:checksum>
        <xltc2:hyperlink startIndex="86" length="45" url="https://group.softbank/en/news/press/20250401"/>
      </x:ext>
    </extLst>
  </threadedComment>
  <threadedComment ref="AY26" dT="2025-04-01T16:57:44.76" personId="{5FF1EC60-44F1-495B-BD45-E52FC60F1C9C}" id="{FC3DF923-4AC8-4750-86B5-3675B0723186}" parentId="{AB1584AB-FC6D-4E62-8AA0-0F64A7A3F0CC}">
    <text>SBG to invest $10bn in April ‘25 with some participation from syndicate: per SBG press release syndicate to contribute up to $10bn of total $40bn (i.e., up to 25% of total equity investment).</text>
  </threadedComment>
  <threadedComment ref="AY26" dT="2025-04-01T17:00:11.10" personId="{5FF1EC60-44F1-495B-BD45-E52FC60F1C9C}" id="{0867719E-8339-4222-ACDA-C8BFA429D38F}" parentId="{AB1584AB-FC6D-4E62-8AA0-0F64A7A3F0CC}">
    <text>Subject to OpenAI Global LLC “recapitalising its economic waterfall” (i.e., conversion from capped-profit to for-profit PBC) the syndicate is to invest an additional $30bn in OpenAI in Dec. ‘25 or early ‘26 (we assume early ‘26 given expedited trial between Musk/OpenAI only likely to begin in Dec. ‘25).</text>
  </threadedComment>
  <threadedComment ref="AR27" dT="2024-07-29T10:16:26.27" personId="{5FF1EC60-44F1-495B-BD45-E52FC60F1C9C}" id="{87E61ABD-0E5D-450D-B7E9-09D3841C5659}">
    <text>Per FT article on Wayve funding round SoftBank Group provided the "substantial majority of the $1.05bn funding round".</text>
  </threadedComment>
  <threadedComment ref="AR27" dT="2024-07-29T10:16:31.29" personId="{5FF1EC60-44F1-495B-BD45-E52FC60F1C9C}" id="{DD5096BD-F2ED-478C-94F5-5DDB2C78E913}" parentId="{87E61ABD-0E5D-450D-B7E9-09D3841C5659}">
    <text>https://www.ft.com/content/a5704e29-545c-45e6-b7e3-d0a8cda285c4</text>
    <extLst>
      <x:ext xmlns:xltc2="http://schemas.microsoft.com/office/spreadsheetml/2020/threadedcomments2" uri="{F7C98A9C-CBB3-438F-8F68-D28B6AF4A901}">
        <xltc2:checksum>2317575941</xltc2:checksum>
        <xltc2:hyperlink startIndex="0" length="63" url="https://www.ft.com/content/a5704e29-545c-45e6-b7e3-d0a8cda285c4"/>
      </x:ext>
    </extLst>
  </threadedComment>
  <threadedComment ref="AR27" dT="2025-07-30T14:57:29.93" personId="{5FF1EC60-44F1-495B-BD45-E52FC60F1C9C}" id="{BD6F5DD7-BC40-4729-ABF5-0450B1322C64}" parentId="{87E61ABD-0E5D-450D-B7E9-09D3841C5659}">
    <text>AP amendment: added $295m investment in Tempus AI Inc in F1Q24 ($200m pre-IPO investment as part of Series G funding round in Apr. ‘24 and further $95m in Jun. ‘24 as SoftBank’s capital contribution to SB Tempus JV).</text>
  </threadedComment>
  <threadedComment ref="AR27" dT="2025-07-30T14:57:34.95" personId="{5FF1EC60-44F1-495B-BD45-E52FC60F1C9C}" id="{D5EC230B-57DD-4438-AC79-75EC2A8C3660}" parentId="{87E61ABD-0E5D-450D-B7E9-09D3841C5659}">
    <text>https://www.reuters.com/business/healthcare-pharmaceuticals/softbank-group-launches-ai-healthcare-joint-venture-with-tempus-ai-2024-06-27/#:~:text=SoftBank%20invested%20around%20%24200%20million,millions%20of%20patients'%20clinical%20records.</text>
    <extLst>
      <x:ext xmlns:xltc2="http://schemas.microsoft.com/office/spreadsheetml/2020/threadedcomments2" uri="{F7C98A9C-CBB3-438F-8F68-D28B6AF4A901}">
        <xltc2:checksum>3238231441</xltc2:checksum>
        <xltc2:hyperlink startIndex="0" length="241" url="https://www.reuters.com/business/healthcare-pharmaceuticals/softbank-group-launches-ai-healthcare-joint-venture-with-tempus-ai-2024-06-27/#:~:text=SoftBank%20invested%20around%20%24200%20million,millions%20of%20patients'%20clinical%20records"/>
      </x:ext>
    </extLst>
  </threadedComment>
  <threadedComment ref="AR27" dT="2025-07-30T14:57:38.62" personId="{5FF1EC60-44F1-495B-BD45-E52FC60F1C9C}" id="{4FBA1C4C-0C5B-4AE7-B863-23A3D902D562}" parentId="{87E61ABD-0E5D-450D-B7E9-09D3841C5659}">
    <text>https://group.softbank/en/news/press/20240627</text>
    <extLst>
      <x:ext xmlns:xltc2="http://schemas.microsoft.com/office/spreadsheetml/2020/threadedcomments2" uri="{F7C98A9C-CBB3-438F-8F68-D28B6AF4A901}">
        <xltc2:checksum>833449527</xltc2:checksum>
        <xltc2:hyperlink startIndex="0" length="45" url="https://group.softbank/en/news/press/20240627"/>
      </x:ext>
    </extLst>
  </threadedComment>
  <threadedComment ref="AS27" dT="2024-07-30T12:01:16.35" personId="{5FF1EC60-44F1-495B-BD45-E52FC60F1C9C}" id="{DB45887D-AFA6-4BCB-9550-1291DF2318EA}">
    <text>Assumptions: $650m for Graphcore acquisition in July '24 (note: said to be more than $600m but less than $700m cumulatively raised by Graphcore from Venture Capital in the past), $95m SB Tempus JV investments and $1.25bn "other" investments in line with $9bn p.a. AI investments run-rate.</text>
  </threadedComment>
  <threadedComment ref="AS27" dT="2024-07-30T12:01:42.41" personId="{5FF1EC60-44F1-495B-BD45-E52FC60F1C9C}" id="{6649BD56-FC3E-4886-A5AF-CAFB1F7848FC}" parentId="{DB45887D-AFA6-4BCB-9550-1291DF2318EA}">
    <text>Graphcore acquisition FT article: https://www.ft.com/content/e33bab13-2d64-47f7-b0e2-9ba446296234.</text>
    <extLst>
      <x:ext xmlns:xltc2="http://schemas.microsoft.com/office/spreadsheetml/2020/threadedcomments2" uri="{F7C98A9C-CBB3-438F-8F68-D28B6AF4A901}">
        <xltc2:checksum>2428514788</xltc2:checksum>
        <xltc2:hyperlink startIndex="34" length="63" url="https://www.ft.com/content/e33bab13-2d64-47f7-b0e2-9ba446296234"/>
      </x:ext>
    </extLst>
  </threadedComment>
  <threadedComment ref="AS27" dT="2024-07-30T12:02:03.81" personId="{5FF1EC60-44F1-495B-BD45-E52FC60F1C9C}" id="{7A0F5478-5CEA-4A6A-AAEC-1F9002D24C35}" parentId="{DB45887D-AFA6-4BCB-9550-1291DF2318EA}">
    <text>SB Tempus JV announcement/press release: https://group.softbank/en/news/press/20240627.</text>
    <extLst>
      <x:ext xmlns:xltc2="http://schemas.microsoft.com/office/spreadsheetml/2020/threadedcomments2" uri="{F7C98A9C-CBB3-438F-8F68-D28B6AF4A901}">
        <xltc2:checksum>3538526783</xltc2:checksum>
        <xltc2:hyperlink startIndex="41" length="45" url="https://group.softbank/en/news/press/20240627"/>
      </x:ext>
    </extLst>
  </threadedComment>
  <threadedComment ref="AX27" dT="2025-11-04T15:50:18.84" personId="{5FF1EC60-44F1-495B-BD45-E52FC60F1C9C}" id="{0231B953-CDAE-40F9-988A-EFFFB1857FB4}">
    <text>SoftBank Group’s $2bn strategic investment in Intel common stock at $23/share: see SoftBank Group press release below.</text>
  </threadedComment>
  <threadedComment ref="AX27" dT="2025-11-04T15:51:10.61" personId="{5FF1EC60-44F1-495B-BD45-E52FC60F1C9C}" id="{C5ED93B5-7C9E-4F79-96EE-FE394AEBB653}" parentId="{0231B953-CDAE-40F9-988A-EFFFB1857FB4}">
    <text>https://group.softbank/en/news/press/20250819</text>
    <extLst>
      <x:ext xmlns:xltc2="http://schemas.microsoft.com/office/spreadsheetml/2020/threadedcomments2" uri="{F7C98A9C-CBB3-438F-8F68-D28B6AF4A901}">
        <xltc2:checksum>3931079064</xltc2:checksum>
        <xltc2:hyperlink startIndex="0" length="45" url="https://group.softbank/en/news/press/20250819"/>
      </x:ext>
    </extLst>
  </threadedComment>
  <threadedComment ref="AX27" dT="2025-11-19T17:50:01.93" personId="{5FF1EC60-44F1-495B-BD45-E52FC60F1C9C}" id="{AB31DCD8-BFB0-4B90-8843-FA29A3E48202}" parentId="{0231B953-CDAE-40F9-988A-EFFFB1857FB4}">
    <text>Adj. for Oracle and Cipher Mining equity sales in F2Q: see SBG 13F’s.</text>
  </threadedComment>
  <threadedComment ref="AY27" dT="2025-11-19T17:40:19.79" personId="{5FF1EC60-44F1-495B-BD45-E52FC60F1C9C}" id="{512F89F7-D5FD-44E6-AB20-7CE0ED944067}">
    <text>Per pg.4 of F2Q earnings report: SBG sold all of its 32.1m NVIDIA shares for $5.83bn in Oct. ‘25.</text>
  </threadedComment>
  <threadedComment ref="AY27" dT="2025-11-19T17:40:25.44" personId="{5FF1EC60-44F1-495B-BD45-E52FC60F1C9C}" id="{535CF28E-CFDB-47C4-919D-BC502D6901BA}" parentId="{512F89F7-D5FD-44E6-AB20-7CE0ED944067}">
    <text>https://group.softbank/media/Project/sbg/sbg/pdf/ir/financials/financial_reports/financial-report_q2fy2025_01_en.pdf</text>
    <extLst>
      <x:ext xmlns:xltc2="http://schemas.microsoft.com/office/spreadsheetml/2020/threadedcomments2" uri="{F7C98A9C-CBB3-438F-8F68-D28B6AF4A901}">
        <xltc2:checksum>3646459453</xltc2:checksum>
        <xltc2:hyperlink startIndex="0" length="116" url="https://group.softbank/media/Project/sbg/sbg/pdf/ir/financials/financial_reports/financial-report_q2fy2025_01_en.pdf"/>
      </x:ext>
    </extLst>
  </threadedComment>
  <threadedComment ref="AZ27" dT="2026-03-01T13:03:11.79" personId="{5FF1EC60-44F1-495B-BD45-E52FC60F1C9C}" id="{745E6856-23E7-4D5A-86F0-43CC43E775D3}">
    <text>Note: includes 3.5m Symbotic Class A shares sold by SVF Sponsor III (DE) LLC at $55/share as part of Symbotic capital raise.</text>
  </threadedComment>
  <threadedComment ref="AZ27" dT="2026-03-01T13:03:14.44" personId="{5FF1EC60-44F1-495B-BD45-E52FC60F1C9C}" id="{E0EAB553-EC5C-4832-B9B0-17AB489EDA43}" parentId="{745E6856-23E7-4D5A-86F0-43CC43E775D3}">
    <text>https://ir.symbotic.com/news-releases/news-release-details/symbotic-announces-pricing-primary-and-secondary-offering-0</text>
    <extLst>
      <x:ext xmlns:xltc2="http://schemas.microsoft.com/office/spreadsheetml/2020/threadedcomments2" uri="{F7C98A9C-CBB3-438F-8F68-D28B6AF4A901}">
        <xltc2:checksum>2012356100</xltc2:checksum>
        <xltc2:hyperlink startIndex="0" length="118" url="https://ir.symbotic.com/news-releases/news-release-details/symbotic-announces-pricing-primary-and-secondary-offering-0"/>
      </x:ext>
    </extLst>
  </threadedComment>
  <threadedComment ref="AW28" dT="2025-11-03T13:51:04.82" personId="{5FF1EC60-44F1-495B-BD45-E52FC60F1C9C}" id="{24453B98-1BBF-4F58-908C-7362D587DD14}">
    <text>Per SoftBank Group quarterly earnings (pg.34): at average F1Q USD/JPY FX, “Payments for acquisition of investments” of $663m “primarily for the Stargate Project” i.e., we assume $500m contribution during F1Q to Stargate equity vehicle.</text>
  </threadedComment>
  <threadedComment ref="AX28" dT="2025-04-01T17:27:21.73" personId="{5FF1EC60-44F1-495B-BD45-E52FC60F1C9C}" id="{63E8A067-A0CA-491B-B6EB-A9EDE26F1DEF}">
    <text>Project Stargate assumptions: 1) Stargate parent vehicle ownership 40% OpenAI + 40% SoftBank + remainder Oracle/MGX; 2) Stargate parent vehicle to put 10-15% equity in each individual data centre project in the U.S. (remainder via Preferred debt, Project financing etc.); 3) first $100bn Stargate investment to be deployed over 3-4 years -&gt; so up to $15bn equity contribution by Stargate parent vehicle over 3-4 years or 40% x $15bn = UP TO $6bn commitment for SBG or $1.5bn p.a. -&gt; we assume $750m paid-up in F1Q of each year with $250m per Q thereafter.</text>
  </threadedComment>
  <threadedComment ref="AX28" dT="2025-11-03T14:09:08.97" personId="{5FF1EC60-44F1-495B-BD45-E52FC60F1C9C}" id="{37AFC7E4-54E9-4232-B8BF-703620545FF6}" parentId="{63E8A067-A0CA-491B-B6EB-A9EDE26F1DEF}">
    <text>Assumptions: see OpenAI press release + SB Energy website (links below) for details. We assume (GB300) GPUs for Lordstown, Ohio (500MW) and Milam County, Texas (1GW) sites get acquired/ordered in FY25 (Mar. ‘26). Stargate JV -&gt; 50/50 ownership between OpenAI/SoftBank after Oracle signed separate compute deals with OpenAI. Assumption: approx. $30bn GPU capex per GW, 1.5GW so $45bn GPU capex in FY25, 50% x 15% equity contribution x $45bn = up to $3.5bn equity contribution in FY25 (Mar. ‘26) + Lordstown, Ohio site acquired from Foxconn ($375m) + $12.5m/MW for data center shell at Milam County, Texas i.e., $12.5bn 100% covered by SB Energy but @ 80% debt-funded so $2.5bn equity. Total = $6.25bn maximum outlay for Stargate in Y1.</text>
  </threadedComment>
  <threadedComment ref="AX28" dT="2025-11-03T14:10:29.15" personId="{5FF1EC60-44F1-495B-BD45-E52FC60F1C9C}" id="{B3213275-0635-4E69-B3E0-83C0E2547CF1}" parentId="{63E8A067-A0CA-491B-B6EB-A9EDE26F1DEF}">
    <text>https://openai.com/index/five-new-stargate-sites/</text>
    <extLst>
      <x:ext xmlns:xltc2="http://schemas.microsoft.com/office/spreadsheetml/2020/threadedcomments2" uri="{F7C98A9C-CBB3-438F-8F68-D28B6AF4A901}">
        <xltc2:checksum>644527696</xltc2:checksum>
        <xltc2:hyperlink startIndex="0" length="49" url="https://openai.com/index/five-new-stargate-sites/"/>
      </x:ext>
    </extLst>
  </threadedComment>
  <threadedComment ref="AX28" dT="2025-11-03T14:10:34.92" personId="{5FF1EC60-44F1-495B-BD45-E52FC60F1C9C}" id="{3302B64F-0D1E-4824-8B23-BE634B5963DC}" parentId="{63E8A067-A0CA-491B-B6EB-A9EDE26F1DEF}">
    <text>https://sbenergy.com/digital-infrastructure/</text>
    <extLst>
      <x:ext xmlns:xltc2="http://schemas.microsoft.com/office/spreadsheetml/2020/threadedcomments2" uri="{F7C98A9C-CBB3-438F-8F68-D28B6AF4A901}">
        <xltc2:checksum>749041016</xltc2:checksum>
        <xltc2:hyperlink startIndex="0" length="44" url="https://sbenergy.com/digital-infrastructure/"/>
      </x:ext>
    </extLst>
  </threadedComment>
  <threadedComment ref="AX28" dT="2025-11-03T14:10:44.42" personId="{5FF1EC60-44F1-495B-BD45-E52FC60F1C9C}" id="{435EB0C3-29EC-4C3A-B8AE-95A47B299D14}" parentId="{63E8A067-A0CA-491B-B6EB-A9EDE26F1DEF}">
    <text>https://www.reuters.com/business/autos-transportation/foxconn-agrees-375-mln-lordstown-plant-sale-pivot-towards-data-centres-2025-08-04/</text>
    <extLst>
      <x:ext xmlns:xltc2="http://schemas.microsoft.com/office/spreadsheetml/2020/threadedcomments2" uri="{F7C98A9C-CBB3-438F-8F68-D28B6AF4A901}">
        <xltc2:checksum>179915530</xltc2:checksum>
        <xltc2:hyperlink startIndex="0" length="136" url="https://www.reuters.com/business/autos-transportation/foxconn-agrees-375-mln-lordstown-plant-sale-pivot-towards-data-centres-2025-08-04/"/>
      </x:ext>
    </extLst>
  </threadedComment>
  <threadedComment ref="AY28" dT="2025-04-01T17:27:21.73" personId="{5FF1EC60-44F1-495B-BD45-E52FC60F1C9C}" id="{5AC6D6AF-264E-48D7-BF02-B00572AD9410}">
    <text>Project Stargate assumptions: 1) Stargate parent vehicle ownership 40% OpenAI + 40% SoftBank + remainder Oracle/MGX; 2) Stargate parent vehicle to put 10-15% equity in each individual data centre project in the U.S. (remainder via Preferred debt, Project financing etc.); 3) first $100bn Stargate investment to be deployed over 3-4 years -&gt; so up to $15bn equity contribution by Stargate parent vehicle over 3-4 years or 40% x $15bn = UP TO $6bn commitment for SBG or $1.5bn p.a. -&gt; we assume $750m paid-up in F1Q of each year with $250m per Q thereafter.</text>
  </threadedComment>
  <threadedComment ref="AY28" dT="2025-11-03T14:09:08.97" personId="{5FF1EC60-44F1-495B-BD45-E52FC60F1C9C}" id="{FF682B9C-4AA7-46CB-94F4-AE863472783C}" parentId="{5AC6D6AF-264E-48D7-BF02-B00572AD9410}">
    <text>Assumptions: see OpenAI press release + SB Energy website (links below) for details. We assume (GB300) GPUs for Lordstown, Ohio (500MW) and Milam County, Texas (1GW) sites get acquired/ordered in FY25 (Mar. ‘26). Stargate JV -&gt; 50/50 ownership between OpenAI/SoftBank after Oracle signed separate compute deals with OpenAI. Assumption: approx. $30bn GPU capex per GW, 1.5GW so $45bn GPU capex in FY25, 50% x 15% equity contribution x $45bn = up to $3.5bn equity contribution in FY25 (Mar. ‘26) + Lordstown, Ohio site acquired from Foxconn ($375m) + $12.5m/MW for data center shell at Milam County, Texas i.e., $12.5bn 100% covered by SB Energy but @ 80% debt-funded so $2.5bn equity. Total = $6.25bn maximum outlay for Stargate in Y1.</text>
  </threadedComment>
  <threadedComment ref="AY28" dT="2025-11-03T14:10:29.15" personId="{5FF1EC60-44F1-495B-BD45-E52FC60F1C9C}" id="{716FA6C7-5E9A-4BBC-A3CF-4241FA5AA82E}" parentId="{5AC6D6AF-264E-48D7-BF02-B00572AD9410}">
    <text>https://openai.com/index/five-new-stargate-sites/</text>
    <extLst>
      <x:ext xmlns:xltc2="http://schemas.microsoft.com/office/spreadsheetml/2020/threadedcomments2" uri="{F7C98A9C-CBB3-438F-8F68-D28B6AF4A901}">
        <xltc2:checksum>644527696</xltc2:checksum>
        <xltc2:hyperlink startIndex="0" length="49" url="https://openai.com/index/five-new-stargate-sites/"/>
      </x:ext>
    </extLst>
  </threadedComment>
  <threadedComment ref="AY28" dT="2025-11-03T14:10:34.92" personId="{5FF1EC60-44F1-495B-BD45-E52FC60F1C9C}" id="{10AFF067-9496-44A2-A60F-0668A2CE82CE}" parentId="{5AC6D6AF-264E-48D7-BF02-B00572AD9410}">
    <text>https://sbenergy.com/digital-infrastructure/</text>
    <extLst>
      <x:ext xmlns:xltc2="http://schemas.microsoft.com/office/spreadsheetml/2020/threadedcomments2" uri="{F7C98A9C-CBB3-438F-8F68-D28B6AF4A901}">
        <xltc2:checksum>749041016</xltc2:checksum>
        <xltc2:hyperlink startIndex="0" length="44" url="https://sbenergy.com/digital-infrastructure/"/>
      </x:ext>
    </extLst>
  </threadedComment>
  <threadedComment ref="AY28" dT="2025-11-03T14:10:44.42" personId="{5FF1EC60-44F1-495B-BD45-E52FC60F1C9C}" id="{E2129196-CC9B-47F8-8E04-C4CDB1A03130}" parentId="{5AC6D6AF-264E-48D7-BF02-B00572AD9410}">
    <text>https://www.reuters.com/business/autos-transportation/foxconn-agrees-375-mln-lordstown-plant-sale-pivot-towards-data-centres-2025-08-04/</text>
    <extLst>
      <x:ext xmlns:xltc2="http://schemas.microsoft.com/office/spreadsheetml/2020/threadedcomments2" uri="{F7C98A9C-CBB3-438F-8F68-D28B6AF4A901}">
        <xltc2:checksum>179915530</xltc2:checksum>
        <xltc2:hyperlink startIndex="0" length="136" url="https://www.reuters.com/business/autos-transportation/foxconn-agrees-375-mln-lordstown-plant-sale-pivot-towards-data-centres-2025-08-04/"/>
      </x:ext>
    </extLst>
  </threadedComment>
  <threadedComment ref="AZ28" dT="2026-02-17T15:12:03.80" personId="{5FF1EC60-44F1-495B-BD45-E52FC60F1C9C}" id="{A22FB331-1CBC-4679-BAA9-837A1317B90A}">
    <text>Per SB Energy press release: SB Energy and OpenAI each investing $500m into SB Energy (n.b., this follows $800m Redeemable Preferred Equity investment by Ares Management in CY25) to support the 1.2GW data center buildout at Milam County (Texas).</text>
  </threadedComment>
  <threadedComment ref="AZ28" dT="2026-02-17T15:12:09.52" personId="{5FF1EC60-44F1-495B-BD45-E52FC60F1C9C}" id="{CB3D3861-9D86-4F16-8CA8-1592B932FF44}" parentId="{A22FB331-1CBC-4679-BAA9-837A1317B90A}">
    <text>https://sbenergy.com/openai-and-softbank-group-partner-with-sb-energy/</text>
    <extLst>
      <x:ext xmlns:xltc2="http://schemas.microsoft.com/office/spreadsheetml/2020/threadedcomments2" uri="{F7C98A9C-CBB3-438F-8F68-D28B6AF4A901}">
        <xltc2:checksum>2761853222</xltc2:checksum>
        <xltc2:hyperlink startIndex="0" length="70" url="https://sbenergy.com/openai-and-softbank-group-partner-with-sb-energy/"/>
      </x:ext>
    </extLst>
  </threadedComment>
  <threadedComment ref="AY29" dT="2025-04-01T17:30:17.04" personId="{5FF1EC60-44F1-495B-BD45-E52FC60F1C9C}" id="{AB6712A8-144C-4E15-9BCF-B672A8AF59F7}">
    <text>Per SoftBank press release on $6.5bn Ampere acquisition: expected to close “in the latter half of 2025”.</text>
  </threadedComment>
  <threadedComment ref="AY29" dT="2025-04-01T17:30:22.62" personId="{5FF1EC60-44F1-495B-BD45-E52FC60F1C9C}" id="{EC9B451D-4AC7-401A-9C34-79A8F2D8176C}" parentId="{AB6712A8-144C-4E15-9BCF-B672A8AF59F7}">
    <text>https://group.softbank/en/news/press/20250320_0</text>
    <extLst>
      <x:ext xmlns:xltc2="http://schemas.microsoft.com/office/spreadsheetml/2020/threadedcomments2" uri="{F7C98A9C-CBB3-438F-8F68-D28B6AF4A901}">
        <xltc2:checksum>1656992709</xltc2:checksum>
        <xltc2:hyperlink startIndex="0" length="47" url="https://group.softbank/en/news/press/20250320_0"/>
      </x:ext>
    </extLst>
  </threadedComment>
  <threadedComment ref="AY29" dT="2025-07-30T15:23:06.39" personId="{5FF1EC60-44F1-495B-BD45-E52FC60F1C9C}" id="{C847BBF1-B7D7-4F30-AC3C-A185B7C5F0A1}" parentId="{AB6712A8-144C-4E15-9BCF-B672A8AF59F7}">
    <text>SoftBank IR now saying to expect close by end of FY25 (or March ‘26) on the basis of U.S. regulatory scrutiny.</text>
  </threadedComment>
  <threadedComment ref="AY29" dT="2025-07-30T15:23:08.97" personId="{5FF1EC60-44F1-495B-BD45-E52FC60F1C9C}" id="{8B693482-61C2-4D50-A4CB-206A17D37C02}" parentId="{AB6712A8-144C-4E15-9BCF-B672A8AF59F7}">
    <text>https://www.bloomberg.com/news/articles/2025-07-02/softbank-s-ampere-deal-now-faces-a-more-in-depth-review-by-ftc</text>
    <extLst>
      <x:ext xmlns:xltc2="http://schemas.microsoft.com/office/spreadsheetml/2020/threadedcomments2" uri="{F7C98A9C-CBB3-438F-8F68-D28B6AF4A901}">
        <xltc2:checksum>2831320358</xltc2:checksum>
        <xltc2:hyperlink startIndex="0" length="113" url="https://www.bloomberg.com/news/articles/2025-07-02/softbank-s-ampere-deal-now-faces-a-more-in-depth-review-by-ftc"/>
      </x:ext>
    </extLst>
  </threadedComment>
  <threadedComment ref="AY61" dT="2025-04-01T17:47:37.45" personId="{5FF1EC60-44F1-495B-BD45-E52FC60F1C9C}" id="{16CF5DA2-E8A9-447B-8628-AB8A83ACADF2}">
    <text>See pg.4 of SoftBank F3Q24 earnings release: Arm margin loan facility increased from $8.5bn to $13.5bn or $5bn additional financing capacity -&gt; we assume SBG draws $2.5bn in FY25 to Mar. ‘25.</text>
  </threadedComment>
  <threadedComment ref="AX64" dT="2026-02-19T11:07:43.55" personId="{5FF1EC60-44F1-495B-BD45-E52FC60F1C9C}" id="{ABBC882B-1ADB-419F-828E-8787B82FC47D}">
    <text>See pg.4 of SBG F2Q Financial Report: SoftBank repaid $1bn of OpenAI bridge loan in Aug. ‘25.</text>
  </threadedComment>
  <threadedComment ref="AX64" dT="2026-02-19T11:08:01.53" personId="{5FF1EC60-44F1-495B-BD45-E52FC60F1C9C}" id="{BB945B1C-2752-4761-A708-16B70951ED9D}" parentId="{ABBC882B-1ADB-419F-828E-8787B82FC47D}">
    <text>https://group.softbank/media/Project/sbg/sbg/pdf/ir/financials/financial_reports/financial-report_q2fy2025_01_en.pdf</text>
    <extLst>
      <x:ext xmlns:xltc2="http://schemas.microsoft.com/office/spreadsheetml/2020/threadedcomments2" uri="{F7C98A9C-CBB3-438F-8F68-D28B6AF4A901}">
        <xltc2:checksum>3646459453</xltc2:checksum>
        <xltc2:hyperlink startIndex="0" length="116" url="https://group.softbank/media/Project/sbg/sbg/pdf/ir/financials/financial_reports/financial-report_q2fy2025_01_en.pdf"/>
      </x:ext>
    </extLst>
  </threadedComment>
  <threadedComment ref="AY64" dT="2026-02-19T11:07:43.55" personId="{5FF1EC60-44F1-495B-BD45-E52FC60F1C9C}" id="{380C99A9-7CC6-469E-AE80-0DC625D54BDD}">
    <text>See pg.4 of SBG F3Q Financial Report: SoftBank had repaid $3bn of Mizuho bridge loans as at F3Q.</text>
  </threadedComment>
  <threadedComment ref="AY64" dT="2026-02-19T11:08:01.53" personId="{5FF1EC60-44F1-495B-BD45-E52FC60F1C9C}" id="{FC1070AD-E04C-43D2-9CA7-5178C40DF209}" parentId="{380C99A9-7CC6-469E-AE80-0DC625D54BDD}">
    <text>https://group.softbank/media/Project/sbg/sbg/pdf/ir/financials/financial_reports/financial-report_q3fy2025_01_en.pdf</text>
    <extLst>
      <x:ext xmlns:xltc2="http://schemas.microsoft.com/office/spreadsheetml/2020/threadedcomments2" uri="{F7C98A9C-CBB3-438F-8F68-D28B6AF4A901}">
        <xltc2:checksum>847985227</xltc2:checksum>
        <xltc2:hyperlink startIndex="0" length="116" url="https://group.softbank/media/Project/sbg/sbg/pdf/ir/financials/financial_reports/financial-report_q3fy2025_01_en.pdf"/>
      </x:ext>
    </extLst>
  </threadedComment>
  <threadedComment ref="AR69" dT="2024-07-30T12:31:12.05" personId="{5FF1EC60-44F1-495B-BD45-E52FC60F1C9C}" id="{7B64279A-490E-4B09-8368-08D8290E4B03}">
    <text>6.73m call option settled with DT at "fixed" price of $99.51 per share ($101.46 per share as original agreement stated but adjusted for $1.95 dividends paid out by T-Mobile US over the call option contract period).</text>
  </threadedComment>
  <threadedComment ref="AR69" dT="2024-10-29T14:26:51.37" personId="{5FF1EC60-44F1-495B-BD45-E52FC60F1C9C}" id="{BDF3CD65-E1F3-45B8-905B-46ECEC5A5506}" parentId="{7B64279A-490E-4B09-8368-08D8290E4B03}">
    <text>See slide 6 of F1Q Accounting presentation: SoftBank settled 20m T-Mobile prepaid forward contracts with cash for $2.6bn plus $880m deposited for 1 July ‘24 settlement of remaining 4.8m contract settlement.</text>
  </threadedComment>
  <threadedComment ref="AR69" dT="2024-10-29T14:26:54.53" personId="{5FF1EC60-44F1-495B-BD45-E52FC60F1C9C}" id="{CA7BFD08-9005-4B37-9BF6-211A90759F1D}" parentId="{7B64279A-490E-4B09-8368-08D8290E4B03}">
    <text>https://group.softbank/system/files/pdf/ir/presentations/2024/investor-accounting_q1fy2024_01_en.pdf</text>
    <extLst>
      <x:ext xmlns:xltc2="http://schemas.microsoft.com/office/spreadsheetml/2020/threadedcomments2" uri="{F7C98A9C-CBB3-438F-8F68-D28B6AF4A901}">
        <xltc2:checksum>2207970632</xltc2:checksum>
        <xltc2:hyperlink startIndex="0" length="100" url="https://group.softbank/system/files/pdf/ir/presentations/2024/investor-accounting_q1fy2024_01_en.pdf"/>
      </x:ext>
    </extLst>
  </threadedComment>
  <threadedComment ref="AR90" dT="2024-07-29T16:26:32.24" personId="{5FF1EC60-44F1-495B-BD45-E52FC60F1C9C}" id="{4625617F-B4B8-4D86-A0A0-076B16030FD1}">
    <text>See details from 19th April '24 SoftBank press release: https://group.softbank/en/news/press/20240419.</text>
    <extLst>
      <x:ext xmlns:xltc2="http://schemas.microsoft.com/office/spreadsheetml/2020/threadedcomments2" uri="{F7C98A9C-CBB3-438F-8F68-D28B6AF4A901}">
        <xltc2:checksum>184935477</xltc2:checksum>
        <xltc2:hyperlink startIndex="56" length="45" url="https://group.softbank/en/news/press/20240419"/>
      </x:ext>
    </extLst>
  </threadedComment>
  <threadedComment ref="AR91" dT="2024-07-29T16:32:05.89" personId="{5FF1EC60-44F1-495B-BD45-E52FC60F1C9C}" id="{1DD69BC9-84F2-4751-B88D-15F5D8CD6963}">
    <text>See details from 31st May '24 SoftBank press release: https://group.softbank/en/news/press/20240531.</text>
    <extLst>
      <x:ext xmlns:xltc2="http://schemas.microsoft.com/office/spreadsheetml/2020/threadedcomments2" uri="{F7C98A9C-CBB3-438F-8F68-D28B6AF4A901}">
        <xltc2:checksum>82620203</xltc2:checksum>
        <xltc2:hyperlink startIndex="54" length="45" url="https://group.softbank/en/news/press/20240531"/>
      </x:ext>
    </extLst>
  </threadedComment>
  <threadedComment ref="AT100" dT="2025-02-06T11:10:11.25" personId="{5FF1EC60-44F1-495B-BD45-E52FC60F1C9C}" id="{973DCA2F-DEAA-424E-9CD2-2BC4161EC536}">
    <text>See details from 31st October '24 SoftBank press release: https://group.softbank/en/news/press/20241031.</text>
    <extLst>
      <x:ext xmlns:xltc2="http://schemas.microsoft.com/office/spreadsheetml/2020/threadedcomments2" uri="{F7C98A9C-CBB3-438F-8F68-D28B6AF4A901}">
        <xltc2:checksum>870991151</xltc2:checksum>
        <xltc2:hyperlink startIndex="58" length="45" url="https://group.softbank/en/news/press/20241031"/>
      </x:ext>
    </extLst>
  </threadedComment>
  <threadedComment ref="AW100" dT="2025-02-06T11:10:11.25" personId="{5FF1EC60-44F1-495B-BD45-E52FC60F1C9C}" id="{E53809D6-6646-456E-AB49-54AFE00C693B}">
    <text>See details from 18th April ‘25 SoftBank press release: https://group.softbank/en/news/press/20250418.</text>
    <extLst>
      <x:ext xmlns:xltc2="http://schemas.microsoft.com/office/spreadsheetml/2020/threadedcomments2" uri="{F7C98A9C-CBB3-438F-8F68-D28B6AF4A901}">
        <xltc2:checksum>3759436066</xltc2:checksum>
        <xltc2:hyperlink startIndex="56" length="45" url="https://group.softbank/en/news/press/20250418"/>
      </x:ext>
    </extLst>
  </threadedComment>
  <threadedComment ref="AY100" dT="2025-02-06T11:10:11.25" personId="{5FF1EC60-44F1-495B-BD45-E52FC60F1C9C}" id="{0BEBD43A-A244-44D6-BB25-79FAAE673A95}">
    <text>See details from 26th November ‘25 SoftBank press release: https://group.softbank/en/news/press/20251126_0.</text>
    <extLst>
      <x:ext xmlns:xltc2="http://schemas.microsoft.com/office/spreadsheetml/2020/threadedcomments2" uri="{F7C98A9C-CBB3-438F-8F68-D28B6AF4A901}">
        <xltc2:checksum>2051782292</xltc2:checksum>
        <xltc2:hyperlink startIndex="59" length="47" url="https://group.softbank/en/news/press/20251126_0"/>
      </x:ext>
    </extLst>
  </threadedComment>
  <threadedComment ref="AS101" dT="2024-07-29T16:26:32.24" personId="{5FF1EC60-44F1-495B-BD45-E52FC60F1C9C}" id="{36335C2E-1E5E-4522-9EEE-D249924FE863}">
    <text>See details from 28th June '24 SoftBank press release: https://group.softbank/en/news/press/20240628.</text>
    <extLst>
      <x:ext xmlns:xltc2="http://schemas.microsoft.com/office/spreadsheetml/2020/threadedcomments2" uri="{F7C98A9C-CBB3-438F-8F68-D28B6AF4A901}">
        <xltc2:checksum>1261147640</xltc2:checksum>
        <xltc2:hyperlink startIndex="55" length="45" url="https://group.softbank/en/news/press/20240628"/>
      </x:ext>
    </extLst>
  </threadedComment>
  <threadedComment ref="AX101" dT="2025-02-06T11:10:11.25" personId="{5FF1EC60-44F1-495B-BD45-E52FC60F1C9C}" id="{000E6BE2-2465-460E-AB3E-24FBA208C218}">
    <text>See details from 3rd July ‘25 SoftBank press release: https://group.softbank/en/news/press/20250703.</text>
    <extLst>
      <x:ext xmlns:xltc2="http://schemas.microsoft.com/office/spreadsheetml/2020/threadedcomments2" uri="{F7C98A9C-CBB3-438F-8F68-D28B6AF4A901}">
        <xltc2:checksum>4202639535</xltc2:checksum>
        <xltc2:hyperlink startIndex="54" length="45" url="https://group.softbank/en/news/press/20250703"/>
      </x:ext>
    </extLst>
  </threadedComment>
  <threadedComment ref="AX101" dT="2025-07-30T15:37:50.02" personId="{5FF1EC60-44F1-495B-BD45-E52FC60F1C9C}" id="{6BB9DF47-2C1E-463F-B5CE-BC2884D6D4F5}" parentId="{000E6BE2-2465-460E-AB3E-24FBA208C218}">
    <text>See also AP Cash Raising Analysis spreadsheet.</text>
  </threadedComment>
  <threadedComment ref="AT102" dT="2025-02-06T11:10:11.25" personId="{5FF1EC60-44F1-495B-BD45-E52FC60F1C9C}" id="{EC61D51F-94A5-4D49-A845-CBFD0F0853A2}">
    <text>See details from 31st October '24 SoftBank press release: https://group.softbank/en/news/press/20241031.</text>
    <extLst>
      <x:ext xmlns:xltc2="http://schemas.microsoft.com/office/spreadsheetml/2020/threadedcomments2" uri="{F7C98A9C-CBB3-438F-8F68-D28B6AF4A901}">
        <xltc2:checksum>870991151</xltc2:checksum>
        <xltc2:hyperlink startIndex="58" length="45" url="https://group.softbank/en/news/press/20241031"/>
      </x:ext>
    </extLst>
  </threadedComment>
  <threadedComment ref="AX102" dT="2025-02-06T11:10:11.25" personId="{5FF1EC60-44F1-495B-BD45-E52FC60F1C9C}" id="{1CCC85C8-375E-42E7-A7EB-6C13024AED4E}">
    <text>See details from 29th August '25 SoftBank press release: https://group.softbank/en/news/press/20250829.</text>
    <extLst>
      <x:ext xmlns:xltc2="http://schemas.microsoft.com/office/spreadsheetml/2020/threadedcomments2" uri="{F7C98A9C-CBB3-438F-8F68-D28B6AF4A901}">
        <xltc2:checksum>223992754</xltc2:checksum>
        <xltc2:hyperlink startIndex="57" length="45" url="https://group.softbank/en/news/press/20250829"/>
      </x:ext>
    </extLst>
  </threadedComment>
  <threadedComment ref="AY102" dT="2025-11-04T14:06:59.09" personId="{5FF1EC60-44F1-495B-BD45-E52FC60F1C9C}" id="{9C88D9F1-2DAC-4781-A7FA-C5896953F83B}">
    <text>See details from 23rd October '25 SoftBank press release: https://group.softbank/en/news/press/20251023.</text>
    <extLst>
      <x:ext xmlns:xltc2="http://schemas.microsoft.com/office/spreadsheetml/2020/threadedcomments2" uri="{F7C98A9C-CBB3-438F-8F68-D28B6AF4A901}">
        <xltc2:checksum>792855775</xltc2:checksum>
        <xltc2:hyperlink startIndex="58" length="45" url="https://group.softbank/en/news/press/20251023"/>
      </x:ext>
    </extLst>
  </threadedComment>
  <threadedComment ref="AS105" dT="2024-07-29T16:26:32.24" personId="{5FF1EC60-44F1-495B-BD45-E52FC60F1C9C}" id="{237C7409-87B1-4C81-925D-9F1D625B479D}">
    <text>See details from 25th June '24 SoftBank press release: https://group.softbank/en/news/press/20240625.</text>
    <extLst>
      <x:ext xmlns:xltc2="http://schemas.microsoft.com/office/spreadsheetml/2020/threadedcomments2" uri="{F7C98A9C-CBB3-438F-8F68-D28B6AF4A901}">
        <xltc2:checksum>1296027335</xltc2:checksum>
        <xltc2:hyperlink startIndex="55" length="45" url="https://group.softbank/en/news/press/20240625"/>
      </x:ext>
    </extLst>
  </threadedComment>
  <threadedComment ref="AT105" dT="2025-02-06T11:10:11.25" personId="{5FF1EC60-44F1-495B-BD45-E52FC60F1C9C}" id="{720316A6-CDFB-4078-BC2C-171424ED1376}">
    <text>See details from 31st October '24 SoftBank press release: https://group.softbank/en/news/press/20241031.</text>
    <extLst>
      <x:ext xmlns:xltc2="http://schemas.microsoft.com/office/spreadsheetml/2020/threadedcomments2" uri="{F7C98A9C-CBB3-438F-8F68-D28B6AF4A901}">
        <xltc2:checksum>870991151</xltc2:checksum>
        <xltc2:hyperlink startIndex="58" length="45" url="https://group.softbank/en/news/press/20241031"/>
      </x:ext>
    </extLst>
  </threadedComment>
  <threadedComment ref="AZ105" dT="2025-11-04T14:06:59.09" personId="{5FF1EC60-44F1-495B-BD45-E52FC60F1C9C}" id="{5ACA248A-05D6-4D0F-AB9D-25200EC30B13}">
    <text>See details from 10th November '25 SoftBank press release: JPY 177bn of Unsecured subordinated notes to be redeemed on 4th February ‘26.</text>
  </threadedComment>
  <threadedComment ref="AZ105" dT="2026-01-06T23:03:49.94" personId="{5FF1EC60-44F1-495B-BD45-E52FC60F1C9C}" id="{21CECA78-C8A3-4C41-A672-DAED6615BA23}" parentId="{5ACA248A-05D6-4D0F-AB9D-25200EC30B13}">
    <text>https://group.softbank/en/news/press/20251110</text>
    <extLst>
      <x:ext xmlns:xltc2="http://schemas.microsoft.com/office/spreadsheetml/2020/threadedcomments2" uri="{F7C98A9C-CBB3-438F-8F68-D28B6AF4A901}">
        <xltc2:checksum>3173810916</xltc2:checksum>
        <xltc2:hyperlink startIndex="0" length="45" url="https://group.softbank/en/news/press/20251110"/>
      </x:ext>
    </extLst>
  </threadedComment>
  <threadedComment ref="AU110" dT="2026-02-19T12:44:52.47" personId="{5FF1EC60-44F1-495B-BD45-E52FC60F1C9C}" id="{761885C5-DCC7-4567-8078-BF2DF30C1BC0}">
    <text>See pg.4 of F4Q24 Financial Report: https://group.softbank/media/Project/sbg/sbg/pdf/ir/financials/financial_reports/financial-report_q4fy2024_01_en.pdf.</text>
    <extLst>
      <x:ext xmlns:xltc2="http://schemas.microsoft.com/office/spreadsheetml/2020/threadedcomments2" uri="{F7C98A9C-CBB3-438F-8F68-D28B6AF4A901}">
        <xltc2:checksum>3153284130</xltc2:checksum>
        <xltc2:hyperlink startIndex="36" length="116" url="https://group.softbank/media/Project/sbg/sbg/pdf/ir/financials/financial_reports/financial-report_q4fy2024_01_en.pdf"/>
      </x:ext>
    </extLst>
  </threadedComment>
  <threadedComment ref="AX110" dT="2026-02-19T12:37:38.99" personId="{5FF1EC60-44F1-495B-BD45-E52FC60F1C9C}" id="{68310115-F6A8-4C7C-A477-E22FD63EDA5F}">
    <text>See pg.19 of SBG F2Q “Accounting” slides: “borrowed $5.81bn...through commitment lines”.</text>
  </threadedComment>
  <threadedComment ref="AX110" dT="2026-02-19T12:37:41.52" personId="{5FF1EC60-44F1-495B-BD45-E52FC60F1C9C}" id="{B956EEB9-624B-4287-A2DF-A8C10481BAB1}" parentId="{68310115-F6A8-4C7C-A477-E22FD63EDA5F}">
    <text>https://group.softbank/media/Project/sbg/sbg/pdf/ir/presentations/2025/investor-accounting_q2fy2025_01_en.pdf</text>
    <extLst>
      <x:ext xmlns:xltc2="http://schemas.microsoft.com/office/spreadsheetml/2020/threadedcomments2" uri="{F7C98A9C-CBB3-438F-8F68-D28B6AF4A901}">
        <xltc2:checksum>3360785707</xltc2:checksum>
        <xltc2:hyperlink startIndex="0" length="109" url="https://group.softbank/media/Project/sbg/sbg/pdf/ir/presentations/2025/investor-accounting_q2fy2025_01_en.pdf"/>
      </x:ext>
    </extLst>
  </threadedComment>
  <threadedComment ref="AX111" dT="2026-02-19T12:37:38.99" personId="{5FF1EC60-44F1-495B-BD45-E52FC60F1C9C}" id="{48C8C9E3-5AAD-4E5A-AE57-EFF91774D03E}">
    <text>See pg.19 of SBG F2Q “Accounting” slides: “Repaid $5.47bn...borrowed in FY24 through commitment lines”.</text>
  </threadedComment>
  <threadedComment ref="AX111" dT="2026-02-19T12:37:41.52" personId="{5FF1EC60-44F1-495B-BD45-E52FC60F1C9C}" id="{DAC4C54E-C41C-4323-8616-255F6E90681C}" parentId="{48C8C9E3-5AAD-4E5A-AE57-EFF91774D03E}">
    <text>https://group.softbank/media/Project/sbg/sbg/pdf/ir/presentations/2025/investor-accounting_q2fy2025_01_en.pdf</text>
    <extLst>
      <x:ext xmlns:xltc2="http://schemas.microsoft.com/office/spreadsheetml/2020/threadedcomments2" uri="{F7C98A9C-CBB3-438F-8F68-D28B6AF4A901}">
        <xltc2:checksum>3360785707</xltc2:checksum>
        <xltc2:hyperlink startIndex="0" length="109" url="https://group.softbank/media/Project/sbg/sbg/pdf/ir/presentations/2025/investor-accounting_q2fy2025_01_en.pdf"/>
      </x:ext>
    </extLst>
  </threadedComment>
  <threadedComment ref="AY111" dT="2026-02-19T12:55:20.35" personId="{5FF1EC60-44F1-495B-BD45-E52FC60F1C9C}" id="{DC42A6AC-5C57-4FE5-9898-BEF44185D3C4}">
    <text>See pg.19 of SBG “Accounting” slides: ¥0.9tn YTD in commitment lines drawn (roughly equates to $5.81bn at FX rates) and ¥1.7tn commitment lines repaid “(two instances)” i.e., implying both $5.5bn and $5.8bn commitment lines repaid YTD.</text>
  </threadedComment>
  <threadedComment ref="AY153" dT="2026-01-07T09:38:00.20" personId="{5FF1EC60-44F1-495B-BD45-E52FC60F1C9C}" id="{0443FFBD-3C86-42DB-8CB2-86E749A5514C}">
    <text>https://group.softbank/en/news/press/20251111</text>
    <extLst>
      <x:ext xmlns:xltc2="http://schemas.microsoft.com/office/spreadsheetml/2020/threadedcomments2" uri="{F7C98A9C-CBB3-438F-8F68-D28B6AF4A901}">
        <xltc2:checksum>3173789156</xltc2:checksum>
        <xltc2:hyperlink startIndex="0" length="45" url="https://group.softbank/en/news/press/20251111"/>
      </x:ext>
    </extLst>
  </threadedComment>
</ThreadedComments>
</file>

<file path=xl/threadedComments/threadedComment12.xml><?xml version="1.0" encoding="utf-8"?>
<ThreadedComments xmlns="http://schemas.microsoft.com/office/spreadsheetml/2018/threadedcomments" xmlns:x="http://schemas.openxmlformats.org/spreadsheetml/2006/main">
  <threadedComment ref="A54" dT="2024-04-16T15:42:35.87" personId="{5FF1EC60-44F1-495B-BD45-E52FC60F1C9C}" id="{88313B3E-2785-42AB-9CE8-5FFF3FE32B72}">
    <text>See pg.5 of 3Q23 SoftBank Corp. Consolidated Financial Report: simplistically takes SBC's 50% holding of A Holdings Corp. JV which itself owns 64.4% of LY Corp. i.e., SBC owns only 32.2% of LY Corp. on a proportionate basis so "gives away" 67.8% to Non-controlling interests but this is a slightly oversimplistic view as SBC also owns 5.9% of PayPay directly.</text>
  </threadedComment>
  <threadedComment ref="A54" dT="2024-04-16T15:42:54.21" personId="{5FF1EC60-44F1-495B-BD45-E52FC60F1C9C}" id="{0D75CA54-33B7-43F7-8B01-59F5AB9A9F5E}" parentId="{88313B3E-2785-42AB-9CE8-5FFF3FE32B72}">
    <text>See diagram on pg.5: https://www.softbank.jp/en/corp/set/data/ir/documents/financial_reports/fy2023/pdf/sbkk_financial_report_20240207_en.pdf</text>
    <extLst>
      <x:ext xmlns:xltc2="http://schemas.microsoft.com/office/spreadsheetml/2020/threadedcomments2" uri="{F7C98A9C-CBB3-438F-8F68-D28B6AF4A901}">
        <xltc2:checksum>1794171135</xltc2:checksum>
        <xltc2:hyperlink startIndex="21" length="120" url="https://www.softbank.jp/en/corp/set/data/ir/documents/financial_reports/fy2023/pdf/sbkk_financial_report_20240207_en.pdf"/>
      </x:ext>
    </extLst>
  </threadedComment>
  <threadedComment ref="AY185" dT="2024-04-18T09:23:09.60" personId="{5FF1EC60-44F1-495B-BD45-E52FC60F1C9C}" id="{8424FF90-08D5-457F-B4F8-E09B64C41F31}">
    <text>Per Japanese press reports in early '23, Japanese Ministry Of Internal Affairs and Communications (MIC) are considering carrying out a spectrum auction system by early '26: previously, spectrum had been allocated to operators for free based on coverage/investment commitments.</text>
  </threadedComment>
  <threadedComment ref="AY185" dT="2024-04-18T09:24:58.06" personId="{5FF1EC60-44F1-495B-BD45-E52FC60F1C9C}" id="{0E8D85ED-6D03-4466-B897-6DBA2A0E8E79}" parentId="{8424FF90-08D5-457F-B4F8-E09B64C41F31}">
    <text>Assume €200m = circa ¥35bn for mmWave frequencies: this would be far less punitive than European spectrum auctions given low-band/mid-band 5G spectrum already allocated for free although need to check frequency expiries with IR.</text>
  </threadedComment>
  <threadedComment ref="AY185" dT="2024-04-18T09:25:04.66" personId="{5FF1EC60-44F1-495B-BD45-E52FC60F1C9C}" id="{B5EAD1AE-7E17-4D99-89CE-31F28870135A}" parentId="{8424FF90-08D5-457F-B4F8-E09B64C41F31}">
    <text>https://www.fierce-network.com/wireless/japan-plans-auction-spectrum-rather-give-it-free</text>
    <extLst>
      <x:ext xmlns:xltc2="http://schemas.microsoft.com/office/spreadsheetml/2020/threadedcomments2" uri="{F7C98A9C-CBB3-438F-8F68-D28B6AF4A901}">
        <xltc2:checksum>2033132344</xltc2:checksum>
        <xltc2:hyperlink startIndex="0" length="88" url="https://www.fierce-network.com/wireless/japan-plans-auction-spectrum-rather-give-it-free"/>
      </x:ext>
    </extLst>
  </threadedComment>
</ThreadedComments>
</file>

<file path=xl/threadedComments/threadedComment13.xml><?xml version="1.0" encoding="utf-8"?>
<ThreadedComments xmlns="http://schemas.microsoft.com/office/spreadsheetml/2018/threadedcomments" xmlns:x="http://schemas.openxmlformats.org/spreadsheetml/2006/main">
  <threadedComment ref="AH27" dT="2024-01-25T11:45:40.29" personId="{5FF1EC60-44F1-495B-BD45-E52FC60F1C9C}" id="{35E2662C-C480-405A-9FFA-BA03AD7380BB}">
    <text>Arete est. of Mobile network costs excluding D&amp;A: based on est. iliad &amp; O2D network costs of €700m-€1bn p.a. and scaled to Japan square miles vs. Italy/Germany = this is a very rough estimate &amp; have added 25% to "final answer" to scale to more realistic % gross margin.</text>
  </threadedComment>
  <threadedComment ref="AM27" dT="2024-01-25T11:45:40.29" personId="{5FF1EC60-44F1-495B-BD45-E52FC60F1C9C}" id="{B2B6F346-A345-4D6C-BF80-DB52B2C56951}">
    <text>Arete est. of Mobile network costs excluding D&amp;A: based on est. iliad &amp; O2D network costs of €700m-€1bn p.a. and scaled to Japan square miles vs. Italy/Germany = this is a very rough estimate &amp; have added 25% to "final answer" to scale to more realistic % gross margin.</text>
  </threadedComment>
  <threadedComment ref="AR27" dT="2024-01-25T11:45:40.29" personId="{5FF1EC60-44F1-495B-BD45-E52FC60F1C9C}" id="{2414B4D3-DDBB-4786-8432-65F811B70BF5}">
    <text>Arete est. of Mobile network costs excluding D&amp;A: based on est. iliad &amp; O2D network costs of €700m-€1bn p.a. and scaled to Japan square miles vs. Italy/Germany = this is a very rough estimate &amp; have added 25% to "final answer" to scale to more realistic % gross margin.</text>
  </threadedComment>
  <threadedComment ref="AW27" dT="2024-01-25T11:45:40.29" personId="{5FF1EC60-44F1-495B-BD45-E52FC60F1C9C}" id="{28B0DD20-1EC4-4960-BAEC-96B307234D5C}">
    <text>Arete est. of Mobile network costs excluding D&amp;A: based on est. iliad &amp; O2D network costs of €700m-€1bn p.a. and scaled to Japan square miles vs. Italy/Germany = this is a very rough estimate &amp; have added 25% to "final answer" to scale to more realistic % gross margin.</text>
  </threadedComment>
  <threadedComment ref="BB27" dT="2024-01-25T11:45:40.29" personId="{5FF1EC60-44F1-495B-BD45-E52FC60F1C9C}" id="{3C2C971F-371E-4A93-B52D-BF7A82FB25D7}">
    <text>Arete est. of Mobile network costs excluding D&amp;A: based on est. iliad &amp; O2D network costs of €700m-€1bn p.a. and scaled to Japan square miles vs. Italy/Germany = this is a very rough estimate &amp; have added 25% to "final answer" to scale to more realistic % gross margin.</text>
  </threadedComment>
  <threadedComment ref="BG27" dT="2024-01-25T11:45:40.29" personId="{5FF1EC60-44F1-495B-BD45-E52FC60F1C9C}" id="{941D2325-8D35-429D-8F4C-418C6D324DC3}">
    <text>Arete est. of Mobile network costs excluding D&amp;A: based on est. iliad &amp; O2D network costs of €700m-€1bn p.a. and scaled to Japan square miles vs. Italy/Germany = this is a very rough estimate &amp; have added 25% to "final answer" to scale to more realistic % gross margin.</text>
  </threadedComment>
  <threadedComment ref="BL27" dT="2024-01-25T11:45:40.29" personId="{5FF1EC60-44F1-495B-BD45-E52FC60F1C9C}" id="{B0B4CD14-1E4E-477F-9380-1E3DD9BA36D4}">
    <text>Arete est. of Mobile network costs excluding D&amp;A: based on est. iliad &amp; O2D network costs of €700m-€1bn p.a. and scaled to Japan square miles vs. Italy/Germany = this is a very rough estimate &amp; have added 25% to "final answer" to scale to more realistic % gross margin.</text>
  </threadedComment>
  <threadedComment ref="X126" dT="2024-01-28T14:13:38.70" personId="{5FF1EC60-44F1-495B-BD45-E52FC60F1C9C}" id="{FB62B8E2-FE37-484D-BB48-1AD4E95BBF8E}">
    <text>Press release on closure of Z Holdings/LINE merger: https://linecorp.com/en/pr/news/en/2021/3646</text>
    <extLst>
      <x:ext xmlns:xltc2="http://schemas.microsoft.com/office/spreadsheetml/2020/threadedcomments2" uri="{F7C98A9C-CBB3-438F-8F68-D28B6AF4A901}">
        <xltc2:checksum>2530311030</xltc2:checksum>
        <xltc2:hyperlink startIndex="52" length="44" url="https://linecorp.com/en/pr/news/en/2021/3646"/>
      </x:ext>
    </extLst>
  </threadedComment>
  <threadedComment ref="AF244" dT="2024-04-15T10:23:33.92" personId="{5FF1EC60-44F1-495B-BD45-E52FC60F1C9C}" id="{42A93921-D8B7-4F9A-A683-ECAA7E967BF9}">
    <text>¥294.8bn remeasurement gain associated with consolidation of PayPay Corporation.</text>
  </threadedComment>
</ThreadedComments>
</file>

<file path=xl/threadedComments/threadedComment14.xml><?xml version="1.0" encoding="utf-8"?>
<ThreadedComments xmlns="http://schemas.microsoft.com/office/spreadsheetml/2018/threadedcomments" xmlns:x="http://schemas.openxmlformats.org/spreadsheetml/2006/main">
  <threadedComment ref="A22" dT="2024-01-22T14:41:16.19" personId="{5FF1EC60-44F1-495B-BD45-E52FC60F1C9C}" id="{E1929441-3CD7-4B3D-9F4D-348BE29C5589}">
    <text>See KPI definitions in PDF version of data: describes ARPU as "Principal Operational Data for Main Subscribers". But need to check meaning of definitions with HR.</text>
  </threadedComment>
</ThreadedComments>
</file>

<file path=xl/threadedComments/threadedComment15.xml><?xml version="1.0" encoding="utf-8"?>
<ThreadedComments xmlns="http://schemas.microsoft.com/office/spreadsheetml/2018/threadedcomments" xmlns:x="http://schemas.openxmlformats.org/spreadsheetml/2006/main">
  <threadedComment ref="X4" dT="2024-01-28T14:13:38.70" personId="{5FF1EC60-44F1-495B-BD45-E52FC60F1C9C}" id="{1F0C39AC-6F4A-4E45-AD07-07110E013FDF}">
    <text>Press release on closure of Z Holdings/LINE merger: https://linecorp.com/en/pr/news/en/2021/3646</text>
    <extLst>
      <x:ext xmlns:xltc2="http://schemas.microsoft.com/office/spreadsheetml/2020/threadedcomments2" uri="{F7C98A9C-CBB3-438F-8F68-D28B6AF4A901}">
        <xltc2:checksum>2530311030</xltc2:checksum>
        <xltc2:hyperlink startIndex="52" length="44" url="https://linecorp.com/en/pr/news/en/2021/3646"/>
      </x:ext>
    </extLst>
  </threadedComment>
  <threadedComment ref="X19" dT="2024-01-28T14:13:38.70" personId="{5FF1EC60-44F1-495B-BD45-E52FC60F1C9C}" id="{9F3FDA12-1644-4217-A0B0-E69681F53B30}">
    <text>Press release on closure of Z Holdings/LINE merger: https://linecorp.com/en/pr/news/en/2021/3646</text>
    <extLst>
      <x:ext xmlns:xltc2="http://schemas.microsoft.com/office/spreadsheetml/2020/threadedcomments2" uri="{F7C98A9C-CBB3-438F-8F68-D28B6AF4A901}">
        <xltc2:checksum>2530311030</xltc2:checksum>
        <xltc2:hyperlink startIndex="52" length="44" url="https://linecorp.com/en/pr/news/en/2021/3646"/>
      </x:ext>
    </extLst>
  </threadedComment>
  <threadedComment ref="X55" dT="2024-01-28T14:13:38.70" personId="{5FF1EC60-44F1-495B-BD45-E52FC60F1C9C}" id="{BE776B0F-C01E-470B-B8B4-54459B0A95EB}">
    <text>Press release on closure of Z Holdings/LINE merger: https://linecorp.com/en/pr/news/en/2021/3646</text>
    <extLst>
      <x:ext xmlns:xltc2="http://schemas.microsoft.com/office/spreadsheetml/2020/threadedcomments2" uri="{F7C98A9C-CBB3-438F-8F68-D28B6AF4A901}">
        <xltc2:checksum>2530311030</xltc2:checksum>
        <xltc2:hyperlink startIndex="52" length="44" url="https://linecorp.com/en/pr/news/en/2021/3646"/>
      </x:ext>
    </extLst>
  </threadedComment>
</ThreadedComments>
</file>

<file path=xl/threadedComments/threadedComment16.xml><?xml version="1.0" encoding="utf-8"?>
<ThreadedComments xmlns="http://schemas.microsoft.com/office/spreadsheetml/2018/threadedcomments" xmlns:x="http://schemas.openxmlformats.org/spreadsheetml/2006/main">
  <threadedComment ref="X4" dT="2024-01-28T14:13:38.70" personId="{5FF1EC60-44F1-495B-BD45-E52FC60F1C9C}" id="{EEBB6363-957C-4F8D-AA20-E438D8A983E1}">
    <text>Press release on closure of Z Holdings/LINE merger: https://linecorp.com/en/pr/news/en/2021/3646</text>
    <extLst>
      <x:ext xmlns:xltc2="http://schemas.microsoft.com/office/spreadsheetml/2020/threadedcomments2" uri="{F7C98A9C-CBB3-438F-8F68-D28B6AF4A901}">
        <xltc2:checksum>2530311030</xltc2:checksum>
        <xltc2:hyperlink startIndex="52" length="44" url="https://linecorp.com/en/pr/news/en/2021/3646"/>
      </x:ext>
    </extLst>
  </threadedComment>
  <threadedComment ref="X25" dT="2024-01-28T14:13:38.70" personId="{5FF1EC60-44F1-495B-BD45-E52FC60F1C9C}" id="{1B5F6818-5223-49BC-8CCA-2D1C728C9F6A}">
    <text>Press release on closure of Z Holdings/LINE merger: https://linecorp.com/en/pr/news/en/2021/3646</text>
    <extLst>
      <x:ext xmlns:xltc2="http://schemas.microsoft.com/office/spreadsheetml/2020/threadedcomments2" uri="{F7C98A9C-CBB3-438F-8F68-D28B6AF4A901}">
        <xltc2:checksum>2530311030</xltc2:checksum>
        <xltc2:hyperlink startIndex="52" length="44" url="https://linecorp.com/en/pr/news/en/2021/3646"/>
      </x:ext>
    </extLst>
  </threadedComment>
  <threadedComment ref="X65" dT="2024-01-28T14:13:38.70" personId="{5FF1EC60-44F1-495B-BD45-E52FC60F1C9C}" id="{BFCDB664-ACC6-426E-8E3A-8AC1F0C21A4A}">
    <text>Press release on closure of Z Holdings/LINE merger: https://linecorp.com/en/pr/news/en/2021/3646</text>
    <extLst>
      <x:ext xmlns:xltc2="http://schemas.microsoft.com/office/spreadsheetml/2020/threadedcomments2" uri="{F7C98A9C-CBB3-438F-8F68-D28B6AF4A901}">
        <xltc2:checksum>2530311030</xltc2:checksum>
        <xltc2:hyperlink startIndex="52" length="44" url="https://linecorp.com/en/pr/news/en/2021/3646"/>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8.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10.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 Id="rId4" Type="http://schemas.microsoft.com/office/2017/10/relationships/threadedComment" Target="../threadedComments/threadedComment5.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12.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13.bin"/><Relationship Id="rId5" Type="http://schemas.microsoft.com/office/2017/10/relationships/threadedComment" Target="../threadedComments/threadedComment7.xml"/><Relationship Id="rId4" Type="http://schemas.openxmlformats.org/officeDocument/2006/relationships/comments" Target="../comments7.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14.bin"/><Relationship Id="rId5" Type="http://schemas.microsoft.com/office/2017/10/relationships/threadedComment" Target="../threadedComments/threadedComment8.xml"/><Relationship Id="rId4" Type="http://schemas.openxmlformats.org/officeDocument/2006/relationships/comments" Target="../comments8.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0.xml"/><Relationship Id="rId1" Type="http://schemas.openxmlformats.org/officeDocument/2006/relationships/printerSettings" Target="../printerSettings/printerSettings15.bin"/><Relationship Id="rId5" Type="http://schemas.microsoft.com/office/2017/10/relationships/threadedComment" Target="../threadedComments/threadedComment9.xml"/><Relationship Id="rId4" Type="http://schemas.openxmlformats.org/officeDocument/2006/relationships/comments" Target="../comments9.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1.xml"/><Relationship Id="rId1" Type="http://schemas.openxmlformats.org/officeDocument/2006/relationships/printerSettings" Target="../printerSettings/printerSettings16.bin"/><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8.bin"/><Relationship Id="rId1" Type="http://schemas.openxmlformats.org/officeDocument/2006/relationships/hyperlink" Target="https://www.softbank.jp/en/corp/ir/stock/performance/" TargetMode="External"/><Relationship Id="rId5" Type="http://schemas.microsoft.com/office/2017/10/relationships/threadedComment" Target="../threadedComments/threadedComment11.xml"/><Relationship Id="rId4" Type="http://schemas.openxmlformats.org/officeDocument/2006/relationships/comments" Target="../comments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9.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40.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42.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43.xml.rels><?xml version="1.0" encoding="UTF-8" standalone="yes"?>
<Relationships xmlns="http://schemas.openxmlformats.org/package/2006/relationships"><Relationship Id="rId3" Type="http://schemas.microsoft.com/office/2017/10/relationships/threadedComment" Target="../threadedComments/threadedComment16.xml"/><Relationship Id="rId2" Type="http://schemas.openxmlformats.org/officeDocument/2006/relationships/comments" Target="../comments16.xml"/><Relationship Id="rId1" Type="http://schemas.openxmlformats.org/officeDocument/2006/relationships/vmlDrawing" Target="../drawings/vmlDrawing1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CB22B-5C17-4160-BFFA-6DA1CEDF2F33}">
  <sheetPr codeName="Sheet4"/>
  <dimension ref="A1:AV699"/>
  <sheetViews>
    <sheetView zoomScale="90" zoomScaleNormal="90" workbookViewId="0">
      <pane xSplit="8" ySplit="2" topLeftCell="I674" activePane="bottomRight" state="frozen"/>
      <selection pane="topRight" activeCell="I1" sqref="I1"/>
      <selection pane="bottomLeft" activeCell="A3" sqref="A3"/>
      <selection pane="bottomRight"/>
    </sheetView>
  </sheetViews>
  <sheetFormatPr defaultColWidth="9.140625" defaultRowHeight="12"/>
  <cols>
    <col min="1" max="56" width="9.140625" style="1" customWidth="1"/>
    <col min="57" max="16384" width="9.140625" style="1"/>
  </cols>
  <sheetData>
    <row r="1" spans="1:48" s="2" customFormat="1">
      <c r="A1" s="2" t="s">
        <v>0</v>
      </c>
      <c r="J1" s="18"/>
      <c r="M1" s="18"/>
      <c r="U1" s="18"/>
    </row>
    <row r="2" spans="1:48" s="2" customFormat="1">
      <c r="A2" s="2" t="s">
        <v>2</v>
      </c>
      <c r="J2" s="6"/>
      <c r="K2" s="6"/>
      <c r="L2" s="6"/>
      <c r="M2" s="6"/>
      <c r="N2" s="6"/>
      <c r="O2" s="6"/>
      <c r="P2" s="6"/>
      <c r="Q2" s="6"/>
      <c r="R2" s="6"/>
      <c r="S2" s="6"/>
      <c r="T2" s="6"/>
      <c r="U2" s="6"/>
      <c r="V2" s="6"/>
    </row>
    <row r="4" spans="1:48">
      <c r="J4" s="3" t="s">
        <v>2283</v>
      </c>
      <c r="S4" s="219" t="s">
        <v>2295</v>
      </c>
      <c r="W4" s="526">
        <v>0.1</v>
      </c>
      <c r="AS4" s="239" t="s">
        <v>2288</v>
      </c>
      <c r="AT4" s="239" t="s">
        <v>2288</v>
      </c>
    </row>
    <row r="5" spans="1:48">
      <c r="AR5" s="239">
        <v>2030</v>
      </c>
      <c r="AS5" s="239">
        <v>2030</v>
      </c>
      <c r="AT5" s="239">
        <v>2050</v>
      </c>
      <c r="AV5" s="239" t="s">
        <v>2378</v>
      </c>
    </row>
    <row r="6" spans="1:48">
      <c r="J6" s="1" t="s">
        <v>2284</v>
      </c>
      <c r="N6" s="239" t="s">
        <v>2353</v>
      </c>
      <c r="O6" s="239" t="s">
        <v>2288</v>
      </c>
      <c r="P6" s="1" t="s">
        <v>2350</v>
      </c>
      <c r="Q6" s="1" t="s">
        <v>2349</v>
      </c>
      <c r="S6" s="1" t="s">
        <v>2285</v>
      </c>
      <c r="W6" s="544" t="s">
        <v>2354</v>
      </c>
      <c r="X6" s="239" t="s">
        <v>2288</v>
      </c>
      <c r="Y6" s="1" t="s">
        <v>2351</v>
      </c>
      <c r="Z6" s="1" t="s">
        <v>2352</v>
      </c>
      <c r="AO6" s="1" t="s">
        <v>2377</v>
      </c>
      <c r="AR6" s="541">
        <f>W7</f>
        <v>198.35000000000002</v>
      </c>
      <c r="AS6" s="16" t="e">
        <f t="shared" ref="AS6:AS11" si="0">MROUND(AR6/SUM($AR$6:$AR$11), 0.5%)</f>
        <v>#NUM!</v>
      </c>
      <c r="AT6" s="303">
        <v>0.4</v>
      </c>
      <c r="AV6" s="21">
        <f>N7/SUM($N$7:$N$15)</f>
        <v>0.54947368421052623</v>
      </c>
    </row>
    <row r="7" spans="1:48">
      <c r="J7" s="5" t="s">
        <v>946</v>
      </c>
      <c r="N7" s="541">
        <f>MROUND('Valuation &amp; SBG NAV'!$BG$64, 0.05)</f>
        <v>130.5</v>
      </c>
      <c r="O7" s="21">
        <f t="shared" ref="O7:O15" si="1">N7/$N$20</f>
        <v>0.5960264900662251</v>
      </c>
      <c r="P7" s="541">
        <f>$N$20</f>
        <v>218.95000000000002</v>
      </c>
      <c r="Q7" s="541">
        <f>$N$24</f>
        <v>149</v>
      </c>
      <c r="S7" s="5" t="s">
        <v>946</v>
      </c>
      <c r="W7" s="541">
        <f>MROUND(((N7+12)*(1-$W$4))*(1.1)^(3.75), 0.05)+15</f>
        <v>198.35000000000002</v>
      </c>
      <c r="X7" s="21" t="e">
        <f t="shared" ref="X7:X16" si="2">W7/$W$20</f>
        <v>#NUM!</v>
      </c>
      <c r="Y7" s="541" t="e">
        <f>$W$20</f>
        <v>#NUM!</v>
      </c>
      <c r="Z7" s="541" t="e">
        <f>$W$24</f>
        <v>#NUM!</v>
      </c>
      <c r="AB7" s="262" t="s">
        <v>2306</v>
      </c>
      <c r="AO7" s="1" t="s">
        <v>2374</v>
      </c>
      <c r="AR7" s="541">
        <f>SUM(W8:W10)</f>
        <v>80.400000000000006</v>
      </c>
      <c r="AS7" s="16" t="e">
        <f t="shared" si="0"/>
        <v>#NUM!</v>
      </c>
      <c r="AT7" s="303">
        <v>0</v>
      </c>
      <c r="AV7" s="21">
        <f>SUM(N8:N10)/$N$17</f>
        <v>0.24168421052631578</v>
      </c>
    </row>
    <row r="8" spans="1:48">
      <c r="J8" s="5" t="s">
        <v>84</v>
      </c>
      <c r="N8" s="541">
        <f>MROUND('Valuation &amp; SBG NAV'!$BG$56, 0.05)</f>
        <v>24.1</v>
      </c>
      <c r="O8" s="21">
        <f t="shared" si="1"/>
        <v>0.11007079241836036</v>
      </c>
      <c r="P8" s="21"/>
      <c r="S8" s="5" t="s">
        <v>84</v>
      </c>
      <c r="W8" s="546">
        <v>0</v>
      </c>
      <c r="X8" s="21" t="e">
        <f t="shared" si="2"/>
        <v>#NUM!</v>
      </c>
      <c r="Y8" s="21"/>
      <c r="AB8" s="262" t="s">
        <v>2294</v>
      </c>
      <c r="AO8" s="1" t="s">
        <v>2376</v>
      </c>
      <c r="AR8" s="541">
        <f>W11</f>
        <v>26.650000000000002</v>
      </c>
      <c r="AS8" s="16" t="e">
        <f t="shared" si="0"/>
        <v>#NUM!</v>
      </c>
      <c r="AT8" s="303">
        <v>0.15</v>
      </c>
      <c r="AV8" s="21">
        <f>N11/$N$17</f>
        <v>8.3578947368421044E-2</v>
      </c>
    </row>
    <row r="9" spans="1:48">
      <c r="J9" s="5" t="s">
        <v>83</v>
      </c>
      <c r="N9" s="541">
        <f>MROUND('Valuation &amp; SBG NAV'!$BG$59, 0.05)</f>
        <v>26.950000000000003</v>
      </c>
      <c r="O9" s="21">
        <f t="shared" si="1"/>
        <v>0.12308746289107103</v>
      </c>
      <c r="P9" s="21"/>
      <c r="S9" s="5" t="s">
        <v>83</v>
      </c>
      <c r="W9" s="546">
        <f>MROUND(N9*'SVF2'!$BX$11/'SVF2'!$AR$11, 0.05)</f>
        <v>65.05</v>
      </c>
      <c r="X9" s="21" t="e">
        <f t="shared" si="2"/>
        <v>#NUM!</v>
      </c>
      <c r="Y9" s="21"/>
      <c r="AB9" s="262" t="s">
        <v>2297</v>
      </c>
      <c r="AO9" s="1" t="s">
        <v>2372</v>
      </c>
      <c r="AR9" s="541">
        <f>SUM(W12:W13)</f>
        <v>6.1000000000000005</v>
      </c>
      <c r="AS9" s="16" t="e">
        <f t="shared" si="0"/>
        <v>#NUM!</v>
      </c>
      <c r="AT9" s="303">
        <v>0</v>
      </c>
      <c r="AV9" s="21"/>
    </row>
    <row r="10" spans="1:48">
      <c r="J10" s="5" t="s">
        <v>944</v>
      </c>
      <c r="N10" s="541">
        <f>MROUND('Valuation &amp; SBG NAV'!$BG$60, 0.05)</f>
        <v>6.3500000000000005</v>
      </c>
      <c r="O10" s="21">
        <f t="shared" si="1"/>
        <v>2.900205526375885E-2</v>
      </c>
      <c r="P10" s="21"/>
      <c r="S10" s="5" t="s">
        <v>944</v>
      </c>
      <c r="W10" s="546">
        <f>MROUND(N10*W9/N9, 0.05)</f>
        <v>15.350000000000001</v>
      </c>
      <c r="X10" s="21" t="e">
        <f t="shared" si="2"/>
        <v>#NUM!</v>
      </c>
      <c r="Y10" s="21"/>
      <c r="AB10" s="262" t="s">
        <v>2298</v>
      </c>
      <c r="AO10" s="1" t="s">
        <v>2375</v>
      </c>
      <c r="AR10" s="541" t="e">
        <f>W14</f>
        <v>#NUM!</v>
      </c>
      <c r="AS10" s="16" t="e">
        <f t="shared" si="0"/>
        <v>#NUM!</v>
      </c>
      <c r="AT10" s="303">
        <v>0.35</v>
      </c>
      <c r="AV10" s="21"/>
    </row>
    <row r="11" spans="1:48">
      <c r="J11" s="5" t="s">
        <v>85</v>
      </c>
      <c r="N11" s="541">
        <f>MROUND('Valuation &amp; SBG NAV'!$BG$55, 0.05)</f>
        <v>19.850000000000001</v>
      </c>
      <c r="O11" s="21">
        <f t="shared" si="1"/>
        <v>9.0659968029230417E-2</v>
      </c>
      <c r="P11" s="21"/>
      <c r="S11" s="5" t="s">
        <v>85</v>
      </c>
      <c r="W11" s="541">
        <f>MROUND(N11*(1+'Valuation &amp; SBG NAV'!$BI$147)^(5.5), 0.05)</f>
        <v>26.650000000000002</v>
      </c>
      <c r="X11" s="21" t="e">
        <f t="shared" si="2"/>
        <v>#NUM!</v>
      </c>
      <c r="Y11" s="21"/>
      <c r="AB11" s="262" t="s">
        <v>2296</v>
      </c>
      <c r="AO11" s="1" t="s">
        <v>947</v>
      </c>
      <c r="AR11" s="541">
        <f>W15</f>
        <v>18</v>
      </c>
      <c r="AS11" s="16" t="e">
        <f t="shared" si="0"/>
        <v>#NUM!</v>
      </c>
      <c r="AT11" s="303">
        <v>0.1</v>
      </c>
      <c r="AV11" s="21"/>
    </row>
    <row r="12" spans="1:48">
      <c r="J12" s="5" t="s">
        <v>87</v>
      </c>
      <c r="N12" s="541">
        <f>MROUND('Valuation &amp; SBG NAV'!$BG$62, 0.05)</f>
        <v>15</v>
      </c>
      <c r="O12" s="21">
        <f t="shared" si="1"/>
        <v>6.8508791961635077E-2</v>
      </c>
      <c r="P12" s="21"/>
      <c r="S12" s="29" t="s">
        <v>87</v>
      </c>
      <c r="T12" s="26"/>
      <c r="U12" s="26"/>
      <c r="V12" s="26"/>
      <c r="W12" s="547">
        <f>MROUND(N12*0.33, 0.05)</f>
        <v>4.95</v>
      </c>
      <c r="X12" s="21" t="e">
        <f t="shared" si="2"/>
        <v>#NUM!</v>
      </c>
      <c r="Y12" s="21"/>
      <c r="AB12" s="262" t="s">
        <v>2299</v>
      </c>
    </row>
    <row r="13" spans="1:48">
      <c r="J13" s="5" t="s">
        <v>88</v>
      </c>
      <c r="N13" s="541">
        <f>MROUND('Valuation &amp; SBG NAV'!$BG$63, 0.05)</f>
        <v>2.3000000000000003</v>
      </c>
      <c r="O13" s="21">
        <f t="shared" si="1"/>
        <v>1.0504681434117379E-2</v>
      </c>
      <c r="P13" s="21"/>
      <c r="S13" s="29" t="s">
        <v>88</v>
      </c>
      <c r="T13" s="26"/>
      <c r="U13" s="26"/>
      <c r="V13" s="26"/>
      <c r="W13" s="547">
        <f>MROUND(N13*0.5, 0.05)</f>
        <v>1.1500000000000001</v>
      </c>
      <c r="X13" s="21" t="e">
        <f t="shared" si="2"/>
        <v>#NUM!</v>
      </c>
      <c r="Y13" s="21"/>
      <c r="AB13" s="262" t="s">
        <v>2299</v>
      </c>
    </row>
    <row r="14" spans="1:48">
      <c r="J14" s="5" t="s">
        <v>704</v>
      </c>
      <c r="N14" s="541">
        <f>MROUND('Valuation &amp; SBG NAV'!$BG$54, 0.05)</f>
        <v>0.05</v>
      </c>
      <c r="O14" s="21">
        <f t="shared" si="1"/>
        <v>2.2836263987211693E-4</v>
      </c>
      <c r="P14" s="21"/>
      <c r="S14" s="165" t="s">
        <v>2300</v>
      </c>
      <c r="T14" s="79"/>
      <c r="U14" s="79"/>
      <c r="V14" s="79"/>
      <c r="W14" s="541" t="e">
        <f>W35</f>
        <v>#NUM!</v>
      </c>
      <c r="X14" s="21" t="e">
        <f t="shared" si="2"/>
        <v>#NUM!</v>
      </c>
      <c r="Y14" s="21"/>
      <c r="AB14" s="262" t="s">
        <v>2307</v>
      </c>
    </row>
    <row r="15" spans="1:48">
      <c r="J15" s="5" t="s">
        <v>947</v>
      </c>
      <c r="N15" s="541">
        <f>MROUND('Valuation &amp; SBG NAV'!$BG$65, 0.05)</f>
        <v>12.4</v>
      </c>
      <c r="O15" s="21">
        <f t="shared" si="1"/>
        <v>5.6633934688284995E-2</v>
      </c>
      <c r="P15" s="21"/>
      <c r="S15" s="5" t="s">
        <v>947</v>
      </c>
      <c r="W15" s="541">
        <f>W36</f>
        <v>18</v>
      </c>
      <c r="X15" s="21" t="e">
        <f t="shared" si="2"/>
        <v>#NUM!</v>
      </c>
      <c r="Y15" s="21"/>
      <c r="AB15" s="262" t="s">
        <v>2308</v>
      </c>
    </row>
    <row r="16" spans="1:48">
      <c r="J16" s="5"/>
      <c r="N16" s="541"/>
      <c r="O16" s="21"/>
      <c r="P16" s="21"/>
      <c r="S16" s="29" t="s">
        <v>2301</v>
      </c>
      <c r="T16" s="26"/>
      <c r="U16" s="26"/>
      <c r="V16" s="26"/>
      <c r="W16" s="549" t="e">
        <f>MROUND(W19-N19, 0.5)</f>
        <v>#NUM!</v>
      </c>
      <c r="X16" s="21" t="e">
        <f t="shared" si="2"/>
        <v>#NUM!</v>
      </c>
      <c r="Y16" s="21"/>
      <c r="Z16" s="541" t="e">
        <f>W16</f>
        <v>#NUM!</v>
      </c>
    </row>
    <row r="17" spans="10:28">
      <c r="J17" s="9" t="s">
        <v>2291</v>
      </c>
      <c r="K17" s="9"/>
      <c r="L17" s="9"/>
      <c r="M17" s="9"/>
      <c r="N17" s="545">
        <f>SUM(N7:N15)</f>
        <v>237.50000000000003</v>
      </c>
      <c r="O17" s="24"/>
      <c r="P17" s="24"/>
      <c r="S17" s="9" t="s">
        <v>2291</v>
      </c>
      <c r="T17" s="9"/>
      <c r="U17" s="9"/>
      <c r="V17" s="9"/>
      <c r="W17" s="545" t="e">
        <f>SUM(W7:W13)+SUM(W35:W36)</f>
        <v>#NUM!</v>
      </c>
    </row>
    <row r="19" spans="10:28">
      <c r="J19" s="1" t="s">
        <v>2289</v>
      </c>
      <c r="N19" s="541">
        <f>MROUND('Valuation &amp; SBG NAV'!$BG$71, 0.05)</f>
        <v>18.55</v>
      </c>
      <c r="S19" s="1" t="s">
        <v>2289</v>
      </c>
      <c r="W19" s="541" t="e">
        <f>MROUND(W17*W22, 0.05)</f>
        <v>#NUM!</v>
      </c>
    </row>
    <row r="20" spans="10:28">
      <c r="J20" s="9" t="s">
        <v>2290</v>
      </c>
      <c r="K20" s="9"/>
      <c r="L20" s="9"/>
      <c r="M20" s="9"/>
      <c r="N20" s="545">
        <f>N17-N19</f>
        <v>218.95000000000002</v>
      </c>
      <c r="S20" s="9" t="s">
        <v>2290</v>
      </c>
      <c r="T20" s="9"/>
      <c r="U20" s="9"/>
      <c r="V20" s="9"/>
      <c r="W20" s="545" t="e">
        <f>W17-W19</f>
        <v>#NUM!</v>
      </c>
    </row>
    <row r="22" spans="10:28">
      <c r="J22" s="1" t="s">
        <v>2292</v>
      </c>
      <c r="N22" s="21">
        <f>N19/N17</f>
        <v>7.8105263157894733E-2</v>
      </c>
      <c r="S22" s="1" t="s">
        <v>2292</v>
      </c>
      <c r="W22" s="527">
        <v>0.15</v>
      </c>
      <c r="AB22" s="262" t="s">
        <v>2293</v>
      </c>
    </row>
    <row r="24" spans="10:28">
      <c r="J24" s="1" t="s">
        <v>2287</v>
      </c>
      <c r="N24" s="541">
        <f>MROUND(FP!$D$13/1000, 0.05)</f>
        <v>149</v>
      </c>
      <c r="S24" s="1" t="s">
        <v>2287</v>
      </c>
      <c r="W24" s="541" t="e">
        <f>MROUND(W20*(1-W25), 0.05)</f>
        <v>#NUM!</v>
      </c>
    </row>
    <row r="25" spans="10:28">
      <c r="J25" s="1" t="s">
        <v>962</v>
      </c>
      <c r="N25" s="21">
        <f>1-(N24/N20)</f>
        <v>0.31947933318109167</v>
      </c>
      <c r="S25" s="1" t="s">
        <v>962</v>
      </c>
      <c r="W25" s="527">
        <v>0.25</v>
      </c>
    </row>
    <row r="27" spans="10:28">
      <c r="S27" s="3" t="s">
        <v>2302</v>
      </c>
      <c r="X27" s="1" t="s">
        <v>2303</v>
      </c>
    </row>
    <row r="28" spans="10:28">
      <c r="S28" s="5" t="s">
        <v>84</v>
      </c>
      <c r="W28" s="541">
        <f>N8-W8</f>
        <v>24.1</v>
      </c>
      <c r="X28" s="16">
        <f>'SVF1'!$AS$12</f>
        <v>3.5000000000000003E-2</v>
      </c>
      <c r="Y28" s="16"/>
      <c r="Z28" s="16">
        <f>X28*W28/$W$33</f>
        <v>-7.1483050847457694E-2</v>
      </c>
    </row>
    <row r="29" spans="10:28">
      <c r="S29" s="5" t="s">
        <v>83</v>
      </c>
      <c r="W29" s="541">
        <f>N9-W9</f>
        <v>-38.099999999999994</v>
      </c>
      <c r="X29" s="16">
        <f>'SVF2'!$AS$14</f>
        <v>0.05</v>
      </c>
      <c r="Y29" s="16"/>
      <c r="Z29" s="16">
        <f>X29*W29/$W$33</f>
        <v>0.16144067796610179</v>
      </c>
    </row>
    <row r="30" spans="10:28">
      <c r="S30" s="5" t="s">
        <v>944</v>
      </c>
      <c r="W30" s="541">
        <f>N10-W10</f>
        <v>-9</v>
      </c>
      <c r="X30" s="16">
        <f>'SVF Segment'!$AP$983</f>
        <v>0.09</v>
      </c>
      <c r="Y30" s="16"/>
      <c r="Z30" s="16">
        <f>X30*W30/$W$33</f>
        <v>6.8644067796610211E-2</v>
      </c>
    </row>
    <row r="31" spans="10:28">
      <c r="S31" s="29" t="s">
        <v>87</v>
      </c>
      <c r="W31" s="541">
        <f>N12-W12</f>
        <v>10.050000000000001</v>
      </c>
      <c r="X31" s="16">
        <f>'Investment Business Of HoldCo'!$AS$138</f>
        <v>0.08</v>
      </c>
      <c r="Y31" s="16"/>
      <c r="Z31" s="16">
        <f>X31*W31/$W$33</f>
        <v>-6.8135593220339033E-2</v>
      </c>
    </row>
    <row r="32" spans="10:28">
      <c r="S32" s="29" t="s">
        <v>88</v>
      </c>
      <c r="W32" s="541">
        <f>N13-W13</f>
        <v>1.1500000000000001</v>
      </c>
      <c r="X32" s="16">
        <f>'Investment Business Of HoldCo'!$AS$187</f>
        <v>0.08</v>
      </c>
      <c r="Y32" s="16"/>
      <c r="Z32" s="16">
        <f>X32*W32/$W$33</f>
        <v>-7.7966101694915317E-3</v>
      </c>
    </row>
    <row r="33" spans="19:25">
      <c r="S33" s="9" t="s">
        <v>89</v>
      </c>
      <c r="T33" s="9"/>
      <c r="U33" s="9"/>
      <c r="V33" s="9"/>
      <c r="W33" s="545">
        <f>SUM(W28:W32)</f>
        <v>-11.799999999999992</v>
      </c>
      <c r="X33" s="105">
        <f>SUM(Z28:Z32)</f>
        <v>8.2669491525423744E-2</v>
      </c>
      <c r="Y33" s="85"/>
    </row>
    <row r="35" spans="19:25">
      <c r="S35" s="1" t="s">
        <v>2304</v>
      </c>
      <c r="W35" s="541" t="e">
        <f>MROUND((SUM(N8:N10, N12:N14)-SUM(W8:W10, W12:W13))*(1+$X$33)^(5.5), 0.05)</f>
        <v>#NUM!</v>
      </c>
    </row>
    <row r="36" spans="19:25">
      <c r="S36" s="1" t="s">
        <v>2305</v>
      </c>
      <c r="W36" s="541">
        <f>MROUND(N15*(1.07)^(5.5), 0.05)</f>
        <v>18</v>
      </c>
    </row>
    <row r="76" spans="10:18">
      <c r="J76" s="3" t="s">
        <v>2368</v>
      </c>
    </row>
    <row r="78" spans="10:18">
      <c r="N78" s="239" t="s">
        <v>158</v>
      </c>
      <c r="O78" s="239" t="s">
        <v>137</v>
      </c>
      <c r="P78" s="239" t="s">
        <v>78</v>
      </c>
      <c r="Q78" s="239" t="s">
        <v>14</v>
      </c>
      <c r="R78" s="239" t="s">
        <v>95</v>
      </c>
    </row>
    <row r="79" spans="10:18">
      <c r="N79" s="365" t="s">
        <v>2317</v>
      </c>
      <c r="O79" s="365" t="s">
        <v>2318</v>
      </c>
      <c r="P79" s="365" t="s">
        <v>2319</v>
      </c>
      <c r="Q79" s="365" t="s">
        <v>2320</v>
      </c>
      <c r="R79" s="365" t="s">
        <v>2426</v>
      </c>
    </row>
    <row r="81" spans="10:18">
      <c r="J81" s="1" t="s">
        <v>2321</v>
      </c>
      <c r="N81" s="566">
        <f>'Net debt &amp; LTV'!BJ79/1000</f>
        <v>59.990204906735279</v>
      </c>
      <c r="O81" s="566">
        <f>'Net debt &amp; LTV'!BK79/1000</f>
        <v>55.625959714569603</v>
      </c>
      <c r="P81" s="566">
        <f>'Net debt &amp; LTV'!BL79/1000</f>
        <v>60.807557807010376</v>
      </c>
      <c r="Q81" s="566">
        <f>'Net debt &amp; LTV'!BM79/1000</f>
        <v>47.229761102373999</v>
      </c>
      <c r="R81" s="566">
        <f>'Net debt &amp; LTV'!BN79/1000</f>
        <v>44.887431477445347</v>
      </c>
    </row>
    <row r="82" spans="10:18">
      <c r="J82" s="1" t="s">
        <v>2322</v>
      </c>
      <c r="N82" s="566">
        <f>'Net debt &amp; LTV'!BJ171/1000</f>
        <v>13.373012955986402</v>
      </c>
      <c r="O82" s="566">
        <f>'Net debt &amp; LTV'!BK171/1000</f>
        <v>17.597118598139286</v>
      </c>
      <c r="P82" s="566">
        <f>'Net debt &amp; LTV'!BL171/1000</f>
        <v>20.44796143475774</v>
      </c>
      <c r="Q82" s="566">
        <f>'Net debt &amp; LTV'!BM171/1000</f>
        <v>25.870396165655656</v>
      </c>
      <c r="R82" s="566">
        <f>'Net debt &amp; LTV'!BN171/1000</f>
        <v>14.522614094181362</v>
      </c>
    </row>
    <row r="83" spans="10:18">
      <c r="J83" s="1" t="s">
        <v>2323</v>
      </c>
      <c r="N83" s="566">
        <f>'Net debt &amp; LTV'!BJ245/1000</f>
        <v>46.617191950748875</v>
      </c>
      <c r="O83" s="566">
        <f>'Net debt &amp; LTV'!BK245/1000</f>
        <v>38.028841116430321</v>
      </c>
      <c r="P83" s="566">
        <f>'Net debt &amp; LTV'!BL245/1000</f>
        <v>40.359596372252639</v>
      </c>
      <c r="Q83" s="566">
        <f>'Net debt &amp; LTV'!BM245/1000</f>
        <v>21.35936493671834</v>
      </c>
      <c r="R83" s="566">
        <f>'Net debt &amp; LTV'!BN245/1000</f>
        <v>30.364817383263983</v>
      </c>
    </row>
    <row r="85" spans="10:18">
      <c r="J85" s="1" t="s">
        <v>2324</v>
      </c>
      <c r="N85" s="16">
        <f>'Valuation &amp; SBG NAV'!BY37</f>
        <v>0.14183835182250393</v>
      </c>
      <c r="O85" s="16">
        <f>'Valuation &amp; SBG NAV'!BZ37</f>
        <v>0.12203947368421049</v>
      </c>
      <c r="P85" s="16">
        <f>'Valuation &amp; SBG NAV'!CA37</f>
        <v>0.20362381363244189</v>
      </c>
      <c r="Q85" s="16">
        <f>'Valuation &amp; SBG NAV'!CB37</f>
        <v>0.11027095148078139</v>
      </c>
      <c r="R85" s="16">
        <f>'Valuation &amp; SBG NAV'!CC37</f>
        <v>8.4377059986816133E-2</v>
      </c>
    </row>
    <row r="106" spans="9:14">
      <c r="J106" s="3" t="s">
        <v>2368</v>
      </c>
    </row>
    <row r="108" spans="9:14">
      <c r="J108" s="1" t="s">
        <v>2329</v>
      </c>
      <c r="M108" s="541">
        <f>MROUND('Net debt &amp; LTV'!$AP$171/1000, 0.1)</f>
        <v>14.5</v>
      </c>
    </row>
    <row r="109" spans="9:14">
      <c r="I109" s="239" t="s">
        <v>2330</v>
      </c>
      <c r="J109" s="1" t="s">
        <v>2346</v>
      </c>
      <c r="M109" s="543">
        <f>MROUND(((28.2*FP!$G$8)+(6.7*103))/1000, 0.1)</f>
        <v>6.8000000000000007</v>
      </c>
    </row>
    <row r="110" spans="9:14">
      <c r="I110" s="239" t="s">
        <v>2330</v>
      </c>
      <c r="J110" s="1" t="s">
        <v>2331</v>
      </c>
      <c r="M110" s="543">
        <v>2.5</v>
      </c>
      <c r="N110" s="262" t="s">
        <v>2340</v>
      </c>
    </row>
    <row r="111" spans="9:14">
      <c r="I111" s="239" t="s">
        <v>2330</v>
      </c>
      <c r="J111" s="1" t="s">
        <v>2332</v>
      </c>
      <c r="M111" s="543">
        <f>MROUND(('SVF Segment'!$AO$672*SUM('SVF1'!$AR$17:$AU$17, 'SVF1'!$AW$17:$AZ$17)+SUM('SVF2'!$AR$19:$AU$19, 'SVF2'!$AW$19:$AZ$19)+SUM('SVF Segment'!$AR$988:$AU$988, 'SVF Segment'!$AW$988:$AZ$988))/1000, 0.1)</f>
        <v>7.5</v>
      </c>
      <c r="N111" s="262" t="s">
        <v>2341</v>
      </c>
    </row>
    <row r="112" spans="9:14">
      <c r="I112" s="239" t="s">
        <v>2333</v>
      </c>
      <c r="J112" s="1" t="s">
        <v>2334</v>
      </c>
      <c r="M112" s="543">
        <f>-MROUND(0.45*12, 0.1)</f>
        <v>-5.4</v>
      </c>
      <c r="N112" s="262" t="s">
        <v>2342</v>
      </c>
    </row>
    <row r="113" spans="9:14">
      <c r="I113" s="239" t="s">
        <v>2333</v>
      </c>
      <c r="J113" s="1" t="s">
        <v>2335</v>
      </c>
      <c r="M113" s="543">
        <f>-MROUND(1900/FP!$G$4, 0.1)</f>
        <v>-12.3</v>
      </c>
      <c r="N113" s="262" t="s">
        <v>2343</v>
      </c>
    </row>
    <row r="114" spans="9:14">
      <c r="I114" s="239" t="s">
        <v>2333</v>
      </c>
      <c r="J114" s="1" t="s">
        <v>2338</v>
      </c>
      <c r="M114" s="543">
        <v>-0.75</v>
      </c>
      <c r="N114" s="262" t="s">
        <v>2344</v>
      </c>
    </row>
    <row r="115" spans="9:14">
      <c r="I115" s="239" t="s">
        <v>2333</v>
      </c>
      <c r="J115" s="1" t="s">
        <v>2337</v>
      </c>
      <c r="M115" s="543">
        <v>-3.2</v>
      </c>
      <c r="N115" s="262" t="s">
        <v>2345</v>
      </c>
    </row>
    <row r="116" spans="9:14">
      <c r="I116" s="239" t="s">
        <v>2336</v>
      </c>
      <c r="J116" s="1" t="s">
        <v>2339</v>
      </c>
      <c r="M116" s="541">
        <f>MROUND(SUM(M108:M115), 0.1)</f>
        <v>9.6000000000000014</v>
      </c>
    </row>
    <row r="137" spans="10:13">
      <c r="J137" s="3" t="s">
        <v>2369</v>
      </c>
    </row>
    <row r="139" spans="10:13">
      <c r="J139" s="1" t="s">
        <v>2356</v>
      </c>
      <c r="M139" s="541">
        <f>'SVF Segment'!$AO$730/1000</f>
        <v>89.6</v>
      </c>
    </row>
    <row r="140" spans="10:13">
      <c r="J140" s="1" t="s">
        <v>2355</v>
      </c>
      <c r="M140" s="541">
        <f>'SVF Segment'!$AO$731/1000</f>
        <v>106.3</v>
      </c>
    </row>
    <row r="141" spans="10:13">
      <c r="J141" s="1" t="s">
        <v>2361</v>
      </c>
      <c r="M141" s="541">
        <f>M140-(16.1-8.2)-(('SVF1'!$AO$129-'SVF1'!$AO$145)/1000)</f>
        <v>89.899999999999991</v>
      </c>
    </row>
    <row r="142" spans="10:13">
      <c r="J142" s="1" t="s">
        <v>2358</v>
      </c>
      <c r="M142" s="541">
        <f>'SVF Segment'!$AO$890/1000</f>
        <v>52.3</v>
      </c>
    </row>
    <row r="143" spans="10:13">
      <c r="J143" s="1" t="s">
        <v>2357</v>
      </c>
      <c r="M143" s="541">
        <f>'SVF Segment'!$AO$891/1000</f>
        <v>33.299999999999997</v>
      </c>
    </row>
    <row r="144" spans="10:13">
      <c r="J144" s="1" t="s">
        <v>2360</v>
      </c>
      <c r="M144" s="541">
        <f>'SVF Segment'!$AO$992/1000</f>
        <v>7.4</v>
      </c>
    </row>
    <row r="145" spans="10:13">
      <c r="J145" s="1" t="s">
        <v>2359</v>
      </c>
      <c r="M145" s="541">
        <f>'SVF Segment'!$AO$993/1000</f>
        <v>6.3</v>
      </c>
    </row>
    <row r="166" spans="10:13">
      <c r="J166" s="3" t="s">
        <v>2370</v>
      </c>
    </row>
    <row r="168" spans="10:13">
      <c r="J168" s="1" t="s">
        <v>2362</v>
      </c>
      <c r="M168" s="541">
        <f>'SVF Segment'!$AR$726/1000</f>
        <v>41.8</v>
      </c>
    </row>
    <row r="169" spans="10:13">
      <c r="J169" s="1" t="s">
        <v>2363</v>
      </c>
      <c r="M169" s="541">
        <f>'SVF Segment'!$AR$612/1000</f>
        <v>22.5</v>
      </c>
    </row>
    <row r="170" spans="10:13">
      <c r="J170" s="1" t="s">
        <v>2364</v>
      </c>
      <c r="M170" s="541">
        <f>'SVF Segment'!$AR$245/1000</f>
        <v>25.58</v>
      </c>
    </row>
    <row r="171" spans="10:13">
      <c r="J171" s="1" t="s">
        <v>2365</v>
      </c>
      <c r="M171" s="541">
        <f>'SVF Segment'!$AR$251/1000</f>
        <v>25.58</v>
      </c>
    </row>
    <row r="172" spans="10:13">
      <c r="J172" s="1" t="s">
        <v>2366</v>
      </c>
      <c r="M172" s="541">
        <f>'SVF Segment'!$AR$246/1000</f>
        <v>5.8</v>
      </c>
    </row>
    <row r="173" spans="10:13">
      <c r="J173" s="1" t="s">
        <v>2367</v>
      </c>
      <c r="M173" s="541">
        <f>'SVF Segment'!$AR$252/1000</f>
        <v>5.74</v>
      </c>
    </row>
    <row r="195" spans="10:14">
      <c r="J195" s="3" t="s">
        <v>2371</v>
      </c>
    </row>
    <row r="197" spans="10:14">
      <c r="M197" s="239" t="s">
        <v>1401</v>
      </c>
      <c r="N197" s="239" t="s">
        <v>1117</v>
      </c>
    </row>
    <row r="198" spans="10:14">
      <c r="J198" s="5" t="s">
        <v>1649</v>
      </c>
      <c r="M198" s="21">
        <f>'Consolidated KK'!AM16</f>
        <v>0.46839060373440267</v>
      </c>
      <c r="N198" s="21">
        <f>'Consolidated KK'!AM84</f>
        <v>0.53467304535529536</v>
      </c>
    </row>
    <row r="199" spans="10:14">
      <c r="J199" s="5" t="s">
        <v>1650</v>
      </c>
      <c r="M199" s="21">
        <f>'Consolidated KK'!AM17</f>
        <v>0.12818976219580594</v>
      </c>
      <c r="N199" s="21">
        <f>'Consolidated KK'!AM85</f>
        <v>0.19355560416935075</v>
      </c>
    </row>
    <row r="200" spans="10:14">
      <c r="J200" s="5" t="s">
        <v>1651</v>
      </c>
      <c r="M200" s="21">
        <f>'Consolidated KK'!AM18</f>
        <v>0.10379154386382046</v>
      </c>
      <c r="N200" s="21">
        <f>'Consolidated KK'!AM86</f>
        <v>1.8991019879385763E-2</v>
      </c>
    </row>
    <row r="201" spans="10:14">
      <c r="J201" s="5" t="s">
        <v>1652</v>
      </c>
      <c r="M201" s="104">
        <f>'Consolidated KK'!AM20</f>
        <v>0.26175312884082708</v>
      </c>
      <c r="N201" s="104">
        <f>'Consolidated KK'!AM88</f>
        <v>0.22688863018673011</v>
      </c>
    </row>
    <row r="202" spans="10:14">
      <c r="J202" s="5" t="s">
        <v>1653</v>
      </c>
      <c r="M202" s="104">
        <f>'Consolidated KK'!AM21</f>
        <v>3.8129276242644436E-2</v>
      </c>
      <c r="N202" s="104">
        <f>'Consolidated KK'!AM89</f>
        <v>6.9203668958522672E-3</v>
      </c>
    </row>
    <row r="203" spans="10:14">
      <c r="J203" s="5" t="s">
        <v>192</v>
      </c>
      <c r="M203" s="104">
        <f>'Consolidated KK'!AM22</f>
        <v>2.794110948334369E-2</v>
      </c>
      <c r="N203" s="104">
        <f>'Consolidated KK'!AM90</f>
        <v>5.8263233045361996E-3</v>
      </c>
    </row>
    <row r="224" spans="10:10">
      <c r="J224" s="3" t="s">
        <v>2385</v>
      </c>
    </row>
    <row r="245" spans="10:10">
      <c r="J245" s="3" t="s">
        <v>2386</v>
      </c>
    </row>
    <row r="266" spans="10:13">
      <c r="J266" s="3" t="s">
        <v>2406</v>
      </c>
    </row>
    <row r="268" spans="10:13">
      <c r="J268" s="1" t="s">
        <v>2407</v>
      </c>
      <c r="L268" s="306">
        <v>0.6</v>
      </c>
      <c r="M268" s="306">
        <v>1.3</v>
      </c>
    </row>
    <row r="269" spans="10:13">
      <c r="J269" s="1" t="s">
        <v>2408</v>
      </c>
      <c r="L269" s="306">
        <v>0.9</v>
      </c>
      <c r="M269" s="306">
        <v>1.3</v>
      </c>
    </row>
    <row r="270" spans="10:13">
      <c r="J270" s="1" t="s">
        <v>2409</v>
      </c>
      <c r="L270" s="306">
        <v>1.3</v>
      </c>
    </row>
    <row r="272" spans="10:13">
      <c r="L272" s="1" t="s">
        <v>2407</v>
      </c>
      <c r="M272" s="1" t="s">
        <v>2408</v>
      </c>
    </row>
    <row r="273" spans="12:13">
      <c r="L273" s="306">
        <v>0.6</v>
      </c>
      <c r="M273" s="306">
        <v>0.9</v>
      </c>
    </row>
    <row r="274" spans="12:13">
      <c r="L274" s="306">
        <v>1.3</v>
      </c>
      <c r="M274" s="306">
        <v>1.3</v>
      </c>
    </row>
    <row r="295" spans="10:12" s="12" customFormat="1">
      <c r="J295" s="13" t="s">
        <v>2749</v>
      </c>
    </row>
    <row r="297" spans="10:12">
      <c r="J297" s="1" t="s">
        <v>951</v>
      </c>
    </row>
    <row r="298" spans="10:12">
      <c r="J298" s="5" t="s">
        <v>2755</v>
      </c>
      <c r="L298" s="606">
        <f>MROUND('TopCo Net debt waterfall'!$AT$83/1000, 1)</f>
        <v>21</v>
      </c>
    </row>
    <row r="299" spans="10:12">
      <c r="J299" s="5" t="s">
        <v>2726</v>
      </c>
      <c r="L299" s="606">
        <v>-20</v>
      </c>
    </row>
    <row r="300" spans="10:12">
      <c r="J300" s="5" t="s">
        <v>2750</v>
      </c>
      <c r="L300" s="606">
        <v>-15</v>
      </c>
    </row>
    <row r="301" spans="10:12">
      <c r="J301" s="5" t="s">
        <v>946</v>
      </c>
      <c r="L301" s="606">
        <v>-1.875</v>
      </c>
    </row>
    <row r="302" spans="10:12">
      <c r="J302" s="288" t="s">
        <v>2754</v>
      </c>
      <c r="K302" s="9"/>
      <c r="L302" s="737">
        <f>SUM(L298:L301)</f>
        <v>-15.875</v>
      </c>
    </row>
    <row r="303" spans="10:12">
      <c r="J303" s="5" t="s">
        <v>2752</v>
      </c>
      <c r="L303" s="606">
        <v>3.5</v>
      </c>
    </row>
    <row r="304" spans="10:12">
      <c r="J304" s="5" t="s">
        <v>2753</v>
      </c>
      <c r="L304" s="606">
        <v>1</v>
      </c>
    </row>
    <row r="305" spans="10:12">
      <c r="J305" s="5" t="s">
        <v>2751</v>
      </c>
      <c r="L305" s="606">
        <v>10</v>
      </c>
    </row>
    <row r="306" spans="10:12">
      <c r="J306" s="5" t="s">
        <v>1604</v>
      </c>
      <c r="L306" s="606">
        <v>12.5</v>
      </c>
    </row>
    <row r="307" spans="10:12">
      <c r="J307" s="5" t="s">
        <v>2795</v>
      </c>
      <c r="L307" s="606">
        <v>5</v>
      </c>
    </row>
    <row r="308" spans="10:12">
      <c r="J308" s="9" t="s">
        <v>2756</v>
      </c>
      <c r="K308" s="9"/>
      <c r="L308" s="545">
        <f>SUM(L302:L307)</f>
        <v>16.125</v>
      </c>
    </row>
    <row r="318" spans="10:12">
      <c r="J318" s="3" t="s">
        <v>2759</v>
      </c>
    </row>
    <row r="320" spans="10:12">
      <c r="J320" s="1" t="s">
        <v>951</v>
      </c>
    </row>
    <row r="321" spans="10:13">
      <c r="J321" s="732">
        <v>2022</v>
      </c>
      <c r="K321" s="733">
        <v>2.8000000000000001E-2</v>
      </c>
      <c r="L321" s="733"/>
    </row>
    <row r="322" spans="10:13">
      <c r="J322" s="732">
        <v>2023</v>
      </c>
      <c r="K322" s="606">
        <v>2</v>
      </c>
      <c r="L322" s="606"/>
      <c r="M322" s="21">
        <f>K322/K321-1</f>
        <v>70.428571428571431</v>
      </c>
    </row>
    <row r="323" spans="10:13">
      <c r="J323" s="732" t="s">
        <v>2760</v>
      </c>
      <c r="K323" s="606">
        <v>3.7</v>
      </c>
      <c r="L323" s="606"/>
      <c r="M323" s="21">
        <f>K323/K322-1</f>
        <v>0.85000000000000009</v>
      </c>
    </row>
    <row r="324" spans="10:13">
      <c r="J324" s="732" t="s">
        <v>2761</v>
      </c>
      <c r="K324" s="606">
        <v>11.6</v>
      </c>
      <c r="L324" s="606">
        <v>3</v>
      </c>
      <c r="M324" s="21">
        <f>K324/K323-1</f>
        <v>2.1351351351351351</v>
      </c>
    </row>
    <row r="345" spans="10:20">
      <c r="J345" s="3" t="s">
        <v>2762</v>
      </c>
    </row>
    <row r="347" spans="10:20">
      <c r="J347" s="1" t="s">
        <v>951</v>
      </c>
    </row>
    <row r="348" spans="10:20" ht="36">
      <c r="L348" s="584" t="s">
        <v>2779</v>
      </c>
      <c r="M348" s="584" t="s">
        <v>2764</v>
      </c>
      <c r="N348" s="584" t="s">
        <v>2765</v>
      </c>
      <c r="O348" s="584" t="s">
        <v>2766</v>
      </c>
      <c r="P348" s="734" t="s">
        <v>2767</v>
      </c>
      <c r="Q348" s="735" t="s">
        <v>82</v>
      </c>
      <c r="R348" s="584" t="s">
        <v>2778</v>
      </c>
      <c r="S348" s="584" t="s">
        <v>2780</v>
      </c>
      <c r="T348" s="735" t="s">
        <v>2790</v>
      </c>
    </row>
    <row r="349" spans="10:20">
      <c r="J349" s="1" t="s">
        <v>2774</v>
      </c>
      <c r="K349" s="1" t="s">
        <v>2781</v>
      </c>
      <c r="L349" s="732">
        <v>2.9</v>
      </c>
      <c r="M349" s="732">
        <v>3.7</v>
      </c>
      <c r="N349" s="732">
        <v>4.7</v>
      </c>
      <c r="O349" s="732">
        <v>6.2</v>
      </c>
      <c r="P349" s="16">
        <f t="shared" ref="P349:P360" si="3">(O349/L349)^(1/3)-1</f>
        <v>0.28824331416303961</v>
      </c>
      <c r="Q349" s="732">
        <v>255</v>
      </c>
      <c r="R349" s="367">
        <f t="shared" ref="R349:R360" si="4">Q349/M349</f>
        <v>68.918918918918919</v>
      </c>
      <c r="S349" s="367">
        <f t="shared" ref="S349:S360" si="5">Q349/N349</f>
        <v>54.255319148936167</v>
      </c>
      <c r="T349" s="367">
        <f t="shared" ref="T349:T360" si="6">S349/(P349*100)</f>
        <v>1.8822750254060576</v>
      </c>
    </row>
    <row r="350" spans="10:20">
      <c r="J350" s="1" t="s">
        <v>2773</v>
      </c>
      <c r="K350" s="1" t="s">
        <v>2773</v>
      </c>
      <c r="L350" s="732">
        <v>62.8</v>
      </c>
      <c r="M350" s="732">
        <v>65</v>
      </c>
      <c r="N350" s="732">
        <v>67.900000000000006</v>
      </c>
      <c r="O350" s="732">
        <v>70.900000000000006</v>
      </c>
      <c r="P350" s="16">
        <f t="shared" si="3"/>
        <v>4.1267221225935735E-2</v>
      </c>
      <c r="Q350" s="732">
        <v>235</v>
      </c>
      <c r="R350" s="367">
        <f t="shared" si="4"/>
        <v>3.6153846153846154</v>
      </c>
      <c r="S350" s="367">
        <f t="shared" si="5"/>
        <v>3.4609720176730483</v>
      </c>
      <c r="T350" s="367">
        <f t="shared" si="6"/>
        <v>0.83867338649346401</v>
      </c>
    </row>
    <row r="351" spans="10:20">
      <c r="J351" s="1" t="s">
        <v>2777</v>
      </c>
      <c r="K351" s="1" t="s">
        <v>2782</v>
      </c>
      <c r="L351" s="732">
        <v>3.9</v>
      </c>
      <c r="M351" s="732">
        <v>4.7</v>
      </c>
      <c r="N351" s="732">
        <v>5.8</v>
      </c>
      <c r="O351" s="732">
        <v>7.1</v>
      </c>
      <c r="P351" s="16">
        <f t="shared" si="3"/>
        <v>0.22104381251510041</v>
      </c>
      <c r="Q351" s="732">
        <v>105</v>
      </c>
      <c r="R351" s="367">
        <f t="shared" si="4"/>
        <v>22.340425531914892</v>
      </c>
      <c r="S351" s="367">
        <f t="shared" si="5"/>
        <v>18.103448275862071</v>
      </c>
      <c r="T351" s="367">
        <f t="shared" si="6"/>
        <v>0.81899819180079292</v>
      </c>
    </row>
    <row r="352" spans="10:20">
      <c r="J352" s="1" t="s">
        <v>2771</v>
      </c>
      <c r="K352" s="1" t="s">
        <v>2788</v>
      </c>
      <c r="L352" s="732">
        <v>21.5</v>
      </c>
      <c r="M352" s="732">
        <v>23.5</v>
      </c>
      <c r="N352" s="732">
        <v>25.8</v>
      </c>
      <c r="O352" s="732">
        <v>28.3</v>
      </c>
      <c r="P352" s="16">
        <f t="shared" si="3"/>
        <v>9.5929603966250943E-2</v>
      </c>
      <c r="Q352" s="732">
        <v>190</v>
      </c>
      <c r="R352" s="367">
        <f t="shared" si="4"/>
        <v>8.085106382978724</v>
      </c>
      <c r="S352" s="367">
        <f t="shared" si="5"/>
        <v>7.3643410852713176</v>
      </c>
      <c r="T352" s="367">
        <f t="shared" si="6"/>
        <v>0.76768179798408953</v>
      </c>
    </row>
    <row r="353" spans="10:20">
      <c r="J353" s="1" t="s">
        <v>2763</v>
      </c>
      <c r="K353" s="1" t="s">
        <v>2786</v>
      </c>
      <c r="L353" s="732">
        <v>245.1</v>
      </c>
      <c r="M353" s="732">
        <v>276.5</v>
      </c>
      <c r="N353" s="732">
        <v>314.8</v>
      </c>
      <c r="O353" s="732">
        <v>361.9</v>
      </c>
      <c r="P353" s="16">
        <f t="shared" si="3"/>
        <v>0.13871512869119917</v>
      </c>
      <c r="Q353" s="732">
        <v>3100</v>
      </c>
      <c r="R353" s="367">
        <f t="shared" si="4"/>
        <v>11.211573236889693</v>
      </c>
      <c r="S353" s="367">
        <f t="shared" si="5"/>
        <v>9.8475222363405326</v>
      </c>
      <c r="T353" s="367">
        <f t="shared" si="6"/>
        <v>0.70990975023802949</v>
      </c>
    </row>
    <row r="354" spans="10:20">
      <c r="J354" s="1" t="s">
        <v>2775</v>
      </c>
      <c r="K354" s="1" t="s">
        <v>2783</v>
      </c>
      <c r="L354" s="732">
        <v>11</v>
      </c>
      <c r="M354" s="732">
        <v>13</v>
      </c>
      <c r="N354" s="732">
        <v>15.6</v>
      </c>
      <c r="O354" s="732">
        <v>18.8</v>
      </c>
      <c r="P354" s="16">
        <f t="shared" si="3"/>
        <v>0.19560683197865147</v>
      </c>
      <c r="Q354" s="732">
        <v>210</v>
      </c>
      <c r="R354" s="367">
        <f t="shared" si="4"/>
        <v>16.153846153846153</v>
      </c>
      <c r="S354" s="367">
        <f t="shared" si="5"/>
        <v>13.461538461538462</v>
      </c>
      <c r="T354" s="367">
        <f t="shared" si="6"/>
        <v>0.68819367531128228</v>
      </c>
    </row>
    <row r="355" spans="10:20">
      <c r="J355" s="1" t="s">
        <v>2769</v>
      </c>
      <c r="K355" s="1" t="s">
        <v>2789</v>
      </c>
      <c r="L355" s="732">
        <v>37.9</v>
      </c>
      <c r="M355" s="732">
        <v>41.4</v>
      </c>
      <c r="N355" s="732">
        <v>45.4</v>
      </c>
      <c r="O355" s="732">
        <v>51</v>
      </c>
      <c r="P355" s="16">
        <f t="shared" si="3"/>
        <v>0.10402012134557648</v>
      </c>
      <c r="Q355" s="732">
        <v>315</v>
      </c>
      <c r="R355" s="367">
        <f t="shared" si="4"/>
        <v>7.6086956521739131</v>
      </c>
      <c r="S355" s="367">
        <f t="shared" si="5"/>
        <v>6.9383259911894273</v>
      </c>
      <c r="T355" s="367">
        <f t="shared" si="6"/>
        <v>0.66701767902566322</v>
      </c>
    </row>
    <row r="356" spans="10:20">
      <c r="J356" s="1" t="s">
        <v>2772</v>
      </c>
      <c r="K356" s="1" t="s">
        <v>2785</v>
      </c>
      <c r="L356" s="732">
        <v>16.3</v>
      </c>
      <c r="M356" s="732">
        <v>18.3</v>
      </c>
      <c r="N356" s="732">
        <v>20.5</v>
      </c>
      <c r="O356" s="732">
        <v>23.1</v>
      </c>
      <c r="P356" s="16">
        <f t="shared" si="3"/>
        <v>0.12324577015197935</v>
      </c>
      <c r="Q356" s="732">
        <v>165</v>
      </c>
      <c r="R356" s="367">
        <f t="shared" si="4"/>
        <v>9.0163934426229506</v>
      </c>
      <c r="S356" s="367">
        <f t="shared" si="5"/>
        <v>8.0487804878048781</v>
      </c>
      <c r="T356" s="367">
        <f t="shared" si="6"/>
        <v>0.65306748279308902</v>
      </c>
    </row>
    <row r="357" spans="10:20">
      <c r="J357" s="1" t="s">
        <v>2770</v>
      </c>
      <c r="K357" s="1" t="s">
        <v>2770</v>
      </c>
      <c r="L357" s="732">
        <v>34.200000000000003</v>
      </c>
      <c r="M357" s="732">
        <v>38.4</v>
      </c>
      <c r="N357" s="732">
        <v>43.2</v>
      </c>
      <c r="O357" s="732">
        <v>48.4</v>
      </c>
      <c r="P357" s="16">
        <f t="shared" si="3"/>
        <v>0.12272420350466984</v>
      </c>
      <c r="Q357" s="732">
        <v>335</v>
      </c>
      <c r="R357" s="367">
        <f t="shared" si="4"/>
        <v>8.7239583333333339</v>
      </c>
      <c r="S357" s="367">
        <f t="shared" si="5"/>
        <v>7.7546296296296289</v>
      </c>
      <c r="T357" s="367">
        <f t="shared" si="6"/>
        <v>0.63187451278382534</v>
      </c>
    </row>
    <row r="358" spans="10:20">
      <c r="J358" s="1" t="s">
        <v>2768</v>
      </c>
      <c r="K358" s="1" t="s">
        <v>2787</v>
      </c>
      <c r="L358" s="732">
        <v>52.9</v>
      </c>
      <c r="M358" s="732">
        <v>57.6</v>
      </c>
      <c r="N358" s="732">
        <v>65.099999999999994</v>
      </c>
      <c r="O358" s="732">
        <v>74.2</v>
      </c>
      <c r="P358" s="16">
        <f t="shared" si="3"/>
        <v>0.11939340633689621</v>
      </c>
      <c r="Q358" s="732">
        <v>480</v>
      </c>
      <c r="R358" s="367">
        <f t="shared" si="4"/>
        <v>8.3333333333333339</v>
      </c>
      <c r="S358" s="367">
        <f t="shared" si="5"/>
        <v>7.3732718894009226</v>
      </c>
      <c r="T358" s="367">
        <f t="shared" si="6"/>
        <v>0.61756106267673816</v>
      </c>
    </row>
    <row r="359" spans="10:20">
      <c r="J359" s="1" t="s">
        <v>2776</v>
      </c>
      <c r="K359" s="1" t="s">
        <v>2784</v>
      </c>
      <c r="L359" s="732">
        <v>3.6</v>
      </c>
      <c r="M359" s="732">
        <v>4.4000000000000004</v>
      </c>
      <c r="N359" s="732">
        <v>5.4</v>
      </c>
      <c r="O359" s="732">
        <v>6.8</v>
      </c>
      <c r="P359" s="16">
        <f t="shared" si="3"/>
        <v>0.23614325642206313</v>
      </c>
      <c r="Q359" s="732">
        <v>61.5</v>
      </c>
      <c r="R359" s="367">
        <f t="shared" si="4"/>
        <v>13.977272727272727</v>
      </c>
      <c r="S359" s="367">
        <f t="shared" si="5"/>
        <v>11.388888888888888</v>
      </c>
      <c r="T359" s="367">
        <f t="shared" si="6"/>
        <v>0.48228728024878759</v>
      </c>
    </row>
    <row r="360" spans="10:20">
      <c r="J360" s="1" t="s">
        <v>2726</v>
      </c>
      <c r="K360" s="1" t="s">
        <v>2726</v>
      </c>
      <c r="L360" s="732">
        <v>3.7</v>
      </c>
      <c r="M360" s="732">
        <v>11.6</v>
      </c>
      <c r="N360" s="732">
        <f>M360*1.25+3</f>
        <v>17.5</v>
      </c>
      <c r="O360" s="732">
        <v>20</v>
      </c>
      <c r="P360" s="16">
        <f t="shared" si="3"/>
        <v>0.75499583664787817</v>
      </c>
      <c r="Q360" s="732">
        <v>300</v>
      </c>
      <c r="R360" s="367">
        <f t="shared" si="4"/>
        <v>25.862068965517242</v>
      </c>
      <c r="S360" s="367">
        <f t="shared" si="5"/>
        <v>17.142857142857142</v>
      </c>
      <c r="T360" s="367">
        <f t="shared" si="6"/>
        <v>0.22705896258938424</v>
      </c>
    </row>
    <row r="381" spans="10:20" ht="36">
      <c r="L381" s="584" t="s">
        <v>2779</v>
      </c>
      <c r="M381" s="584" t="s">
        <v>2764</v>
      </c>
      <c r="N381" s="584" t="s">
        <v>2765</v>
      </c>
      <c r="O381" s="584" t="s">
        <v>2766</v>
      </c>
      <c r="P381" s="734" t="s">
        <v>2767</v>
      </c>
      <c r="Q381" s="735" t="s">
        <v>82</v>
      </c>
      <c r="R381" s="584" t="s">
        <v>2778</v>
      </c>
      <c r="S381" s="584" t="s">
        <v>2780</v>
      </c>
      <c r="T381" s="735" t="s">
        <v>2790</v>
      </c>
    </row>
    <row r="382" spans="10:20">
      <c r="J382" s="1" t="s">
        <v>2726</v>
      </c>
      <c r="K382" s="1" t="s">
        <v>2726</v>
      </c>
      <c r="L382" s="732">
        <v>3.7</v>
      </c>
      <c r="M382" s="732">
        <v>11.6</v>
      </c>
      <c r="N382" s="732">
        <f>M382*1.25+3</f>
        <v>17.5</v>
      </c>
      <c r="O382" s="732">
        <v>20</v>
      </c>
      <c r="P382" s="368">
        <f t="shared" ref="P382:P393" si="7">(O382/L382)^(1/3)-1</f>
        <v>0.75499583664787817</v>
      </c>
      <c r="Q382" s="730">
        <v>300</v>
      </c>
      <c r="R382" s="367">
        <f t="shared" ref="R382:R393" si="8">Q382/M382</f>
        <v>25.862068965517242</v>
      </c>
      <c r="S382" s="367">
        <f t="shared" ref="S382:S393" si="9">Q382/N382</f>
        <v>17.142857142857142</v>
      </c>
      <c r="T382" s="367">
        <f t="shared" ref="T382:T393" si="10">S382/(P382*100)</f>
        <v>0.22705896258938424</v>
      </c>
    </row>
    <row r="383" spans="10:20">
      <c r="J383" s="1" t="s">
        <v>2774</v>
      </c>
      <c r="K383" s="1" t="s">
        <v>2781</v>
      </c>
      <c r="L383" s="732">
        <v>2.9</v>
      </c>
      <c r="M383" s="732">
        <v>3.7</v>
      </c>
      <c r="N383" s="732">
        <v>4.7</v>
      </c>
      <c r="O383" s="732">
        <v>6.2</v>
      </c>
      <c r="P383" s="368">
        <f t="shared" si="7"/>
        <v>0.28824331416303961</v>
      </c>
      <c r="Q383" s="730">
        <v>255</v>
      </c>
      <c r="R383" s="367">
        <f t="shared" si="8"/>
        <v>68.918918918918919</v>
      </c>
      <c r="S383" s="367">
        <f t="shared" si="9"/>
        <v>54.255319148936167</v>
      </c>
      <c r="T383" s="367">
        <f t="shared" si="10"/>
        <v>1.8822750254060576</v>
      </c>
    </row>
    <row r="384" spans="10:20">
      <c r="J384" s="1" t="s">
        <v>2776</v>
      </c>
      <c r="K384" s="1" t="s">
        <v>2784</v>
      </c>
      <c r="L384" s="732">
        <v>3.6</v>
      </c>
      <c r="M384" s="732">
        <v>4.4000000000000004</v>
      </c>
      <c r="N384" s="732">
        <v>5.4</v>
      </c>
      <c r="O384" s="732">
        <v>6.8</v>
      </c>
      <c r="P384" s="368">
        <f t="shared" si="7"/>
        <v>0.23614325642206313</v>
      </c>
      <c r="Q384" s="730">
        <v>61.5</v>
      </c>
      <c r="R384" s="367">
        <f t="shared" si="8"/>
        <v>13.977272727272727</v>
      </c>
      <c r="S384" s="367">
        <f t="shared" si="9"/>
        <v>11.388888888888888</v>
      </c>
      <c r="T384" s="367">
        <f t="shared" si="10"/>
        <v>0.48228728024878759</v>
      </c>
    </row>
    <row r="385" spans="10:20">
      <c r="J385" s="1" t="s">
        <v>2777</v>
      </c>
      <c r="K385" s="1" t="s">
        <v>2782</v>
      </c>
      <c r="L385" s="732">
        <v>3.9</v>
      </c>
      <c r="M385" s="732">
        <v>4.7</v>
      </c>
      <c r="N385" s="732">
        <v>5.8</v>
      </c>
      <c r="O385" s="732">
        <v>7.1</v>
      </c>
      <c r="P385" s="368">
        <f t="shared" si="7"/>
        <v>0.22104381251510041</v>
      </c>
      <c r="Q385" s="730">
        <v>105</v>
      </c>
      <c r="R385" s="367">
        <f t="shared" si="8"/>
        <v>22.340425531914892</v>
      </c>
      <c r="S385" s="367">
        <f t="shared" si="9"/>
        <v>18.103448275862071</v>
      </c>
      <c r="T385" s="367">
        <f t="shared" si="10"/>
        <v>0.81899819180079292</v>
      </c>
    </row>
    <row r="386" spans="10:20">
      <c r="J386" s="1" t="s">
        <v>2775</v>
      </c>
      <c r="K386" s="1" t="s">
        <v>2783</v>
      </c>
      <c r="L386" s="732">
        <v>11</v>
      </c>
      <c r="M386" s="732">
        <v>13</v>
      </c>
      <c r="N386" s="732">
        <v>15.6</v>
      </c>
      <c r="O386" s="732">
        <v>18.8</v>
      </c>
      <c r="P386" s="368">
        <f t="shared" si="7"/>
        <v>0.19560683197865147</v>
      </c>
      <c r="Q386" s="730">
        <v>210</v>
      </c>
      <c r="R386" s="367">
        <f t="shared" si="8"/>
        <v>16.153846153846153</v>
      </c>
      <c r="S386" s="367">
        <f t="shared" si="9"/>
        <v>13.461538461538462</v>
      </c>
      <c r="T386" s="367">
        <f t="shared" si="10"/>
        <v>0.68819367531128228</v>
      </c>
    </row>
    <row r="387" spans="10:20">
      <c r="J387" s="1" t="s">
        <v>2763</v>
      </c>
      <c r="K387" s="1" t="s">
        <v>2786</v>
      </c>
      <c r="L387" s="732">
        <v>245.1</v>
      </c>
      <c r="M387" s="732">
        <v>276.5</v>
      </c>
      <c r="N387" s="732">
        <v>314.8</v>
      </c>
      <c r="O387" s="732">
        <v>361.9</v>
      </c>
      <c r="P387" s="368">
        <f t="shared" si="7"/>
        <v>0.13871512869119917</v>
      </c>
      <c r="Q387" s="730">
        <v>3100</v>
      </c>
      <c r="R387" s="367">
        <f t="shared" si="8"/>
        <v>11.211573236889693</v>
      </c>
      <c r="S387" s="367">
        <f t="shared" si="9"/>
        <v>9.8475222363405326</v>
      </c>
      <c r="T387" s="367">
        <f t="shared" si="10"/>
        <v>0.70990975023802949</v>
      </c>
    </row>
    <row r="388" spans="10:20">
      <c r="J388" s="1" t="s">
        <v>2772</v>
      </c>
      <c r="K388" s="1" t="s">
        <v>2785</v>
      </c>
      <c r="L388" s="732">
        <v>16.3</v>
      </c>
      <c r="M388" s="732">
        <v>18.3</v>
      </c>
      <c r="N388" s="732">
        <v>20.5</v>
      </c>
      <c r="O388" s="732">
        <v>23.1</v>
      </c>
      <c r="P388" s="368">
        <f t="shared" si="7"/>
        <v>0.12324577015197935</v>
      </c>
      <c r="Q388" s="730">
        <v>165</v>
      </c>
      <c r="R388" s="367">
        <f t="shared" si="8"/>
        <v>9.0163934426229506</v>
      </c>
      <c r="S388" s="367">
        <f t="shared" si="9"/>
        <v>8.0487804878048781</v>
      </c>
      <c r="T388" s="367">
        <f t="shared" si="10"/>
        <v>0.65306748279308902</v>
      </c>
    </row>
    <row r="389" spans="10:20">
      <c r="J389" s="1" t="s">
        <v>2770</v>
      </c>
      <c r="K389" s="1" t="s">
        <v>2770</v>
      </c>
      <c r="L389" s="732">
        <v>34.200000000000003</v>
      </c>
      <c r="M389" s="732">
        <v>38.4</v>
      </c>
      <c r="N389" s="732">
        <v>43.2</v>
      </c>
      <c r="O389" s="732">
        <v>48.4</v>
      </c>
      <c r="P389" s="368">
        <f t="shared" si="7"/>
        <v>0.12272420350466984</v>
      </c>
      <c r="Q389" s="730">
        <v>335</v>
      </c>
      <c r="R389" s="367">
        <f t="shared" si="8"/>
        <v>8.7239583333333339</v>
      </c>
      <c r="S389" s="367">
        <f t="shared" si="9"/>
        <v>7.7546296296296289</v>
      </c>
      <c r="T389" s="367">
        <f t="shared" si="10"/>
        <v>0.63187451278382534</v>
      </c>
    </row>
    <row r="390" spans="10:20">
      <c r="J390" s="1" t="s">
        <v>2768</v>
      </c>
      <c r="K390" s="1" t="s">
        <v>2787</v>
      </c>
      <c r="L390" s="732">
        <v>52.9</v>
      </c>
      <c r="M390" s="732">
        <v>57.6</v>
      </c>
      <c r="N390" s="732">
        <v>65.099999999999994</v>
      </c>
      <c r="O390" s="732">
        <v>74.2</v>
      </c>
      <c r="P390" s="368">
        <f t="shared" si="7"/>
        <v>0.11939340633689621</v>
      </c>
      <c r="Q390" s="730">
        <v>480</v>
      </c>
      <c r="R390" s="367">
        <f t="shared" si="8"/>
        <v>8.3333333333333339</v>
      </c>
      <c r="S390" s="367">
        <f t="shared" si="9"/>
        <v>7.3732718894009226</v>
      </c>
      <c r="T390" s="367">
        <f t="shared" si="10"/>
        <v>0.61756106267673816</v>
      </c>
    </row>
    <row r="391" spans="10:20">
      <c r="J391" s="1" t="s">
        <v>2769</v>
      </c>
      <c r="K391" s="1" t="s">
        <v>2789</v>
      </c>
      <c r="L391" s="732">
        <v>37.9</v>
      </c>
      <c r="M391" s="732">
        <v>41.4</v>
      </c>
      <c r="N391" s="732">
        <v>45.4</v>
      </c>
      <c r="O391" s="732">
        <v>51</v>
      </c>
      <c r="P391" s="368">
        <f t="shared" si="7"/>
        <v>0.10402012134557648</v>
      </c>
      <c r="Q391" s="730">
        <v>315</v>
      </c>
      <c r="R391" s="367">
        <f t="shared" si="8"/>
        <v>7.6086956521739131</v>
      </c>
      <c r="S391" s="367">
        <f t="shared" si="9"/>
        <v>6.9383259911894273</v>
      </c>
      <c r="T391" s="367">
        <f t="shared" si="10"/>
        <v>0.66701767902566322</v>
      </c>
    </row>
    <row r="392" spans="10:20">
      <c r="J392" s="1" t="s">
        <v>2771</v>
      </c>
      <c r="K392" s="1" t="s">
        <v>2788</v>
      </c>
      <c r="L392" s="732">
        <v>21.5</v>
      </c>
      <c r="M392" s="732">
        <v>23.5</v>
      </c>
      <c r="N392" s="732">
        <v>25.8</v>
      </c>
      <c r="O392" s="732">
        <v>28.3</v>
      </c>
      <c r="P392" s="368">
        <f t="shared" si="7"/>
        <v>9.5929603966250943E-2</v>
      </c>
      <c r="Q392" s="730">
        <v>190</v>
      </c>
      <c r="R392" s="367">
        <f t="shared" si="8"/>
        <v>8.085106382978724</v>
      </c>
      <c r="S392" s="367">
        <f t="shared" si="9"/>
        <v>7.3643410852713176</v>
      </c>
      <c r="T392" s="367">
        <f t="shared" si="10"/>
        <v>0.76768179798408953</v>
      </c>
    </row>
    <row r="393" spans="10:20">
      <c r="J393" s="1" t="s">
        <v>2773</v>
      </c>
      <c r="K393" s="1" t="s">
        <v>2773</v>
      </c>
      <c r="L393" s="732">
        <v>62.8</v>
      </c>
      <c r="M393" s="732">
        <v>65</v>
      </c>
      <c r="N393" s="732">
        <v>67.900000000000006</v>
      </c>
      <c r="O393" s="732">
        <v>70.900000000000006</v>
      </c>
      <c r="P393" s="368">
        <f t="shared" si="7"/>
        <v>4.1267221225935735E-2</v>
      </c>
      <c r="Q393" s="730">
        <v>235</v>
      </c>
      <c r="R393" s="367">
        <f t="shared" si="8"/>
        <v>3.6153846153846154</v>
      </c>
      <c r="S393" s="367">
        <f t="shared" si="9"/>
        <v>3.4609720176730483</v>
      </c>
      <c r="T393" s="367">
        <f t="shared" si="10"/>
        <v>0.83867338649346401</v>
      </c>
    </row>
    <row r="414" spans="10:20" ht="36">
      <c r="L414" s="584" t="s">
        <v>2779</v>
      </c>
      <c r="M414" s="584" t="s">
        <v>2764</v>
      </c>
      <c r="N414" s="584" t="s">
        <v>2765</v>
      </c>
      <c r="O414" s="584" t="s">
        <v>2766</v>
      </c>
      <c r="P414" s="734" t="s">
        <v>2767</v>
      </c>
      <c r="Q414" s="735" t="s">
        <v>82</v>
      </c>
      <c r="R414" s="584" t="s">
        <v>2778</v>
      </c>
      <c r="S414" s="584" t="s">
        <v>2780</v>
      </c>
      <c r="T414" s="735" t="s">
        <v>2790</v>
      </c>
    </row>
    <row r="415" spans="10:20">
      <c r="J415" s="1" t="s">
        <v>2774</v>
      </c>
      <c r="K415" s="1" t="s">
        <v>2781</v>
      </c>
      <c r="L415" s="732">
        <v>2.9</v>
      </c>
      <c r="M415" s="732">
        <v>3.7</v>
      </c>
      <c r="N415" s="732">
        <v>4.7</v>
      </c>
      <c r="O415" s="732">
        <v>6.2</v>
      </c>
      <c r="P415" s="368">
        <f t="shared" ref="P415:P426" si="11">(O415/L415)^(1/3)-1</f>
        <v>0.28824331416303961</v>
      </c>
      <c r="Q415" s="730">
        <v>255</v>
      </c>
      <c r="R415" s="367">
        <f t="shared" ref="R415:R426" si="12">Q415/M415</f>
        <v>68.918918918918919</v>
      </c>
      <c r="S415" s="367">
        <f t="shared" ref="S415:S426" si="13">Q415/N415</f>
        <v>54.255319148936167</v>
      </c>
      <c r="T415" s="367">
        <f t="shared" ref="T415:T426" si="14">S415/(P415*100)</f>
        <v>1.8822750254060576</v>
      </c>
    </row>
    <row r="416" spans="10:20">
      <c r="J416" s="1" t="s">
        <v>2777</v>
      </c>
      <c r="K416" s="1" t="s">
        <v>2782</v>
      </c>
      <c r="L416" s="732">
        <v>3.9</v>
      </c>
      <c r="M416" s="732">
        <v>4.7</v>
      </c>
      <c r="N416" s="732">
        <v>5.8</v>
      </c>
      <c r="O416" s="732">
        <v>7.1</v>
      </c>
      <c r="P416" s="368">
        <f t="shared" si="11"/>
        <v>0.22104381251510041</v>
      </c>
      <c r="Q416" s="730">
        <v>105</v>
      </c>
      <c r="R416" s="367">
        <f t="shared" si="12"/>
        <v>22.340425531914892</v>
      </c>
      <c r="S416" s="367">
        <f t="shared" si="13"/>
        <v>18.103448275862071</v>
      </c>
      <c r="T416" s="367">
        <f t="shared" si="14"/>
        <v>0.81899819180079292</v>
      </c>
    </row>
    <row r="417" spans="10:20">
      <c r="J417" s="1" t="s">
        <v>2726</v>
      </c>
      <c r="K417" s="1" t="s">
        <v>2726</v>
      </c>
      <c r="L417" s="732">
        <v>3.7</v>
      </c>
      <c r="M417" s="732">
        <v>11.6</v>
      </c>
      <c r="N417" s="732">
        <f>M417*1.25+3</f>
        <v>17.5</v>
      </c>
      <c r="O417" s="732">
        <v>20</v>
      </c>
      <c r="P417" s="368">
        <f t="shared" si="11"/>
        <v>0.75499583664787817</v>
      </c>
      <c r="Q417" s="730">
        <v>300</v>
      </c>
      <c r="R417" s="367">
        <f t="shared" si="12"/>
        <v>25.862068965517242</v>
      </c>
      <c r="S417" s="367">
        <f t="shared" si="13"/>
        <v>17.142857142857142</v>
      </c>
      <c r="T417" s="367">
        <f t="shared" si="14"/>
        <v>0.22705896258938424</v>
      </c>
    </row>
    <row r="418" spans="10:20">
      <c r="J418" s="1" t="s">
        <v>2775</v>
      </c>
      <c r="K418" s="1" t="s">
        <v>2783</v>
      </c>
      <c r="L418" s="732">
        <v>11</v>
      </c>
      <c r="M418" s="732">
        <v>13</v>
      </c>
      <c r="N418" s="732">
        <v>15.6</v>
      </c>
      <c r="O418" s="732">
        <v>18.8</v>
      </c>
      <c r="P418" s="368">
        <f t="shared" si="11"/>
        <v>0.19560683197865147</v>
      </c>
      <c r="Q418" s="730">
        <v>210</v>
      </c>
      <c r="R418" s="367">
        <f t="shared" si="12"/>
        <v>16.153846153846153</v>
      </c>
      <c r="S418" s="367">
        <f t="shared" si="13"/>
        <v>13.461538461538462</v>
      </c>
      <c r="T418" s="367">
        <f t="shared" si="14"/>
        <v>0.68819367531128228</v>
      </c>
    </row>
    <row r="419" spans="10:20">
      <c r="J419" s="1" t="s">
        <v>2776</v>
      </c>
      <c r="K419" s="1" t="s">
        <v>2784</v>
      </c>
      <c r="L419" s="732">
        <v>3.6</v>
      </c>
      <c r="M419" s="732">
        <v>4.4000000000000004</v>
      </c>
      <c r="N419" s="732">
        <v>5.4</v>
      </c>
      <c r="O419" s="732">
        <v>6.8</v>
      </c>
      <c r="P419" s="368">
        <f t="shared" si="11"/>
        <v>0.23614325642206313</v>
      </c>
      <c r="Q419" s="730">
        <v>61.5</v>
      </c>
      <c r="R419" s="367">
        <f t="shared" si="12"/>
        <v>13.977272727272727</v>
      </c>
      <c r="S419" s="367">
        <f t="shared" si="13"/>
        <v>11.388888888888888</v>
      </c>
      <c r="T419" s="367">
        <f t="shared" si="14"/>
        <v>0.48228728024878759</v>
      </c>
    </row>
    <row r="420" spans="10:20">
      <c r="J420" s="1" t="s">
        <v>2763</v>
      </c>
      <c r="K420" s="1" t="s">
        <v>2786</v>
      </c>
      <c r="L420" s="732">
        <v>245.1</v>
      </c>
      <c r="M420" s="732">
        <v>276.5</v>
      </c>
      <c r="N420" s="732">
        <v>314.8</v>
      </c>
      <c r="O420" s="732">
        <v>361.9</v>
      </c>
      <c r="P420" s="368">
        <f t="shared" si="11"/>
        <v>0.13871512869119917</v>
      </c>
      <c r="Q420" s="730">
        <v>3100</v>
      </c>
      <c r="R420" s="367">
        <f t="shared" si="12"/>
        <v>11.211573236889693</v>
      </c>
      <c r="S420" s="367">
        <f t="shared" si="13"/>
        <v>9.8475222363405326</v>
      </c>
      <c r="T420" s="367">
        <f t="shared" si="14"/>
        <v>0.70990975023802949</v>
      </c>
    </row>
    <row r="421" spans="10:20">
      <c r="J421" s="1" t="s">
        <v>2770</v>
      </c>
      <c r="K421" s="1" t="s">
        <v>2770</v>
      </c>
      <c r="L421" s="732">
        <v>34.200000000000003</v>
      </c>
      <c r="M421" s="732">
        <v>38.4</v>
      </c>
      <c r="N421" s="732">
        <v>43.2</v>
      </c>
      <c r="O421" s="732">
        <v>48.4</v>
      </c>
      <c r="P421" s="368">
        <f t="shared" si="11"/>
        <v>0.12272420350466984</v>
      </c>
      <c r="Q421" s="730">
        <f>MROUND(335*1.05, 5)</f>
        <v>350</v>
      </c>
      <c r="R421" s="367">
        <f t="shared" si="12"/>
        <v>9.1145833333333339</v>
      </c>
      <c r="S421" s="367">
        <f t="shared" si="13"/>
        <v>8.1018518518518512</v>
      </c>
      <c r="T421" s="367">
        <f t="shared" si="14"/>
        <v>0.66016740141593699</v>
      </c>
    </row>
    <row r="422" spans="10:20">
      <c r="J422" s="1" t="s">
        <v>2772</v>
      </c>
      <c r="K422" s="1" t="s">
        <v>2785</v>
      </c>
      <c r="L422" s="732">
        <v>16.3</v>
      </c>
      <c r="M422" s="732">
        <v>18.3</v>
      </c>
      <c r="N422" s="732">
        <v>20.5</v>
      </c>
      <c r="O422" s="732">
        <v>23.1</v>
      </c>
      <c r="P422" s="368">
        <f t="shared" si="11"/>
        <v>0.12324577015197935</v>
      </c>
      <c r="Q422" s="730">
        <v>165</v>
      </c>
      <c r="R422" s="367">
        <f t="shared" si="12"/>
        <v>9.0163934426229506</v>
      </c>
      <c r="S422" s="367">
        <f t="shared" si="13"/>
        <v>8.0487804878048781</v>
      </c>
      <c r="T422" s="367">
        <f t="shared" si="14"/>
        <v>0.65306748279308902</v>
      </c>
    </row>
    <row r="423" spans="10:20">
      <c r="J423" s="1" t="s">
        <v>2768</v>
      </c>
      <c r="K423" s="1" t="s">
        <v>2787</v>
      </c>
      <c r="L423" s="732">
        <v>52.9</v>
      </c>
      <c r="M423" s="732">
        <v>57.6</v>
      </c>
      <c r="N423" s="732">
        <v>65.099999999999994</v>
      </c>
      <c r="O423" s="732">
        <v>74.2</v>
      </c>
      <c r="P423" s="368">
        <f t="shared" si="11"/>
        <v>0.11939340633689621</v>
      </c>
      <c r="Q423" s="730">
        <v>480</v>
      </c>
      <c r="R423" s="367">
        <f t="shared" si="12"/>
        <v>8.3333333333333339</v>
      </c>
      <c r="S423" s="367">
        <f t="shared" si="13"/>
        <v>7.3732718894009226</v>
      </c>
      <c r="T423" s="367">
        <f t="shared" si="14"/>
        <v>0.61756106267673816</v>
      </c>
    </row>
    <row r="424" spans="10:20">
      <c r="J424" s="1" t="s">
        <v>2771</v>
      </c>
      <c r="K424" s="1" t="s">
        <v>2788</v>
      </c>
      <c r="L424" s="732">
        <v>21.5</v>
      </c>
      <c r="M424" s="732">
        <v>23.5</v>
      </c>
      <c r="N424" s="732">
        <v>25.8</v>
      </c>
      <c r="O424" s="732">
        <v>28.3</v>
      </c>
      <c r="P424" s="368">
        <f t="shared" si="11"/>
        <v>9.5929603966250943E-2</v>
      </c>
      <c r="Q424" s="730">
        <v>190</v>
      </c>
      <c r="R424" s="367">
        <f t="shared" si="12"/>
        <v>8.085106382978724</v>
      </c>
      <c r="S424" s="367">
        <f t="shared" si="13"/>
        <v>7.3643410852713176</v>
      </c>
      <c r="T424" s="367">
        <f t="shared" si="14"/>
        <v>0.76768179798408953</v>
      </c>
    </row>
    <row r="425" spans="10:20">
      <c r="J425" s="1" t="s">
        <v>2769</v>
      </c>
      <c r="K425" s="1" t="s">
        <v>2789</v>
      </c>
      <c r="L425" s="732">
        <v>37.9</v>
      </c>
      <c r="M425" s="732">
        <v>41.4</v>
      </c>
      <c r="N425" s="732">
        <v>45.4</v>
      </c>
      <c r="O425" s="732">
        <v>51</v>
      </c>
      <c r="P425" s="368">
        <f t="shared" si="11"/>
        <v>0.10402012134557648</v>
      </c>
      <c r="Q425" s="730">
        <v>315</v>
      </c>
      <c r="R425" s="367">
        <f t="shared" si="12"/>
        <v>7.6086956521739131</v>
      </c>
      <c r="S425" s="367">
        <f t="shared" si="13"/>
        <v>6.9383259911894273</v>
      </c>
      <c r="T425" s="367">
        <f t="shared" si="14"/>
        <v>0.66701767902566322</v>
      </c>
    </row>
    <row r="426" spans="10:20">
      <c r="J426" s="1" t="s">
        <v>2773</v>
      </c>
      <c r="K426" s="1" t="s">
        <v>2773</v>
      </c>
      <c r="L426" s="732">
        <v>62.8</v>
      </c>
      <c r="M426" s="732">
        <v>65</v>
      </c>
      <c r="N426" s="732">
        <v>67.900000000000006</v>
      </c>
      <c r="O426" s="732">
        <v>70.900000000000006</v>
      </c>
      <c r="P426" s="368">
        <f t="shared" si="11"/>
        <v>4.1267221225935735E-2</v>
      </c>
      <c r="Q426" s="730">
        <v>235</v>
      </c>
      <c r="R426" s="367">
        <f t="shared" si="12"/>
        <v>3.6153846153846154</v>
      </c>
      <c r="S426" s="367">
        <f t="shared" si="13"/>
        <v>3.4609720176730483</v>
      </c>
      <c r="T426" s="367">
        <f t="shared" si="14"/>
        <v>0.83867338649346401</v>
      </c>
    </row>
    <row r="447" spans="10:10">
      <c r="J447" s="3" t="s">
        <v>2791</v>
      </c>
    </row>
    <row r="449" spans="10:12">
      <c r="J449" s="5" t="s">
        <v>86</v>
      </c>
      <c r="L449" s="730">
        <v>15</v>
      </c>
    </row>
    <row r="450" spans="10:12">
      <c r="J450" s="5" t="s">
        <v>2726</v>
      </c>
      <c r="L450" s="730">
        <v>15</v>
      </c>
    </row>
    <row r="451" spans="10:12">
      <c r="J451" s="5" t="s">
        <v>2792</v>
      </c>
      <c r="L451" s="730">
        <v>7</v>
      </c>
    </row>
    <row r="452" spans="10:12">
      <c r="J452" s="5" t="s">
        <v>2793</v>
      </c>
      <c r="L452" s="736">
        <f>L453-SUM(L449:L451)</f>
        <v>63</v>
      </c>
    </row>
    <row r="453" spans="10:12">
      <c r="J453" s="9" t="s">
        <v>89</v>
      </c>
      <c r="K453" s="9"/>
      <c r="L453" s="731">
        <v>100</v>
      </c>
    </row>
    <row r="474" spans="10:12">
      <c r="J474" s="3" t="s">
        <v>2791</v>
      </c>
    </row>
    <row r="476" spans="10:12">
      <c r="J476" s="1" t="s">
        <v>2845</v>
      </c>
      <c r="L476" s="730">
        <v>100</v>
      </c>
    </row>
    <row r="477" spans="10:12">
      <c r="J477" s="1" t="s">
        <v>2795</v>
      </c>
      <c r="L477" s="730">
        <v>-55</v>
      </c>
    </row>
    <row r="478" spans="10:12">
      <c r="J478" s="1" t="s">
        <v>2848</v>
      </c>
      <c r="L478" s="730">
        <v>-30</v>
      </c>
    </row>
    <row r="479" spans="10:12">
      <c r="J479" s="1" t="s">
        <v>2750</v>
      </c>
      <c r="L479" s="730">
        <f>SUM(L476:L478)</f>
        <v>15</v>
      </c>
    </row>
    <row r="480" spans="10:12">
      <c r="J480" s="1" t="s">
        <v>2847</v>
      </c>
      <c r="L480" s="730">
        <v>-3</v>
      </c>
    </row>
    <row r="481" spans="10:12">
      <c r="J481" s="1" t="s">
        <v>2846</v>
      </c>
      <c r="L481" s="730">
        <v>-6</v>
      </c>
    </row>
    <row r="482" spans="10:12">
      <c r="J482" s="1" t="s">
        <v>2726</v>
      </c>
      <c r="L482" s="730">
        <v>-6</v>
      </c>
    </row>
    <row r="503" spans="10:14">
      <c r="J503" s="3" t="s">
        <v>2852</v>
      </c>
    </row>
    <row r="505" spans="10:14">
      <c r="J505" s="5" t="s">
        <v>2726</v>
      </c>
      <c r="N505" s="606">
        <f>30+1.7</f>
        <v>31.7</v>
      </c>
    </row>
    <row r="506" spans="10:14">
      <c r="J506" s="5" t="s">
        <v>2853</v>
      </c>
      <c r="N506" s="606">
        <v>6.5</v>
      </c>
    </row>
    <row r="507" spans="10:14">
      <c r="J507" s="5" t="s">
        <v>2750</v>
      </c>
      <c r="N507" s="606">
        <v>1.5</v>
      </c>
    </row>
    <row r="508" spans="10:14">
      <c r="J508" s="5" t="s">
        <v>2854</v>
      </c>
      <c r="N508" s="606">
        <v>1.75</v>
      </c>
    </row>
    <row r="509" spans="10:14">
      <c r="J509" s="5" t="s">
        <v>2867</v>
      </c>
      <c r="N509" s="733">
        <v>0.25</v>
      </c>
    </row>
    <row r="510" spans="10:14">
      <c r="J510" s="9" t="s">
        <v>2855</v>
      </c>
      <c r="K510" s="9"/>
      <c r="L510" s="9"/>
      <c r="M510" s="9"/>
      <c r="N510" s="545">
        <f>SUM(N505:N509)</f>
        <v>41.7</v>
      </c>
    </row>
    <row r="512" spans="10:14">
      <c r="J512" s="5" t="s">
        <v>2863</v>
      </c>
      <c r="N512" s="733">
        <v>0.55000000000000004</v>
      </c>
    </row>
    <row r="513" spans="10:17">
      <c r="J513" s="5" t="s">
        <v>2866</v>
      </c>
      <c r="N513" s="606">
        <v>5</v>
      </c>
    </row>
    <row r="514" spans="10:17">
      <c r="J514" s="5" t="s">
        <v>2857</v>
      </c>
      <c r="N514" s="606">
        <v>2</v>
      </c>
    </row>
    <row r="515" spans="10:17">
      <c r="J515" s="5" t="s">
        <v>2858</v>
      </c>
      <c r="N515" s="606">
        <v>5.5</v>
      </c>
    </row>
    <row r="516" spans="10:17">
      <c r="J516" s="5" t="s">
        <v>2856</v>
      </c>
      <c r="N516" s="606">
        <v>4.8</v>
      </c>
    </row>
    <row r="517" spans="10:17">
      <c r="J517" s="5" t="s">
        <v>2864</v>
      </c>
      <c r="N517" s="730">
        <v>0</v>
      </c>
      <c r="O517" s="678" t="s">
        <v>2865</v>
      </c>
    </row>
    <row r="518" spans="10:17">
      <c r="J518" s="9" t="s">
        <v>2859</v>
      </c>
      <c r="K518" s="9"/>
      <c r="L518" s="9"/>
      <c r="M518" s="9"/>
      <c r="N518" s="545">
        <f>SUM(N512:N516)</f>
        <v>17.850000000000001</v>
      </c>
    </row>
    <row r="519" spans="10:17">
      <c r="J519" s="1" t="s">
        <v>2860</v>
      </c>
      <c r="N519" s="16">
        <f>N518/N510</f>
        <v>0.42805755395683454</v>
      </c>
    </row>
    <row r="521" spans="10:17">
      <c r="J521" s="5" t="s">
        <v>2861</v>
      </c>
      <c r="N521" s="541">
        <f>N515</f>
        <v>5.5</v>
      </c>
      <c r="O521" s="770">
        <v>10</v>
      </c>
      <c r="P521" s="541">
        <f>SUM(N521:O521)</f>
        <v>15.5</v>
      </c>
      <c r="Q521" s="79"/>
    </row>
    <row r="522" spans="10:17">
      <c r="J522" s="5" t="s">
        <v>2862</v>
      </c>
      <c r="N522" s="541">
        <f>N513+N514</f>
        <v>7</v>
      </c>
      <c r="O522" s="606">
        <v>2.5</v>
      </c>
      <c r="P522" s="541">
        <f>SUM(N522:O522)</f>
        <v>9.5</v>
      </c>
    </row>
    <row r="523" spans="10:17">
      <c r="J523" s="5" t="s">
        <v>2868</v>
      </c>
      <c r="N523" s="541">
        <f>N512+N516</f>
        <v>5.35</v>
      </c>
      <c r="O523" s="606">
        <v>2.5</v>
      </c>
      <c r="P523" s="541">
        <f>SUM(N523:O523)</f>
        <v>7.85</v>
      </c>
    </row>
    <row r="524" spans="10:17">
      <c r="J524" s="5" t="s">
        <v>2869</v>
      </c>
      <c r="N524" s="541">
        <f>N517</f>
        <v>0</v>
      </c>
      <c r="O524" s="606">
        <v>7.5</v>
      </c>
      <c r="P524" s="541">
        <f>SUM(N524:O524)</f>
        <v>7.5</v>
      </c>
    </row>
    <row r="525" spans="10:17">
      <c r="J525" s="5" t="s">
        <v>2870</v>
      </c>
      <c r="N525" s="606">
        <v>0</v>
      </c>
      <c r="O525" s="606">
        <v>2.5</v>
      </c>
      <c r="P525" s="541">
        <f>SUM(N525:O525)</f>
        <v>2.5</v>
      </c>
    </row>
    <row r="526" spans="10:17">
      <c r="J526" s="9" t="s">
        <v>2859</v>
      </c>
      <c r="K526" s="9"/>
      <c r="L526" s="9"/>
      <c r="M526" s="9"/>
      <c r="N526" s="545">
        <f>SUM(N521:N525)</f>
        <v>17.850000000000001</v>
      </c>
      <c r="O526" s="545">
        <f>SUM(O521:O525)</f>
        <v>25</v>
      </c>
      <c r="P526" s="545">
        <f>SUM(P521:P524)</f>
        <v>40.35</v>
      </c>
    </row>
    <row r="528" spans="10:17" s="12" customFormat="1">
      <c r="J528" s="13" t="s">
        <v>3143</v>
      </c>
    </row>
    <row r="530" spans="10:20">
      <c r="N530" s="297">
        <v>2020</v>
      </c>
      <c r="O530" s="297">
        <f t="shared" ref="O530:S530" si="15">N530+1</f>
        <v>2021</v>
      </c>
      <c r="P530" s="297">
        <f t="shared" si="15"/>
        <v>2022</v>
      </c>
      <c r="Q530" s="297">
        <f t="shared" si="15"/>
        <v>2023</v>
      </c>
      <c r="R530" s="907">
        <f t="shared" si="15"/>
        <v>2024</v>
      </c>
      <c r="S530" s="907">
        <f t="shared" si="15"/>
        <v>2025</v>
      </c>
    </row>
    <row r="531" spans="10:20">
      <c r="J531" s="1" t="s">
        <v>3144</v>
      </c>
      <c r="N531" s="545">
        <f>'SVF1'!AN534</f>
        <v>32.769542732134624</v>
      </c>
      <c r="O531" s="545">
        <f>'SVF1'!AO534</f>
        <v>50.695554269456935</v>
      </c>
      <c r="P531" s="545">
        <f>'SVF1'!AP534</f>
        <v>69.5</v>
      </c>
      <c r="Q531" s="545">
        <f>'SVF1'!AQ534</f>
        <v>96.124594471428566</v>
      </c>
      <c r="R531" s="545">
        <f>'SVF1'!AR534</f>
        <v>122.23058652666666</v>
      </c>
      <c r="S531" s="545">
        <f>'SVF1'!AS534</f>
        <v>151.14976248466667</v>
      </c>
      <c r="T531" s="21"/>
    </row>
    <row r="532" spans="10:20">
      <c r="J532" s="1" t="s">
        <v>3145</v>
      </c>
      <c r="N532" s="541">
        <f>'SVF1'!AN530</f>
        <v>1.9715055833654211</v>
      </c>
      <c r="O532" s="541">
        <f>'SVF1'!AO530</f>
        <v>5.2244897959183669</v>
      </c>
      <c r="P532" s="541">
        <f>'SVF1'!AP530</f>
        <v>9.1428571428571423</v>
      </c>
      <c r="Q532" s="541">
        <f>'SVF1'!AQ530</f>
        <v>16</v>
      </c>
      <c r="R532" s="541">
        <f>'SVF1'!AR530</f>
        <v>21.833333333333336</v>
      </c>
      <c r="S532" s="541">
        <f>'SVF1'!AS530</f>
        <v>28.383333333333336</v>
      </c>
      <c r="T532" s="908">
        <f>S532/(S531+SUM(S533:S534))</f>
        <v>0.17163878250352751</v>
      </c>
    </row>
    <row r="533" spans="10:20">
      <c r="J533" s="1" t="s">
        <v>3146</v>
      </c>
      <c r="N533" s="541">
        <f>'SVF1'!AN531</f>
        <v>0.171618509</v>
      </c>
      <c r="O533" s="541">
        <f>'SVF1'!AO531</f>
        <v>0.99045700000000003</v>
      </c>
      <c r="P533" s="541">
        <f>'SVF1'!AP531</f>
        <v>2.6181209999999999</v>
      </c>
      <c r="Q533" s="541">
        <f>'SVF1'!AQ531</f>
        <v>4.5712640000000002</v>
      </c>
      <c r="R533" s="541">
        <f>'SVF1'!AR531</f>
        <v>6.3102819999999999</v>
      </c>
      <c r="S533" s="541">
        <f>'SVF1'!AS531</f>
        <v>8.2033666000000007</v>
      </c>
      <c r="T533" s="21"/>
    </row>
    <row r="534" spans="10:20">
      <c r="J534" s="1" t="s">
        <v>192</v>
      </c>
      <c r="N534" s="541">
        <f>'SVF1'!AN532</f>
        <v>8.7333175499955173E-2</v>
      </c>
      <c r="O534" s="541">
        <f>'SVF1'!AO532</f>
        <v>0.58949893462469738</v>
      </c>
      <c r="P534" s="541">
        <f>'SVF1'!AP532</f>
        <v>1.7390218571428573</v>
      </c>
      <c r="Q534" s="541">
        <f>'SVF1'!AQ532</f>
        <v>3.3041415285714288</v>
      </c>
      <c r="R534" s="541">
        <f>'SVF1'!AR532</f>
        <v>4.6257981399999997</v>
      </c>
      <c r="S534" s="541">
        <f>'SVF1'!AS532</f>
        <v>6.0135375819999997</v>
      </c>
      <c r="T534" s="21"/>
    </row>
    <row r="536" spans="10:20">
      <c r="J536" s="1" t="s">
        <v>1117</v>
      </c>
      <c r="N536" s="541">
        <f>'SVF1'!AN559</f>
        <v>2.1682423721529869</v>
      </c>
      <c r="O536" s="541">
        <f>'SVF1'!AO559</f>
        <v>13.966480446927374</v>
      </c>
      <c r="P536" s="541">
        <f>'SVF1'!AP559</f>
        <v>25</v>
      </c>
      <c r="Q536" s="541">
        <f>'SVF1'!AQ559</f>
        <v>40</v>
      </c>
      <c r="R536" s="541">
        <f>'SVF1'!AR559</f>
        <v>53.216666666666669</v>
      </c>
      <c r="S536" s="541">
        <f>'SVF1'!AS559</f>
        <v>67.489583333333329</v>
      </c>
    </row>
    <row r="557" spans="10:12">
      <c r="J557" s="3" t="s">
        <v>3147</v>
      </c>
    </row>
    <row r="559" spans="10:12">
      <c r="J559" s="1" t="s">
        <v>3148</v>
      </c>
      <c r="L559" s="167">
        <v>12</v>
      </c>
    </row>
    <row r="560" spans="10:12">
      <c r="J560" s="1" t="s">
        <v>3149</v>
      </c>
      <c r="L560" s="167">
        <v>15.4</v>
      </c>
    </row>
    <row r="561" spans="10:12">
      <c r="J561" s="1" t="s">
        <v>3150</v>
      </c>
      <c r="L561" s="167">
        <v>7.8</v>
      </c>
    </row>
    <row r="562" spans="10:12">
      <c r="J562" s="1" t="s">
        <v>1079</v>
      </c>
      <c r="L562" s="167">
        <v>6.2</v>
      </c>
    </row>
    <row r="564" spans="10:12">
      <c r="J564" s="3" t="s">
        <v>3153</v>
      </c>
    </row>
    <row r="566" spans="10:12">
      <c r="K566" s="239" t="s">
        <v>83</v>
      </c>
      <c r="L566" s="239" t="s">
        <v>3156</v>
      </c>
    </row>
    <row r="567" spans="10:12">
      <c r="J567" s="1" t="s">
        <v>3154</v>
      </c>
      <c r="K567" s="794">
        <f>'SVF2'!$AU$148/1000</f>
        <v>0.8</v>
      </c>
      <c r="L567" s="606">
        <v>5.75</v>
      </c>
    </row>
    <row r="568" spans="10:12">
      <c r="J568" s="1" t="s">
        <v>3155</v>
      </c>
      <c r="K568" s="794">
        <f>'SVF2'!$AY$148/1000</f>
        <v>0.8</v>
      </c>
      <c r="L568" s="606">
        <v>8</v>
      </c>
    </row>
    <row r="575" spans="10:12">
      <c r="J575" s="3" t="s">
        <v>3161</v>
      </c>
    </row>
    <row r="577" spans="10:12">
      <c r="J577" s="1" t="s">
        <v>3162</v>
      </c>
      <c r="L577" s="794">
        <f>'TopCo Gross cash table'!$L$31/1000</f>
        <v>17.059999999999995</v>
      </c>
    </row>
    <row r="578" spans="10:12">
      <c r="J578" s="1" t="s">
        <v>3164</v>
      </c>
      <c r="L578" s="794">
        <f>SUM('Valuation &amp; SBG NAV'!$BO$62:$BO$63)</f>
        <v>3.4577600000000013</v>
      </c>
    </row>
    <row r="579" spans="10:12">
      <c r="J579" s="1" t="s">
        <v>3348</v>
      </c>
      <c r="L579" s="606">
        <f>20-13.5</f>
        <v>6.5</v>
      </c>
    </row>
    <row r="580" spans="10:12">
      <c r="J580" s="1" t="s">
        <v>2394</v>
      </c>
      <c r="L580" s="794">
        <f>54%*'SVF1'!$AZ$52/1000</f>
        <v>2.9727000000000001</v>
      </c>
    </row>
    <row r="581" spans="10:12">
      <c r="J581" s="1" t="s">
        <v>2395</v>
      </c>
      <c r="L581" s="794">
        <f>54%*'SVF1'!$AZ$53/1000</f>
        <v>2.2949999999999999</v>
      </c>
    </row>
    <row r="582" spans="10:12">
      <c r="J582" s="1" t="s">
        <v>3163</v>
      </c>
      <c r="L582" s="606">
        <f>-(7.5+6.5)</f>
        <v>-14</v>
      </c>
    </row>
    <row r="583" spans="10:12">
      <c r="J583" s="1" t="s">
        <v>2726</v>
      </c>
      <c r="L583" s="606">
        <f>-11.8%*100</f>
        <v>-11.8</v>
      </c>
    </row>
    <row r="584" spans="10:12">
      <c r="J584" s="1" t="s">
        <v>3168</v>
      </c>
      <c r="L584" s="606">
        <v>-5.375</v>
      </c>
    </row>
    <row r="585" spans="10:12">
      <c r="J585" s="1" t="s">
        <v>3347</v>
      </c>
      <c r="L585" s="606">
        <v>-2.9</v>
      </c>
    </row>
    <row r="586" spans="10:12">
      <c r="J586" s="1" t="s">
        <v>2750</v>
      </c>
      <c r="L586" s="606">
        <f>-MROUND(50%*(7+('TopCo Gross cash table'!$L$25/1000)), 0.5)</f>
        <v>-2</v>
      </c>
    </row>
    <row r="587" spans="10:12">
      <c r="J587" s="1" t="s">
        <v>3166</v>
      </c>
      <c r="L587" s="541">
        <f>SUM(L577:L586)</f>
        <v>-3.7895400000000072</v>
      </c>
    </row>
    <row r="588" spans="10:12">
      <c r="J588" s="1" t="s">
        <v>3167</v>
      </c>
      <c r="L588" s="606">
        <v>-6.5</v>
      </c>
    </row>
    <row r="589" spans="10:12">
      <c r="J589" s="1" t="s">
        <v>3169</v>
      </c>
      <c r="L589" s="541">
        <f>SUM(L587:L588)</f>
        <v>-10.289540000000008</v>
      </c>
    </row>
    <row r="594" spans="10:28">
      <c r="M594" s="706" t="s">
        <v>3350</v>
      </c>
    </row>
    <row r="596" spans="10:28" s="12" customFormat="1">
      <c r="J596" s="13" t="s">
        <v>3516</v>
      </c>
    </row>
    <row r="598" spans="10:28">
      <c r="M598" s="297" t="s">
        <v>131</v>
      </c>
      <c r="N598" s="297" t="s">
        <v>2426</v>
      </c>
      <c r="O598" s="297"/>
      <c r="P598" s="297" t="s">
        <v>700</v>
      </c>
      <c r="Q598" s="297" t="s">
        <v>701</v>
      </c>
      <c r="R598" s="297" t="s">
        <v>702</v>
      </c>
      <c r="S598" s="297" t="s">
        <v>3517</v>
      </c>
      <c r="T598" s="297"/>
      <c r="U598" s="297" t="s">
        <v>1177</v>
      </c>
      <c r="V598" s="297" t="s">
        <v>1178</v>
      </c>
      <c r="W598" s="297" t="s">
        <v>1179</v>
      </c>
      <c r="X598" s="297" t="s">
        <v>3518</v>
      </c>
      <c r="Y598" s="297"/>
      <c r="Z598" s="297" t="s">
        <v>3519</v>
      </c>
      <c r="AA598" s="297" t="s">
        <v>3520</v>
      </c>
      <c r="AB598" s="297" t="s">
        <v>3521</v>
      </c>
    </row>
    <row r="600" spans="10:28">
      <c r="J600" s="1" t="s">
        <v>3523</v>
      </c>
      <c r="M600" s="24">
        <f>'Valuation &amp; SBG NAV'!BD159</f>
        <v>69.280547133892682</v>
      </c>
      <c r="N600" s="24">
        <f>'Valuation &amp; SBG NAV'!BE159</f>
        <v>115.26200383065849</v>
      </c>
      <c r="P600" s="24">
        <f>'Valuation &amp; SBG NAV'!BG159</f>
        <v>150.92717452039489</v>
      </c>
      <c r="Q600" s="24">
        <f>'Valuation &amp; SBG NAV'!BH159</f>
        <v>131.93559167659217</v>
      </c>
      <c r="R600" s="24">
        <f>'Valuation &amp; SBG NAV'!BI159</f>
        <v>113.79581489442407</v>
      </c>
      <c r="S600" s="24">
        <f>'Valuation &amp; SBG NAV'!BJ159</f>
        <v>98.493017656500797</v>
      </c>
      <c r="U600" s="24">
        <f>'Valuation &amp; SBG NAV'!BL159</f>
        <v>149.1642704233133</v>
      </c>
      <c r="V600" s="24">
        <f>'Valuation &amp; SBG NAV'!BM159</f>
        <v>130.54943578721119</v>
      </c>
      <c r="W600" s="24">
        <f>'Valuation &amp; SBG NAV'!BN159</f>
        <v>100.8616504854369</v>
      </c>
      <c r="X600" s="24">
        <f>'Valuation &amp; SBG NAV'!BO159</f>
        <v>117.40523523923699</v>
      </c>
      <c r="Z600" s="24">
        <f>'Valuation &amp; SBG NAV'!BQ159</f>
        <v>117.40523523923699</v>
      </c>
      <c r="AA600" s="24">
        <f>'Valuation &amp; SBG NAV'!BR159</f>
        <v>117.40523523923699</v>
      </c>
      <c r="AB600" s="24">
        <f>'Valuation &amp; SBG NAV'!BS159</f>
        <v>117.40523523923699</v>
      </c>
    </row>
    <row r="601" spans="10:28">
      <c r="J601" s="1" t="s">
        <v>3322</v>
      </c>
      <c r="M601" s="24">
        <f>'Valuation &amp; SBG NAV'!BD152</f>
        <v>0</v>
      </c>
      <c r="N601" s="24">
        <f>'Valuation &amp; SBG NAV'!BE152</f>
        <v>0</v>
      </c>
      <c r="P601" s="24">
        <f>'Valuation &amp; SBG NAV'!BG152</f>
        <v>0</v>
      </c>
      <c r="Q601" s="24">
        <f>'Valuation &amp; SBG NAV'!BH152</f>
        <v>0.5</v>
      </c>
      <c r="R601" s="24">
        <f>'Valuation &amp; SBG NAV'!BI152</f>
        <v>0.5</v>
      </c>
      <c r="S601" s="24">
        <f>'Valuation &amp; SBG NAV'!BJ152</f>
        <v>3.2929936305732488</v>
      </c>
      <c r="U601" s="24">
        <f>'Valuation &amp; SBG NAV'!BL152</f>
        <v>10.792993630573248</v>
      </c>
      <c r="V601" s="24">
        <f>'Valuation &amp; SBG NAV'!BM152</f>
        <v>24.7</v>
      </c>
      <c r="W601" s="24">
        <f>'Valuation &amp; SBG NAV'!BN152</f>
        <v>54.4</v>
      </c>
      <c r="X601" s="24">
        <f>'Valuation &amp; SBG NAV'!BO152</f>
        <v>54.4</v>
      </c>
      <c r="Z601" s="24">
        <f>'Valuation &amp; SBG NAV'!BQ152</f>
        <v>85.474999999999994</v>
      </c>
      <c r="AA601" s="24">
        <f>'Valuation &amp; SBG NAV'!BR152</f>
        <v>97.45</v>
      </c>
      <c r="AB601" s="24">
        <f>'Valuation &amp; SBG NAV'!BS152</f>
        <v>109.425</v>
      </c>
    </row>
    <row r="602" spans="10:28">
      <c r="J602" s="9" t="s">
        <v>3522</v>
      </c>
      <c r="K602" s="9"/>
      <c r="L602" s="9"/>
      <c r="M602" s="30">
        <f>'Valuation &amp; SBG NAV'!BD161</f>
        <v>186.90049354861452</v>
      </c>
      <c r="N602" s="30">
        <f>'Valuation &amp; SBG NAV'!BE161</f>
        <v>233.85254606697049</v>
      </c>
      <c r="O602" s="9"/>
      <c r="P602" s="30">
        <f>'Valuation &amp; SBG NAV'!BG161</f>
        <v>268.47826410877258</v>
      </c>
      <c r="Q602" s="30">
        <f>'Valuation &amp; SBG NAV'!BH161</f>
        <v>258.97182792685493</v>
      </c>
      <c r="R602" s="30">
        <f>'Valuation &amp; SBG NAV'!BI161</f>
        <v>238.89503729927929</v>
      </c>
      <c r="S602" s="30">
        <f>'Valuation &amp; SBG NAV'!BJ161</f>
        <v>233.4358012306046</v>
      </c>
      <c r="T602" s="9"/>
      <c r="U602" s="30">
        <f>'Valuation &amp; SBG NAV'!BL161</f>
        <v>292.86164629514536</v>
      </c>
      <c r="V602" s="30">
        <f>'Valuation &amp; SBG NAV'!BM161</f>
        <v>285.86973401397097</v>
      </c>
      <c r="W602" s="30">
        <f>'Valuation &amp; SBG NAV'!BN161</f>
        <v>281.7553078691875</v>
      </c>
      <c r="X602" s="30">
        <f>'Valuation &amp; SBG NAV'!BO161</f>
        <v>296.46022396008527</v>
      </c>
      <c r="Y602" s="9"/>
      <c r="Z602" s="30">
        <f>'Valuation &amp; SBG NAV'!BQ161</f>
        <v>322.30998651942969</v>
      </c>
      <c r="AA602" s="30">
        <f>'Valuation &amp; SBG NAV'!BR161</f>
        <v>337.74785916333326</v>
      </c>
      <c r="AB602" s="30">
        <f>'Valuation &amp; SBG NAV'!BS161</f>
        <v>350.65008462150013</v>
      </c>
    </row>
    <row r="604" spans="10:28">
      <c r="J604" s="1" t="s">
        <v>3531</v>
      </c>
      <c r="M604" s="16">
        <f>M600/M$602</f>
        <v>0.37068145631125465</v>
      </c>
      <c r="N604" s="16">
        <f>N600/N$602</f>
        <v>0.49288325386737442</v>
      </c>
      <c r="P604" s="16">
        <f t="shared" ref="P604:S605" si="16">P600/P$602</f>
        <v>0.56215789021657081</v>
      </c>
      <c r="Q604" s="16">
        <f t="shared" si="16"/>
        <v>0.5094592440142045</v>
      </c>
      <c r="R604" s="16">
        <f t="shared" si="16"/>
        <v>0.47634231410117023</v>
      </c>
      <c r="S604" s="16">
        <f t="shared" si="16"/>
        <v>0.42192764407719252</v>
      </c>
      <c r="U604" s="16">
        <f t="shared" ref="U604:X605" si="17">U600/U$602</f>
        <v>0.50933357887698905</v>
      </c>
      <c r="V604" s="16">
        <f t="shared" si="17"/>
        <v>0.45667456276022211</v>
      </c>
      <c r="W604" s="16">
        <f t="shared" si="17"/>
        <v>0.35797604399440325</v>
      </c>
      <c r="X604" s="16">
        <f t="shared" si="17"/>
        <v>0.39602356657142701</v>
      </c>
      <c r="Z604" s="16">
        <f t="shared" ref="Z604:AB605" si="18">Z600/Z$602</f>
        <v>0.3642618601647315</v>
      </c>
      <c r="AA604" s="16">
        <f t="shared" si="18"/>
        <v>0.34761207822330081</v>
      </c>
      <c r="AB604" s="16">
        <f t="shared" si="18"/>
        <v>0.33482163669222248</v>
      </c>
    </row>
    <row r="605" spans="10:28">
      <c r="J605" s="1" t="s">
        <v>3532</v>
      </c>
      <c r="M605" s="16">
        <f>M601/M$602</f>
        <v>0</v>
      </c>
      <c r="N605" s="16">
        <f>N601/N$602</f>
        <v>0</v>
      </c>
      <c r="P605" s="16">
        <f t="shared" si="16"/>
        <v>0</v>
      </c>
      <c r="Q605" s="16">
        <f t="shared" si="16"/>
        <v>1.9307119388338335E-3</v>
      </c>
      <c r="R605" s="16">
        <f t="shared" si="16"/>
        <v>2.092969387947635E-3</v>
      </c>
      <c r="S605" s="16">
        <f t="shared" si="16"/>
        <v>1.4106634942941738E-2</v>
      </c>
      <c r="U605" s="16">
        <f t="shared" si="17"/>
        <v>3.6853557873181154E-2</v>
      </c>
      <c r="V605" s="16">
        <f t="shared" si="17"/>
        <v>8.6402990806969671E-2</v>
      </c>
      <c r="W605" s="16">
        <f t="shared" si="17"/>
        <v>0.19307533338557961</v>
      </c>
      <c r="X605" s="16">
        <f t="shared" si="17"/>
        <v>0.18349847839055902</v>
      </c>
      <c r="Z605" s="16">
        <f t="shared" si="18"/>
        <v>0.26519500969557247</v>
      </c>
      <c r="AA605" s="16">
        <f t="shared" si="18"/>
        <v>0.28852884587159927</v>
      </c>
      <c r="AB605" s="16">
        <f t="shared" si="18"/>
        <v>0.31206323568441713</v>
      </c>
    </row>
    <row r="606" spans="10:28">
      <c r="J606" s="9" t="s">
        <v>2292</v>
      </c>
      <c r="K606" s="9"/>
      <c r="L606" s="9"/>
      <c r="M606" s="17">
        <f>'Valuation &amp; SBG NAV'!BD77</f>
        <v>0.1141804788213628</v>
      </c>
      <c r="N606" s="17">
        <f>'Valuation &amp; SBG NAV'!BE77</f>
        <v>8.4377059986816064E-2</v>
      </c>
      <c r="O606" s="9"/>
      <c r="P606" s="17">
        <f>'Valuation &amp; SBG NAV'!BG77</f>
        <v>7.8149503397804479E-2</v>
      </c>
      <c r="Q606" s="17">
        <f>'Valuation &amp; SBG NAV'!BH77</f>
        <v>0.12462281231140612</v>
      </c>
      <c r="R606" s="17">
        <f>'Valuation &amp; SBG NAV'!BI77</f>
        <v>0.12860112860112857</v>
      </c>
      <c r="S606" s="17">
        <f>'Valuation &amp; SBG NAV'!BJ77</f>
        <v>0.18074593560726812</v>
      </c>
      <c r="T606" s="9"/>
      <c r="U606" s="17">
        <f>'Valuation &amp; SBG NAV'!BL77</f>
        <v>0.17008196721311478</v>
      </c>
      <c r="V606" s="17">
        <f>'Valuation &amp; SBG NAV'!BM77</f>
        <v>0.16457601605619671</v>
      </c>
      <c r="W606" s="17">
        <f>'Valuation &amp; SBG NAV'!BN77</f>
        <v>0.20625962031811182</v>
      </c>
      <c r="X606" s="17">
        <f>'Valuation &amp; SBG NAV'!BO77</f>
        <v>0.19393652767947336</v>
      </c>
      <c r="Y606" s="9"/>
      <c r="Z606" s="17">
        <f>'Valuation &amp; SBG NAV'!BQ77</f>
        <v>0.19402876268766472</v>
      </c>
      <c r="AA606" s="17">
        <f>'Valuation &amp; SBG NAV'!BR77</f>
        <v>0.2240214110404134</v>
      </c>
      <c r="AB606" s="17">
        <f>'Valuation &amp; SBG NAV'!BS77</f>
        <v>0.25264093371653451</v>
      </c>
    </row>
    <row r="626" spans="10:29">
      <c r="M626" s="297" t="s">
        <v>131</v>
      </c>
      <c r="N626" s="297" t="s">
        <v>2426</v>
      </c>
      <c r="O626" s="297"/>
      <c r="P626" s="297" t="s">
        <v>700</v>
      </c>
      <c r="Q626" s="297" t="s">
        <v>701</v>
      </c>
      <c r="R626" s="297" t="s">
        <v>702</v>
      </c>
      <c r="S626" s="297" t="s">
        <v>3517</v>
      </c>
      <c r="T626" s="297"/>
      <c r="U626" s="297" t="s">
        <v>1177</v>
      </c>
      <c r="V626" s="297" t="s">
        <v>1178</v>
      </c>
      <c r="W626" s="297" t="s">
        <v>1179</v>
      </c>
      <c r="X626" s="297" t="s">
        <v>3518</v>
      </c>
      <c r="Y626" s="297"/>
      <c r="Z626" s="297" t="s">
        <v>3519</v>
      </c>
      <c r="AA626" s="297" t="s">
        <v>3520</v>
      </c>
      <c r="AB626" s="297" t="s">
        <v>3521</v>
      </c>
      <c r="AC626" s="297" t="s">
        <v>3568</v>
      </c>
    </row>
    <row r="627" spans="10:29">
      <c r="J627" s="1" t="s">
        <v>3526</v>
      </c>
      <c r="M627" s="103"/>
      <c r="N627" s="103"/>
      <c r="O627" s="103"/>
      <c r="P627" s="103"/>
      <c r="Q627" s="103">
        <f>'SVF2'!AS143/1000</f>
        <v>0.5</v>
      </c>
      <c r="R627" s="103">
        <f>'SVF2'!AT143/1000</f>
        <v>0.5</v>
      </c>
      <c r="S627" s="103">
        <f>'SVF2'!AU143/1000</f>
        <v>3.2929936305732488</v>
      </c>
      <c r="T627" s="103"/>
      <c r="U627" s="103">
        <f>'SVF2'!AW143/1000</f>
        <v>10.792993630573248</v>
      </c>
      <c r="V627" s="103">
        <f>'SVF2'!AX143/1000</f>
        <v>24.7</v>
      </c>
      <c r="W627" s="103">
        <f>'SVF2'!AY143/1000</f>
        <v>54.4</v>
      </c>
      <c r="X627" s="103">
        <f>'SVF2'!AZ143/1000</f>
        <v>54.4</v>
      </c>
      <c r="Y627" s="103"/>
      <c r="Z627" s="103">
        <f>'SVF2'!BB143/1000</f>
        <v>85.474999999999994</v>
      </c>
      <c r="AA627" s="103">
        <f>'SVF2'!BC143/1000</f>
        <v>97.45</v>
      </c>
      <c r="AB627" s="103">
        <f>'SVF2'!BD143/1000</f>
        <v>109.425</v>
      </c>
      <c r="AC627" s="103">
        <f>'SVF2'!BE143/1000</f>
        <v>109.425</v>
      </c>
    </row>
    <row r="628" spans="10:29">
      <c r="J628" s="1" t="s">
        <v>3527</v>
      </c>
      <c r="M628" s="103"/>
      <c r="N628" s="103"/>
      <c r="O628" s="103"/>
      <c r="P628" s="103"/>
      <c r="Q628" s="103">
        <f>'SVF2'!AS162/1000</f>
        <v>0.5</v>
      </c>
      <c r="R628" s="103">
        <f>'SVF2'!AT162/1000</f>
        <v>0.5</v>
      </c>
      <c r="S628" s="103">
        <f>'SVF2'!AU162/1000</f>
        <v>2.2000000000000002</v>
      </c>
      <c r="T628" s="103"/>
      <c r="U628" s="103">
        <f>'SVF2'!AW162/1000</f>
        <v>9.6999999999999993</v>
      </c>
      <c r="V628" s="103">
        <f>'SVF2'!AX162/1000</f>
        <v>12.6</v>
      </c>
      <c r="W628" s="1162">
        <f>'SVF2'!AY162/1000-1.8</f>
        <v>34.75</v>
      </c>
      <c r="X628" s="1162">
        <f>'SVF2'!AZ162/1000-1.8</f>
        <v>34.75</v>
      </c>
      <c r="Y628" s="103"/>
      <c r="Z628" s="1162">
        <f>'SVF2'!BB162/1000-1.8</f>
        <v>44.75</v>
      </c>
      <c r="AA628" s="1162">
        <f>'SVF2'!BC162/1000-1.8</f>
        <v>54.75</v>
      </c>
      <c r="AB628" s="1162">
        <f>'SVF2'!BD162/1000-1.8</f>
        <v>64.75</v>
      </c>
      <c r="AC628" s="1162">
        <f>'SVF2'!BE162/1000-1.8</f>
        <v>64.75</v>
      </c>
    </row>
    <row r="629" spans="10:29">
      <c r="W629" s="678" t="s">
        <v>3525</v>
      </c>
    </row>
    <row r="630" spans="10:29">
      <c r="J630" s="1" t="s">
        <v>3528</v>
      </c>
      <c r="Q630" s="103">
        <f>Q627</f>
        <v>0.5</v>
      </c>
      <c r="R630" s="103">
        <f t="shared" ref="R630:X630" si="19">R627</f>
        <v>0.5</v>
      </c>
      <c r="S630" s="103">
        <f t="shared" si="19"/>
        <v>3.2929936305732488</v>
      </c>
      <c r="U630" s="103">
        <f t="shared" si="19"/>
        <v>10.792993630573248</v>
      </c>
      <c r="V630" s="103">
        <f t="shared" si="19"/>
        <v>24.7</v>
      </c>
      <c r="W630" s="103">
        <f t="shared" si="19"/>
        <v>54.4</v>
      </c>
      <c r="X630" s="103">
        <f t="shared" si="19"/>
        <v>54.4</v>
      </c>
      <c r="Z630" s="103">
        <f>Z627-10</f>
        <v>75.474999999999994</v>
      </c>
      <c r="AA630" s="103">
        <f>AA627-20</f>
        <v>77.45</v>
      </c>
      <c r="AB630" s="103">
        <f>AB627-30</f>
        <v>79.424999999999997</v>
      </c>
      <c r="AC630" s="103">
        <f>AC627-30</f>
        <v>79.424999999999997</v>
      </c>
    </row>
    <row r="631" spans="10:29">
      <c r="J631" s="1" t="s">
        <v>3533</v>
      </c>
      <c r="Z631" s="103">
        <f>Z627-Z630</f>
        <v>10</v>
      </c>
      <c r="AA631" s="103">
        <f>AA627-AA630</f>
        <v>20</v>
      </c>
      <c r="AB631" s="103">
        <f>AB627-AB630</f>
        <v>30</v>
      </c>
      <c r="AC631" s="103">
        <f>AC627-AC630</f>
        <v>30</v>
      </c>
    </row>
    <row r="651" spans="10:28">
      <c r="M651" s="297" t="s">
        <v>131</v>
      </c>
      <c r="N651" s="297" t="s">
        <v>2426</v>
      </c>
      <c r="O651" s="297"/>
      <c r="P651" s="297" t="s">
        <v>700</v>
      </c>
      <c r="Q651" s="297" t="s">
        <v>701</v>
      </c>
      <c r="R651" s="297" t="s">
        <v>702</v>
      </c>
      <c r="S651" s="297" t="s">
        <v>3517</v>
      </c>
      <c r="T651" s="297"/>
      <c r="U651" s="297" t="s">
        <v>1177</v>
      </c>
      <c r="V651" s="297" t="s">
        <v>1178</v>
      </c>
      <c r="W651" s="297" t="s">
        <v>1179</v>
      </c>
      <c r="X651" s="297" t="s">
        <v>3518</v>
      </c>
      <c r="Y651" s="297"/>
      <c r="Z651" s="297" t="s">
        <v>3519</v>
      </c>
      <c r="AA651" s="297" t="s">
        <v>3520</v>
      </c>
      <c r="AB651" s="297" t="s">
        <v>3521</v>
      </c>
    </row>
    <row r="652" spans="10:28">
      <c r="J652" s="1" t="s">
        <v>3529</v>
      </c>
      <c r="M652" s="103"/>
      <c r="N652" s="103">
        <f>'Net debt &amp; LTV'!AP355</f>
        <v>175.49645597828768</v>
      </c>
      <c r="O652" s="103"/>
      <c r="P652" s="103">
        <f>'Net debt &amp; LTV'!AR355</f>
        <v>211.46410040135942</v>
      </c>
      <c r="Q652" s="103">
        <f>'Net debt &amp; LTV'!AS355</f>
        <v>198.70860519170864</v>
      </c>
      <c r="R652" s="103">
        <f>'Net debt &amp; LTV'!AT355</f>
        <v>180.68187904822094</v>
      </c>
      <c r="S652" s="103">
        <f>'Net debt &amp; LTV'!AU355</f>
        <v>173.02506863925771</v>
      </c>
      <c r="T652" s="103"/>
      <c r="U652" s="103">
        <f>'Net debt &amp; LTV'!AW355</f>
        <v>222.17454681787697</v>
      </c>
      <c r="V652" s="103">
        <f>'Net debt &amp; LTV'!AX355</f>
        <v>200.24921864687985</v>
      </c>
      <c r="W652" s="103">
        <f>'Net debt &amp; LTV'!AY355</f>
        <v>156.45122929096814</v>
      </c>
      <c r="X652" s="103">
        <f>'Net debt &amp; LTV'!AZ355</f>
        <v>173.2485930106094</v>
      </c>
      <c r="Y652" s="103"/>
      <c r="Z652" s="103">
        <f>'Net debt &amp; LTV'!BB355</f>
        <v>169.81335556995379</v>
      </c>
      <c r="AA652" s="103">
        <f>'Net debt &amp; LTV'!BC355</f>
        <v>169.84122821385733</v>
      </c>
      <c r="AB652" s="103">
        <f>'Net debt &amp; LTV'!BD355</f>
        <v>169.85945367202419</v>
      </c>
    </row>
    <row r="653" spans="10:28">
      <c r="J653" s="1" t="s">
        <v>3530</v>
      </c>
      <c r="M653" s="103"/>
      <c r="N653" s="103">
        <f>'Net debt &amp; LTV'!AP356</f>
        <v>58.356090088682805</v>
      </c>
      <c r="O653" s="103"/>
      <c r="P653" s="103">
        <f>'Net debt &amp; LTV'!AR356</f>
        <v>57.014163707413161</v>
      </c>
      <c r="Q653" s="103">
        <f>'Net debt &amp; LTV'!AS356</f>
        <v>60.263222735146286</v>
      </c>
      <c r="R653" s="103">
        <f>'Net debt &amp; LTV'!AT356</f>
        <v>58.21315825105836</v>
      </c>
      <c r="S653" s="103">
        <f>'Net debt &amp; LTV'!AU356</f>
        <v>60.410732591346886</v>
      </c>
      <c r="T653" s="103"/>
      <c r="U653" s="103">
        <f>'Net debt &amp; LTV'!AW356</f>
        <v>70.68709947726839</v>
      </c>
      <c r="V653" s="103">
        <f>'Net debt &amp; LTV'!AX356</f>
        <v>85.620515367091116</v>
      </c>
      <c r="W653" s="103">
        <f>'Net debt &amp; LTV'!AY356</f>
        <v>125.30407857821936</v>
      </c>
      <c r="X653" s="103">
        <f>'Net debt &amp; LTV'!AZ356</f>
        <v>123.21163094947588</v>
      </c>
      <c r="Y653" s="103"/>
      <c r="Z653" s="103">
        <f>'Net debt &amp; LTV'!BB356</f>
        <v>152.4966309494759</v>
      </c>
      <c r="AA653" s="103">
        <f>'Net debt &amp; LTV'!BC356</f>
        <v>167.90663094947593</v>
      </c>
      <c r="AB653" s="103">
        <f>'Net debt &amp; LTV'!BD356</f>
        <v>180.79063094947594</v>
      </c>
    </row>
    <row r="674" spans="10:29">
      <c r="P674" s="297" t="s">
        <v>686</v>
      </c>
      <c r="Q674" s="297" t="s">
        <v>695</v>
      </c>
      <c r="R674" s="297" t="s">
        <v>696</v>
      </c>
      <c r="S674" s="297" t="s">
        <v>697</v>
      </c>
      <c r="T674" s="64"/>
      <c r="U674" s="297" t="s">
        <v>1172</v>
      </c>
      <c r="V674" s="297" t="s">
        <v>1173</v>
      </c>
      <c r="W674" s="297" t="s">
        <v>1174</v>
      </c>
      <c r="X674" s="297" t="s">
        <v>1460</v>
      </c>
      <c r="Y674" s="64"/>
      <c r="Z674" s="297" t="s">
        <v>1462</v>
      </c>
      <c r="AA674" s="297" t="s">
        <v>1463</v>
      </c>
      <c r="AB674" s="297" t="s">
        <v>1464</v>
      </c>
      <c r="AC674" s="297" t="s">
        <v>1465</v>
      </c>
    </row>
    <row r="675" spans="10:29">
      <c r="J675" s="1" t="s">
        <v>3555</v>
      </c>
      <c r="P675" s="103">
        <f>'SVF Segment'!AR347/1000</f>
        <v>0.81</v>
      </c>
      <c r="Q675" s="103">
        <f>'SVF Segment'!AS347/1000</f>
        <v>0.96</v>
      </c>
      <c r="R675" s="103">
        <f>'SVF Segment'!AT347/1000</f>
        <v>0.75</v>
      </c>
      <c r="S675" s="103">
        <f>'SVF Segment'!AU347/1000</f>
        <v>0.71</v>
      </c>
      <c r="T675" s="103"/>
      <c r="U675" s="103">
        <f>'SVF Segment'!AW347/1000</f>
        <v>1.25</v>
      </c>
      <c r="V675" s="103">
        <f>'SVF Segment'!AX347/1000</f>
        <v>1.24</v>
      </c>
      <c r="W675" s="103">
        <f>'SVF Segment'!AY347/1000</f>
        <v>0.42499999999999999</v>
      </c>
      <c r="X675" s="103">
        <f>'TopCo Gross cash table'!K19/1000</f>
        <v>1</v>
      </c>
      <c r="Y675" s="103"/>
      <c r="Z675" s="103">
        <f>'TopCo Gross cash table'!M19/1000</f>
        <v>1.76</v>
      </c>
      <c r="AA675" s="103">
        <f>'TopCo Gross cash table'!N19/1000</f>
        <v>1.74</v>
      </c>
      <c r="AB675" s="103">
        <f>'TopCo Gross cash table'!O19/1000</f>
        <v>1.7250000000000001</v>
      </c>
      <c r="AC675" s="103">
        <f>'TopCo Gross cash table'!P19/1000</f>
        <v>1.7</v>
      </c>
    </row>
    <row r="676" spans="10:29">
      <c r="J676" s="1" t="s">
        <v>3556</v>
      </c>
      <c r="P676" s="103">
        <f>'SVF Segment'!AR352/1000</f>
        <v>0.03</v>
      </c>
      <c r="Q676" s="103">
        <f>'SVF Segment'!AS352/1000</f>
        <v>0.05</v>
      </c>
      <c r="R676" s="103">
        <f>'SVF Segment'!AT352/1000</f>
        <v>0.38</v>
      </c>
      <c r="S676" s="103">
        <f>'SVF Segment'!AU352/1000</f>
        <v>1.66</v>
      </c>
      <c r="T676" s="103"/>
      <c r="U676" s="103">
        <f>'SVF Segment'!AW352/1000</f>
        <v>2.1</v>
      </c>
      <c r="V676" s="103">
        <f>'SVF Segment'!AX352/1000</f>
        <v>0.24</v>
      </c>
      <c r="W676" s="103">
        <f>'SVF Segment'!AY352/1000</f>
        <v>0</v>
      </c>
      <c r="X676" s="103">
        <f>'TopCo Gross cash table'!K20/1000</f>
        <v>0.48</v>
      </c>
      <c r="Y676" s="103"/>
      <c r="Z676" s="103">
        <f>'TopCo Gross cash table'!M20/1000</f>
        <v>0.76</v>
      </c>
      <c r="AA676" s="103">
        <f>'TopCo Gross cash table'!N20/1000</f>
        <v>0.86499999999999999</v>
      </c>
      <c r="AB676" s="103">
        <f>'TopCo Gross cash table'!O20/1000</f>
        <v>0.97499999999999998</v>
      </c>
      <c r="AC676" s="103">
        <f>'TopCo Gross cash table'!P20/1000</f>
        <v>1.01</v>
      </c>
    </row>
    <row r="696" spans="10:44">
      <c r="P696" s="732" t="s">
        <v>3611</v>
      </c>
      <c r="Q696" s="732" t="s">
        <v>3611</v>
      </c>
      <c r="R696" s="732" t="s">
        <v>3612</v>
      </c>
      <c r="S696" s="732" t="s">
        <v>3612</v>
      </c>
      <c r="U696" s="732" t="s">
        <v>3613</v>
      </c>
      <c r="V696" s="732" t="s">
        <v>3613</v>
      </c>
      <c r="W696" s="732" t="s">
        <v>3614</v>
      </c>
      <c r="X696" s="732" t="s">
        <v>3614</v>
      </c>
      <c r="Z696" s="732" t="s">
        <v>3616</v>
      </c>
      <c r="AA696" s="732" t="s">
        <v>3616</v>
      </c>
      <c r="AB696" s="732" t="s">
        <v>3617</v>
      </c>
      <c r="AC696" s="732" t="s">
        <v>3617</v>
      </c>
      <c r="AE696" s="732" t="s">
        <v>3615</v>
      </c>
      <c r="AF696" s="732" t="s">
        <v>3615</v>
      </c>
      <c r="AG696" s="732" t="s">
        <v>3618</v>
      </c>
      <c r="AH696" s="732" t="s">
        <v>3618</v>
      </c>
      <c r="AJ696" s="732" t="s">
        <v>3619</v>
      </c>
      <c r="AK696" s="732" t="s">
        <v>3619</v>
      </c>
      <c r="AL696" s="732" t="s">
        <v>3620</v>
      </c>
      <c r="AM696" s="732" t="s">
        <v>3620</v>
      </c>
      <c r="AO696" s="732" t="s">
        <v>3621</v>
      </c>
      <c r="AP696" s="732" t="s">
        <v>3621</v>
      </c>
      <c r="AQ696" s="732" t="s">
        <v>3622</v>
      </c>
      <c r="AR696" s="732" t="s">
        <v>3622</v>
      </c>
    </row>
    <row r="697" spans="10:44">
      <c r="P697" s="297" t="s">
        <v>74</v>
      </c>
      <c r="Q697" s="297" t="s">
        <v>75</v>
      </c>
      <c r="R697" s="297" t="s">
        <v>76</v>
      </c>
      <c r="S697" s="297" t="s">
        <v>77</v>
      </c>
      <c r="T697" s="64"/>
      <c r="U697" s="297" t="s">
        <v>10</v>
      </c>
      <c r="V697" s="297" t="s">
        <v>11</v>
      </c>
      <c r="W697" s="297" t="s">
        <v>12</v>
      </c>
      <c r="X697" s="297" t="s">
        <v>13</v>
      </c>
      <c r="Y697" s="64"/>
      <c r="Z697" s="297" t="s">
        <v>91</v>
      </c>
      <c r="AA697" s="297" t="s">
        <v>92</v>
      </c>
      <c r="AB697" s="297" t="s">
        <v>93</v>
      </c>
      <c r="AC697" s="297" t="s">
        <v>94</v>
      </c>
      <c r="AD697" s="64"/>
      <c r="AE697" s="297" t="s">
        <v>686</v>
      </c>
      <c r="AF697" s="297" t="s">
        <v>695</v>
      </c>
      <c r="AG697" s="297" t="s">
        <v>696</v>
      </c>
      <c r="AH697" s="297" t="s">
        <v>697</v>
      </c>
      <c r="AI697" s="64"/>
      <c r="AJ697" s="297" t="s">
        <v>1172</v>
      </c>
      <c r="AK697" s="297" t="s">
        <v>1173</v>
      </c>
      <c r="AL697" s="297" t="s">
        <v>1174</v>
      </c>
      <c r="AM697" s="297" t="s">
        <v>1460</v>
      </c>
      <c r="AN697" s="64"/>
      <c r="AO697" s="297" t="s">
        <v>1462</v>
      </c>
      <c r="AP697" s="297" t="s">
        <v>1463</v>
      </c>
      <c r="AQ697" s="297" t="s">
        <v>1464</v>
      </c>
      <c r="AR697" s="297" t="s">
        <v>1465</v>
      </c>
    </row>
    <row r="698" spans="10:44">
      <c r="J698" s="1" t="s">
        <v>3557</v>
      </c>
      <c r="P698" s="103">
        <f>'SVF Segment'!AC924/1000</f>
        <v>0.8977663230240549</v>
      </c>
      <c r="Q698" s="103">
        <f>'SVF Segment'!AD924/1000</f>
        <v>1</v>
      </c>
      <c r="R698" s="103">
        <f>'SVF Segment'!AE924/1000</f>
        <v>4.6455312119631369</v>
      </c>
      <c r="S698" s="103">
        <f>'SVF Segment'!AF924/1000</f>
        <v>5.9771223139145357</v>
      </c>
      <c r="T698" s="103"/>
      <c r="U698" s="103">
        <f>'SVF Segment'!AH924/1000</f>
        <v>5.7991805677494872</v>
      </c>
      <c r="V698" s="103">
        <f>'SVF Segment'!AI924/1000</f>
        <v>5.7698225260686415</v>
      </c>
      <c r="W698" s="103">
        <f>'SVF Segment'!AJ924/1000</f>
        <v>5.7657724189902035</v>
      </c>
      <c r="X698" s="103">
        <f>'SVF Segment'!AK924/1000</f>
        <v>5.7665243765445968</v>
      </c>
      <c r="Y698" s="103"/>
      <c r="Z698" s="103">
        <f>'SVF Segment'!AM924/1000</f>
        <v>5.7196772191185588</v>
      </c>
      <c r="AA698" s="103">
        <f>'SVF Segment'!AN924/1000</f>
        <v>3.6249030619066716</v>
      </c>
      <c r="AB698" s="103">
        <f>'SVF Segment'!AO924/1000</f>
        <v>3.6186772897130361</v>
      </c>
      <c r="AC698" s="103">
        <f>'SVF Segment'!AP924/1000</f>
        <v>3.6186117165312726</v>
      </c>
      <c r="AE698" s="103">
        <f>'SVF Segment'!AR924/1000</f>
        <v>3.6186378593158257</v>
      </c>
      <c r="AF698" s="103">
        <f>'SVF Segment'!AS924/1000</f>
        <v>3.5597421705317736</v>
      </c>
      <c r="AG698" s="103">
        <f>'SVF Segment'!AT924/1000</f>
        <v>3.415065115690985</v>
      </c>
      <c r="AH698" s="103">
        <f>'SVF Segment'!AU924/1000</f>
        <v>3.3523608881754949</v>
      </c>
      <c r="AJ698" s="103">
        <f>'SVF Segment'!AW924/1000</f>
        <v>3.1829086389061527</v>
      </c>
      <c r="AK698" s="103">
        <f>'SVF Segment'!AX924/1000</f>
        <v>4.3463594841483069</v>
      </c>
      <c r="AL698" s="103">
        <f>'SVF Segment'!AY924/1000</f>
        <v>5.331572560040879</v>
      </c>
      <c r="AM698" s="103">
        <f>'SVF Segment'!AZ924/1000</f>
        <v>5.33</v>
      </c>
      <c r="AO698" s="103">
        <f>'SVF Segment'!BB924/1000</f>
        <v>6.83</v>
      </c>
      <c r="AP698" s="103">
        <f>'SVF Segment'!BC924/1000</f>
        <v>8.08</v>
      </c>
      <c r="AQ698" s="103">
        <f>'SVF Segment'!BD924/1000</f>
        <v>9.08</v>
      </c>
      <c r="AR698" s="103">
        <f>'SVF Segment'!BE924/1000</f>
        <v>10.58</v>
      </c>
    </row>
    <row r="699" spans="10:44">
      <c r="J699" s="1" t="s">
        <v>2292</v>
      </c>
      <c r="P699" s="104">
        <f>'SVF Segment'!AC933</f>
        <v>3.685522334301472E-2</v>
      </c>
      <c r="Q699" s="104">
        <f>'SVF Segment'!AD933</f>
        <v>2.6824854212748842E-2</v>
      </c>
      <c r="R699" s="104">
        <f>'SVF Segment'!AE933</f>
        <v>9.434019688789054E-2</v>
      </c>
      <c r="S699" s="104">
        <f>'SVF Segment'!AF933</f>
        <v>0.12072294768702307</v>
      </c>
      <c r="U699" s="104">
        <f>'SVF Segment'!AH933</f>
        <v>0.14275158401625887</v>
      </c>
      <c r="V699" s="104">
        <f>'SVF Segment'!AI933</f>
        <v>0.16065069531788551</v>
      </c>
      <c r="W699" s="104">
        <f>'SVF Segment'!AJ933</f>
        <v>0.16931028960705682</v>
      </c>
      <c r="X699" s="104">
        <f>'SVF Segment'!AK933</f>
        <v>0.17697190311237762</v>
      </c>
      <c r="Z699" s="104">
        <f>'SVF Segment'!AM933</f>
        <v>0.1710636651589133</v>
      </c>
      <c r="AA699" s="104">
        <f>'SVF Segment'!AN933</f>
        <v>0.12114526335164338</v>
      </c>
      <c r="AB699" s="104">
        <f>'SVF Segment'!AO933</f>
        <v>0.11523171886885633</v>
      </c>
      <c r="AC699" s="104">
        <f>'SVF Segment'!AP933</f>
        <v>0.11664761999897316</v>
      </c>
      <c r="AE699" s="104">
        <f>'SVF Segment'!AR933</f>
        <v>0.12429629600548578</v>
      </c>
      <c r="AF699" s="104">
        <f>'SVF Segment'!AS933</f>
        <v>0.11703166617243554</v>
      </c>
      <c r="AG699" s="104">
        <f>'SVF Segment'!AT933</f>
        <v>0.11347301677624548</v>
      </c>
      <c r="AH699" s="104">
        <f>'SVF Segment'!AU933</f>
        <v>0.10841046903063882</v>
      </c>
      <c r="AJ699" s="104">
        <f>'SVF Segment'!AW933</f>
        <v>8.4364831068951471E-2</v>
      </c>
      <c r="AK699" s="104">
        <f>'SVF Segment'!AX933</f>
        <v>9.4143488086295815E-2</v>
      </c>
      <c r="AL699" s="104">
        <f>'SVF Segment'!AY933</f>
        <v>6.3733260532322172E-2</v>
      </c>
      <c r="AM699" s="104">
        <f>'SVF Segment'!AZ933</f>
        <v>6.4393980200447787E-2</v>
      </c>
      <c r="AO699" s="104">
        <f>'SVF Segment'!BB933</f>
        <v>5.9671163300711698E-2</v>
      </c>
      <c r="AP699" s="104">
        <f>'SVF Segment'!BC933</f>
        <v>6.3775437738040092E-2</v>
      </c>
      <c r="AQ699" s="104">
        <f>'SVF Segment'!BD933</f>
        <v>6.5523139869128708E-2</v>
      </c>
      <c r="AR699" s="104">
        <f>'SVF Segment'!BE933</f>
        <v>7.6140566174428381E-2</v>
      </c>
    </row>
  </sheetData>
  <sortState xmlns:xlrd2="http://schemas.microsoft.com/office/spreadsheetml/2017/richdata2" ref="J415:T426">
    <sortCondition descending="1" ref="S415:S426"/>
  </sortState>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5BC3C-45CD-470A-92B5-5B53CD2B3DC1}">
  <dimension ref="A1:W59"/>
  <sheetViews>
    <sheetView zoomScale="90" zoomScaleNormal="90" workbookViewId="0"/>
  </sheetViews>
  <sheetFormatPr defaultColWidth="9.140625" defaultRowHeight="12"/>
  <cols>
    <col min="1" max="1" width="9.140625" style="1"/>
    <col min="2" max="2" width="20" style="1" customWidth="1"/>
    <col min="3" max="3" width="9.140625" style="1"/>
    <col min="4" max="4" width="9.140625" style="1" customWidth="1"/>
    <col min="5" max="5" width="9.140625" style="1"/>
    <col min="6" max="6" width="9.140625" style="1" customWidth="1"/>
    <col min="7" max="7" width="11.42578125" style="1" customWidth="1"/>
    <col min="8" max="8" width="49.7109375" style="1" customWidth="1"/>
    <col min="9" max="10" width="9.140625" style="1"/>
    <col min="11" max="11" width="41.42578125" style="1" customWidth="1"/>
    <col min="12" max="12" width="9.140625" style="26"/>
    <col min="13" max="16384" width="9.140625" style="1"/>
  </cols>
  <sheetData>
    <row r="1" spans="1:23" s="2" customFormat="1">
      <c r="A1" s="2" t="s">
        <v>0</v>
      </c>
      <c r="L1" s="258"/>
    </row>
    <row r="2" spans="1:23" s="2" customFormat="1">
      <c r="A2" s="2" t="s">
        <v>2</v>
      </c>
      <c r="L2" s="258"/>
    </row>
    <row r="4" spans="1:23">
      <c r="B4" s="1" t="s">
        <v>2986</v>
      </c>
      <c r="E4" s="25" t="s">
        <v>3158</v>
      </c>
    </row>
    <row r="5" spans="1:23">
      <c r="E5" s="25"/>
    </row>
    <row r="6" spans="1:23" ht="30" customHeight="1">
      <c r="B6" s="933" t="s">
        <v>2982</v>
      </c>
      <c r="C6" s="934" t="s">
        <v>2987</v>
      </c>
      <c r="D6" s="935" t="s">
        <v>2983</v>
      </c>
      <c r="E6" s="934" t="s">
        <v>3085</v>
      </c>
      <c r="F6" s="934" t="s">
        <v>3573</v>
      </c>
      <c r="G6" s="934" t="s">
        <v>3035</v>
      </c>
      <c r="H6" s="936" t="s">
        <v>3037</v>
      </c>
      <c r="I6" s="934" t="s">
        <v>3095</v>
      </c>
      <c r="J6" s="934" t="s">
        <v>3096</v>
      </c>
      <c r="K6" s="936" t="s">
        <v>3038</v>
      </c>
      <c r="L6" s="26" t="s">
        <v>3598</v>
      </c>
    </row>
    <row r="7" spans="1:23">
      <c r="B7" s="5" t="s">
        <v>2985</v>
      </c>
      <c r="C7" s="239" t="s">
        <v>2988</v>
      </c>
      <c r="D7" s="815">
        <v>0.9</v>
      </c>
      <c r="E7" s="824">
        <v>132</v>
      </c>
      <c r="F7" s="826">
        <f>D7*E7-20</f>
        <v>98.8</v>
      </c>
      <c r="G7" s="554">
        <f>F7/(FP!$D$13/1000)</f>
        <v>0.66303946521805734</v>
      </c>
      <c r="H7" s="1" t="s">
        <v>3097</v>
      </c>
      <c r="I7" s="876">
        <f>MROUND($E$7*(265/FP!$L$5), 5)</f>
        <v>280</v>
      </c>
      <c r="J7" s="826">
        <f>D7*I7-25</f>
        <v>227</v>
      </c>
      <c r="K7" s="1" t="s">
        <v>3603</v>
      </c>
      <c r="L7" s="1183">
        <f>J7-'[63]New SBG Valuation'!J7</f>
        <v>-11.5</v>
      </c>
      <c r="M7" s="678" t="s">
        <v>3102</v>
      </c>
    </row>
    <row r="8" spans="1:23">
      <c r="B8" s="5" t="s">
        <v>3025</v>
      </c>
      <c r="C8" s="239" t="s">
        <v>2990</v>
      </c>
      <c r="D8" s="815">
        <v>1</v>
      </c>
      <c r="E8" s="828">
        <v>6.5</v>
      </c>
      <c r="F8" s="826">
        <f>D8*E8</f>
        <v>6.5</v>
      </c>
      <c r="G8" s="368">
        <f>F8/(FP!$D$13/1000)</f>
        <v>4.3621017448556405E-2</v>
      </c>
      <c r="H8" s="1" t="s">
        <v>3066</v>
      </c>
      <c r="I8" s="828">
        <v>27.5</v>
      </c>
      <c r="J8" s="826">
        <f>D8*I8</f>
        <v>27.5</v>
      </c>
      <c r="K8" s="1" t="s">
        <v>3098</v>
      </c>
      <c r="L8" s="1183">
        <f>J8-'[63]New SBG Valuation'!J8</f>
        <v>0</v>
      </c>
    </row>
    <row r="9" spans="1:23">
      <c r="B9" s="5" t="s">
        <v>3026</v>
      </c>
      <c r="C9" s="239" t="s">
        <v>2990</v>
      </c>
      <c r="D9" s="815">
        <v>1</v>
      </c>
      <c r="E9" s="857">
        <v>0.65</v>
      </c>
      <c r="F9" s="826">
        <f>D9*E9</f>
        <v>0.65</v>
      </c>
      <c r="G9" s="554">
        <f>F9/(FP!$D$13/1000)</f>
        <v>4.36210174485564E-3</v>
      </c>
      <c r="H9" s="1" t="s">
        <v>3067</v>
      </c>
      <c r="I9" s="732" t="s">
        <v>3042</v>
      </c>
      <c r="J9" s="239" t="s">
        <v>3042</v>
      </c>
      <c r="K9" s="1" t="s">
        <v>3086</v>
      </c>
    </row>
    <row r="10" spans="1:23">
      <c r="B10" s="920" t="s">
        <v>3063</v>
      </c>
      <c r="C10" s="921"/>
      <c r="D10" s="922"/>
      <c r="E10" s="923"/>
      <c r="F10" s="924">
        <f>SUM(F7:F9)</f>
        <v>105.95</v>
      </c>
      <c r="G10" s="925">
        <f>F10/(FP!$D$13/1000)</f>
        <v>0.71102258441146937</v>
      </c>
      <c r="H10" s="920"/>
      <c r="I10" s="920"/>
      <c r="J10" s="924">
        <f>SUM(J7:J8)</f>
        <v>254.5</v>
      </c>
      <c r="K10" s="920"/>
      <c r="L10" s="1183">
        <f>J10-'[63]New SBG Valuation'!J10</f>
        <v>-11.5</v>
      </c>
    </row>
    <row r="11" spans="1:23">
      <c r="B11" s="5" t="s">
        <v>2726</v>
      </c>
      <c r="C11" s="239" t="s">
        <v>2990</v>
      </c>
      <c r="D11" s="816">
        <v>0.13250000000000001</v>
      </c>
      <c r="E11" s="824">
        <v>730</v>
      </c>
      <c r="F11" s="828">
        <f>'Valuation &amp; SBG NAV'!$BU$57</f>
        <v>109.425</v>
      </c>
      <c r="G11" s="554">
        <f>F11/(FP!$D$13/1000)</f>
        <v>0.7343430514320437</v>
      </c>
      <c r="H11" s="1" t="s">
        <v>3609</v>
      </c>
      <c r="I11" s="824">
        <f>MROUND(17.5*200, 5)</f>
        <v>3500</v>
      </c>
      <c r="J11" s="830">
        <f>D11*I11-13.25%*76-'OpenAI Valuation table'!$L$79+3*(1.03)^(5)</f>
        <v>409.95441985377721</v>
      </c>
      <c r="K11" s="1" t="s">
        <v>3574</v>
      </c>
      <c r="L11" s="1183">
        <f>J11-'[63]New SBG Valuation'!J11</f>
        <v>73.754419853777222</v>
      </c>
      <c r="M11" s="678" t="s">
        <v>3579</v>
      </c>
    </row>
    <row r="12" spans="1:23">
      <c r="B12" s="5" t="s">
        <v>3347</v>
      </c>
      <c r="C12" s="239" t="s">
        <v>2988</v>
      </c>
      <c r="D12" s="815">
        <v>1</v>
      </c>
      <c r="E12" s="828">
        <v>2.9</v>
      </c>
      <c r="F12" s="826">
        <f>D12*E12</f>
        <v>2.9</v>
      </c>
      <c r="G12" s="368">
        <f>F12/(FP!$D$13/1000)</f>
        <v>1.9461684707817471E-2</v>
      </c>
      <c r="H12" s="1" t="s">
        <v>3610</v>
      </c>
      <c r="I12" s="828">
        <f>E12*(1.1)^(5)</f>
        <v>4.6704790000000012</v>
      </c>
      <c r="J12" s="826">
        <f>D12*I12</f>
        <v>4.6704790000000012</v>
      </c>
      <c r="K12" s="1" t="s">
        <v>3351</v>
      </c>
      <c r="L12" s="1183">
        <f>J12-'[63]New SBG Valuation'!J12</f>
        <v>0</v>
      </c>
      <c r="M12" s="678"/>
    </row>
    <row r="13" spans="1:23">
      <c r="B13" s="165" t="s">
        <v>2750</v>
      </c>
      <c r="C13" s="239" t="s">
        <v>2990</v>
      </c>
      <c r="D13" s="554">
        <v>0.5</v>
      </c>
      <c r="E13" s="824">
        <v>1</v>
      </c>
      <c r="F13" s="826">
        <f>D13*E13</f>
        <v>0.5</v>
      </c>
      <c r="G13" s="554">
        <f>F13/(FP!$D$13/1000)</f>
        <v>3.3554628806581849E-3</v>
      </c>
      <c r="H13" s="1" t="s">
        <v>3576</v>
      </c>
      <c r="I13" s="824">
        <f>85%*20*2*2500*85%/1000</f>
        <v>72.25</v>
      </c>
      <c r="J13" s="830">
        <f>D13*I13-P14-U14-3*2</f>
        <v>27.619321406250002</v>
      </c>
      <c r="K13" s="1" t="s">
        <v>3594</v>
      </c>
      <c r="L13" s="1183">
        <f>J13-'[63]New SBG Valuation'!J13</f>
        <v>-3.8806785937499981</v>
      </c>
      <c r="M13" s="25" t="s">
        <v>3595</v>
      </c>
    </row>
    <row r="14" spans="1:23">
      <c r="B14" s="920" t="s">
        <v>3064</v>
      </c>
      <c r="C14" s="921"/>
      <c r="D14" s="922"/>
      <c r="E14" s="923"/>
      <c r="F14" s="924">
        <f>SUM(F11:F13)</f>
        <v>112.825</v>
      </c>
      <c r="G14" s="925">
        <f>F14/(FP!$D$13/1000)</f>
        <v>0.75716019902051945</v>
      </c>
      <c r="H14" s="920"/>
      <c r="I14" s="920"/>
      <c r="J14" s="926">
        <f>SUM(J11:J13)</f>
        <v>442.24422026002719</v>
      </c>
      <c r="K14" s="920"/>
      <c r="L14" s="1183">
        <f>J14-'[63]New SBG Valuation'!J14</f>
        <v>69.873741260027202</v>
      </c>
      <c r="M14" s="57" t="s">
        <v>3596</v>
      </c>
      <c r="P14" s="1182">
        <f>MROUND(0.8*(1.1)^(5), 0.5)</f>
        <v>1.5</v>
      </c>
      <c r="R14" s="57" t="s">
        <v>3597</v>
      </c>
      <c r="U14" s="1182">
        <f>0.5*(1.15)^(5)</f>
        <v>1.0056785937499997</v>
      </c>
      <c r="W14" s="25" t="s">
        <v>3602</v>
      </c>
    </row>
    <row r="15" spans="1:23">
      <c r="B15" s="1" t="s">
        <v>3065</v>
      </c>
      <c r="C15" s="239"/>
      <c r="D15" s="873"/>
      <c r="E15" s="824"/>
      <c r="F15" s="826">
        <f>F10+F14</f>
        <v>218.77500000000001</v>
      </c>
      <c r="G15" s="853">
        <f>F15/(FP!$D$13/1000)</f>
        <v>1.4681827834319887</v>
      </c>
      <c r="J15" s="826">
        <f>J10+J14</f>
        <v>696.74422026002719</v>
      </c>
      <c r="L15" s="1183">
        <f>J15-'[63]New SBG Valuation'!J15</f>
        <v>58.373741260027259</v>
      </c>
    </row>
    <row r="16" spans="1:23">
      <c r="B16" s="1" t="s">
        <v>3000</v>
      </c>
      <c r="C16" s="239"/>
      <c r="D16" s="873"/>
      <c r="E16" s="824"/>
      <c r="F16" s="874">
        <f>-MROUND('Valuation &amp; SBG NAV'!$BU$71, 0.5)</f>
        <v>-77</v>
      </c>
      <c r="G16" s="853">
        <f>F16/(FP!$D$13/1000)</f>
        <v>-0.5167412836213604</v>
      </c>
      <c r="J16" s="874">
        <f>($F$16)*(1.04)^(5)</f>
        <v>-93.682273484800021</v>
      </c>
      <c r="L16" s="1183">
        <f>J16-'[63]New SBG Valuation'!J16</f>
        <v>-6.921788857295823</v>
      </c>
    </row>
    <row r="17" spans="2:13">
      <c r="B17" s="920" t="s">
        <v>3068</v>
      </c>
      <c r="C17" s="921"/>
      <c r="D17" s="922"/>
      <c r="E17" s="923"/>
      <c r="F17" s="924">
        <f>SUM(F15:F16)</f>
        <v>141.77500000000001</v>
      </c>
      <c r="G17" s="925">
        <f>F17/(FP!$D$13/1000)</f>
        <v>0.95144149981062831</v>
      </c>
      <c r="H17" s="920"/>
      <c r="I17" s="920"/>
      <c r="J17" s="924">
        <f>SUM(J15:J16)</f>
        <v>603.06194677522717</v>
      </c>
      <c r="K17" s="920"/>
      <c r="L17" s="1183">
        <f>J17-'[63]New SBG Valuation'!J17</f>
        <v>51.451952402731422</v>
      </c>
    </row>
    <row r="18" spans="2:13">
      <c r="B18" s="5" t="s">
        <v>3165</v>
      </c>
      <c r="C18" s="239" t="s">
        <v>2990</v>
      </c>
      <c r="D18" s="817">
        <v>0</v>
      </c>
      <c r="E18" s="828">
        <v>5.4</v>
      </c>
      <c r="F18" s="826">
        <f>D18*E18</f>
        <v>0</v>
      </c>
      <c r="G18" s="554">
        <f>F18/(FP!$D$13/1000)</f>
        <v>0</v>
      </c>
      <c r="H18" s="1" t="s">
        <v>3173</v>
      </c>
      <c r="I18" s="828">
        <f>E18*(1.2)^(5)</f>
        <v>13.436928</v>
      </c>
      <c r="J18" s="830">
        <f>I18</f>
        <v>13.436928</v>
      </c>
      <c r="K18" s="1" t="s">
        <v>3174</v>
      </c>
      <c r="L18" s="1183">
        <f>J18-'[63]New SBG Valuation'!J18</f>
        <v>0</v>
      </c>
    </row>
    <row r="19" spans="2:13">
      <c r="B19" s="5" t="s">
        <v>2459</v>
      </c>
      <c r="C19" s="239" t="s">
        <v>2988</v>
      </c>
      <c r="D19" s="817">
        <v>6.8000000000000005E-2</v>
      </c>
      <c r="E19" s="828">
        <v>32.5</v>
      </c>
      <c r="F19" s="826">
        <f>D19*E19</f>
        <v>2.21</v>
      </c>
      <c r="G19" s="554">
        <f>F19/(FP!$D$13/1000)</f>
        <v>1.4831145932509176E-2</v>
      </c>
      <c r="H19" s="1" t="s">
        <v>3004</v>
      </c>
      <c r="I19" s="875">
        <f>MROUND((70/54.5)*E19, 0.25)</f>
        <v>41.75</v>
      </c>
      <c r="J19" s="830">
        <f t="shared" ref="J19:J25" si="0">D19*I19</f>
        <v>2.8390000000000004</v>
      </c>
      <c r="K19" s="1" t="s">
        <v>3087</v>
      </c>
      <c r="L19" s="1183">
        <f>J19-'[63]New SBG Valuation'!J19</f>
        <v>-1.6999999999999904E-2</v>
      </c>
    </row>
    <row r="20" spans="2:13">
      <c r="B20" s="5" t="s">
        <v>3048</v>
      </c>
      <c r="C20" s="239" t="s">
        <v>2990</v>
      </c>
      <c r="D20" s="815">
        <v>0.65</v>
      </c>
      <c r="E20" s="824">
        <v>0</v>
      </c>
      <c r="F20" s="826">
        <f>D20*E20</f>
        <v>0</v>
      </c>
      <c r="G20" s="554">
        <f>F20/(FP!$D$13/1000)</f>
        <v>0</v>
      </c>
      <c r="H20" s="1" t="s">
        <v>1238</v>
      </c>
      <c r="I20" s="875">
        <f>2300*100/35/1000</f>
        <v>6.5714285714285712</v>
      </c>
      <c r="J20" s="830">
        <f t="shared" si="0"/>
        <v>4.2714285714285714</v>
      </c>
      <c r="K20" s="1" t="s">
        <v>3087</v>
      </c>
      <c r="L20" s="1183">
        <f>J20-'[63]New SBG Valuation'!J20</f>
        <v>0</v>
      </c>
    </row>
    <row r="21" spans="2:13">
      <c r="B21" s="5" t="s">
        <v>3047</v>
      </c>
      <c r="C21" s="239" t="s">
        <v>2988</v>
      </c>
      <c r="D21" s="815">
        <v>0.4</v>
      </c>
      <c r="E21" s="857">
        <v>3.65</v>
      </c>
      <c r="F21" s="826">
        <f>D21*E21</f>
        <v>1.46</v>
      </c>
      <c r="G21" s="554">
        <f>F21/(FP!$D$13/1000)</f>
        <v>9.7979516115219E-3</v>
      </c>
      <c r="H21" s="1" t="s">
        <v>3004</v>
      </c>
      <c r="I21" s="875">
        <f>MROUND((20.5/10.5)*E21, 0.25)</f>
        <v>7.25</v>
      </c>
      <c r="J21" s="830">
        <f t="shared" si="0"/>
        <v>2.9000000000000004</v>
      </c>
      <c r="K21" s="1" t="s">
        <v>3087</v>
      </c>
      <c r="L21" s="1183">
        <f>J21-'[63]New SBG Valuation'!J21</f>
        <v>0.20000000000000018</v>
      </c>
    </row>
    <row r="22" spans="2:13">
      <c r="B22" s="5" t="s">
        <v>3141</v>
      </c>
      <c r="C22" s="239" t="s">
        <v>2990</v>
      </c>
      <c r="D22" s="368">
        <f>F22/E22</f>
        <v>0.18333333333333335</v>
      </c>
      <c r="E22" s="828">
        <v>6</v>
      </c>
      <c r="F22" s="828">
        <f>MROUND(54%*2.1, 0.1)</f>
        <v>1.1000000000000001</v>
      </c>
      <c r="G22" s="554">
        <f>F22/(FP!$D$13/1000)</f>
        <v>7.3820183374480068E-3</v>
      </c>
      <c r="H22" s="1" t="s">
        <v>3245</v>
      </c>
      <c r="I22" s="828">
        <f>E22*(1.25)^(5)</f>
        <v>18.310546875</v>
      </c>
      <c r="J22" s="830">
        <f t="shared" si="0"/>
        <v>3.3569335937500004</v>
      </c>
      <c r="K22" s="1" t="s">
        <v>3605</v>
      </c>
      <c r="L22" s="1183">
        <f>J22-'[63]New SBG Valuation'!J22</f>
        <v>3.3569335937500004</v>
      </c>
    </row>
    <row r="23" spans="2:13">
      <c r="B23" s="5" t="s">
        <v>3029</v>
      </c>
      <c r="C23" s="239" t="s">
        <v>2990</v>
      </c>
      <c r="D23" s="368">
        <f>F23/E23</f>
        <v>0.15116279069767444</v>
      </c>
      <c r="E23" s="828">
        <v>8.6</v>
      </c>
      <c r="F23" s="828">
        <v>1.3</v>
      </c>
      <c r="G23" s="368">
        <f>F23/(FP!$D$13/1000)</f>
        <v>8.72420348971128E-3</v>
      </c>
      <c r="H23" s="1" t="s">
        <v>3082</v>
      </c>
      <c r="I23" s="828">
        <f>E23*(1.25)^(5)</f>
        <v>26.2451171875</v>
      </c>
      <c r="J23" s="830">
        <f t="shared" si="0"/>
        <v>3.9672851562500004</v>
      </c>
      <c r="K23" s="1" t="s">
        <v>3157</v>
      </c>
      <c r="L23" s="1183">
        <f>J23-'[63]New SBG Valuation'!J23</f>
        <v>0</v>
      </c>
    </row>
    <row r="24" spans="2:13">
      <c r="B24" s="5" t="s">
        <v>3366</v>
      </c>
      <c r="C24" s="239" t="s">
        <v>2990</v>
      </c>
      <c r="D24" s="368">
        <f>F24/E24</f>
        <v>0.12857142857142859</v>
      </c>
      <c r="E24" s="828">
        <v>14</v>
      </c>
      <c r="F24" s="828">
        <v>1.8</v>
      </c>
      <c r="G24" s="368">
        <f>F24/(FP!$D$13/1000)</f>
        <v>1.2079666370369465E-2</v>
      </c>
      <c r="H24" s="1" t="s">
        <v>3082</v>
      </c>
      <c r="I24" s="828">
        <f>E24*(1.125)^(5)</f>
        <v>25.22845458984375</v>
      </c>
      <c r="J24" s="830">
        <f t="shared" si="0"/>
        <v>3.2436584472656254</v>
      </c>
      <c r="K24" s="1" t="s">
        <v>3604</v>
      </c>
      <c r="L24" s="1183"/>
    </row>
    <row r="25" spans="2:13">
      <c r="B25" s="5" t="s">
        <v>3023</v>
      </c>
      <c r="C25" s="239" t="s">
        <v>2990</v>
      </c>
      <c r="D25" s="817">
        <v>0.125</v>
      </c>
      <c r="E25" s="828">
        <v>1.1000000000000001</v>
      </c>
      <c r="F25" s="826">
        <f>D25*E25</f>
        <v>0.13750000000000001</v>
      </c>
      <c r="G25" s="368">
        <f>F25/(FP!$D$13/1000)</f>
        <v>9.2275229218100085E-4</v>
      </c>
      <c r="H25" s="1" t="s">
        <v>3083</v>
      </c>
      <c r="I25" s="828">
        <f>0.5*39</f>
        <v>19.5</v>
      </c>
      <c r="J25" s="830">
        <f t="shared" si="0"/>
        <v>2.4375</v>
      </c>
      <c r="K25" s="1" t="s">
        <v>3088</v>
      </c>
      <c r="L25" s="1183">
        <f>J25-'[63]New SBG Valuation'!J24</f>
        <v>0</v>
      </c>
    </row>
    <row r="26" spans="2:13">
      <c r="B26" s="920" t="s">
        <v>3069</v>
      </c>
      <c r="C26" s="921"/>
      <c r="D26" s="927"/>
      <c r="E26" s="923"/>
      <c r="F26" s="924">
        <f>SUM(F18:F25)</f>
        <v>8.0074999999999985</v>
      </c>
      <c r="G26" s="925">
        <f>F26/(FP!$D$13/1000)</f>
        <v>5.3737738033740823E-2</v>
      </c>
      <c r="H26" s="920"/>
      <c r="I26" s="920"/>
      <c r="J26" s="926">
        <f>SUM(J18:J25)</f>
        <v>36.452733768694195</v>
      </c>
      <c r="K26" s="920"/>
      <c r="L26" s="1183">
        <f>J26-'[63]New SBG Valuation'!J25</f>
        <v>6.7835920410156234</v>
      </c>
    </row>
    <row r="27" spans="2:13" s="26" customFormat="1">
      <c r="B27" s="972" t="s">
        <v>2460</v>
      </c>
      <c r="C27" s="973" t="s">
        <v>2988</v>
      </c>
      <c r="D27" s="974">
        <f>'SoftBank Other (13F)'!$AX$50</f>
        <v>1.3214179423868312E-3</v>
      </c>
      <c r="E27" s="975">
        <v>4600</v>
      </c>
      <c r="F27" s="1057">
        <v>0</v>
      </c>
      <c r="G27" s="1058">
        <v>0</v>
      </c>
      <c r="H27" s="174" t="s">
        <v>3004</v>
      </c>
      <c r="I27" s="975">
        <f>MROUND(E27*(1.1)^(5), 5)</f>
        <v>7410</v>
      </c>
      <c r="J27" s="1057">
        <v>0</v>
      </c>
      <c r="K27" s="174" t="s">
        <v>3606</v>
      </c>
      <c r="L27" s="1183">
        <f>J27-'[63]New SBG Valuation'!J26</f>
        <v>0</v>
      </c>
    </row>
    <row r="28" spans="2:13">
      <c r="B28" s="165" t="s">
        <v>3021</v>
      </c>
      <c r="C28" s="239" t="s">
        <v>2988</v>
      </c>
      <c r="D28" s="368">
        <f>F28/E28</f>
        <v>1.3391304347826085E-2</v>
      </c>
      <c r="E28" s="828">
        <v>225</v>
      </c>
      <c r="F28" s="826">
        <f>2*34.65/23</f>
        <v>3.0130434782608693</v>
      </c>
      <c r="G28" s="554">
        <f>F28/(FP!$D$13/1000)</f>
        <v>2.0220311098227146E-2</v>
      </c>
      <c r="H28" s="1" t="s">
        <v>3004</v>
      </c>
      <c r="I28" s="824">
        <f>MROUND(E28*(1.05)^(5), 5)</f>
        <v>285</v>
      </c>
      <c r="J28" s="830">
        <f>D28*I28</f>
        <v>3.8165217391304345</v>
      </c>
      <c r="K28" s="1" t="s">
        <v>3246</v>
      </c>
      <c r="L28" s="1183">
        <f>J28-'[63]New SBG Valuation'!J27</f>
        <v>-3.1461498166579283E-2</v>
      </c>
    </row>
    <row r="29" spans="2:13">
      <c r="B29" s="165" t="s">
        <v>2885</v>
      </c>
      <c r="C29" s="239" t="s">
        <v>2988</v>
      </c>
      <c r="D29" s="368" t="s">
        <v>2992</v>
      </c>
      <c r="E29" s="824">
        <v>1650</v>
      </c>
      <c r="F29" s="826">
        <f>'SoftBank Other (13F)'!$BA$8/1000</f>
        <v>0.74358100000000016</v>
      </c>
      <c r="G29" s="368">
        <f>F29/(FP!$D$13/1000)</f>
        <v>4.9901168885253889E-3</v>
      </c>
      <c r="H29" s="1" t="s">
        <v>3004</v>
      </c>
      <c r="I29" s="824">
        <f>MROUND(E29*(1.08)^(5), 5)</f>
        <v>2425</v>
      </c>
      <c r="J29" s="830">
        <f>MROUND(F29*(1.08)^(5), 0.1)</f>
        <v>1.1000000000000001</v>
      </c>
      <c r="K29" s="1" t="s">
        <v>3584</v>
      </c>
      <c r="L29" s="1183">
        <f>J29-'[63]New SBG Valuation'!J28</f>
        <v>0.46742019999999995</v>
      </c>
    </row>
    <row r="30" spans="2:13" s="26" customFormat="1">
      <c r="B30" s="29" t="s">
        <v>2768</v>
      </c>
      <c r="C30" s="976" t="s">
        <v>2988</v>
      </c>
      <c r="D30" s="977" t="s">
        <v>2992</v>
      </c>
      <c r="E30" s="978">
        <v>695</v>
      </c>
      <c r="F30" s="1057">
        <v>0</v>
      </c>
      <c r="G30" s="666">
        <v>0</v>
      </c>
      <c r="H30" s="26" t="s">
        <v>3004</v>
      </c>
      <c r="I30" s="978">
        <f>E30</f>
        <v>695</v>
      </c>
      <c r="J30" s="979">
        <f>F30</f>
        <v>0</v>
      </c>
      <c r="K30" s="26" t="s">
        <v>3606</v>
      </c>
      <c r="L30" s="1183">
        <f>J30-'[63]New SBG Valuation'!J29</f>
        <v>0</v>
      </c>
    </row>
    <row r="31" spans="2:13">
      <c r="B31" s="920" t="s">
        <v>3070</v>
      </c>
      <c r="C31" s="921"/>
      <c r="D31" s="928"/>
      <c r="E31" s="923"/>
      <c r="F31" s="924">
        <f>SUM(F27:F30)</f>
        <v>3.7566244782608695</v>
      </c>
      <c r="G31" s="925">
        <f>F31/(FP!$D$13/1000)</f>
        <v>2.5210427986752534E-2</v>
      </c>
      <c r="H31" s="920"/>
      <c r="I31" s="920"/>
      <c r="J31" s="924">
        <f>SUM(J27:J30)</f>
        <v>4.9165217391304346</v>
      </c>
      <c r="K31" s="920"/>
      <c r="L31" s="1183">
        <f>J31-'[63]New SBG Valuation'!J30</f>
        <v>0.435958701833421</v>
      </c>
    </row>
    <row r="32" spans="2:13">
      <c r="B32" s="5" t="s">
        <v>1079</v>
      </c>
      <c r="C32" s="239" t="s">
        <v>2990</v>
      </c>
      <c r="D32" s="816">
        <f>MROUND(54%*3.25%, 0.05%)</f>
        <v>1.7500000000000002E-2</v>
      </c>
      <c r="E32" s="824">
        <f>MROUND('SVF1'!$AX$129/0.0325/1000, 5)</f>
        <v>505</v>
      </c>
      <c r="F32" s="826">
        <f>D32*E32</f>
        <v>8.8375000000000004</v>
      </c>
      <c r="G32" s="554">
        <f>F32/(FP!$D$13/1000)</f>
        <v>5.9307806415633421E-2</v>
      </c>
      <c r="H32" s="1" t="s">
        <v>3081</v>
      </c>
      <c r="I32" s="824">
        <f>MROUND(8*50%*((95*1.08^(7))+(0.65*1.5*30)), 5)</f>
        <v>770</v>
      </c>
      <c r="J32" s="830">
        <f>D32*I32</f>
        <v>13.475000000000001</v>
      </c>
      <c r="K32" s="1" t="s">
        <v>3089</v>
      </c>
      <c r="L32" s="1183">
        <f>J32-'[63]New SBG Valuation'!J31</f>
        <v>0</v>
      </c>
      <c r="M32" s="678" t="s">
        <v>3091</v>
      </c>
    </row>
    <row r="33" spans="2:13">
      <c r="B33" s="165" t="s">
        <v>2826</v>
      </c>
      <c r="C33" s="239" t="s">
        <v>2990</v>
      </c>
      <c r="D33" s="368">
        <f>F33/E33</f>
        <v>1.7923076923076924E-2</v>
      </c>
      <c r="E33" s="824">
        <v>65</v>
      </c>
      <c r="F33" s="826">
        <f>'SVF2'!$AX$147/1000</f>
        <v>1.165</v>
      </c>
      <c r="G33" s="554">
        <f>F33/(FP!$D$13/1000)</f>
        <v>7.8182285119335702E-3</v>
      </c>
      <c r="H33" s="1" t="s">
        <v>3005</v>
      </c>
      <c r="I33" s="824">
        <f>120*(1.1)^(5)</f>
        <v>193.26120000000006</v>
      </c>
      <c r="J33" s="830">
        <f>D33*I33</f>
        <v>3.463835353846155</v>
      </c>
      <c r="K33" s="1" t="s">
        <v>3170</v>
      </c>
      <c r="L33" s="1183">
        <f>J33-'[63]New SBG Valuation'!J32</f>
        <v>-1.9474782461538465</v>
      </c>
    </row>
    <row r="34" spans="2:13">
      <c r="B34" s="5" t="s">
        <v>2824</v>
      </c>
      <c r="C34" s="239" t="s">
        <v>2990</v>
      </c>
      <c r="D34" s="368">
        <f>F34/E34</f>
        <v>4.5282738095238102E-3</v>
      </c>
      <c r="E34" s="824">
        <v>20</v>
      </c>
      <c r="F34" s="826">
        <f>(20/18)*'SVF2'!$AX$146/1000</f>
        <v>9.056547619047621E-2</v>
      </c>
      <c r="G34" s="554">
        <f>F34/(FP!$D$13/1000)</f>
        <v>6.0777818725255115E-4</v>
      </c>
      <c r="H34" s="1" t="s">
        <v>3062</v>
      </c>
      <c r="I34" s="824">
        <f>MROUND(0.5*E34*I11/E11, 5)</f>
        <v>50</v>
      </c>
      <c r="J34" s="830">
        <f>I34*F34/E34</f>
        <v>0.2264136904761905</v>
      </c>
      <c r="K34" s="1" t="s">
        <v>3090</v>
      </c>
      <c r="L34" s="1183">
        <f>J34-'[63]New SBG Valuation'!J33</f>
        <v>-9.0565476190476196E-2</v>
      </c>
    </row>
    <row r="35" spans="2:13">
      <c r="B35" s="920" t="s">
        <v>3071</v>
      </c>
      <c r="C35" s="921"/>
      <c r="D35" s="928"/>
      <c r="E35" s="923"/>
      <c r="F35" s="924">
        <f>SUM(F32:F34)</f>
        <v>10.093065476190478</v>
      </c>
      <c r="G35" s="925">
        <f>F35/(FP!$D$13/1000)</f>
        <v>6.7733813114819547E-2</v>
      </c>
      <c r="H35" s="920"/>
      <c r="I35" s="920"/>
      <c r="J35" s="926">
        <f>SUM(J32:J34)</f>
        <v>17.165249044322344</v>
      </c>
      <c r="K35" s="920"/>
      <c r="L35" s="1183">
        <f>J35-'[63]New SBG Valuation'!J34</f>
        <v>-2.0380437223443231</v>
      </c>
    </row>
    <row r="36" spans="2:13">
      <c r="B36" s="524" t="s">
        <v>3072</v>
      </c>
      <c r="C36" s="657" t="s">
        <v>2988</v>
      </c>
      <c r="D36" s="930">
        <v>0.40250000000000002</v>
      </c>
      <c r="E36" s="980">
        <f>F36/D36</f>
        <v>45.722225421911226</v>
      </c>
      <c r="F36" s="929">
        <f>'Valuation &amp; SBG NAV'!$BP$55</f>
        <v>18.403195732319269</v>
      </c>
      <c r="G36" s="930">
        <f>F36/(FP!$D$13/1000)</f>
        <v>0.12350248033056885</v>
      </c>
      <c r="H36" s="524" t="s">
        <v>3608</v>
      </c>
      <c r="I36" s="931">
        <f>MROUND(E36*(1.1)^(5), 5)</f>
        <v>75</v>
      </c>
      <c r="J36" s="932">
        <f>D36*I36-7.75</f>
        <v>22.437500000000004</v>
      </c>
      <c r="K36" s="524" t="s">
        <v>3607</v>
      </c>
      <c r="L36" s="1183">
        <f>J36-'[63]New SBG Valuation'!J35</f>
        <v>-6.774999999999995</v>
      </c>
      <c r="M36" s="443" t="s">
        <v>3601</v>
      </c>
    </row>
    <row r="37" spans="2:13">
      <c r="B37" s="518" t="s">
        <v>3073</v>
      </c>
      <c r="C37" s="913"/>
      <c r="D37" s="914"/>
      <c r="E37" s="915"/>
      <c r="F37" s="916">
        <f>F17+F26+F31+F35+F36</f>
        <v>182.03538568677061</v>
      </c>
      <c r="G37" s="917">
        <f>F37/(FP!$D$13/1000)</f>
        <v>1.22162595927651</v>
      </c>
      <c r="H37" s="518"/>
      <c r="I37" s="518"/>
      <c r="J37" s="916">
        <f>J17+J26+J31+J35+J36</f>
        <v>684.0339513273741</v>
      </c>
      <c r="K37" s="518"/>
      <c r="L37" s="1183">
        <f>J37-'[63]New SBG Valuation'!J36</f>
        <v>49.858459423236127</v>
      </c>
    </row>
    <row r="38" spans="2:13">
      <c r="B38" s="1" t="s">
        <v>3074</v>
      </c>
    </row>
    <row r="39" spans="2:13">
      <c r="B39" s="5" t="s">
        <v>2372</v>
      </c>
      <c r="F39" s="826">
        <f>SUM('P.F. NAV Table'!$E$16:$E$17)</f>
        <v>5.8124680633622887</v>
      </c>
      <c r="G39" s="554">
        <f>F39/(FP!$D$13/1000)</f>
        <v>3.9007041663246651E-2</v>
      </c>
      <c r="H39" s="1" t="s">
        <v>3079</v>
      </c>
      <c r="J39" s="828">
        <v>0</v>
      </c>
      <c r="L39" s="1183">
        <f>J39-'[63]New SBG Valuation'!J38</f>
        <v>-13.679841038072375</v>
      </c>
    </row>
    <row r="40" spans="2:13">
      <c r="B40" s="5" t="s">
        <v>3075</v>
      </c>
      <c r="F40" s="826">
        <f>'Alt. SoftBank Valuation'!$H$11</f>
        <v>13.505000000000001</v>
      </c>
      <c r="G40" s="554">
        <f>F40/(FP!$D$13/1000)</f>
        <v>9.0631052406577581E-2</v>
      </c>
      <c r="H40" s="1" t="s">
        <v>3004</v>
      </c>
      <c r="J40" s="826">
        <f>F40*(1.125)^(5)</f>
        <v>24.336448516845703</v>
      </c>
      <c r="L40" s="1183">
        <f>J40-'[63]New SBG Valuation'!J39</f>
        <v>3.3690822081054712</v>
      </c>
      <c r="M40" s="443" t="s">
        <v>3599</v>
      </c>
    </row>
    <row r="41" spans="2:13">
      <c r="B41" s="5" t="s">
        <v>3078</v>
      </c>
      <c r="F41" s="826">
        <f>'Alt. SoftBank Valuation'!$H$21-SUM(F22:F23)</f>
        <v>16.924170391061452</v>
      </c>
      <c r="G41" s="554">
        <f>F41/(FP!$D$13/1000)</f>
        <v>0.11357685106628203</v>
      </c>
      <c r="H41" s="1" t="s">
        <v>3080</v>
      </c>
      <c r="J41" s="826">
        <f>F41*(1.1)^(5)</f>
        <v>27.25654565650839</v>
      </c>
      <c r="L41" s="1183">
        <f>J41-'[63]New SBG Valuation'!J40</f>
        <v>-21.500723134890375</v>
      </c>
      <c r="M41" s="443" t="s">
        <v>3600</v>
      </c>
    </row>
    <row r="42" spans="2:13">
      <c r="B42" s="5" t="s">
        <v>3076</v>
      </c>
      <c r="F42" s="826">
        <f>'Alt. SoftBank Valuation'!$H$12</f>
        <v>2.2121829089117648</v>
      </c>
      <c r="G42" s="554">
        <f>F42/(FP!$D$13/1000)</f>
        <v>1.4845795272159746E-2</v>
      </c>
      <c r="H42" s="1" t="s">
        <v>3004</v>
      </c>
      <c r="J42" s="826">
        <f>F42*(1.05)^(5)</f>
        <v>2.8233682595217027</v>
      </c>
      <c r="L42" s="1183">
        <f>J42-'[63]New SBG Valuation'!J41</f>
        <v>6.1547392412582003E-2</v>
      </c>
    </row>
    <row r="43" spans="2:13">
      <c r="B43" s="5" t="s">
        <v>3172</v>
      </c>
      <c r="F43" s="874">
        <f>F45-F37-SUM(F39:F42)</f>
        <v>7.726350242946026</v>
      </c>
      <c r="G43" s="554">
        <f>F43/(FP!$D$13/1000)</f>
        <v>5.1850962886339474E-2</v>
      </c>
      <c r="J43" s="826">
        <f>F43*(1.05)^(5)</f>
        <v>9.8609983604894094</v>
      </c>
      <c r="L43" s="1183">
        <f>J43-'[63]New SBG Valuation'!J42</f>
        <v>12.974523909662606</v>
      </c>
    </row>
    <row r="44" spans="2:13">
      <c r="B44" s="920" t="s">
        <v>3077</v>
      </c>
      <c r="C44" s="921"/>
      <c r="D44" s="922"/>
      <c r="E44" s="923"/>
      <c r="F44" s="924">
        <f>SUM(F39:F43)</f>
        <v>46.180171606281533</v>
      </c>
      <c r="G44" s="925">
        <f>F44/(FP!$D$13/1000)</f>
        <v>0.30991170329460549</v>
      </c>
      <c r="H44" s="920"/>
      <c r="I44" s="920"/>
      <c r="J44" s="924">
        <f>SUM(J39:J43)</f>
        <v>64.277360793365204</v>
      </c>
      <c r="K44" s="920" t="s">
        <v>3092</v>
      </c>
      <c r="L44" s="1183">
        <f>J44-'[63]New SBG Valuation'!J43</f>
        <v>-21.888936211955297</v>
      </c>
    </row>
    <row r="45" spans="2:13">
      <c r="B45" s="44" t="s">
        <v>3171</v>
      </c>
      <c r="C45" s="44"/>
      <c r="D45" s="44"/>
      <c r="E45" s="44"/>
      <c r="F45" s="918">
        <f>'Valuation &amp; SBG NAV'!$BU$73</f>
        <v>228.21555729305214</v>
      </c>
      <c r="G45" s="919">
        <f>F45/(FP!$D$13/1000)</f>
        <v>1.5315376625711155</v>
      </c>
      <c r="H45" s="44"/>
      <c r="I45" s="44"/>
      <c r="J45" s="918">
        <f>J37+J44</f>
        <v>748.31131212073933</v>
      </c>
      <c r="K45" s="44"/>
      <c r="L45" s="1183">
        <f>J45-'[63]New SBG Valuation'!J44</f>
        <v>27.96952321128083</v>
      </c>
    </row>
    <row r="46" spans="2:13" ht="12.75" thickBot="1">
      <c r="B46" s="1" t="s">
        <v>3084</v>
      </c>
      <c r="F46" s="368">
        <f>MROUND(1-FP!$D$13/1000/F45, 0.5%)</f>
        <v>0.34500000000000003</v>
      </c>
      <c r="J46" s="815">
        <v>0.1</v>
      </c>
    </row>
    <row r="47" spans="2:13">
      <c r="B47" s="9" t="s">
        <v>3093</v>
      </c>
      <c r="C47" s="9"/>
      <c r="D47" s="9"/>
      <c r="E47" s="9"/>
      <c r="F47" s="17"/>
      <c r="G47" s="9"/>
      <c r="H47" s="9"/>
      <c r="I47" s="9"/>
      <c r="J47" s="909">
        <f>J45*(1-J46)</f>
        <v>673.48018090866537</v>
      </c>
      <c r="K47" s="9"/>
    </row>
    <row r="48" spans="2:13">
      <c r="B48" s="1" t="s">
        <v>3094</v>
      </c>
      <c r="J48" s="910">
        <f>MROUND(1000*FP!$G$4*J47/'Valuation &amp; SBG NAV'!$BU$44, 250)</f>
        <v>18250</v>
      </c>
    </row>
    <row r="49" spans="2:11">
      <c r="B49" s="1" t="s">
        <v>302</v>
      </c>
      <c r="J49" s="911">
        <f>J48/FP!$D$9-1</f>
        <v>3.5106277805239747</v>
      </c>
    </row>
    <row r="50" spans="2:11" ht="12.75" thickBot="1">
      <c r="B50" s="64" t="s">
        <v>3099</v>
      </c>
      <c r="C50" s="64"/>
      <c r="D50" s="64"/>
      <c r="E50" s="64"/>
      <c r="F50" s="64"/>
      <c r="G50" s="64"/>
      <c r="H50" s="64"/>
      <c r="I50" s="64"/>
      <c r="J50" s="912">
        <f>(J48/FP!$D$9)^(1/5)-1</f>
        <v>0.35159755684814442</v>
      </c>
      <c r="K50" s="64"/>
    </row>
    <row r="52" spans="2:11">
      <c r="B52" s="1" t="s">
        <v>3587</v>
      </c>
      <c r="I52" s="1177" t="s">
        <v>3586</v>
      </c>
      <c r="J52" s="1177" t="s">
        <v>3568</v>
      </c>
    </row>
    <row r="53" spans="2:11">
      <c r="I53" s="1178">
        <v>0.1</v>
      </c>
      <c r="J53" s="1179">
        <f t="shared" ref="J53:J59" si="1">MROUND($J$48/(1+I53)^(4), 100)</f>
        <v>12500</v>
      </c>
    </row>
    <row r="54" spans="2:11">
      <c r="I54" s="1180">
        <f t="shared" ref="I54:I59" si="2">I53+2.5%</f>
        <v>0.125</v>
      </c>
      <c r="J54" s="1179">
        <f t="shared" si="1"/>
        <v>11400</v>
      </c>
    </row>
    <row r="55" spans="2:11">
      <c r="I55" s="1180">
        <f t="shared" si="2"/>
        <v>0.15</v>
      </c>
      <c r="J55" s="1179">
        <f t="shared" si="1"/>
        <v>10400</v>
      </c>
    </row>
    <row r="56" spans="2:11">
      <c r="I56" s="1180">
        <f t="shared" si="2"/>
        <v>0.17499999999999999</v>
      </c>
      <c r="J56" s="1179">
        <f t="shared" si="1"/>
        <v>9600</v>
      </c>
    </row>
    <row r="57" spans="2:11">
      <c r="I57" s="1180">
        <f t="shared" si="2"/>
        <v>0.19999999999999998</v>
      </c>
      <c r="J57" s="1179">
        <f t="shared" si="1"/>
        <v>8800</v>
      </c>
    </row>
    <row r="58" spans="2:11">
      <c r="I58" s="1180">
        <f t="shared" si="2"/>
        <v>0.22499999999999998</v>
      </c>
      <c r="J58" s="1179">
        <f t="shared" si="1"/>
        <v>8100</v>
      </c>
    </row>
    <row r="59" spans="2:11">
      <c r="I59" s="1180">
        <f t="shared" si="2"/>
        <v>0.24999999999999997</v>
      </c>
      <c r="J59" s="1179">
        <f t="shared" si="1"/>
        <v>7500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27B32-4B1F-4D63-821D-1805F1BF5B9E}">
  <sheetPr codeName="Sheet37"/>
  <dimension ref="A1:U93"/>
  <sheetViews>
    <sheetView zoomScale="90" zoomScaleNormal="90" workbookViewId="0"/>
  </sheetViews>
  <sheetFormatPr defaultColWidth="9.140625" defaultRowHeight="12"/>
  <cols>
    <col min="1" max="1" width="9.140625" style="1"/>
    <col min="2" max="2" width="20" style="1" customWidth="1"/>
    <col min="3" max="6" width="9.140625" style="1"/>
    <col min="7" max="8" width="11.42578125" style="1" customWidth="1"/>
    <col min="9" max="12" width="9.140625" style="1"/>
    <col min="13" max="13" width="9.140625" style="1" customWidth="1"/>
    <col min="14" max="16384" width="9.140625" style="1"/>
  </cols>
  <sheetData>
    <row r="1" spans="1:9" s="2" customFormat="1">
      <c r="A1" s="2" t="s">
        <v>0</v>
      </c>
    </row>
    <row r="2" spans="1:9" s="2" customFormat="1">
      <c r="A2" s="2" t="s">
        <v>2</v>
      </c>
    </row>
    <row r="4" spans="1:9">
      <c r="B4" s="1" t="s">
        <v>2995</v>
      </c>
      <c r="H4" s="678" t="s">
        <v>3585</v>
      </c>
    </row>
    <row r="5" spans="1:9">
      <c r="G5" s="732" t="s">
        <v>236</v>
      </c>
      <c r="H5" s="732" t="s">
        <v>951</v>
      </c>
    </row>
    <row r="6" spans="1:9">
      <c r="B6" s="9" t="s">
        <v>2974</v>
      </c>
      <c r="C6" s="9"/>
      <c r="D6" s="9"/>
      <c r="E6" s="9"/>
      <c r="F6" s="9"/>
      <c r="G6" s="818">
        <f>MROUND(FP!$D$5*'Valuation &amp; SBG NAV'!$BP$39/FP!$G$4, 5)</f>
        <v>149010</v>
      </c>
      <c r="H6" s="545">
        <f>G6/1000</f>
        <v>149.01</v>
      </c>
    </row>
    <row r="7" spans="1:9" s="26" customFormat="1">
      <c r="B7" s="26" t="s">
        <v>3024</v>
      </c>
      <c r="G7" s="813">
        <f>MROUND(1000*H7, 5)</f>
        <v>0</v>
      </c>
      <c r="H7" s="549">
        <f>'Valuation &amp; SBG NAV'!$BU$62+'Valuation &amp; SBG NAV'!$BU$63</f>
        <v>0</v>
      </c>
    </row>
    <row r="8" spans="1:9" s="26" customFormat="1">
      <c r="B8" s="165" t="s">
        <v>3034</v>
      </c>
      <c r="C8" s="79"/>
      <c r="D8" s="79"/>
      <c r="E8" s="79"/>
      <c r="F8" s="79"/>
      <c r="G8" s="1176">
        <f>MROUND('SVF1'!$AZ$39*'SVF1'!$AZ$74, 5)</f>
        <v>7975</v>
      </c>
      <c r="H8" s="794">
        <f>G8/1000</f>
        <v>7.9749999999999996</v>
      </c>
    </row>
    <row r="9" spans="1:9" s="26" customFormat="1">
      <c r="B9" s="165" t="s">
        <v>2976</v>
      </c>
      <c r="C9" s="79"/>
      <c r="D9" s="79"/>
      <c r="E9" s="79"/>
      <c r="F9" s="79"/>
      <c r="G9" s="1176">
        <f>'SVF2'!$AZ$68</f>
        <v>4505</v>
      </c>
      <c r="H9" s="794">
        <f>G9/1000</f>
        <v>4.5049999999999999</v>
      </c>
    </row>
    <row r="10" spans="1:9" s="26" customFormat="1">
      <c r="B10" s="165" t="s">
        <v>2977</v>
      </c>
      <c r="C10" s="79"/>
      <c r="D10" s="79"/>
      <c r="E10" s="79"/>
      <c r="F10" s="79"/>
      <c r="G10" s="1176">
        <f>'LatAm Funds'!$AZ$7</f>
        <v>1025</v>
      </c>
      <c r="H10" s="794">
        <f>G10/1000</f>
        <v>1.0249999999999999</v>
      </c>
    </row>
    <row r="11" spans="1:9">
      <c r="B11" s="9" t="s">
        <v>2975</v>
      </c>
      <c r="C11" s="9"/>
      <c r="D11" s="9"/>
      <c r="E11" s="9"/>
      <c r="F11" s="9"/>
      <c r="G11" s="818">
        <f>SUM(G8:G10)</f>
        <v>13505</v>
      </c>
      <c r="H11" s="545">
        <f>SUM(H8:H10)</f>
        <v>13.505000000000001</v>
      </c>
    </row>
    <row r="12" spans="1:9">
      <c r="B12" s="1" t="s">
        <v>2979</v>
      </c>
      <c r="G12" s="1176">
        <f>SUM('SoftBank Other (13F)'!BA10:BA15)</f>
        <v>2212.182908911765</v>
      </c>
      <c r="H12" s="541">
        <f>G12/1000</f>
        <v>2.2121829089117648</v>
      </c>
    </row>
    <row r="13" spans="1:9">
      <c r="B13" s="1" t="s">
        <v>2993</v>
      </c>
      <c r="G13" s="811">
        <f>MROUND(G21*50%, 5)</f>
        <v>9665</v>
      </c>
      <c r="H13" s="541">
        <f>G13/1000</f>
        <v>9.6649999999999991</v>
      </c>
    </row>
    <row r="14" spans="1:9">
      <c r="B14" s="9" t="s">
        <v>2973</v>
      </c>
      <c r="C14" s="9"/>
      <c r="D14" s="9"/>
      <c r="E14" s="9"/>
      <c r="F14" s="9"/>
      <c r="G14" s="812">
        <f>G6-G7-SUM(G11:G13)</f>
        <v>123627.81709108823</v>
      </c>
      <c r="H14" s="545">
        <f t="shared" ref="H14" si="0">H6-H7-SUM(H11:H13)</f>
        <v>123.62781709108822</v>
      </c>
    </row>
    <row r="15" spans="1:9">
      <c r="B15" s="1" t="s">
        <v>3022</v>
      </c>
      <c r="G15" s="855">
        <f>MROUND(1000*H15, 5)</f>
        <v>77000</v>
      </c>
      <c r="H15" s="796">
        <f>MROUND('Valuation &amp; SBG NAV'!$BU$71, 0.5)</f>
        <v>77</v>
      </c>
    </row>
    <row r="16" spans="1:9">
      <c r="B16" s="9" t="s">
        <v>2996</v>
      </c>
      <c r="C16" s="9"/>
      <c r="D16" s="9"/>
      <c r="E16" s="9"/>
      <c r="F16" s="9"/>
      <c r="G16" s="812">
        <f>SUM(G14:G15)</f>
        <v>200627.81709108822</v>
      </c>
      <c r="H16" s="545">
        <f>SUM(H14:H15)</f>
        <v>200.62781709108822</v>
      </c>
      <c r="I16" s="829">
        <f>100*H16/F52</f>
        <v>85.186965221412009</v>
      </c>
    </row>
    <row r="17" spans="2:19">
      <c r="B17" s="1" t="s">
        <v>3036</v>
      </c>
      <c r="G17" s="855">
        <f>G16-G13</f>
        <v>190962.81709108822</v>
      </c>
      <c r="H17" s="541">
        <f>H16-H13</f>
        <v>190.96281709108823</v>
      </c>
      <c r="I17" s="829">
        <f>100*H17/F52</f>
        <v>81.083187236870913</v>
      </c>
    </row>
    <row r="19" spans="2:19">
      <c r="G19" s="732" t="s">
        <v>236</v>
      </c>
      <c r="H19" s="732" t="s">
        <v>951</v>
      </c>
    </row>
    <row r="20" spans="2:19">
      <c r="B20" s="9" t="s">
        <v>2980</v>
      </c>
      <c r="C20" s="9"/>
      <c r="D20" s="9"/>
      <c r="E20" s="9"/>
      <c r="F20" s="9"/>
      <c r="G20" s="818">
        <f>MROUND(1000*H20, 5)</f>
        <v>32830</v>
      </c>
      <c r="H20" s="797">
        <f>'Valuation &amp; SBG NAV'!$BU$61-'Valuation &amp; SBG NAV'!$BU$57-(('SVF1'!$AZ$39*'SVF1'!$AZ$129+'SVF2'!$AZ$147)/1000)</f>
        <v>32.829170391061453</v>
      </c>
    </row>
    <row r="21" spans="2:19">
      <c r="B21" s="1" t="s">
        <v>2981</v>
      </c>
      <c r="G21" s="811">
        <f>G20-G11</f>
        <v>19325</v>
      </c>
      <c r="H21" s="541">
        <f>H20-H11</f>
        <v>19.32417039106145</v>
      </c>
    </row>
    <row r="23" spans="2:19">
      <c r="G23" s="732" t="s">
        <v>236</v>
      </c>
      <c r="H23" s="732" t="s">
        <v>951</v>
      </c>
    </row>
    <row r="24" spans="2:19">
      <c r="B24" s="9" t="s">
        <v>2460</v>
      </c>
      <c r="C24" s="9"/>
      <c r="D24" s="9"/>
      <c r="E24" s="9"/>
      <c r="F24" s="9"/>
      <c r="G24" s="819">
        <f>'SoftBank Other (13F)'!BA6</f>
        <v>0</v>
      </c>
      <c r="H24" s="820">
        <f>G24/1000</f>
        <v>0</v>
      </c>
    </row>
    <row r="25" spans="2:19">
      <c r="B25" s="1" t="s">
        <v>2885</v>
      </c>
      <c r="G25" s="813">
        <f>'SoftBank Other (13F)'!BA8</f>
        <v>743.58100000000013</v>
      </c>
      <c r="H25" s="549">
        <f>G25/1000</f>
        <v>0.74358100000000016</v>
      </c>
    </row>
    <row r="26" spans="2:19">
      <c r="B26" s="1" t="s">
        <v>2768</v>
      </c>
      <c r="G26" s="813">
        <f>'SoftBank Other (13F)'!BA9</f>
        <v>0</v>
      </c>
      <c r="H26" s="549">
        <f>G26/1000</f>
        <v>0</v>
      </c>
    </row>
    <row r="27" spans="2:19">
      <c r="B27" s="9" t="s">
        <v>2978</v>
      </c>
      <c r="C27" s="9"/>
      <c r="D27" s="9"/>
      <c r="E27" s="9"/>
      <c r="F27" s="9"/>
      <c r="G27" s="812">
        <f>SUM(G24:G26)</f>
        <v>743.58100000000013</v>
      </c>
      <c r="H27" s="545">
        <f>SUM(H24:H26)</f>
        <v>0.74358100000000016</v>
      </c>
    </row>
    <row r="29" spans="2:19">
      <c r="B29" s="1" t="s">
        <v>2986</v>
      </c>
    </row>
    <row r="30" spans="2:19" ht="30" customHeight="1">
      <c r="B30" s="814" t="s">
        <v>2982</v>
      </c>
      <c r="C30" s="578" t="s">
        <v>2987</v>
      </c>
      <c r="D30" s="297" t="s">
        <v>2983</v>
      </c>
      <c r="E30" s="578" t="s">
        <v>2984</v>
      </c>
      <c r="F30" s="578" t="s">
        <v>2989</v>
      </c>
      <c r="G30" s="578" t="s">
        <v>3035</v>
      </c>
      <c r="H30" s="821" t="s">
        <v>3037</v>
      </c>
      <c r="I30" s="64"/>
      <c r="J30" s="64"/>
      <c r="K30" s="64"/>
      <c r="L30" s="64"/>
      <c r="M30" s="64"/>
      <c r="N30" s="64"/>
      <c r="O30" s="64"/>
    </row>
    <row r="31" spans="2:19">
      <c r="B31" s="5" t="s">
        <v>2985</v>
      </c>
      <c r="C31" s="239" t="s">
        <v>2988</v>
      </c>
      <c r="D31" s="815">
        <v>0.9</v>
      </c>
      <c r="E31" s="824">
        <v>162</v>
      </c>
      <c r="F31" s="826">
        <f>D31*E31-8.5</f>
        <v>137.30000000000001</v>
      </c>
      <c r="G31" s="554">
        <f>F31/$H$6</f>
        <v>0.92141467015636547</v>
      </c>
      <c r="H31" s="1" t="s">
        <v>3030</v>
      </c>
      <c r="P31" s="9"/>
      <c r="Q31" s="9"/>
      <c r="R31" s="9"/>
      <c r="S31" s="9"/>
    </row>
    <row r="32" spans="2:19">
      <c r="B32" s="5" t="s">
        <v>3025</v>
      </c>
      <c r="C32" s="239" t="s">
        <v>2990</v>
      </c>
      <c r="D32" s="815">
        <v>1</v>
      </c>
      <c r="E32" s="828">
        <v>6.5</v>
      </c>
      <c r="F32" s="826">
        <f>D32*E32</f>
        <v>6.5</v>
      </c>
      <c r="G32" s="554">
        <f>F32/$H$6</f>
        <v>4.3621233474263478E-2</v>
      </c>
      <c r="H32" s="1" t="s">
        <v>3031</v>
      </c>
    </row>
    <row r="33" spans="2:19">
      <c r="B33" s="5" t="s">
        <v>3026</v>
      </c>
      <c r="C33" s="239" t="s">
        <v>2990</v>
      </c>
      <c r="D33" s="815">
        <v>1</v>
      </c>
      <c r="E33" s="857">
        <v>0.65</v>
      </c>
      <c r="F33" s="826">
        <f>D33*E33</f>
        <v>0.65</v>
      </c>
      <c r="G33" s="554">
        <f>F33/$H$6</f>
        <v>4.362123347426348E-3</v>
      </c>
      <c r="H33" s="1" t="s">
        <v>3032</v>
      </c>
    </row>
    <row r="34" spans="2:19">
      <c r="B34" s="859" t="s">
        <v>3027</v>
      </c>
      <c r="C34" s="501"/>
      <c r="D34" s="860"/>
      <c r="E34" s="861"/>
      <c r="F34" s="862">
        <f>SUM(F31:F33)</f>
        <v>144.45000000000002</v>
      </c>
      <c r="G34" s="863">
        <f>F34/$H$6</f>
        <v>0.96939802697805533</v>
      </c>
      <c r="H34" s="859"/>
      <c r="I34" s="859"/>
      <c r="J34" s="859"/>
      <c r="K34" s="859"/>
      <c r="L34" s="859"/>
      <c r="M34" s="859"/>
      <c r="N34" s="859"/>
      <c r="O34" s="859"/>
      <c r="P34" s="859"/>
      <c r="Q34" s="859"/>
      <c r="R34" s="859"/>
      <c r="S34" s="859"/>
    </row>
    <row r="35" spans="2:19">
      <c r="B35" s="1" t="s">
        <v>2726</v>
      </c>
      <c r="C35" s="239" t="s">
        <v>2990</v>
      </c>
      <c r="D35" s="554">
        <f>'SoftBank Other (13F)'!$BA$31/1000/FP!$Q$11</f>
        <v>0.10879999999999999</v>
      </c>
      <c r="E35" s="824">
        <f>FP!$Q$11</f>
        <v>500</v>
      </c>
      <c r="F35" s="826">
        <f>D35*E35</f>
        <v>54.4</v>
      </c>
      <c r="G35" s="554">
        <f t="shared" ref="G35:G52" si="1">F35/$H$6</f>
        <v>0.36507616938460508</v>
      </c>
      <c r="H35" s="1" t="s">
        <v>3053</v>
      </c>
    </row>
    <row r="36" spans="2:19">
      <c r="B36" s="1" t="s">
        <v>85</v>
      </c>
      <c r="C36" s="239" t="s">
        <v>2988</v>
      </c>
      <c r="D36" s="867">
        <v>0.40250000000000002</v>
      </c>
      <c r="E36" s="857">
        <v>71.25</v>
      </c>
      <c r="F36" s="826">
        <f>'Valuation &amp; SBG NAV'!$BP$55</f>
        <v>18.403195732319269</v>
      </c>
      <c r="G36" s="554">
        <f t="shared" si="1"/>
        <v>0.12350309195570278</v>
      </c>
      <c r="H36" s="1" t="s">
        <v>3055</v>
      </c>
    </row>
    <row r="37" spans="2:19">
      <c r="B37" s="79" t="s">
        <v>2750</v>
      </c>
      <c r="C37" s="239" t="s">
        <v>2990</v>
      </c>
      <c r="D37" s="554">
        <v>0.5</v>
      </c>
      <c r="E37" s="824">
        <v>0</v>
      </c>
      <c r="F37" s="826">
        <f>D37*E37</f>
        <v>0</v>
      </c>
      <c r="G37" s="554">
        <f t="shared" si="1"/>
        <v>0</v>
      </c>
      <c r="H37" s="1" t="s">
        <v>1238</v>
      </c>
    </row>
    <row r="38" spans="2:19">
      <c r="B38" s="33" t="s">
        <v>2460</v>
      </c>
      <c r="C38" s="852" t="s">
        <v>2988</v>
      </c>
      <c r="D38" s="865">
        <f>'SoftBank Other (13F)'!$AX$50</f>
        <v>1.3214179423868312E-3</v>
      </c>
      <c r="E38" s="866">
        <f>MROUND(F38/D38, 5)</f>
        <v>0</v>
      </c>
      <c r="F38" s="827">
        <f>'SoftBank Other (13F)'!$BA$6/1000</f>
        <v>0</v>
      </c>
      <c r="G38" s="858">
        <f>F38/$H$6</f>
        <v>0</v>
      </c>
      <c r="H38" s="9" t="s">
        <v>3004</v>
      </c>
      <c r="I38" s="9"/>
      <c r="J38" s="9"/>
      <c r="K38" s="9"/>
      <c r="L38" s="9"/>
      <c r="M38" s="9"/>
      <c r="N38" s="9"/>
      <c r="O38" s="9"/>
      <c r="P38" s="9"/>
      <c r="Q38" s="9"/>
      <c r="R38" s="9"/>
      <c r="S38" s="9"/>
    </row>
    <row r="39" spans="2:19">
      <c r="B39" s="165" t="s">
        <v>3021</v>
      </c>
      <c r="C39" s="239" t="s">
        <v>2988</v>
      </c>
      <c r="D39" s="368">
        <f>F39/E39</f>
        <v>1.8629929221435793E-2</v>
      </c>
      <c r="E39" s="824">
        <v>172</v>
      </c>
      <c r="F39" s="826">
        <f>2*36.85/23</f>
        <v>3.2043478260869565</v>
      </c>
      <c r="G39" s="554">
        <f>F39/$H$6</f>
        <v>2.1504246869921192E-2</v>
      </c>
      <c r="H39" s="1" t="s">
        <v>3004</v>
      </c>
    </row>
    <row r="40" spans="2:19">
      <c r="B40" s="5" t="s">
        <v>2885</v>
      </c>
      <c r="C40" s="239" t="s">
        <v>2988</v>
      </c>
      <c r="D40" s="368" t="s">
        <v>2992</v>
      </c>
      <c r="E40" s="824">
        <v>1000</v>
      </c>
      <c r="F40" s="826">
        <f>'SoftBank Other (13F)'!$BA$8/1000</f>
        <v>0.74358100000000016</v>
      </c>
      <c r="G40" s="368">
        <f>F40/$H$6</f>
        <v>4.990141601234818E-3</v>
      </c>
      <c r="H40" s="1" t="s">
        <v>3004</v>
      </c>
    </row>
    <row r="41" spans="2:19">
      <c r="B41" s="5" t="s">
        <v>2768</v>
      </c>
      <c r="C41" s="239" t="s">
        <v>2988</v>
      </c>
      <c r="D41" s="368" t="s">
        <v>2992</v>
      </c>
      <c r="E41" s="824">
        <v>705</v>
      </c>
      <c r="F41" s="826">
        <f>'SoftBank Other (13F)'!$BA$9/1000</f>
        <v>0</v>
      </c>
      <c r="G41" s="368">
        <f>F41/$H$6</f>
        <v>0</v>
      </c>
      <c r="H41" s="1" t="s">
        <v>3004</v>
      </c>
    </row>
    <row r="42" spans="2:19">
      <c r="B42" s="859" t="s">
        <v>3028</v>
      </c>
      <c r="C42" s="501"/>
      <c r="D42" s="864"/>
      <c r="E42" s="861"/>
      <c r="F42" s="862">
        <f>SUM(F38:F41)</f>
        <v>3.9479288260869567</v>
      </c>
      <c r="G42" s="864"/>
      <c r="H42" s="859"/>
      <c r="I42" s="859"/>
      <c r="J42" s="859"/>
      <c r="K42" s="859"/>
      <c r="L42" s="859"/>
      <c r="M42" s="859"/>
      <c r="N42" s="859"/>
      <c r="O42" s="859"/>
      <c r="P42" s="859"/>
      <c r="Q42" s="859"/>
      <c r="R42" s="859"/>
      <c r="S42" s="859"/>
    </row>
    <row r="43" spans="2:19">
      <c r="B43" s="1" t="s">
        <v>1079</v>
      </c>
      <c r="C43" s="239" t="s">
        <v>2990</v>
      </c>
      <c r="D43" s="816">
        <f>MROUND(54%*3.25%, 0.05%)</f>
        <v>1.7500000000000002E-2</v>
      </c>
      <c r="E43" s="824">
        <f>MROUND('SVF1'!$AX$129/0.0325/1000, 5)</f>
        <v>505</v>
      </c>
      <c r="F43" s="826">
        <f>D43*E43</f>
        <v>8.8375000000000004</v>
      </c>
      <c r="G43" s="554">
        <f t="shared" si="1"/>
        <v>5.9308100127508229E-2</v>
      </c>
      <c r="H43" s="1" t="s">
        <v>3003</v>
      </c>
    </row>
    <row r="44" spans="2:19">
      <c r="B44" s="5" t="s">
        <v>2459</v>
      </c>
      <c r="C44" s="239" t="s">
        <v>2988</v>
      </c>
      <c r="D44" s="817">
        <v>6.8000000000000005E-2</v>
      </c>
      <c r="E44" s="857">
        <v>37.25</v>
      </c>
      <c r="F44" s="826">
        <f>D44*E44</f>
        <v>2.5330000000000004</v>
      </c>
      <c r="G44" s="554">
        <f t="shared" si="1"/>
        <v>1.6998859136970676E-2</v>
      </c>
      <c r="H44" s="1" t="s">
        <v>3004</v>
      </c>
    </row>
    <row r="45" spans="2:19">
      <c r="B45" s="5" t="s">
        <v>3048</v>
      </c>
      <c r="C45" s="239" t="s">
        <v>2990</v>
      </c>
      <c r="D45" s="815">
        <v>0.65</v>
      </c>
      <c r="E45" s="824">
        <v>0</v>
      </c>
      <c r="F45" s="826">
        <f>D45*E45</f>
        <v>0</v>
      </c>
      <c r="G45" s="554">
        <f t="shared" si="1"/>
        <v>0</v>
      </c>
      <c r="H45" s="1" t="s">
        <v>1238</v>
      </c>
    </row>
    <row r="46" spans="2:19">
      <c r="B46" s="5" t="s">
        <v>3047</v>
      </c>
      <c r="C46" s="239" t="s">
        <v>2988</v>
      </c>
      <c r="D46" s="815">
        <v>0.4</v>
      </c>
      <c r="E46" s="857">
        <v>3.25</v>
      </c>
      <c r="F46" s="826">
        <f>D46*E46</f>
        <v>1.3</v>
      </c>
      <c r="G46" s="554">
        <f t="shared" si="1"/>
        <v>8.724246694852696E-3</v>
      </c>
      <c r="H46" s="1" t="s">
        <v>3004</v>
      </c>
    </row>
    <row r="47" spans="2:19">
      <c r="B47" s="859" t="s">
        <v>3046</v>
      </c>
      <c r="C47" s="501"/>
      <c r="D47" s="870"/>
      <c r="E47" s="861"/>
      <c r="F47" s="862">
        <f>SUM(F44:F46)</f>
        <v>3.8330000000000002</v>
      </c>
      <c r="G47" s="863">
        <f t="shared" si="1"/>
        <v>2.572310583182337E-2</v>
      </c>
      <c r="H47" s="859"/>
      <c r="I47" s="859"/>
      <c r="J47" s="859"/>
      <c r="K47" s="859"/>
      <c r="L47" s="859"/>
      <c r="M47" s="859"/>
      <c r="N47" s="859"/>
      <c r="O47" s="859"/>
      <c r="P47" s="859"/>
      <c r="Q47" s="859"/>
      <c r="R47" s="859"/>
      <c r="S47" s="859"/>
    </row>
    <row r="48" spans="2:19">
      <c r="B48" s="79" t="s">
        <v>2826</v>
      </c>
      <c r="C48" s="239" t="s">
        <v>2990</v>
      </c>
      <c r="D48" s="368">
        <f>F48/E48</f>
        <v>1.7923076923076924E-2</v>
      </c>
      <c r="E48" s="824">
        <v>65</v>
      </c>
      <c r="F48" s="826">
        <f>'SVF2'!$AX$147/1000</f>
        <v>1.165</v>
      </c>
      <c r="G48" s="554">
        <f t="shared" si="1"/>
        <v>7.8182672303872235E-3</v>
      </c>
      <c r="H48" s="1" t="s">
        <v>3005</v>
      </c>
    </row>
    <row r="49" spans="2:19">
      <c r="B49" s="1" t="s">
        <v>3029</v>
      </c>
      <c r="C49" s="239" t="s">
        <v>2990</v>
      </c>
      <c r="D49" s="368">
        <f>F49/E49</f>
        <v>0.13689835533148284</v>
      </c>
      <c r="E49" s="828">
        <f>1.27*41.7/0.029/1000</f>
        <v>1.8261724137931035</v>
      </c>
      <c r="F49" s="828">
        <v>0.25</v>
      </c>
      <c r="G49" s="368">
        <f t="shared" si="1"/>
        <v>1.6777397490101336E-3</v>
      </c>
      <c r="H49" s="1" t="s">
        <v>3049</v>
      </c>
    </row>
    <row r="50" spans="2:19">
      <c r="B50" s="1" t="s">
        <v>3023</v>
      </c>
      <c r="C50" s="239" t="s">
        <v>2990</v>
      </c>
      <c r="D50" s="817">
        <v>0.125</v>
      </c>
      <c r="E50" s="828">
        <v>1.1000000000000001</v>
      </c>
      <c r="F50" s="826">
        <f>D50*E50</f>
        <v>0.13750000000000001</v>
      </c>
      <c r="G50" s="368">
        <f t="shared" si="1"/>
        <v>9.2275686195557359E-4</v>
      </c>
      <c r="H50" s="1" t="s">
        <v>3033</v>
      </c>
    </row>
    <row r="51" spans="2:19">
      <c r="B51" s="1" t="s">
        <v>2824</v>
      </c>
      <c r="C51" s="239" t="s">
        <v>2990</v>
      </c>
      <c r="D51" s="368">
        <f>F51/E51</f>
        <v>4.5282738095238102E-3</v>
      </c>
      <c r="E51" s="824">
        <v>20</v>
      </c>
      <c r="F51" s="826">
        <f>(20/18)*'SVF2'!$AX$146/1000</f>
        <v>9.056547619047621E-2</v>
      </c>
      <c r="G51" s="368">
        <f t="shared" si="1"/>
        <v>6.0778119717117115E-4</v>
      </c>
      <c r="H51" s="1" t="s">
        <v>3006</v>
      </c>
    </row>
    <row r="52" spans="2:19">
      <c r="B52" s="9" t="s">
        <v>2991</v>
      </c>
      <c r="C52" s="9"/>
      <c r="D52" s="9"/>
      <c r="E52" s="9"/>
      <c r="F52" s="827">
        <f>SUM(F34:F37)+SUM(F42:F43)+SUM(F47:F51)</f>
        <v>235.51469003459673</v>
      </c>
      <c r="G52" s="854">
        <f t="shared" si="1"/>
        <v>1.5805294277873749</v>
      </c>
      <c r="H52" s="9"/>
      <c r="I52" s="9"/>
      <c r="J52" s="9"/>
      <c r="K52" s="9"/>
      <c r="L52" s="9"/>
      <c r="M52" s="9"/>
      <c r="N52" s="9"/>
      <c r="O52" s="9"/>
      <c r="P52" s="9"/>
      <c r="Q52" s="9"/>
      <c r="R52" s="9"/>
      <c r="S52" s="9"/>
    </row>
    <row r="53" spans="2:19">
      <c r="B53" s="1" t="s">
        <v>2997</v>
      </c>
      <c r="F53" s="829">
        <f>MROUND(100*H16/F52, 5)</f>
        <v>85</v>
      </c>
    </row>
    <row r="55" spans="2:19">
      <c r="B55" s="1" t="s">
        <v>2994</v>
      </c>
    </row>
    <row r="57" spans="2:19">
      <c r="B57" s="1" t="s">
        <v>2986</v>
      </c>
    </row>
    <row r="58" spans="2:19" ht="24">
      <c r="B58" s="814" t="s">
        <v>2982</v>
      </c>
      <c r="C58" s="578" t="s">
        <v>2987</v>
      </c>
      <c r="D58" s="297" t="s">
        <v>2983</v>
      </c>
      <c r="E58" s="578" t="s">
        <v>2984</v>
      </c>
      <c r="F58" s="578" t="s">
        <v>2989</v>
      </c>
      <c r="G58" s="868" t="s">
        <v>3038</v>
      </c>
    </row>
    <row r="59" spans="2:19">
      <c r="B59" s="5" t="s">
        <v>2985</v>
      </c>
      <c r="C59" s="239" t="s">
        <v>2988</v>
      </c>
      <c r="D59" s="815">
        <v>0.9</v>
      </c>
      <c r="E59" s="824">
        <v>250</v>
      </c>
      <c r="F59" s="826">
        <f>D59*E59-13.5</f>
        <v>211.5</v>
      </c>
      <c r="G59" s="9" t="s">
        <v>3039</v>
      </c>
      <c r="H59" s="9"/>
      <c r="I59" s="9"/>
      <c r="J59" s="9"/>
      <c r="K59" s="9"/>
      <c r="L59" s="9"/>
      <c r="M59" s="9"/>
      <c r="N59" s="9"/>
      <c r="O59" s="9"/>
      <c r="P59" s="9"/>
      <c r="Q59" s="9"/>
      <c r="R59" s="9"/>
      <c r="S59" s="9"/>
    </row>
    <row r="60" spans="2:19">
      <c r="B60" s="5" t="s">
        <v>3025</v>
      </c>
      <c r="C60" s="239" t="s">
        <v>2990</v>
      </c>
      <c r="D60" s="815">
        <v>1</v>
      </c>
      <c r="E60" s="828">
        <v>27.5</v>
      </c>
      <c r="F60" s="826">
        <f>D60*E60</f>
        <v>27.5</v>
      </c>
      <c r="G60" s="1" t="s">
        <v>3040</v>
      </c>
    </row>
    <row r="61" spans="2:19">
      <c r="B61" s="5" t="s">
        <v>3026</v>
      </c>
      <c r="C61" s="239" t="s">
        <v>2990</v>
      </c>
      <c r="D61" s="815">
        <v>1</v>
      </c>
      <c r="E61" s="857"/>
      <c r="F61" s="826"/>
      <c r="G61" s="1" t="s">
        <v>3041</v>
      </c>
    </row>
    <row r="62" spans="2:19">
      <c r="B62" s="859" t="s">
        <v>3027</v>
      </c>
      <c r="C62" s="501"/>
      <c r="D62" s="860"/>
      <c r="E62" s="861"/>
      <c r="F62" s="862">
        <f>SUM(F59:F61)</f>
        <v>239</v>
      </c>
      <c r="G62" s="863"/>
      <c r="H62" s="859"/>
      <c r="I62" s="859"/>
      <c r="J62" s="859"/>
      <c r="K62" s="859"/>
      <c r="L62" s="859"/>
      <c r="M62" s="859"/>
      <c r="N62" s="859"/>
      <c r="O62" s="859"/>
      <c r="P62" s="859"/>
      <c r="Q62" s="859"/>
      <c r="R62" s="859"/>
      <c r="S62" s="859"/>
    </row>
    <row r="63" spans="2:19">
      <c r="B63" s="1" t="s">
        <v>2726</v>
      </c>
      <c r="C63" s="239" t="s">
        <v>2990</v>
      </c>
      <c r="D63" s="769">
        <f>D35</f>
        <v>0.10879999999999999</v>
      </c>
      <c r="E63" s="824">
        <f>MROUND(17.5*200, 5)</f>
        <v>3500</v>
      </c>
      <c r="F63" s="830">
        <f>D63*E63</f>
        <v>380.79999999999995</v>
      </c>
      <c r="G63" s="1" t="s">
        <v>3054</v>
      </c>
    </row>
    <row r="64" spans="2:19">
      <c r="B64" s="1" t="s">
        <v>85</v>
      </c>
      <c r="C64" s="239" t="s">
        <v>2988</v>
      </c>
      <c r="D64" s="867">
        <v>0.40250000000000002</v>
      </c>
      <c r="E64" s="825">
        <f>MROUND(E36*(1.1)^(5), 5)</f>
        <v>115</v>
      </c>
      <c r="F64" s="830">
        <f>D64*E64-5</f>
        <v>41.287500000000001</v>
      </c>
      <c r="G64" s="1" t="s">
        <v>3056</v>
      </c>
    </row>
    <row r="65" spans="2:21">
      <c r="B65" s="79" t="s">
        <v>2750</v>
      </c>
      <c r="C65" s="239" t="s">
        <v>2990</v>
      </c>
      <c r="D65" s="769">
        <f>D37</f>
        <v>0.5</v>
      </c>
      <c r="E65" s="824">
        <v>15</v>
      </c>
      <c r="F65" s="830">
        <f>D65*E65</f>
        <v>7.5</v>
      </c>
      <c r="G65" s="1" t="s">
        <v>3042</v>
      </c>
    </row>
    <row r="66" spans="2:21">
      <c r="B66" s="33" t="s">
        <v>2460</v>
      </c>
      <c r="C66" s="852" t="s">
        <v>2988</v>
      </c>
      <c r="D66" s="869">
        <f>D38</f>
        <v>1.3214179423868312E-3</v>
      </c>
      <c r="E66" s="866">
        <f>MROUND(E38*(1.1)^(5), 5)</f>
        <v>0</v>
      </c>
      <c r="F66" s="831">
        <f t="shared" ref="F66" si="2">D66*E66</f>
        <v>0</v>
      </c>
      <c r="G66" s="9" t="s">
        <v>3051</v>
      </c>
      <c r="H66" s="9"/>
      <c r="I66" s="9"/>
      <c r="J66" s="9"/>
      <c r="K66" s="9"/>
      <c r="L66" s="9"/>
      <c r="M66" s="9"/>
      <c r="N66" s="9"/>
      <c r="O66" s="9"/>
      <c r="P66" s="9"/>
      <c r="Q66" s="9"/>
      <c r="R66" s="9"/>
      <c r="S66" s="9"/>
    </row>
    <row r="67" spans="2:21">
      <c r="B67" s="165" t="s">
        <v>3021</v>
      </c>
      <c r="C67" s="239" t="s">
        <v>2988</v>
      </c>
      <c r="D67" s="368">
        <f>D39</f>
        <v>1.8629929221435793E-2</v>
      </c>
      <c r="E67" s="824">
        <f>E39</f>
        <v>172</v>
      </c>
      <c r="F67" s="830">
        <f>D67*E67</f>
        <v>3.2043478260869565</v>
      </c>
      <c r="G67" s="1" t="s">
        <v>3052</v>
      </c>
    </row>
    <row r="68" spans="2:21">
      <c r="B68" s="5" t="s">
        <v>2885</v>
      </c>
      <c r="C68" s="239" t="s">
        <v>2988</v>
      </c>
      <c r="D68" s="823" t="str">
        <f>D40</f>
        <v>n/m</v>
      </c>
      <c r="E68" s="825">
        <f>MROUND(E40*(1.1)^(5), 5)</f>
        <v>1610</v>
      </c>
      <c r="F68" s="830">
        <f>F40</f>
        <v>0.74358100000000016</v>
      </c>
      <c r="G68" s="1" t="s">
        <v>3051</v>
      </c>
    </row>
    <row r="69" spans="2:21">
      <c r="B69" s="5" t="s">
        <v>2768</v>
      </c>
      <c r="C69" s="239" t="s">
        <v>2988</v>
      </c>
      <c r="D69" s="823" t="str">
        <f>D41</f>
        <v>n/m</v>
      </c>
      <c r="E69" s="825">
        <f>MROUND(E41*(1.1)^(5), 5)</f>
        <v>1135</v>
      </c>
      <c r="F69" s="830">
        <f>F41</f>
        <v>0</v>
      </c>
      <c r="G69" s="1" t="s">
        <v>3051</v>
      </c>
    </row>
    <row r="70" spans="2:21">
      <c r="B70" s="859" t="s">
        <v>3028</v>
      </c>
      <c r="C70" s="501"/>
      <c r="D70" s="864"/>
      <c r="E70" s="861"/>
      <c r="F70" s="862">
        <f>SUM(F66:F69)</f>
        <v>3.9479288260869567</v>
      </c>
      <c r="G70" s="859"/>
      <c r="H70" s="859"/>
      <c r="I70" s="859"/>
      <c r="J70" s="859"/>
      <c r="K70" s="859"/>
      <c r="L70" s="859"/>
      <c r="M70" s="859"/>
      <c r="N70" s="859"/>
      <c r="O70" s="859"/>
      <c r="P70" s="859"/>
      <c r="Q70" s="859"/>
      <c r="R70" s="859"/>
      <c r="S70" s="859"/>
    </row>
    <row r="71" spans="2:21">
      <c r="B71" s="1" t="s">
        <v>1079</v>
      </c>
      <c r="C71" s="239" t="s">
        <v>2990</v>
      </c>
      <c r="D71" s="822">
        <f>D43</f>
        <v>1.7500000000000002E-2</v>
      </c>
      <c r="E71" s="824">
        <f>MROUND(8*50%*((95*1.08^(7))+(0.65*1.5*30)), 5)</f>
        <v>770</v>
      </c>
      <c r="F71" s="830">
        <f>D71*E71</f>
        <v>13.475000000000001</v>
      </c>
      <c r="G71" s="1" t="s">
        <v>3008</v>
      </c>
      <c r="U71" s="1" t="s">
        <v>3007</v>
      </c>
    </row>
    <row r="72" spans="2:21">
      <c r="B72" s="5" t="s">
        <v>2459</v>
      </c>
      <c r="C72" s="239" t="s">
        <v>2988</v>
      </c>
      <c r="D72" s="823">
        <f>D44</f>
        <v>6.8000000000000005E-2</v>
      </c>
      <c r="E72" s="828">
        <f>MROUND((70/63.1)*E44, 0.25)</f>
        <v>41.25</v>
      </c>
      <c r="F72" s="830">
        <f>D72*E72</f>
        <v>2.8050000000000002</v>
      </c>
      <c r="G72" s="1" t="s">
        <v>3050</v>
      </c>
    </row>
    <row r="73" spans="2:21">
      <c r="B73" s="5" t="s">
        <v>3048</v>
      </c>
      <c r="C73" s="239" t="s">
        <v>2990</v>
      </c>
      <c r="D73" s="823">
        <f>D45</f>
        <v>0.65</v>
      </c>
      <c r="E73" s="828">
        <f>2300*100/35/1000</f>
        <v>6.5714285714285712</v>
      </c>
      <c r="F73" s="830">
        <f>D73*E73</f>
        <v>4.2714285714285714</v>
      </c>
      <c r="G73" s="1" t="s">
        <v>3050</v>
      </c>
    </row>
    <row r="74" spans="2:21">
      <c r="B74" s="5" t="s">
        <v>3047</v>
      </c>
      <c r="C74" s="239" t="s">
        <v>2988</v>
      </c>
      <c r="D74" s="823">
        <f>D46</f>
        <v>0.4</v>
      </c>
      <c r="E74" s="828">
        <f>MROUND((17.5/9.6)*E46, 0.25)</f>
        <v>6</v>
      </c>
      <c r="F74" s="830">
        <f>D74*E74</f>
        <v>2.4000000000000004</v>
      </c>
      <c r="G74" s="1" t="s">
        <v>3050</v>
      </c>
    </row>
    <row r="75" spans="2:21">
      <c r="B75" s="859" t="s">
        <v>3046</v>
      </c>
      <c r="C75" s="501"/>
      <c r="D75" s="870"/>
      <c r="E75" s="861"/>
      <c r="F75" s="862">
        <f>SUM(F72:F74)</f>
        <v>9.4764285714285723</v>
      </c>
      <c r="G75" s="859"/>
      <c r="H75" s="859"/>
      <c r="I75" s="859"/>
      <c r="J75" s="859"/>
      <c r="K75" s="859"/>
      <c r="L75" s="859"/>
      <c r="M75" s="859"/>
      <c r="N75" s="859"/>
      <c r="O75" s="859"/>
      <c r="P75" s="859"/>
      <c r="Q75" s="859"/>
      <c r="R75" s="859"/>
      <c r="S75" s="859"/>
    </row>
    <row r="76" spans="2:21">
      <c r="B76" s="79" t="s">
        <v>2826</v>
      </c>
      <c r="C76" s="239" t="s">
        <v>2990</v>
      </c>
      <c r="D76" s="823">
        <f>D48</f>
        <v>1.7923076923076924E-2</v>
      </c>
      <c r="E76" s="824">
        <f>115*(1.1)^(5)</f>
        <v>185.20865000000006</v>
      </c>
      <c r="F76" s="830">
        <f>D76*E76</f>
        <v>3.3195088807692321</v>
      </c>
      <c r="G76" s="1" t="s">
        <v>3009</v>
      </c>
    </row>
    <row r="77" spans="2:21">
      <c r="B77" s="1" t="s">
        <v>3029</v>
      </c>
      <c r="C77" s="239" t="s">
        <v>2990</v>
      </c>
      <c r="D77" s="823">
        <f>D49*(1-(0.5/(E49*1.5)))</f>
        <v>0.11191014240819626</v>
      </c>
      <c r="E77" s="824">
        <v>10</v>
      </c>
      <c r="F77" s="830">
        <f>D77*E77</f>
        <v>1.1191014240819626</v>
      </c>
      <c r="G77" s="1" t="s">
        <v>3043</v>
      </c>
    </row>
    <row r="78" spans="2:21">
      <c r="B78" s="1" t="s">
        <v>3023</v>
      </c>
      <c r="C78" s="239" t="s">
        <v>2990</v>
      </c>
      <c r="D78" s="817">
        <v>0.125</v>
      </c>
      <c r="E78" s="828">
        <f>0.5*39</f>
        <v>19.5</v>
      </c>
      <c r="F78" s="830">
        <f>D78*E78</f>
        <v>2.4375</v>
      </c>
      <c r="G78" s="1" t="s">
        <v>3044</v>
      </c>
    </row>
    <row r="79" spans="2:21">
      <c r="B79" s="1" t="s">
        <v>2824</v>
      </c>
      <c r="C79" s="239" t="s">
        <v>2990</v>
      </c>
      <c r="D79" s="823">
        <f t="shared" ref="D79" si="3">D51</f>
        <v>4.5282738095238102E-3</v>
      </c>
      <c r="E79" s="824">
        <f>MROUND(0.5*E51*E63/E35, 5)</f>
        <v>70</v>
      </c>
      <c r="F79" s="830">
        <f>E79*F51/E51</f>
        <v>0.3169791666666667</v>
      </c>
      <c r="G79" s="1" t="s">
        <v>3045</v>
      </c>
    </row>
    <row r="80" spans="2:21">
      <c r="B80" s="9" t="s">
        <v>2991</v>
      </c>
      <c r="C80" s="9"/>
      <c r="D80" s="9"/>
      <c r="E80" s="9"/>
      <c r="F80" s="827">
        <f>SUM(F62:F65)+SUM(F70:F71)+SUM(F75:F79)</f>
        <v>702.6799468690333</v>
      </c>
      <c r="G80" s="9"/>
      <c r="H80" s="9"/>
      <c r="I80" s="9"/>
      <c r="J80" s="9"/>
      <c r="K80" s="9"/>
      <c r="L80" s="9"/>
      <c r="M80" s="9"/>
      <c r="N80" s="9"/>
      <c r="O80" s="9"/>
      <c r="P80" s="9"/>
      <c r="Q80" s="9"/>
      <c r="R80" s="9"/>
      <c r="S80" s="9"/>
    </row>
    <row r="81" spans="2:6">
      <c r="B81" s="1" t="s">
        <v>2658</v>
      </c>
      <c r="F81" s="815">
        <v>0.1</v>
      </c>
    </row>
    <row r="82" spans="2:6">
      <c r="B82" s="9" t="s">
        <v>2998</v>
      </c>
      <c r="C82" s="9"/>
      <c r="D82" s="9"/>
      <c r="E82" s="9"/>
      <c r="F82" s="831">
        <f>F80*(1-F81)</f>
        <v>632.41195218212999</v>
      </c>
    </row>
    <row r="83" spans="2:6">
      <c r="B83" s="1" t="s">
        <v>2999</v>
      </c>
      <c r="F83" s="367">
        <f>F82/H14</f>
        <v>5.1154502850776113</v>
      </c>
    </row>
    <row r="85" spans="2:6">
      <c r="B85" s="1" t="s">
        <v>3057</v>
      </c>
      <c r="F85" s="871">
        <f>F80</f>
        <v>702.6799468690333</v>
      </c>
    </row>
    <row r="86" spans="2:6">
      <c r="B86" s="1" t="s">
        <v>3058</v>
      </c>
      <c r="F86" s="871">
        <f>F87-F85</f>
        <v>-70.267994686903307</v>
      </c>
    </row>
    <row r="87" spans="2:6">
      <c r="B87" s="9" t="s">
        <v>3059</v>
      </c>
      <c r="C87" s="9"/>
      <c r="D87" s="9"/>
      <c r="E87" s="9"/>
      <c r="F87" s="872">
        <f>F82</f>
        <v>632.41195218212999</v>
      </c>
    </row>
    <row r="88" spans="2:6">
      <c r="B88" s="1" t="s">
        <v>3060</v>
      </c>
      <c r="F88" s="871">
        <f>-MROUND('Valuation &amp; SBG NAV'!$BP$71, 0.5)</f>
        <v>-51</v>
      </c>
    </row>
    <row r="89" spans="2:6">
      <c r="B89" s="9" t="s">
        <v>3061</v>
      </c>
      <c r="C89" s="9"/>
      <c r="D89" s="9"/>
      <c r="E89" s="9"/>
      <c r="F89" s="872">
        <f>SUM(F87:F88)</f>
        <v>581.41195218212999</v>
      </c>
    </row>
    <row r="90" spans="2:6">
      <c r="B90" s="1" t="s">
        <v>3001</v>
      </c>
      <c r="F90" s="832">
        <f>MROUND(1000*FP!$G$4*F89/'Valuation &amp; SBG NAV'!$BP$39, 500)</f>
        <v>63000</v>
      </c>
    </row>
    <row r="91" spans="2:6">
      <c r="B91" s="1" t="s">
        <v>3010</v>
      </c>
      <c r="F91" s="856">
        <f>(F90/FP!$D$5)^(1/5)-1</f>
        <v>0.31233759121778037</v>
      </c>
    </row>
    <row r="92" spans="2:6">
      <c r="B92" s="9" t="s">
        <v>3002</v>
      </c>
      <c r="C92" s="9"/>
      <c r="D92" s="9"/>
      <c r="E92" s="9"/>
      <c r="F92" s="833">
        <f>MROUND(F90/(1.125)^(4), 100)</f>
        <v>39300</v>
      </c>
    </row>
    <row r="93" spans="2:6">
      <c r="B93" s="1" t="s">
        <v>1397</v>
      </c>
      <c r="F93" s="21">
        <f>F92/FP!D5-1</f>
        <v>1.428174235403151</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D56A7-85AC-44D6-8FBE-55F7EBF67AA4}">
  <sheetPr codeName="Sheet28"/>
  <dimension ref="A1:V50"/>
  <sheetViews>
    <sheetView zoomScale="90" zoomScaleNormal="90" workbookViewId="0"/>
  </sheetViews>
  <sheetFormatPr defaultColWidth="9.140625" defaultRowHeight="12"/>
  <cols>
    <col min="1" max="1" width="9.140625" style="1"/>
    <col min="2" max="2" width="41.42578125" style="1" customWidth="1"/>
    <col min="3" max="6" width="11.42578125" style="1" customWidth="1"/>
    <col min="7" max="7" width="82.85546875" style="1" customWidth="1"/>
    <col min="8" max="10" width="11.42578125" style="1" customWidth="1"/>
    <col min="11" max="16384" width="9.140625" style="1"/>
  </cols>
  <sheetData>
    <row r="1" spans="1:22" s="2" customFormat="1">
      <c r="A1" s="2" t="s">
        <v>0</v>
      </c>
    </row>
    <row r="2" spans="1:22" s="2" customFormat="1">
      <c r="A2" s="2" t="s">
        <v>2</v>
      </c>
    </row>
    <row r="3" spans="1:22">
      <c r="D3" s="25" t="s">
        <v>2228</v>
      </c>
    </row>
    <row r="4" spans="1:22">
      <c r="C4" s="239" t="s">
        <v>2232</v>
      </c>
      <c r="D4" s="239" t="s">
        <v>2233</v>
      </c>
      <c r="E4" s="239" t="s">
        <v>2257</v>
      </c>
      <c r="F4" s="495" t="s">
        <v>2234</v>
      </c>
      <c r="G4" s="239"/>
      <c r="H4" s="239" t="s">
        <v>2236</v>
      </c>
      <c r="I4" s="239" t="s">
        <v>2237</v>
      </c>
    </row>
    <row r="5" spans="1:22" ht="30" customHeight="1">
      <c r="B5" s="64"/>
      <c r="C5" s="20" t="s">
        <v>961</v>
      </c>
      <c r="D5" s="20" t="s">
        <v>2229</v>
      </c>
      <c r="E5" s="20" t="s">
        <v>2230</v>
      </c>
      <c r="F5" s="496" t="s">
        <v>2231</v>
      </c>
      <c r="G5" s="239" t="s">
        <v>2238</v>
      </c>
      <c r="H5" s="20" t="s">
        <v>2235</v>
      </c>
      <c r="I5" s="20" t="s">
        <v>2243</v>
      </c>
    </row>
    <row r="6" spans="1:22" ht="15" customHeight="1">
      <c r="B6" s="494" t="s">
        <v>704</v>
      </c>
      <c r="C6" s="555">
        <f>'Valuation &amp; SBG NAV'!BP54</f>
        <v>0</v>
      </c>
      <c r="D6" s="555"/>
      <c r="E6" s="555">
        <f>'Valuation &amp; SBG NAV'!BP149</f>
        <v>0</v>
      </c>
      <c r="F6" s="499">
        <f>'Valuation &amp; SBG NAV'!C175</f>
        <v>0</v>
      </c>
      <c r="G6" s="500" t="str">
        <f>'Valuation &amp; SBG NAV'!D175</f>
        <v>= minimal exposure (due to variable prepaid forward contracts) and subject to near-term monetisation.</v>
      </c>
      <c r="H6" s="555">
        <f>'Valuation &amp; SBG NAV'!BP194</f>
        <v>0</v>
      </c>
      <c r="I6" s="555">
        <f>'Valuation &amp; SBG NAV'!BP239</f>
        <v>0</v>
      </c>
      <c r="K6" s="1" t="s">
        <v>2417</v>
      </c>
      <c r="N6" s="541">
        <f>$C$21</f>
        <v>212.48849245154267</v>
      </c>
      <c r="S6" s="1" t="s">
        <v>2420</v>
      </c>
      <c r="V6" s="541">
        <f>$N$9</f>
        <v>296.46022396008527</v>
      </c>
    </row>
    <row r="7" spans="1:22" ht="15" customHeight="1">
      <c r="B7" s="5" t="s">
        <v>85</v>
      </c>
      <c r="C7" s="555">
        <f>'Valuation &amp; SBG NAV'!BP55</f>
        <v>18.403195732319269</v>
      </c>
      <c r="D7" s="555">
        <f>'Valuation &amp; SBG NAV'!BP97</f>
        <v>7.7111540941328176</v>
      </c>
      <c r="E7" s="555">
        <f>'Valuation &amp; SBG NAV'!BP150</f>
        <v>26.114349826452088</v>
      </c>
      <c r="F7" s="498">
        <f>'Valuation &amp; SBG NAV'!C176</f>
        <v>0.15</v>
      </c>
      <c r="G7" s="500" t="str">
        <f>'Valuation &amp; SBG NAV'!D176</f>
        <v>= seen as SBG's core telcos asset i.e., no further monetisation of 40.5% holding.</v>
      </c>
      <c r="H7" s="555">
        <f>'Valuation &amp; SBG NAV'!BP195</f>
        <v>22.197197352484274</v>
      </c>
      <c r="I7" s="555">
        <f>'Valuation &amp; SBG NAV'!BP240</f>
        <v>14.486043258351456</v>
      </c>
      <c r="K7" s="1" t="s">
        <v>2418</v>
      </c>
      <c r="N7" s="541">
        <f>$C$20</f>
        <v>51.124113438937144</v>
      </c>
      <c r="S7" s="1" t="s">
        <v>2415</v>
      </c>
      <c r="V7" s="541">
        <f>-($E$18-$H$18)</f>
        <v>-33.052158865098704</v>
      </c>
    </row>
    <row r="8" spans="1:22" ht="15" customHeight="1">
      <c r="B8" s="502" t="s">
        <v>84</v>
      </c>
      <c r="C8" s="556">
        <f>'Valuation &amp; SBG NAV'!BP56</f>
        <v>23.15</v>
      </c>
      <c r="D8" s="556"/>
      <c r="E8" s="556">
        <f>'Valuation &amp; SBG NAV'!BP151</f>
        <v>23.15</v>
      </c>
      <c r="F8" s="503">
        <f t="shared" ref="F8:F12" si="0">1-MROUND(H8/E8, 5%)</f>
        <v>0</v>
      </c>
      <c r="G8" s="504"/>
      <c r="H8" s="556">
        <f>'Valuation &amp; SBG NAV'!BP196</f>
        <v>23.414681437125751</v>
      </c>
      <c r="I8" s="556">
        <f>'Valuation &amp; SBG NAV'!BP241</f>
        <v>23.414681437125751</v>
      </c>
      <c r="K8" s="1" t="s">
        <v>2419</v>
      </c>
      <c r="N8" s="541">
        <f>$D$18</f>
        <v>32.847618069605481</v>
      </c>
      <c r="S8" s="1" t="s">
        <v>2416</v>
      </c>
      <c r="V8" s="541">
        <f>SUM(V6:V7)</f>
        <v>263.40806509498657</v>
      </c>
    </row>
    <row r="9" spans="1:22" ht="15" customHeight="1">
      <c r="B9" s="839" t="s">
        <v>2726</v>
      </c>
      <c r="C9" s="840">
        <f>'Valuation &amp; SBG NAV'!BP57</f>
        <v>54.4</v>
      </c>
      <c r="D9" s="840"/>
      <c r="E9" s="840">
        <f>'Valuation &amp; SBG NAV'!BP152</f>
        <v>54.4</v>
      </c>
      <c r="F9" s="841">
        <f t="shared" si="0"/>
        <v>0</v>
      </c>
      <c r="G9" s="657"/>
      <c r="H9" s="840">
        <f>'Valuation &amp; SBG NAV'!BP197</f>
        <v>54.4</v>
      </c>
      <c r="I9" s="840">
        <f>'Valuation &amp; SBG NAV'!BP242</f>
        <v>54.4</v>
      </c>
      <c r="K9" s="1" t="s">
        <v>2420</v>
      </c>
      <c r="N9" s="541">
        <f>SUM(N6:N8)</f>
        <v>296.46022396008527</v>
      </c>
      <c r="S9" s="1" t="s">
        <v>2419</v>
      </c>
      <c r="V9" s="541">
        <f>-$N$8</f>
        <v>-32.847618069605481</v>
      </c>
    </row>
    <row r="10" spans="1:22" ht="15" customHeight="1">
      <c r="B10" s="838" t="s">
        <v>2963</v>
      </c>
      <c r="C10" s="557">
        <f>'Valuation &amp; SBG NAV'!BP58</f>
        <v>28.990000000000002</v>
      </c>
      <c r="D10" s="557">
        <f>'Valuation &amp; SBG NAV'!BP100</f>
        <v>5.33</v>
      </c>
      <c r="E10" s="557">
        <f>'Valuation &amp; SBG NAV'!BP153</f>
        <v>34.32</v>
      </c>
      <c r="F10" s="506">
        <f t="shared" si="0"/>
        <v>0.6</v>
      </c>
      <c r="G10" s="507"/>
      <c r="H10" s="557">
        <f>'Valuation &amp; SBG NAV'!BP198</f>
        <v>14.151279999999998</v>
      </c>
      <c r="I10" s="557">
        <f>'Valuation &amp; SBG NAV'!BP243</f>
        <v>8.821279999999998</v>
      </c>
      <c r="S10" s="1" t="s">
        <v>2418</v>
      </c>
      <c r="V10" s="541">
        <f>-$N$7</f>
        <v>-51.124113438937144</v>
      </c>
    </row>
    <row r="11" spans="1:22" ht="15" customHeight="1">
      <c r="B11" s="505" t="s">
        <v>83</v>
      </c>
      <c r="C11" s="557">
        <f>'Valuation &amp; SBG NAV'!BP59</f>
        <v>83.39</v>
      </c>
      <c r="D11" s="557">
        <f>'Valuation &amp; SBG NAV'!BP101</f>
        <v>5.33</v>
      </c>
      <c r="E11" s="557">
        <f>'Valuation &amp; SBG NAV'!BP154</f>
        <v>88.72</v>
      </c>
      <c r="F11" s="506">
        <f t="shared" si="0"/>
        <v>0.25</v>
      </c>
      <c r="G11" s="507"/>
      <c r="H11" s="557">
        <f>'Valuation &amp; SBG NAV'!BP199</f>
        <v>68.551279999999991</v>
      </c>
      <c r="I11" s="557">
        <f>'Valuation &amp; SBG NAV'!BP244</f>
        <v>63.221279999999993</v>
      </c>
      <c r="S11" s="1" t="s">
        <v>2243</v>
      </c>
      <c r="V11" s="541">
        <f>SUM(V8:V10)</f>
        <v>179.43633358644394</v>
      </c>
    </row>
    <row r="12" spans="1:22" ht="15" customHeight="1">
      <c r="B12" s="505" t="s">
        <v>944</v>
      </c>
      <c r="C12" s="557">
        <f>'Valuation &amp; SBG NAV'!BP60</f>
        <v>6.7729999999999997</v>
      </c>
      <c r="D12" s="557"/>
      <c r="E12" s="557">
        <f>'Valuation &amp; SBG NAV'!BP155</f>
        <v>6.7729999999999997</v>
      </c>
      <c r="F12" s="506">
        <f t="shared" si="0"/>
        <v>0.5</v>
      </c>
      <c r="G12" s="507"/>
      <c r="H12" s="557">
        <f>'Valuation &amp; SBG NAV'!BP200</f>
        <v>3.3864999999999998</v>
      </c>
      <c r="I12" s="557">
        <f>'Valuation &amp; SBG NAV'!BP245</f>
        <v>3.3864999999999998</v>
      </c>
    </row>
    <row r="13" spans="1:22" ht="15" customHeight="1">
      <c r="B13" s="494" t="s">
        <v>945</v>
      </c>
      <c r="C13" s="555">
        <f>'Valuation &amp; SBG NAV'!BP61</f>
        <v>113.313</v>
      </c>
      <c r="D13" s="555">
        <f>'Valuation &amp; SBG NAV'!BP103</f>
        <v>5.33</v>
      </c>
      <c r="E13" s="555">
        <f>'Valuation &amp; SBG NAV'!BP156</f>
        <v>118.643</v>
      </c>
      <c r="F13" s="499">
        <f>1-MROUND(H13/E13, 5%)</f>
        <v>0.19999999999999996</v>
      </c>
      <c r="G13" s="501"/>
      <c r="H13" s="555">
        <f>'Valuation &amp; SBG NAV'!BP201</f>
        <v>95.35246143712574</v>
      </c>
      <c r="I13" s="555">
        <f>'Valuation &amp; SBG NAV'!BP246</f>
        <v>90.022461437125742</v>
      </c>
    </row>
    <row r="14" spans="1:22" ht="15" customHeight="1">
      <c r="B14" s="494" t="s">
        <v>87</v>
      </c>
      <c r="C14" s="555">
        <f>'Valuation &amp; SBG NAV'!BP62</f>
        <v>3.4577600000000013</v>
      </c>
      <c r="D14" s="555">
        <f>'Valuation &amp; SBG NAV'!BP104</f>
        <v>0</v>
      </c>
      <c r="E14" s="555">
        <f>'Valuation &amp; SBG NAV'!BP157</f>
        <v>3.4577600000000013</v>
      </c>
      <c r="F14" s="499">
        <f>'Valuation &amp; SBG NAV'!C183</f>
        <v>0</v>
      </c>
      <c r="G14" s="501" t="str">
        <f>'Valuation &amp; SBG NAV'!D183</f>
        <v>= Arete have xx% upside on T-Mobile US and non-core + easily monetisable e.g., buyback participation.</v>
      </c>
      <c r="H14" s="555">
        <f>'Valuation &amp; SBG NAV'!BP202</f>
        <v>3.4577600000000013</v>
      </c>
      <c r="I14" s="555">
        <f>'Valuation &amp; SBG NAV'!BP247</f>
        <v>3.4577600000000013</v>
      </c>
    </row>
    <row r="15" spans="1:22" ht="15" customHeight="1">
      <c r="B15" s="494" t="s">
        <v>88</v>
      </c>
      <c r="C15" s="555">
        <f>'Valuation &amp; SBG NAV'!BP63</f>
        <v>0</v>
      </c>
      <c r="D15" s="555">
        <f>'Valuation &amp; SBG NAV'!BP105</f>
        <v>0</v>
      </c>
      <c r="E15" s="555">
        <f>'Valuation &amp; SBG NAV'!BP158</f>
        <v>0</v>
      </c>
      <c r="F15" s="499">
        <f>'Valuation &amp; SBG NAV'!C184</f>
        <v>0</v>
      </c>
      <c r="G15" s="501" t="str">
        <f>'Valuation &amp; SBG NAV'!D184</f>
        <v>= Arete have xx% upside on DT and non-core + easily monetisable e.g., buyback participation.</v>
      </c>
      <c r="H15" s="555">
        <f>'Valuation &amp; SBG NAV'!BP203</f>
        <v>0</v>
      </c>
      <c r="I15" s="555">
        <f>'Valuation &amp; SBG NAV'!BP248</f>
        <v>0</v>
      </c>
    </row>
    <row r="16" spans="1:22" ht="15" customHeight="1">
      <c r="B16" s="514" t="s">
        <v>946</v>
      </c>
      <c r="C16" s="558">
        <f>'Valuation &amp; SBG NAV'!BP64</f>
        <v>97.59877126376432</v>
      </c>
      <c r="D16" s="558">
        <f>'Valuation &amp; SBG NAV'!BP106</f>
        <v>19.806463975472663</v>
      </c>
      <c r="E16" s="558">
        <f>'Valuation &amp; SBG NAV'!BP159</f>
        <v>117.40523523923699</v>
      </c>
      <c r="F16" s="515">
        <f>'Valuation &amp; SBG NAV'!C185</f>
        <v>0.1</v>
      </c>
      <c r="G16" s="516" t="s">
        <v>2248</v>
      </c>
      <c r="H16" s="558">
        <f>'Valuation &amp; SBG NAV'!BP204</f>
        <v>117.24475530042</v>
      </c>
      <c r="I16" s="558">
        <f>'Valuation &amp; SBG NAV'!BP249</f>
        <v>97.438291324947329</v>
      </c>
    </row>
    <row r="17" spans="2:9">
      <c r="B17" s="494" t="s">
        <v>2810</v>
      </c>
      <c r="C17" s="555">
        <f>'Valuation &amp; SBG NAV'!BP65</f>
        <v>30.839878894396197</v>
      </c>
      <c r="D17" s="555"/>
      <c r="E17" s="555">
        <f>'Valuation &amp; SBG NAV'!BP160</f>
        <v>30.839878894396197</v>
      </c>
      <c r="F17" s="499">
        <f>1-MROUND(H17/E17, 5%)</f>
        <v>0.19999999999999996</v>
      </c>
      <c r="G17" s="501" t="str">
        <f>'Valuation &amp; SBG NAV'!D188</f>
        <v>= 15% discount for other assets (e.g., NVIDIA, TSMC, Oracle equity stakes).</v>
      </c>
      <c r="H17" s="555">
        <f>'Valuation &amp; SBG NAV'!BP205</f>
        <v>25.155891004956576</v>
      </c>
      <c r="I17" s="555">
        <f>'Valuation &amp; SBG NAV'!BP250</f>
        <v>25.155891004956576</v>
      </c>
    </row>
    <row r="18" spans="2:9" ht="15" customHeight="1">
      <c r="B18" s="517" t="s">
        <v>89</v>
      </c>
      <c r="C18" s="559">
        <f>'Valuation &amp; SBG NAV'!BP66</f>
        <v>263.61260589047981</v>
      </c>
      <c r="D18" s="559">
        <f>'Valuation &amp; SBG NAV'!BP108</f>
        <v>32.847618069605481</v>
      </c>
      <c r="E18" s="559">
        <f>'Valuation &amp; SBG NAV'!BP161</f>
        <v>296.46022396008527</v>
      </c>
      <c r="F18" s="843">
        <f>1-MROUND(H18/E18, 5%)</f>
        <v>9.9999999999999978E-2</v>
      </c>
      <c r="G18" s="518"/>
      <c r="H18" s="559">
        <f>'Valuation &amp; SBG NAV'!BP206</f>
        <v>263.40806509498657</v>
      </c>
      <c r="I18" s="559">
        <f>'Valuation &amp; SBG NAV'!BP251</f>
        <v>230.56044702538111</v>
      </c>
    </row>
    <row r="19" spans="2:9" ht="15" customHeight="1"/>
    <row r="20" spans="2:9" ht="15" customHeight="1">
      <c r="B20" s="57" t="s">
        <v>2242</v>
      </c>
      <c r="C20" s="560">
        <f>'Valuation &amp; SBG NAV'!BP71</f>
        <v>51.124113438937144</v>
      </c>
      <c r="D20" s="57"/>
      <c r="E20" s="57"/>
      <c r="F20" s="57"/>
      <c r="G20" s="57"/>
      <c r="H20" s="57"/>
      <c r="I20" s="560">
        <f>C20</f>
        <v>51.124113438937144</v>
      </c>
    </row>
    <row r="21" spans="2:9" ht="15" customHeight="1">
      <c r="B21" s="468" t="s">
        <v>2227</v>
      </c>
      <c r="C21" s="561">
        <f>C18-C20</f>
        <v>212.48849245154267</v>
      </c>
      <c r="D21" s="468"/>
      <c r="E21" s="468"/>
      <c r="F21" s="837">
        <f>1-MROUND(I21/C21, 2.5%)</f>
        <v>0.14999999999999991</v>
      </c>
      <c r="G21" s="468"/>
      <c r="H21" s="468"/>
      <c r="I21" s="561">
        <f>I18-I20</f>
        <v>179.43633358644396</v>
      </c>
    </row>
    <row r="22" spans="2:9" ht="15" customHeight="1">
      <c r="B22" s="1" t="s">
        <v>1006</v>
      </c>
      <c r="C22" s="42">
        <f>FP!$G$4</f>
        <v>155.1</v>
      </c>
      <c r="I22" s="42">
        <f>FP!$G$4</f>
        <v>155.1</v>
      </c>
    </row>
    <row r="23" spans="2:9" ht="15" customHeight="1">
      <c r="B23" s="9" t="s">
        <v>2244</v>
      </c>
      <c r="C23" s="565">
        <f>C21*C22/1000</f>
        <v>32.956965179234267</v>
      </c>
      <c r="D23" s="9"/>
      <c r="E23" s="9"/>
      <c r="F23" s="9"/>
      <c r="G23" s="9"/>
      <c r="H23" s="9"/>
      <c r="I23" s="565">
        <f>I21*I22/1000</f>
        <v>27.830575339257457</v>
      </c>
    </row>
    <row r="24" spans="2:9" ht="15" customHeight="1">
      <c r="B24" s="1" t="s">
        <v>2245</v>
      </c>
      <c r="I24" s="486">
        <f>'Valuation &amp; SBG NAV'!$BO$39</f>
        <v>1427.9620299999999</v>
      </c>
    </row>
    <row r="25" spans="2:9">
      <c r="B25" s="358" t="s">
        <v>2246</v>
      </c>
      <c r="C25" s="358"/>
      <c r="D25" s="358"/>
      <c r="E25" s="358"/>
      <c r="F25" s="358"/>
      <c r="G25" s="358"/>
      <c r="H25" s="358"/>
      <c r="I25" s="519">
        <f>MROUND(1000000*I23/I24, 100)</f>
        <v>19500</v>
      </c>
    </row>
    <row r="26" spans="2:9">
      <c r="B26" s="44" t="s">
        <v>1397</v>
      </c>
      <c r="C26" s="44"/>
      <c r="D26" s="44"/>
      <c r="E26" s="44"/>
      <c r="F26" s="44"/>
      <c r="G26" s="44"/>
      <c r="H26" s="44"/>
      <c r="I26" s="520">
        <f>I25/FP!$D$5-1</f>
        <v>0.20481927710843384</v>
      </c>
    </row>
    <row r="27" spans="2:9" ht="30" customHeight="1"/>
    <row r="28" spans="2:9" ht="15" customHeight="1">
      <c r="C28" s="239" t="s">
        <v>2232</v>
      </c>
      <c r="D28" s="239" t="s">
        <v>2233</v>
      </c>
      <c r="E28" s="239" t="s">
        <v>2257</v>
      </c>
      <c r="F28" s="495" t="s">
        <v>2234</v>
      </c>
      <c r="G28" s="239"/>
      <c r="H28" s="239" t="s">
        <v>2236</v>
      </c>
      <c r="I28" s="239" t="s">
        <v>2237</v>
      </c>
    </row>
    <row r="29" spans="2:9" ht="36">
      <c r="B29" s="64" t="s">
        <v>191</v>
      </c>
      <c r="C29" s="20" t="s">
        <v>961</v>
      </c>
      <c r="D29" s="20" t="s">
        <v>2229</v>
      </c>
      <c r="E29" s="20" t="s">
        <v>2230</v>
      </c>
      <c r="F29" s="496" t="s">
        <v>2231</v>
      </c>
      <c r="G29" s="365" t="s">
        <v>2238</v>
      </c>
      <c r="H29" s="20" t="s">
        <v>2235</v>
      </c>
      <c r="I29" s="20" t="s">
        <v>2243</v>
      </c>
    </row>
    <row r="30" spans="2:9" ht="15" customHeight="1">
      <c r="B30" s="5" t="s">
        <v>2239</v>
      </c>
      <c r="C30" s="541">
        <f>E30</f>
        <v>10.70135896649076</v>
      </c>
      <c r="D30" s="541"/>
      <c r="E30" s="541">
        <f>'Valuation &amp; SBG NAV'!BK216</f>
        <v>10.70135896649076</v>
      </c>
      <c r="F30" s="498">
        <f>'Valuation &amp; SBG NAV'!C177</f>
        <v>0</v>
      </c>
      <c r="G30" s="239" t="str">
        <f>'Valuation &amp; SBG NAV'!D177</f>
        <v>= to be monetised in near future &amp; already marked-to-market by SBG.</v>
      </c>
      <c r="H30" s="541">
        <f>E30*(1-F30)</f>
        <v>10.70135896649076</v>
      </c>
      <c r="I30" s="541"/>
    </row>
    <row r="31" spans="2:9" ht="15" customHeight="1">
      <c r="B31" s="5" t="s">
        <v>2240</v>
      </c>
      <c r="C31" s="541">
        <f>E31</f>
        <v>6.2863330613316037</v>
      </c>
      <c r="D31" s="541"/>
      <c r="E31" s="541">
        <f>'Valuation &amp; SBG NAV'!BK217</f>
        <v>6.2863330613316037</v>
      </c>
      <c r="F31" s="498">
        <f>'Valuation &amp; SBG NAV'!C178</f>
        <v>0.25</v>
      </c>
      <c r="G31" s="239" t="str">
        <f>'Valuation &amp; SBG NAV'!D178</f>
        <v>= highly skeptical of under the bonnet SVF valuations given investment track record.</v>
      </c>
      <c r="H31" s="541">
        <f>E31*(1-F31)</f>
        <v>4.7147497959987028</v>
      </c>
      <c r="I31" s="541"/>
    </row>
    <row r="32" spans="2:9" ht="15" customHeight="1">
      <c r="B32" s="5" t="s">
        <v>1079</v>
      </c>
      <c r="C32" s="541">
        <f>E32</f>
        <v>7.6244000000000005</v>
      </c>
      <c r="D32" s="541"/>
      <c r="E32" s="541">
        <f>'Valuation &amp; SBG NAV'!BK218</f>
        <v>7.6244000000000005</v>
      </c>
      <c r="F32" s="498">
        <f>'Valuation &amp; SBG NAV'!C179</f>
        <v>0</v>
      </c>
      <c r="G32" s="239" t="str">
        <f>'Valuation &amp; SBG NAV'!D179</f>
        <v>= value separately: think SBG carrying value conservative and already marked down 20% for potential US ban.</v>
      </c>
      <c r="H32" s="541">
        <f>E32*(1-F32)</f>
        <v>7.6244000000000005</v>
      </c>
      <c r="I32" s="541"/>
    </row>
    <row r="33" spans="2:9" ht="15" customHeight="1">
      <c r="B33" s="497" t="s">
        <v>84</v>
      </c>
      <c r="C33" s="562">
        <f>C8</f>
        <v>23.15</v>
      </c>
      <c r="D33" s="562"/>
      <c r="E33" s="562">
        <f>E8</f>
        <v>23.15</v>
      </c>
      <c r="F33" s="508">
        <f>1-MROUND(H33/E33, 5%)</f>
        <v>0</v>
      </c>
      <c r="G33" s="497"/>
      <c r="H33" s="562">
        <f>H8</f>
        <v>23.414681437125751</v>
      </c>
      <c r="I33" s="562">
        <f>I8</f>
        <v>23.414681437125751</v>
      </c>
    </row>
    <row r="34" spans="2:9" ht="15" customHeight="1">
      <c r="B34" s="5" t="s">
        <v>2241</v>
      </c>
      <c r="C34" s="541">
        <f>'SVF2'!$AR$4*'Valuation table summary'!$C$11</f>
        <v>8.6989568345323747</v>
      </c>
      <c r="D34" s="541"/>
      <c r="E34" s="541">
        <f>'Valuation &amp; SBG NAV'!BK229</f>
        <v>3.6361145525368044</v>
      </c>
      <c r="F34" s="498">
        <f>'Valuation &amp; SBG NAV'!C180</f>
        <v>0.15</v>
      </c>
      <c r="G34" s="239" t="str">
        <f>'Valuation &amp; SBG NAV'!D180</f>
        <v>= monetisation timeline less obvious albeit marked-to-market by SBG.</v>
      </c>
      <c r="H34" s="541">
        <f>E34*(1-F34)</f>
        <v>3.0906973696562838</v>
      </c>
      <c r="I34" s="541"/>
    </row>
    <row r="35" spans="2:9" ht="15" customHeight="1">
      <c r="B35" s="5" t="s">
        <v>2405</v>
      </c>
      <c r="C35" s="541">
        <f>C36-C34</f>
        <v>74.691043165467619</v>
      </c>
      <c r="D35" s="541"/>
      <c r="E35" s="541">
        <f>'Valuation &amp; SBG NAV'!BK230</f>
        <v>28.325339382433015</v>
      </c>
      <c r="F35" s="498">
        <f>'Valuation &amp; SBG NAV'!C181</f>
        <v>0.67</v>
      </c>
      <c r="G35" s="239" t="str">
        <f>'Valuation &amp; SBG NAV'!D181</f>
        <v>= see SVF1 explanation: additional discount due to peak tech valuation "vintage".</v>
      </c>
      <c r="H35" s="541">
        <f>E35*(1-F35)</f>
        <v>9.3473619962028938</v>
      </c>
      <c r="I35" s="541"/>
    </row>
    <row r="36" spans="2:9">
      <c r="B36" s="509" t="s">
        <v>83</v>
      </c>
      <c r="C36" s="563">
        <f t="shared" ref="C36:E37" si="1">C11</f>
        <v>83.39</v>
      </c>
      <c r="D36" s="563">
        <f t="shared" si="1"/>
        <v>5.33</v>
      </c>
      <c r="E36" s="563">
        <f t="shared" si="1"/>
        <v>88.72</v>
      </c>
      <c r="F36" s="510">
        <f>1-MROUND(H36/E36, 5%)</f>
        <v>0.25</v>
      </c>
      <c r="G36" s="509"/>
      <c r="H36" s="563">
        <f>H11</f>
        <v>68.551279999999991</v>
      </c>
      <c r="I36" s="563">
        <f>I11</f>
        <v>63.221279999999993</v>
      </c>
    </row>
    <row r="37" spans="2:9" s="26" customFormat="1">
      <c r="B37" s="511" t="s">
        <v>944</v>
      </c>
      <c r="C37" s="564">
        <f t="shared" si="1"/>
        <v>6.7729999999999997</v>
      </c>
      <c r="D37" s="564">
        <f t="shared" si="1"/>
        <v>0</v>
      </c>
      <c r="E37" s="564">
        <f t="shared" si="1"/>
        <v>6.7729999999999997</v>
      </c>
      <c r="F37" s="512">
        <f>1-MROUND(H37/E37, 5%)</f>
        <v>0.5</v>
      </c>
      <c r="G37" s="513" t="str">
        <f>'Valuation &amp; SBG NAV'!D182</f>
        <v>= poor visibility on investments plus significant EM risk etc etc.</v>
      </c>
      <c r="H37" s="564">
        <f>H12</f>
        <v>3.3864999999999998</v>
      </c>
      <c r="I37" s="564">
        <f>I12</f>
        <v>3.3864999999999998</v>
      </c>
    </row>
    <row r="38" spans="2:9" s="26" customFormat="1">
      <c r="B38" s="1"/>
      <c r="C38" s="1"/>
      <c r="D38" s="1"/>
      <c r="E38" s="1"/>
      <c r="F38" s="1"/>
      <c r="G38" s="1"/>
      <c r="H38" s="1"/>
      <c r="I38" s="1"/>
    </row>
    <row r="39" spans="2:9" s="26" customFormat="1">
      <c r="B39" s="189" t="s">
        <v>2247</v>
      </c>
    </row>
    <row r="40" spans="2:9" s="26" customFormat="1">
      <c r="B40" s="26" t="s">
        <v>704</v>
      </c>
      <c r="E40" s="287">
        <f>E6-(C6+D6)</f>
        <v>0</v>
      </c>
      <c r="H40" s="287">
        <f>H6-(E6*(1-F6))</f>
        <v>0</v>
      </c>
    </row>
    <row r="41" spans="2:9" s="26" customFormat="1">
      <c r="B41" s="26" t="s">
        <v>85</v>
      </c>
      <c r="E41" s="287">
        <f>E7-(C7+D7)</f>
        <v>0</v>
      </c>
      <c r="H41" s="287">
        <f>H7-(E7*(1-F7))</f>
        <v>0</v>
      </c>
    </row>
    <row r="42" spans="2:9" s="26" customFormat="1">
      <c r="B42" s="26" t="s">
        <v>84</v>
      </c>
      <c r="E42" s="287">
        <f>E8-(C8+D8)</f>
        <v>0</v>
      </c>
      <c r="H42" s="287"/>
    </row>
    <row r="43" spans="2:9" s="26" customFormat="1">
      <c r="B43" s="26" t="s">
        <v>83</v>
      </c>
      <c r="E43" s="287">
        <f t="shared" ref="E43:E50" si="2">E11-(C11+D11)</f>
        <v>0</v>
      </c>
      <c r="H43" s="287"/>
    </row>
    <row r="44" spans="2:9" s="26" customFormat="1">
      <c r="B44" s="26" t="s">
        <v>944</v>
      </c>
      <c r="E44" s="287">
        <f t="shared" si="2"/>
        <v>0</v>
      </c>
      <c r="H44" s="287"/>
    </row>
    <row r="45" spans="2:9" s="26" customFormat="1">
      <c r="B45" s="26" t="s">
        <v>945</v>
      </c>
      <c r="E45" s="287">
        <f t="shared" si="2"/>
        <v>0</v>
      </c>
      <c r="H45" s="287"/>
    </row>
    <row r="46" spans="2:9" s="26" customFormat="1">
      <c r="B46" s="26" t="s">
        <v>87</v>
      </c>
      <c r="E46" s="287">
        <f t="shared" si="2"/>
        <v>0</v>
      </c>
      <c r="H46" s="287">
        <f>H14-(E14*(1-F14))</f>
        <v>0</v>
      </c>
    </row>
    <row r="47" spans="2:9" s="26" customFormat="1">
      <c r="B47" s="26" t="s">
        <v>88</v>
      </c>
      <c r="E47" s="287">
        <f t="shared" si="2"/>
        <v>0</v>
      </c>
      <c r="H47" s="287">
        <f>H15-(E15*(1-F15))</f>
        <v>0</v>
      </c>
    </row>
    <row r="48" spans="2:9" s="26" customFormat="1">
      <c r="B48" s="26" t="s">
        <v>946</v>
      </c>
      <c r="E48" s="287">
        <f t="shared" si="2"/>
        <v>0</v>
      </c>
      <c r="H48" s="287">
        <f>H16-(E16*(1-F16))</f>
        <v>11.580043585106708</v>
      </c>
    </row>
    <row r="49" spans="2:9">
      <c r="B49" s="26" t="s">
        <v>947</v>
      </c>
      <c r="C49" s="26"/>
      <c r="D49" s="26"/>
      <c r="E49" s="287">
        <f t="shared" si="2"/>
        <v>0</v>
      </c>
      <c r="F49" s="26"/>
      <c r="G49" s="26"/>
      <c r="H49" s="287"/>
      <c r="I49" s="26"/>
    </row>
    <row r="50" spans="2:9">
      <c r="B50" s="26" t="s">
        <v>89</v>
      </c>
      <c r="C50" s="26"/>
      <c r="D50" s="26"/>
      <c r="E50" s="287">
        <f t="shared" si="2"/>
        <v>0</v>
      </c>
      <c r="F50" s="26"/>
      <c r="G50" s="26"/>
      <c r="H50" s="287"/>
      <c r="I50" s="26"/>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652C1-462D-40E9-B4A1-B0727CC792F3}">
  <sheetPr codeName="Sheet2"/>
  <dimension ref="A1:AE38"/>
  <sheetViews>
    <sheetView tabSelected="1" zoomScale="90" zoomScaleNormal="90" workbookViewId="0"/>
  </sheetViews>
  <sheetFormatPr defaultColWidth="9.140625" defaultRowHeight="12"/>
  <cols>
    <col min="1" max="26" width="11.42578125" style="1" customWidth="1"/>
    <col min="27" max="16384" width="9.140625" style="1"/>
  </cols>
  <sheetData>
    <row r="1" spans="1:31" s="2" customFormat="1">
      <c r="A1" s="2" t="s">
        <v>0</v>
      </c>
    </row>
    <row r="2" spans="1:31" s="2" customFormat="1">
      <c r="A2" s="2" t="s">
        <v>2</v>
      </c>
    </row>
    <row r="3" spans="1:31">
      <c r="N3" s="685" t="s">
        <v>2682</v>
      </c>
      <c r="O3" s="684"/>
      <c r="P3" s="684"/>
      <c r="Q3" s="684"/>
      <c r="R3" s="684"/>
      <c r="S3" s="684"/>
      <c r="X3" s="26"/>
      <c r="Y3" s="26"/>
      <c r="Z3" s="1164" t="s">
        <v>2481</v>
      </c>
      <c r="AA3" s="671"/>
      <c r="AB3" s="671"/>
      <c r="AC3" s="26"/>
      <c r="AD3" s="26"/>
      <c r="AE3" s="26"/>
    </row>
    <row r="4" spans="1:31">
      <c r="F4" s="1" t="s">
        <v>15</v>
      </c>
      <c r="G4" s="441">
        <v>155.1</v>
      </c>
      <c r="I4" s="1" t="s">
        <v>2492</v>
      </c>
      <c r="L4" s="633">
        <v>109.31</v>
      </c>
      <c r="N4" s="1" t="s">
        <v>2482</v>
      </c>
      <c r="Q4" s="627">
        <f>10*214.8</f>
        <v>2148</v>
      </c>
      <c r="S4" s="1" t="s">
        <v>2197</v>
      </c>
      <c r="V4" s="303">
        <v>0.40250000000000002</v>
      </c>
      <c r="X4" s="26" t="s">
        <v>2263</v>
      </c>
      <c r="Y4" s="26"/>
      <c r="Z4" s="1089">
        <f>'Financial statements KK'!$AK$292</f>
        <v>3731.0999999999995</v>
      </c>
      <c r="AA4" s="26"/>
      <c r="AB4" s="26" t="s">
        <v>2269</v>
      </c>
      <c r="AC4" s="26"/>
      <c r="AD4" s="26"/>
      <c r="AE4" s="287">
        <f>MROUND(Z4/$G$4, 0.05)</f>
        <v>24.05</v>
      </c>
    </row>
    <row r="5" spans="1:31">
      <c r="B5" s="26" t="s">
        <v>3298</v>
      </c>
      <c r="C5" s="26"/>
      <c r="D5" s="1020">
        <f>MROUND(D9*4, 5)</f>
        <v>16185</v>
      </c>
      <c r="F5" s="1" t="s">
        <v>2266</v>
      </c>
      <c r="G5" s="477">
        <v>183.25</v>
      </c>
      <c r="I5" s="1" t="s">
        <v>1949</v>
      </c>
      <c r="L5" s="477">
        <v>124.37</v>
      </c>
      <c r="N5" s="684" t="s">
        <v>2681</v>
      </c>
      <c r="O5" s="684"/>
      <c r="P5" s="684"/>
      <c r="Q5" s="686">
        <f>10*212.7</f>
        <v>2127</v>
      </c>
      <c r="X5" s="26" t="s">
        <v>2309</v>
      </c>
      <c r="Y5" s="26"/>
      <c r="Z5" s="1089">
        <f>'Financial statements KK'!$AK$252</f>
        <v>490.9</v>
      </c>
      <c r="AA5" s="26"/>
      <c r="AB5" s="26" t="s">
        <v>2310</v>
      </c>
      <c r="AC5" s="26"/>
      <c r="AD5" s="26"/>
      <c r="AE5" s="287">
        <f>MROUND(Z5/$G$4, 0.05)</f>
        <v>3.1500000000000004</v>
      </c>
    </row>
    <row r="6" spans="1:31">
      <c r="B6" s="26" t="s">
        <v>232</v>
      </c>
      <c r="C6" s="26"/>
      <c r="D6" s="1020">
        <v>1427.9620299999999</v>
      </c>
      <c r="F6" s="1" t="s">
        <v>2267</v>
      </c>
      <c r="G6" s="477">
        <v>209.15</v>
      </c>
      <c r="I6" s="1" t="s">
        <v>1950</v>
      </c>
      <c r="L6" s="62">
        <f>'[64]P&amp;L'!$FO$69</f>
        <v>1048.8884889999999</v>
      </c>
      <c r="N6" s="684" t="s">
        <v>2184</v>
      </c>
      <c r="O6" s="684"/>
      <c r="P6" s="684"/>
      <c r="Q6" s="686">
        <f>'Financial statements KK'!$AL$58</f>
        <v>4731.0511210000013</v>
      </c>
      <c r="S6" s="9" t="s">
        <v>2198</v>
      </c>
      <c r="T6" s="9"/>
      <c r="U6" s="9"/>
      <c r="V6" s="63"/>
      <c r="X6" s="26" t="s">
        <v>2264</v>
      </c>
      <c r="Y6" s="26"/>
      <c r="Z6" s="1165">
        <v>74.650000000000006</v>
      </c>
      <c r="AA6" s="26"/>
      <c r="AB6" s="26" t="s">
        <v>2264</v>
      </c>
      <c r="AC6" s="26"/>
      <c r="AD6" s="26"/>
      <c r="AE6" s="287">
        <f>MROUND(Z6, 0.05)</f>
        <v>74.650000000000006</v>
      </c>
    </row>
    <row r="7" spans="1:31">
      <c r="B7" s="174" t="s">
        <v>3299</v>
      </c>
      <c r="C7" s="174"/>
      <c r="D7" s="1021">
        <f>D5*D6/1000</f>
        <v>23111.56545555</v>
      </c>
      <c r="I7" s="9" t="s">
        <v>1951</v>
      </c>
      <c r="J7" s="9"/>
      <c r="K7" s="9"/>
      <c r="L7" s="63">
        <f>L5*L6/1000</f>
        <v>130.45026137693</v>
      </c>
      <c r="N7" s="9" t="s">
        <v>2185</v>
      </c>
      <c r="O7" s="9"/>
      <c r="P7" s="9"/>
      <c r="Q7" s="63">
        <f>Q5*Q6/1000</f>
        <v>10062.945734367004</v>
      </c>
      <c r="X7" s="26" t="s">
        <v>2265</v>
      </c>
      <c r="Y7" s="26"/>
      <c r="Z7" s="1165">
        <v>93.745999999999995</v>
      </c>
      <c r="AA7" s="26"/>
      <c r="AB7" s="26" t="s">
        <v>2270</v>
      </c>
      <c r="AC7" s="26"/>
      <c r="AD7" s="26"/>
      <c r="AE7" s="287">
        <f>MROUND(Z7*$G$5/$G$4, 0.05)</f>
        <v>110.75</v>
      </c>
    </row>
    <row r="8" spans="1:31">
      <c r="F8" s="1" t="s">
        <v>2347</v>
      </c>
      <c r="G8" s="477">
        <v>216.11</v>
      </c>
      <c r="S8" s="9" t="s">
        <v>2199</v>
      </c>
      <c r="T8" s="9"/>
      <c r="U8" s="9"/>
      <c r="V8" s="63"/>
      <c r="X8" s="443" t="s">
        <v>2271</v>
      </c>
      <c r="Y8" s="26"/>
      <c r="Z8" s="26"/>
      <c r="AA8" s="26"/>
      <c r="AB8" s="26"/>
      <c r="AC8" s="26"/>
      <c r="AD8" s="26"/>
      <c r="AE8" s="26"/>
    </row>
    <row r="9" spans="1:31">
      <c r="B9" s="1" t="s">
        <v>231</v>
      </c>
      <c r="D9" s="62">
        <v>4046</v>
      </c>
      <c r="F9" s="26" t="s">
        <v>2348</v>
      </c>
      <c r="G9" s="1163">
        <v>33.21</v>
      </c>
      <c r="I9" s="1" t="s">
        <v>2655</v>
      </c>
      <c r="L9" s="625">
        <v>138</v>
      </c>
      <c r="N9" s="9" t="s">
        <v>234</v>
      </c>
      <c r="O9" s="9"/>
      <c r="P9" s="9"/>
      <c r="Q9" s="63">
        <f>1000*Q7/$G$4</f>
        <v>64880.372239632525</v>
      </c>
    </row>
    <row r="10" spans="1:31">
      <c r="B10" s="1" t="s">
        <v>232</v>
      </c>
      <c r="D10" s="62">
        <f>4*D6</f>
        <v>5711.8481199999997</v>
      </c>
      <c r="I10" s="1" t="s">
        <v>2656</v>
      </c>
      <c r="L10" s="664">
        <f>L9/1.075</f>
        <v>128.37209302325581</v>
      </c>
    </row>
    <row r="11" spans="1:31">
      <c r="B11" s="9" t="s">
        <v>233</v>
      </c>
      <c r="C11" s="9"/>
      <c r="D11" s="63">
        <f>D9*D10/1000</f>
        <v>23110.13749352</v>
      </c>
      <c r="F11" s="1" t="s">
        <v>2379</v>
      </c>
      <c r="G11" s="774">
        <v>20500</v>
      </c>
      <c r="I11" s="1" t="s">
        <v>2207</v>
      </c>
      <c r="L11" s="410">
        <f>L9*L6/1000</f>
        <v>144.74661148199999</v>
      </c>
      <c r="N11" s="1088" t="s">
        <v>3014</v>
      </c>
      <c r="O11" s="1088"/>
      <c r="P11" s="1088"/>
      <c r="Q11" s="1166">
        <v>500</v>
      </c>
      <c r="S11" s="26" t="s">
        <v>3224</v>
      </c>
      <c r="T11" s="26"/>
      <c r="U11" s="26"/>
      <c r="V11" s="392">
        <v>0.05</v>
      </c>
    </row>
    <row r="12" spans="1:31">
      <c r="F12" s="1" t="s">
        <v>2380</v>
      </c>
      <c r="N12" s="1088" t="s">
        <v>3017</v>
      </c>
      <c r="O12" s="1088"/>
      <c r="P12" s="1088"/>
      <c r="Q12" s="1166">
        <v>22.5</v>
      </c>
      <c r="S12" s="26" t="s">
        <v>3225</v>
      </c>
      <c r="T12" s="26"/>
      <c r="U12" s="26"/>
      <c r="V12" s="1172">
        <f>Q11*(1-V11)</f>
        <v>475</v>
      </c>
    </row>
    <row r="13" spans="1:31">
      <c r="B13" s="846" t="s">
        <v>234</v>
      </c>
      <c r="C13" s="846"/>
      <c r="D13" s="847">
        <f>1000*D7/$G$4</f>
        <v>149010.73794680851</v>
      </c>
      <c r="I13" s="1" t="s">
        <v>2277</v>
      </c>
      <c r="L13" s="261">
        <v>0.9</v>
      </c>
      <c r="N13" s="1088" t="s">
        <v>3018</v>
      </c>
      <c r="O13" s="1088"/>
      <c r="P13" s="1088"/>
      <c r="Q13" s="1166">
        <v>7.5</v>
      </c>
    </row>
    <row r="14" spans="1:31">
      <c r="B14" s="524" t="s">
        <v>3015</v>
      </c>
      <c r="C14" s="524"/>
      <c r="D14" s="848">
        <f>1000*'Valuation table summary'!$C$21</f>
        <v>212488.49245154267</v>
      </c>
      <c r="N14" s="1167" t="s">
        <v>3019</v>
      </c>
      <c r="O14" s="1167"/>
      <c r="P14" s="1167"/>
      <c r="Q14" s="1168">
        <f>SUM(Q12:Q13)</f>
        <v>30</v>
      </c>
      <c r="T14" s="1170" t="s">
        <v>3575</v>
      </c>
    </row>
    <row r="15" spans="1:31">
      <c r="B15" s="524" t="s">
        <v>3016</v>
      </c>
      <c r="C15" s="524"/>
      <c r="D15" s="849">
        <f>1-D13/D14</f>
        <v>0.29873502217636594</v>
      </c>
      <c r="Q15" s="227" t="s">
        <v>3577</v>
      </c>
      <c r="R15" s="227"/>
      <c r="S15" s="227"/>
      <c r="T15" s="227"/>
      <c r="U15" s="227"/>
      <c r="V15" s="227"/>
      <c r="W15" s="227"/>
    </row>
    <row r="16" spans="1:31">
      <c r="N16" s="219" t="s">
        <v>3460</v>
      </c>
      <c r="O16" s="219"/>
      <c r="P16" s="219"/>
      <c r="Q16" s="792">
        <f>(110-35)/(Q17+110-35)</f>
        <v>9.3167701863354033E-2</v>
      </c>
      <c r="R16" s="792">
        <f>(110-35)/(R17+110-35)</f>
        <v>9.3167701863354033E-2</v>
      </c>
      <c r="S16" s="792">
        <f>(110-35)/(S17+110-35)</f>
        <v>9.3167701863354033E-2</v>
      </c>
      <c r="T16" s="792">
        <f>(110)/(T17+110)</f>
        <v>0.13095238095238096</v>
      </c>
      <c r="U16" s="678" t="s">
        <v>3554</v>
      </c>
    </row>
    <row r="17" spans="2:21">
      <c r="B17" s="488" t="s">
        <v>3101</v>
      </c>
      <c r="C17" s="358"/>
      <c r="D17" s="489">
        <f>'New SBG Valuation'!$J$48</f>
        <v>18250</v>
      </c>
      <c r="N17" s="219" t="s">
        <v>3462</v>
      </c>
      <c r="O17" s="219"/>
      <c r="P17" s="219"/>
      <c r="Q17" s="441">
        <v>730</v>
      </c>
      <c r="R17" s="441">
        <v>730</v>
      </c>
      <c r="S17" s="441">
        <v>730</v>
      </c>
      <c r="T17" s="1169">
        <v>730</v>
      </c>
    </row>
    <row r="18" spans="2:21">
      <c r="B18" s="850" t="s">
        <v>3020</v>
      </c>
      <c r="C18" s="44"/>
      <c r="D18" s="851">
        <f>'New SBG Valuation'!$J$47</f>
        <v>673.48018090866537</v>
      </c>
      <c r="N18" s="262" t="s">
        <v>3461</v>
      </c>
      <c r="O18" s="219"/>
      <c r="P18" s="219"/>
      <c r="Q18" s="1171">
        <f>10+10+15</f>
        <v>35</v>
      </c>
      <c r="R18" s="441">
        <f>10+10</f>
        <v>20</v>
      </c>
      <c r="S18" s="441">
        <f>10+10</f>
        <v>20</v>
      </c>
      <c r="T18" s="1169">
        <v>35</v>
      </c>
      <c r="U18" s="262" t="s">
        <v>3553</v>
      </c>
    </row>
    <row r="19" spans="2:21">
      <c r="B19" s="490" t="s">
        <v>1397</v>
      </c>
      <c r="C19" s="491"/>
      <c r="D19" s="492">
        <f>D17/D9-1</f>
        <v>3.5106277805239747</v>
      </c>
      <c r="N19" s="887" t="s">
        <v>3463</v>
      </c>
      <c r="O19" s="887"/>
      <c r="P19" s="887"/>
      <c r="Q19" s="1132">
        <f>SUM(Q17:Q18)</f>
        <v>765</v>
      </c>
      <c r="R19" s="1132">
        <f>Q19+R18</f>
        <v>785</v>
      </c>
      <c r="S19" s="1132">
        <f>R19+S18</f>
        <v>805</v>
      </c>
      <c r="T19" s="1132">
        <f>S19+T18</f>
        <v>840</v>
      </c>
      <c r="U19" s="57" t="s">
        <v>3467</v>
      </c>
    </row>
    <row r="20" spans="2:21">
      <c r="B20" s="239"/>
      <c r="N20" s="219" t="s">
        <v>3496</v>
      </c>
      <c r="O20" s="219"/>
      <c r="P20" s="219"/>
      <c r="Q20" s="582">
        <v>0.115</v>
      </c>
      <c r="R20" s="603" t="s">
        <v>3465</v>
      </c>
      <c r="S20" s="603" t="s">
        <v>3466</v>
      </c>
    </row>
    <row r="21" spans="2:21">
      <c r="B21" s="1029" t="s">
        <v>3301</v>
      </c>
      <c r="G21" s="1030" t="s">
        <v>3302</v>
      </c>
      <c r="N21" s="219" t="s">
        <v>3464</v>
      </c>
      <c r="O21" s="219"/>
      <c r="P21" s="219"/>
      <c r="Q21" s="441">
        <v>10</v>
      </c>
      <c r="R21" s="441">
        <v>10</v>
      </c>
      <c r="S21" s="441">
        <v>10</v>
      </c>
      <c r="U21" s="678" t="s">
        <v>3468</v>
      </c>
    </row>
    <row r="22" spans="2:21" ht="24">
      <c r="B22" s="1022"/>
      <c r="C22" s="1023" t="s">
        <v>3300</v>
      </c>
      <c r="D22" s="1023" t="s">
        <v>962</v>
      </c>
      <c r="E22" s="1024" t="s">
        <v>2818</v>
      </c>
      <c r="G22" s="755"/>
      <c r="H22" s="756" t="s">
        <v>2817</v>
      </c>
      <c r="I22" s="756" t="s">
        <v>962</v>
      </c>
      <c r="J22" s="757" t="s">
        <v>2818</v>
      </c>
    </row>
    <row r="23" spans="2:21">
      <c r="B23" s="1022" t="s">
        <v>2959</v>
      </c>
      <c r="C23" s="1025">
        <f>'Valuation &amp; SBG NAV'!$BB$41</f>
        <v>10610</v>
      </c>
      <c r="D23" s="1026">
        <f>'SVF Indexes'!I28</f>
        <v>0.36270096463022505</v>
      </c>
      <c r="E23" s="1027">
        <f>'Valuation &amp; SBG NAV'!$BB$37</f>
        <v>7.9881656804733719E-2</v>
      </c>
      <c r="G23" s="755" t="s">
        <v>2959</v>
      </c>
      <c r="H23" s="487">
        <f>C23/4</f>
        <v>2652.5</v>
      </c>
      <c r="I23" s="758">
        <f>D23</f>
        <v>0.36270096463022505</v>
      </c>
      <c r="J23" s="759">
        <f>E23</f>
        <v>7.9881656804733719E-2</v>
      </c>
    </row>
    <row r="24" spans="2:21">
      <c r="B24" s="1022" t="s">
        <v>2960</v>
      </c>
      <c r="C24" s="1025">
        <f>'Valuation &amp; SBG NAV'!$BC$41</f>
        <v>11190</v>
      </c>
      <c r="D24" s="1026">
        <f>'SVF Indexes'!I29</f>
        <v>0.43479585618525274</v>
      </c>
      <c r="E24" s="1027">
        <f>'Valuation &amp; SBG NAV'!$BC$37</f>
        <v>0.10620915032679745</v>
      </c>
      <c r="G24" s="755" t="s">
        <v>2960</v>
      </c>
      <c r="H24" s="487">
        <f t="shared" ref="H24:H32" si="0">C24/4</f>
        <v>2797.5</v>
      </c>
      <c r="I24" s="758">
        <f t="shared" ref="I24:I32" si="1">D24</f>
        <v>0.43479585618525274</v>
      </c>
      <c r="J24" s="759">
        <f t="shared" ref="J24:J32" si="2">E24</f>
        <v>0.10620915032679745</v>
      </c>
    </row>
    <row r="25" spans="2:21">
      <c r="B25" s="1022" t="s">
        <v>2961</v>
      </c>
      <c r="C25" s="1025">
        <f>'Valuation &amp; SBG NAV'!$BD$41</f>
        <v>13120</v>
      </c>
      <c r="D25" s="1026">
        <f>'SVF Indexes'!I30</f>
        <v>0.52053014553014554</v>
      </c>
      <c r="E25" s="1027">
        <f>'Valuation &amp; SBG NAV'!$BD$37</f>
        <v>0.11418047882136279</v>
      </c>
      <c r="G25" s="755" t="s">
        <v>2961</v>
      </c>
      <c r="H25" s="487">
        <f t="shared" si="0"/>
        <v>3280</v>
      </c>
      <c r="I25" s="758">
        <f t="shared" si="1"/>
        <v>0.52053014553014554</v>
      </c>
      <c r="J25" s="759">
        <f t="shared" si="2"/>
        <v>0.11418047882136279</v>
      </c>
    </row>
    <row r="26" spans="2:21">
      <c r="B26" s="1022" t="s">
        <v>2962</v>
      </c>
      <c r="C26" s="1025">
        <f>'Valuation &amp; SBG NAV'!$BE$41</f>
        <v>18950</v>
      </c>
      <c r="D26" s="1026">
        <f>'SVF Indexes'!I31</f>
        <v>0.52717782577393801</v>
      </c>
      <c r="E26" s="1027">
        <f>'Valuation &amp; SBG NAV'!$BE$37</f>
        <v>8.4377059986816133E-2</v>
      </c>
      <c r="G26" s="755" t="s">
        <v>2962</v>
      </c>
      <c r="H26" s="487">
        <f t="shared" si="0"/>
        <v>4737.5</v>
      </c>
      <c r="I26" s="758">
        <f t="shared" si="1"/>
        <v>0.52717782577393801</v>
      </c>
      <c r="J26" s="759">
        <f t="shared" si="2"/>
        <v>8.4377059986816133E-2</v>
      </c>
    </row>
    <row r="27" spans="2:21">
      <c r="B27" s="1022" t="s">
        <v>2812</v>
      </c>
      <c r="C27" s="1025">
        <f>'Valuation &amp; SBG NAV'!$BG$41</f>
        <v>24060</v>
      </c>
      <c r="D27" s="1026">
        <f>'SVF Indexes'!I32</f>
        <v>0.56691239013325756</v>
      </c>
      <c r="E27" s="1027">
        <f>'Valuation &amp; SBG NAV'!$BG$37</f>
        <v>7.8149503397804479E-2</v>
      </c>
      <c r="G27" s="755" t="s">
        <v>2812</v>
      </c>
      <c r="H27" s="487">
        <f t="shared" si="0"/>
        <v>6015</v>
      </c>
      <c r="I27" s="758">
        <f t="shared" si="1"/>
        <v>0.56691239013325756</v>
      </c>
      <c r="J27" s="759">
        <f t="shared" si="2"/>
        <v>7.8149503397804479E-2</v>
      </c>
    </row>
    <row r="28" spans="2:21">
      <c r="B28" s="1022" t="s">
        <v>2757</v>
      </c>
      <c r="C28" s="1025">
        <f>'Valuation &amp; SBG NAV'!$BH$41</f>
        <v>20050</v>
      </c>
      <c r="D28" s="1026">
        <f>'SVF Indexes'!I33</f>
        <v>0.57876594277835225</v>
      </c>
      <c r="E28" s="1027">
        <f>'Valuation &amp; SBG NAV'!$BH$37</f>
        <v>0.12462281231140615</v>
      </c>
      <c r="G28" s="755" t="s">
        <v>2757</v>
      </c>
      <c r="H28" s="487">
        <f t="shared" si="0"/>
        <v>5012.5</v>
      </c>
      <c r="I28" s="758">
        <f t="shared" si="1"/>
        <v>0.57876594277835225</v>
      </c>
      <c r="J28" s="759">
        <f t="shared" si="2"/>
        <v>0.12462281231140615</v>
      </c>
    </row>
    <row r="29" spans="2:21">
      <c r="B29" s="1022" t="s">
        <v>2813</v>
      </c>
      <c r="C29" s="1025">
        <f>'Valuation &amp; SBG NAV'!$BI$41</f>
        <v>20360</v>
      </c>
      <c r="D29" s="1026">
        <f>'SVF Indexes'!I34</f>
        <v>0.54856850715746419</v>
      </c>
      <c r="E29" s="1027">
        <f>'Valuation &amp; SBG NAV'!$BI$37</f>
        <v>0.1286011286011286</v>
      </c>
      <c r="G29" s="755" t="s">
        <v>2813</v>
      </c>
      <c r="H29" s="487">
        <f t="shared" si="0"/>
        <v>5090</v>
      </c>
      <c r="I29" s="758">
        <f t="shared" si="1"/>
        <v>0.54856850715746419</v>
      </c>
      <c r="J29" s="759">
        <f t="shared" si="2"/>
        <v>0.1286011286011286</v>
      </c>
    </row>
    <row r="30" spans="2:21">
      <c r="B30" s="1022" t="s">
        <v>2849</v>
      </c>
      <c r="C30" s="1025">
        <f>'Valuation &amp; SBG NAV'!$BJ$41</f>
        <v>17880</v>
      </c>
      <c r="D30" s="1026">
        <f>'SVF Indexes'!I35</f>
        <v>0.58093385214007776</v>
      </c>
      <c r="E30" s="1027">
        <f>'Valuation &amp; SBG NAV'!$BJ$37</f>
        <v>0.18074593560726809</v>
      </c>
      <c r="G30" s="755" t="s">
        <v>2849</v>
      </c>
      <c r="H30" s="487">
        <f t="shared" si="0"/>
        <v>4470</v>
      </c>
      <c r="I30" s="758">
        <f t="shared" si="1"/>
        <v>0.58093385214007776</v>
      </c>
      <c r="J30" s="759">
        <f t="shared" si="2"/>
        <v>0.18074593560726809</v>
      </c>
    </row>
    <row r="31" spans="2:21">
      <c r="B31" s="1022" t="s">
        <v>3100</v>
      </c>
      <c r="C31" s="1025">
        <f>'Valuation &amp; SBG NAV'!$BL$41</f>
        <v>22750</v>
      </c>
      <c r="D31" s="1026">
        <f>'SVF Indexes'!I36</f>
        <v>0.53672839506172831</v>
      </c>
      <c r="E31" s="1027">
        <f>'Valuation &amp; SBG NAV'!$BL$37</f>
        <v>0.17008196721311478</v>
      </c>
      <c r="G31" s="755" t="s">
        <v>3100</v>
      </c>
      <c r="H31" s="487">
        <f t="shared" si="0"/>
        <v>5687.5</v>
      </c>
      <c r="I31" s="758">
        <f t="shared" si="1"/>
        <v>0.53672839506172831</v>
      </c>
      <c r="J31" s="759">
        <f t="shared" si="2"/>
        <v>0.17008196721311478</v>
      </c>
    </row>
    <row r="32" spans="2:21">
      <c r="B32" s="1022" t="s">
        <v>3238</v>
      </c>
      <c r="C32" s="1025">
        <f>'Valuation &amp; SBG NAV'!$BM$41</f>
        <v>23380</v>
      </c>
      <c r="D32" s="1026">
        <f>'SVF Indexes'!I37</f>
        <v>0.20075075075075077</v>
      </c>
      <c r="E32" s="1027">
        <f>'Valuation &amp; SBG NAV'!$BM$37</f>
        <v>0.16457601605619673</v>
      </c>
      <c r="G32" s="755" t="s">
        <v>3238</v>
      </c>
      <c r="H32" s="487">
        <f t="shared" si="0"/>
        <v>5845</v>
      </c>
      <c r="I32" s="758">
        <f t="shared" si="1"/>
        <v>0.20075075075075077</v>
      </c>
      <c r="J32" s="759">
        <f t="shared" si="2"/>
        <v>0.16457601605619673</v>
      </c>
    </row>
    <row r="33" spans="2:10">
      <c r="B33" s="1022" t="s">
        <v>3572</v>
      </c>
      <c r="C33" s="1025">
        <f>'Valuation &amp; SBG NAV'!$BN$41</f>
        <v>21670</v>
      </c>
      <c r="D33" s="1028">
        <f>'Valuation &amp; SBG NAV'!$BN$42</f>
        <v>0.25311490539916937</v>
      </c>
      <c r="E33" s="1027">
        <f>'Valuation &amp; SBG NAV'!$BN$37</f>
        <v>0.20625962031811182</v>
      </c>
      <c r="G33" s="504" t="s">
        <v>3572</v>
      </c>
      <c r="H33" s="1031">
        <f>'Valuation &amp; SBG NAV'!$BN$46</f>
        <v>5420</v>
      </c>
      <c r="I33" s="1032">
        <f>'Valuation &amp; SBG NAV'!$BN$47</f>
        <v>0.25350553505535056</v>
      </c>
      <c r="J33" s="1032">
        <f>'Valuation &amp; SBG NAV'!$BN$37</f>
        <v>0.20625962031811182</v>
      </c>
    </row>
    <row r="34" spans="2:10">
      <c r="B34" s="1022" t="s">
        <v>2816</v>
      </c>
      <c r="C34" s="1025">
        <f>'Valuation &amp; SBG NAV'!$BO$41</f>
        <v>23080</v>
      </c>
      <c r="D34" s="1028">
        <f>'Valuation &amp; SBG NAV'!$BO$42</f>
        <v>0.2987435008665511</v>
      </c>
      <c r="E34" s="1027">
        <f>'Valuation &amp; SBG NAV'!$BO$37</f>
        <v>0.19393652767947339</v>
      </c>
      <c r="G34" s="507" t="s">
        <v>2816</v>
      </c>
      <c r="H34" s="1033">
        <f>'Valuation &amp; SBG NAV'!$BO$46</f>
        <v>5770</v>
      </c>
      <c r="I34" s="255">
        <f>'Valuation &amp; SBG NAV'!$BO$47</f>
        <v>0.29878682842287696</v>
      </c>
      <c r="J34" s="255">
        <f>'Valuation &amp; SBG NAV'!$BO$37</f>
        <v>0.19393652767947339</v>
      </c>
    </row>
    <row r="35" spans="2:10">
      <c r="G35" s="507" t="s">
        <v>3497</v>
      </c>
      <c r="H35" s="1033">
        <f>'Valuation &amp; SBG NAV'!$BQ$46</f>
        <v>6290</v>
      </c>
      <c r="I35" s="255">
        <f>'Valuation &amp; SBG NAV'!$BQ$47</f>
        <v>0.35675675675675678</v>
      </c>
      <c r="J35" s="255">
        <f>'Valuation &amp; SBG NAV'!$BQ$37</f>
        <v>0.19402876268766472</v>
      </c>
    </row>
    <row r="36" spans="2:10">
      <c r="G36" s="507" t="s">
        <v>3498</v>
      </c>
      <c r="H36" s="1033">
        <f>'Valuation &amp; SBG NAV'!$BR$46</f>
        <v>6280</v>
      </c>
      <c r="I36" s="255">
        <f>'Valuation &amp; SBG NAV'!$BR$47</f>
        <v>0.3557324840764331</v>
      </c>
      <c r="J36" s="255">
        <f>'Valuation &amp; SBG NAV'!$BR$37</f>
        <v>0.22402141104041343</v>
      </c>
    </row>
    <row r="37" spans="2:10">
      <c r="G37" s="507" t="s">
        <v>3499</v>
      </c>
      <c r="H37" s="1033">
        <f>'Valuation &amp; SBG NAV'!$BS$46</f>
        <v>6220</v>
      </c>
      <c r="I37" s="255">
        <f>'Valuation &amp; SBG NAV'!$BS$47</f>
        <v>0.34951768488745982</v>
      </c>
      <c r="J37" s="255">
        <f>'Valuation &amp; SBG NAV'!$BS$37</f>
        <v>0.25264093371653457</v>
      </c>
    </row>
    <row r="38" spans="2:10">
      <c r="G38" s="507" t="s">
        <v>3500</v>
      </c>
      <c r="H38" s="1033">
        <f>'Valuation &amp; SBG NAV'!$BT$46</f>
        <v>6130</v>
      </c>
      <c r="I38" s="255">
        <f>'Valuation &amp; SBG NAV'!$BT$47</f>
        <v>0.33996737357259377</v>
      </c>
      <c r="J38" s="255">
        <f>'Valuation &amp; SBG NAV'!$BT$37</f>
        <v>0.25267031235428</v>
      </c>
    </row>
  </sheetData>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D3CC6-B453-4BF4-98EF-AFD805060376}">
  <dimension ref="A1:K28"/>
  <sheetViews>
    <sheetView zoomScale="90" zoomScaleNormal="90" workbookViewId="0">
      <pane xSplit="1" ySplit="2" topLeftCell="B3" activePane="bottomRight" state="frozen"/>
      <selection pane="topRight" activeCell="I1" sqref="I1"/>
      <selection pane="bottomLeft" activeCell="A3" sqref="A3"/>
      <selection pane="bottomRight"/>
    </sheetView>
  </sheetViews>
  <sheetFormatPr defaultColWidth="9.140625" defaultRowHeight="12"/>
  <cols>
    <col min="1" max="1" width="50" style="1" customWidth="1"/>
    <col min="2" max="7" width="11.42578125" style="1" customWidth="1"/>
    <col min="8" max="8" width="9.140625" style="1"/>
    <col min="9" max="9" width="9.140625" style="46"/>
    <col min="10" max="16384" width="9.140625" style="1"/>
  </cols>
  <sheetData>
    <row r="1" spans="1:11" s="2" customFormat="1">
      <c r="A1" s="2" t="s">
        <v>0</v>
      </c>
      <c r="B1" s="18"/>
      <c r="C1" s="43"/>
      <c r="D1" s="43"/>
      <c r="E1" s="43"/>
      <c r="G1" s="18"/>
      <c r="I1" s="46"/>
    </row>
    <row r="2" spans="1:11" s="2" customFormat="1">
      <c r="A2" s="2" t="s">
        <v>949</v>
      </c>
      <c r="B2" s="6"/>
      <c r="C2" s="6"/>
      <c r="D2" s="6"/>
      <c r="E2" s="6"/>
      <c r="F2" s="6"/>
      <c r="G2" s="6"/>
      <c r="I2" s="241" t="s">
        <v>1477</v>
      </c>
    </row>
    <row r="4" spans="1:11" s="2" customFormat="1">
      <c r="A4" s="4" t="s">
        <v>2181</v>
      </c>
      <c r="I4" s="46"/>
    </row>
    <row r="5" spans="1:11">
      <c r="B5" s="678" t="s">
        <v>2727</v>
      </c>
    </row>
    <row r="6" spans="1:11">
      <c r="B6" s="1185" t="s">
        <v>2814</v>
      </c>
      <c r="C6" s="1185"/>
      <c r="D6" s="1185" t="s">
        <v>3159</v>
      </c>
      <c r="E6" s="1185"/>
      <c r="F6" s="1185" t="s">
        <v>276</v>
      </c>
      <c r="G6" s="1185"/>
    </row>
    <row r="7" spans="1:11">
      <c r="B7" s="241" t="s">
        <v>950</v>
      </c>
      <c r="C7" s="657" t="s">
        <v>951</v>
      </c>
      <c r="D7" s="241" t="s">
        <v>950</v>
      </c>
      <c r="E7" s="657" t="s">
        <v>951</v>
      </c>
      <c r="F7" s="241" t="s">
        <v>950</v>
      </c>
      <c r="G7" s="657" t="s">
        <v>951</v>
      </c>
      <c r="I7" s="665" t="s">
        <v>3160</v>
      </c>
    </row>
    <row r="8" spans="1:11">
      <c r="A8" s="33" t="s">
        <v>704</v>
      </c>
      <c r="B8" s="654">
        <f>'Quarterly NAV Table'!D8</f>
        <v>0</v>
      </c>
      <c r="C8" s="656">
        <f>'Quarterly NAV Table'!E8</f>
        <v>0</v>
      </c>
      <c r="D8" s="654">
        <f>'Valuation &amp; SBG NAV'!BN10</f>
        <v>0</v>
      </c>
      <c r="E8" s="656">
        <f>'Valuation &amp; SBG NAV'!BN54</f>
        <v>0</v>
      </c>
      <c r="F8" s="654">
        <f>D8-B8</f>
        <v>0</v>
      </c>
      <c r="G8" s="656">
        <f t="shared" ref="G8:G22" si="0">E8-C8</f>
        <v>0</v>
      </c>
      <c r="I8" s="662">
        <f>1000000*F8/FP!$D$6</f>
        <v>0</v>
      </c>
      <c r="K8" s="24"/>
    </row>
    <row r="9" spans="1:11">
      <c r="A9" s="5" t="s">
        <v>85</v>
      </c>
      <c r="B9" s="254">
        <f>'Quarterly NAV Table'!D9</f>
        <v>2.92</v>
      </c>
      <c r="C9" s="655">
        <f>'Quarterly NAV Table'!E9</f>
        <v>18.650996423096576</v>
      </c>
      <c r="D9" s="254">
        <f>'Valuation &amp; SBG NAV'!BN11</f>
        <v>2.92</v>
      </c>
      <c r="E9" s="655">
        <f>'Valuation &amp; SBG NAV'!BN55</f>
        <v>18.650996423096576</v>
      </c>
      <c r="F9" s="254">
        <f t="shared" ref="F9:F22" si="1">D9-B9</f>
        <v>0</v>
      </c>
      <c r="G9" s="655">
        <f t="shared" si="0"/>
        <v>0</v>
      </c>
      <c r="I9" s="662">
        <f>1000000*F9/FP!$D$6</f>
        <v>0</v>
      </c>
      <c r="K9" s="24"/>
    </row>
    <row r="10" spans="1:11">
      <c r="A10" s="34" t="s">
        <v>84</v>
      </c>
      <c r="B10" s="254">
        <f>'Quarterly NAV Table'!D10</f>
        <v>3.79</v>
      </c>
      <c r="C10" s="655">
        <f>'Quarterly NAV Table'!E10</f>
        <v>24.207971384772609</v>
      </c>
      <c r="D10" s="254">
        <f>'Valuation &amp; SBG NAV'!BN12</f>
        <v>3.79</v>
      </c>
      <c r="E10" s="655">
        <f>'Valuation &amp; SBG NAV'!BN56</f>
        <v>24.207971384772609</v>
      </c>
      <c r="F10" s="254">
        <f t="shared" si="1"/>
        <v>0</v>
      </c>
      <c r="G10" s="655">
        <f t="shared" si="0"/>
        <v>0</v>
      </c>
      <c r="I10" s="662">
        <f>1000000*F10/FP!$D$6</f>
        <v>0</v>
      </c>
      <c r="K10" s="24"/>
    </row>
    <row r="11" spans="1:11" s="79" customFormat="1">
      <c r="A11" s="834" t="s">
        <v>2726</v>
      </c>
      <c r="B11" s="835">
        <f>'Quarterly NAV Table'!D11</f>
        <v>8.516864</v>
      </c>
      <c r="C11" s="836">
        <f>'Quarterly NAV Table'!E11</f>
        <v>54.4</v>
      </c>
      <c r="D11" s="835">
        <f>'Valuation &amp; SBG NAV'!BN13</f>
        <v>8.516864</v>
      </c>
      <c r="E11" s="836">
        <f>'Valuation &amp; SBG NAV'!BN57</f>
        <v>54.4</v>
      </c>
      <c r="F11" s="835">
        <f t="shared" si="1"/>
        <v>0</v>
      </c>
      <c r="G11" s="836">
        <f t="shared" si="0"/>
        <v>0</v>
      </c>
      <c r="I11" s="662">
        <f>1000000*F11/FP!$D$6</f>
        <v>0</v>
      </c>
      <c r="K11" s="224"/>
    </row>
    <row r="12" spans="1:11" s="79" customFormat="1">
      <c r="A12" s="834" t="s">
        <v>2963</v>
      </c>
      <c r="B12" s="835">
        <f>'Quarterly NAV Table'!D12</f>
        <v>4.6531360000000008</v>
      </c>
      <c r="C12" s="836">
        <f>'Quarterly NAV Table'!E12</f>
        <v>29.721103730199285</v>
      </c>
      <c r="D12" s="835">
        <f>'Valuation &amp; SBG NAV'!BN14</f>
        <v>4.6531360000000008</v>
      </c>
      <c r="E12" s="836">
        <f>'Valuation &amp; SBG NAV'!BN58</f>
        <v>29.721103730199285</v>
      </c>
      <c r="F12" s="835">
        <f t="shared" si="1"/>
        <v>0</v>
      </c>
      <c r="G12" s="836">
        <f t="shared" si="0"/>
        <v>0</v>
      </c>
      <c r="I12" s="662">
        <f>1000000*F12/FP!$D$6</f>
        <v>0</v>
      </c>
      <c r="K12" s="224"/>
    </row>
    <row r="13" spans="1:11">
      <c r="A13" s="34" t="s">
        <v>83</v>
      </c>
      <c r="B13" s="254">
        <f>'Quarterly NAV Table'!D13</f>
        <v>13.17</v>
      </c>
      <c r="C13" s="655">
        <f>'Quarterly NAV Table'!E13</f>
        <v>84.12110373019928</v>
      </c>
      <c r="D13" s="254">
        <f>'Valuation &amp; SBG NAV'!BN15</f>
        <v>13.17</v>
      </c>
      <c r="E13" s="655">
        <f>'Valuation &amp; SBG NAV'!BN59</f>
        <v>84.12110373019928</v>
      </c>
      <c r="F13" s="254">
        <f t="shared" si="1"/>
        <v>0</v>
      </c>
      <c r="G13" s="655">
        <f t="shared" si="0"/>
        <v>0</v>
      </c>
      <c r="I13" s="662">
        <f>1000000*F13/FP!$D$6</f>
        <v>0</v>
      </c>
      <c r="K13" s="24"/>
    </row>
    <row r="14" spans="1:11">
      <c r="A14" s="34" t="s">
        <v>944</v>
      </c>
      <c r="B14" s="254">
        <f>'Quarterly NAV Table'!D14</f>
        <v>1.04</v>
      </c>
      <c r="C14" s="655">
        <f>'Quarterly NAV Table'!E14</f>
        <v>6.6428206438426161</v>
      </c>
      <c r="D14" s="254">
        <f>'Valuation &amp; SBG NAV'!BN16</f>
        <v>1.04</v>
      </c>
      <c r="E14" s="655">
        <f>'Valuation &amp; SBG NAV'!BN60</f>
        <v>6.6428206438426161</v>
      </c>
      <c r="F14" s="254">
        <f t="shared" si="1"/>
        <v>0</v>
      </c>
      <c r="G14" s="655">
        <f t="shared" si="0"/>
        <v>0</v>
      </c>
      <c r="I14" s="662">
        <f>1000000*F14/FP!$D$6</f>
        <v>0</v>
      </c>
      <c r="K14" s="24"/>
    </row>
    <row r="15" spans="1:11">
      <c r="A15" s="33" t="s">
        <v>945</v>
      </c>
      <c r="B15" s="654">
        <f>'Quarterly NAV Table'!D15</f>
        <v>18</v>
      </c>
      <c r="C15" s="656">
        <f>'Quarterly NAV Table'!E15</f>
        <v>114.9718957588145</v>
      </c>
      <c r="D15" s="654">
        <f>'Valuation &amp; SBG NAV'!BN17</f>
        <v>18</v>
      </c>
      <c r="E15" s="656">
        <f>'Valuation &amp; SBG NAV'!BN61</f>
        <v>114.9718957588145</v>
      </c>
      <c r="F15" s="654">
        <f t="shared" si="1"/>
        <v>0</v>
      </c>
      <c r="G15" s="656">
        <f t="shared" si="0"/>
        <v>0</v>
      </c>
      <c r="I15" s="662">
        <f>1000000*F15/FP!$D$6</f>
        <v>0</v>
      </c>
      <c r="K15" s="24"/>
    </row>
    <row r="16" spans="1:11">
      <c r="A16" s="5" t="s">
        <v>87</v>
      </c>
      <c r="B16" s="254">
        <f>'Quarterly NAV Table'!D16</f>
        <v>0.91</v>
      </c>
      <c r="C16" s="655">
        <f>'Quarterly NAV Table'!E16</f>
        <v>5.8124680633622887</v>
      </c>
      <c r="D16" s="254">
        <f>'Valuation &amp; SBG NAV'!BN18</f>
        <v>0.91</v>
      </c>
      <c r="E16" s="655">
        <f>'Valuation &amp; SBG NAV'!BN62</f>
        <v>5.8124680633622887</v>
      </c>
      <c r="F16" s="254">
        <f t="shared" si="1"/>
        <v>0</v>
      </c>
      <c r="G16" s="655">
        <f t="shared" si="0"/>
        <v>0</v>
      </c>
      <c r="I16" s="662">
        <f>1000000*F16/FP!$D$6</f>
        <v>0</v>
      </c>
      <c r="K16" s="24"/>
    </row>
    <row r="17" spans="1:11">
      <c r="A17" s="5" t="s">
        <v>88</v>
      </c>
      <c r="B17" s="254">
        <f>'Quarterly NAV Table'!D17</f>
        <v>0</v>
      </c>
      <c r="C17" s="655">
        <f>'Quarterly NAV Table'!E17</f>
        <v>0</v>
      </c>
      <c r="D17" s="254">
        <f>'Valuation &amp; SBG NAV'!BN19</f>
        <v>0</v>
      </c>
      <c r="E17" s="655">
        <f>'Valuation &amp; SBG NAV'!BN63</f>
        <v>0</v>
      </c>
      <c r="F17" s="254">
        <f t="shared" si="1"/>
        <v>0</v>
      </c>
      <c r="G17" s="655">
        <f t="shared" si="0"/>
        <v>0</v>
      </c>
      <c r="I17" s="662">
        <f>1000000*F17/FP!$D$6</f>
        <v>0</v>
      </c>
      <c r="K17" s="24"/>
    </row>
    <row r="18" spans="1:11">
      <c r="A18" s="5" t="s">
        <v>946</v>
      </c>
      <c r="B18" s="254">
        <f>'Quarterly NAV Table'!D18</f>
        <v>12.69</v>
      </c>
      <c r="C18" s="655">
        <f>'Quarterly NAV Table'!E18</f>
        <v>81.05518650996423</v>
      </c>
      <c r="D18" s="254">
        <f>'Valuation &amp; SBG NAV'!BN20</f>
        <v>12.69</v>
      </c>
      <c r="E18" s="655">
        <f>'Valuation &amp; SBG NAV'!BN64</f>
        <v>81.05518650996423</v>
      </c>
      <c r="F18" s="254">
        <f t="shared" si="1"/>
        <v>0</v>
      </c>
      <c r="G18" s="655">
        <f t="shared" si="0"/>
        <v>0</v>
      </c>
      <c r="I18" s="662">
        <f>1000000*F18/FP!$D$6</f>
        <v>0</v>
      </c>
      <c r="K18" s="24"/>
    </row>
    <row r="19" spans="1:11">
      <c r="A19" s="5" t="s">
        <v>947</v>
      </c>
      <c r="B19" s="254">
        <f>'Quarterly NAV Table'!D19</f>
        <v>4.46</v>
      </c>
      <c r="C19" s="655">
        <f>'Quarterly NAV Table'!E19</f>
        <v>28.487480838017373</v>
      </c>
      <c r="D19" s="254">
        <f>'Valuation &amp; SBG NAV'!BN21</f>
        <v>4.46</v>
      </c>
      <c r="E19" s="655">
        <f>'Valuation &amp; SBG NAV'!BN65</f>
        <v>28.487480838017373</v>
      </c>
      <c r="F19" s="254">
        <f t="shared" si="1"/>
        <v>0</v>
      </c>
      <c r="G19" s="655">
        <f t="shared" si="0"/>
        <v>0</v>
      </c>
      <c r="I19" s="662">
        <f>1000000*F19/FP!$D$6</f>
        <v>0</v>
      </c>
      <c r="K19" s="24"/>
    </row>
    <row r="20" spans="1:11">
      <c r="A20" s="9" t="s">
        <v>2645</v>
      </c>
      <c r="B20" s="654">
        <f>'Quarterly NAV Table'!D20</f>
        <v>38.980000000000004</v>
      </c>
      <c r="C20" s="656">
        <f>'Quarterly NAV Table'!E20</f>
        <v>248.97802759325498</v>
      </c>
      <c r="D20" s="654">
        <f>'Valuation &amp; SBG NAV'!BN22</f>
        <v>38.980000000000004</v>
      </c>
      <c r="E20" s="656">
        <f>'Valuation &amp; SBG NAV'!BN66</f>
        <v>248.97802759325498</v>
      </c>
      <c r="F20" s="654">
        <f t="shared" si="1"/>
        <v>0</v>
      </c>
      <c r="G20" s="656">
        <f t="shared" si="0"/>
        <v>0</v>
      </c>
      <c r="I20" s="662">
        <f>1000000*F20/FP!$D$6</f>
        <v>0</v>
      </c>
      <c r="K20" s="24"/>
    </row>
    <row r="21" spans="1:11">
      <c r="A21" s="1" t="s">
        <v>2646</v>
      </c>
      <c r="B21" s="254">
        <f>'Quarterly NAV Table'!D21</f>
        <v>8.0399999999999991</v>
      </c>
      <c r="C21" s="655">
        <f>'Quarterly NAV Table'!E21</f>
        <v>51.354113438937141</v>
      </c>
      <c r="D21" s="254">
        <f>'Valuation &amp; SBG NAV'!BN31</f>
        <v>8.0399999999999991</v>
      </c>
      <c r="E21" s="655">
        <f>'Valuation &amp; SBG NAV'!BN71</f>
        <v>51.354113438937141</v>
      </c>
      <c r="F21" s="254">
        <f t="shared" si="1"/>
        <v>0</v>
      </c>
      <c r="G21" s="655">
        <f t="shared" si="0"/>
        <v>0</v>
      </c>
      <c r="I21" s="662">
        <f>1000000*F21/FP!$D$6</f>
        <v>0</v>
      </c>
      <c r="K21" s="24"/>
    </row>
    <row r="22" spans="1:11">
      <c r="A22" s="9" t="s">
        <v>2648</v>
      </c>
      <c r="B22" s="654">
        <f>'Quarterly NAV Table'!D22</f>
        <v>30.940000000000005</v>
      </c>
      <c r="C22" s="656">
        <f>'Quarterly NAV Table'!E22</f>
        <v>197.62391415431784</v>
      </c>
      <c r="D22" s="654">
        <f>D20-D21</f>
        <v>30.940000000000005</v>
      </c>
      <c r="E22" s="656">
        <f>E20-E21</f>
        <v>197.62391415431784</v>
      </c>
      <c r="F22" s="654">
        <f t="shared" si="1"/>
        <v>0</v>
      </c>
      <c r="G22" s="656">
        <f t="shared" si="0"/>
        <v>0</v>
      </c>
      <c r="I22" s="662">
        <f>1000000*F22/FP!$D$6</f>
        <v>0</v>
      </c>
      <c r="K22" s="24"/>
    </row>
    <row r="23" spans="1:11">
      <c r="A23" s="1" t="s">
        <v>2654</v>
      </c>
      <c r="B23" s="254"/>
      <c r="C23" s="655"/>
      <c r="D23" s="662">
        <f>MROUND(1000000*D22/FP!$D$10, 10)</f>
        <v>5420</v>
      </c>
      <c r="E23" s="655"/>
      <c r="F23" s="254"/>
      <c r="G23" s="655"/>
      <c r="K23" s="24"/>
    </row>
    <row r="24" spans="1:11">
      <c r="A24" s="64" t="s">
        <v>2649</v>
      </c>
      <c r="B24" s="658"/>
      <c r="C24" s="659"/>
      <c r="D24" s="660">
        <f>D22/B22-1</f>
        <v>0</v>
      </c>
      <c r="E24" s="661">
        <f>E22/C22-1</f>
        <v>0</v>
      </c>
      <c r="F24" s="660"/>
      <c r="G24" s="661"/>
    </row>
    <row r="26" spans="1:11">
      <c r="A26" s="9" t="s">
        <v>2647</v>
      </c>
      <c r="B26" s="1189">
        <f>C21/C20</f>
        <v>0.20625962031811182</v>
      </c>
      <c r="C26" s="1189"/>
      <c r="D26" s="1189">
        <f>E21/E20</f>
        <v>0.20625962031811182</v>
      </c>
      <c r="E26" s="1189"/>
      <c r="F26" s="1190"/>
      <c r="G26" s="1190"/>
    </row>
    <row r="27" spans="1:11">
      <c r="A27" s="9" t="s">
        <v>2528</v>
      </c>
      <c r="B27" s="1184">
        <f>'Valuation &amp; SBG NAV'!BM79</f>
        <v>148.88</v>
      </c>
      <c r="C27" s="1184"/>
      <c r="D27" s="1184">
        <f>'Valuation &amp; SBG NAV'!BN79</f>
        <v>156.56</v>
      </c>
      <c r="E27" s="1184"/>
      <c r="F27" s="1185"/>
      <c r="G27" s="1185"/>
    </row>
    <row r="28" spans="1:11">
      <c r="A28" s="64" t="s">
        <v>738</v>
      </c>
      <c r="B28" s="1186"/>
      <c r="C28" s="1186"/>
      <c r="D28" s="1187">
        <f>D27/B27-1</f>
        <v>5.1585169263836717E-2</v>
      </c>
      <c r="E28" s="1187"/>
      <c r="F28" s="1188"/>
      <c r="G28" s="1188"/>
    </row>
  </sheetData>
  <mergeCells count="12">
    <mergeCell ref="B6:C6"/>
    <mergeCell ref="D6:E6"/>
    <mergeCell ref="F6:G6"/>
    <mergeCell ref="B26:C26"/>
    <mergeCell ref="D26:E26"/>
    <mergeCell ref="F26:G26"/>
    <mergeCell ref="B27:C27"/>
    <mergeCell ref="D27:E27"/>
    <mergeCell ref="F27:G27"/>
    <mergeCell ref="B28:C28"/>
    <mergeCell ref="D28:E28"/>
    <mergeCell ref="F28:G28"/>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ECD49-531F-411D-8DF4-65A4CA7D7CD7}">
  <sheetPr codeName="Sheet29"/>
  <dimension ref="A1:K28"/>
  <sheetViews>
    <sheetView zoomScale="90" zoomScaleNormal="90" workbookViewId="0">
      <pane xSplit="1" ySplit="2" topLeftCell="B3" activePane="bottomRight" state="frozen"/>
      <selection pane="topRight" activeCell="I1" sqref="I1"/>
      <selection pane="bottomLeft" activeCell="A3" sqref="A3"/>
      <selection pane="bottomRight"/>
    </sheetView>
  </sheetViews>
  <sheetFormatPr defaultColWidth="9.140625" defaultRowHeight="12"/>
  <cols>
    <col min="1" max="1" width="50" style="1" customWidth="1"/>
    <col min="2" max="7" width="11.42578125" style="1" customWidth="1"/>
    <col min="8" max="8" width="9.140625" style="1"/>
    <col min="9" max="9" width="9.140625" style="46"/>
    <col min="10" max="16384" width="9.140625" style="1"/>
  </cols>
  <sheetData>
    <row r="1" spans="1:11" s="2" customFormat="1">
      <c r="A1" s="2" t="s">
        <v>0</v>
      </c>
      <c r="B1" s="18"/>
      <c r="C1" s="43"/>
      <c r="D1" s="43"/>
      <c r="E1" s="43"/>
      <c r="G1" s="18"/>
      <c r="I1" s="46"/>
    </row>
    <row r="2" spans="1:11" s="2" customFormat="1">
      <c r="A2" s="2" t="s">
        <v>949</v>
      </c>
      <c r="B2" s="6"/>
      <c r="C2" s="6"/>
      <c r="D2" s="6"/>
      <c r="E2" s="6"/>
      <c r="F2" s="6"/>
      <c r="G2" s="6"/>
      <c r="I2" s="241" t="s">
        <v>1477</v>
      </c>
    </row>
    <row r="4" spans="1:11" s="2" customFormat="1">
      <c r="A4" s="4" t="s">
        <v>2181</v>
      </c>
      <c r="I4" s="46"/>
    </row>
    <row r="5" spans="1:11">
      <c r="B5" s="678" t="s">
        <v>2727</v>
      </c>
    </row>
    <row r="6" spans="1:11">
      <c r="B6" s="1185" t="s">
        <v>3238</v>
      </c>
      <c r="C6" s="1185"/>
      <c r="D6" s="1185" t="s">
        <v>2815</v>
      </c>
      <c r="E6" s="1185"/>
      <c r="F6" s="1185" t="s">
        <v>276</v>
      </c>
      <c r="G6" s="1185"/>
    </row>
    <row r="7" spans="1:11">
      <c r="B7" s="241" t="s">
        <v>950</v>
      </c>
      <c r="C7" s="657" t="s">
        <v>951</v>
      </c>
      <c r="D7" s="241" t="s">
        <v>950</v>
      </c>
      <c r="E7" s="657" t="s">
        <v>951</v>
      </c>
      <c r="F7" s="241" t="s">
        <v>950</v>
      </c>
      <c r="G7" s="657" t="s">
        <v>951</v>
      </c>
    </row>
    <row r="8" spans="1:11">
      <c r="A8" s="33" t="s">
        <v>704</v>
      </c>
      <c r="B8" s="654">
        <f>'Valuation &amp; SBG NAV'!BM10</f>
        <v>0</v>
      </c>
      <c r="C8" s="656">
        <f>'Valuation &amp; SBG NAV'!BM54</f>
        <v>0</v>
      </c>
      <c r="D8" s="654">
        <f>'Valuation &amp; SBG NAV'!BN10</f>
        <v>0</v>
      </c>
      <c r="E8" s="656">
        <f>'Valuation &amp; SBG NAV'!BN54</f>
        <v>0</v>
      </c>
      <c r="F8" s="654">
        <f>D8-B8</f>
        <v>0</v>
      </c>
      <c r="G8" s="656">
        <f t="shared" ref="G8:G22" si="0">E8-C8</f>
        <v>0</v>
      </c>
      <c r="K8" s="24"/>
    </row>
    <row r="9" spans="1:11">
      <c r="A9" s="5" t="s">
        <v>85</v>
      </c>
      <c r="B9" s="254">
        <f>'Valuation &amp; SBG NAV'!BM11</f>
        <v>3.37</v>
      </c>
      <c r="C9" s="655">
        <f>'Valuation &amp; SBG NAV'!BM55</f>
        <v>22.635679742074153</v>
      </c>
      <c r="D9" s="254">
        <f>'Valuation &amp; SBG NAV'!BN11</f>
        <v>2.92</v>
      </c>
      <c r="E9" s="655">
        <f>'Valuation &amp; SBG NAV'!BN55</f>
        <v>18.650996423096576</v>
      </c>
      <c r="F9" s="254">
        <f t="shared" ref="F9:F22" si="1">D9-B9</f>
        <v>-0.45000000000000018</v>
      </c>
      <c r="G9" s="655">
        <f t="shared" si="0"/>
        <v>-3.9846833189775772</v>
      </c>
      <c r="K9" s="24"/>
    </row>
    <row r="10" spans="1:11">
      <c r="A10" s="34" t="s">
        <v>84</v>
      </c>
      <c r="B10" s="254">
        <f>'Valuation &amp; SBG NAV'!BM12</f>
        <v>3.96</v>
      </c>
      <c r="C10" s="655">
        <f>'Valuation &amp; SBG NAV'!BM56</f>
        <v>26.598602901665771</v>
      </c>
      <c r="D10" s="254">
        <f>'Valuation &amp; SBG NAV'!BN12</f>
        <v>3.79</v>
      </c>
      <c r="E10" s="655">
        <f>'Valuation &amp; SBG NAV'!BN56</f>
        <v>24.207971384772609</v>
      </c>
      <c r="F10" s="254">
        <f t="shared" si="1"/>
        <v>-0.16999999999999993</v>
      </c>
      <c r="G10" s="655">
        <f t="shared" si="0"/>
        <v>-2.390631516893162</v>
      </c>
      <c r="K10" s="24"/>
    </row>
    <row r="11" spans="1:11" s="79" customFormat="1">
      <c r="A11" s="834" t="s">
        <v>2726</v>
      </c>
      <c r="B11" s="835">
        <f>'Valuation &amp; SBG NAV'!BM13</f>
        <v>3.6773359999999999</v>
      </c>
      <c r="C11" s="836">
        <f>'Valuation &amp; SBG NAV'!BM57</f>
        <v>24.7</v>
      </c>
      <c r="D11" s="835">
        <f>'Valuation &amp; SBG NAV'!BN13</f>
        <v>8.516864</v>
      </c>
      <c r="E11" s="836">
        <f>'Valuation &amp; SBG NAV'!BN57</f>
        <v>54.4</v>
      </c>
      <c r="F11" s="835">
        <f t="shared" si="1"/>
        <v>4.8395279999999996</v>
      </c>
      <c r="G11" s="836">
        <f t="shared" si="0"/>
        <v>29.7</v>
      </c>
      <c r="I11" s="316"/>
      <c r="K11" s="224"/>
    </row>
    <row r="12" spans="1:11" s="79" customFormat="1">
      <c r="A12" s="834" t="s">
        <v>2963</v>
      </c>
      <c r="B12" s="835">
        <f>'Valuation &amp; SBG NAV'!BM14</f>
        <v>4.5826640000000003</v>
      </c>
      <c r="C12" s="836">
        <f>'Valuation &amp; SBG NAV'!BM58</f>
        <v>30.780924234282651</v>
      </c>
      <c r="D12" s="835">
        <f>'Valuation &amp; SBG NAV'!BN14</f>
        <v>4.6531360000000008</v>
      </c>
      <c r="E12" s="836">
        <f>'Valuation &amp; SBG NAV'!BN58</f>
        <v>29.721103730199285</v>
      </c>
      <c r="F12" s="835">
        <f t="shared" si="1"/>
        <v>7.0472000000000534E-2</v>
      </c>
      <c r="G12" s="836">
        <f t="shared" si="0"/>
        <v>-1.0598205040833655</v>
      </c>
      <c r="I12" s="316"/>
      <c r="K12" s="224"/>
    </row>
    <row r="13" spans="1:11">
      <c r="A13" s="34" t="s">
        <v>83</v>
      </c>
      <c r="B13" s="254">
        <f>'Valuation &amp; SBG NAV'!BM15</f>
        <v>8.26</v>
      </c>
      <c r="C13" s="655">
        <f>'Valuation &amp; SBG NAV'!BM59</f>
        <v>55.480924234282647</v>
      </c>
      <c r="D13" s="254">
        <f>'Valuation &amp; SBG NAV'!BN15</f>
        <v>13.17</v>
      </c>
      <c r="E13" s="655">
        <f>'Valuation &amp; SBG NAV'!BN59</f>
        <v>84.12110373019928</v>
      </c>
      <c r="F13" s="254">
        <f t="shared" si="1"/>
        <v>4.91</v>
      </c>
      <c r="G13" s="655">
        <f t="shared" si="0"/>
        <v>28.640179495916634</v>
      </c>
      <c r="K13" s="24"/>
    </row>
    <row r="14" spans="1:11">
      <c r="A14" s="34" t="s">
        <v>944</v>
      </c>
      <c r="B14" s="254">
        <f>'Valuation &amp; SBG NAV'!BM16</f>
        <v>1.04</v>
      </c>
      <c r="C14" s="655">
        <f>'Valuation &amp; SBG NAV'!BM60</f>
        <v>6.9854916711445458</v>
      </c>
      <c r="D14" s="254">
        <f>'Valuation &amp; SBG NAV'!BN16</f>
        <v>1.04</v>
      </c>
      <c r="E14" s="655">
        <f>'Valuation &amp; SBG NAV'!BN60</f>
        <v>6.6428206438426161</v>
      </c>
      <c r="F14" s="254">
        <f t="shared" si="1"/>
        <v>0</v>
      </c>
      <c r="G14" s="655">
        <f t="shared" si="0"/>
        <v>-0.34267102730192978</v>
      </c>
      <c r="K14" s="24"/>
    </row>
    <row r="15" spans="1:11">
      <c r="A15" s="33" t="s">
        <v>945</v>
      </c>
      <c r="B15" s="654">
        <f>'Valuation &amp; SBG NAV'!BM17</f>
        <v>13.259999999999998</v>
      </c>
      <c r="C15" s="656">
        <f>'Valuation &amp; SBG NAV'!BM61</f>
        <v>89.065018807092954</v>
      </c>
      <c r="D15" s="654">
        <f>'Valuation &amp; SBG NAV'!BN17</f>
        <v>18</v>
      </c>
      <c r="E15" s="656">
        <f>'Valuation &amp; SBG NAV'!BN61</f>
        <v>114.9718957588145</v>
      </c>
      <c r="F15" s="654">
        <f t="shared" si="1"/>
        <v>4.740000000000002</v>
      </c>
      <c r="G15" s="656">
        <f t="shared" si="0"/>
        <v>25.906876951721543</v>
      </c>
      <c r="K15" s="24"/>
    </row>
    <row r="16" spans="1:11">
      <c r="A16" s="5" t="s">
        <v>87</v>
      </c>
      <c r="B16" s="254">
        <f>'Valuation &amp; SBG NAV'!BM18</f>
        <v>1.61</v>
      </c>
      <c r="C16" s="655">
        <f>'Valuation &amp; SBG NAV'!BM62</f>
        <v>10.814078452444923</v>
      </c>
      <c r="D16" s="254">
        <f>'Valuation &amp; SBG NAV'!BN18</f>
        <v>0.91</v>
      </c>
      <c r="E16" s="655">
        <f>'Valuation &amp; SBG NAV'!BN62</f>
        <v>5.8124680633622887</v>
      </c>
      <c r="F16" s="254">
        <f t="shared" si="1"/>
        <v>-0.70000000000000007</v>
      </c>
      <c r="G16" s="655">
        <f t="shared" si="0"/>
        <v>-5.001610389082634</v>
      </c>
      <c r="K16" s="24"/>
    </row>
    <row r="17" spans="1:11">
      <c r="A17" s="5" t="s">
        <v>88</v>
      </c>
      <c r="B17" s="254">
        <f>'Valuation &amp; SBG NAV'!BM19</f>
        <v>0.05</v>
      </c>
      <c r="C17" s="655">
        <f>'Valuation &amp; SBG NAV'!BM63</f>
        <v>0.33584094572810319</v>
      </c>
      <c r="D17" s="254">
        <f>'Valuation &amp; SBG NAV'!BN19</f>
        <v>0</v>
      </c>
      <c r="E17" s="655">
        <f>'Valuation &amp; SBG NAV'!BN63</f>
        <v>0</v>
      </c>
      <c r="F17" s="254">
        <f t="shared" si="1"/>
        <v>-0.05</v>
      </c>
      <c r="G17" s="655">
        <f t="shared" si="0"/>
        <v>-0.33584094572810319</v>
      </c>
      <c r="K17" s="24"/>
    </row>
    <row r="18" spans="1:11">
      <c r="A18" s="5" t="s">
        <v>946</v>
      </c>
      <c r="B18" s="254">
        <f>'Valuation &amp; SBG NAV'!BM20</f>
        <v>18.18</v>
      </c>
      <c r="C18" s="655">
        <f>'Valuation &amp; SBG NAV'!BM64</f>
        <v>122.11176786673832</v>
      </c>
      <c r="D18" s="254">
        <f>'Valuation &amp; SBG NAV'!BN20</f>
        <v>12.69</v>
      </c>
      <c r="E18" s="655">
        <f>'Valuation &amp; SBG NAV'!BN64</f>
        <v>81.05518650996423</v>
      </c>
      <c r="F18" s="254">
        <f t="shared" si="1"/>
        <v>-5.49</v>
      </c>
      <c r="G18" s="655">
        <f t="shared" si="0"/>
        <v>-41.056581356774089</v>
      </c>
      <c r="K18" s="24"/>
    </row>
    <row r="19" spans="1:11">
      <c r="A19" s="5" t="s">
        <v>947</v>
      </c>
      <c r="B19" s="254">
        <f>'Valuation &amp; SBG NAV'!BM21</f>
        <v>3.39</v>
      </c>
      <c r="C19" s="655">
        <f>'Valuation &amp; SBG NAV'!BM65</f>
        <v>22.770016120365394</v>
      </c>
      <c r="D19" s="254">
        <f>'Valuation &amp; SBG NAV'!BN21</f>
        <v>4.46</v>
      </c>
      <c r="E19" s="655">
        <f>'Valuation &amp; SBG NAV'!BN65</f>
        <v>28.487480838017373</v>
      </c>
      <c r="F19" s="254">
        <f t="shared" si="1"/>
        <v>1.0699999999999998</v>
      </c>
      <c r="G19" s="655">
        <f t="shared" si="0"/>
        <v>5.7174647176519784</v>
      </c>
      <c r="K19" s="24"/>
    </row>
    <row r="20" spans="1:11">
      <c r="A20" s="9" t="s">
        <v>2645</v>
      </c>
      <c r="B20" s="654">
        <f>'Valuation &amp; SBG NAV'!BM22</f>
        <v>39.86</v>
      </c>
      <c r="C20" s="656">
        <f>'Valuation &amp; SBG NAV'!BM66</f>
        <v>267.73240193444383</v>
      </c>
      <c r="D20" s="654">
        <f>'Valuation &amp; SBG NAV'!BN22</f>
        <v>38.980000000000004</v>
      </c>
      <c r="E20" s="656">
        <f>'Valuation &amp; SBG NAV'!BN66</f>
        <v>248.97802759325498</v>
      </c>
      <c r="F20" s="654">
        <f t="shared" si="1"/>
        <v>-0.87999999999999545</v>
      </c>
      <c r="G20" s="656">
        <f t="shared" si="0"/>
        <v>-18.75437434118885</v>
      </c>
      <c r="K20" s="24"/>
    </row>
    <row r="21" spans="1:11">
      <c r="A21" s="1" t="s">
        <v>2646</v>
      </c>
      <c r="B21" s="254">
        <f>'Valuation &amp; SBG NAV'!BM31</f>
        <v>6.5600000000000014</v>
      </c>
      <c r="C21" s="655">
        <f>'Valuation &amp; SBG NAV'!BM71</f>
        <v>44.062332079527138</v>
      </c>
      <c r="D21" s="254">
        <f>'Valuation &amp; SBG NAV'!BN31</f>
        <v>8.0399999999999991</v>
      </c>
      <c r="E21" s="655">
        <f>'Valuation &amp; SBG NAV'!BN71</f>
        <v>51.354113438937141</v>
      </c>
      <c r="F21" s="254">
        <f t="shared" si="1"/>
        <v>1.4799999999999978</v>
      </c>
      <c r="G21" s="655">
        <f t="shared" si="0"/>
        <v>7.2917813594100025</v>
      </c>
      <c r="K21" s="24"/>
    </row>
    <row r="22" spans="1:11">
      <c r="A22" s="9" t="s">
        <v>2648</v>
      </c>
      <c r="B22" s="654">
        <f>B20-B21</f>
        <v>33.299999999999997</v>
      </c>
      <c r="C22" s="656">
        <f>C20-C21</f>
        <v>223.67006985491668</v>
      </c>
      <c r="D22" s="654">
        <f>D20-D21</f>
        <v>30.940000000000005</v>
      </c>
      <c r="E22" s="656">
        <f>E20-E21</f>
        <v>197.62391415431784</v>
      </c>
      <c r="F22" s="654">
        <f t="shared" si="1"/>
        <v>-2.3599999999999923</v>
      </c>
      <c r="G22" s="656">
        <f t="shared" si="0"/>
        <v>-26.046155700598831</v>
      </c>
      <c r="K22" s="24"/>
    </row>
    <row r="23" spans="1:11">
      <c r="A23" s="1" t="s">
        <v>2654</v>
      </c>
      <c r="B23" s="254"/>
      <c r="C23" s="655"/>
      <c r="D23" s="662">
        <f>MROUND(1000000*D22/FP!$D$10, 10)</f>
        <v>5420</v>
      </c>
      <c r="E23" s="655"/>
      <c r="F23" s="254"/>
      <c r="G23" s="655"/>
      <c r="K23" s="24"/>
    </row>
    <row r="24" spans="1:11">
      <c r="A24" s="64" t="s">
        <v>2649</v>
      </c>
      <c r="B24" s="658"/>
      <c r="C24" s="659"/>
      <c r="D24" s="660">
        <f>D22/B22-1</f>
        <v>-7.0870870870870628E-2</v>
      </c>
      <c r="E24" s="661">
        <f>E22/C22-1</f>
        <v>-0.11644899881997461</v>
      </c>
      <c r="F24" s="660"/>
      <c r="G24" s="661"/>
    </row>
    <row r="26" spans="1:11">
      <c r="A26" s="9" t="s">
        <v>2647</v>
      </c>
      <c r="B26" s="1189">
        <f>C21/C20</f>
        <v>0.16457601605619671</v>
      </c>
      <c r="C26" s="1189"/>
      <c r="D26" s="1189">
        <f>E21/E20</f>
        <v>0.20625962031811182</v>
      </c>
      <c r="E26" s="1189"/>
      <c r="F26" s="1190"/>
      <c r="G26" s="1190"/>
    </row>
    <row r="27" spans="1:11">
      <c r="A27" s="9" t="s">
        <v>2528</v>
      </c>
      <c r="B27" s="1191">
        <f>'Valuation &amp; SBG NAV'!BM79</f>
        <v>148.88</v>
      </c>
      <c r="C27" s="1191"/>
      <c r="D27" s="1184">
        <f>'Valuation &amp; SBG NAV'!BN79</f>
        <v>156.56</v>
      </c>
      <c r="E27" s="1184"/>
      <c r="F27" s="1185"/>
      <c r="G27" s="1185"/>
    </row>
    <row r="28" spans="1:11">
      <c r="A28" s="64" t="s">
        <v>738</v>
      </c>
      <c r="B28" s="1186"/>
      <c r="C28" s="1186"/>
      <c r="D28" s="1187">
        <f>D27/B27-1</f>
        <v>5.1585169263836717E-2</v>
      </c>
      <c r="E28" s="1187"/>
      <c r="F28" s="1188"/>
      <c r="G28" s="1188"/>
    </row>
  </sheetData>
  <mergeCells count="12">
    <mergeCell ref="B6:C6"/>
    <mergeCell ref="D6:E6"/>
    <mergeCell ref="F6:G6"/>
    <mergeCell ref="B26:C26"/>
    <mergeCell ref="D26:E26"/>
    <mergeCell ref="F26:G26"/>
    <mergeCell ref="B27:C27"/>
    <mergeCell ref="D27:E27"/>
    <mergeCell ref="F27:G27"/>
    <mergeCell ref="B28:C28"/>
    <mergeCell ref="D28:E28"/>
    <mergeCell ref="F28:G28"/>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19983-07A8-401D-9D9A-A78E87A0D1DA}">
  <dimension ref="A1:AA92"/>
  <sheetViews>
    <sheetView zoomScale="90" zoomScaleNormal="90" workbookViewId="0"/>
  </sheetViews>
  <sheetFormatPr defaultColWidth="9.140625" defaultRowHeight="12"/>
  <cols>
    <col min="1" max="1" width="9.5703125" style="950" bestFit="1" customWidth="1"/>
    <col min="2" max="3" width="9.140625" style="950"/>
    <col min="4" max="4" width="11.42578125" style="950" customWidth="1"/>
    <col min="5" max="16384" width="9.140625" style="950"/>
  </cols>
  <sheetData>
    <row r="1" spans="1:9" ht="30" customHeight="1">
      <c r="B1" s="951" t="s">
        <v>3204</v>
      </c>
      <c r="C1" s="952" t="s">
        <v>3205</v>
      </c>
      <c r="D1" s="952" t="s">
        <v>3206</v>
      </c>
      <c r="E1" s="951" t="s">
        <v>2288</v>
      </c>
      <c r="F1" s="952" t="s">
        <v>3228</v>
      </c>
      <c r="G1" s="952" t="s">
        <v>3229</v>
      </c>
    </row>
    <row r="3" spans="1:9">
      <c r="G3" s="951" t="s">
        <v>3207</v>
      </c>
    </row>
    <row r="4" spans="1:9">
      <c r="A4" s="950" t="s">
        <v>3208</v>
      </c>
      <c r="B4" s="953">
        <v>0.5</v>
      </c>
      <c r="C4" s="954">
        <f>D4-6.6</f>
        <v>150.4</v>
      </c>
      <c r="D4" s="954">
        <v>157</v>
      </c>
      <c r="E4" s="955">
        <f>100*B4/D4</f>
        <v>0.31847133757961782</v>
      </c>
      <c r="F4" s="954">
        <f>E4*(1-10/300)</f>
        <v>0.30785562632696389</v>
      </c>
      <c r="G4" s="955">
        <f>F4*$G$11/100</f>
        <v>1.3468683651804669</v>
      </c>
    </row>
    <row r="5" spans="1:9">
      <c r="A5" s="950" t="s">
        <v>3209</v>
      </c>
      <c r="B5" s="953">
        <v>1.7</v>
      </c>
      <c r="C5" s="955">
        <f>D5</f>
        <v>157</v>
      </c>
      <c r="D5" s="956">
        <v>157</v>
      </c>
      <c r="E5" s="955">
        <f>100*B5/D5</f>
        <v>1.0828025477707006</v>
      </c>
      <c r="F5" s="954">
        <f>E5*(1-10/300)</f>
        <v>1.0467091295116773</v>
      </c>
      <c r="G5" s="955">
        <f>F5*$G$11/100</f>
        <v>4.5793524416135885</v>
      </c>
    </row>
    <row r="6" spans="1:9">
      <c r="A6" s="950" t="s">
        <v>3210</v>
      </c>
      <c r="B6" s="953">
        <v>7.5</v>
      </c>
      <c r="C6" s="954">
        <f>D6-40</f>
        <v>260</v>
      </c>
      <c r="D6" s="954">
        <v>300</v>
      </c>
      <c r="E6" s="955">
        <f>100*B6/D6</f>
        <v>2.5</v>
      </c>
      <c r="F6" s="955">
        <f>E6</f>
        <v>2.5</v>
      </c>
      <c r="G6" s="955">
        <f>F6*$G$11/100</f>
        <v>10.9375</v>
      </c>
    </row>
    <row r="7" spans="1:9">
      <c r="A7" s="950" t="s">
        <v>3211</v>
      </c>
      <c r="B7" s="953">
        <v>1.1000000000000001</v>
      </c>
      <c r="C7" s="955">
        <f>D7</f>
        <v>300</v>
      </c>
      <c r="D7" s="956">
        <v>300</v>
      </c>
      <c r="E7" s="955">
        <f>100*B7/D7</f>
        <v>0.3666666666666667</v>
      </c>
      <c r="F7" s="955">
        <f>E7</f>
        <v>0.3666666666666667</v>
      </c>
      <c r="G7" s="955">
        <f>F7*$G$11/100</f>
        <v>1.604166666666667</v>
      </c>
    </row>
    <row r="8" spans="1:9">
      <c r="A8" s="957" t="s">
        <v>89</v>
      </c>
      <c r="B8" s="958">
        <f>SUM(B4:B7)</f>
        <v>10.799999999999999</v>
      </c>
      <c r="C8" s="959">
        <f>(C4*B4/$B$8)+(C5*B5/$B$8)+(C6*B6/$B$8)+(C7*B7/$B$8)</f>
        <v>242.78703703703707</v>
      </c>
      <c r="D8" s="959">
        <f>(D4*B4/$B$8)+(D5*B5/$B$8)+(D6*B6/$B$8)+(D7*B7/$B$8)</f>
        <v>270.87037037037038</v>
      </c>
      <c r="E8" s="959">
        <f>SUM(E4:E7)</f>
        <v>4.2679405520169844</v>
      </c>
      <c r="F8" s="959">
        <f>SUM(F4:F7)</f>
        <v>4.2212314225053085</v>
      </c>
      <c r="G8" s="959">
        <f>SUM(G4:G7)</f>
        <v>18.467887473460724</v>
      </c>
    </row>
    <row r="9" spans="1:9">
      <c r="A9" s="950" t="s">
        <v>3212</v>
      </c>
      <c r="G9" s="960">
        <f>G8-B8</f>
        <v>7.6678874734607252</v>
      </c>
    </row>
    <row r="11" spans="1:9">
      <c r="A11" s="950" t="s">
        <v>3213</v>
      </c>
      <c r="G11" s="956">
        <v>437.5</v>
      </c>
      <c r="H11" s="961">
        <v>500</v>
      </c>
      <c r="I11" s="962" t="s">
        <v>3214</v>
      </c>
    </row>
    <row r="12" spans="1:9">
      <c r="A12" s="950" t="s">
        <v>3215</v>
      </c>
      <c r="G12" s="963">
        <f>G11/G20-1</f>
        <v>0.86170212765957444</v>
      </c>
      <c r="H12" s="964">
        <f>1-G11/H11</f>
        <v>0.125</v>
      </c>
      <c r="I12" s="965" t="s">
        <v>3216</v>
      </c>
    </row>
    <row r="14" spans="1:9">
      <c r="G14" s="951" t="s">
        <v>3230</v>
      </c>
    </row>
    <row r="15" spans="1:9">
      <c r="A15" s="950" t="s">
        <v>3208</v>
      </c>
      <c r="B15" s="953">
        <v>0.5</v>
      </c>
      <c r="C15" s="954">
        <f>D15-6.6</f>
        <v>150.4</v>
      </c>
      <c r="D15" s="954">
        <v>157</v>
      </c>
      <c r="E15" s="955">
        <f>100*B15/D15</f>
        <v>0.31847133757961782</v>
      </c>
      <c r="F15" s="955">
        <f t="shared" ref="F15:F16" si="0">E15</f>
        <v>0.31847133757961782</v>
      </c>
      <c r="G15" s="955">
        <f>F15*$G$20/100</f>
        <v>0.74840764331210186</v>
      </c>
    </row>
    <row r="16" spans="1:9">
      <c r="A16" s="950" t="s">
        <v>3209</v>
      </c>
      <c r="B16" s="953">
        <v>1.7</v>
      </c>
      <c r="C16" s="955">
        <f>D16</f>
        <v>157</v>
      </c>
      <c r="D16" s="956">
        <v>157</v>
      </c>
      <c r="E16" s="955">
        <f>100*B16/D16</f>
        <v>1.0828025477707006</v>
      </c>
      <c r="F16" s="955">
        <f t="shared" si="0"/>
        <v>1.0828025477707006</v>
      </c>
      <c r="G16" s="955">
        <f>F16*$G$20/100</f>
        <v>2.5445859872611463</v>
      </c>
    </row>
    <row r="17" spans="1:9">
      <c r="A17" s="957" t="s">
        <v>89</v>
      </c>
      <c r="B17" s="958">
        <f>SUM(B15:B16)</f>
        <v>2.2000000000000002</v>
      </c>
      <c r="C17" s="959">
        <f>(C15*B15/$B$17)+(C16*B16/$B$17)</f>
        <v>155.49999999999997</v>
      </c>
      <c r="D17" s="959">
        <f>(D15*B15/$B$17)+(D16*B16/$B$17)</f>
        <v>156.99999999999997</v>
      </c>
      <c r="E17" s="959">
        <f>SUM(E15:E16)</f>
        <v>1.4012738853503184</v>
      </c>
      <c r="F17" s="959">
        <f>SUM(F15:F16)</f>
        <v>1.4012738853503184</v>
      </c>
      <c r="G17" s="959">
        <f>SUM(G15:G16)</f>
        <v>3.2929936305732479</v>
      </c>
    </row>
    <row r="18" spans="1:9">
      <c r="A18" s="950" t="s">
        <v>3212</v>
      </c>
      <c r="G18" s="960">
        <f>G17-B17</f>
        <v>1.0929936305732477</v>
      </c>
    </row>
    <row r="20" spans="1:9">
      <c r="A20" s="950" t="s">
        <v>3217</v>
      </c>
      <c r="G20" s="956">
        <v>235</v>
      </c>
      <c r="H20" s="961">
        <v>300</v>
      </c>
      <c r="I20" s="962" t="s">
        <v>3218</v>
      </c>
    </row>
    <row r="21" spans="1:9">
      <c r="A21" s="950" t="s">
        <v>3215</v>
      </c>
      <c r="G21" s="963">
        <f>G20/$D$17-1</f>
        <v>0.49681528662420416</v>
      </c>
      <c r="H21" s="964">
        <f>1-G20/H20</f>
        <v>0.21666666666666667</v>
      </c>
      <c r="I21" s="965" t="s">
        <v>3216</v>
      </c>
    </row>
    <row r="23" spans="1:9">
      <c r="G23" s="951" t="s">
        <v>3231</v>
      </c>
    </row>
    <row r="24" spans="1:9">
      <c r="A24" s="950" t="s">
        <v>3208</v>
      </c>
      <c r="B24" s="953">
        <v>0.5</v>
      </c>
      <c r="C24" s="954">
        <f>D24-6.6</f>
        <v>150.4</v>
      </c>
      <c r="D24" s="954">
        <v>157</v>
      </c>
      <c r="E24" s="955">
        <f t="shared" ref="E24:E29" si="1">100*B24/D24</f>
        <v>0.31847133757961782</v>
      </c>
      <c r="F24" s="954">
        <f>E24*(1-41/300)</f>
        <v>0.27494692144373672</v>
      </c>
      <c r="G24" s="955">
        <f>F24*$G$32/100</f>
        <v>1.2372611464968153</v>
      </c>
    </row>
    <row r="25" spans="1:9">
      <c r="A25" s="950" t="s">
        <v>3209</v>
      </c>
      <c r="B25" s="953">
        <v>1.7</v>
      </c>
      <c r="C25" s="955">
        <f>D25</f>
        <v>157</v>
      </c>
      <c r="D25" s="956">
        <v>157</v>
      </c>
      <c r="E25" s="955">
        <f t="shared" si="1"/>
        <v>1.0828025477707006</v>
      </c>
      <c r="F25" s="954">
        <f>E25*(1-41/300)</f>
        <v>0.93481953290870479</v>
      </c>
      <c r="G25" s="955">
        <f t="shared" ref="G25:G29" si="2">F25*$G$32/100</f>
        <v>4.2066878980891715</v>
      </c>
    </row>
    <row r="26" spans="1:9">
      <c r="A26" s="950" t="s">
        <v>3210</v>
      </c>
      <c r="B26" s="953">
        <v>7.5</v>
      </c>
      <c r="C26" s="954">
        <f>D26-40</f>
        <v>260</v>
      </c>
      <c r="D26" s="954">
        <v>300</v>
      </c>
      <c r="E26" s="955">
        <f t="shared" si="1"/>
        <v>2.5</v>
      </c>
      <c r="F26" s="955">
        <f>E26</f>
        <v>2.5</v>
      </c>
      <c r="G26" s="955">
        <f t="shared" si="2"/>
        <v>11.25</v>
      </c>
    </row>
    <row r="27" spans="1:9">
      <c r="A27" s="950" t="s">
        <v>3211</v>
      </c>
      <c r="B27" s="953">
        <v>1.1000000000000001</v>
      </c>
      <c r="C27" s="955">
        <f>D27</f>
        <v>300</v>
      </c>
      <c r="D27" s="956">
        <v>300</v>
      </c>
      <c r="E27" s="955">
        <f t="shared" si="1"/>
        <v>0.3666666666666667</v>
      </c>
      <c r="F27" s="954">
        <f>E27*(1-30/300)</f>
        <v>0.33</v>
      </c>
      <c r="G27" s="955">
        <f t="shared" si="2"/>
        <v>1.4850000000000001</v>
      </c>
    </row>
    <row r="28" spans="1:9">
      <c r="A28" s="950" t="s">
        <v>3226</v>
      </c>
      <c r="B28" s="953">
        <v>1.45</v>
      </c>
      <c r="C28" s="955">
        <f>D28</f>
        <v>500</v>
      </c>
      <c r="D28" s="956">
        <v>500</v>
      </c>
      <c r="E28" s="955">
        <f t="shared" si="1"/>
        <v>0.28999999999999998</v>
      </c>
      <c r="F28" s="954">
        <f>E28*(1-30/300)</f>
        <v>0.26100000000000001</v>
      </c>
      <c r="G28" s="955">
        <f t="shared" si="2"/>
        <v>1.1745000000000001</v>
      </c>
    </row>
    <row r="29" spans="1:9">
      <c r="A29" s="950" t="s">
        <v>3227</v>
      </c>
      <c r="B29" s="953">
        <v>22.5</v>
      </c>
      <c r="C29" s="954">
        <f>D29-40</f>
        <v>260</v>
      </c>
      <c r="D29" s="954">
        <v>300</v>
      </c>
      <c r="E29" s="955">
        <f t="shared" si="1"/>
        <v>7.5</v>
      </c>
      <c r="F29" s="955">
        <f>E29</f>
        <v>7.5</v>
      </c>
      <c r="G29" s="955">
        <f t="shared" si="2"/>
        <v>33.75</v>
      </c>
    </row>
    <row r="30" spans="1:9">
      <c r="A30" s="957" t="s">
        <v>89</v>
      </c>
      <c r="B30" s="958">
        <f>SUM(B24:B29)</f>
        <v>34.75</v>
      </c>
      <c r="C30" s="959">
        <f>(C24*B24/$B$30)+(C25*B25/$B$30)+(C26*B26/$B$30)+(C27*B27/$B$30)+(C28*B28/$B$30)+(C29*B29/$B$30)</f>
        <v>264.6647482014389</v>
      </c>
      <c r="D30" s="959">
        <f>(D24*B24/$B$30)+(D25*B25/$B$30)+(D26*B26/$B$30)+(D27*B27/$B$30)+(D28*B28/$B$30)+(D29*B29/$B$30)</f>
        <v>299.29208633093526</v>
      </c>
      <c r="E30" s="959">
        <f>SUM(E24:E29)</f>
        <v>12.057940552016984</v>
      </c>
      <c r="F30" s="959">
        <f>SUM(F24:F29)</f>
        <v>11.800766454352441</v>
      </c>
      <c r="G30" s="959">
        <f>SUM(G24:G29)</f>
        <v>53.103449044585986</v>
      </c>
    </row>
    <row r="32" spans="1:9">
      <c r="A32" s="950" t="s">
        <v>3268</v>
      </c>
      <c r="G32" s="966">
        <v>450</v>
      </c>
    </row>
    <row r="33" spans="1:27">
      <c r="A33" s="950" t="s">
        <v>3215</v>
      </c>
      <c r="G33" s="963">
        <f>G32/G11-1</f>
        <v>2.857142857142847E-2</v>
      </c>
    </row>
    <row r="35" spans="1:27" ht="22.5" customHeight="1">
      <c r="A35" s="1192" t="s">
        <v>3232</v>
      </c>
      <c r="B35" s="1192"/>
      <c r="C35" s="1192"/>
      <c r="D35" s="1192"/>
      <c r="E35" s="1192"/>
      <c r="F35" s="1192"/>
      <c r="G35" s="1192"/>
      <c r="H35" s="1192"/>
      <c r="I35" s="1192"/>
      <c r="J35" s="1192"/>
      <c r="K35" s="1192"/>
      <c r="L35" s="1192"/>
      <c r="M35" s="1192"/>
      <c r="N35" s="1192"/>
      <c r="O35" s="1192"/>
      <c r="P35" s="1192"/>
      <c r="Q35" s="1192"/>
      <c r="R35" s="1192"/>
      <c r="S35" s="1192"/>
      <c r="T35" s="1192"/>
      <c r="U35" s="1192"/>
      <c r="V35" s="1192"/>
      <c r="W35" s="1192"/>
      <c r="X35" s="1192"/>
      <c r="Y35" s="1192"/>
      <c r="Z35" s="1192"/>
      <c r="AA35" s="1192"/>
    </row>
    <row r="37" spans="1:27">
      <c r="A37" s="950" t="s">
        <v>3258</v>
      </c>
    </row>
    <row r="39" spans="1:27">
      <c r="A39" s="950" t="s">
        <v>3259</v>
      </c>
      <c r="G39" s="986">
        <f>1000*G8*(G32/G11-1)</f>
        <v>527.65392781316166</v>
      </c>
    </row>
    <row r="40" spans="1:27">
      <c r="A40" s="950" t="s">
        <v>3260</v>
      </c>
      <c r="G40" s="986">
        <f>1000*(22.5*(G32/300-1)-8)</f>
        <v>3250</v>
      </c>
      <c r="H40" s="984" t="s">
        <v>3261</v>
      </c>
    </row>
    <row r="41" spans="1:27">
      <c r="A41" s="957" t="s">
        <v>3264</v>
      </c>
      <c r="B41" s="957"/>
      <c r="C41" s="957"/>
      <c r="D41" s="957"/>
      <c r="E41" s="957"/>
      <c r="F41" s="957"/>
      <c r="G41" s="987">
        <f>SUM(G39:G40)</f>
        <v>3777.6539278131618</v>
      </c>
    </row>
    <row r="42" spans="1:27">
      <c r="A42" s="950" t="s">
        <v>3262</v>
      </c>
      <c r="G42" s="986">
        <f>'SVF2'!AY68-'SVF2'!AX68</f>
        <v>1400</v>
      </c>
    </row>
    <row r="43" spans="1:27">
      <c r="A43" s="950" t="s">
        <v>3263</v>
      </c>
      <c r="G43" s="988">
        <v>0</v>
      </c>
    </row>
    <row r="44" spans="1:27">
      <c r="A44" s="957" t="s">
        <v>3265</v>
      </c>
      <c r="B44" s="957"/>
      <c r="C44" s="957"/>
      <c r="D44" s="957"/>
      <c r="E44" s="957"/>
      <c r="F44" s="957"/>
      <c r="G44" s="987">
        <f>SUM(G41:G43)</f>
        <v>5177.6539278131622</v>
      </c>
    </row>
    <row r="45" spans="1:27">
      <c r="A45" s="950" t="s">
        <v>3266</v>
      </c>
      <c r="G45" s="990">
        <f>G44/AVERAGE('SVF2'!$AX$10:$AY$10)</f>
        <v>7.2566978665916784E-2</v>
      </c>
    </row>
    <row r="47" spans="1:27">
      <c r="A47" s="950" t="s">
        <v>3267</v>
      </c>
    </row>
    <row r="49" spans="1:7">
      <c r="A49" s="950" t="s">
        <v>3259</v>
      </c>
      <c r="G49" s="986">
        <f>1000*G8*(500/G11-1)</f>
        <v>2638.2696390658166</v>
      </c>
    </row>
    <row r="50" spans="1:7">
      <c r="A50" s="950" t="s">
        <v>3260</v>
      </c>
      <c r="G50" s="986">
        <f>1000*(22.5*(500/300-1)-8)</f>
        <v>7000.0000000000018</v>
      </c>
    </row>
    <row r="51" spans="1:7">
      <c r="A51" s="957" t="s">
        <v>3264</v>
      </c>
      <c r="B51" s="957"/>
      <c r="C51" s="957"/>
      <c r="D51" s="957"/>
      <c r="E51" s="957"/>
      <c r="F51" s="957"/>
      <c r="G51" s="987">
        <f>SUM(G49:G50)</f>
        <v>9638.2696390658184</v>
      </c>
    </row>
    <row r="52" spans="1:7">
      <c r="A52" s="950" t="s">
        <v>3262</v>
      </c>
      <c r="G52" s="986">
        <f>G42</f>
        <v>1400</v>
      </c>
    </row>
    <row r="53" spans="1:7">
      <c r="A53" s="950" t="s">
        <v>3263</v>
      </c>
      <c r="G53" s="988">
        <f>G43</f>
        <v>0</v>
      </c>
    </row>
    <row r="54" spans="1:7">
      <c r="A54" s="957" t="s">
        <v>3265</v>
      </c>
      <c r="B54" s="957"/>
      <c r="C54" s="957"/>
      <c r="D54" s="957"/>
      <c r="E54" s="957"/>
      <c r="F54" s="957"/>
      <c r="G54" s="987">
        <f>SUM(G51:G53)</f>
        <v>11038.269639065818</v>
      </c>
    </row>
    <row r="55" spans="1:7">
      <c r="A55" s="950" t="s">
        <v>3266</v>
      </c>
      <c r="G55" s="990">
        <f>G54/AVERAGE('SVF2'!$AX$10:$AY$10)</f>
        <v>0.15470595149356439</v>
      </c>
    </row>
    <row r="57" spans="1:7">
      <c r="A57" s="950" t="s">
        <v>3310</v>
      </c>
      <c r="G57" s="991">
        <f>G51-G44</f>
        <v>4460.6157112526562</v>
      </c>
    </row>
    <row r="58" spans="1:7" s="993" customFormat="1">
      <c r="A58" s="992" t="s">
        <v>3269</v>
      </c>
      <c r="G58" s="994">
        <f>G57-'SVF2'!$AY$143*(500/$G$32-1)</f>
        <v>-1583.8287331917909</v>
      </c>
    </row>
    <row r="60" spans="1:7">
      <c r="A60" s="950" t="s">
        <v>3311</v>
      </c>
    </row>
    <row r="62" spans="1:7">
      <c r="A62" s="950" t="s">
        <v>3312</v>
      </c>
      <c r="G62" s="990">
        <f>$F$30/100</f>
        <v>0.11800766454352442</v>
      </c>
    </row>
    <row r="63" spans="1:7">
      <c r="A63" s="950" t="s">
        <v>3315</v>
      </c>
      <c r="G63" s="983">
        <f>G62*100</f>
        <v>11.800766454352441</v>
      </c>
    </row>
    <row r="64" spans="1:7">
      <c r="A64" s="950" t="s">
        <v>1392</v>
      </c>
      <c r="G64" s="950">
        <f>FP!$G$4</f>
        <v>155.1</v>
      </c>
    </row>
    <row r="65" spans="1:7">
      <c r="A65" s="950" t="s">
        <v>3313</v>
      </c>
      <c r="G65" s="986">
        <f>FP!$D$10</f>
        <v>5711.8481199999997</v>
      </c>
    </row>
    <row r="66" spans="1:7">
      <c r="A66" s="950" t="s">
        <v>3314</v>
      </c>
      <c r="G66" s="1019">
        <f>MROUND((1000*G63/G65)*G64, 5)</f>
        <v>320</v>
      </c>
    </row>
    <row r="67" spans="1:7">
      <c r="A67" s="950" t="s">
        <v>3316</v>
      </c>
      <c r="G67" s="990">
        <f>G66/FP!$H$34</f>
        <v>5.5459272097053723E-2</v>
      </c>
    </row>
    <row r="68" spans="1:7">
      <c r="A68" s="950" t="s">
        <v>3319</v>
      </c>
      <c r="G68" s="989">
        <f>1-((100*(1-FP!$I$34))/(100*(1+G67)))</f>
        <v>0.33563218390804606</v>
      </c>
    </row>
    <row r="69" spans="1:7">
      <c r="A69" s="950" t="s">
        <v>276</v>
      </c>
      <c r="G69" s="1052">
        <f>G68-FP!$I$34</f>
        <v>3.6845355485169096E-2</v>
      </c>
    </row>
    <row r="71" spans="1:7">
      <c r="A71" s="1005" t="s">
        <v>3317</v>
      </c>
      <c r="B71" s="1005"/>
      <c r="C71" s="1005"/>
      <c r="D71" s="1005"/>
      <c r="E71" s="1005"/>
      <c r="F71" s="1005"/>
      <c r="G71" s="1050">
        <v>50</v>
      </c>
    </row>
    <row r="72" spans="1:7">
      <c r="A72" s="984" t="s">
        <v>3318</v>
      </c>
      <c r="B72" s="1005"/>
      <c r="C72" s="1005"/>
      <c r="D72" s="1005"/>
      <c r="E72" s="1005"/>
      <c r="F72" s="1005"/>
      <c r="G72" s="1051">
        <f>G71/100</f>
        <v>0.5</v>
      </c>
    </row>
    <row r="73" spans="1:7">
      <c r="A73" s="950" t="s">
        <v>3314</v>
      </c>
      <c r="G73" s="1019">
        <f>MROUND(G72*G66, 5)</f>
        <v>160</v>
      </c>
    </row>
    <row r="74" spans="1:7">
      <c r="A74" s="950" t="s">
        <v>3316</v>
      </c>
      <c r="G74" s="990">
        <f>G73/FP!$H$34</f>
        <v>2.7729636048526862E-2</v>
      </c>
    </row>
    <row r="76" spans="1:7">
      <c r="A76" s="995" t="s">
        <v>3342</v>
      </c>
      <c r="B76" s="995"/>
      <c r="C76" s="995"/>
      <c r="D76" s="995"/>
    </row>
    <row r="77" spans="1:7">
      <c r="A77" s="957" t="s">
        <v>3332</v>
      </c>
      <c r="B77" s="957"/>
      <c r="C77" s="957"/>
      <c r="D77" s="987">
        <f>FP!$H$34</f>
        <v>5770</v>
      </c>
    </row>
    <row r="78" spans="1:7">
      <c r="A78" s="950" t="s">
        <v>3336</v>
      </c>
      <c r="D78" s="986">
        <f>$G$65</f>
        <v>5711.8481199999997</v>
      </c>
    </row>
    <row r="79" spans="1:7">
      <c r="A79" s="998" t="s">
        <v>3334</v>
      </c>
      <c r="B79" s="998"/>
      <c r="C79" s="998"/>
      <c r="D79" s="998">
        <f>$G$64</f>
        <v>155.1</v>
      </c>
    </row>
    <row r="80" spans="1:7">
      <c r="A80" s="950" t="s">
        <v>3333</v>
      </c>
      <c r="D80" s="950">
        <f>11.8%*450</f>
        <v>53.1</v>
      </c>
    </row>
    <row r="81" spans="1:4">
      <c r="A81" s="950" t="s">
        <v>3335</v>
      </c>
      <c r="D81" s="986">
        <f>MROUND(1000*D80*$D$79/$D$78, 5)</f>
        <v>1440</v>
      </c>
    </row>
    <row r="82" spans="1:4">
      <c r="A82" s="998" t="s">
        <v>3337</v>
      </c>
      <c r="B82" s="998"/>
      <c r="C82" s="998"/>
      <c r="D82" s="1036">
        <f>D81/D77</f>
        <v>0.24956672443674177</v>
      </c>
    </row>
    <row r="83" spans="1:4">
      <c r="A83" s="950" t="s">
        <v>3338</v>
      </c>
      <c r="D83" s="983">
        <f>11.8%*830</f>
        <v>97.940000000000012</v>
      </c>
    </row>
    <row r="84" spans="1:4">
      <c r="A84" s="950" t="s">
        <v>3340</v>
      </c>
      <c r="D84" s="983">
        <f>-10%*D83</f>
        <v>-9.7940000000000023</v>
      </c>
    </row>
    <row r="85" spans="1:4">
      <c r="A85" s="1046" t="s">
        <v>3341</v>
      </c>
      <c r="B85" s="1046"/>
      <c r="C85" s="1046"/>
      <c r="D85" s="1047">
        <f>SUM(D83:D84)</f>
        <v>88.146000000000015</v>
      </c>
    </row>
    <row r="86" spans="1:4">
      <c r="A86" s="1013" t="s">
        <v>3335</v>
      </c>
      <c r="B86" s="1013"/>
      <c r="C86" s="1013"/>
      <c r="D86" s="1056">
        <f>MROUND(1000*D85*$D$79/$D$78, 5)</f>
        <v>2395</v>
      </c>
    </row>
    <row r="87" spans="1:4">
      <c r="A87" s="950" t="s">
        <v>3343</v>
      </c>
      <c r="D87" s="983">
        <f>D85-D80</f>
        <v>35.046000000000014</v>
      </c>
    </row>
    <row r="88" spans="1:4">
      <c r="A88" s="950" t="s">
        <v>3339</v>
      </c>
      <c r="D88" s="950">
        <f>-11.8%*100</f>
        <v>-11.8</v>
      </c>
    </row>
    <row r="89" spans="1:4">
      <c r="A89" s="957" t="s">
        <v>3344</v>
      </c>
      <c r="B89" s="957"/>
      <c r="C89" s="957"/>
      <c r="D89" s="985">
        <f>SUM(D87:D88)</f>
        <v>23.246000000000013</v>
      </c>
    </row>
    <row r="90" spans="1:4">
      <c r="A90" s="950" t="s">
        <v>3345</v>
      </c>
      <c r="D90" s="986">
        <f>MROUND(1000*D89*$D$79/$D$78, 5)</f>
        <v>630</v>
      </c>
    </row>
    <row r="91" spans="1:4">
      <c r="A91" s="1046" t="s">
        <v>3346</v>
      </c>
      <c r="B91" s="1046"/>
      <c r="C91" s="1046"/>
      <c r="D91" s="1055">
        <f>D77+D90</f>
        <v>6400</v>
      </c>
    </row>
    <row r="92" spans="1:4">
      <c r="A92" s="1013" t="s">
        <v>3349</v>
      </c>
      <c r="B92" s="1013"/>
      <c r="C92" s="1013"/>
      <c r="D92" s="1056">
        <f>FP!$D$9</f>
        <v>4046</v>
      </c>
    </row>
  </sheetData>
  <mergeCells count="1">
    <mergeCell ref="A35:AA3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87D01-D52D-4F36-AEDA-E09BAD652FDE}">
  <dimension ref="A1:V81"/>
  <sheetViews>
    <sheetView topLeftCell="A47" zoomScale="90" zoomScaleNormal="90" workbookViewId="0">
      <selection activeCell="A60" sqref="A60"/>
    </sheetView>
  </sheetViews>
  <sheetFormatPr defaultColWidth="9.140625" defaultRowHeight="12"/>
  <cols>
    <col min="1" max="1" width="14" style="950" bestFit="1" customWidth="1"/>
    <col min="2" max="3" width="9.140625" style="950"/>
    <col min="4" max="4" width="11.42578125" style="950" customWidth="1"/>
    <col min="5" max="16384" width="9.140625" style="950"/>
  </cols>
  <sheetData>
    <row r="1" spans="1:22" ht="30" customHeight="1">
      <c r="A1" s="995"/>
      <c r="B1" s="996" t="s">
        <v>3204</v>
      </c>
      <c r="C1" s="997" t="s">
        <v>3205</v>
      </c>
      <c r="D1" s="997" t="s">
        <v>3272</v>
      </c>
      <c r="E1" s="996" t="s">
        <v>2288</v>
      </c>
      <c r="F1" s="997" t="s">
        <v>3273</v>
      </c>
      <c r="G1" s="997" t="s">
        <v>3207</v>
      </c>
      <c r="H1" s="997" t="s">
        <v>3270</v>
      </c>
      <c r="K1" s="993">
        <v>11.8</v>
      </c>
      <c r="L1" s="993">
        <v>11.5</v>
      </c>
      <c r="M1" s="1073">
        <v>11</v>
      </c>
      <c r="O1" s="1005" t="s">
        <v>3443</v>
      </c>
    </row>
    <row r="2" spans="1:22">
      <c r="A2" s="950" t="s">
        <v>3208</v>
      </c>
      <c r="B2" s="960">
        <f>'OpenAI SBG "rough"'!B24</f>
        <v>0.5</v>
      </c>
      <c r="C2" s="960">
        <f>'OpenAI SBG "rough"'!C24</f>
        <v>150.4</v>
      </c>
      <c r="D2" s="960">
        <f>'OpenAI SBG "rough"'!D24</f>
        <v>157</v>
      </c>
      <c r="E2" s="960">
        <f>'OpenAI SBG "rough"'!E24</f>
        <v>0.31847133757961782</v>
      </c>
      <c r="F2" s="960">
        <f>'OpenAI SBG "rough"'!F24</f>
        <v>0.27494692144373672</v>
      </c>
      <c r="G2" s="960">
        <f>'OpenAI SBG "rough"'!G4</f>
        <v>1.3468683651804669</v>
      </c>
      <c r="H2" s="960">
        <f>'OpenAI SBG "rough"'!G24</f>
        <v>1.2372611464968153</v>
      </c>
      <c r="K2" s="983">
        <f>H2*$K$15/$H$15</f>
        <v>1.2785031847133759</v>
      </c>
      <c r="L2" s="983">
        <f>($L$1/$F$14)*H2*$L$15/$H$15</f>
        <v>1.2727118735855261</v>
      </c>
      <c r="M2" s="983">
        <f>($M$1/$F$14)*H2*$M$15/$H$15</f>
        <v>1.2814490260357696</v>
      </c>
      <c r="O2" s="1124" t="s">
        <v>2982</v>
      </c>
      <c r="P2" s="1124" t="s">
        <v>854</v>
      </c>
      <c r="Q2" s="1124" t="s">
        <v>3445</v>
      </c>
      <c r="R2" s="1124" t="s">
        <v>3446</v>
      </c>
      <c r="S2" s="1124" t="s">
        <v>3447</v>
      </c>
      <c r="T2" s="1124" t="s">
        <v>3448</v>
      </c>
      <c r="V2" s="1005" t="s">
        <v>3451</v>
      </c>
    </row>
    <row r="3" spans="1:22">
      <c r="A3" s="950" t="s">
        <v>3209</v>
      </c>
      <c r="B3" s="960">
        <f>'OpenAI SBG "rough"'!B25</f>
        <v>1.7</v>
      </c>
      <c r="C3" s="960">
        <f>'OpenAI SBG "rough"'!C25</f>
        <v>157</v>
      </c>
      <c r="D3" s="960">
        <f>'OpenAI SBG "rough"'!D25</f>
        <v>157</v>
      </c>
      <c r="E3" s="960">
        <f>'OpenAI SBG "rough"'!E25</f>
        <v>1.0828025477707006</v>
      </c>
      <c r="F3" s="960">
        <f>'OpenAI SBG "rough"'!F25</f>
        <v>0.93481953290870479</v>
      </c>
      <c r="G3" s="960">
        <f>'OpenAI SBG "rough"'!G5</f>
        <v>4.5793524416135885</v>
      </c>
      <c r="H3" s="960">
        <f>'OpenAI SBG "rough"'!G25</f>
        <v>4.2066878980891715</v>
      </c>
      <c r="K3" s="983">
        <f>H3*$K$15/$H$15</f>
        <v>4.3469108280254769</v>
      </c>
      <c r="L3" s="983">
        <f>($L$1/$F$14)*H3*$L$15/$H$15</f>
        <v>4.327220370190787</v>
      </c>
      <c r="M3" s="983">
        <f t="shared" ref="M3:M5" si="0">($M$1/$F$14)*H3*$M$15/$H$15</f>
        <v>4.3569266885216162</v>
      </c>
      <c r="O3" s="951" t="s">
        <v>3444</v>
      </c>
      <c r="P3" s="951" t="s">
        <v>3449</v>
      </c>
      <c r="Q3" s="951" t="s">
        <v>3450</v>
      </c>
      <c r="R3" s="953">
        <v>6.5</v>
      </c>
      <c r="S3" s="954">
        <v>300</v>
      </c>
      <c r="T3" s="1125">
        <f>R3/S3</f>
        <v>2.1666666666666667E-2</v>
      </c>
    </row>
    <row r="4" spans="1:22">
      <c r="A4" s="950" t="s">
        <v>3210</v>
      </c>
      <c r="B4" s="960">
        <f>'OpenAI SBG "rough"'!B26</f>
        <v>7.5</v>
      </c>
      <c r="C4" s="960">
        <f>'OpenAI SBG "rough"'!C26</f>
        <v>260</v>
      </c>
      <c r="D4" s="960">
        <f>'OpenAI SBG "rough"'!D26</f>
        <v>300</v>
      </c>
      <c r="E4" s="960">
        <f>'OpenAI SBG "rough"'!E26</f>
        <v>2.5</v>
      </c>
      <c r="F4" s="960">
        <f>'OpenAI SBG "rough"'!F26</f>
        <v>2.5</v>
      </c>
      <c r="G4" s="960">
        <f>'OpenAI SBG "rough"'!G6</f>
        <v>10.9375</v>
      </c>
      <c r="H4" s="960">
        <f>'OpenAI SBG "rough"'!G26</f>
        <v>11.25</v>
      </c>
      <c r="K4" s="983">
        <f>H4*$K$15/$H$15</f>
        <v>11.625</v>
      </c>
      <c r="L4" s="983">
        <f>($L$1/$F$14)*H4*$L$15/$H$15</f>
        <v>11.572341553258354</v>
      </c>
      <c r="M4" s="983">
        <f t="shared" si="0"/>
        <v>11.651785545614818</v>
      </c>
      <c r="O4" s="951" t="s">
        <v>3452</v>
      </c>
      <c r="P4" s="951" t="s">
        <v>1178</v>
      </c>
      <c r="Q4" s="951" t="s">
        <v>3450</v>
      </c>
      <c r="R4" s="953">
        <v>1.1000000000000001</v>
      </c>
      <c r="S4" s="954">
        <v>300</v>
      </c>
      <c r="T4" s="1125">
        <f>R4/S4</f>
        <v>3.666666666666667E-3</v>
      </c>
    </row>
    <row r="5" spans="1:22">
      <c r="A5" s="950" t="s">
        <v>3211</v>
      </c>
      <c r="B5" s="960">
        <f>'OpenAI SBG "rough"'!B27</f>
        <v>1.1000000000000001</v>
      </c>
      <c r="C5" s="960">
        <f>'OpenAI SBG "rough"'!C27</f>
        <v>300</v>
      </c>
      <c r="D5" s="960">
        <f>'OpenAI SBG "rough"'!D27</f>
        <v>300</v>
      </c>
      <c r="E5" s="960">
        <f>'OpenAI SBG "rough"'!E27</f>
        <v>0.3666666666666667</v>
      </c>
      <c r="F5" s="960">
        <f>'OpenAI SBG "rough"'!F27</f>
        <v>0.33</v>
      </c>
      <c r="G5" s="960">
        <f>'OpenAI SBG "rough"'!G7</f>
        <v>1.604166666666667</v>
      </c>
      <c r="H5" s="960">
        <f>'OpenAI SBG "rough"'!G27</f>
        <v>1.4850000000000001</v>
      </c>
      <c r="K5" s="983">
        <f>H5*$K$15/$H$15</f>
        <v>1.5345000000000002</v>
      </c>
      <c r="L5" s="983">
        <f>($L$1/$F$14)*H5*$L$15/$H$15</f>
        <v>1.5275490850301028</v>
      </c>
      <c r="M5" s="983">
        <f t="shared" si="0"/>
        <v>1.538035692021156</v>
      </c>
      <c r="O5" s="951" t="s">
        <v>3453</v>
      </c>
      <c r="P5" s="951" t="s">
        <v>1179</v>
      </c>
      <c r="Q5" s="951" t="s">
        <v>3450</v>
      </c>
      <c r="R5" s="953">
        <v>0.4</v>
      </c>
      <c r="S5" s="954">
        <v>300</v>
      </c>
      <c r="T5" s="1125">
        <f>R5/S5</f>
        <v>1.3333333333333335E-3</v>
      </c>
    </row>
    <row r="6" spans="1:22">
      <c r="A6" s="999" t="s">
        <v>89</v>
      </c>
      <c r="B6" s="1000">
        <f>SUM(B2:B5)</f>
        <v>10.799999999999999</v>
      </c>
      <c r="C6" s="1000">
        <f>'OpenAI SBG "rough"'!$C$8</f>
        <v>242.78703703703707</v>
      </c>
      <c r="D6" s="1000">
        <f>'OpenAI SBG "rough"'!$D$8</f>
        <v>270.87037037037038</v>
      </c>
      <c r="E6" s="1000">
        <f t="shared" ref="E6:F6" si="1">SUM(E2:E5)</f>
        <v>4.2679405520169844</v>
      </c>
      <c r="F6" s="1000">
        <f t="shared" si="1"/>
        <v>4.0397664543524412</v>
      </c>
      <c r="G6" s="1000">
        <f>SUM(G2:G5)</f>
        <v>18.467887473460724</v>
      </c>
      <c r="H6" s="1000">
        <f>SUM(H2:H5)</f>
        <v>18.178949044585984</v>
      </c>
      <c r="K6" s="985">
        <f>SUM(K2:K5)</f>
        <v>18.784914012738852</v>
      </c>
      <c r="L6" s="985">
        <f>SUM(L2:L5)</f>
        <v>18.699822882064769</v>
      </c>
      <c r="M6" s="985">
        <f>SUM(M2:M5)</f>
        <v>18.828196952193363</v>
      </c>
      <c r="O6" s="1130" t="s">
        <v>3454</v>
      </c>
      <c r="P6" s="1130" t="s">
        <v>1179</v>
      </c>
      <c r="Q6" s="1130" t="s">
        <v>3455</v>
      </c>
      <c r="R6" s="954">
        <v>1</v>
      </c>
      <c r="S6" s="954">
        <v>300</v>
      </c>
      <c r="T6" s="1131">
        <f>R6/S6</f>
        <v>3.3333333333333335E-3</v>
      </c>
    </row>
    <row r="7" spans="1:22">
      <c r="A7" s="1001" t="s">
        <v>3274</v>
      </c>
      <c r="B7" s="1004"/>
      <c r="C7" s="1004"/>
      <c r="D7" s="1004"/>
      <c r="E7" s="1004"/>
      <c r="F7" s="1004"/>
      <c r="G7" s="1002">
        <f>'OpenAI SBG "rough"'!$G$11</f>
        <v>437.5</v>
      </c>
      <c r="H7" s="1002">
        <f>'OpenAI SBG "rough"'!$G$32</f>
        <v>450</v>
      </c>
      <c r="O7" s="1130" t="s">
        <v>3457</v>
      </c>
      <c r="P7" s="1130">
        <v>2025</v>
      </c>
      <c r="Q7" s="1130" t="s">
        <v>3457</v>
      </c>
      <c r="R7" s="954">
        <v>6</v>
      </c>
      <c r="S7" s="954">
        <v>300</v>
      </c>
      <c r="T7" s="1131">
        <f>R7/S7</f>
        <v>0.02</v>
      </c>
      <c r="V7" s="984" t="s">
        <v>3458</v>
      </c>
    </row>
    <row r="8" spans="1:22">
      <c r="A8" s="1009" t="s">
        <v>3271</v>
      </c>
      <c r="B8" s="1009"/>
      <c r="C8" s="1006">
        <v>260</v>
      </c>
      <c r="D8" s="1006">
        <v>300</v>
      </c>
      <c r="E8" s="1007">
        <v>7.5</v>
      </c>
      <c r="F8" s="1007">
        <v>7.5</v>
      </c>
      <c r="G8" s="1006">
        <v>8</v>
      </c>
      <c r="H8" s="1006">
        <v>0</v>
      </c>
      <c r="O8" s="1126" t="s">
        <v>3456</v>
      </c>
      <c r="P8" s="1127"/>
      <c r="Q8" s="1127"/>
      <c r="R8" s="1128">
        <f>SUM(R3:R7)</f>
        <v>15</v>
      </c>
      <c r="S8" s="1128">
        <f>R8/T8</f>
        <v>300</v>
      </c>
      <c r="T8" s="1129">
        <f>SUM(T3:T7)</f>
        <v>0.05</v>
      </c>
    </row>
    <row r="9" spans="1:22">
      <c r="A9" s="984" t="s">
        <v>3275</v>
      </c>
      <c r="B9" s="1005"/>
      <c r="C9" s="1005"/>
      <c r="D9" s="954"/>
      <c r="E9" s="953"/>
      <c r="F9" s="953"/>
      <c r="G9" s="954">
        <f>300*(22.5+G8)/22.5</f>
        <v>406.66666666666669</v>
      </c>
      <c r="H9" s="954" t="s">
        <v>1238</v>
      </c>
    </row>
    <row r="10" spans="1:22">
      <c r="A10" s="999" t="s">
        <v>3276</v>
      </c>
      <c r="B10" s="1000"/>
      <c r="C10" s="1000">
        <f>C6*F6/F10+C8*F8/F10</f>
        <v>253.9741977766316</v>
      </c>
      <c r="D10" s="1000">
        <f>D6*F6/F10+D8*F8/F10</f>
        <v>289.80248854506891</v>
      </c>
      <c r="E10" s="1000">
        <f>E6+E8</f>
        <v>11.767940552016984</v>
      </c>
      <c r="F10" s="1000">
        <f>F6+F8</f>
        <v>11.539766454352442</v>
      </c>
      <c r="G10" s="1000">
        <f>G6+G8</f>
        <v>26.467887473460724</v>
      </c>
      <c r="H10" s="1000"/>
    </row>
    <row r="11" spans="1:22">
      <c r="A11" s="1001" t="s">
        <v>3274</v>
      </c>
      <c r="B11" s="1004"/>
      <c r="C11" s="1004"/>
      <c r="D11" s="1004"/>
      <c r="E11" s="1004"/>
      <c r="F11" s="1004"/>
      <c r="G11" s="1002">
        <f>G7*F6/F10+G9*F8/F10</f>
        <v>417.46059964343732</v>
      </c>
      <c r="H11" s="1002"/>
    </row>
    <row r="12" spans="1:22">
      <c r="A12" s="950" t="s">
        <v>3226</v>
      </c>
      <c r="B12" s="960">
        <f>'OpenAI SBG "rough"'!B28</f>
        <v>1.45</v>
      </c>
      <c r="C12" s="960">
        <f>'OpenAI SBG "rough"'!C28</f>
        <v>500</v>
      </c>
      <c r="D12" s="960">
        <f>'OpenAI SBG "rough"'!D28</f>
        <v>500</v>
      </c>
      <c r="E12" s="960">
        <f>'OpenAI SBG "rough"'!E28</f>
        <v>0.28999999999999998</v>
      </c>
      <c r="F12" s="960">
        <f>'OpenAI SBG "rough"'!F28</f>
        <v>0.26100000000000001</v>
      </c>
      <c r="H12" s="960">
        <f>'OpenAI SBG "rough"'!G28</f>
        <v>1.1745000000000001</v>
      </c>
      <c r="K12" s="983">
        <f>H12*$K$15/$H$15</f>
        <v>1.2136500000000001</v>
      </c>
      <c r="L12" s="983">
        <f>($L$1/$F$14)*H12*$L$15/$H$15</f>
        <v>1.2081524581601721</v>
      </c>
      <c r="M12" s="983">
        <f t="shared" ref="M12:M13" si="2">($M$1/$F$14)*H12*$M$15/$H$15</f>
        <v>1.2164464109621873</v>
      </c>
    </row>
    <row r="13" spans="1:22">
      <c r="A13" s="950" t="s">
        <v>3227</v>
      </c>
      <c r="B13" s="960">
        <f>'OpenAI SBG "rough"'!B29</f>
        <v>22.5</v>
      </c>
      <c r="C13" s="960">
        <f>'OpenAI SBG "rough"'!C29</f>
        <v>260</v>
      </c>
      <c r="D13" s="960">
        <f>'OpenAI SBG "rough"'!D29</f>
        <v>300</v>
      </c>
      <c r="E13" s="960">
        <f>'OpenAI SBG "rough"'!E29</f>
        <v>7.5</v>
      </c>
      <c r="F13" s="960">
        <f>'OpenAI SBG "rough"'!F29</f>
        <v>7.5</v>
      </c>
      <c r="H13" s="960">
        <f>'OpenAI SBG "rough"'!G29</f>
        <v>33.75</v>
      </c>
      <c r="K13" s="983">
        <f>H13*$K$15/$H$15</f>
        <v>34.875</v>
      </c>
      <c r="L13" s="983">
        <f>($L$1/$F$14)*H13*$L$15/$H$15</f>
        <v>34.717024659775063</v>
      </c>
      <c r="M13" s="983">
        <f t="shared" si="2"/>
        <v>34.955356636844449</v>
      </c>
    </row>
    <row r="14" spans="1:22">
      <c r="A14" s="999" t="s">
        <v>89</v>
      </c>
      <c r="B14" s="1000">
        <f>B6+SUM(B12:B13)</f>
        <v>34.75</v>
      </c>
      <c r="C14" s="1000">
        <f>C6*F6/F14+C12*F12/F14+C13*F13/F14</f>
        <v>259.41560148788091</v>
      </c>
      <c r="D14" s="1000">
        <f>D6*F6/F14+D12*F12/F14+D13*F13/F14</f>
        <v>294.45147051602407</v>
      </c>
      <c r="E14" s="1000">
        <f>E6+SUM(E12:E13)</f>
        <v>12.057940552016984</v>
      </c>
      <c r="F14" s="1000">
        <f>F6+SUM(F12:F13)</f>
        <v>11.800766454352441</v>
      </c>
      <c r="G14" s="1000"/>
      <c r="H14" s="1000">
        <f>H6+SUM(H12:H13)</f>
        <v>53.103449044585986</v>
      </c>
      <c r="K14" s="985">
        <f>K6+SUM(K12:K13)</f>
        <v>54.873564012738854</v>
      </c>
      <c r="L14" s="985">
        <f>L6+SUM(L12:L13)</f>
        <v>54.625</v>
      </c>
      <c r="M14" s="985">
        <f>M6+SUM(M12:M13)</f>
        <v>55</v>
      </c>
    </row>
    <row r="15" spans="1:22">
      <c r="A15" s="1001" t="s">
        <v>3274</v>
      </c>
      <c r="B15" s="1004"/>
      <c r="C15" s="1004"/>
      <c r="D15" s="1004"/>
      <c r="E15" s="1004"/>
      <c r="F15" s="1004"/>
      <c r="G15" s="1002"/>
      <c r="H15" s="1002">
        <f>'OpenAI SBG "rough"'!$G$32</f>
        <v>450</v>
      </c>
      <c r="K15" s="1073">
        <v>465</v>
      </c>
      <c r="L15" s="1073">
        <v>475</v>
      </c>
      <c r="M15" s="1073">
        <v>500</v>
      </c>
    </row>
    <row r="16" spans="1:22">
      <c r="A16" s="1010" t="s">
        <v>3277</v>
      </c>
      <c r="B16" s="1011"/>
      <c r="C16" s="1011"/>
      <c r="D16" s="1011"/>
      <c r="E16" s="1011"/>
      <c r="F16" s="1011"/>
      <c r="G16" s="1012"/>
      <c r="H16" s="1012">
        <f>H14-B14</f>
        <v>18.353449044585986</v>
      </c>
    </row>
    <row r="17" spans="1:12">
      <c r="A17" s="1013" t="s">
        <v>1250</v>
      </c>
      <c r="B17" s="1014"/>
      <c r="C17" s="1014"/>
      <c r="D17" s="1014"/>
      <c r="E17" s="1014"/>
      <c r="F17" s="1014"/>
      <c r="G17" s="1015"/>
      <c r="H17" s="1016">
        <f>H15/$D$14</f>
        <v>1.5282654191245106</v>
      </c>
    </row>
    <row r="19" spans="1:12">
      <c r="A19" s="995" t="s">
        <v>3278</v>
      </c>
      <c r="B19" s="995"/>
      <c r="C19" s="995"/>
      <c r="D19" s="995"/>
      <c r="E19" s="995"/>
      <c r="F19" s="995"/>
      <c r="G19" s="995"/>
      <c r="H19" s="995"/>
    </row>
    <row r="20" spans="1:12">
      <c r="A20" s="999" t="s">
        <v>89</v>
      </c>
      <c r="B20" s="1000"/>
      <c r="C20" s="1000"/>
      <c r="D20" s="1000"/>
      <c r="E20" s="1000"/>
      <c r="F20" s="1000"/>
      <c r="G20" s="1000"/>
      <c r="H20" s="1000">
        <f>H14*H21/H15</f>
        <v>59.003832271762207</v>
      </c>
    </row>
    <row r="21" spans="1:12">
      <c r="A21" s="1001" t="s">
        <v>3274</v>
      </c>
      <c r="B21" s="1004"/>
      <c r="C21" s="1004"/>
      <c r="D21" s="1004"/>
      <c r="E21" s="1004"/>
      <c r="F21" s="1004"/>
      <c r="G21" s="1002"/>
      <c r="H21" s="1017">
        <v>500</v>
      </c>
    </row>
    <row r="22" spans="1:12">
      <c r="A22" s="1010" t="s">
        <v>3277</v>
      </c>
      <c r="B22" s="1011"/>
      <c r="C22" s="1011"/>
      <c r="D22" s="1011"/>
      <c r="E22" s="1011"/>
      <c r="F22" s="1011"/>
      <c r="G22" s="1012"/>
      <c r="H22" s="1012">
        <f>H20-$B$14</f>
        <v>24.253832271762207</v>
      </c>
    </row>
    <row r="23" spans="1:12">
      <c r="A23" s="1013" t="s">
        <v>1250</v>
      </c>
      <c r="B23" s="1014"/>
      <c r="C23" s="1014"/>
      <c r="D23" s="1014"/>
      <c r="E23" s="1014"/>
      <c r="F23" s="1014"/>
      <c r="G23" s="1015"/>
      <c r="H23" s="1016">
        <f>H21/$D$14</f>
        <v>1.6980726879161228</v>
      </c>
    </row>
    <row r="25" spans="1:12">
      <c r="A25" s="950" t="s">
        <v>3280</v>
      </c>
    </row>
    <row r="27" spans="1:12">
      <c r="A27" s="995" t="s">
        <v>3291</v>
      </c>
      <c r="B27" s="995"/>
      <c r="C27" s="995"/>
      <c r="D27" s="995"/>
      <c r="E27" s="1037">
        <f>F27-0.25</f>
        <v>0.5</v>
      </c>
      <c r="F27" s="1038">
        <f>G27-0.25</f>
        <v>0.75</v>
      </c>
      <c r="G27" s="1037">
        <f>H27-0.5</f>
        <v>1</v>
      </c>
      <c r="H27" s="1037">
        <f>I27-0.5</f>
        <v>1.5</v>
      </c>
      <c r="I27" s="1037">
        <f>J27-0.5</f>
        <v>2</v>
      </c>
      <c r="J27" s="1037">
        <f>K27-0.5</f>
        <v>2.5</v>
      </c>
      <c r="K27" s="1037">
        <f>L27-0.5</f>
        <v>3</v>
      </c>
      <c r="L27" s="1037">
        <v>3.5</v>
      </c>
    </row>
    <row r="28" spans="1:12">
      <c r="A28" s="957" t="s">
        <v>3284</v>
      </c>
      <c r="B28" s="957"/>
      <c r="C28" s="957"/>
      <c r="D28" s="957"/>
      <c r="E28" s="985">
        <f t="shared" ref="E28:L28" si="3">$B$14</f>
        <v>34.75</v>
      </c>
      <c r="F28" s="985">
        <f t="shared" si="3"/>
        <v>34.75</v>
      </c>
      <c r="G28" s="985">
        <f t="shared" si="3"/>
        <v>34.75</v>
      </c>
      <c r="H28" s="985">
        <f t="shared" si="3"/>
        <v>34.75</v>
      </c>
      <c r="I28" s="985">
        <f t="shared" si="3"/>
        <v>34.75</v>
      </c>
      <c r="J28" s="985">
        <f t="shared" si="3"/>
        <v>34.75</v>
      </c>
      <c r="K28" s="985">
        <f t="shared" si="3"/>
        <v>34.75</v>
      </c>
      <c r="L28" s="985">
        <f t="shared" si="3"/>
        <v>34.75</v>
      </c>
    </row>
    <row r="29" spans="1:12">
      <c r="A29" s="950" t="s">
        <v>3287</v>
      </c>
      <c r="E29" s="1018">
        <v>1.8</v>
      </c>
      <c r="F29" s="1018">
        <v>1.8</v>
      </c>
      <c r="G29" s="1018">
        <v>1.8</v>
      </c>
      <c r="H29" s="1018">
        <v>1.8</v>
      </c>
      <c r="I29" s="1018">
        <v>1.8</v>
      </c>
      <c r="J29" s="1018">
        <v>1.8</v>
      </c>
      <c r="K29" s="1018">
        <v>1.8</v>
      </c>
      <c r="L29" s="1018">
        <v>1.8</v>
      </c>
    </row>
    <row r="30" spans="1:12">
      <c r="A30" s="950" t="s">
        <v>3285</v>
      </c>
      <c r="E30" s="1018">
        <f t="shared" ref="E30:L30" si="4">11.8%*100</f>
        <v>11.8</v>
      </c>
      <c r="F30" s="1018">
        <f t="shared" si="4"/>
        <v>11.8</v>
      </c>
      <c r="G30" s="1018">
        <f t="shared" si="4"/>
        <v>11.8</v>
      </c>
      <c r="H30" s="1018">
        <f t="shared" si="4"/>
        <v>11.8</v>
      </c>
      <c r="I30" s="1018">
        <f t="shared" si="4"/>
        <v>11.8</v>
      </c>
      <c r="J30" s="1018">
        <f t="shared" si="4"/>
        <v>11.8</v>
      </c>
      <c r="K30" s="1018">
        <f t="shared" si="4"/>
        <v>11.8</v>
      </c>
      <c r="L30" s="1018">
        <f t="shared" si="4"/>
        <v>11.8</v>
      </c>
    </row>
    <row r="31" spans="1:12">
      <c r="A31" s="957" t="s">
        <v>3286</v>
      </c>
      <c r="B31" s="957"/>
      <c r="C31" s="957"/>
      <c r="D31" s="957"/>
      <c r="E31" s="985">
        <f t="shared" ref="E31:L31" si="5">SUM(E28:E30)</f>
        <v>48.349999999999994</v>
      </c>
      <c r="F31" s="985">
        <f t="shared" si="5"/>
        <v>48.349999999999994</v>
      </c>
      <c r="G31" s="985">
        <f t="shared" si="5"/>
        <v>48.349999999999994</v>
      </c>
      <c r="H31" s="985">
        <f t="shared" si="5"/>
        <v>48.349999999999994</v>
      </c>
      <c r="I31" s="985">
        <f t="shared" si="5"/>
        <v>48.349999999999994</v>
      </c>
      <c r="J31" s="985">
        <f t="shared" si="5"/>
        <v>48.349999999999994</v>
      </c>
      <c r="K31" s="985">
        <f t="shared" si="5"/>
        <v>48.349999999999994</v>
      </c>
      <c r="L31" s="985">
        <f t="shared" si="5"/>
        <v>48.349999999999994</v>
      </c>
    </row>
    <row r="32" spans="1:12">
      <c r="A32" s="957" t="s">
        <v>3306</v>
      </c>
      <c r="B32" s="957"/>
      <c r="C32" s="957"/>
      <c r="D32" s="957"/>
      <c r="E32" s="985">
        <f t="shared" ref="E32" si="6">$F$54*E31</f>
        <v>38.68</v>
      </c>
      <c r="F32" s="985">
        <f t="shared" ref="F32:L32" si="7">$F$54*F31</f>
        <v>38.68</v>
      </c>
      <c r="G32" s="985">
        <f t="shared" si="7"/>
        <v>38.68</v>
      </c>
      <c r="H32" s="985">
        <f t="shared" si="7"/>
        <v>38.68</v>
      </c>
      <c r="I32" s="985">
        <f t="shared" si="7"/>
        <v>38.68</v>
      </c>
      <c r="J32" s="985">
        <f t="shared" si="7"/>
        <v>38.68</v>
      </c>
      <c r="K32" s="985">
        <f t="shared" si="7"/>
        <v>38.68</v>
      </c>
      <c r="L32" s="985">
        <f t="shared" si="7"/>
        <v>38.68</v>
      </c>
    </row>
    <row r="33" spans="1:12">
      <c r="A33" s="950" t="s">
        <v>3307</v>
      </c>
      <c r="E33" s="983">
        <f t="shared" ref="E33" si="8">E31-E32</f>
        <v>9.6699999999999946</v>
      </c>
      <c r="F33" s="983">
        <f t="shared" ref="F33:L33" si="9">F31-F32</f>
        <v>9.6699999999999946</v>
      </c>
      <c r="G33" s="983">
        <f t="shared" si="9"/>
        <v>9.6699999999999946</v>
      </c>
      <c r="H33" s="983">
        <f t="shared" si="9"/>
        <v>9.6699999999999946</v>
      </c>
      <c r="I33" s="983">
        <f t="shared" si="9"/>
        <v>9.6699999999999946</v>
      </c>
      <c r="J33" s="983">
        <f t="shared" si="9"/>
        <v>9.6699999999999946</v>
      </c>
      <c r="K33" s="983">
        <f t="shared" si="9"/>
        <v>9.6699999999999946</v>
      </c>
      <c r="L33" s="983">
        <f t="shared" si="9"/>
        <v>9.6699999999999946</v>
      </c>
    </row>
    <row r="34" spans="1:12">
      <c r="A34" s="957" t="s">
        <v>3292</v>
      </c>
      <c r="B34" s="957"/>
      <c r="C34" s="957"/>
      <c r="D34" s="957"/>
      <c r="E34" s="985">
        <f t="shared" ref="E34:K34" si="10">E27/$L$27*$L$34</f>
        <v>59.000000000000007</v>
      </c>
      <c r="F34" s="985">
        <f t="shared" si="10"/>
        <v>88.500000000000014</v>
      </c>
      <c r="G34" s="985">
        <f t="shared" si="10"/>
        <v>118.00000000000001</v>
      </c>
      <c r="H34" s="985">
        <f t="shared" si="10"/>
        <v>177.00000000000003</v>
      </c>
      <c r="I34" s="985">
        <f t="shared" si="10"/>
        <v>236.00000000000003</v>
      </c>
      <c r="J34" s="985">
        <f t="shared" si="10"/>
        <v>295.00000000000006</v>
      </c>
      <c r="K34" s="985">
        <f t="shared" si="10"/>
        <v>354.00000000000006</v>
      </c>
      <c r="L34" s="1175">
        <f>11.8%*L27*1000</f>
        <v>413.00000000000006</v>
      </c>
    </row>
    <row r="35" spans="1:12">
      <c r="A35" s="950" t="s">
        <v>3308</v>
      </c>
      <c r="E35" s="983">
        <f t="shared" ref="E35:L35" si="11">-7.5*(1+4%)^(5)</f>
        <v>-9.1248967680000028</v>
      </c>
      <c r="F35" s="983">
        <f t="shared" si="11"/>
        <v>-9.1248967680000028</v>
      </c>
      <c r="G35" s="983">
        <f t="shared" si="11"/>
        <v>-9.1248967680000028</v>
      </c>
      <c r="H35" s="983">
        <f t="shared" si="11"/>
        <v>-9.1248967680000028</v>
      </c>
      <c r="I35" s="983">
        <f t="shared" si="11"/>
        <v>-9.1248967680000028</v>
      </c>
      <c r="J35" s="983">
        <f t="shared" si="11"/>
        <v>-9.1248967680000028</v>
      </c>
      <c r="K35" s="983">
        <f t="shared" si="11"/>
        <v>-9.1248967680000028</v>
      </c>
      <c r="L35" s="983">
        <f t="shared" si="11"/>
        <v>-9.1248967680000028</v>
      </c>
    </row>
    <row r="36" spans="1:12">
      <c r="A36" s="950" t="s">
        <v>3309</v>
      </c>
      <c r="E36" s="983">
        <f t="shared" ref="E36:L36" si="12">-E32*(1+8%)^(5)</f>
        <v>-56.833610010624014</v>
      </c>
      <c r="F36" s="983">
        <f t="shared" si="12"/>
        <v>-56.833610010624014</v>
      </c>
      <c r="G36" s="983">
        <f t="shared" si="12"/>
        <v>-56.833610010624014</v>
      </c>
      <c r="H36" s="983">
        <f t="shared" si="12"/>
        <v>-56.833610010624014</v>
      </c>
      <c r="I36" s="983">
        <f t="shared" si="12"/>
        <v>-56.833610010624014</v>
      </c>
      <c r="J36" s="983">
        <f t="shared" si="12"/>
        <v>-56.833610010624014</v>
      </c>
      <c r="K36" s="983">
        <f t="shared" si="12"/>
        <v>-56.833610010624014</v>
      </c>
      <c r="L36" s="983">
        <f t="shared" si="12"/>
        <v>-56.833610010624014</v>
      </c>
    </row>
    <row r="37" spans="1:12">
      <c r="A37" s="957" t="s">
        <v>3288</v>
      </c>
      <c r="B37" s="957"/>
      <c r="C37" s="957"/>
      <c r="D37" s="957"/>
      <c r="E37" s="985">
        <f>IF(SUM(E34:E36)&gt;0, SUM(E34:E36), 0)</f>
        <v>0</v>
      </c>
      <c r="F37" s="985">
        <f t="shared" ref="F37:L37" si="13">IF(SUM(F34:F36)&gt;0, SUM(F34:F36), 0)</f>
        <v>22.541493221376001</v>
      </c>
      <c r="G37" s="985">
        <f t="shared" si="13"/>
        <v>52.041493221376001</v>
      </c>
      <c r="H37" s="985">
        <f t="shared" si="13"/>
        <v>111.041493221376</v>
      </c>
      <c r="I37" s="985">
        <f t="shared" si="13"/>
        <v>170.04149322137602</v>
      </c>
      <c r="J37" s="985">
        <f t="shared" si="13"/>
        <v>229.04149322137607</v>
      </c>
      <c r="K37" s="985">
        <f t="shared" si="13"/>
        <v>288.04149322137607</v>
      </c>
      <c r="L37" s="985">
        <f t="shared" si="13"/>
        <v>347.04149322137607</v>
      </c>
    </row>
    <row r="38" spans="1:12">
      <c r="A38" s="950" t="s">
        <v>3593</v>
      </c>
      <c r="E38" s="983">
        <f>E33*(1+12.5%)^(5)</f>
        <v>17.42565399169921</v>
      </c>
      <c r="F38" s="983">
        <f t="shared" ref="F38:L38" si="14">F33*(1+12.5%)^(5)</f>
        <v>17.42565399169921</v>
      </c>
      <c r="G38" s="983">
        <f t="shared" si="14"/>
        <v>17.42565399169921</v>
      </c>
      <c r="H38" s="983">
        <f t="shared" si="14"/>
        <v>17.42565399169921</v>
      </c>
      <c r="I38" s="983">
        <f t="shared" si="14"/>
        <v>17.42565399169921</v>
      </c>
      <c r="J38" s="983">
        <f t="shared" si="14"/>
        <v>17.42565399169921</v>
      </c>
      <c r="K38" s="983">
        <f t="shared" si="14"/>
        <v>17.42565399169921</v>
      </c>
      <c r="L38" s="983">
        <f t="shared" si="14"/>
        <v>17.42565399169921</v>
      </c>
    </row>
    <row r="39" spans="1:12">
      <c r="A39" s="1046" t="s">
        <v>3289</v>
      </c>
      <c r="B39" s="1046"/>
      <c r="C39" s="1046"/>
      <c r="D39" s="1046"/>
      <c r="E39" s="1047">
        <f>IF(E37-E38&gt;0, E37-E38, 0)</f>
        <v>0</v>
      </c>
      <c r="F39" s="1047">
        <f t="shared" ref="F39:L39" si="15">IF(F37-F38&gt;0, F37-F38, 0)</f>
        <v>5.1158392296767907</v>
      </c>
      <c r="G39" s="1047">
        <f t="shared" si="15"/>
        <v>34.615839229676794</v>
      </c>
      <c r="H39" s="1047">
        <f t="shared" si="15"/>
        <v>93.615839229676794</v>
      </c>
      <c r="I39" s="1047">
        <f t="shared" si="15"/>
        <v>152.61583922967679</v>
      </c>
      <c r="J39" s="1047">
        <f t="shared" si="15"/>
        <v>211.61583922967685</v>
      </c>
      <c r="K39" s="1047">
        <f t="shared" si="15"/>
        <v>270.61583922967685</v>
      </c>
      <c r="L39" s="1047">
        <f t="shared" si="15"/>
        <v>329.61583922967685</v>
      </c>
    </row>
    <row r="40" spans="1:12">
      <c r="A40" s="957" t="s">
        <v>3293</v>
      </c>
      <c r="B40" s="957"/>
      <c r="C40" s="957"/>
      <c r="D40" s="957"/>
      <c r="E40" s="985"/>
      <c r="F40" s="985"/>
      <c r="G40" s="985"/>
      <c r="H40" s="985"/>
      <c r="I40" s="985"/>
      <c r="J40" s="985"/>
      <c r="K40" s="985"/>
      <c r="L40" s="985"/>
    </row>
    <row r="41" spans="1:12">
      <c r="A41" s="950" t="s">
        <v>3294</v>
      </c>
      <c r="E41" s="983">
        <f>-E35</f>
        <v>9.1248967680000028</v>
      </c>
      <c r="F41" s="983">
        <f t="shared" ref="F41:L41" si="16">-F35</f>
        <v>9.1248967680000028</v>
      </c>
      <c r="G41" s="983">
        <f t="shared" si="16"/>
        <v>9.1248967680000028</v>
      </c>
      <c r="H41" s="983">
        <f t="shared" si="16"/>
        <v>9.1248967680000028</v>
      </c>
      <c r="I41" s="983">
        <f t="shared" si="16"/>
        <v>9.1248967680000028</v>
      </c>
      <c r="J41" s="983">
        <f t="shared" si="16"/>
        <v>9.1248967680000028</v>
      </c>
      <c r="K41" s="983">
        <f t="shared" si="16"/>
        <v>9.1248967680000028</v>
      </c>
      <c r="L41" s="983">
        <f t="shared" si="16"/>
        <v>9.1248967680000028</v>
      </c>
    </row>
    <row r="42" spans="1:12">
      <c r="A42" s="950" t="s">
        <v>3282</v>
      </c>
      <c r="E42" s="983">
        <f>IF(-SUM(E35:E36)&gt;E34, E34+E35, -E36)</f>
        <v>49.875103232000001</v>
      </c>
      <c r="F42" s="983">
        <f t="shared" ref="F42:L42" si="17">IF(-SUM(F35:F36)&gt;F34, F34+F35, -F36)</f>
        <v>56.833610010624014</v>
      </c>
      <c r="G42" s="983">
        <f t="shared" si="17"/>
        <v>56.833610010624014</v>
      </c>
      <c r="H42" s="983">
        <f t="shared" si="17"/>
        <v>56.833610010624014</v>
      </c>
      <c r="I42" s="983">
        <f t="shared" si="17"/>
        <v>56.833610010624014</v>
      </c>
      <c r="J42" s="983">
        <f t="shared" si="17"/>
        <v>56.833610010624014</v>
      </c>
      <c r="K42" s="983">
        <f t="shared" si="17"/>
        <v>56.833610010624014</v>
      </c>
      <c r="L42" s="983">
        <f t="shared" si="17"/>
        <v>56.833610010624014</v>
      </c>
    </row>
    <row r="43" spans="1:12">
      <c r="A43" s="1010" t="s">
        <v>3290</v>
      </c>
      <c r="B43" s="1010"/>
      <c r="C43" s="1010"/>
      <c r="D43" s="1010"/>
      <c r="E43" s="1011">
        <f>IF(E39&gt;0, 25%*E39, 0)</f>
        <v>0</v>
      </c>
      <c r="F43" s="1011">
        <f t="shared" ref="F43:L43" si="18">IF(F39&gt;0, 25%*F39, 0)</f>
        <v>1.2789598074191977</v>
      </c>
      <c r="G43" s="1011">
        <f t="shared" si="18"/>
        <v>8.6539598074191986</v>
      </c>
      <c r="H43" s="1011">
        <f t="shared" si="18"/>
        <v>23.403959807419199</v>
      </c>
      <c r="I43" s="1011">
        <f t="shared" si="18"/>
        <v>38.153959807419199</v>
      </c>
      <c r="J43" s="1011">
        <f t="shared" si="18"/>
        <v>52.903959807419213</v>
      </c>
      <c r="K43" s="1011">
        <f t="shared" si="18"/>
        <v>67.653959807419213</v>
      </c>
      <c r="L43" s="1011">
        <f t="shared" si="18"/>
        <v>82.403959807419213</v>
      </c>
    </row>
    <row r="44" spans="1:12">
      <c r="A44" s="950" t="s">
        <v>3303</v>
      </c>
      <c r="E44" s="983">
        <f>IF(E39&gt;0, 82.75%*(E37-E43), 82.75%*E37)</f>
        <v>0</v>
      </c>
      <c r="F44" s="983">
        <f t="shared" ref="F44:L44" si="19">IF(F39&gt;0, 82.75%*(F37-F43), 82.75%*F37)</f>
        <v>17.594746400049253</v>
      </c>
      <c r="G44" s="983">
        <f t="shared" si="19"/>
        <v>35.903183900049257</v>
      </c>
      <c r="H44" s="983">
        <f t="shared" si="19"/>
        <v>72.52005890004925</v>
      </c>
      <c r="I44" s="983">
        <f t="shared" si="19"/>
        <v>109.13693390004927</v>
      </c>
      <c r="J44" s="983">
        <f t="shared" si="19"/>
        <v>145.75380890004931</v>
      </c>
      <c r="K44" s="983">
        <f t="shared" si="19"/>
        <v>182.37068390004933</v>
      </c>
      <c r="L44" s="983">
        <f t="shared" si="19"/>
        <v>218.98755890004932</v>
      </c>
    </row>
    <row r="45" spans="1:12">
      <c r="A45" s="999" t="s">
        <v>3293</v>
      </c>
      <c r="B45" s="999"/>
      <c r="C45" s="999"/>
      <c r="D45" s="999"/>
      <c r="E45" s="1003">
        <f t="shared" ref="E45:L45" si="20">SUM(E41:E44)</f>
        <v>59</v>
      </c>
      <c r="F45" s="1003">
        <f t="shared" si="20"/>
        <v>84.832212986092458</v>
      </c>
      <c r="G45" s="1003">
        <f t="shared" si="20"/>
        <v>110.51565048609247</v>
      </c>
      <c r="H45" s="1003">
        <f t="shared" si="20"/>
        <v>161.88252548609245</v>
      </c>
      <c r="I45" s="1003">
        <f t="shared" si="20"/>
        <v>213.2494004860925</v>
      </c>
      <c r="J45" s="1003">
        <f t="shared" si="20"/>
        <v>264.61627548609255</v>
      </c>
      <c r="K45" s="1003">
        <f t="shared" si="20"/>
        <v>315.98315048609254</v>
      </c>
      <c r="L45" s="1003">
        <f t="shared" si="20"/>
        <v>367.35002548609259</v>
      </c>
    </row>
    <row r="46" spans="1:12">
      <c r="A46" s="1008" t="s">
        <v>3295</v>
      </c>
      <c r="B46" s="1008"/>
      <c r="C46" s="1008"/>
      <c r="D46" s="1008"/>
      <c r="E46" s="1043">
        <f t="shared" ref="E46:L46" si="21">E45/E34</f>
        <v>0.99999999999999989</v>
      </c>
      <c r="F46" s="1043">
        <f t="shared" si="21"/>
        <v>0.95855607893889772</v>
      </c>
      <c r="G46" s="1043">
        <f t="shared" si="21"/>
        <v>0.93657330920417337</v>
      </c>
      <c r="H46" s="1043">
        <f t="shared" si="21"/>
        <v>0.91459053946944868</v>
      </c>
      <c r="I46" s="1043">
        <f t="shared" si="21"/>
        <v>0.90359915460208673</v>
      </c>
      <c r="J46" s="1043">
        <f t="shared" si="21"/>
        <v>0.89700432368166949</v>
      </c>
      <c r="K46" s="1043">
        <f t="shared" si="21"/>
        <v>0.89260776973472455</v>
      </c>
      <c r="L46" s="1043">
        <f t="shared" si="21"/>
        <v>0.88946737405833542</v>
      </c>
    </row>
    <row r="47" spans="1:12">
      <c r="A47" s="1001" t="s">
        <v>3305</v>
      </c>
      <c r="B47" s="1001"/>
      <c r="C47" s="1001"/>
      <c r="D47" s="1001"/>
      <c r="E47" s="1001"/>
      <c r="F47" s="1045">
        <f>SUM(F43:F44)/F37</f>
        <v>0.83728730932388262</v>
      </c>
      <c r="G47" s="1045">
        <f t="shared" ref="G47:L47" si="22">SUM(G43:G44)/G37</f>
        <v>0.85618495837407382</v>
      </c>
      <c r="H47" s="1045">
        <f t="shared" si="22"/>
        <v>0.86385742774758212</v>
      </c>
      <c r="I47" s="1045">
        <f t="shared" si="22"/>
        <v>0.86620560027493587</v>
      </c>
      <c r="J47" s="1045">
        <f t="shared" si="22"/>
        <v>0.86734401663832716</v>
      </c>
      <c r="K47" s="1045">
        <f t="shared" si="22"/>
        <v>0.86801606571075007</v>
      </c>
      <c r="L47" s="1045">
        <f t="shared" si="22"/>
        <v>0.86845960668804634</v>
      </c>
    </row>
    <row r="48" spans="1:12">
      <c r="A48" s="1039" t="s">
        <v>3304</v>
      </c>
      <c r="B48" s="1039"/>
      <c r="C48" s="1039"/>
      <c r="D48" s="1039"/>
      <c r="E48" s="1044">
        <f>IF(E37&gt;0, E37-E43-E44, 0)</f>
        <v>0</v>
      </c>
      <c r="F48" s="1044">
        <f t="shared" ref="F48:L48" si="23">IF(F37&gt;0, F37-F43-F44, 0)</f>
        <v>3.6677870139075495</v>
      </c>
      <c r="G48" s="1044">
        <f t="shared" si="23"/>
        <v>7.4843495139075458</v>
      </c>
      <c r="H48" s="1044">
        <f t="shared" si="23"/>
        <v>15.117474513907553</v>
      </c>
      <c r="I48" s="1044">
        <f t="shared" si="23"/>
        <v>22.750599513907545</v>
      </c>
      <c r="J48" s="1044">
        <f t="shared" si="23"/>
        <v>30.383724513907566</v>
      </c>
      <c r="K48" s="1044">
        <f t="shared" si="23"/>
        <v>38.016849513907545</v>
      </c>
      <c r="L48" s="1044">
        <f t="shared" si="23"/>
        <v>45.649974513907551</v>
      </c>
    </row>
    <row r="49" spans="1:12">
      <c r="A49" s="1039" t="s">
        <v>3295</v>
      </c>
      <c r="B49" s="1039"/>
      <c r="C49" s="1039"/>
      <c r="D49" s="1039"/>
      <c r="E49" s="1042">
        <f t="shared" ref="E49:L49" si="24">E48/E34</f>
        <v>0</v>
      </c>
      <c r="F49" s="1042">
        <f t="shared" si="24"/>
        <v>4.144392106110225E-2</v>
      </c>
      <c r="G49" s="1042">
        <f t="shared" si="24"/>
        <v>6.3426690795826648E-2</v>
      </c>
      <c r="H49" s="1042">
        <f t="shared" si="24"/>
        <v>8.5409460530551137E-2</v>
      </c>
      <c r="I49" s="1042">
        <f t="shared" si="24"/>
        <v>9.6400845397913312E-2</v>
      </c>
      <c r="J49" s="1042">
        <f t="shared" si="24"/>
        <v>0.10299567631833072</v>
      </c>
      <c r="K49" s="1042">
        <f t="shared" si="24"/>
        <v>0.10739223026527553</v>
      </c>
      <c r="L49" s="1042">
        <f t="shared" si="24"/>
        <v>0.11053262594166476</v>
      </c>
    </row>
    <row r="50" spans="1:12">
      <c r="A50" s="1040" t="s">
        <v>3305</v>
      </c>
      <c r="B50" s="1040"/>
      <c r="C50" s="1040"/>
      <c r="D50" s="1040"/>
      <c r="E50" s="1041"/>
      <c r="F50" s="1041">
        <f t="shared" ref="F50:L50" si="25">F48/F37</f>
        <v>0.16271269067611735</v>
      </c>
      <c r="G50" s="1041">
        <f t="shared" si="25"/>
        <v>0.1438150416259262</v>
      </c>
      <c r="H50" s="1041">
        <f t="shared" si="25"/>
        <v>0.13614257225241788</v>
      </c>
      <c r="I50" s="1041">
        <f t="shared" si="25"/>
        <v>0.13379439972506402</v>
      </c>
      <c r="J50" s="1041">
        <f t="shared" si="25"/>
        <v>0.13265598336167284</v>
      </c>
      <c r="K50" s="1041">
        <f t="shared" si="25"/>
        <v>0.13198393428924998</v>
      </c>
      <c r="L50" s="1041">
        <f t="shared" si="25"/>
        <v>0.13154039331195377</v>
      </c>
    </row>
    <row r="52" spans="1:12">
      <c r="A52" s="950" t="s">
        <v>3281</v>
      </c>
    </row>
    <row r="53" spans="1:12">
      <c r="G53" s="984" t="s">
        <v>3588</v>
      </c>
    </row>
    <row r="54" spans="1:12">
      <c r="A54" s="950" t="s">
        <v>3282</v>
      </c>
      <c r="E54" s="950">
        <f>'SVF Segment'!$AY$787/1000</f>
        <v>66.900000000000006</v>
      </c>
      <c r="F54" s="989">
        <f>MROUND(E54/E56, 5%)</f>
        <v>0.8</v>
      </c>
      <c r="G54" s="1181">
        <v>0.9</v>
      </c>
      <c r="H54" s="992" t="s">
        <v>3590</v>
      </c>
    </row>
    <row r="55" spans="1:12">
      <c r="A55" s="950" t="s">
        <v>3283</v>
      </c>
      <c r="E55" s="950">
        <f>SUM('SVF Segment'!$AY$788:$AY$789)/1000</f>
        <v>15</v>
      </c>
      <c r="F55" s="989">
        <f>1-F54</f>
        <v>0.19999999999999996</v>
      </c>
      <c r="G55" s="1181">
        <v>0.1</v>
      </c>
    </row>
    <row r="56" spans="1:12">
      <c r="A56" s="957" t="s">
        <v>89</v>
      </c>
      <c r="B56" s="957"/>
      <c r="C56" s="957"/>
      <c r="D56" s="957"/>
      <c r="E56" s="957">
        <f>SUM(E54:E55)</f>
        <v>81.900000000000006</v>
      </c>
    </row>
    <row r="58" spans="1:12">
      <c r="A58" s="950" t="s">
        <v>3280</v>
      </c>
    </row>
    <row r="60" spans="1:12">
      <c r="A60" s="995" t="s">
        <v>3291</v>
      </c>
      <c r="B60" s="995"/>
      <c r="C60" s="995"/>
      <c r="D60" s="995"/>
      <c r="E60" s="1037">
        <f>F60-0.25</f>
        <v>0.5</v>
      </c>
      <c r="F60" s="1038">
        <f>G60-0.25</f>
        <v>0.75</v>
      </c>
      <c r="G60" s="1037">
        <f>H60-0.5</f>
        <v>1</v>
      </c>
      <c r="H60" s="1037">
        <f>I60-0.5</f>
        <v>1.5</v>
      </c>
      <c r="I60" s="1037">
        <f>J60-0.5</f>
        <v>2</v>
      </c>
      <c r="J60" s="1037">
        <f>K60-0.5</f>
        <v>2.5</v>
      </c>
      <c r="K60" s="1037">
        <f>L60-0.5</f>
        <v>3</v>
      </c>
      <c r="L60" s="1037">
        <v>3.5</v>
      </c>
    </row>
    <row r="61" spans="1:12">
      <c r="A61" s="957" t="s">
        <v>3284</v>
      </c>
      <c r="B61" s="957"/>
      <c r="C61" s="957"/>
      <c r="D61" s="957"/>
      <c r="E61" s="1175">
        <v>64.599999999999994</v>
      </c>
      <c r="F61" s="1175">
        <v>64.599999999999994</v>
      </c>
      <c r="G61" s="1175">
        <v>64.599999999999994</v>
      </c>
      <c r="H61" s="1175">
        <v>64.599999999999994</v>
      </c>
      <c r="I61" s="1175">
        <v>64.599999999999994</v>
      </c>
      <c r="J61" s="1175">
        <v>64.599999999999994</v>
      </c>
      <c r="K61" s="1175">
        <v>64.599999999999994</v>
      </c>
      <c r="L61" s="1175">
        <v>64.599999999999994</v>
      </c>
    </row>
    <row r="62" spans="1:12">
      <c r="A62" s="950" t="s">
        <v>3287</v>
      </c>
      <c r="E62" s="1018">
        <v>1.8</v>
      </c>
      <c r="F62" s="1018">
        <v>1.8</v>
      </c>
      <c r="G62" s="1018">
        <v>1.8</v>
      </c>
      <c r="H62" s="1018">
        <v>1.8</v>
      </c>
      <c r="I62" s="1018">
        <v>1.8</v>
      </c>
      <c r="J62" s="1018">
        <v>1.8</v>
      </c>
      <c r="K62" s="1018">
        <v>1.8</v>
      </c>
      <c r="L62" s="1018">
        <v>1.8</v>
      </c>
    </row>
    <row r="63" spans="1:12">
      <c r="A63" s="950" t="s">
        <v>3580</v>
      </c>
      <c r="E63" s="1018">
        <f>13.25%*76</f>
        <v>10.07</v>
      </c>
      <c r="F63" s="1018">
        <f t="shared" ref="F63:L63" si="26">13.25%*76</f>
        <v>10.07</v>
      </c>
      <c r="G63" s="1018">
        <f t="shared" si="26"/>
        <v>10.07</v>
      </c>
      <c r="H63" s="1018">
        <f t="shared" si="26"/>
        <v>10.07</v>
      </c>
      <c r="I63" s="1018">
        <f t="shared" si="26"/>
        <v>10.07</v>
      </c>
      <c r="J63" s="1018">
        <f t="shared" si="26"/>
        <v>10.07</v>
      </c>
      <c r="K63" s="1018">
        <f t="shared" si="26"/>
        <v>10.07</v>
      </c>
      <c r="L63" s="1018">
        <f t="shared" si="26"/>
        <v>10.07</v>
      </c>
    </row>
    <row r="64" spans="1:12">
      <c r="A64" s="957" t="s">
        <v>3286</v>
      </c>
      <c r="B64" s="957"/>
      <c r="C64" s="957"/>
      <c r="D64" s="957"/>
      <c r="E64" s="985">
        <f t="shared" ref="E64:L64" si="27">SUM(E61:E63)</f>
        <v>76.47</v>
      </c>
      <c r="F64" s="985">
        <f t="shared" si="27"/>
        <v>76.47</v>
      </c>
      <c r="G64" s="985">
        <f t="shared" si="27"/>
        <v>76.47</v>
      </c>
      <c r="H64" s="985">
        <f t="shared" si="27"/>
        <v>76.47</v>
      </c>
      <c r="I64" s="985">
        <f t="shared" si="27"/>
        <v>76.47</v>
      </c>
      <c r="J64" s="985">
        <f t="shared" si="27"/>
        <v>76.47</v>
      </c>
      <c r="K64" s="985">
        <f t="shared" si="27"/>
        <v>76.47</v>
      </c>
      <c r="L64" s="985">
        <f t="shared" si="27"/>
        <v>76.47</v>
      </c>
    </row>
    <row r="65" spans="1:13">
      <c r="A65" s="957" t="s">
        <v>3591</v>
      </c>
      <c r="B65" s="957"/>
      <c r="C65" s="957"/>
      <c r="D65" s="957"/>
      <c r="E65" s="985">
        <f>$G$54*E64</f>
        <v>68.823000000000008</v>
      </c>
      <c r="F65" s="985">
        <f t="shared" ref="F65:L65" si="28">$G$54*F64</f>
        <v>68.823000000000008</v>
      </c>
      <c r="G65" s="985">
        <f t="shared" si="28"/>
        <v>68.823000000000008</v>
      </c>
      <c r="H65" s="985">
        <f t="shared" si="28"/>
        <v>68.823000000000008</v>
      </c>
      <c r="I65" s="985">
        <f t="shared" si="28"/>
        <v>68.823000000000008</v>
      </c>
      <c r="J65" s="985">
        <f t="shared" si="28"/>
        <v>68.823000000000008</v>
      </c>
      <c r="K65" s="985">
        <f t="shared" si="28"/>
        <v>68.823000000000008</v>
      </c>
      <c r="L65" s="985">
        <f t="shared" si="28"/>
        <v>68.823000000000008</v>
      </c>
    </row>
    <row r="66" spans="1:13">
      <c r="A66" s="950" t="s">
        <v>3592</v>
      </c>
      <c r="E66" s="983">
        <f t="shared" ref="E66:L66" si="29">E64-E65</f>
        <v>7.6469999999999914</v>
      </c>
      <c r="F66" s="983">
        <f t="shared" si="29"/>
        <v>7.6469999999999914</v>
      </c>
      <c r="G66" s="983">
        <f t="shared" si="29"/>
        <v>7.6469999999999914</v>
      </c>
      <c r="H66" s="983">
        <f t="shared" si="29"/>
        <v>7.6469999999999914</v>
      </c>
      <c r="I66" s="983">
        <f t="shared" si="29"/>
        <v>7.6469999999999914</v>
      </c>
      <c r="J66" s="983">
        <f t="shared" si="29"/>
        <v>7.6469999999999914</v>
      </c>
      <c r="K66" s="983">
        <f t="shared" si="29"/>
        <v>7.6469999999999914</v>
      </c>
      <c r="L66" s="983">
        <f t="shared" si="29"/>
        <v>7.6469999999999914</v>
      </c>
    </row>
    <row r="67" spans="1:13">
      <c r="A67" s="957" t="s">
        <v>3581</v>
      </c>
      <c r="B67" s="957"/>
      <c r="C67" s="957"/>
      <c r="D67" s="957"/>
      <c r="E67" s="985">
        <f t="shared" ref="E67:J67" si="30">E60/$L$60*$L$67</f>
        <v>66.25</v>
      </c>
      <c r="F67" s="985">
        <f t="shared" si="30"/>
        <v>99.375</v>
      </c>
      <c r="G67" s="985">
        <f t="shared" si="30"/>
        <v>132.5</v>
      </c>
      <c r="H67" s="985">
        <f t="shared" si="30"/>
        <v>198.75</v>
      </c>
      <c r="I67" s="985">
        <f t="shared" si="30"/>
        <v>265</v>
      </c>
      <c r="J67" s="985">
        <f t="shared" si="30"/>
        <v>331.25</v>
      </c>
      <c r="K67" s="985">
        <f>K60/$L$60*$L$67</f>
        <v>397.5</v>
      </c>
      <c r="L67" s="1175">
        <f>13.25%*L60*1000</f>
        <v>463.75</v>
      </c>
    </row>
    <row r="68" spans="1:13">
      <c r="A68" s="950" t="s">
        <v>3582</v>
      </c>
      <c r="E68" s="983">
        <f>-E65*(1+8.5%)^(5)</f>
        <v>-103.4861643881291</v>
      </c>
      <c r="F68" s="983">
        <f t="shared" ref="F68:L68" si="31">-F65*(1+8.5%)^(5)</f>
        <v>-103.4861643881291</v>
      </c>
      <c r="G68" s="983">
        <f t="shared" si="31"/>
        <v>-103.4861643881291</v>
      </c>
      <c r="H68" s="983">
        <f t="shared" si="31"/>
        <v>-103.4861643881291</v>
      </c>
      <c r="I68" s="983">
        <f t="shared" si="31"/>
        <v>-103.4861643881291</v>
      </c>
      <c r="J68" s="983">
        <f t="shared" si="31"/>
        <v>-103.4861643881291</v>
      </c>
      <c r="K68" s="983">
        <f t="shared" si="31"/>
        <v>-103.4861643881291</v>
      </c>
      <c r="L68" s="983">
        <f t="shared" si="31"/>
        <v>-103.4861643881291</v>
      </c>
      <c r="M68" s="992" t="s">
        <v>3583</v>
      </c>
    </row>
    <row r="69" spans="1:13">
      <c r="A69" s="957" t="s">
        <v>3288</v>
      </c>
      <c r="B69" s="957"/>
      <c r="C69" s="957"/>
      <c r="D69" s="957"/>
      <c r="E69" s="985">
        <f>IF(SUM(E67:E68)&gt;0, SUM(E67:E68), 0)</f>
        <v>0</v>
      </c>
      <c r="F69" s="985">
        <f t="shared" ref="F69:L69" si="32">IF(SUM(F67:F68)&gt;0, SUM(F67:F68), 0)</f>
        <v>0</v>
      </c>
      <c r="G69" s="985">
        <f t="shared" si="32"/>
        <v>29.013835611870903</v>
      </c>
      <c r="H69" s="985">
        <f t="shared" si="32"/>
        <v>95.263835611870903</v>
      </c>
      <c r="I69" s="985">
        <f t="shared" si="32"/>
        <v>161.51383561187089</v>
      </c>
      <c r="J69" s="985">
        <f t="shared" si="32"/>
        <v>227.76383561187089</v>
      </c>
      <c r="K69" s="985">
        <f t="shared" si="32"/>
        <v>294.01383561187089</v>
      </c>
      <c r="L69" s="985">
        <f t="shared" si="32"/>
        <v>360.26383561187089</v>
      </c>
    </row>
    <row r="70" spans="1:13">
      <c r="A70" s="950" t="s">
        <v>3331</v>
      </c>
      <c r="E70" s="983">
        <f>E66*(1+12.5%)^(5)</f>
        <v>13.780142303466782</v>
      </c>
      <c r="F70" s="983">
        <f t="shared" ref="F70:L70" si="33">F66*(1+12.5%)^(5)</f>
        <v>13.780142303466782</v>
      </c>
      <c r="G70" s="983">
        <f t="shared" si="33"/>
        <v>13.780142303466782</v>
      </c>
      <c r="H70" s="983">
        <f t="shared" si="33"/>
        <v>13.780142303466782</v>
      </c>
      <c r="I70" s="983">
        <f t="shared" si="33"/>
        <v>13.780142303466782</v>
      </c>
      <c r="J70" s="983">
        <f t="shared" si="33"/>
        <v>13.780142303466782</v>
      </c>
      <c r="K70" s="983">
        <f t="shared" si="33"/>
        <v>13.780142303466782</v>
      </c>
      <c r="L70" s="983">
        <f t="shared" si="33"/>
        <v>13.780142303466782</v>
      </c>
    </row>
    <row r="71" spans="1:13">
      <c r="A71" s="1046" t="s">
        <v>3289</v>
      </c>
      <c r="B71" s="1046"/>
      <c r="C71" s="1046"/>
      <c r="D71" s="1046"/>
      <c r="E71" s="1047">
        <f>IF(E69-E70&gt;0, E69-E70, 0)</f>
        <v>0</v>
      </c>
      <c r="F71" s="1047">
        <f t="shared" ref="F71:L71" si="34">IF(F69-F70&gt;0, F69-F70, 0)</f>
        <v>0</v>
      </c>
      <c r="G71" s="1047">
        <f t="shared" si="34"/>
        <v>15.233693308404121</v>
      </c>
      <c r="H71" s="1047">
        <f t="shared" si="34"/>
        <v>81.483693308404128</v>
      </c>
      <c r="I71" s="1047">
        <f t="shared" si="34"/>
        <v>147.7336933084041</v>
      </c>
      <c r="J71" s="1047">
        <f t="shared" si="34"/>
        <v>213.9836933084041</v>
      </c>
      <c r="K71" s="1047">
        <f t="shared" si="34"/>
        <v>280.2336933084041</v>
      </c>
      <c r="L71" s="1047">
        <f t="shared" si="34"/>
        <v>346.4836933084041</v>
      </c>
    </row>
    <row r="72" spans="1:13">
      <c r="A72" s="957" t="s">
        <v>3293</v>
      </c>
      <c r="B72" s="957"/>
      <c r="C72" s="957"/>
      <c r="D72" s="957"/>
      <c r="E72" s="985"/>
      <c r="F72" s="985"/>
      <c r="G72" s="985"/>
      <c r="H72" s="985"/>
      <c r="I72" s="985"/>
      <c r="J72" s="985"/>
      <c r="K72" s="985"/>
      <c r="L72" s="985"/>
    </row>
    <row r="73" spans="1:13">
      <c r="A73" s="950" t="s">
        <v>3282</v>
      </c>
      <c r="E73" s="983">
        <f t="shared" ref="E73:J73" si="35">IF(-E68&gt;E67, E67, -E68)</f>
        <v>66.25</v>
      </c>
      <c r="F73" s="983">
        <f t="shared" si="35"/>
        <v>99.375</v>
      </c>
      <c r="G73" s="983">
        <f t="shared" si="35"/>
        <v>103.4861643881291</v>
      </c>
      <c r="H73" s="983">
        <f t="shared" si="35"/>
        <v>103.4861643881291</v>
      </c>
      <c r="I73" s="983">
        <f t="shared" si="35"/>
        <v>103.4861643881291</v>
      </c>
      <c r="J73" s="983">
        <f t="shared" si="35"/>
        <v>103.4861643881291</v>
      </c>
      <c r="K73" s="983">
        <f t="shared" ref="K73:L73" si="36">IF(-K68&gt;K67, K67, -K68)</f>
        <v>103.4861643881291</v>
      </c>
      <c r="L73" s="983">
        <f t="shared" si="36"/>
        <v>103.4861643881291</v>
      </c>
    </row>
    <row r="74" spans="1:13">
      <c r="A74" s="1010" t="s">
        <v>3290</v>
      </c>
      <c r="B74" s="1010"/>
      <c r="C74" s="1010"/>
      <c r="D74" s="1010"/>
      <c r="E74" s="1011">
        <f>IF(E71&gt;0, 25%*E71, 0)</f>
        <v>0</v>
      </c>
      <c r="F74" s="1011">
        <f t="shared" ref="F74:L74" si="37">IF(F71&gt;0, 25%*F71, 0)</f>
        <v>0</v>
      </c>
      <c r="G74" s="1011">
        <f t="shared" si="37"/>
        <v>3.8084233271010302</v>
      </c>
      <c r="H74" s="1011">
        <f t="shared" si="37"/>
        <v>20.370923327101032</v>
      </c>
      <c r="I74" s="1011">
        <f t="shared" si="37"/>
        <v>36.933423327101025</v>
      </c>
      <c r="J74" s="1011">
        <f t="shared" si="37"/>
        <v>53.495923327101025</v>
      </c>
      <c r="K74" s="1011">
        <f t="shared" si="37"/>
        <v>70.058423327101025</v>
      </c>
      <c r="L74" s="1011">
        <f t="shared" si="37"/>
        <v>86.620923327101025</v>
      </c>
    </row>
    <row r="75" spans="1:13">
      <c r="A75" s="950" t="s">
        <v>3303</v>
      </c>
      <c r="E75" s="983">
        <f>IF(E71&gt;0, 82.75%*(E69-E74), 82.75%*E69)</f>
        <v>0</v>
      </c>
      <c r="F75" s="983">
        <f t="shared" ref="F75:L75" si="38">IF(F71&gt;0, 82.75%*(F69-F74), 82.75%*F69)</f>
        <v>0</v>
      </c>
      <c r="G75" s="983">
        <f t="shared" si="38"/>
        <v>20.857478665647069</v>
      </c>
      <c r="H75" s="983">
        <f t="shared" si="38"/>
        <v>61.973884915647062</v>
      </c>
      <c r="I75" s="983">
        <f t="shared" si="38"/>
        <v>103.09029116564706</v>
      </c>
      <c r="J75" s="983">
        <f t="shared" si="38"/>
        <v>144.20669741564706</v>
      </c>
      <c r="K75" s="983">
        <f t="shared" si="38"/>
        <v>185.32310366564707</v>
      </c>
      <c r="L75" s="983">
        <f t="shared" si="38"/>
        <v>226.43950991564708</v>
      </c>
    </row>
    <row r="76" spans="1:13">
      <c r="A76" s="999" t="s">
        <v>3293</v>
      </c>
      <c r="B76" s="999"/>
      <c r="C76" s="999"/>
      <c r="D76" s="999"/>
      <c r="E76" s="1003">
        <f t="shared" ref="E76:L76" si="39">SUM(E72:E75)</f>
        <v>66.25</v>
      </c>
      <c r="F76" s="1003">
        <f t="shared" si="39"/>
        <v>99.375</v>
      </c>
      <c r="G76" s="1003">
        <f t="shared" si="39"/>
        <v>128.15206638087719</v>
      </c>
      <c r="H76" s="1003">
        <f t="shared" si="39"/>
        <v>185.8309726308772</v>
      </c>
      <c r="I76" s="1003">
        <f t="shared" si="39"/>
        <v>243.50987888087718</v>
      </c>
      <c r="J76" s="1003">
        <f t="shared" si="39"/>
        <v>301.18878513087719</v>
      </c>
      <c r="K76" s="1003">
        <f t="shared" si="39"/>
        <v>358.8676913808772</v>
      </c>
      <c r="L76" s="1003">
        <f t="shared" si="39"/>
        <v>416.54659763087722</v>
      </c>
    </row>
    <row r="77" spans="1:13">
      <c r="A77" s="1008" t="s">
        <v>3295</v>
      </c>
      <c r="B77" s="1008"/>
      <c r="C77" s="1008"/>
      <c r="D77" s="1008"/>
      <c r="E77" s="1043">
        <f>E76/E67</f>
        <v>1</v>
      </c>
      <c r="F77" s="1043">
        <f t="shared" ref="F77:L77" si="40">F76/F67</f>
        <v>1</v>
      </c>
      <c r="G77" s="1043">
        <f t="shared" si="40"/>
        <v>0.96718540664812969</v>
      </c>
      <c r="H77" s="1043">
        <f t="shared" si="40"/>
        <v>0.93499860443208649</v>
      </c>
      <c r="I77" s="1043">
        <f t="shared" si="40"/>
        <v>0.91890520332406489</v>
      </c>
      <c r="J77" s="1043">
        <f t="shared" si="40"/>
        <v>0.90924916265925193</v>
      </c>
      <c r="K77" s="1043">
        <f t="shared" si="40"/>
        <v>0.90281180221604329</v>
      </c>
      <c r="L77" s="1043">
        <f t="shared" si="40"/>
        <v>0.89821368761375142</v>
      </c>
    </row>
    <row r="78" spans="1:13">
      <c r="A78" s="1001" t="s">
        <v>3305</v>
      </c>
      <c r="B78" s="1001"/>
      <c r="C78" s="1001"/>
      <c r="D78" s="1001"/>
      <c r="E78" s="1001"/>
      <c r="F78" s="1045" t="e">
        <f>SUM(F74:F75)/F69</f>
        <v>#DIV/0!</v>
      </c>
      <c r="G78" s="1045">
        <f t="shared" ref="G78:L78" si="41">SUM(G74:G75)/G69</f>
        <v>0.85014274991811611</v>
      </c>
      <c r="H78" s="1045">
        <f t="shared" si="41"/>
        <v>0.86438686531835418</v>
      </c>
      <c r="I78" s="1045">
        <f t="shared" si="41"/>
        <v>0.86694563324738882</v>
      </c>
      <c r="J78" s="1045">
        <f t="shared" si="41"/>
        <v>0.86801585603629505</v>
      </c>
      <c r="K78" s="1045">
        <f t="shared" si="41"/>
        <v>0.86860377322473525</v>
      </c>
      <c r="L78" s="1045">
        <f t="shared" si="41"/>
        <v>0.86897546269402071</v>
      </c>
    </row>
    <row r="79" spans="1:13">
      <c r="A79" s="1039" t="s">
        <v>3304</v>
      </c>
      <c r="B79" s="1039"/>
      <c r="C79" s="1039"/>
      <c r="D79" s="1039"/>
      <c r="E79" s="1044">
        <f>IF(E69&gt;0, E69-E74-E75, 0)</f>
        <v>0</v>
      </c>
      <c r="F79" s="1044">
        <f>IF(F69&gt;0, F69-F74-F75, 0)</f>
        <v>0</v>
      </c>
      <c r="G79" s="1044">
        <f>IF(G69&gt;0, G69-G74-G75, 0)</f>
        <v>4.3479336191228022</v>
      </c>
      <c r="H79" s="1044">
        <f t="shared" ref="H79:L79" si="42">IF(H69&gt;0, H69-H74-H75, 0)</f>
        <v>12.919027369122801</v>
      </c>
      <c r="I79" s="1044">
        <f t="shared" si="42"/>
        <v>21.490121119122804</v>
      </c>
      <c r="J79" s="1044">
        <f t="shared" si="42"/>
        <v>30.061214869122807</v>
      </c>
      <c r="K79" s="1044">
        <f t="shared" si="42"/>
        <v>38.632308619122796</v>
      </c>
      <c r="L79" s="1044">
        <f t="shared" si="42"/>
        <v>47.203402369122784</v>
      </c>
    </row>
    <row r="80" spans="1:13">
      <c r="A80" s="1039" t="s">
        <v>3295</v>
      </c>
      <c r="B80" s="1039"/>
      <c r="C80" s="1039"/>
      <c r="D80" s="1039"/>
      <c r="E80" s="1042">
        <f>E79/E67</f>
        <v>0</v>
      </c>
      <c r="F80" s="1042">
        <f t="shared" ref="F80:L80" si="43">F79/F67</f>
        <v>0</v>
      </c>
      <c r="G80" s="1042">
        <f t="shared" si="43"/>
        <v>3.2814593351870203E-2</v>
      </c>
      <c r="H80" s="1042">
        <f t="shared" si="43"/>
        <v>6.500139556791347E-2</v>
      </c>
      <c r="I80" s="1042">
        <f t="shared" si="43"/>
        <v>8.109479667593511E-2</v>
      </c>
      <c r="J80" s="1042">
        <f t="shared" si="43"/>
        <v>9.0750837340748097E-2</v>
      </c>
      <c r="K80" s="1042">
        <f t="shared" si="43"/>
        <v>9.7188197783956723E-2</v>
      </c>
      <c r="L80" s="1042">
        <f t="shared" si="43"/>
        <v>0.10178631238624859</v>
      </c>
    </row>
    <row r="81" spans="1:12">
      <c r="A81" s="1040" t="s">
        <v>3305</v>
      </c>
      <c r="B81" s="1040"/>
      <c r="C81" s="1040"/>
      <c r="D81" s="1040"/>
      <c r="E81" s="1041"/>
      <c r="F81" s="1041" t="e">
        <f>F79/F69</f>
        <v>#DIV/0!</v>
      </c>
      <c r="G81" s="1041">
        <f t="shared" ref="G81:L81" si="44">G79/G69</f>
        <v>0.14985725008188375</v>
      </c>
      <c r="H81" s="1041">
        <f t="shared" si="44"/>
        <v>0.13561313468164568</v>
      </c>
      <c r="I81" s="1041">
        <f t="shared" si="44"/>
        <v>0.13305436675261106</v>
      </c>
      <c r="J81" s="1041">
        <f t="shared" si="44"/>
        <v>0.131984143963705</v>
      </c>
      <c r="K81" s="1041">
        <f t="shared" si="44"/>
        <v>0.13139622677526475</v>
      </c>
      <c r="L81" s="1041">
        <f t="shared" si="44"/>
        <v>0.13102453730597935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B33B7-0E6F-46AC-B229-48069084AEB2}">
  <sheetPr codeName="Sheet3"/>
  <dimension ref="A1:CJ358"/>
  <sheetViews>
    <sheetView zoomScale="90" zoomScaleNormal="90" workbookViewId="0">
      <pane xSplit="8" ySplit="3" topLeftCell="BI4" activePane="bottomRight" state="frozen"/>
      <selection pane="topRight" activeCell="I1" sqref="I1"/>
      <selection pane="bottomLeft" activeCell="A3" sqref="A3"/>
      <selection pane="bottomRight" activeCell="A2" sqref="A2"/>
    </sheetView>
  </sheetViews>
  <sheetFormatPr defaultColWidth="9.140625" defaultRowHeight="12" outlineLevelRow="1" outlineLevelCol="1"/>
  <cols>
    <col min="1" max="1" width="9.140625" style="1"/>
    <col min="2" max="2" width="25.7109375" style="1" customWidth="1"/>
    <col min="3" max="5" width="9.140625" style="1"/>
    <col min="6" max="6" width="27.140625" style="1" customWidth="1"/>
    <col min="7" max="7" width="9.140625" style="1"/>
    <col min="8" max="8" width="24" style="1" customWidth="1"/>
    <col min="9" max="12" width="11.42578125" style="1" hidden="1" customWidth="1" outlineLevel="1"/>
    <col min="13" max="13" width="11.42578125" style="1" customWidth="1" collapsed="1"/>
    <col min="14" max="17" width="11.42578125" style="1" hidden="1" customWidth="1" outlineLevel="1"/>
    <col min="18" max="18" width="11.42578125" style="1" customWidth="1" collapsed="1"/>
    <col min="19" max="22" width="11.42578125" style="1" hidden="1" customWidth="1" outlineLevel="1"/>
    <col min="23" max="23" width="11.42578125" style="1" customWidth="1" collapsed="1"/>
    <col min="24" max="27" width="11.42578125" style="1" hidden="1" customWidth="1" outlineLevel="1"/>
    <col min="28" max="28" width="11.42578125" style="1" customWidth="1" collapsed="1"/>
    <col min="29" max="32" width="11.42578125" style="1" customWidth="1" outlineLevel="1"/>
    <col min="33" max="33" width="11.42578125" style="1" customWidth="1"/>
    <col min="34" max="37" width="11.42578125" style="1" customWidth="1" outlineLevel="1"/>
    <col min="38" max="38" width="11.42578125" style="1" customWidth="1"/>
    <col min="39" max="42" width="11.42578125" style="1" customWidth="1" outlineLevel="1"/>
    <col min="43" max="43" width="11.42578125" style="1" customWidth="1"/>
    <col min="44" max="47" width="11.42578125" style="1" customWidth="1" outlineLevel="1"/>
    <col min="48" max="48" width="11.42578125" style="1" customWidth="1"/>
    <col min="49" max="52" width="11.42578125" style="1" customWidth="1" outlineLevel="1"/>
    <col min="53" max="53" width="11.42578125" style="1" customWidth="1"/>
    <col min="54" max="57" width="11.42578125" style="1" customWidth="1" outlineLevel="1"/>
    <col min="58" max="58" width="11.42578125" style="1" customWidth="1"/>
    <col min="59" max="62" width="11.42578125" style="1" customWidth="1" outlineLevel="1"/>
    <col min="63" max="63" width="11.42578125" style="1" customWidth="1"/>
    <col min="64" max="67" width="11.42578125" style="1" customWidth="1" outlineLevel="1"/>
    <col min="68" max="68" width="11.42578125" style="1" customWidth="1"/>
    <col min="69" max="72" width="11.42578125" style="1" customWidth="1" outlineLevel="1"/>
    <col min="73" max="73" width="11.42578125" style="1" customWidth="1"/>
    <col min="74" max="74" width="9.140625" style="1"/>
    <col min="75" max="75" width="9.140625" style="46"/>
    <col min="76" max="16384" width="9.140625" style="1"/>
  </cols>
  <sheetData>
    <row r="1" spans="1:88" s="2" customFormat="1" outlineLevel="1">
      <c r="AE1" s="6" t="s">
        <v>165</v>
      </c>
      <c r="AF1" s="6" t="s">
        <v>166</v>
      </c>
      <c r="AG1" s="6" t="s">
        <v>167</v>
      </c>
      <c r="AH1" s="6" t="s">
        <v>154</v>
      </c>
      <c r="AI1" s="6" t="s">
        <v>155</v>
      </c>
      <c r="AJ1" s="6" t="s">
        <v>156</v>
      </c>
      <c r="AK1" s="6" t="s">
        <v>157</v>
      </c>
      <c r="AL1" s="6" t="s">
        <v>158</v>
      </c>
      <c r="AM1" s="6" t="s">
        <v>133</v>
      </c>
      <c r="AN1" s="6" t="s">
        <v>134</v>
      </c>
      <c r="AO1" s="6" t="s">
        <v>135</v>
      </c>
      <c r="AP1" s="6" t="s">
        <v>136</v>
      </c>
      <c r="AQ1" s="6" t="s">
        <v>137</v>
      </c>
      <c r="AR1" s="6" t="s">
        <v>74</v>
      </c>
      <c r="AS1" s="6" t="s">
        <v>75</v>
      </c>
      <c r="AT1" s="6" t="s">
        <v>76</v>
      </c>
      <c r="AU1" s="6" t="s">
        <v>77</v>
      </c>
      <c r="AV1" s="6" t="s">
        <v>78</v>
      </c>
      <c r="AW1" s="6" t="s">
        <v>10</v>
      </c>
      <c r="AX1" s="6" t="s">
        <v>11</v>
      </c>
      <c r="AY1" s="6" t="s">
        <v>12</v>
      </c>
      <c r="AZ1" s="6" t="s">
        <v>13</v>
      </c>
      <c r="BA1" s="6" t="s">
        <v>14</v>
      </c>
      <c r="BB1" s="6" t="s">
        <v>91</v>
      </c>
      <c r="BC1" s="6" t="s">
        <v>92</v>
      </c>
      <c r="BD1" s="6" t="s">
        <v>93</v>
      </c>
      <c r="BE1" s="6" t="s">
        <v>94</v>
      </c>
      <c r="BF1" s="6" t="s">
        <v>95</v>
      </c>
      <c r="BG1" s="6" t="s">
        <v>686</v>
      </c>
      <c r="BH1" s="6" t="s">
        <v>695</v>
      </c>
      <c r="BI1" s="6" t="s">
        <v>696</v>
      </c>
      <c r="BJ1" s="6" t="s">
        <v>697</v>
      </c>
      <c r="BK1" s="6" t="s">
        <v>698</v>
      </c>
      <c r="BL1" s="6" t="s">
        <v>1172</v>
      </c>
      <c r="BM1" s="6" t="s">
        <v>1173</v>
      </c>
      <c r="BN1" s="6" t="s">
        <v>1174</v>
      </c>
      <c r="BO1" s="6" t="s">
        <v>1460</v>
      </c>
      <c r="BP1" s="6" t="s">
        <v>1461</v>
      </c>
      <c r="BQ1" s="6" t="s">
        <v>1462</v>
      </c>
      <c r="BR1" s="6" t="s">
        <v>1463</v>
      </c>
      <c r="BS1" s="6" t="s">
        <v>1464</v>
      </c>
      <c r="BT1" s="6" t="s">
        <v>1465</v>
      </c>
      <c r="BU1" s="6" t="s">
        <v>1466</v>
      </c>
    </row>
    <row r="2" spans="1:88" s="2" customFormat="1">
      <c r="A2" s="2" t="s">
        <v>0</v>
      </c>
      <c r="I2" s="43" t="s">
        <v>938</v>
      </c>
      <c r="J2" s="43" t="s">
        <v>939</v>
      </c>
      <c r="K2" s="43" t="s">
        <v>940</v>
      </c>
      <c r="M2" s="18" t="s">
        <v>941</v>
      </c>
      <c r="N2" s="43" t="s">
        <v>933</v>
      </c>
      <c r="O2" s="43" t="s">
        <v>934</v>
      </c>
      <c r="P2" s="43" t="s">
        <v>935</v>
      </c>
      <c r="R2" s="18" t="s">
        <v>936</v>
      </c>
      <c r="S2" s="43" t="s">
        <v>930</v>
      </c>
      <c r="T2" s="43" t="s">
        <v>931</v>
      </c>
      <c r="U2" s="43" t="s">
        <v>932</v>
      </c>
      <c r="W2" s="18" t="s">
        <v>928</v>
      </c>
      <c r="X2" s="43" t="s">
        <v>160</v>
      </c>
      <c r="Y2" s="43" t="s">
        <v>161</v>
      </c>
      <c r="Z2" s="43" t="s">
        <v>162</v>
      </c>
      <c r="AB2" s="18" t="s">
        <v>159</v>
      </c>
      <c r="AC2" s="43" t="s">
        <v>150</v>
      </c>
      <c r="AD2" s="43" t="s">
        <v>151</v>
      </c>
      <c r="AE2" s="43" t="s">
        <v>152</v>
      </c>
      <c r="AG2" s="18" t="s">
        <v>153</v>
      </c>
      <c r="AH2" s="43" t="s">
        <v>146</v>
      </c>
      <c r="AI2" s="43" t="s">
        <v>147</v>
      </c>
      <c r="AJ2" s="43" t="s">
        <v>148</v>
      </c>
      <c r="AL2" s="18" t="s">
        <v>149</v>
      </c>
      <c r="AM2" s="43" t="s">
        <v>142</v>
      </c>
      <c r="AN2" s="43" t="s">
        <v>143</v>
      </c>
      <c r="AO2" s="43" t="s">
        <v>144</v>
      </c>
      <c r="AQ2" s="18" t="s">
        <v>145</v>
      </c>
      <c r="AR2" s="43" t="s">
        <v>138</v>
      </c>
      <c r="AS2" s="43" t="s">
        <v>139</v>
      </c>
      <c r="AT2" s="43" t="s">
        <v>140</v>
      </c>
      <c r="AV2" s="18" t="s">
        <v>141</v>
      </c>
      <c r="AW2" s="43" t="s">
        <v>126</v>
      </c>
      <c r="AX2" s="43" t="s">
        <v>127</v>
      </c>
      <c r="AY2" s="43" t="s">
        <v>128</v>
      </c>
      <c r="BA2" s="18" t="s">
        <v>79</v>
      </c>
      <c r="BB2" s="43" t="s">
        <v>129</v>
      </c>
      <c r="BC2" s="43" t="s">
        <v>130</v>
      </c>
      <c r="BD2" s="43" t="s">
        <v>131</v>
      </c>
      <c r="BF2" s="18" t="s">
        <v>90</v>
      </c>
      <c r="BG2" s="43" t="s">
        <v>700</v>
      </c>
      <c r="BH2" s="43" t="s">
        <v>701</v>
      </c>
      <c r="BI2" s="43" t="s">
        <v>702</v>
      </c>
      <c r="BK2" s="18" t="s">
        <v>699</v>
      </c>
      <c r="BL2" s="43" t="s">
        <v>1177</v>
      </c>
      <c r="BM2" s="43" t="s">
        <v>1178</v>
      </c>
      <c r="BN2" s="43" t="s">
        <v>1179</v>
      </c>
      <c r="BP2" s="18" t="s">
        <v>1180</v>
      </c>
      <c r="BQ2" s="43" t="s">
        <v>1189</v>
      </c>
      <c r="BR2" s="43" t="s">
        <v>1190</v>
      </c>
      <c r="BS2" s="43" t="s">
        <v>1191</v>
      </c>
      <c r="BU2" s="18" t="s">
        <v>1198</v>
      </c>
      <c r="BW2" s="46"/>
    </row>
    <row r="3" spans="1:88" s="2" customFormat="1">
      <c r="A3" s="2" t="s">
        <v>949</v>
      </c>
      <c r="I3" s="6" t="s">
        <v>922</v>
      </c>
      <c r="J3" s="6" t="s">
        <v>921</v>
      </c>
      <c r="K3" s="6" t="s">
        <v>920</v>
      </c>
      <c r="L3" s="6" t="s">
        <v>919</v>
      </c>
      <c r="M3" s="6" t="s">
        <v>942</v>
      </c>
      <c r="N3" s="6" t="s">
        <v>917</v>
      </c>
      <c r="O3" s="6" t="s">
        <v>915</v>
      </c>
      <c r="P3" s="6" t="s">
        <v>913</v>
      </c>
      <c r="Q3" s="6" t="s">
        <v>918</v>
      </c>
      <c r="R3" s="6" t="s">
        <v>937</v>
      </c>
      <c r="S3" s="6" t="s">
        <v>916</v>
      </c>
      <c r="T3" s="6" t="s">
        <v>914</v>
      </c>
      <c r="U3" s="6" t="s">
        <v>858</v>
      </c>
      <c r="V3" s="6" t="s">
        <v>857</v>
      </c>
      <c r="W3" s="6" t="s">
        <v>929</v>
      </c>
      <c r="X3" s="6" t="s">
        <v>194</v>
      </c>
      <c r="Y3" s="6" t="s">
        <v>195</v>
      </c>
      <c r="Z3" s="6" t="s">
        <v>196</v>
      </c>
      <c r="AA3" s="6" t="s">
        <v>197</v>
      </c>
      <c r="AB3" s="6" t="s">
        <v>198</v>
      </c>
      <c r="AC3" s="6" t="s">
        <v>163</v>
      </c>
      <c r="AD3" s="6" t="s">
        <v>164</v>
      </c>
      <c r="AE3" s="6" t="s">
        <v>165</v>
      </c>
      <c r="AF3" s="6" t="s">
        <v>166</v>
      </c>
      <c r="AG3" s="6" t="s">
        <v>167</v>
      </c>
      <c r="AH3" s="6" t="s">
        <v>154</v>
      </c>
      <c r="AI3" s="6" t="s">
        <v>155</v>
      </c>
      <c r="AJ3" s="6" t="s">
        <v>156</v>
      </c>
      <c r="AK3" s="6" t="s">
        <v>157</v>
      </c>
      <c r="AL3" s="6" t="s">
        <v>158</v>
      </c>
      <c r="AM3" s="6" t="s">
        <v>133</v>
      </c>
      <c r="AN3" s="6" t="s">
        <v>134</v>
      </c>
      <c r="AO3" s="6" t="s">
        <v>135</v>
      </c>
      <c r="AP3" s="6" t="s">
        <v>136</v>
      </c>
      <c r="AQ3" s="6" t="s">
        <v>137</v>
      </c>
      <c r="AR3" s="6" t="s">
        <v>74</v>
      </c>
      <c r="AS3" s="6" t="s">
        <v>75</v>
      </c>
      <c r="AT3" s="6" t="s">
        <v>76</v>
      </c>
      <c r="AU3" s="6" t="s">
        <v>77</v>
      </c>
      <c r="AV3" s="6" t="s">
        <v>78</v>
      </c>
      <c r="AW3" s="6" t="s">
        <v>10</v>
      </c>
      <c r="AX3" s="6" t="s">
        <v>11</v>
      </c>
      <c r="AY3" s="6" t="s">
        <v>12</v>
      </c>
      <c r="AZ3" s="6" t="s">
        <v>13</v>
      </c>
      <c r="BA3" s="6" t="s">
        <v>14</v>
      </c>
      <c r="BB3" s="6" t="s">
        <v>91</v>
      </c>
      <c r="BC3" s="6" t="s">
        <v>92</v>
      </c>
      <c r="BD3" s="6" t="s">
        <v>93</v>
      </c>
      <c r="BE3" s="6" t="s">
        <v>94</v>
      </c>
      <c r="BF3" s="6" t="s">
        <v>95</v>
      </c>
      <c r="BG3" s="6" t="s">
        <v>686</v>
      </c>
      <c r="BH3" s="6" t="s">
        <v>695</v>
      </c>
      <c r="BI3" s="6" t="s">
        <v>696</v>
      </c>
      <c r="BJ3" s="6" t="s">
        <v>697</v>
      </c>
      <c r="BK3" s="6" t="s">
        <v>698</v>
      </c>
      <c r="BL3" s="6" t="s">
        <v>1172</v>
      </c>
      <c r="BM3" s="6" t="s">
        <v>1173</v>
      </c>
      <c r="BN3" s="6" t="s">
        <v>1174</v>
      </c>
      <c r="BO3" s="6" t="s">
        <v>1175</v>
      </c>
      <c r="BP3" s="6" t="s">
        <v>1176</v>
      </c>
      <c r="BQ3" s="6" t="s">
        <v>1184</v>
      </c>
      <c r="BR3" s="6" t="s">
        <v>1185</v>
      </c>
      <c r="BS3" s="6" t="s">
        <v>1186</v>
      </c>
      <c r="BT3" s="6" t="s">
        <v>1187</v>
      </c>
      <c r="BU3" s="6" t="s">
        <v>1188</v>
      </c>
      <c r="BW3" s="241" t="s">
        <v>1477</v>
      </c>
      <c r="BY3" s="6" t="s">
        <v>158</v>
      </c>
      <c r="BZ3" s="6" t="s">
        <v>137</v>
      </c>
      <c r="CA3" s="6" t="s">
        <v>78</v>
      </c>
      <c r="CB3" s="6" t="s">
        <v>14</v>
      </c>
      <c r="CC3" s="6" t="s">
        <v>95</v>
      </c>
      <c r="CD3" s="6" t="s">
        <v>698</v>
      </c>
      <c r="CE3" s="6" t="s">
        <v>1176</v>
      </c>
      <c r="CF3" s="6" t="s">
        <v>1188</v>
      </c>
      <c r="CG3" s="6" t="s">
        <v>1197</v>
      </c>
      <c r="CH3" s="6" t="s">
        <v>1208</v>
      </c>
      <c r="CI3" s="6" t="s">
        <v>1218</v>
      </c>
      <c r="CJ3" s="6" t="s">
        <v>1225</v>
      </c>
    </row>
    <row r="5" spans="1:88" s="2" customFormat="1">
      <c r="A5" s="4" t="s">
        <v>2181</v>
      </c>
      <c r="BW5" s="46"/>
    </row>
    <row r="7" spans="1:88" s="3" customFormat="1">
      <c r="A7" s="3" t="s">
        <v>950</v>
      </c>
      <c r="BW7" s="47"/>
    </row>
    <row r="8" spans="1:88">
      <c r="AE8" s="22" t="s">
        <v>1000</v>
      </c>
    </row>
    <row r="9" spans="1:88">
      <c r="A9" s="1" t="s">
        <v>943</v>
      </c>
      <c r="AK9" s="150" t="s">
        <v>997</v>
      </c>
    </row>
    <row r="10" spans="1:88" s="26" customFormat="1">
      <c r="A10" s="29" t="s">
        <v>704</v>
      </c>
      <c r="AC10" s="287"/>
      <c r="AD10" s="287"/>
      <c r="AE10" s="610">
        <v>12.11</v>
      </c>
      <c r="AF10" s="610">
        <v>13.06</v>
      </c>
      <c r="AG10" s="287">
        <f>AF10</f>
        <v>13.06</v>
      </c>
      <c r="AH10" s="610">
        <v>11.28</v>
      </c>
      <c r="AI10" s="610">
        <f>13.35-0.95</f>
        <v>12.4</v>
      </c>
      <c r="AJ10" s="610">
        <f>16.08-1.23</f>
        <v>14.849999999999998</v>
      </c>
      <c r="AK10" s="610">
        <f>14.68-1.72-1.49</f>
        <v>11.469999999999999</v>
      </c>
      <c r="AL10" s="287">
        <f>AK10</f>
        <v>11.469999999999999</v>
      </c>
      <c r="AM10" s="610">
        <v>12.63</v>
      </c>
      <c r="AN10" s="610">
        <v>18.55</v>
      </c>
      <c r="AO10" s="610">
        <v>13.13</v>
      </c>
      <c r="AP10" s="610">
        <v>12.75</v>
      </c>
      <c r="AQ10" s="287">
        <f>AP10</f>
        <v>12.75</v>
      </c>
      <c r="AR10" s="610">
        <v>12.38</v>
      </c>
      <c r="AS10" s="610">
        <v>7.27</v>
      </c>
      <c r="AT10" s="610">
        <v>5.97</v>
      </c>
      <c r="AU10" s="610">
        <v>5.23</v>
      </c>
      <c r="AV10" s="287">
        <f>AU10</f>
        <v>5.23</v>
      </c>
      <c r="AW10" s="610">
        <v>4.4800000000000004</v>
      </c>
      <c r="AX10" s="610">
        <v>3.03</v>
      </c>
      <c r="AY10" s="610">
        <v>2.0499999999999998</v>
      </c>
      <c r="AZ10" s="610">
        <v>0.71</v>
      </c>
      <c r="BA10" s="287">
        <f>AZ10</f>
        <v>0.71</v>
      </c>
      <c r="BB10" s="610">
        <v>0.02</v>
      </c>
      <c r="BC10" s="610">
        <v>0.01</v>
      </c>
      <c r="BD10" s="610">
        <v>0.01</v>
      </c>
      <c r="BE10" s="610">
        <v>0.01</v>
      </c>
      <c r="BF10" s="287">
        <f>BE10</f>
        <v>0.01</v>
      </c>
      <c r="BG10" s="610">
        <v>0.01</v>
      </c>
      <c r="BH10" s="610">
        <v>0.01</v>
      </c>
      <c r="BI10" s="610">
        <v>0.01</v>
      </c>
      <c r="BJ10" s="610">
        <v>0.01</v>
      </c>
      <c r="BK10" s="287">
        <f t="shared" ref="BK10:BK16" si="0">BJ10</f>
        <v>0.01</v>
      </c>
      <c r="BL10" s="610">
        <v>0.01</v>
      </c>
      <c r="BM10" s="610">
        <v>0</v>
      </c>
      <c r="BN10" s="610">
        <v>0</v>
      </c>
      <c r="BO10" s="287">
        <f>BO54*BO$79/1000</f>
        <v>0</v>
      </c>
      <c r="BP10" s="287">
        <f t="shared" ref="BP10:BP16" si="1">BO10</f>
        <v>0</v>
      </c>
      <c r="BQ10" s="287">
        <f t="shared" ref="BQ10:BT10" si="2">BQ54*BQ$79/1000</f>
        <v>0</v>
      </c>
      <c r="BR10" s="287">
        <f t="shared" si="2"/>
        <v>0</v>
      </c>
      <c r="BS10" s="287">
        <f t="shared" si="2"/>
        <v>0</v>
      </c>
      <c r="BT10" s="287">
        <f t="shared" si="2"/>
        <v>0</v>
      </c>
      <c r="BU10" s="287">
        <f t="shared" ref="BU10:BU16" si="3">BT10</f>
        <v>0</v>
      </c>
      <c r="BW10" s="328"/>
    </row>
    <row r="11" spans="1:88">
      <c r="A11" s="5" t="s">
        <v>999</v>
      </c>
      <c r="AC11" s="24"/>
      <c r="AD11" s="24"/>
      <c r="AE11" s="253">
        <f>4.33+0.59</f>
        <v>4.92</v>
      </c>
      <c r="AF11" s="253">
        <f>4.46+0.62</f>
        <v>5.08</v>
      </c>
      <c r="AG11" s="24">
        <f>AF11</f>
        <v>5.08</v>
      </c>
      <c r="AH11" s="253">
        <v>4.7</v>
      </c>
      <c r="AI11" s="253">
        <v>4.79</v>
      </c>
      <c r="AJ11" s="253">
        <v>4.79</v>
      </c>
      <c r="AK11" s="253">
        <v>4.4800000000000004</v>
      </c>
      <c r="AL11" s="24">
        <f>AK11</f>
        <v>4.4800000000000004</v>
      </c>
      <c r="AM11" s="253">
        <v>3.55</v>
      </c>
      <c r="AN11" s="253">
        <v>1.76</v>
      </c>
      <c r="AO11" s="253">
        <v>1.98</v>
      </c>
      <c r="AP11" s="253">
        <v>2.2599999999999998</v>
      </c>
      <c r="AQ11" s="24">
        <f>AP11</f>
        <v>2.2599999999999998</v>
      </c>
      <c r="AR11" s="253">
        <v>2.2799999999999998</v>
      </c>
      <c r="AS11" s="253">
        <v>2.4</v>
      </c>
      <c r="AT11" s="253">
        <v>2.29</v>
      </c>
      <c r="AU11" s="253">
        <v>2.2400000000000002</v>
      </c>
      <c r="AV11" s="24">
        <f>AU11</f>
        <v>2.2400000000000002</v>
      </c>
      <c r="AW11" s="253">
        <v>2.39</v>
      </c>
      <c r="AX11" s="253">
        <v>2.21</v>
      </c>
      <c r="AY11" s="253">
        <v>2.29</v>
      </c>
      <c r="AZ11" s="253">
        <v>2.37</v>
      </c>
      <c r="BA11" s="24">
        <f>AZ11</f>
        <v>2.37</v>
      </c>
      <c r="BB11" s="253">
        <v>2.39</v>
      </c>
      <c r="BC11" s="253">
        <v>2.67</v>
      </c>
      <c r="BD11" s="253">
        <v>2.8</v>
      </c>
      <c r="BE11" s="253">
        <v>3.16</v>
      </c>
      <c r="BF11" s="24">
        <f>BE11</f>
        <v>3.16</v>
      </c>
      <c r="BG11" s="253">
        <v>3.2</v>
      </c>
      <c r="BH11" s="253">
        <v>3.06</v>
      </c>
      <c r="BI11" s="253">
        <v>3.31</v>
      </c>
      <c r="BJ11" s="253">
        <v>3.19</v>
      </c>
      <c r="BK11" s="24">
        <f t="shared" si="0"/>
        <v>3.19</v>
      </c>
      <c r="BL11" s="253">
        <v>3.47</v>
      </c>
      <c r="BM11" s="253">
        <v>3.37</v>
      </c>
      <c r="BN11" s="253">
        <v>2.92</v>
      </c>
      <c r="BO11" s="24">
        <f t="shared" ref="BO11" si="4">BO55*BO$79/1000</f>
        <v>2.8543356580827184</v>
      </c>
      <c r="BP11" s="24">
        <f t="shared" si="1"/>
        <v>2.8543356580827184</v>
      </c>
      <c r="BQ11" s="24">
        <f t="shared" ref="BQ11:BT11" si="5">BQ55*BQ$79/1000</f>
        <v>2.8543356580827188</v>
      </c>
      <c r="BR11" s="24">
        <f t="shared" si="5"/>
        <v>2.8543356580827193</v>
      </c>
      <c r="BS11" s="24">
        <f t="shared" si="5"/>
        <v>2.8543356580827197</v>
      </c>
      <c r="BT11" s="24">
        <f t="shared" si="5"/>
        <v>2.8543356580827188</v>
      </c>
      <c r="BU11" s="24">
        <f t="shared" si="3"/>
        <v>2.8543356580827188</v>
      </c>
    </row>
    <row r="12" spans="1:88">
      <c r="A12" s="34" t="s">
        <v>84</v>
      </c>
      <c r="AC12" s="24"/>
      <c r="AD12" s="24"/>
      <c r="AE12" s="24"/>
      <c r="AF12" s="24"/>
      <c r="AG12" s="24"/>
      <c r="AH12" s="24"/>
      <c r="AI12" s="24"/>
      <c r="AJ12" s="24"/>
      <c r="AK12" s="24"/>
      <c r="AL12" s="24"/>
      <c r="AM12" s="254">
        <v>2.74</v>
      </c>
      <c r="AN12" s="254">
        <v>2.85</v>
      </c>
      <c r="AO12" s="254">
        <v>4.2300000000000004</v>
      </c>
      <c r="AP12" s="254">
        <v>6.2</v>
      </c>
      <c r="AQ12" s="24">
        <f>AP12</f>
        <v>6.2</v>
      </c>
      <c r="AR12" s="254">
        <v>6.19</v>
      </c>
      <c r="AS12" s="254">
        <v>5.12</v>
      </c>
      <c r="AT12" s="254">
        <v>5.19</v>
      </c>
      <c r="AU12" s="254">
        <v>3.99</v>
      </c>
      <c r="AV12" s="24">
        <f>AU12</f>
        <v>3.99</v>
      </c>
      <c r="AW12" s="254">
        <v>3.41</v>
      </c>
      <c r="AX12" s="254">
        <v>3.27</v>
      </c>
      <c r="AY12" s="254">
        <v>2.79</v>
      </c>
      <c r="AZ12" s="254">
        <v>2.8</v>
      </c>
      <c r="BA12" s="24">
        <f>AZ12</f>
        <v>2.8</v>
      </c>
      <c r="BB12" s="254">
        <v>3.03</v>
      </c>
      <c r="BC12" s="254">
        <v>3.29</v>
      </c>
      <c r="BD12" s="254">
        <v>3.25</v>
      </c>
      <c r="BE12" s="254">
        <v>3.44</v>
      </c>
      <c r="BF12" s="24">
        <f>BE12</f>
        <v>3.44</v>
      </c>
      <c r="BG12" s="254">
        <v>3.88</v>
      </c>
      <c r="BH12" s="254">
        <v>3.65</v>
      </c>
      <c r="BI12" s="254">
        <v>3.95</v>
      </c>
      <c r="BJ12" s="254">
        <v>3.68</v>
      </c>
      <c r="BK12" s="24">
        <f t="shared" si="0"/>
        <v>3.68</v>
      </c>
      <c r="BL12" s="254">
        <v>3.8</v>
      </c>
      <c r="BM12" s="254">
        <v>3.96</v>
      </c>
      <c r="BN12" s="254">
        <v>3.79</v>
      </c>
      <c r="BO12" s="24">
        <f t="shared" ref="BO12" si="6">BO56*BO$79/1000</f>
        <v>3.5905649999999998</v>
      </c>
      <c r="BP12" s="24">
        <f t="shared" si="1"/>
        <v>3.5905649999999998</v>
      </c>
      <c r="BQ12" s="24">
        <f t="shared" ref="BQ12:BT12" si="7">BQ56*BQ$79/1000</f>
        <v>3.3283705000000006</v>
      </c>
      <c r="BR12" s="24">
        <f t="shared" si="7"/>
        <v>3.0721130000000003</v>
      </c>
      <c r="BS12" s="24">
        <f t="shared" si="7"/>
        <v>2.8202175</v>
      </c>
      <c r="BT12" s="24">
        <f t="shared" si="7"/>
        <v>2.5688224999999996</v>
      </c>
      <c r="BU12" s="24">
        <f t="shared" si="3"/>
        <v>2.5688224999999996</v>
      </c>
    </row>
    <row r="13" spans="1:88" s="26" customFormat="1" outlineLevel="1">
      <c r="A13" s="806" t="s">
        <v>2964</v>
      </c>
      <c r="AC13" s="287"/>
      <c r="AD13" s="287"/>
      <c r="AE13" s="287"/>
      <c r="AF13" s="287"/>
      <c r="AG13" s="287"/>
      <c r="AH13" s="287"/>
      <c r="AI13" s="287"/>
      <c r="AJ13" s="287"/>
      <c r="AK13" s="287"/>
      <c r="AL13" s="287"/>
      <c r="AM13" s="287"/>
      <c r="AN13" s="287"/>
      <c r="AO13" s="287"/>
      <c r="AP13" s="287"/>
      <c r="AQ13" s="287"/>
      <c r="AR13" s="287"/>
      <c r="AS13" s="287"/>
      <c r="AT13" s="287"/>
      <c r="AU13" s="287"/>
      <c r="AV13" s="287"/>
      <c r="AW13" s="287"/>
      <c r="AX13" s="287"/>
      <c r="AY13" s="287"/>
      <c r="AZ13" s="287"/>
      <c r="BA13" s="287"/>
      <c r="BB13" s="287"/>
      <c r="BC13" s="287"/>
      <c r="BD13" s="287"/>
      <c r="BE13" s="287"/>
      <c r="BF13" s="287"/>
      <c r="BG13" s="287">
        <f t="shared" ref="BG13:BJ14" si="8">BG57*BG$79/1000</f>
        <v>0</v>
      </c>
      <c r="BH13" s="287">
        <f t="shared" si="8"/>
        <v>7.1364999999999998E-2</v>
      </c>
      <c r="BI13" s="287">
        <f t="shared" si="8"/>
        <v>7.9090000000000008E-2</v>
      </c>
      <c r="BJ13" s="287">
        <f t="shared" si="8"/>
        <v>0.49236840764331219</v>
      </c>
      <c r="BK13" s="287">
        <f t="shared" si="0"/>
        <v>0.49236840764331219</v>
      </c>
      <c r="BL13" s="287">
        <f t="shared" ref="BL13:BL14" si="9">BL57*BL$79/1000</f>
        <v>1.5629334076433119</v>
      </c>
      <c r="BM13" s="287">
        <f t="shared" ref="BM13:BO15" si="10">BM57*BM$79/1000</f>
        <v>3.6773359999999999</v>
      </c>
      <c r="BN13" s="287">
        <f t="shared" si="10"/>
        <v>8.516864</v>
      </c>
      <c r="BO13" s="287">
        <f t="shared" si="10"/>
        <v>8.4374399999999987</v>
      </c>
      <c r="BP13" s="287">
        <f t="shared" si="1"/>
        <v>8.4374399999999987</v>
      </c>
      <c r="BQ13" s="287">
        <f t="shared" ref="BQ13:BT13" si="11">BQ57*BQ$79/1000</f>
        <v>13.222982500000001</v>
      </c>
      <c r="BR13" s="287">
        <f t="shared" si="11"/>
        <v>15.036535000000002</v>
      </c>
      <c r="BS13" s="287">
        <f t="shared" si="11"/>
        <v>16.840507500000001</v>
      </c>
      <c r="BT13" s="287">
        <f t="shared" si="11"/>
        <v>16.796737499999999</v>
      </c>
      <c r="BU13" s="287">
        <f t="shared" si="3"/>
        <v>16.796737499999999</v>
      </c>
      <c r="BW13" s="328"/>
    </row>
    <row r="14" spans="1:88" s="26" customFormat="1" outlineLevel="1">
      <c r="A14" s="806" t="s">
        <v>2963</v>
      </c>
      <c r="AC14" s="287"/>
      <c r="AD14" s="287"/>
      <c r="AE14" s="287"/>
      <c r="AF14" s="287"/>
      <c r="AG14" s="287"/>
      <c r="AH14" s="287"/>
      <c r="AI14" s="287"/>
      <c r="AJ14" s="287"/>
      <c r="AK14" s="287"/>
      <c r="AL14" s="287"/>
      <c r="AM14" s="287"/>
      <c r="AN14" s="287"/>
      <c r="AO14" s="287"/>
      <c r="AP14" s="287"/>
      <c r="AQ14" s="287"/>
      <c r="AR14" s="287"/>
      <c r="AS14" s="287"/>
      <c r="AT14" s="287"/>
      <c r="AU14" s="287"/>
      <c r="AV14" s="287"/>
      <c r="AW14" s="287"/>
      <c r="AX14" s="287"/>
      <c r="AY14" s="287"/>
      <c r="AZ14" s="287"/>
      <c r="BA14" s="287"/>
      <c r="BB14" s="287"/>
      <c r="BC14" s="287"/>
      <c r="BD14" s="287"/>
      <c r="BE14" s="287"/>
      <c r="BF14" s="287"/>
      <c r="BG14" s="287">
        <f t="shared" si="8"/>
        <v>4.34</v>
      </c>
      <c r="BH14" s="287">
        <f t="shared" si="8"/>
        <v>3.9686350000000004</v>
      </c>
      <c r="BI14" s="287">
        <f t="shared" si="8"/>
        <v>4.4409099999999997</v>
      </c>
      <c r="BJ14" s="287">
        <f t="shared" si="8"/>
        <v>4.2776315923566868</v>
      </c>
      <c r="BK14" s="287">
        <f t="shared" si="0"/>
        <v>4.2776315923566868</v>
      </c>
      <c r="BL14" s="287">
        <f t="shared" si="9"/>
        <v>4.2970665923566882</v>
      </c>
      <c r="BM14" s="287">
        <f t="shared" si="10"/>
        <v>4.5826640000000003</v>
      </c>
      <c r="BN14" s="287">
        <f t="shared" si="10"/>
        <v>4.6531360000000008</v>
      </c>
      <c r="BO14" s="287">
        <f t="shared" si="10"/>
        <v>4.4963490000000004</v>
      </c>
      <c r="BP14" s="287">
        <f t="shared" si="1"/>
        <v>4.4963490000000004</v>
      </c>
      <c r="BQ14" s="287">
        <f t="shared" ref="BQ14:BT14" si="12">BQ58*BQ$79/1000</f>
        <v>4.1382250000000029</v>
      </c>
      <c r="BR14" s="287">
        <f t="shared" si="12"/>
        <v>3.7973229999999982</v>
      </c>
      <c r="BS14" s="287">
        <f t="shared" si="12"/>
        <v>3.4804485000000014</v>
      </c>
      <c r="BT14" s="287">
        <f t="shared" si="12"/>
        <v>3.0815125000000028</v>
      </c>
      <c r="BU14" s="287">
        <f t="shared" si="3"/>
        <v>3.0815125000000028</v>
      </c>
      <c r="BW14" s="328"/>
    </row>
    <row r="15" spans="1:88">
      <c r="A15" s="34" t="s">
        <v>83</v>
      </c>
      <c r="AC15" s="24"/>
      <c r="AD15" s="24"/>
      <c r="AE15" s="24"/>
      <c r="AF15" s="24"/>
      <c r="AG15" s="24"/>
      <c r="AH15" s="24"/>
      <c r="AI15" s="24"/>
      <c r="AJ15" s="24"/>
      <c r="AK15" s="24"/>
      <c r="AL15" s="24"/>
      <c r="AM15" s="254">
        <v>0.22</v>
      </c>
      <c r="AN15" s="254">
        <v>0.82</v>
      </c>
      <c r="AO15" s="254">
        <v>0.96</v>
      </c>
      <c r="AP15" s="254">
        <v>1.31</v>
      </c>
      <c r="AQ15" s="24">
        <f>AP15</f>
        <v>1.31</v>
      </c>
      <c r="AR15" s="254">
        <v>2.85</v>
      </c>
      <c r="AS15" s="254">
        <v>4.04</v>
      </c>
      <c r="AT15" s="254">
        <v>4.83</v>
      </c>
      <c r="AU15" s="254">
        <v>4.96</v>
      </c>
      <c r="AV15" s="24">
        <f>AU15</f>
        <v>4.96</v>
      </c>
      <c r="AW15" s="254">
        <v>4.5</v>
      </c>
      <c r="AX15" s="254">
        <v>4.1900000000000004</v>
      </c>
      <c r="AY15" s="254">
        <v>3.71</v>
      </c>
      <c r="AZ15" s="254">
        <v>3.52</v>
      </c>
      <c r="BA15" s="24">
        <f>AZ15</f>
        <v>3.52</v>
      </c>
      <c r="BB15" s="254">
        <v>4.04</v>
      </c>
      <c r="BC15" s="254">
        <v>3.89</v>
      </c>
      <c r="BD15" s="254">
        <v>4.1399999999999997</v>
      </c>
      <c r="BE15" s="254">
        <v>4.42</v>
      </c>
      <c r="BF15" s="24">
        <f>BE15</f>
        <v>4.42</v>
      </c>
      <c r="BG15" s="254">
        <v>4.34</v>
      </c>
      <c r="BH15" s="254">
        <v>4.04</v>
      </c>
      <c r="BI15" s="254">
        <v>4.5199999999999996</v>
      </c>
      <c r="BJ15" s="254">
        <v>4.7699999999999996</v>
      </c>
      <c r="BK15" s="24">
        <f t="shared" si="0"/>
        <v>4.7699999999999996</v>
      </c>
      <c r="BL15" s="254">
        <v>5.86</v>
      </c>
      <c r="BM15" s="254">
        <v>8.26</v>
      </c>
      <c r="BN15" s="254">
        <v>13.17</v>
      </c>
      <c r="BO15" s="24">
        <f t="shared" si="10"/>
        <v>12.933788999999999</v>
      </c>
      <c r="BP15" s="24">
        <f t="shared" si="1"/>
        <v>12.933788999999999</v>
      </c>
      <c r="BQ15" s="24">
        <f t="shared" ref="BQ15:BT15" si="13">BQ59*BQ$79/1000</f>
        <v>17.361207500000003</v>
      </c>
      <c r="BR15" s="24">
        <f t="shared" si="13"/>
        <v>18.833857999999999</v>
      </c>
      <c r="BS15" s="24">
        <f t="shared" si="13"/>
        <v>20.320955999999999</v>
      </c>
      <c r="BT15" s="24">
        <f t="shared" si="13"/>
        <v>19.878250000000001</v>
      </c>
      <c r="BU15" s="24">
        <f t="shared" si="3"/>
        <v>19.878250000000001</v>
      </c>
    </row>
    <row r="16" spans="1:88">
      <c r="A16" s="34" t="s">
        <v>944</v>
      </c>
      <c r="AC16" s="24"/>
      <c r="AD16" s="24"/>
      <c r="AE16" s="24"/>
      <c r="AF16" s="24"/>
      <c r="AG16" s="24"/>
      <c r="AH16" s="24"/>
      <c r="AI16" s="24"/>
      <c r="AJ16" s="24"/>
      <c r="AK16" s="24"/>
      <c r="AL16" s="24"/>
      <c r="AM16" s="254">
        <v>0.15</v>
      </c>
      <c r="AN16" s="254">
        <v>0.22</v>
      </c>
      <c r="AO16" s="254">
        <v>0.32</v>
      </c>
      <c r="AP16" s="254">
        <v>0.44</v>
      </c>
      <c r="AQ16" s="24">
        <f>AP16</f>
        <v>0.44</v>
      </c>
      <c r="AR16" s="254">
        <v>0.77</v>
      </c>
      <c r="AS16" s="254">
        <v>0.85</v>
      </c>
      <c r="AT16" s="254">
        <v>0.94</v>
      </c>
      <c r="AU16" s="254">
        <v>1.1299999999999999</v>
      </c>
      <c r="AV16" s="24">
        <f>AU16</f>
        <v>1.1299999999999999</v>
      </c>
      <c r="AW16" s="254">
        <v>0.96</v>
      </c>
      <c r="AX16" s="254">
        <v>0.99</v>
      </c>
      <c r="AY16" s="254">
        <v>0.86</v>
      </c>
      <c r="AZ16" s="254">
        <v>0.79</v>
      </c>
      <c r="BA16" s="24">
        <f>AZ16</f>
        <v>0.79</v>
      </c>
      <c r="BB16" s="254">
        <v>0.91</v>
      </c>
      <c r="BC16" s="254">
        <v>0.94</v>
      </c>
      <c r="BD16" s="254">
        <v>0.91</v>
      </c>
      <c r="BE16" s="254">
        <v>0.97</v>
      </c>
      <c r="BF16" s="24">
        <f>BE16</f>
        <v>0.97</v>
      </c>
      <c r="BG16" s="254">
        <v>1.02</v>
      </c>
      <c r="BH16" s="254">
        <v>0.94</v>
      </c>
      <c r="BI16" s="254">
        <v>1.03</v>
      </c>
      <c r="BJ16" s="254">
        <v>0.95</v>
      </c>
      <c r="BK16" s="24">
        <f t="shared" si="0"/>
        <v>0.95</v>
      </c>
      <c r="BL16" s="254">
        <v>0.99</v>
      </c>
      <c r="BM16" s="254">
        <v>1.04</v>
      </c>
      <c r="BN16" s="254">
        <v>1.04</v>
      </c>
      <c r="BO16" s="24">
        <f t="shared" ref="BO16" si="14">BO60*BO$79/1000</f>
        <v>1.0504922999999999</v>
      </c>
      <c r="BP16" s="24">
        <f t="shared" si="1"/>
        <v>1.0504922999999999</v>
      </c>
      <c r="BQ16" s="24">
        <f t="shared" ref="BQ16:BT16" si="15">BQ60*BQ$79/1000</f>
        <v>1.0539711</v>
      </c>
      <c r="BR16" s="24">
        <f t="shared" si="15"/>
        <v>1.0535604000000001</v>
      </c>
      <c r="BS16" s="24">
        <f t="shared" si="15"/>
        <v>1.0529838</v>
      </c>
      <c r="BT16" s="24">
        <f t="shared" si="15"/>
        <v>1.044721</v>
      </c>
      <c r="BU16" s="24">
        <f t="shared" si="3"/>
        <v>1.044721</v>
      </c>
    </row>
    <row r="17" spans="1:75">
      <c r="A17" s="5" t="s">
        <v>945</v>
      </c>
      <c r="AC17" s="24"/>
      <c r="AD17" s="24"/>
      <c r="AE17" s="254">
        <v>2.7</v>
      </c>
      <c r="AF17" s="254">
        <v>3.15</v>
      </c>
      <c r="AG17" s="24">
        <f>AF17</f>
        <v>3.15</v>
      </c>
      <c r="AH17" s="254">
        <v>3.45</v>
      </c>
      <c r="AI17" s="254">
        <v>3.17</v>
      </c>
      <c r="AJ17" s="254">
        <v>3.15</v>
      </c>
      <c r="AK17" s="254">
        <v>2.61</v>
      </c>
      <c r="AL17" s="24">
        <f>AK17</f>
        <v>2.61</v>
      </c>
      <c r="AM17" s="24">
        <f>AM12+AM15+AM16</f>
        <v>3.1100000000000003</v>
      </c>
      <c r="AN17" s="24">
        <f t="shared" ref="AN17:BT17" si="16">AN12+AN15+AN16</f>
        <v>3.89</v>
      </c>
      <c r="AO17" s="24">
        <f t="shared" si="16"/>
        <v>5.5100000000000007</v>
      </c>
      <c r="AP17" s="24">
        <f t="shared" si="16"/>
        <v>7.95</v>
      </c>
      <c r="AQ17" s="24">
        <f t="shared" si="16"/>
        <v>7.95</v>
      </c>
      <c r="AR17" s="24">
        <f t="shared" si="16"/>
        <v>9.81</v>
      </c>
      <c r="AS17" s="24">
        <f t="shared" si="16"/>
        <v>10.01</v>
      </c>
      <c r="AT17" s="24">
        <f t="shared" si="16"/>
        <v>10.959999999999999</v>
      </c>
      <c r="AU17" s="24">
        <f t="shared" si="16"/>
        <v>10.079999999999998</v>
      </c>
      <c r="AV17" s="24">
        <f t="shared" si="16"/>
        <v>10.079999999999998</v>
      </c>
      <c r="AW17" s="24">
        <f t="shared" si="16"/>
        <v>8.870000000000001</v>
      </c>
      <c r="AX17" s="24">
        <f t="shared" si="16"/>
        <v>8.4500000000000011</v>
      </c>
      <c r="AY17" s="24">
        <f t="shared" si="16"/>
        <v>7.36</v>
      </c>
      <c r="AZ17" s="24">
        <f t="shared" si="16"/>
        <v>7.11</v>
      </c>
      <c r="BA17" s="24">
        <f t="shared" si="16"/>
        <v>7.11</v>
      </c>
      <c r="BB17" s="24">
        <f t="shared" si="16"/>
        <v>7.98</v>
      </c>
      <c r="BC17" s="24">
        <f t="shared" si="16"/>
        <v>8.1199999999999992</v>
      </c>
      <c r="BD17" s="24">
        <f t="shared" si="16"/>
        <v>8.2999999999999989</v>
      </c>
      <c r="BE17" s="24">
        <f t="shared" si="16"/>
        <v>8.83</v>
      </c>
      <c r="BF17" s="24">
        <f t="shared" si="16"/>
        <v>8.83</v>
      </c>
      <c r="BG17" s="24">
        <f t="shared" si="16"/>
        <v>9.2399999999999984</v>
      </c>
      <c r="BH17" s="24">
        <f t="shared" si="16"/>
        <v>8.629999999999999</v>
      </c>
      <c r="BI17" s="24">
        <f t="shared" si="16"/>
        <v>9.4999999999999982</v>
      </c>
      <c r="BJ17" s="24">
        <f t="shared" si="16"/>
        <v>9.3999999999999986</v>
      </c>
      <c r="BK17" s="24">
        <f t="shared" si="16"/>
        <v>9.3999999999999986</v>
      </c>
      <c r="BL17" s="24">
        <f t="shared" si="16"/>
        <v>10.65</v>
      </c>
      <c r="BM17" s="24">
        <f t="shared" si="16"/>
        <v>13.259999999999998</v>
      </c>
      <c r="BN17" s="24">
        <f t="shared" si="16"/>
        <v>18</v>
      </c>
      <c r="BO17" s="24">
        <f>BO12+BO15+BO16</f>
        <v>17.574846299999997</v>
      </c>
      <c r="BP17" s="24">
        <f t="shared" si="16"/>
        <v>17.574846299999997</v>
      </c>
      <c r="BQ17" s="24">
        <f t="shared" si="16"/>
        <v>21.743549100000003</v>
      </c>
      <c r="BR17" s="24">
        <f t="shared" si="16"/>
        <v>22.959531399999999</v>
      </c>
      <c r="BS17" s="24">
        <f t="shared" si="16"/>
        <v>24.194157300000001</v>
      </c>
      <c r="BT17" s="24">
        <f t="shared" si="16"/>
        <v>23.4917935</v>
      </c>
      <c r="BU17" s="24">
        <f t="shared" ref="BU17" si="17">BU12+BU15+BU16</f>
        <v>23.4917935</v>
      </c>
    </row>
    <row r="18" spans="1:75">
      <c r="A18" s="5" t="s">
        <v>998</v>
      </c>
      <c r="AC18" s="24"/>
      <c r="AD18" s="24"/>
      <c r="AE18" s="223">
        <v>2.69</v>
      </c>
      <c r="AF18" s="223">
        <v>2.82</v>
      </c>
      <c r="AG18" s="24">
        <f>AF18</f>
        <v>2.82</v>
      </c>
      <c r="AH18" s="223">
        <v>2.9</v>
      </c>
      <c r="AI18" s="223">
        <v>3.13</v>
      </c>
      <c r="AJ18" s="223">
        <v>3.23</v>
      </c>
      <c r="AK18" s="253">
        <v>3.17</v>
      </c>
      <c r="AL18" s="24">
        <f>AK18</f>
        <v>3.17</v>
      </c>
      <c r="AM18" s="253">
        <v>1.36</v>
      </c>
      <c r="AN18" s="253">
        <v>1.27</v>
      </c>
      <c r="AO18" s="253">
        <v>1.57</v>
      </c>
      <c r="AP18" s="253">
        <v>1.51</v>
      </c>
      <c r="AQ18" s="24">
        <f>AP18</f>
        <v>1.51</v>
      </c>
      <c r="AR18" s="253">
        <v>1.88</v>
      </c>
      <c r="AS18" s="253">
        <v>0.78</v>
      </c>
      <c r="AT18" s="253">
        <v>0.74</v>
      </c>
      <c r="AU18" s="253">
        <v>0.96</v>
      </c>
      <c r="AV18" s="24">
        <f>AU18</f>
        <v>0.96</v>
      </c>
      <c r="AW18" s="253">
        <v>1</v>
      </c>
      <c r="AX18" s="253">
        <v>1.1499999999999999</v>
      </c>
      <c r="AY18" s="253">
        <v>1.1499999999999999</v>
      </c>
      <c r="AZ18" s="253">
        <v>1.23</v>
      </c>
      <c r="BA18" s="24">
        <f>AZ18</f>
        <v>1.23</v>
      </c>
      <c r="BB18" s="253">
        <v>1.2</v>
      </c>
      <c r="BC18" s="253">
        <v>1.27</v>
      </c>
      <c r="BD18" s="253">
        <v>1.62</v>
      </c>
      <c r="BE18" s="253">
        <v>1.76</v>
      </c>
      <c r="BF18" s="24">
        <f>BE18</f>
        <v>1.76</v>
      </c>
      <c r="BG18" s="253">
        <v>2.42</v>
      </c>
      <c r="BH18" s="253">
        <v>2.5099999999999998</v>
      </c>
      <c r="BI18" s="253">
        <v>2.98</v>
      </c>
      <c r="BJ18" s="253">
        <v>3.4</v>
      </c>
      <c r="BK18" s="24">
        <f>BJ18</f>
        <v>3.4</v>
      </c>
      <c r="BL18" s="253">
        <v>2.2000000000000002</v>
      </c>
      <c r="BM18" s="253">
        <v>1.61</v>
      </c>
      <c r="BN18" s="253">
        <v>0.91</v>
      </c>
      <c r="BO18" s="24">
        <f t="shared" ref="BO18" si="18">BO62*BO$79/1000</f>
        <v>0.53629857600000019</v>
      </c>
      <c r="BP18" s="24">
        <f>BO18</f>
        <v>0.53629857600000019</v>
      </c>
      <c r="BQ18" s="24">
        <f t="shared" ref="BQ18:BT18" si="19">BQ62*BQ$79/1000</f>
        <v>0</v>
      </c>
      <c r="BR18" s="24">
        <f t="shared" si="19"/>
        <v>0</v>
      </c>
      <c r="BS18" s="24">
        <f t="shared" si="19"/>
        <v>0</v>
      </c>
      <c r="BT18" s="24">
        <f t="shared" si="19"/>
        <v>0</v>
      </c>
      <c r="BU18" s="24">
        <f>BT18</f>
        <v>0</v>
      </c>
    </row>
    <row r="19" spans="1:75" s="26" customFormat="1">
      <c r="A19" s="29" t="s">
        <v>88</v>
      </c>
      <c r="AC19" s="287"/>
      <c r="AD19" s="287"/>
      <c r="AE19" s="610"/>
      <c r="AF19" s="610"/>
      <c r="AG19" s="287"/>
      <c r="AH19" s="610"/>
      <c r="AI19" s="610"/>
      <c r="AJ19" s="610"/>
      <c r="AK19" s="610"/>
      <c r="AL19" s="287"/>
      <c r="AM19" s="610"/>
      <c r="AN19" s="610"/>
      <c r="AO19" s="610"/>
      <c r="AP19" s="610"/>
      <c r="AQ19" s="287"/>
      <c r="AR19" s="610"/>
      <c r="AS19" s="610">
        <v>0.51</v>
      </c>
      <c r="AT19" s="610">
        <v>0.08</v>
      </c>
      <c r="AU19" s="610">
        <v>0.1</v>
      </c>
      <c r="AV19" s="287">
        <f>AU19</f>
        <v>0.1</v>
      </c>
      <c r="AW19" s="610">
        <v>0.17</v>
      </c>
      <c r="AX19" s="610">
        <v>0.13</v>
      </c>
      <c r="AY19" s="610">
        <v>0.16</v>
      </c>
      <c r="AZ19" s="610">
        <v>0.28000000000000003</v>
      </c>
      <c r="BA19" s="287">
        <f>AZ19</f>
        <v>0.28000000000000003</v>
      </c>
      <c r="BB19" s="610">
        <v>0.23</v>
      </c>
      <c r="BC19" s="610">
        <v>0.23</v>
      </c>
      <c r="BD19" s="610">
        <v>0.28999999999999998</v>
      </c>
      <c r="BE19" s="610">
        <v>0.33</v>
      </c>
      <c r="BF19" s="287">
        <f>BE19</f>
        <v>0.33</v>
      </c>
      <c r="BG19" s="610">
        <v>0.37</v>
      </c>
      <c r="BH19" s="610">
        <v>0.37</v>
      </c>
      <c r="BI19" s="610">
        <v>0.38</v>
      </c>
      <c r="BJ19" s="610">
        <v>0.41</v>
      </c>
      <c r="BK19" s="287">
        <f>BJ19</f>
        <v>0.41</v>
      </c>
      <c r="BL19" s="610">
        <v>0.35</v>
      </c>
      <c r="BM19" s="610">
        <v>0.05</v>
      </c>
      <c r="BN19" s="610">
        <v>0</v>
      </c>
      <c r="BO19" s="287">
        <f t="shared" ref="BO19" si="20">BO63*BO$79/1000</f>
        <v>0</v>
      </c>
      <c r="BP19" s="287">
        <f>BO19</f>
        <v>0</v>
      </c>
      <c r="BQ19" s="287">
        <f t="shared" ref="BQ19:BT19" si="21">BQ63*BQ$79/1000</f>
        <v>0</v>
      </c>
      <c r="BR19" s="287">
        <f t="shared" si="21"/>
        <v>0</v>
      </c>
      <c r="BS19" s="287">
        <f t="shared" si="21"/>
        <v>0</v>
      </c>
      <c r="BT19" s="287">
        <f t="shared" si="21"/>
        <v>0</v>
      </c>
      <c r="BU19" s="287">
        <f>BT19</f>
        <v>0</v>
      </c>
      <c r="BW19" s="328"/>
    </row>
    <row r="20" spans="1:75">
      <c r="A20" s="5" t="s">
        <v>946</v>
      </c>
      <c r="AC20" s="24"/>
      <c r="AD20" s="24"/>
      <c r="AE20" s="253">
        <v>2.7</v>
      </c>
      <c r="AF20" s="253">
        <v>2.71</v>
      </c>
      <c r="AG20" s="24">
        <f>AF20</f>
        <v>2.71</v>
      </c>
      <c r="AH20" s="253">
        <v>2.62</v>
      </c>
      <c r="AI20" s="253">
        <v>2.68</v>
      </c>
      <c r="AJ20" s="253">
        <v>2.7</v>
      </c>
      <c r="AK20" s="253">
        <v>2.63</v>
      </c>
      <c r="AL20" s="24">
        <f>AK20</f>
        <v>2.63</v>
      </c>
      <c r="AM20" s="253">
        <v>2.65</v>
      </c>
      <c r="AN20" s="253">
        <v>2.6</v>
      </c>
      <c r="AO20" s="253">
        <v>2.5499999999999998</v>
      </c>
      <c r="AP20" s="253">
        <v>2.72</v>
      </c>
      <c r="AQ20" s="24">
        <f>AP20</f>
        <v>2.72</v>
      </c>
      <c r="AR20" s="253">
        <v>2.72</v>
      </c>
      <c r="AS20" s="253">
        <v>2.75</v>
      </c>
      <c r="AT20" s="253">
        <v>2.83</v>
      </c>
      <c r="AU20" s="253">
        <v>2.71</v>
      </c>
      <c r="AV20" s="24">
        <f>AU20</f>
        <v>2.71</v>
      </c>
      <c r="AW20" s="253">
        <v>2.96</v>
      </c>
      <c r="AX20" s="253">
        <v>3.13</v>
      </c>
      <c r="AY20" s="253">
        <v>2.63</v>
      </c>
      <c r="AZ20" s="253">
        <v>2.87</v>
      </c>
      <c r="BA20" s="24">
        <f>AZ20</f>
        <v>2.87</v>
      </c>
      <c r="BB20" s="253">
        <v>3.66</v>
      </c>
      <c r="BC20" s="253">
        <v>4.33</v>
      </c>
      <c r="BD20" s="253">
        <v>6.93</v>
      </c>
      <c r="BE20" s="253">
        <v>14.36</v>
      </c>
      <c r="BF20" s="24">
        <f>BE20</f>
        <v>14.36</v>
      </c>
      <c r="BG20" s="253">
        <v>21.02</v>
      </c>
      <c r="BH20" s="253">
        <v>16.5</v>
      </c>
      <c r="BI20" s="253">
        <v>15.42</v>
      </c>
      <c r="BJ20" s="253">
        <v>12.9</v>
      </c>
      <c r="BK20" s="24">
        <f>BJ20</f>
        <v>12.9</v>
      </c>
      <c r="BL20" s="253">
        <v>19.829999999999998</v>
      </c>
      <c r="BM20" s="253">
        <v>18.18</v>
      </c>
      <c r="BN20" s="253">
        <v>12.69</v>
      </c>
      <c r="BO20" s="24">
        <f t="shared" ref="BO20" si="22">BO64*BO$79/1000</f>
        <v>15.137569423009845</v>
      </c>
      <c r="BP20" s="24">
        <f>BO20</f>
        <v>15.137569423009845</v>
      </c>
      <c r="BQ20" s="24">
        <f t="shared" ref="BQ20:BT20" si="23">BQ64*BQ$79/1000</f>
        <v>15.098529914504343</v>
      </c>
      <c r="BR20" s="24">
        <f t="shared" si="23"/>
        <v>14.673740405998835</v>
      </c>
      <c r="BS20" s="24">
        <f t="shared" si="23"/>
        <v>14.250950897493329</v>
      </c>
      <c r="BT20" s="24">
        <f t="shared" si="23"/>
        <v>14.213911388987823</v>
      </c>
      <c r="BU20" s="24">
        <f>BT20</f>
        <v>14.213911388987823</v>
      </c>
    </row>
    <row r="21" spans="1:75">
      <c r="A21" s="5" t="s">
        <v>947</v>
      </c>
      <c r="AC21" s="24"/>
      <c r="AD21" s="24"/>
      <c r="AE21" s="253">
        <v>0.27</v>
      </c>
      <c r="AF21" s="253">
        <v>0.47</v>
      </c>
      <c r="AG21" s="24">
        <f>AF21</f>
        <v>0.47</v>
      </c>
      <c r="AH21" s="253">
        <v>0.9</v>
      </c>
      <c r="AI21" s="253">
        <v>0.76</v>
      </c>
      <c r="AJ21" s="253">
        <v>1.1399999999999999</v>
      </c>
      <c r="AK21" s="253">
        <v>0.88</v>
      </c>
      <c r="AL21" s="24">
        <f>AK21</f>
        <v>0.88</v>
      </c>
      <c r="AM21" s="24">
        <f>AM26</f>
        <v>1.54</v>
      </c>
      <c r="AN21" s="24">
        <f>AN26</f>
        <v>3.46</v>
      </c>
      <c r="AO21" s="24">
        <f>AO26</f>
        <v>3.3499999999999996</v>
      </c>
      <c r="AP21" s="24">
        <f>AP26</f>
        <v>3.21</v>
      </c>
      <c r="AQ21" s="24">
        <f>AP21</f>
        <v>3.21</v>
      </c>
      <c r="AR21" s="24">
        <f>AR26</f>
        <v>3.04</v>
      </c>
      <c r="AS21" s="24">
        <f>AS26</f>
        <v>1.98</v>
      </c>
      <c r="AT21" s="24">
        <f>AT26</f>
        <v>1.8</v>
      </c>
      <c r="AU21" s="24">
        <f>AU26</f>
        <v>1.8599999999999999</v>
      </c>
      <c r="AV21" s="24">
        <f>AU21</f>
        <v>1.8599999999999999</v>
      </c>
      <c r="AW21" s="253">
        <v>1.79</v>
      </c>
      <c r="AX21" s="253">
        <v>1.59</v>
      </c>
      <c r="AY21" s="253">
        <v>1.29</v>
      </c>
      <c r="AZ21" s="253">
        <v>1.3</v>
      </c>
      <c r="BA21" s="24">
        <f>AZ21</f>
        <v>1.3</v>
      </c>
      <c r="BB21" s="253">
        <v>1.42</v>
      </c>
      <c r="BC21" s="253">
        <v>1.73</v>
      </c>
      <c r="BD21" s="253">
        <v>1.77</v>
      </c>
      <c r="BE21" s="253">
        <v>1.89</v>
      </c>
      <c r="BF21" s="24">
        <f>BE21</f>
        <v>1.89</v>
      </c>
      <c r="BG21" s="253">
        <v>2</v>
      </c>
      <c r="BH21" s="253">
        <v>2.06</v>
      </c>
      <c r="BI21" s="253">
        <v>2.0699999999999998</v>
      </c>
      <c r="BJ21" s="253">
        <v>2.06</v>
      </c>
      <c r="BK21" s="24">
        <f>BJ21</f>
        <v>2.06</v>
      </c>
      <c r="BL21" s="253">
        <v>2.5299999999999998</v>
      </c>
      <c r="BM21" s="253">
        <v>3.39</v>
      </c>
      <c r="BN21" s="253">
        <v>4.46</v>
      </c>
      <c r="BO21" s="24">
        <f>BO65*BO$79/1000</f>
        <v>4.7832652165208502</v>
      </c>
      <c r="BP21" s="24">
        <f>BO21</f>
        <v>4.7832652165208502</v>
      </c>
      <c r="BQ21" s="24">
        <f t="shared" ref="BQ21:BT21" si="24">BQ65*BQ$79/1000</f>
        <v>4.8482792649630921</v>
      </c>
      <c r="BR21" s="24">
        <f t="shared" si="24"/>
        <v>5.7422558134053343</v>
      </c>
      <c r="BS21" s="24">
        <f t="shared" si="24"/>
        <v>6.2544773618475746</v>
      </c>
      <c r="BT21" s="24">
        <f t="shared" si="24"/>
        <v>6.3149714102898162</v>
      </c>
      <c r="BU21" s="24">
        <f>BT21</f>
        <v>6.3149714102898162</v>
      </c>
    </row>
    <row r="22" spans="1:75">
      <c r="A22" s="9" t="s">
        <v>948</v>
      </c>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30"/>
      <c r="AD22" s="30"/>
      <c r="AE22" s="30">
        <f t="shared" ref="AE22:BG22" si="25">SUM(AE10:AE11)+AE17+SUM(AE18:AE21)</f>
        <v>25.39</v>
      </c>
      <c r="AF22" s="30">
        <f t="shared" si="25"/>
        <v>27.29</v>
      </c>
      <c r="AG22" s="30">
        <f t="shared" si="25"/>
        <v>27.29</v>
      </c>
      <c r="AH22" s="30">
        <f t="shared" si="25"/>
        <v>25.85</v>
      </c>
      <c r="AI22" s="30">
        <f t="shared" si="25"/>
        <v>26.93</v>
      </c>
      <c r="AJ22" s="30">
        <f t="shared" si="25"/>
        <v>29.859999999999996</v>
      </c>
      <c r="AK22" s="30">
        <f t="shared" si="25"/>
        <v>25.24</v>
      </c>
      <c r="AL22" s="30">
        <f t="shared" si="25"/>
        <v>25.24</v>
      </c>
      <c r="AM22" s="30">
        <f t="shared" si="25"/>
        <v>24.84</v>
      </c>
      <c r="AN22" s="30">
        <f t="shared" si="25"/>
        <v>31.53</v>
      </c>
      <c r="AO22" s="30">
        <f t="shared" si="25"/>
        <v>28.09</v>
      </c>
      <c r="AP22" s="30">
        <f t="shared" si="25"/>
        <v>30.400000000000002</v>
      </c>
      <c r="AQ22" s="30">
        <f t="shared" si="25"/>
        <v>30.400000000000002</v>
      </c>
      <c r="AR22" s="30">
        <f t="shared" si="25"/>
        <v>32.11</v>
      </c>
      <c r="AS22" s="30">
        <f t="shared" si="25"/>
        <v>25.7</v>
      </c>
      <c r="AT22" s="30">
        <f t="shared" si="25"/>
        <v>24.669999999999998</v>
      </c>
      <c r="AU22" s="30">
        <f t="shared" si="25"/>
        <v>23.179999999999996</v>
      </c>
      <c r="AV22" s="30">
        <f t="shared" si="25"/>
        <v>23.179999999999996</v>
      </c>
      <c r="AW22" s="30">
        <f t="shared" si="25"/>
        <v>21.660000000000004</v>
      </c>
      <c r="AX22" s="30">
        <f t="shared" si="25"/>
        <v>19.690000000000001</v>
      </c>
      <c r="AY22" s="30">
        <f t="shared" si="25"/>
        <v>16.93</v>
      </c>
      <c r="AZ22" s="30">
        <f t="shared" si="25"/>
        <v>15.870000000000001</v>
      </c>
      <c r="BA22" s="30">
        <f t="shared" si="25"/>
        <v>15.870000000000001</v>
      </c>
      <c r="BB22" s="30">
        <f t="shared" si="25"/>
        <v>16.899999999999999</v>
      </c>
      <c r="BC22" s="30">
        <f t="shared" si="25"/>
        <v>18.36</v>
      </c>
      <c r="BD22" s="30">
        <f t="shared" si="25"/>
        <v>21.72</v>
      </c>
      <c r="BE22" s="30">
        <f t="shared" si="25"/>
        <v>30.34</v>
      </c>
      <c r="BF22" s="30">
        <f t="shared" ref="BF22" si="26">SUM(BF10:BF11)+BF17+SUM(BF18:BF21)</f>
        <v>30.34</v>
      </c>
      <c r="BG22" s="30">
        <f t="shared" si="25"/>
        <v>38.26</v>
      </c>
      <c r="BH22" s="30">
        <f t="shared" ref="BH22:BK22" si="27">SUM(BH10:BH11)+BH17+SUM(BH18:BH21)</f>
        <v>33.14</v>
      </c>
      <c r="BI22" s="30">
        <f t="shared" si="27"/>
        <v>33.67</v>
      </c>
      <c r="BJ22" s="30">
        <f t="shared" si="27"/>
        <v>31.369999999999997</v>
      </c>
      <c r="BK22" s="30">
        <f t="shared" si="27"/>
        <v>31.369999999999997</v>
      </c>
      <c r="BL22" s="30">
        <f t="shared" ref="BL22:BP22" si="28">SUM(BL10:BL11)+BL17+SUM(BL18:BL21)</f>
        <v>39.04</v>
      </c>
      <c r="BM22" s="30">
        <f t="shared" si="28"/>
        <v>39.86</v>
      </c>
      <c r="BN22" s="30">
        <f t="shared" si="28"/>
        <v>38.980000000000004</v>
      </c>
      <c r="BO22" s="30">
        <f t="shared" si="28"/>
        <v>40.886315173613411</v>
      </c>
      <c r="BP22" s="30">
        <f t="shared" si="28"/>
        <v>40.886315173613411</v>
      </c>
      <c r="BQ22" s="30">
        <f t="shared" ref="BQ22:BU22" si="29">SUM(BQ10:BQ11)+BQ17+SUM(BQ18:BQ21)</f>
        <v>44.544693937550157</v>
      </c>
      <c r="BR22" s="30">
        <f t="shared" si="29"/>
        <v>46.229863277486885</v>
      </c>
      <c r="BS22" s="30">
        <f t="shared" si="29"/>
        <v>47.553921217423621</v>
      </c>
      <c r="BT22" s="30">
        <f t="shared" si="29"/>
        <v>46.875011957360357</v>
      </c>
      <c r="BU22" s="30">
        <f t="shared" si="29"/>
        <v>46.875011957360357</v>
      </c>
    </row>
    <row r="24" spans="1:75">
      <c r="A24" s="5" t="s">
        <v>958</v>
      </c>
      <c r="AC24" s="24"/>
      <c r="AD24" s="24"/>
      <c r="AE24" s="24"/>
      <c r="AF24" s="24"/>
      <c r="AG24" s="24"/>
      <c r="AH24" s="24"/>
      <c r="AI24" s="24"/>
      <c r="AJ24" s="24"/>
      <c r="AK24" s="24"/>
      <c r="AL24" s="24"/>
      <c r="AM24" s="253">
        <v>0.35</v>
      </c>
      <c r="AN24" s="253">
        <v>2.25</v>
      </c>
      <c r="AO24" s="253">
        <v>2.11</v>
      </c>
      <c r="AP24" s="253">
        <v>1.66</v>
      </c>
      <c r="AQ24" s="24">
        <f>AP24</f>
        <v>1.66</v>
      </c>
      <c r="AR24" s="253">
        <v>1.47</v>
      </c>
      <c r="AS24" s="253">
        <v>0.73</v>
      </c>
      <c r="AT24" s="253">
        <v>0.76</v>
      </c>
      <c r="AU24" s="253">
        <v>0.57999999999999996</v>
      </c>
      <c r="AV24" s="24">
        <f>AU24</f>
        <v>0.57999999999999996</v>
      </c>
    </row>
    <row r="25" spans="1:75">
      <c r="A25" s="5" t="s">
        <v>947</v>
      </c>
      <c r="AC25" s="24"/>
      <c r="AD25" s="24"/>
      <c r="AE25" s="24"/>
      <c r="AF25" s="24"/>
      <c r="AG25" s="24"/>
      <c r="AH25" s="24"/>
      <c r="AI25" s="24"/>
      <c r="AJ25" s="24"/>
      <c r="AK25" s="24"/>
      <c r="AL25" s="24"/>
      <c r="AM25" s="253">
        <v>1.19</v>
      </c>
      <c r="AN25" s="253">
        <v>1.21</v>
      </c>
      <c r="AO25" s="253">
        <v>1.24</v>
      </c>
      <c r="AP25" s="253">
        <v>1.55</v>
      </c>
      <c r="AQ25" s="24">
        <f>AP25</f>
        <v>1.55</v>
      </c>
      <c r="AR25" s="253">
        <v>1.57</v>
      </c>
      <c r="AS25" s="253">
        <v>1.25</v>
      </c>
      <c r="AT25" s="253">
        <v>1.04</v>
      </c>
      <c r="AU25" s="253">
        <v>1.28</v>
      </c>
      <c r="AV25" s="24">
        <f>AU25</f>
        <v>1.28</v>
      </c>
    </row>
    <row r="26" spans="1:75">
      <c r="A26" s="9" t="s">
        <v>959</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30"/>
      <c r="AD26" s="30"/>
      <c r="AE26" s="30"/>
      <c r="AF26" s="30"/>
      <c r="AG26" s="30"/>
      <c r="AH26" s="30"/>
      <c r="AI26" s="30"/>
      <c r="AJ26" s="30"/>
      <c r="AK26" s="30"/>
      <c r="AL26" s="30"/>
      <c r="AM26" s="30">
        <f t="shared" ref="AM26:AV26" si="30">SUM(AM24:AM25)</f>
        <v>1.54</v>
      </c>
      <c r="AN26" s="30">
        <f t="shared" si="30"/>
        <v>3.46</v>
      </c>
      <c r="AO26" s="30">
        <f t="shared" si="30"/>
        <v>3.3499999999999996</v>
      </c>
      <c r="AP26" s="30">
        <f t="shared" si="30"/>
        <v>3.21</v>
      </c>
      <c r="AQ26" s="30">
        <f t="shared" si="30"/>
        <v>3.21</v>
      </c>
      <c r="AR26" s="30">
        <f t="shared" si="30"/>
        <v>3.04</v>
      </c>
      <c r="AS26" s="30">
        <f t="shared" si="30"/>
        <v>1.98</v>
      </c>
      <c r="AT26" s="30">
        <f t="shared" si="30"/>
        <v>1.8</v>
      </c>
      <c r="AU26" s="30">
        <f t="shared" si="30"/>
        <v>1.8599999999999999</v>
      </c>
      <c r="AV26" s="30">
        <f t="shared" si="30"/>
        <v>1.8599999999999999</v>
      </c>
    </row>
    <row r="28" spans="1:75">
      <c r="A28" s="5" t="s">
        <v>953</v>
      </c>
      <c r="AC28" s="24"/>
      <c r="AD28" s="24"/>
      <c r="AE28" s="253">
        <v>11.14</v>
      </c>
      <c r="AF28" s="253">
        <v>12.06</v>
      </c>
      <c r="AG28" s="24">
        <f t="shared" ref="AG28:AG30" si="31">AF28</f>
        <v>12.06</v>
      </c>
      <c r="AH28" s="253">
        <v>14.6</v>
      </c>
      <c r="AI28" s="253">
        <v>14.08</v>
      </c>
      <c r="AJ28" s="253">
        <v>15.7</v>
      </c>
      <c r="AK28" s="253">
        <v>11.03</v>
      </c>
      <c r="AL28" s="24">
        <f t="shared" ref="AL28:AL30" si="32">AK28</f>
        <v>11.03</v>
      </c>
      <c r="AM28" s="253">
        <v>9.9499999999999993</v>
      </c>
      <c r="AN28" s="253">
        <v>9.07</v>
      </c>
      <c r="AO28" s="253">
        <v>12.39</v>
      </c>
      <c r="AP28" s="253">
        <v>14.02</v>
      </c>
      <c r="AQ28" s="24">
        <f t="shared" ref="AQ28:AQ30" si="33">AP28</f>
        <v>14.02</v>
      </c>
      <c r="AR28" s="253">
        <v>15.87</v>
      </c>
      <c r="AS28" s="253">
        <v>16.07</v>
      </c>
      <c r="AT28" s="253">
        <v>16.75</v>
      </c>
      <c r="AU28" s="253">
        <v>17.100000000000001</v>
      </c>
      <c r="AV28" s="24">
        <f t="shared" ref="AV28:AV30" si="34">AU28</f>
        <v>17.100000000000001</v>
      </c>
      <c r="AW28" s="253">
        <v>17.920000000000002</v>
      </c>
      <c r="AX28" s="253">
        <v>14.13</v>
      </c>
      <c r="AY28" s="253">
        <v>13.48</v>
      </c>
      <c r="AZ28" s="253">
        <v>13.59</v>
      </c>
      <c r="BA28" s="24">
        <f t="shared" ref="BA28:BA30" si="35">AZ28</f>
        <v>13.59</v>
      </c>
      <c r="BB28" s="253">
        <v>14.7</v>
      </c>
      <c r="BC28" s="253">
        <v>14.68</v>
      </c>
      <c r="BD28" s="253">
        <v>14.76</v>
      </c>
      <c r="BE28" s="253">
        <v>14.89</v>
      </c>
      <c r="BF28" s="24">
        <f t="shared" ref="BF28:BF30" si="36">BE28</f>
        <v>14.89</v>
      </c>
      <c r="BG28" s="253">
        <v>15.62</v>
      </c>
      <c r="BH28" s="253">
        <v>15.43</v>
      </c>
      <c r="BI28" s="253">
        <v>14.63</v>
      </c>
      <c r="BJ28" s="253">
        <v>14.41</v>
      </c>
      <c r="BK28" s="24">
        <f t="shared" ref="BK28:BK30" si="37">BJ28</f>
        <v>14.41</v>
      </c>
      <c r="BL28" s="253">
        <v>14.75</v>
      </c>
      <c r="BM28" s="253">
        <v>14.41</v>
      </c>
      <c r="BN28" s="253">
        <v>18.559999999999999</v>
      </c>
    </row>
    <row r="29" spans="1:75">
      <c r="A29" s="5" t="s">
        <v>954</v>
      </c>
      <c r="AC29" s="24"/>
      <c r="AD29" s="24"/>
      <c r="AE29" s="253">
        <v>7.52</v>
      </c>
      <c r="AF29" s="253">
        <v>6.98</v>
      </c>
      <c r="AG29" s="24">
        <f t="shared" si="31"/>
        <v>6.98</v>
      </c>
      <c r="AH29" s="253">
        <v>8.39</v>
      </c>
      <c r="AI29" s="253">
        <v>8.56</v>
      </c>
      <c r="AJ29" s="253">
        <v>9.4700000000000006</v>
      </c>
      <c r="AK29" s="253">
        <v>4.57</v>
      </c>
      <c r="AL29" s="24">
        <f t="shared" si="32"/>
        <v>4.57</v>
      </c>
      <c r="AM29" s="253">
        <v>4.3</v>
      </c>
      <c r="AN29" s="253">
        <v>2.54</v>
      </c>
      <c r="AO29" s="253">
        <v>4.74</v>
      </c>
      <c r="AP29" s="253">
        <v>5.46</v>
      </c>
      <c r="AQ29" s="24">
        <f t="shared" si="33"/>
        <v>5.46</v>
      </c>
      <c r="AR29" s="253">
        <v>5.36</v>
      </c>
      <c r="AS29" s="253">
        <v>5.15</v>
      </c>
      <c r="AT29" s="253">
        <v>5.26</v>
      </c>
      <c r="AU29" s="253">
        <v>4.97</v>
      </c>
      <c r="AV29" s="24">
        <f t="shared" si="34"/>
        <v>4.97</v>
      </c>
      <c r="AW29" s="253">
        <v>5.9</v>
      </c>
      <c r="AX29" s="253">
        <v>5.63</v>
      </c>
      <c r="AY29" s="253">
        <v>5.37</v>
      </c>
      <c r="AZ29" s="253">
        <v>5.38</v>
      </c>
      <c r="BA29" s="24">
        <f t="shared" si="35"/>
        <v>5.38</v>
      </c>
      <c r="BB29" s="253">
        <v>5.76</v>
      </c>
      <c r="BC29" s="253">
        <v>4.7</v>
      </c>
      <c r="BD29" s="253">
        <v>4.74</v>
      </c>
      <c r="BE29" s="253">
        <v>4.5199999999999996</v>
      </c>
      <c r="BF29" s="24">
        <f t="shared" si="36"/>
        <v>4.5199999999999996</v>
      </c>
      <c r="BG29" s="253">
        <v>5.0999999999999996</v>
      </c>
      <c r="BH29" s="253">
        <v>5.16</v>
      </c>
      <c r="BI29" s="253">
        <v>4.97</v>
      </c>
      <c r="BJ29" s="253">
        <v>4.8899999999999997</v>
      </c>
      <c r="BK29" s="24">
        <f t="shared" si="37"/>
        <v>4.8899999999999997</v>
      </c>
      <c r="BL29" s="253">
        <v>5.36</v>
      </c>
      <c r="BM29" s="253">
        <v>5.31</v>
      </c>
      <c r="BN29" s="253">
        <v>5.51</v>
      </c>
    </row>
    <row r="30" spans="1:75">
      <c r="A30" s="5" t="s">
        <v>955</v>
      </c>
      <c r="AC30" s="24"/>
      <c r="AD30" s="24"/>
      <c r="AE30" s="253"/>
      <c r="AF30" s="253">
        <v>0.64</v>
      </c>
      <c r="AG30" s="24">
        <f t="shared" si="31"/>
        <v>0.64</v>
      </c>
      <c r="AH30" s="253">
        <v>1.31</v>
      </c>
      <c r="AI30" s="253">
        <v>0.99</v>
      </c>
      <c r="AJ30" s="253">
        <v>1.43</v>
      </c>
      <c r="AK30" s="253">
        <v>2.88</v>
      </c>
      <c r="AL30" s="24">
        <f t="shared" si="32"/>
        <v>2.88</v>
      </c>
      <c r="AM30" s="253">
        <v>3.48</v>
      </c>
      <c r="AN30" s="253">
        <v>2.89</v>
      </c>
      <c r="AO30" s="253">
        <v>3.62</v>
      </c>
      <c r="AP30" s="253">
        <v>4.8499999999999996</v>
      </c>
      <c r="AQ30" s="24">
        <f t="shared" si="33"/>
        <v>4.8499999999999996</v>
      </c>
      <c r="AR30" s="253">
        <v>5.4</v>
      </c>
      <c r="AS30" s="253">
        <v>6.11</v>
      </c>
      <c r="AT30" s="253">
        <v>6.17</v>
      </c>
      <c r="AU30" s="253">
        <v>7.41</v>
      </c>
      <c r="AV30" s="24">
        <f t="shared" si="34"/>
        <v>7.41</v>
      </c>
      <c r="AW30" s="253">
        <v>8.8699999999999992</v>
      </c>
      <c r="AX30" s="253">
        <v>5.54</v>
      </c>
      <c r="AY30" s="253">
        <v>5.03</v>
      </c>
      <c r="AZ30" s="253">
        <v>6.46</v>
      </c>
      <c r="BA30" s="24">
        <f t="shared" si="35"/>
        <v>6.46</v>
      </c>
      <c r="BB30" s="253">
        <v>7.59</v>
      </c>
      <c r="BC30" s="253">
        <v>8.0299999999999994</v>
      </c>
      <c r="BD30" s="253">
        <v>7.54</v>
      </c>
      <c r="BE30" s="253">
        <v>7.81</v>
      </c>
      <c r="BF30" s="24">
        <f t="shared" si="36"/>
        <v>7.81</v>
      </c>
      <c r="BG30" s="253">
        <v>7.53</v>
      </c>
      <c r="BH30" s="253">
        <v>6.14</v>
      </c>
      <c r="BI30" s="253">
        <v>5.33</v>
      </c>
      <c r="BJ30" s="253">
        <v>3.85</v>
      </c>
      <c r="BK30" s="24">
        <f t="shared" si="37"/>
        <v>3.85</v>
      </c>
      <c r="BL30" s="253">
        <v>2.75</v>
      </c>
      <c r="BM30" s="253">
        <v>2.54</v>
      </c>
      <c r="BN30" s="253">
        <v>5.01</v>
      </c>
    </row>
    <row r="31" spans="1:75">
      <c r="A31" s="9" t="s">
        <v>952</v>
      </c>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30"/>
      <c r="AD31" s="30"/>
      <c r="AE31" s="30">
        <f t="shared" ref="AE31:BE31" si="38">AE28-AE29-AE30</f>
        <v>3.620000000000001</v>
      </c>
      <c r="AF31" s="30">
        <f t="shared" si="38"/>
        <v>4.4400000000000004</v>
      </c>
      <c r="AG31" s="30">
        <f t="shared" si="38"/>
        <v>4.4400000000000004</v>
      </c>
      <c r="AH31" s="30">
        <f t="shared" si="38"/>
        <v>4.8999999999999986</v>
      </c>
      <c r="AI31" s="30">
        <f t="shared" si="38"/>
        <v>4.5299999999999994</v>
      </c>
      <c r="AJ31" s="30">
        <f t="shared" si="38"/>
        <v>4.7999999999999989</v>
      </c>
      <c r="AK31" s="30">
        <f t="shared" si="38"/>
        <v>3.5799999999999992</v>
      </c>
      <c r="AL31" s="30">
        <f t="shared" si="38"/>
        <v>3.5799999999999992</v>
      </c>
      <c r="AM31" s="30">
        <f t="shared" si="38"/>
        <v>2.1699999999999995</v>
      </c>
      <c r="AN31" s="30">
        <f t="shared" si="38"/>
        <v>3.64</v>
      </c>
      <c r="AO31" s="30">
        <f t="shared" si="38"/>
        <v>4.03</v>
      </c>
      <c r="AP31" s="30">
        <f t="shared" si="38"/>
        <v>3.7099999999999991</v>
      </c>
      <c r="AQ31" s="30">
        <f t="shared" si="38"/>
        <v>3.7099999999999991</v>
      </c>
      <c r="AR31" s="30">
        <f t="shared" si="38"/>
        <v>5.1099999999999977</v>
      </c>
      <c r="AS31" s="30">
        <f t="shared" si="38"/>
        <v>4.8099999999999996</v>
      </c>
      <c r="AT31" s="30">
        <f t="shared" si="38"/>
        <v>5.32</v>
      </c>
      <c r="AU31" s="30">
        <f t="shared" si="38"/>
        <v>4.7200000000000024</v>
      </c>
      <c r="AV31" s="30">
        <f t="shared" si="38"/>
        <v>4.7200000000000024</v>
      </c>
      <c r="AW31" s="30">
        <f t="shared" si="38"/>
        <v>3.1500000000000021</v>
      </c>
      <c r="AX31" s="30">
        <f t="shared" si="38"/>
        <v>2.96</v>
      </c>
      <c r="AY31" s="30">
        <f t="shared" si="38"/>
        <v>3.0799999999999992</v>
      </c>
      <c r="AZ31" s="30">
        <f t="shared" si="38"/>
        <v>1.7500000000000009</v>
      </c>
      <c r="BA31" s="30">
        <f t="shared" si="38"/>
        <v>1.7500000000000009</v>
      </c>
      <c r="BB31" s="30">
        <f t="shared" si="38"/>
        <v>1.3499999999999996</v>
      </c>
      <c r="BC31" s="30">
        <f t="shared" si="38"/>
        <v>1.9500000000000011</v>
      </c>
      <c r="BD31" s="30">
        <f t="shared" si="38"/>
        <v>2.4799999999999995</v>
      </c>
      <c r="BE31" s="30">
        <f t="shared" si="38"/>
        <v>2.5600000000000014</v>
      </c>
      <c r="BF31" s="30">
        <f t="shared" ref="BF31" si="39">BF28-BF29-BF30</f>
        <v>2.5600000000000014</v>
      </c>
      <c r="BG31" s="30">
        <f>BG28-BG29-BG30</f>
        <v>2.9899999999999993</v>
      </c>
      <c r="BH31" s="30">
        <f>BH28-BH29-BH30</f>
        <v>4.13</v>
      </c>
      <c r="BI31" s="30">
        <f>BI28-BI29-BI30</f>
        <v>4.33</v>
      </c>
      <c r="BJ31" s="30">
        <f>BJ28-BJ29-BJ30</f>
        <v>5.67</v>
      </c>
      <c r="BK31" s="30">
        <f t="shared" ref="BK31" si="40">BK28-BK29-BK30</f>
        <v>5.67</v>
      </c>
      <c r="BL31" s="30">
        <f>BL28-BL29-BL30</f>
        <v>6.6400000000000006</v>
      </c>
      <c r="BM31" s="30">
        <f>BM28-BM29-BM30</f>
        <v>6.5600000000000014</v>
      </c>
      <c r="BN31" s="30">
        <f>BN28-BN29-BN30</f>
        <v>8.0399999999999991</v>
      </c>
      <c r="BO31" s="30">
        <f>BO71*BO$79/1000</f>
        <v>7.9293499943791499</v>
      </c>
      <c r="BP31" s="30">
        <f>BO31</f>
        <v>7.9293499943791499</v>
      </c>
      <c r="BQ31" s="30">
        <f t="shared" ref="BQ31:BT31" si="41">BQ71*BQ$79/1000</f>
        <v>8.6429518490035768</v>
      </c>
      <c r="BR31" s="30">
        <f t="shared" si="41"/>
        <v>10.356479203628004</v>
      </c>
      <c r="BS31" s="30">
        <f t="shared" si="41"/>
        <v>12.014067058252428</v>
      </c>
      <c r="BT31" s="30">
        <f t="shared" si="41"/>
        <v>11.843923912876852</v>
      </c>
      <c r="BU31" s="30">
        <f>BT31</f>
        <v>11.843923912876852</v>
      </c>
    </row>
    <row r="33" spans="1:83">
      <c r="A33" s="9" t="s">
        <v>956</v>
      </c>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30"/>
      <c r="AD33" s="30"/>
      <c r="AE33" s="30">
        <f t="shared" ref="AE33:BD33" si="42">AE22-AE31</f>
        <v>21.77</v>
      </c>
      <c r="AF33" s="30">
        <f t="shared" si="42"/>
        <v>22.849999999999998</v>
      </c>
      <c r="AG33" s="30">
        <f t="shared" si="42"/>
        <v>22.849999999999998</v>
      </c>
      <c r="AH33" s="30">
        <f t="shared" si="42"/>
        <v>20.950000000000003</v>
      </c>
      <c r="AI33" s="30">
        <f t="shared" si="42"/>
        <v>22.4</v>
      </c>
      <c r="AJ33" s="30">
        <f t="shared" si="42"/>
        <v>25.059999999999995</v>
      </c>
      <c r="AK33" s="30">
        <f t="shared" si="42"/>
        <v>21.66</v>
      </c>
      <c r="AL33" s="30">
        <f t="shared" si="42"/>
        <v>21.66</v>
      </c>
      <c r="AM33" s="30">
        <f t="shared" si="42"/>
        <v>22.67</v>
      </c>
      <c r="AN33" s="30">
        <f t="shared" si="42"/>
        <v>27.89</v>
      </c>
      <c r="AO33" s="30">
        <f t="shared" si="42"/>
        <v>24.06</v>
      </c>
      <c r="AP33" s="30">
        <f t="shared" si="42"/>
        <v>26.690000000000005</v>
      </c>
      <c r="AQ33" s="30">
        <f t="shared" si="42"/>
        <v>26.690000000000005</v>
      </c>
      <c r="AR33" s="30">
        <f t="shared" si="42"/>
        <v>27</v>
      </c>
      <c r="AS33" s="30">
        <f t="shared" si="42"/>
        <v>20.89</v>
      </c>
      <c r="AT33" s="30">
        <f t="shared" si="42"/>
        <v>19.349999999999998</v>
      </c>
      <c r="AU33" s="30">
        <f t="shared" si="42"/>
        <v>18.459999999999994</v>
      </c>
      <c r="AV33" s="30">
        <f t="shared" si="42"/>
        <v>18.459999999999994</v>
      </c>
      <c r="AW33" s="30">
        <f t="shared" si="42"/>
        <v>18.510000000000002</v>
      </c>
      <c r="AX33" s="30">
        <f t="shared" si="42"/>
        <v>16.73</v>
      </c>
      <c r="AY33" s="30">
        <f t="shared" si="42"/>
        <v>13.850000000000001</v>
      </c>
      <c r="AZ33" s="30">
        <f t="shared" si="42"/>
        <v>14.120000000000001</v>
      </c>
      <c r="BA33" s="30">
        <f t="shared" si="42"/>
        <v>14.120000000000001</v>
      </c>
      <c r="BB33" s="30">
        <f t="shared" si="42"/>
        <v>15.549999999999999</v>
      </c>
      <c r="BC33" s="30">
        <f t="shared" si="42"/>
        <v>16.409999999999997</v>
      </c>
      <c r="BD33" s="30">
        <f t="shared" si="42"/>
        <v>19.239999999999998</v>
      </c>
      <c r="BE33" s="30">
        <f t="shared" ref="BE33:BG33" si="43">BE22-BE31</f>
        <v>27.779999999999998</v>
      </c>
      <c r="BF33" s="30">
        <f t="shared" si="43"/>
        <v>27.779999999999998</v>
      </c>
      <c r="BG33" s="30">
        <f t="shared" si="43"/>
        <v>35.269999999999996</v>
      </c>
      <c r="BH33" s="30">
        <f t="shared" ref="BH33" si="44">BH22-BH31</f>
        <v>29.01</v>
      </c>
      <c r="BI33" s="30">
        <f t="shared" ref="BI33:BK33" si="45">BI22-BI31</f>
        <v>29.340000000000003</v>
      </c>
      <c r="BJ33" s="30">
        <f t="shared" si="45"/>
        <v>25.699999999999996</v>
      </c>
      <c r="BK33" s="30">
        <f t="shared" si="45"/>
        <v>25.699999999999996</v>
      </c>
      <c r="BL33" s="30">
        <f t="shared" ref="BL33:BP33" si="46">BL22-BL31</f>
        <v>32.4</v>
      </c>
      <c r="BM33" s="30">
        <f t="shared" si="46"/>
        <v>33.299999999999997</v>
      </c>
      <c r="BN33" s="30">
        <f t="shared" si="46"/>
        <v>30.940000000000005</v>
      </c>
      <c r="BO33" s="30">
        <f t="shared" si="46"/>
        <v>32.95696517923426</v>
      </c>
      <c r="BP33" s="30">
        <f t="shared" si="46"/>
        <v>32.95696517923426</v>
      </c>
      <c r="BQ33" s="30">
        <f t="shared" ref="BQ33:BU33" si="47">BQ22-BQ31</f>
        <v>35.901742088546584</v>
      </c>
      <c r="BR33" s="30">
        <f t="shared" si="47"/>
        <v>35.87338407385888</v>
      </c>
      <c r="BS33" s="30">
        <f t="shared" si="47"/>
        <v>35.539854159171192</v>
      </c>
      <c r="BT33" s="30">
        <f t="shared" si="47"/>
        <v>35.031088044483504</v>
      </c>
      <c r="BU33" s="30">
        <f t="shared" si="47"/>
        <v>35.031088044483504</v>
      </c>
    </row>
    <row r="34" spans="1:83">
      <c r="A34" s="1" t="s">
        <v>969</v>
      </c>
      <c r="AE34" s="24">
        <f t="shared" ref="AE34:BD34" si="48">AE11+SUM(AE18:AE19)</f>
        <v>7.6099999999999994</v>
      </c>
      <c r="AF34" s="24">
        <f t="shared" si="48"/>
        <v>7.9</v>
      </c>
      <c r="AG34" s="24">
        <f t="shared" si="48"/>
        <v>7.9</v>
      </c>
      <c r="AH34" s="24">
        <f t="shared" si="48"/>
        <v>7.6</v>
      </c>
      <c r="AI34" s="24">
        <f t="shared" si="48"/>
        <v>7.92</v>
      </c>
      <c r="AJ34" s="24">
        <f t="shared" si="48"/>
        <v>8.02</v>
      </c>
      <c r="AK34" s="24">
        <f t="shared" si="48"/>
        <v>7.65</v>
      </c>
      <c r="AL34" s="24">
        <f t="shared" si="48"/>
        <v>7.65</v>
      </c>
      <c r="AM34" s="24">
        <f t="shared" si="48"/>
        <v>4.91</v>
      </c>
      <c r="AN34" s="24">
        <f t="shared" si="48"/>
        <v>3.0300000000000002</v>
      </c>
      <c r="AO34" s="24">
        <f t="shared" si="48"/>
        <v>3.55</v>
      </c>
      <c r="AP34" s="24">
        <f t="shared" si="48"/>
        <v>3.7699999999999996</v>
      </c>
      <c r="AQ34" s="24">
        <f t="shared" si="48"/>
        <v>3.7699999999999996</v>
      </c>
      <c r="AR34" s="24">
        <f t="shared" si="48"/>
        <v>4.16</v>
      </c>
      <c r="AS34" s="24">
        <f t="shared" si="48"/>
        <v>3.69</v>
      </c>
      <c r="AT34" s="24">
        <f t="shared" si="48"/>
        <v>3.11</v>
      </c>
      <c r="AU34" s="24">
        <f t="shared" si="48"/>
        <v>3.3000000000000003</v>
      </c>
      <c r="AV34" s="24">
        <f t="shared" si="48"/>
        <v>3.3000000000000003</v>
      </c>
      <c r="AW34" s="24">
        <f t="shared" si="48"/>
        <v>3.56</v>
      </c>
      <c r="AX34" s="24">
        <f t="shared" si="48"/>
        <v>3.4899999999999998</v>
      </c>
      <c r="AY34" s="24">
        <f t="shared" si="48"/>
        <v>3.5999999999999996</v>
      </c>
      <c r="AZ34" s="24">
        <f t="shared" si="48"/>
        <v>3.88</v>
      </c>
      <c r="BA34" s="24">
        <f t="shared" si="48"/>
        <v>3.88</v>
      </c>
      <c r="BB34" s="24">
        <f t="shared" si="48"/>
        <v>3.8200000000000003</v>
      </c>
      <c r="BC34" s="24">
        <f t="shared" si="48"/>
        <v>4.17</v>
      </c>
      <c r="BD34" s="24">
        <f t="shared" si="48"/>
        <v>4.71</v>
      </c>
      <c r="BE34" s="24">
        <f t="shared" ref="BE34:BF34" si="49">BE11+SUM(BE18:BE19)</f>
        <v>5.25</v>
      </c>
      <c r="BF34" s="24">
        <f t="shared" si="49"/>
        <v>5.25</v>
      </c>
      <c r="BG34" s="24">
        <f t="shared" ref="BG34" si="50">BG11+SUM(BG18:BG19)</f>
        <v>5.99</v>
      </c>
      <c r="BH34" s="24">
        <f t="shared" ref="BH34" si="51">BH11+SUM(BH18:BH19)</f>
        <v>5.9399999999999995</v>
      </c>
      <c r="BI34" s="24">
        <f t="shared" ref="BI34:BK34" si="52">BI11+SUM(BI18:BI19)</f>
        <v>6.67</v>
      </c>
      <c r="BJ34" s="24">
        <f t="shared" si="52"/>
        <v>7</v>
      </c>
      <c r="BK34" s="24">
        <f t="shared" si="52"/>
        <v>7</v>
      </c>
      <c r="BL34" s="24">
        <f t="shared" ref="BL34:BP34" si="53">BL11+SUM(BL18:BL19)</f>
        <v>6.0200000000000005</v>
      </c>
      <c r="BM34" s="24">
        <f t="shared" si="53"/>
        <v>5.03</v>
      </c>
      <c r="BN34" s="24">
        <f t="shared" si="53"/>
        <v>3.83</v>
      </c>
      <c r="BO34" s="24">
        <f t="shared" si="53"/>
        <v>3.3906342340827185</v>
      </c>
      <c r="BP34" s="24">
        <f t="shared" si="53"/>
        <v>3.3906342340827185</v>
      </c>
      <c r="BQ34" s="24">
        <f t="shared" ref="BQ34:BU34" si="54">BQ11+SUM(BQ18:BQ19)</f>
        <v>2.8543356580827188</v>
      </c>
      <c r="BR34" s="24">
        <f t="shared" si="54"/>
        <v>2.8543356580827193</v>
      </c>
      <c r="BS34" s="24">
        <f t="shared" si="54"/>
        <v>2.8543356580827197</v>
      </c>
      <c r="BT34" s="24">
        <f t="shared" si="54"/>
        <v>2.8543356580827188</v>
      </c>
      <c r="BU34" s="24">
        <f t="shared" si="54"/>
        <v>2.8543356580827188</v>
      </c>
    </row>
    <row r="35" spans="1:83">
      <c r="A35" s="1" t="s">
        <v>970</v>
      </c>
      <c r="AE35" s="21">
        <f t="shared" ref="AE35:BD35" si="55">AE34/AE33</f>
        <v>0.34956361966008265</v>
      </c>
      <c r="AF35" s="21">
        <f t="shared" si="55"/>
        <v>0.34573304157549239</v>
      </c>
      <c r="AG35" s="21">
        <f t="shared" si="55"/>
        <v>0.34573304157549239</v>
      </c>
      <c r="AH35" s="21">
        <f t="shared" si="55"/>
        <v>0.36276849642004766</v>
      </c>
      <c r="AI35" s="21">
        <f t="shared" si="55"/>
        <v>0.35357142857142859</v>
      </c>
      <c r="AJ35" s="21">
        <f t="shared" si="55"/>
        <v>0.32003192338387876</v>
      </c>
      <c r="AK35" s="21">
        <f t="shared" si="55"/>
        <v>0.35318559556786705</v>
      </c>
      <c r="AL35" s="21">
        <f t="shared" si="55"/>
        <v>0.35318559556786705</v>
      </c>
      <c r="AM35" s="21">
        <f t="shared" si="55"/>
        <v>0.21658579620644022</v>
      </c>
      <c r="AN35" s="21">
        <f t="shared" si="55"/>
        <v>0.10864108999641449</v>
      </c>
      <c r="AO35" s="21">
        <f t="shared" si="55"/>
        <v>0.14754779717373234</v>
      </c>
      <c r="AP35" s="21">
        <f t="shared" si="55"/>
        <v>0.14125140502060693</v>
      </c>
      <c r="AQ35" s="21">
        <f t="shared" si="55"/>
        <v>0.14125140502060693</v>
      </c>
      <c r="AR35" s="21">
        <f t="shared" si="55"/>
        <v>0.15407407407407409</v>
      </c>
      <c r="AS35" s="21">
        <f t="shared" si="55"/>
        <v>0.17663954044997607</v>
      </c>
      <c r="AT35" s="21">
        <f t="shared" si="55"/>
        <v>0.16072351421188633</v>
      </c>
      <c r="AU35" s="21">
        <f t="shared" si="55"/>
        <v>0.17876489707475632</v>
      </c>
      <c r="AV35" s="21">
        <f t="shared" si="55"/>
        <v>0.17876489707475632</v>
      </c>
      <c r="AW35" s="21">
        <f t="shared" si="55"/>
        <v>0.19232847109670448</v>
      </c>
      <c r="AX35" s="21">
        <f t="shared" si="55"/>
        <v>0.20860729228930064</v>
      </c>
      <c r="AY35" s="21">
        <f t="shared" si="55"/>
        <v>0.25992779783393499</v>
      </c>
      <c r="AZ35" s="21">
        <f t="shared" si="55"/>
        <v>0.27478753541076484</v>
      </c>
      <c r="BA35" s="21">
        <f t="shared" si="55"/>
        <v>0.27478753541076484</v>
      </c>
      <c r="BB35" s="21">
        <f t="shared" si="55"/>
        <v>0.2456591639871383</v>
      </c>
      <c r="BC35" s="21">
        <f t="shared" si="55"/>
        <v>0.25411334552102383</v>
      </c>
      <c r="BD35" s="21">
        <f t="shared" si="55"/>
        <v>0.24480249480249483</v>
      </c>
      <c r="BE35" s="21">
        <f t="shared" ref="BE35:BG35" si="56">BE34/BE33</f>
        <v>0.18898488120950327</v>
      </c>
      <c r="BF35" s="21">
        <f t="shared" si="56"/>
        <v>0.18898488120950327</v>
      </c>
      <c r="BG35" s="21">
        <f t="shared" si="56"/>
        <v>0.16983271902466687</v>
      </c>
      <c r="BH35" s="21">
        <f t="shared" ref="BH35" si="57">BH34/BH33</f>
        <v>0.20475698035160286</v>
      </c>
      <c r="BI35" s="21">
        <f t="shared" ref="BI35:BK35" si="58">BI34/BI33</f>
        <v>0.22733469665985001</v>
      </c>
      <c r="BJ35" s="21">
        <f t="shared" si="58"/>
        <v>0.27237354085603116</v>
      </c>
      <c r="BK35" s="21">
        <f t="shared" si="58"/>
        <v>0.27237354085603116</v>
      </c>
      <c r="BL35" s="21">
        <f t="shared" ref="BL35:BP35" si="59">BL34/BL33</f>
        <v>0.18580246913580248</v>
      </c>
      <c r="BM35" s="21">
        <f t="shared" si="59"/>
        <v>0.15105105105105107</v>
      </c>
      <c r="BN35" s="21">
        <f t="shared" si="59"/>
        <v>0.12378797672915318</v>
      </c>
      <c r="BO35" s="21">
        <f t="shared" si="59"/>
        <v>0.10288065711278269</v>
      </c>
      <c r="BP35" s="21">
        <f t="shared" si="59"/>
        <v>0.10288065711278269</v>
      </c>
      <c r="BQ35" s="21">
        <f t="shared" ref="BQ35:BU35" si="60">BQ34/BQ33</f>
        <v>7.950409902235113E-2</v>
      </c>
      <c r="BR35" s="21">
        <f t="shared" si="60"/>
        <v>7.9566947244396946E-2</v>
      </c>
      <c r="BS35" s="21">
        <f t="shared" si="60"/>
        <v>8.0313657036945041E-2</v>
      </c>
      <c r="BT35" s="21">
        <f t="shared" si="60"/>
        <v>8.1480074340203185E-2</v>
      </c>
      <c r="BU35" s="21">
        <f t="shared" si="60"/>
        <v>8.1480074340203185E-2</v>
      </c>
    </row>
    <row r="37" spans="1:83">
      <c r="A37" s="179" t="s">
        <v>957</v>
      </c>
      <c r="B37" s="179"/>
      <c r="C37" s="179"/>
      <c r="D37" s="179"/>
      <c r="E37" s="179"/>
      <c r="F37" s="179"/>
      <c r="G37" s="179"/>
      <c r="H37" s="179"/>
      <c r="I37" s="179"/>
      <c r="J37" s="179"/>
      <c r="K37" s="179"/>
      <c r="L37" s="179"/>
      <c r="M37" s="179"/>
      <c r="N37" s="179"/>
      <c r="O37" s="179"/>
      <c r="P37" s="179"/>
      <c r="Q37" s="179"/>
      <c r="R37" s="179"/>
      <c r="S37" s="179"/>
      <c r="T37" s="179"/>
      <c r="U37" s="179"/>
      <c r="V37" s="179"/>
      <c r="W37" s="179"/>
      <c r="X37" s="179"/>
      <c r="Y37" s="179"/>
      <c r="Z37" s="179"/>
      <c r="AA37" s="179"/>
      <c r="AB37" s="179"/>
      <c r="AC37" s="255"/>
      <c r="AD37" s="255"/>
      <c r="AE37" s="255">
        <f t="shared" ref="AE37:BG37" si="61">AE31/AE22</f>
        <v>0.14257581725088622</v>
      </c>
      <c r="AF37" s="255">
        <f t="shared" si="61"/>
        <v>0.16269695859289118</v>
      </c>
      <c r="AG37" s="255">
        <f t="shared" si="61"/>
        <v>0.16269695859289118</v>
      </c>
      <c r="AH37" s="255">
        <f t="shared" si="61"/>
        <v>0.18955512572533842</v>
      </c>
      <c r="AI37" s="255">
        <f t="shared" si="61"/>
        <v>0.16821388785740807</v>
      </c>
      <c r="AJ37" s="255">
        <f t="shared" si="61"/>
        <v>0.16075016744809109</v>
      </c>
      <c r="AK37" s="255">
        <f t="shared" si="61"/>
        <v>0.14183835182250393</v>
      </c>
      <c r="AL37" s="255">
        <f t="shared" si="61"/>
        <v>0.14183835182250393</v>
      </c>
      <c r="AM37" s="255">
        <f t="shared" si="61"/>
        <v>8.7359098228663432E-2</v>
      </c>
      <c r="AN37" s="255">
        <f t="shared" si="61"/>
        <v>0.11544560735807168</v>
      </c>
      <c r="AO37" s="255">
        <f t="shared" si="61"/>
        <v>0.14346742613029548</v>
      </c>
      <c r="AP37" s="255">
        <f t="shared" si="61"/>
        <v>0.12203947368421049</v>
      </c>
      <c r="AQ37" s="255">
        <f t="shared" si="61"/>
        <v>0.12203947368421049</v>
      </c>
      <c r="AR37" s="255">
        <f t="shared" si="61"/>
        <v>0.15914045468701332</v>
      </c>
      <c r="AS37" s="255">
        <f t="shared" si="61"/>
        <v>0.18715953307392996</v>
      </c>
      <c r="AT37" s="255">
        <f t="shared" si="61"/>
        <v>0.21564653425212812</v>
      </c>
      <c r="AU37" s="255">
        <f t="shared" si="61"/>
        <v>0.20362381363244189</v>
      </c>
      <c r="AV37" s="255">
        <f t="shared" si="61"/>
        <v>0.20362381363244189</v>
      </c>
      <c r="AW37" s="255">
        <f t="shared" si="61"/>
        <v>0.14542936288088651</v>
      </c>
      <c r="AX37" s="255">
        <f t="shared" si="61"/>
        <v>0.15033011681056371</v>
      </c>
      <c r="AY37" s="255">
        <f t="shared" si="61"/>
        <v>0.18192557590076783</v>
      </c>
      <c r="AZ37" s="255">
        <f t="shared" si="61"/>
        <v>0.11027095148078139</v>
      </c>
      <c r="BA37" s="255">
        <f t="shared" si="61"/>
        <v>0.11027095148078139</v>
      </c>
      <c r="BB37" s="255">
        <f t="shared" si="61"/>
        <v>7.9881656804733719E-2</v>
      </c>
      <c r="BC37" s="255">
        <f t="shared" si="61"/>
        <v>0.10620915032679745</v>
      </c>
      <c r="BD37" s="255">
        <f t="shared" si="61"/>
        <v>0.11418047882136279</v>
      </c>
      <c r="BE37" s="255">
        <f t="shared" si="61"/>
        <v>8.4377059986816133E-2</v>
      </c>
      <c r="BF37" s="255">
        <f t="shared" si="61"/>
        <v>8.4377059986816133E-2</v>
      </c>
      <c r="BG37" s="255">
        <f t="shared" si="61"/>
        <v>7.8149503397804479E-2</v>
      </c>
      <c r="BH37" s="255">
        <f t="shared" ref="BH37:BL37" si="62">BH31/BH22</f>
        <v>0.12462281231140615</v>
      </c>
      <c r="BI37" s="255">
        <f t="shared" si="62"/>
        <v>0.1286011286011286</v>
      </c>
      <c r="BJ37" s="255">
        <f t="shared" si="62"/>
        <v>0.18074593560726809</v>
      </c>
      <c r="BK37" s="255">
        <f t="shared" si="62"/>
        <v>0.18074593560726809</v>
      </c>
      <c r="BL37" s="255">
        <f t="shared" si="62"/>
        <v>0.17008196721311478</v>
      </c>
      <c r="BM37" s="255">
        <f t="shared" ref="BM37:BU37" si="63">BM31/BM22</f>
        <v>0.16457601605619673</v>
      </c>
      <c r="BN37" s="255">
        <f t="shared" si="63"/>
        <v>0.20625962031811182</v>
      </c>
      <c r="BO37" s="255">
        <f t="shared" si="63"/>
        <v>0.19393652767947339</v>
      </c>
      <c r="BP37" s="255">
        <f t="shared" si="63"/>
        <v>0.19393652767947339</v>
      </c>
      <c r="BQ37" s="255">
        <f t="shared" si="63"/>
        <v>0.19402876268766472</v>
      </c>
      <c r="BR37" s="255">
        <f t="shared" si="63"/>
        <v>0.22402141104041343</v>
      </c>
      <c r="BS37" s="255">
        <f t="shared" si="63"/>
        <v>0.25264093371653457</v>
      </c>
      <c r="BT37" s="255">
        <f t="shared" si="63"/>
        <v>0.25267031235428</v>
      </c>
      <c r="BU37" s="255">
        <f t="shared" si="63"/>
        <v>0.25267031235428</v>
      </c>
      <c r="BY37" s="16">
        <f t="shared" ref="BY37:CD37" si="64">INDEX($AE37:$BK37, MATCH(BY$3, $AE$3:$BK$3, 0))</f>
        <v>0.14183835182250393</v>
      </c>
      <c r="BZ37" s="16">
        <f t="shared" si="64"/>
        <v>0.12203947368421049</v>
      </c>
      <c r="CA37" s="16">
        <f t="shared" si="64"/>
        <v>0.20362381363244189</v>
      </c>
      <c r="CB37" s="16">
        <f t="shared" si="64"/>
        <v>0.11027095148078139</v>
      </c>
      <c r="CC37" s="16">
        <f t="shared" si="64"/>
        <v>8.4377059986816133E-2</v>
      </c>
      <c r="CD37" s="16">
        <f t="shared" si="64"/>
        <v>0.18074593560726809</v>
      </c>
      <c r="CE37" s="16"/>
    </row>
    <row r="38" spans="1:83">
      <c r="A38" s="678" t="s">
        <v>2719</v>
      </c>
    </row>
    <row r="39" spans="1:83">
      <c r="A39" s="1" t="s">
        <v>2718</v>
      </c>
      <c r="BB39" s="754">
        <f>BC39</f>
        <v>1465.9724639999999</v>
      </c>
      <c r="BC39" s="754">
        <f>BD39</f>
        <v>1465.9724639999999</v>
      </c>
      <c r="BD39" s="754">
        <f>BE39</f>
        <v>1465.9724639999999</v>
      </c>
      <c r="BE39" s="754">
        <f>BF39</f>
        <v>1465.9724639999999</v>
      </c>
      <c r="BF39" s="754">
        <f>BG39</f>
        <v>1465.9724639999999</v>
      </c>
      <c r="BG39" s="36">
        <f>'TopCo Net debt waterfall'!AR153</f>
        <v>1465.9724639999999</v>
      </c>
      <c r="BH39" s="36">
        <f>'TopCo Net debt waterfall'!AS153</f>
        <v>1447.063101</v>
      </c>
      <c r="BI39" s="36">
        <f>'TopCo Net debt waterfall'!AT153</f>
        <v>1441.1232990000001</v>
      </c>
      <c r="BJ39" s="36">
        <f>'TopCo Net debt waterfall'!AU153</f>
        <v>1437.5963059999999</v>
      </c>
      <c r="BK39" s="36">
        <f>BJ39</f>
        <v>1437.5963059999999</v>
      </c>
      <c r="BL39" s="36">
        <f>'TopCo Net debt waterfall'!AW153</f>
        <v>1424.4851570000001</v>
      </c>
      <c r="BM39" s="36">
        <f>'TopCo Net debt waterfall'!AX153</f>
        <v>1424.4851570000001</v>
      </c>
      <c r="BN39" s="36">
        <f>'TopCo Net debt waterfall'!AY153</f>
        <v>1427.9620299999999</v>
      </c>
      <c r="BO39" s="36">
        <f>'TopCo Net debt waterfall'!AZ153</f>
        <v>1427.9620299999999</v>
      </c>
      <c r="BP39" s="36">
        <f>BO39</f>
        <v>1427.9620299999999</v>
      </c>
      <c r="BQ39" s="754">
        <f>BP39</f>
        <v>1427.9620299999999</v>
      </c>
      <c r="BR39" s="754">
        <f t="shared" ref="BR39:BT39" si="65">BQ39</f>
        <v>1427.9620299999999</v>
      </c>
      <c r="BS39" s="754">
        <f t="shared" si="65"/>
        <v>1427.9620299999999</v>
      </c>
      <c r="BT39" s="754">
        <f t="shared" si="65"/>
        <v>1427.9620299999999</v>
      </c>
      <c r="BU39" s="61">
        <f>BT39</f>
        <v>1427.9620299999999</v>
      </c>
    </row>
    <row r="41" spans="1:83">
      <c r="A41" s="791" t="s">
        <v>2657</v>
      </c>
      <c r="B41" s="791"/>
      <c r="C41" s="791"/>
      <c r="D41" s="791"/>
      <c r="E41" s="791"/>
      <c r="F41" s="791"/>
      <c r="G41" s="791"/>
      <c r="H41" s="791"/>
      <c r="I41" s="791"/>
      <c r="J41" s="791"/>
      <c r="K41" s="791"/>
      <c r="L41" s="791"/>
      <c r="M41" s="791"/>
      <c r="N41" s="791"/>
      <c r="O41" s="791"/>
      <c r="P41" s="791"/>
      <c r="Q41" s="791"/>
      <c r="R41" s="791"/>
      <c r="S41" s="791"/>
      <c r="T41" s="791"/>
      <c r="U41" s="791"/>
      <c r="V41" s="791"/>
      <c r="W41" s="791"/>
      <c r="X41" s="791"/>
      <c r="Y41" s="791"/>
      <c r="Z41" s="791"/>
      <c r="AA41" s="791"/>
      <c r="AB41" s="791"/>
      <c r="AC41" s="791"/>
      <c r="AD41" s="791"/>
      <c r="AE41" s="791"/>
      <c r="AF41" s="791"/>
      <c r="AG41" s="791"/>
      <c r="AH41" s="791"/>
      <c r="AI41" s="791"/>
      <c r="AJ41" s="791"/>
      <c r="AK41" s="791"/>
      <c r="AL41" s="791"/>
      <c r="AM41" s="791"/>
      <c r="AN41" s="791"/>
      <c r="AO41" s="791"/>
      <c r="AP41" s="791"/>
      <c r="AQ41" s="791"/>
      <c r="AR41" s="791"/>
      <c r="AS41" s="791"/>
      <c r="AT41" s="791"/>
      <c r="AU41" s="791"/>
      <c r="AV41" s="791"/>
      <c r="AW41" s="791"/>
      <c r="AX41" s="791"/>
      <c r="AY41" s="791"/>
      <c r="AZ41" s="791"/>
      <c r="BA41" s="791"/>
      <c r="BB41" s="787">
        <f t="shared" ref="BB41:BF41" si="66">MROUND(1000000*BB33/BB39, 10)</f>
        <v>10610</v>
      </c>
      <c r="BC41" s="787">
        <f t="shared" si="66"/>
        <v>11190</v>
      </c>
      <c r="BD41" s="787">
        <f t="shared" si="66"/>
        <v>13120</v>
      </c>
      <c r="BE41" s="787">
        <f t="shared" si="66"/>
        <v>18950</v>
      </c>
      <c r="BF41" s="787">
        <f t="shared" si="66"/>
        <v>18950</v>
      </c>
      <c r="BG41" s="787">
        <f>MROUND(1000000*BG33/BG39, 10)</f>
        <v>24060</v>
      </c>
      <c r="BH41" s="787">
        <f t="shared" ref="BH41:BQ41" si="67">MROUND(1000000*BH33/BH39, 10)</f>
        <v>20050</v>
      </c>
      <c r="BI41" s="787">
        <f t="shared" si="67"/>
        <v>20360</v>
      </c>
      <c r="BJ41" s="787">
        <f t="shared" si="67"/>
        <v>17880</v>
      </c>
      <c r="BK41" s="787">
        <f t="shared" si="67"/>
        <v>17880</v>
      </c>
      <c r="BL41" s="787">
        <f t="shared" ref="BL41" si="68">MROUND(1000000*BL33/BL39, 10)</f>
        <v>22750</v>
      </c>
      <c r="BM41" s="787">
        <f t="shared" si="67"/>
        <v>23380</v>
      </c>
      <c r="BN41" s="787">
        <f t="shared" si="67"/>
        <v>21670</v>
      </c>
      <c r="BO41" s="787">
        <f t="shared" si="67"/>
        <v>23080</v>
      </c>
      <c r="BP41" s="787">
        <f t="shared" si="67"/>
        <v>23080</v>
      </c>
      <c r="BQ41" s="787">
        <f t="shared" si="67"/>
        <v>25140</v>
      </c>
      <c r="BR41" s="787">
        <f t="shared" ref="BR41:BU41" si="69">MROUND(1000000*BR33/BR39, 10)</f>
        <v>25120</v>
      </c>
      <c r="BS41" s="787">
        <f t="shared" si="69"/>
        <v>24890</v>
      </c>
      <c r="BT41" s="787">
        <f t="shared" si="69"/>
        <v>24530</v>
      </c>
      <c r="BU41" s="787">
        <f t="shared" si="69"/>
        <v>24530</v>
      </c>
    </row>
    <row r="42" spans="1:83">
      <c r="A42" s="791" t="s">
        <v>2658</v>
      </c>
      <c r="B42" s="791"/>
      <c r="C42" s="791"/>
      <c r="D42" s="791"/>
      <c r="E42" s="791"/>
      <c r="F42" s="791"/>
      <c r="G42" s="791"/>
      <c r="H42" s="791"/>
      <c r="I42" s="791"/>
      <c r="J42" s="791"/>
      <c r="K42" s="791"/>
      <c r="L42" s="791"/>
      <c r="M42" s="791"/>
      <c r="N42" s="791"/>
      <c r="O42" s="791"/>
      <c r="P42" s="791"/>
      <c r="Q42" s="791"/>
      <c r="R42" s="791"/>
      <c r="S42" s="791"/>
      <c r="T42" s="791"/>
      <c r="U42" s="791"/>
      <c r="V42" s="791"/>
      <c r="W42" s="791"/>
      <c r="X42" s="791"/>
      <c r="Y42" s="791"/>
      <c r="Z42" s="791"/>
      <c r="AA42" s="791"/>
      <c r="AB42" s="791"/>
      <c r="AC42" s="791"/>
      <c r="AD42" s="791"/>
      <c r="AE42" s="791"/>
      <c r="AF42" s="791"/>
      <c r="AG42" s="791"/>
      <c r="AH42" s="791"/>
      <c r="AI42" s="791"/>
      <c r="AJ42" s="791"/>
      <c r="AK42" s="791"/>
      <c r="AL42" s="791"/>
      <c r="AM42" s="791"/>
      <c r="AN42" s="791"/>
      <c r="AO42" s="791"/>
      <c r="AP42" s="791"/>
      <c r="AQ42" s="791"/>
      <c r="AR42" s="791"/>
      <c r="AS42" s="791"/>
      <c r="AT42" s="791"/>
      <c r="AU42" s="791"/>
      <c r="AV42" s="791"/>
      <c r="AW42" s="791"/>
      <c r="AX42" s="791"/>
      <c r="AY42" s="791"/>
      <c r="AZ42" s="791"/>
      <c r="BA42" s="791"/>
      <c r="BB42" s="1034">
        <f>1-FP!$D$5/'Valuation &amp; SBG NAV'!BB41</f>
        <v>-0.5254476908576815</v>
      </c>
      <c r="BC42" s="1034">
        <f>1-FP!$D$5/'Valuation &amp; SBG NAV'!BC41</f>
        <v>-0.4463806970509383</v>
      </c>
      <c r="BD42" s="1034">
        <f>1-FP!$D$5/'Valuation &amp; SBG NAV'!BD41</f>
        <v>-0.23361280487804881</v>
      </c>
      <c r="BE42" s="1034">
        <f>1-FP!$D$5/'Valuation &amp; SBG NAV'!BE41</f>
        <v>0.14591029023746704</v>
      </c>
      <c r="BF42" s="1034">
        <f>1-FP!$D$5/'Valuation &amp; SBG NAV'!BF41</f>
        <v>0.14591029023746704</v>
      </c>
      <c r="BG42" s="1034">
        <f>1-FP!$D$5/'Valuation &amp; SBG NAV'!BG41</f>
        <v>0.32730673316708225</v>
      </c>
      <c r="BH42" s="1034">
        <f>1-FP!$D$5/'Valuation &amp; SBG NAV'!BH41</f>
        <v>0.1927680798004987</v>
      </c>
      <c r="BI42" s="1034">
        <f>1-FP!$D$5/'Valuation &amp; SBG NAV'!BI41</f>
        <v>0.20505893909626716</v>
      </c>
      <c r="BJ42" s="1034">
        <f>1-FP!$D$5/'Valuation &amp; SBG NAV'!BJ41</f>
        <v>9.4798657718120793E-2</v>
      </c>
      <c r="BK42" s="1034">
        <f>1-FP!$D$5/'Valuation &amp; SBG NAV'!BK41</f>
        <v>9.4798657718120793E-2</v>
      </c>
      <c r="BL42" s="1034">
        <f>1-FP!$D$5/'Valuation &amp; SBG NAV'!BL41</f>
        <v>0.28857142857142859</v>
      </c>
      <c r="BM42" s="1034">
        <f>1-FP!$D$5/'Valuation &amp; SBG NAV'!BM41</f>
        <v>0.30774165953806676</v>
      </c>
      <c r="BN42" s="1034">
        <f>1-FP!$D$5/'Valuation &amp; SBG NAV'!BN41</f>
        <v>0.25311490539916937</v>
      </c>
      <c r="BO42" s="1034">
        <f>1-FP!$D$5/'Valuation &amp; SBG NAV'!BO41</f>
        <v>0.2987435008665511</v>
      </c>
      <c r="BP42" s="1034">
        <f>1-FP!$D$5/'Valuation &amp; SBG NAV'!BP41</f>
        <v>0.2987435008665511</v>
      </c>
      <c r="BQ42" s="1034">
        <f>1-FP!$D$5/'Valuation &amp; SBG NAV'!BQ41</f>
        <v>0.35620525059665875</v>
      </c>
      <c r="BR42" s="1034">
        <f>1-FP!$D$5/'Valuation &amp; SBG NAV'!BR41</f>
        <v>0.35569267515923564</v>
      </c>
      <c r="BS42" s="1034">
        <f>1-FP!$D$5/'Valuation &amp; SBG NAV'!BS41</f>
        <v>0.34973885094415424</v>
      </c>
      <c r="BT42" s="1034">
        <f>1-FP!$D$5/'Valuation &amp; SBG NAV'!BT41</f>
        <v>0.34019567876070123</v>
      </c>
      <c r="BU42" s="1034">
        <f>1-FP!$D$5/'Valuation &amp; SBG NAV'!BU41</f>
        <v>0.34019567876070123</v>
      </c>
    </row>
    <row r="44" spans="1:83">
      <c r="A44" s="1" t="s">
        <v>3297</v>
      </c>
      <c r="BG44" s="36">
        <f t="shared" ref="BG44:BP44" si="70">4*BG39</f>
        <v>5863.8898559999998</v>
      </c>
      <c r="BH44" s="36">
        <f t="shared" si="70"/>
        <v>5788.2524039999998</v>
      </c>
      <c r="BI44" s="36">
        <f t="shared" si="70"/>
        <v>5764.4931960000004</v>
      </c>
      <c r="BJ44" s="36">
        <f t="shared" si="70"/>
        <v>5750.3852239999997</v>
      </c>
      <c r="BK44" s="36">
        <f t="shared" si="70"/>
        <v>5750.3852239999997</v>
      </c>
      <c r="BL44" s="36">
        <f t="shared" si="70"/>
        <v>5697.9406280000003</v>
      </c>
      <c r="BM44" s="36">
        <f t="shared" si="70"/>
        <v>5697.9406280000003</v>
      </c>
      <c r="BN44" s="36">
        <f t="shared" si="70"/>
        <v>5711.8481199999997</v>
      </c>
      <c r="BO44" s="36">
        <f t="shared" si="70"/>
        <v>5711.8481199999997</v>
      </c>
      <c r="BP44" s="36">
        <f t="shared" si="70"/>
        <v>5711.8481199999997</v>
      </c>
      <c r="BQ44" s="622">
        <f>BP44</f>
        <v>5711.8481199999997</v>
      </c>
      <c r="BR44" s="622">
        <f t="shared" ref="BR44:BT44" si="71">BQ44</f>
        <v>5711.8481199999997</v>
      </c>
      <c r="BS44" s="622">
        <f t="shared" si="71"/>
        <v>5711.8481199999997</v>
      </c>
      <c r="BT44" s="622">
        <f t="shared" si="71"/>
        <v>5711.8481199999997</v>
      </c>
      <c r="BU44" s="61">
        <f>BT44</f>
        <v>5711.8481199999997</v>
      </c>
    </row>
    <row r="46" spans="1:83">
      <c r="A46" s="44" t="s">
        <v>2657</v>
      </c>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323"/>
      <c r="BC46" s="323"/>
      <c r="BD46" s="323"/>
      <c r="BE46" s="323"/>
      <c r="BF46" s="323"/>
      <c r="BG46" s="323">
        <f t="shared" ref="BG46:BP46" si="72">MROUND(1000000*BG33/BG44, 10)</f>
        <v>6010</v>
      </c>
      <c r="BH46" s="323">
        <f t="shared" si="72"/>
        <v>5010</v>
      </c>
      <c r="BI46" s="323">
        <f t="shared" si="72"/>
        <v>5090</v>
      </c>
      <c r="BJ46" s="323">
        <f t="shared" si="72"/>
        <v>4470</v>
      </c>
      <c r="BK46" s="323">
        <f t="shared" si="72"/>
        <v>4470</v>
      </c>
      <c r="BL46" s="323">
        <f t="shared" si="72"/>
        <v>5690</v>
      </c>
      <c r="BM46" s="323">
        <f t="shared" si="72"/>
        <v>5840</v>
      </c>
      <c r="BN46" s="323">
        <f t="shared" si="72"/>
        <v>5420</v>
      </c>
      <c r="BO46" s="323">
        <f t="shared" si="72"/>
        <v>5770</v>
      </c>
      <c r="BP46" s="323">
        <f t="shared" si="72"/>
        <v>5770</v>
      </c>
      <c r="BQ46" s="323">
        <f t="shared" ref="BQ46:BU46" si="73">MROUND(1000000*BQ33/BQ44, 10)</f>
        <v>6290</v>
      </c>
      <c r="BR46" s="323">
        <f t="shared" si="73"/>
        <v>6280</v>
      </c>
      <c r="BS46" s="323">
        <f t="shared" si="73"/>
        <v>6220</v>
      </c>
      <c r="BT46" s="323">
        <f t="shared" si="73"/>
        <v>6130</v>
      </c>
      <c r="BU46" s="323">
        <f t="shared" si="73"/>
        <v>6130</v>
      </c>
    </row>
    <row r="47" spans="1:83">
      <c r="A47" s="44" t="s">
        <v>2658</v>
      </c>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370"/>
      <c r="BC47" s="370"/>
      <c r="BD47" s="370"/>
      <c r="BE47" s="370"/>
      <c r="BF47" s="370"/>
      <c r="BG47" s="370">
        <f>1-FP!$D$9/'Valuation &amp; SBG NAV'!BG46</f>
        <v>0.32678868552412643</v>
      </c>
      <c r="BH47" s="370">
        <f>1-FP!$D$9/'Valuation &amp; SBG NAV'!BH46</f>
        <v>0.19241516966067862</v>
      </c>
      <c r="BI47" s="370">
        <f>1-FP!$D$9/'Valuation &amp; SBG NAV'!BI46</f>
        <v>0.20510805500982321</v>
      </c>
      <c r="BJ47" s="370">
        <f>1-FP!$D$9/'Valuation &amp; SBG NAV'!BJ46</f>
        <v>9.4854586129753948E-2</v>
      </c>
      <c r="BK47" s="370">
        <f>1-FP!$D$9/'Valuation &amp; SBG NAV'!BK46</f>
        <v>9.4854586129753948E-2</v>
      </c>
      <c r="BL47" s="370">
        <f>1-FP!$D$9/'Valuation &amp; SBG NAV'!BL46</f>
        <v>0.28892794376098418</v>
      </c>
      <c r="BM47" s="370">
        <f>1-FP!$D$9/'Valuation &amp; SBG NAV'!BM46</f>
        <v>0.30719178082191778</v>
      </c>
      <c r="BN47" s="370">
        <f>1-FP!$D$9/'Valuation &amp; SBG NAV'!BN46</f>
        <v>0.25350553505535056</v>
      </c>
      <c r="BO47" s="370">
        <f>1-FP!$D$9/'Valuation &amp; SBG NAV'!BO46</f>
        <v>0.29878682842287696</v>
      </c>
      <c r="BP47" s="370">
        <f>1-FP!$D$9/'Valuation &amp; SBG NAV'!BP46</f>
        <v>0.29878682842287696</v>
      </c>
      <c r="BQ47" s="370">
        <f>1-FP!$D$9/'Valuation &amp; SBG NAV'!BQ46</f>
        <v>0.35675675675675678</v>
      </c>
      <c r="BR47" s="370">
        <f>1-FP!$D$9/'Valuation &amp; SBG NAV'!BR46</f>
        <v>0.3557324840764331</v>
      </c>
      <c r="BS47" s="370">
        <f>1-FP!$D$9/'Valuation &amp; SBG NAV'!BS46</f>
        <v>0.34951768488745982</v>
      </c>
      <c r="BT47" s="370">
        <f>1-FP!$D$9/'Valuation &amp; SBG NAV'!BT46</f>
        <v>0.33996737357259377</v>
      </c>
      <c r="BU47" s="370">
        <f>1-FP!$D$9/'Valuation &amp; SBG NAV'!BU46</f>
        <v>0.33996737357259377</v>
      </c>
    </row>
    <row r="49" spans="1:75" s="12" customFormat="1">
      <c r="A49" s="13" t="s">
        <v>2182</v>
      </c>
      <c r="BW49" s="46"/>
    </row>
    <row r="51" spans="1:75">
      <c r="A51" s="3" t="s">
        <v>951</v>
      </c>
    </row>
    <row r="53" spans="1:75">
      <c r="A53" s="1" t="s">
        <v>943</v>
      </c>
      <c r="BJ53" s="678" t="s">
        <v>2811</v>
      </c>
    </row>
    <row r="54" spans="1:75">
      <c r="A54" s="5" t="s">
        <v>704</v>
      </c>
      <c r="AC54" s="24"/>
      <c r="AD54" s="24"/>
      <c r="AE54" s="24">
        <f>1000*AE10/AE$79</f>
        <v>109.09909909909909</v>
      </c>
      <c r="AF54" s="24">
        <f>1000*AF10/AF$79</f>
        <v>117.66825840165781</v>
      </c>
      <c r="AG54" s="24">
        <f>AF54</f>
        <v>117.66825840165781</v>
      </c>
      <c r="AH54" s="24">
        <f t="shared" ref="AH54:AK55" si="74">1000*AH10/AH$79</f>
        <v>104.64792652379626</v>
      </c>
      <c r="AI54" s="24">
        <f t="shared" si="74"/>
        <v>114.89992587101557</v>
      </c>
      <c r="AJ54" s="24">
        <f t="shared" si="74"/>
        <v>135.54216867469879</v>
      </c>
      <c r="AK54" s="24">
        <f t="shared" si="74"/>
        <v>105.39373334558485</v>
      </c>
      <c r="AL54" s="24">
        <f>AK54</f>
        <v>105.39373334558485</v>
      </c>
      <c r="AM54" s="24">
        <f t="shared" ref="AM54:AP56" si="75">1000*AM10/AM$79</f>
        <v>117.22665676628922</v>
      </c>
      <c r="AN54" s="24">
        <f t="shared" si="75"/>
        <v>175.33081285444234</v>
      </c>
      <c r="AO54" s="24">
        <f t="shared" si="75"/>
        <v>126.85990338164251</v>
      </c>
      <c r="AP54" s="24">
        <f t="shared" si="75"/>
        <v>115.1657483515491</v>
      </c>
      <c r="AQ54" s="24">
        <f>AP54</f>
        <v>115.1657483515491</v>
      </c>
      <c r="AR54" s="24">
        <f t="shared" ref="AR54:AU56" si="76">1000*AR10/AR$79</f>
        <v>111.95514559594864</v>
      </c>
      <c r="AS54" s="24">
        <f t="shared" si="76"/>
        <v>64.957112223016438</v>
      </c>
      <c r="AT54" s="24">
        <f t="shared" si="76"/>
        <v>51.904016692749089</v>
      </c>
      <c r="AU54" s="24">
        <f t="shared" si="76"/>
        <v>42.732249366778333</v>
      </c>
      <c r="AV54" s="24">
        <f>AU54</f>
        <v>42.732249366778333</v>
      </c>
      <c r="AW54" s="24">
        <f t="shared" ref="AW54:AZ56" si="77">1000*AW10/AW$79</f>
        <v>32.777290020485808</v>
      </c>
      <c r="AX54" s="24">
        <f t="shared" si="77"/>
        <v>20.923969339134036</v>
      </c>
      <c r="AY54" s="24">
        <f t="shared" si="77"/>
        <v>15.448379804069331</v>
      </c>
      <c r="AZ54" s="24">
        <f t="shared" si="77"/>
        <v>5.317157193140118</v>
      </c>
      <c r="BA54" s="24">
        <f>AZ54</f>
        <v>5.317157193140118</v>
      </c>
      <c r="BB54" s="24">
        <f t="shared" ref="BB54:BE56" si="78">1000*BB10/BB$79</f>
        <v>0.13794054762397406</v>
      </c>
      <c r="BC54" s="24">
        <f t="shared" si="78"/>
        <v>6.685385746757587E-2</v>
      </c>
      <c r="BD54" s="24">
        <f t="shared" si="78"/>
        <v>7.0506944934075999E-2</v>
      </c>
      <c r="BE54" s="24">
        <f t="shared" si="78"/>
        <v>6.6045835810052175E-2</v>
      </c>
      <c r="BF54" s="24">
        <f>BE54</f>
        <v>6.6045835810052175E-2</v>
      </c>
      <c r="BG54" s="24">
        <f t="shared" ref="BG54:BJ54" si="79">1000*BG10/BG$79</f>
        <v>6.2084807847519713E-2</v>
      </c>
      <c r="BH54" s="24">
        <f t="shared" si="79"/>
        <v>7.0062355496391795E-2</v>
      </c>
      <c r="BI54" s="24">
        <f t="shared" si="79"/>
        <v>6.3219117461120244E-2</v>
      </c>
      <c r="BJ54" s="24">
        <f t="shared" si="79"/>
        <v>6.6880684858212941E-2</v>
      </c>
      <c r="BK54" s="24">
        <f>BJ54</f>
        <v>6.6880684858212941E-2</v>
      </c>
      <c r="BL54" s="24">
        <f t="shared" ref="BL54:BM54" si="80">1000*BL10/BL$79</f>
        <v>6.9056004419584288E-2</v>
      </c>
      <c r="BM54" s="24">
        <f t="shared" si="80"/>
        <v>0</v>
      </c>
      <c r="BN54" s="24">
        <f t="shared" ref="BN54" si="81">1000*BN10/BN$79</f>
        <v>0</v>
      </c>
      <c r="BO54" s="24">
        <f t="shared" ref="BO54:BT54" si="82">BO149-BO96</f>
        <v>0</v>
      </c>
      <c r="BP54" s="24">
        <f t="shared" ref="BP54:BP65" si="83">BO54</f>
        <v>0</v>
      </c>
      <c r="BQ54" s="24">
        <f t="shared" si="82"/>
        <v>0</v>
      </c>
      <c r="BR54" s="24">
        <f t="shared" si="82"/>
        <v>0</v>
      </c>
      <c r="BS54" s="24">
        <f t="shared" si="82"/>
        <v>0</v>
      </c>
      <c r="BT54" s="24">
        <f t="shared" si="82"/>
        <v>0</v>
      </c>
      <c r="BU54" s="24">
        <f t="shared" ref="BU54:BU61" si="84">BT54</f>
        <v>0</v>
      </c>
    </row>
    <row r="55" spans="1:75">
      <c r="A55" s="5" t="s">
        <v>85</v>
      </c>
      <c r="AC55" s="24"/>
      <c r="AD55" s="24"/>
      <c r="AE55" s="24">
        <f>1000*AE11/AE$79</f>
        <v>44.324324324324323</v>
      </c>
      <c r="AF55" s="24">
        <f>1000*AF11/AF$79</f>
        <v>45.769889179205336</v>
      </c>
      <c r="AG55" s="24">
        <f>AF55</f>
        <v>45.769889179205336</v>
      </c>
      <c r="AH55" s="24">
        <f t="shared" si="74"/>
        <v>43.603302718248443</v>
      </c>
      <c r="AI55" s="24">
        <f t="shared" si="74"/>
        <v>44.384729429206821</v>
      </c>
      <c r="AJ55" s="24">
        <f t="shared" si="74"/>
        <v>43.720335889010585</v>
      </c>
      <c r="AK55" s="24">
        <f t="shared" si="74"/>
        <v>41.165119911789027</v>
      </c>
      <c r="AL55" s="24">
        <f>AK55</f>
        <v>41.165119911789027</v>
      </c>
      <c r="AM55" s="24">
        <f t="shared" si="75"/>
        <v>32.949693707072583</v>
      </c>
      <c r="AN55" s="24">
        <f t="shared" si="75"/>
        <v>16.6351606805293</v>
      </c>
      <c r="AO55" s="24">
        <f t="shared" si="75"/>
        <v>19.130434782608695</v>
      </c>
      <c r="AP55" s="24">
        <f t="shared" si="75"/>
        <v>20.413693433294192</v>
      </c>
      <c r="AQ55" s="24">
        <f>AP55</f>
        <v>20.413693433294192</v>
      </c>
      <c r="AR55" s="24">
        <f t="shared" si="76"/>
        <v>20.618556701030929</v>
      </c>
      <c r="AS55" s="24">
        <f t="shared" si="76"/>
        <v>21.443888491779841</v>
      </c>
      <c r="AT55" s="24">
        <f t="shared" si="76"/>
        <v>19.909580942444794</v>
      </c>
      <c r="AU55" s="24">
        <f t="shared" si="76"/>
        <v>18.302148868371599</v>
      </c>
      <c r="AV55" s="24">
        <f>AU55</f>
        <v>18.302148868371599</v>
      </c>
      <c r="AW55" s="24">
        <f t="shared" si="77"/>
        <v>17.486098917178811</v>
      </c>
      <c r="AX55" s="24">
        <f t="shared" si="77"/>
        <v>15.261376976728126</v>
      </c>
      <c r="AY55" s="24">
        <f t="shared" si="77"/>
        <v>17.256970610399399</v>
      </c>
      <c r="AZ55" s="24">
        <f t="shared" si="77"/>
        <v>17.748820489777579</v>
      </c>
      <c r="BA55" s="24">
        <f>AZ55</f>
        <v>17.748820489777579</v>
      </c>
      <c r="BB55" s="24">
        <f t="shared" si="78"/>
        <v>16.483895441064899</v>
      </c>
      <c r="BC55" s="24">
        <f t="shared" si="78"/>
        <v>17.849979943842758</v>
      </c>
      <c r="BD55" s="24">
        <f t="shared" si="78"/>
        <v>19.741944581541279</v>
      </c>
      <c r="BE55" s="24">
        <f t="shared" si="78"/>
        <v>20.870484115976488</v>
      </c>
      <c r="BF55" s="24">
        <f>BE55</f>
        <v>20.870484115976488</v>
      </c>
      <c r="BG55" s="24">
        <f t="shared" ref="BG55:BJ55" si="85">1000*BG11/BG$79</f>
        <v>19.86713851120631</v>
      </c>
      <c r="BH55" s="24">
        <f t="shared" si="85"/>
        <v>21.439080781895889</v>
      </c>
      <c r="BI55" s="24">
        <f t="shared" si="85"/>
        <v>20.925527879630799</v>
      </c>
      <c r="BJ55" s="24">
        <f t="shared" si="85"/>
        <v>21.334938469769931</v>
      </c>
      <c r="BK55" s="24">
        <f>BJ55</f>
        <v>21.334938469769931</v>
      </c>
      <c r="BL55" s="24">
        <f t="shared" ref="BL55:BM55" si="86">1000*BL11/BL$79</f>
        <v>23.962433533595746</v>
      </c>
      <c r="BM55" s="24">
        <f t="shared" si="86"/>
        <v>22.635679742074153</v>
      </c>
      <c r="BN55" s="24">
        <f t="shared" ref="BN55" si="87">1000*BN11/BN$79</f>
        <v>18.650996423096576</v>
      </c>
      <c r="BO55" s="24">
        <f>BO150-BO97</f>
        <v>18.403195732319269</v>
      </c>
      <c r="BP55" s="24">
        <f t="shared" si="83"/>
        <v>18.403195732319269</v>
      </c>
      <c r="BQ55" s="24">
        <f>BQ150-BQ97</f>
        <v>18.450779948821712</v>
      </c>
      <c r="BR55" s="24">
        <f>BR150-BR97</f>
        <v>18.498610875455082</v>
      </c>
      <c r="BS55" s="24">
        <f>BS150-BS97</f>
        <v>18.546690435885118</v>
      </c>
      <c r="BT55" s="24">
        <f>BT150-BT97</f>
        <v>18.595020573828787</v>
      </c>
      <c r="BU55" s="24">
        <f t="shared" si="84"/>
        <v>18.595020573828787</v>
      </c>
    </row>
    <row r="56" spans="1:75">
      <c r="A56" s="34" t="s">
        <v>84</v>
      </c>
      <c r="AC56" s="24"/>
      <c r="AD56" s="24"/>
      <c r="AE56" s="24"/>
      <c r="AF56" s="24"/>
      <c r="AG56" s="24"/>
      <c r="AH56" s="24"/>
      <c r="AI56" s="24"/>
      <c r="AJ56" s="24"/>
      <c r="AK56" s="24"/>
      <c r="AL56" s="24"/>
      <c r="AM56" s="24">
        <f t="shared" si="75"/>
        <v>25.431594579543347</v>
      </c>
      <c r="AN56" s="24">
        <f t="shared" si="75"/>
        <v>26.937618147448017</v>
      </c>
      <c r="AO56" s="24">
        <f t="shared" si="75"/>
        <v>40.869565217391305</v>
      </c>
      <c r="AP56" s="24">
        <f t="shared" si="75"/>
        <v>56.002167825851323</v>
      </c>
      <c r="AQ56" s="24">
        <f>AP56</f>
        <v>56.002167825851323</v>
      </c>
      <c r="AR56" s="24">
        <f t="shared" si="76"/>
        <v>55.977572797974318</v>
      </c>
      <c r="AS56" s="24">
        <f t="shared" si="76"/>
        <v>45.746962115796997</v>
      </c>
      <c r="AT56" s="24">
        <f t="shared" si="76"/>
        <v>45.122587376108505</v>
      </c>
      <c r="AU56" s="24">
        <f t="shared" si="76"/>
        <v>32.600702671786912</v>
      </c>
      <c r="AV56" s="24">
        <f>AU56</f>
        <v>32.600702671786912</v>
      </c>
      <c r="AW56" s="24">
        <f t="shared" si="77"/>
        <v>24.948785484342988</v>
      </c>
      <c r="AX56" s="24">
        <f t="shared" si="77"/>
        <v>22.58131344520406</v>
      </c>
      <c r="AY56" s="24">
        <f t="shared" si="77"/>
        <v>21.024868123587041</v>
      </c>
      <c r="AZ56" s="24">
        <f t="shared" si="77"/>
        <v>20.96907062083427</v>
      </c>
      <c r="BA56" s="24">
        <f>AZ56</f>
        <v>20.96907062083427</v>
      </c>
      <c r="BB56" s="24">
        <f t="shared" si="78"/>
        <v>20.897992965032071</v>
      </c>
      <c r="BC56" s="24">
        <f t="shared" si="78"/>
        <v>21.994919106832462</v>
      </c>
      <c r="BD56" s="24">
        <f t="shared" si="78"/>
        <v>22.914757103574701</v>
      </c>
      <c r="BE56" s="24">
        <f t="shared" si="78"/>
        <v>22.71976751865795</v>
      </c>
      <c r="BF56" s="24">
        <f>BE56</f>
        <v>22.71976751865795</v>
      </c>
      <c r="BG56" s="24">
        <f t="shared" ref="BG56:BJ56" si="88">1000*BG12/BG$79</f>
        <v>24.08890544483765</v>
      </c>
      <c r="BH56" s="24">
        <f t="shared" si="88"/>
        <v>25.572759756183004</v>
      </c>
      <c r="BI56" s="24">
        <f t="shared" si="88"/>
        <v>24.971551397142495</v>
      </c>
      <c r="BJ56" s="24">
        <f t="shared" si="88"/>
        <v>24.612092027822364</v>
      </c>
      <c r="BK56" s="24">
        <f>BJ56</f>
        <v>24.612092027822364</v>
      </c>
      <c r="BL56" s="24">
        <f t="shared" ref="BL56:BM56" si="89">1000*BL12/BL$79</f>
        <v>26.241281679442029</v>
      </c>
      <c r="BM56" s="24">
        <f t="shared" si="89"/>
        <v>26.598602901665771</v>
      </c>
      <c r="BN56" s="24">
        <f t="shared" ref="BN56" si="90">1000*BN12/BN$79</f>
        <v>24.207971384772609</v>
      </c>
      <c r="BO56" s="24">
        <f t="shared" ref="BO56:BT56" si="91">BO151-BO98</f>
        <v>23.15</v>
      </c>
      <c r="BP56" s="24">
        <f t="shared" si="83"/>
        <v>23.15</v>
      </c>
      <c r="BQ56" s="24">
        <f t="shared" si="91"/>
        <v>21.515000000000001</v>
      </c>
      <c r="BR56" s="24">
        <f t="shared" si="91"/>
        <v>19.91</v>
      </c>
      <c r="BS56" s="24">
        <f t="shared" si="91"/>
        <v>18.324999999999999</v>
      </c>
      <c r="BT56" s="24">
        <f t="shared" si="91"/>
        <v>16.734999999999999</v>
      </c>
      <c r="BU56" s="24">
        <f t="shared" si="84"/>
        <v>16.734999999999999</v>
      </c>
    </row>
    <row r="57" spans="1:75" s="26" customFormat="1">
      <c r="A57" s="806" t="s">
        <v>2964</v>
      </c>
      <c r="AC57" s="287"/>
      <c r="AD57" s="287"/>
      <c r="AE57" s="287"/>
      <c r="AF57" s="287"/>
      <c r="AG57" s="287"/>
      <c r="AH57" s="287"/>
      <c r="AI57" s="287"/>
      <c r="AJ57" s="287"/>
      <c r="AK57" s="287"/>
      <c r="AL57" s="287"/>
      <c r="AM57" s="287"/>
      <c r="AN57" s="287"/>
      <c r="AO57" s="287"/>
      <c r="AP57" s="287"/>
      <c r="AQ57" s="287"/>
      <c r="AR57" s="287"/>
      <c r="AS57" s="287"/>
      <c r="AT57" s="287"/>
      <c r="AU57" s="287"/>
      <c r="AV57" s="287"/>
      <c r="AW57" s="287"/>
      <c r="AX57" s="287"/>
      <c r="AY57" s="287"/>
      <c r="AZ57" s="287"/>
      <c r="BA57" s="287"/>
      <c r="BB57" s="287"/>
      <c r="BC57" s="287"/>
      <c r="BD57" s="287"/>
      <c r="BE57" s="287"/>
      <c r="BF57" s="287"/>
      <c r="BG57" s="287">
        <f t="shared" ref="BG57:BJ58" si="92">BG152-BG99</f>
        <v>0</v>
      </c>
      <c r="BH57" s="287">
        <f t="shared" si="92"/>
        <v>0.5</v>
      </c>
      <c r="BI57" s="287">
        <f t="shared" si="92"/>
        <v>0.5</v>
      </c>
      <c r="BJ57" s="287">
        <f t="shared" si="92"/>
        <v>3.2929936305732488</v>
      </c>
      <c r="BK57" s="287">
        <f t="shared" ref="BK57:BK58" si="93">BJ57</f>
        <v>3.2929936305732488</v>
      </c>
      <c r="BL57" s="287">
        <f t="shared" ref="BL57:BM57" si="94">BL152-BL99</f>
        <v>10.792993630573248</v>
      </c>
      <c r="BM57" s="287">
        <f t="shared" si="94"/>
        <v>24.7</v>
      </c>
      <c r="BN57" s="287">
        <f t="shared" ref="BN57:BO58" si="95">BN152-BN99</f>
        <v>54.4</v>
      </c>
      <c r="BO57" s="287">
        <f t="shared" si="95"/>
        <v>54.4</v>
      </c>
      <c r="BP57" s="287">
        <f t="shared" ref="BP57" si="96">BO57</f>
        <v>54.4</v>
      </c>
      <c r="BQ57" s="287">
        <f t="shared" ref="BQ57:BT57" si="97">BQ152-BQ99</f>
        <v>85.474999999999994</v>
      </c>
      <c r="BR57" s="287">
        <f t="shared" si="97"/>
        <v>97.45</v>
      </c>
      <c r="BS57" s="287">
        <f t="shared" si="97"/>
        <v>109.425</v>
      </c>
      <c r="BT57" s="287">
        <f t="shared" si="97"/>
        <v>109.425</v>
      </c>
      <c r="BU57" s="287">
        <f t="shared" si="84"/>
        <v>109.425</v>
      </c>
      <c r="BW57" s="328"/>
    </row>
    <row r="58" spans="1:75" s="26" customFormat="1">
      <c r="A58" s="806" t="s">
        <v>2963</v>
      </c>
      <c r="AC58" s="287"/>
      <c r="AD58" s="287"/>
      <c r="AE58" s="287"/>
      <c r="AF58" s="287"/>
      <c r="AG58" s="287"/>
      <c r="AH58" s="287"/>
      <c r="AI58" s="287"/>
      <c r="AJ58" s="287"/>
      <c r="AK58" s="287"/>
      <c r="AL58" s="287"/>
      <c r="AM58" s="287"/>
      <c r="AN58" s="287"/>
      <c r="AO58" s="287"/>
      <c r="AP58" s="287"/>
      <c r="AQ58" s="287"/>
      <c r="AR58" s="287"/>
      <c r="AS58" s="287"/>
      <c r="AT58" s="287"/>
      <c r="AU58" s="287"/>
      <c r="AV58" s="287"/>
      <c r="AW58" s="287"/>
      <c r="AX58" s="287"/>
      <c r="AY58" s="287"/>
      <c r="AZ58" s="287"/>
      <c r="BA58" s="287"/>
      <c r="BB58" s="287"/>
      <c r="BC58" s="287"/>
      <c r="BD58" s="287"/>
      <c r="BE58" s="287"/>
      <c r="BF58" s="287"/>
      <c r="BG58" s="287">
        <f t="shared" si="92"/>
        <v>26.944806605823555</v>
      </c>
      <c r="BH58" s="287">
        <f t="shared" si="92"/>
        <v>27.805191620542285</v>
      </c>
      <c r="BI58" s="287">
        <f t="shared" si="92"/>
        <v>28.07504109242635</v>
      </c>
      <c r="BJ58" s="287">
        <f t="shared" si="92"/>
        <v>28.609093046794321</v>
      </c>
      <c r="BK58" s="287">
        <f t="shared" si="93"/>
        <v>28.609093046794321</v>
      </c>
      <c r="BL58" s="287">
        <f t="shared" ref="BL58:BM58" si="98">BL153-BL100</f>
        <v>29.673824959303143</v>
      </c>
      <c r="BM58" s="287">
        <f t="shared" si="98"/>
        <v>30.780924234282651</v>
      </c>
      <c r="BN58" s="287">
        <f t="shared" si="95"/>
        <v>29.721103730199285</v>
      </c>
      <c r="BO58" s="287">
        <f>BO153-BO100</f>
        <v>28.990000000000002</v>
      </c>
      <c r="BP58" s="287">
        <f t="shared" ref="BP58" si="99">BO58</f>
        <v>28.990000000000002</v>
      </c>
      <c r="BQ58" s="287">
        <f>BQ153-BQ100</f>
        <v>26.750000000000014</v>
      </c>
      <c r="BR58" s="287">
        <f>BR153-BR100</f>
        <v>24.609999999999985</v>
      </c>
      <c r="BS58" s="287">
        <f>BS153-BS100</f>
        <v>22.615000000000009</v>
      </c>
      <c r="BT58" s="287">
        <f>BT153-BT100</f>
        <v>20.075000000000017</v>
      </c>
      <c r="BU58" s="287">
        <f t="shared" si="84"/>
        <v>20.075000000000017</v>
      </c>
      <c r="BW58" s="328"/>
    </row>
    <row r="59" spans="1:75">
      <c r="A59" s="34" t="s">
        <v>83</v>
      </c>
      <c r="AC59" s="24"/>
      <c r="AD59" s="24"/>
      <c r="AE59" s="24"/>
      <c r="AF59" s="24"/>
      <c r="AG59" s="24"/>
      <c r="AH59" s="24"/>
      <c r="AI59" s="24"/>
      <c r="AJ59" s="24"/>
      <c r="AK59" s="24"/>
      <c r="AL59" s="24"/>
      <c r="AM59" s="24">
        <f t="shared" ref="AM59:AP60" si="100">1000*AM15/AM$79</f>
        <v>2.0419528494523855</v>
      </c>
      <c r="AN59" s="24">
        <f t="shared" si="100"/>
        <v>7.7504725897920608</v>
      </c>
      <c r="AO59" s="24">
        <f t="shared" si="100"/>
        <v>9.27536231884058</v>
      </c>
      <c r="AP59" s="24">
        <f t="shared" si="100"/>
        <v>11.832716105139555</v>
      </c>
      <c r="AQ59" s="24">
        <f>AP59</f>
        <v>11.832716105139555</v>
      </c>
      <c r="AR59" s="24">
        <f t="shared" ref="AR59:AU60" si="101">1000*AR15/AR$79</f>
        <v>25.773195876288661</v>
      </c>
      <c r="AS59" s="24">
        <f t="shared" si="101"/>
        <v>36.097212294496067</v>
      </c>
      <c r="AT59" s="24">
        <f t="shared" si="101"/>
        <v>41.992696922274391</v>
      </c>
      <c r="AU59" s="24">
        <f t="shared" si="101"/>
        <v>40.526186779965684</v>
      </c>
      <c r="AV59" s="24">
        <f>AU59</f>
        <v>40.526186779965684</v>
      </c>
      <c r="AW59" s="24">
        <f t="shared" ref="AW59:AZ60" si="102">1000*AW15/AW$79</f>
        <v>32.92361720807726</v>
      </c>
      <c r="AX59" s="24">
        <f t="shared" si="102"/>
        <v>28.934465851805815</v>
      </c>
      <c r="AY59" s="24">
        <f t="shared" si="102"/>
        <v>27.9577995478523</v>
      </c>
      <c r="AZ59" s="24">
        <f t="shared" si="102"/>
        <v>26.361117351905939</v>
      </c>
      <c r="BA59" s="24">
        <f>AZ59</f>
        <v>26.361117351905939</v>
      </c>
      <c r="BB59" s="24">
        <f t="shared" ref="BB59:BE60" si="103">1000*BB15/BB$79</f>
        <v>27.86399062004276</v>
      </c>
      <c r="BC59" s="24">
        <f t="shared" si="103"/>
        <v>26.006150554887014</v>
      </c>
      <c r="BD59" s="24">
        <f t="shared" si="103"/>
        <v>29.189875202707466</v>
      </c>
      <c r="BE59" s="24">
        <f t="shared" si="103"/>
        <v>29.192259428043062</v>
      </c>
      <c r="BF59" s="24">
        <f>BE59</f>
        <v>29.192259428043062</v>
      </c>
      <c r="BG59" s="24">
        <f t="shared" ref="BG59:BJ59" si="104">1000*BG15/BG$79</f>
        <v>26.944806605823555</v>
      </c>
      <c r="BH59" s="24">
        <f t="shared" si="104"/>
        <v>28.305191620542285</v>
      </c>
      <c r="BI59" s="24">
        <f t="shared" si="104"/>
        <v>28.57504109242635</v>
      </c>
      <c r="BJ59" s="24">
        <f t="shared" si="104"/>
        <v>31.902086677367574</v>
      </c>
      <c r="BK59" s="24">
        <f>BJ59</f>
        <v>31.902086677367574</v>
      </c>
      <c r="BL59" s="24">
        <f t="shared" ref="BL59:BM59" si="105">1000*BL15/BL$79</f>
        <v>40.466818589876389</v>
      </c>
      <c r="BM59" s="24">
        <f t="shared" si="105"/>
        <v>55.480924234282647</v>
      </c>
      <c r="BN59" s="24">
        <f t="shared" ref="BN59" si="106">1000*BN15/BN$79</f>
        <v>84.12110373019928</v>
      </c>
      <c r="BO59" s="24">
        <f>BO154-BO101</f>
        <v>83.39</v>
      </c>
      <c r="BP59" s="24">
        <f t="shared" si="83"/>
        <v>83.39</v>
      </c>
      <c r="BQ59" s="24">
        <f t="shared" ref="BQ59:BT59" si="107">BQ154-BQ101</f>
        <v>112.22500000000001</v>
      </c>
      <c r="BR59" s="24">
        <f t="shared" si="107"/>
        <v>122.05999999999999</v>
      </c>
      <c r="BS59" s="24">
        <f t="shared" si="107"/>
        <v>132.04</v>
      </c>
      <c r="BT59" s="24">
        <f t="shared" si="107"/>
        <v>129.5</v>
      </c>
      <c r="BU59" s="24">
        <f t="shared" si="84"/>
        <v>129.5</v>
      </c>
    </row>
    <row r="60" spans="1:75">
      <c r="A60" s="34" t="s">
        <v>944</v>
      </c>
      <c r="AC60" s="24"/>
      <c r="AD60" s="24"/>
      <c r="AE60" s="24"/>
      <c r="AF60" s="24"/>
      <c r="AG60" s="24"/>
      <c r="AH60" s="24"/>
      <c r="AI60" s="24"/>
      <c r="AJ60" s="24"/>
      <c r="AK60" s="24"/>
      <c r="AL60" s="24"/>
      <c r="AM60" s="24">
        <f t="shared" si="100"/>
        <v>1.3922405791720811</v>
      </c>
      <c r="AN60" s="24">
        <f t="shared" si="100"/>
        <v>2.0793950850661624</v>
      </c>
      <c r="AO60" s="24">
        <f t="shared" si="100"/>
        <v>3.0917874396135265</v>
      </c>
      <c r="AP60" s="24">
        <f t="shared" si="100"/>
        <v>3.9743473940926748</v>
      </c>
      <c r="AQ60" s="24">
        <f>AP60</f>
        <v>3.9743473940926748</v>
      </c>
      <c r="AR60" s="24">
        <f t="shared" si="101"/>
        <v>6.9632844999095678</v>
      </c>
      <c r="AS60" s="24">
        <f t="shared" si="101"/>
        <v>7.5947105075053605</v>
      </c>
      <c r="AT60" s="24">
        <f t="shared" si="101"/>
        <v>8.1724917405668585</v>
      </c>
      <c r="AU60" s="24">
        <f t="shared" si="101"/>
        <v>9.2327804559196007</v>
      </c>
      <c r="AV60" s="24">
        <f>AU60</f>
        <v>9.2327804559196007</v>
      </c>
      <c r="AW60" s="24">
        <f t="shared" si="102"/>
        <v>7.0237050043898153</v>
      </c>
      <c r="AX60" s="24">
        <f t="shared" si="102"/>
        <v>6.8365444375388442</v>
      </c>
      <c r="AY60" s="24">
        <f t="shared" si="102"/>
        <v>6.4807837226827436</v>
      </c>
      <c r="AZ60" s="24">
        <f t="shared" si="102"/>
        <v>5.9162734965925257</v>
      </c>
      <c r="BA60" s="24">
        <f>AZ60</f>
        <v>5.9162734965925257</v>
      </c>
      <c r="BB60" s="24">
        <f t="shared" si="103"/>
        <v>6.2762949168908193</v>
      </c>
      <c r="BC60" s="24">
        <f t="shared" si="103"/>
        <v>6.2842626019521317</v>
      </c>
      <c r="BD60" s="24">
        <f t="shared" si="103"/>
        <v>6.4161319890009159</v>
      </c>
      <c r="BE60" s="24">
        <f t="shared" si="103"/>
        <v>6.4064460735750615</v>
      </c>
      <c r="BF60" s="24">
        <f>BE60</f>
        <v>6.4064460735750615</v>
      </c>
      <c r="BG60" s="24">
        <f t="shared" ref="BG60:BJ60" si="108">1000*BG16/BG$79</f>
        <v>6.3326504004470108</v>
      </c>
      <c r="BH60" s="24">
        <f t="shared" si="108"/>
        <v>6.5858614166608289</v>
      </c>
      <c r="BI60" s="24">
        <f t="shared" si="108"/>
        <v>6.5115690984953849</v>
      </c>
      <c r="BJ60" s="24">
        <f t="shared" si="108"/>
        <v>6.3536650615302293</v>
      </c>
      <c r="BK60" s="24">
        <f>BJ60</f>
        <v>6.3536650615302293</v>
      </c>
      <c r="BL60" s="24">
        <f t="shared" ref="BL60:BM60" si="109">1000*BL16/BL$79</f>
        <v>6.8365444375388442</v>
      </c>
      <c r="BM60" s="24">
        <f t="shared" si="109"/>
        <v>6.9854916711445458</v>
      </c>
      <c r="BN60" s="24">
        <f t="shared" ref="BN60" si="110">1000*BN16/BN$79</f>
        <v>6.6428206438426161</v>
      </c>
      <c r="BO60" s="24">
        <f>BO155-BO102</f>
        <v>6.7729999999999997</v>
      </c>
      <c r="BP60" s="24">
        <f t="shared" si="83"/>
        <v>6.7729999999999997</v>
      </c>
      <c r="BQ60" s="24">
        <f t="shared" ref="BQ60:BT60" si="111">BQ155-BQ102</f>
        <v>6.8129999999999997</v>
      </c>
      <c r="BR60" s="24">
        <f t="shared" si="111"/>
        <v>6.8280000000000003</v>
      </c>
      <c r="BS60" s="24">
        <f t="shared" si="111"/>
        <v>6.8419999999999996</v>
      </c>
      <c r="BT60" s="24">
        <f t="shared" si="111"/>
        <v>6.806</v>
      </c>
      <c r="BU60" s="24">
        <f t="shared" si="84"/>
        <v>6.806</v>
      </c>
    </row>
    <row r="61" spans="1:75">
      <c r="A61" s="5" t="s">
        <v>945</v>
      </c>
      <c r="AC61" s="24"/>
      <c r="AD61" s="24"/>
      <c r="AE61" s="24">
        <f>1000*AE17/AE$79</f>
        <v>24.324324324324323</v>
      </c>
      <c r="AF61" s="24">
        <f>1000*AF17/AF$79</f>
        <v>28.380935219389137</v>
      </c>
      <c r="AG61" s="24">
        <f>AF61</f>
        <v>28.380935219389137</v>
      </c>
      <c r="AH61" s="24">
        <f t="shared" ref="AH61:AK62" si="112">1000*AH17/AH$79</f>
        <v>32.006679654884493</v>
      </c>
      <c r="AI61" s="24">
        <f t="shared" si="112"/>
        <v>29.373610081541884</v>
      </c>
      <c r="AJ61" s="24">
        <f t="shared" si="112"/>
        <v>28.751369112814896</v>
      </c>
      <c r="AK61" s="24">
        <f t="shared" si="112"/>
        <v>23.982357805752091</v>
      </c>
      <c r="AL61" s="24">
        <f>AK61</f>
        <v>23.982357805752091</v>
      </c>
      <c r="AM61" s="24">
        <f>AM56+AM59+AM60</f>
        <v>28.865788008167815</v>
      </c>
      <c r="AN61" s="24">
        <f t="shared" ref="AN61:BK61" si="113">AN56+AN59+AN60</f>
        <v>36.767485822306234</v>
      </c>
      <c r="AO61" s="24">
        <f t="shared" si="113"/>
        <v>53.236714975845409</v>
      </c>
      <c r="AP61" s="24">
        <f t="shared" si="113"/>
        <v>71.809231325083559</v>
      </c>
      <c r="AQ61" s="24">
        <f t="shared" si="113"/>
        <v>71.809231325083559</v>
      </c>
      <c r="AR61" s="24">
        <f t="shared" si="113"/>
        <v>88.714053174172548</v>
      </c>
      <c r="AS61" s="24">
        <f t="shared" si="113"/>
        <v>89.438884917798418</v>
      </c>
      <c r="AT61" s="24">
        <f t="shared" si="113"/>
        <v>95.287776038949758</v>
      </c>
      <c r="AU61" s="24">
        <f t="shared" si="113"/>
        <v>82.359669907672185</v>
      </c>
      <c r="AV61" s="24">
        <f t="shared" si="113"/>
        <v>82.359669907672185</v>
      </c>
      <c r="AW61" s="24">
        <f t="shared" si="113"/>
        <v>64.896107696810063</v>
      </c>
      <c r="AX61" s="24">
        <f t="shared" si="113"/>
        <v>58.352323734548719</v>
      </c>
      <c r="AY61" s="24">
        <f t="shared" si="113"/>
        <v>55.463451394122089</v>
      </c>
      <c r="AZ61" s="24">
        <f t="shared" si="113"/>
        <v>53.246461469332729</v>
      </c>
      <c r="BA61" s="24">
        <f t="shared" si="113"/>
        <v>53.246461469332729</v>
      </c>
      <c r="BB61" s="24">
        <f t="shared" si="113"/>
        <v>55.03827850196565</v>
      </c>
      <c r="BC61" s="24">
        <f t="shared" si="113"/>
        <v>54.285332263671606</v>
      </c>
      <c r="BD61" s="24">
        <f t="shared" si="113"/>
        <v>58.520764295283087</v>
      </c>
      <c r="BE61" s="24">
        <f t="shared" si="113"/>
        <v>58.318473020276073</v>
      </c>
      <c r="BF61" s="24">
        <f t="shared" si="113"/>
        <v>58.318473020276073</v>
      </c>
      <c r="BG61" s="24">
        <f t="shared" si="113"/>
        <v>57.366362451108216</v>
      </c>
      <c r="BH61" s="24">
        <f t="shared" si="113"/>
        <v>60.463812793386118</v>
      </c>
      <c r="BI61" s="24">
        <f t="shared" si="113"/>
        <v>60.05816158806423</v>
      </c>
      <c r="BJ61" s="24">
        <f t="shared" si="113"/>
        <v>62.867843766720164</v>
      </c>
      <c r="BK61" s="24">
        <f t="shared" si="113"/>
        <v>62.867843766720164</v>
      </c>
      <c r="BL61" s="24">
        <f t="shared" ref="BL61:BM61" si="114">BL56+BL59+BL60</f>
        <v>73.54464470685727</v>
      </c>
      <c r="BM61" s="24">
        <f t="shared" si="114"/>
        <v>89.065018807092954</v>
      </c>
      <c r="BN61" s="24">
        <f t="shared" ref="BN61" si="115">BN56+BN59+BN60</f>
        <v>114.9718957588145</v>
      </c>
      <c r="BO61" s="24">
        <f t="shared" ref="BO61:BT61" si="116">BO156-BO103</f>
        <v>113.313</v>
      </c>
      <c r="BP61" s="24">
        <f t="shared" si="83"/>
        <v>113.313</v>
      </c>
      <c r="BQ61" s="24">
        <f t="shared" si="116"/>
        <v>140.55299999999997</v>
      </c>
      <c r="BR61" s="24">
        <f t="shared" si="116"/>
        <v>148.79799999999997</v>
      </c>
      <c r="BS61" s="24">
        <f t="shared" si="116"/>
        <v>157.20699999999999</v>
      </c>
      <c r="BT61" s="24">
        <f t="shared" si="116"/>
        <v>153.041</v>
      </c>
      <c r="BU61" s="24">
        <f t="shared" si="84"/>
        <v>153.041</v>
      </c>
    </row>
    <row r="62" spans="1:75">
      <c r="A62" s="5" t="s">
        <v>87</v>
      </c>
      <c r="AC62" s="24"/>
      <c r="AD62" s="24"/>
      <c r="AE62" s="24">
        <f>1000*AE18/AE$79</f>
        <v>24.234234234234233</v>
      </c>
      <c r="AF62" s="24">
        <f>1000*AF18/AF$79</f>
        <v>25.407694386881701</v>
      </c>
      <c r="AG62" s="24">
        <f>AF62</f>
        <v>25.407694386881701</v>
      </c>
      <c r="AH62" s="24">
        <f t="shared" si="112"/>
        <v>26.904165507004357</v>
      </c>
      <c r="AI62" s="24">
        <f t="shared" si="112"/>
        <v>29.002965159377315</v>
      </c>
      <c r="AJ62" s="24">
        <f t="shared" si="112"/>
        <v>29.481562614092734</v>
      </c>
      <c r="AK62" s="24">
        <f t="shared" si="112"/>
        <v>29.127997794725719</v>
      </c>
      <c r="AL62" s="24">
        <f>AK62</f>
        <v>29.127997794725719</v>
      </c>
      <c r="AM62" s="24">
        <f>1000*AM18/AM$79</f>
        <v>12.622981251160201</v>
      </c>
      <c r="AN62" s="24">
        <f>1000*AN18/AN$79</f>
        <v>12.003780718336484</v>
      </c>
      <c r="AO62" s="24">
        <f>1000*AO18/AO$79</f>
        <v>15.169082125603865</v>
      </c>
      <c r="AP62" s="24">
        <f>1000*AP18/AP$79</f>
        <v>13.639237647908953</v>
      </c>
      <c r="AQ62" s="24">
        <f>AP62</f>
        <v>13.639237647908953</v>
      </c>
      <c r="AR62" s="24">
        <f>1000*AR18/AR$79</f>
        <v>17.001266051727256</v>
      </c>
      <c r="AS62" s="24">
        <f>1000*AS18/AS$79</f>
        <v>6.9692637598284488</v>
      </c>
      <c r="AT62" s="24">
        <f>1000*AT18/AT$79</f>
        <v>6.4336637106590162</v>
      </c>
      <c r="AU62" s="24">
        <f>1000*AU18/AU$79</f>
        <v>7.8437780864449707</v>
      </c>
      <c r="AV62" s="24">
        <f>AU62</f>
        <v>7.8437780864449707</v>
      </c>
      <c r="AW62" s="24">
        <f t="shared" ref="AW62:AZ65" si="117">1000*AW18/AW$79</f>
        <v>7.3163593795727246</v>
      </c>
      <c r="AX62" s="24">
        <f t="shared" si="117"/>
        <v>7.9414405082521924</v>
      </c>
      <c r="AY62" s="24">
        <f t="shared" si="117"/>
        <v>8.666164280331575</v>
      </c>
      <c r="AZ62" s="24">
        <f t="shared" si="117"/>
        <v>9.2114131655807689</v>
      </c>
      <c r="BA62" s="24">
        <f>AZ62</f>
        <v>9.2114131655807689</v>
      </c>
      <c r="BB62" s="24">
        <f t="shared" ref="BB62:BE65" si="118">1000*BB18/BB$79</f>
        <v>8.2764328574384436</v>
      </c>
      <c r="BC62" s="24">
        <f t="shared" si="118"/>
        <v>8.4904398983821352</v>
      </c>
      <c r="BD62" s="24">
        <f t="shared" si="118"/>
        <v>11.422125079320312</v>
      </c>
      <c r="BE62" s="24">
        <f t="shared" si="118"/>
        <v>11.624067102569184</v>
      </c>
      <c r="BF62" s="24">
        <f>BE62</f>
        <v>11.624067102569184</v>
      </c>
      <c r="BG62" s="24">
        <f t="shared" ref="BG62:BJ62" si="119">1000*BG18/BG$79</f>
        <v>15.024523499099772</v>
      </c>
      <c r="BH62" s="24">
        <f t="shared" si="119"/>
        <v>17.58565122959434</v>
      </c>
      <c r="BI62" s="24">
        <f t="shared" si="119"/>
        <v>18.839297003413833</v>
      </c>
      <c r="BJ62" s="24">
        <f t="shared" si="119"/>
        <v>22.739432851792401</v>
      </c>
      <c r="BK62" s="24">
        <f>BJ62</f>
        <v>22.739432851792401</v>
      </c>
      <c r="BL62" s="24">
        <f t="shared" ref="BL62:BM62" si="120">1000*BL18/BL$79</f>
        <v>15.192320972308542</v>
      </c>
      <c r="BM62" s="24">
        <f t="shared" si="120"/>
        <v>10.814078452444923</v>
      </c>
      <c r="BN62" s="24">
        <f t="shared" ref="BN62" si="121">1000*BN18/BN$79</f>
        <v>5.8124680633622887</v>
      </c>
      <c r="BO62" s="224">
        <f t="shared" ref="BO62" si="122">BO157-BO104</f>
        <v>3.4577600000000013</v>
      </c>
      <c r="BP62" s="224">
        <f t="shared" si="83"/>
        <v>3.4577600000000013</v>
      </c>
      <c r="BQ62" s="224"/>
      <c r="BR62" s="224"/>
      <c r="BS62" s="224"/>
      <c r="BT62" s="224"/>
      <c r="BU62" s="224"/>
    </row>
    <row r="63" spans="1:75" s="26" customFormat="1">
      <c r="A63" s="29" t="s">
        <v>88</v>
      </c>
      <c r="AC63" s="287"/>
      <c r="AD63" s="287"/>
      <c r="AE63" s="287"/>
      <c r="AF63" s="287"/>
      <c r="AG63" s="287"/>
      <c r="AH63" s="287"/>
      <c r="AI63" s="287"/>
      <c r="AJ63" s="287"/>
      <c r="AK63" s="287"/>
      <c r="AL63" s="287"/>
      <c r="AM63" s="287"/>
      <c r="AN63" s="287"/>
      <c r="AO63" s="287"/>
      <c r="AP63" s="287"/>
      <c r="AQ63" s="287"/>
      <c r="AR63" s="287"/>
      <c r="AS63" s="287">
        <f t="shared" ref="AS63:AU65" si="123">1000*AS19/AS$79</f>
        <v>4.5568263045032165</v>
      </c>
      <c r="AT63" s="287">
        <f t="shared" si="123"/>
        <v>0.69553121196313683</v>
      </c>
      <c r="AU63" s="287">
        <f t="shared" si="123"/>
        <v>0.81706021733801781</v>
      </c>
      <c r="AV63" s="287">
        <f>AU63</f>
        <v>0.81706021733801781</v>
      </c>
      <c r="AW63" s="287">
        <f t="shared" si="117"/>
        <v>1.2437810945273631</v>
      </c>
      <c r="AX63" s="287">
        <f t="shared" si="117"/>
        <v>0.89772805745459572</v>
      </c>
      <c r="AY63" s="287">
        <f t="shared" si="117"/>
        <v>1.2057272042200453</v>
      </c>
      <c r="AZ63" s="287">
        <f t="shared" si="117"/>
        <v>2.0969070620834271</v>
      </c>
      <c r="BA63" s="287">
        <f>AZ63</f>
        <v>2.0969070620834271</v>
      </c>
      <c r="BB63" s="287">
        <f t="shared" si="118"/>
        <v>1.5863162976757017</v>
      </c>
      <c r="BC63" s="287">
        <f t="shared" si="118"/>
        <v>1.5376387217542451</v>
      </c>
      <c r="BD63" s="287">
        <f t="shared" si="118"/>
        <v>2.044701403088204</v>
      </c>
      <c r="BE63" s="287">
        <f t="shared" si="118"/>
        <v>2.1795125817317218</v>
      </c>
      <c r="BF63" s="287">
        <f>BE63</f>
        <v>2.1795125817317218</v>
      </c>
      <c r="BG63" s="287">
        <f t="shared" ref="BG63:BH63" si="124">1000*BG19/BG$79</f>
        <v>2.2971378903582296</v>
      </c>
      <c r="BH63" s="287">
        <f t="shared" si="124"/>
        <v>2.5923071533664963</v>
      </c>
      <c r="BI63" s="287">
        <f>1000*BI19/BI$79</f>
        <v>2.4023264635225692</v>
      </c>
      <c r="BJ63" s="287">
        <f t="shared" ref="BJ63" si="125">1000*BJ19/BJ$79</f>
        <v>2.7421080791867305</v>
      </c>
      <c r="BK63" s="287">
        <f>BJ63</f>
        <v>2.7421080791867305</v>
      </c>
      <c r="BL63" s="287">
        <f t="shared" ref="BL63:BM63" si="126">1000*BL19/BL$79</f>
        <v>2.4169601546854498</v>
      </c>
      <c r="BM63" s="287">
        <f t="shared" si="126"/>
        <v>0.33584094572810319</v>
      </c>
      <c r="BN63" s="287">
        <f t="shared" ref="BN63" si="127">1000*BN19/BN$79</f>
        <v>0</v>
      </c>
      <c r="BO63" s="1093">
        <f>'Investment Business Of HoldCo'!AZ219/1000</f>
        <v>0</v>
      </c>
      <c r="BP63" s="287">
        <f t="shared" si="83"/>
        <v>0</v>
      </c>
      <c r="BQ63" s="287"/>
      <c r="BR63" s="287"/>
      <c r="BS63" s="287"/>
      <c r="BT63" s="287"/>
      <c r="BU63" s="287"/>
      <c r="BW63" s="328"/>
    </row>
    <row r="64" spans="1:75">
      <c r="A64" s="5" t="s">
        <v>946</v>
      </c>
      <c r="AC64" s="24"/>
      <c r="AD64" s="24"/>
      <c r="AE64" s="24">
        <f>1000*AE20/AE$79</f>
        <v>24.324324324324323</v>
      </c>
      <c r="AF64" s="24">
        <f>1000*AF20/AF$79</f>
        <v>24.416614109379225</v>
      </c>
      <c r="AG64" s="24">
        <f>AF64</f>
        <v>24.416614109379225</v>
      </c>
      <c r="AH64" s="24">
        <f t="shared" ref="AH64:AK65" si="128">1000*AH20/AH$79</f>
        <v>24.306521940810836</v>
      </c>
      <c r="AI64" s="24">
        <f t="shared" si="128"/>
        <v>24.833209785025943</v>
      </c>
      <c r="AJ64" s="24">
        <f t="shared" si="128"/>
        <v>24.644030668127055</v>
      </c>
      <c r="AK64" s="24">
        <f t="shared" si="128"/>
        <v>24.16613066250115</v>
      </c>
      <c r="AL64" s="24">
        <f>AK64</f>
        <v>24.16613066250115</v>
      </c>
      <c r="AM64" s="24">
        <f t="shared" ref="AM64:AP65" si="129">1000*AM20/AM$79</f>
        <v>24.596250232040099</v>
      </c>
      <c r="AN64" s="24">
        <f t="shared" si="129"/>
        <v>24.57466918714556</v>
      </c>
      <c r="AO64" s="24">
        <f t="shared" si="129"/>
        <v>24.637681159420289</v>
      </c>
      <c r="AP64" s="24">
        <f t="shared" si="129"/>
        <v>24.568692981663808</v>
      </c>
      <c r="AQ64" s="24">
        <f>AP64</f>
        <v>24.568692981663808</v>
      </c>
      <c r="AR64" s="24">
        <f>1000*AR20/AR$79</f>
        <v>24.597576415264967</v>
      </c>
      <c r="AS64" s="24">
        <f t="shared" si="123"/>
        <v>24.571122230164402</v>
      </c>
      <c r="AT64" s="24">
        <f t="shared" si="123"/>
        <v>24.604416623195966</v>
      </c>
      <c r="AU64" s="24">
        <f t="shared" si="123"/>
        <v>22.142331889860284</v>
      </c>
      <c r="AV64" s="24">
        <f>AU64</f>
        <v>22.142331889860284</v>
      </c>
      <c r="AW64" s="24">
        <f t="shared" si="117"/>
        <v>21.656423763535265</v>
      </c>
      <c r="AX64" s="24">
        <f t="shared" si="117"/>
        <v>21.614529383329881</v>
      </c>
      <c r="AY64" s="24">
        <f t="shared" si="117"/>
        <v>19.819140919366994</v>
      </c>
      <c r="AZ64" s="24">
        <f t="shared" si="117"/>
        <v>21.493297386355128</v>
      </c>
      <c r="BA64" s="24">
        <f>AZ64</f>
        <v>21.493297386355128</v>
      </c>
      <c r="BB64" s="24">
        <f t="shared" si="118"/>
        <v>25.243120215187254</v>
      </c>
      <c r="BC64" s="24">
        <f t="shared" si="118"/>
        <v>28.947720283460352</v>
      </c>
      <c r="BD64" s="24">
        <f t="shared" si="118"/>
        <v>48.861312839314671</v>
      </c>
      <c r="BE64" s="24">
        <f t="shared" si="118"/>
        <v>94.841820223234933</v>
      </c>
      <c r="BF64" s="24">
        <f>BE64</f>
        <v>94.841820223234933</v>
      </c>
      <c r="BG64" s="24">
        <f t="shared" ref="BG64:BJ64" si="130">1000*BG20/BG$79</f>
        <v>130.50226609548645</v>
      </c>
      <c r="BH64" s="24">
        <f t="shared" si="130"/>
        <v>115.60288656904646</v>
      </c>
      <c r="BI64" s="24">
        <f t="shared" si="130"/>
        <v>97.483879125047409</v>
      </c>
      <c r="BJ64" s="24">
        <f t="shared" si="130"/>
        <v>86.276083467094693</v>
      </c>
      <c r="BK64" s="24">
        <f>BJ64</f>
        <v>86.276083467094693</v>
      </c>
      <c r="BL64" s="24">
        <f t="shared" ref="BL64:BM64" si="131">1000*BL20/BL$79</f>
        <v>136.93805676403562</v>
      </c>
      <c r="BM64" s="24">
        <f t="shared" si="131"/>
        <v>122.11176786673832</v>
      </c>
      <c r="BN64" s="24">
        <f t="shared" ref="BN64" si="132">1000*BN20/BN$79</f>
        <v>81.05518650996423</v>
      </c>
      <c r="BO64" s="24">
        <f t="shared" ref="BO64:BT64" si="133">BO159-BO106</f>
        <v>97.59877126376432</v>
      </c>
      <c r="BP64" s="24">
        <f t="shared" si="83"/>
        <v>97.59877126376432</v>
      </c>
      <c r="BQ64" s="24">
        <f t="shared" si="133"/>
        <v>97.59877126376432</v>
      </c>
      <c r="BR64" s="24">
        <f t="shared" si="133"/>
        <v>95.09877126376432</v>
      </c>
      <c r="BS64" s="24">
        <f t="shared" si="133"/>
        <v>92.59877126376432</v>
      </c>
      <c r="BT64" s="24">
        <f t="shared" si="133"/>
        <v>92.59877126376432</v>
      </c>
      <c r="BU64" s="24">
        <f t="shared" ref="BU64:BU65" si="134">BT64</f>
        <v>92.59877126376432</v>
      </c>
    </row>
    <row r="65" spans="1:78">
      <c r="A65" s="5" t="s">
        <v>947</v>
      </c>
      <c r="AC65" s="24"/>
      <c r="AD65" s="24"/>
      <c r="AE65" s="24">
        <f>1000*AE21/AE$79</f>
        <v>2.4324324324324325</v>
      </c>
      <c r="AF65" s="24">
        <f>1000*AF21/AF$79</f>
        <v>4.2346157311469508</v>
      </c>
      <c r="AG65" s="24">
        <f>AF65</f>
        <v>4.2346157311469508</v>
      </c>
      <c r="AH65" s="24">
        <f t="shared" si="128"/>
        <v>8.3495686056220428</v>
      </c>
      <c r="AI65" s="24">
        <f t="shared" si="128"/>
        <v>7.0422535211267601</v>
      </c>
      <c r="AJ65" s="24">
        <f t="shared" si="128"/>
        <v>10.405257393209201</v>
      </c>
      <c r="AK65" s="24">
        <f t="shared" si="128"/>
        <v>8.0860056969585585</v>
      </c>
      <c r="AL65" s="24">
        <f>AK65</f>
        <v>8.0860056969585585</v>
      </c>
      <c r="AM65" s="24">
        <f t="shared" si="129"/>
        <v>14.293669946166698</v>
      </c>
      <c r="AN65" s="24">
        <f t="shared" si="129"/>
        <v>32.703213610586012</v>
      </c>
      <c r="AO65" s="24">
        <f t="shared" si="129"/>
        <v>32.367149758454104</v>
      </c>
      <c r="AP65" s="24">
        <f t="shared" si="129"/>
        <v>28.99467076144883</v>
      </c>
      <c r="AQ65" s="24">
        <f>AP65</f>
        <v>28.99467076144883</v>
      </c>
      <c r="AR65" s="24">
        <f>1000*AR21/AR$79</f>
        <v>27.491408934707906</v>
      </c>
      <c r="AS65" s="24">
        <f t="shared" si="123"/>
        <v>17.691208005718369</v>
      </c>
      <c r="AT65" s="24">
        <f t="shared" si="123"/>
        <v>15.649452269170579</v>
      </c>
      <c r="AU65" s="24">
        <f t="shared" si="123"/>
        <v>15.19732004248713</v>
      </c>
      <c r="AV65" s="24">
        <f>AU65</f>
        <v>15.19732004248713</v>
      </c>
      <c r="AW65" s="24">
        <f t="shared" si="117"/>
        <v>13.096283289435176</v>
      </c>
      <c r="AX65" s="24">
        <f t="shared" si="117"/>
        <v>10.979904702713901</v>
      </c>
      <c r="AY65" s="24">
        <f t="shared" si="117"/>
        <v>9.721175584024115</v>
      </c>
      <c r="AZ65" s="24">
        <f t="shared" si="117"/>
        <v>9.7356399311016251</v>
      </c>
      <c r="BA65" s="24">
        <f>AZ65</f>
        <v>9.7356399311016251</v>
      </c>
      <c r="BB65" s="24">
        <f t="shared" si="118"/>
        <v>9.793778881302158</v>
      </c>
      <c r="BC65" s="24">
        <f t="shared" si="118"/>
        <v>11.565717341890625</v>
      </c>
      <c r="BD65" s="24">
        <f t="shared" si="118"/>
        <v>12.479729253331453</v>
      </c>
      <c r="BE65" s="24">
        <f t="shared" si="118"/>
        <v>12.482662968099861</v>
      </c>
      <c r="BF65" s="24">
        <f>BE65</f>
        <v>12.482662968099861</v>
      </c>
      <c r="BG65" s="24">
        <f>1000*BG21/BG$79</f>
        <v>12.416961569503943</v>
      </c>
      <c r="BH65" s="24">
        <f t="shared" ref="BH65:BJ65" si="135">1000*BH21/BH$79</f>
        <v>14.43284523225671</v>
      </c>
      <c r="BI65" s="24">
        <f t="shared" si="135"/>
        <v>13.08635731445189</v>
      </c>
      <c r="BJ65" s="24">
        <f t="shared" si="135"/>
        <v>13.777421080791866</v>
      </c>
      <c r="BK65" s="24">
        <f>BJ65</f>
        <v>13.777421080791866</v>
      </c>
      <c r="BL65" s="24">
        <f>1000*BL21/BL$79</f>
        <v>17.471169118154823</v>
      </c>
      <c r="BM65" s="24">
        <f t="shared" ref="BM65:BN65" si="136">1000*BM21/BM$79</f>
        <v>22.770016120365394</v>
      </c>
      <c r="BN65" s="24">
        <f t="shared" si="136"/>
        <v>28.487480838017373</v>
      </c>
      <c r="BO65" s="24">
        <f>BO160-BO107</f>
        <v>30.839878894396197</v>
      </c>
      <c r="BP65" s="24">
        <f t="shared" si="83"/>
        <v>30.839878894396197</v>
      </c>
      <c r="BQ65" s="24">
        <f>BQ160-BQ107</f>
        <v>31.339878894396197</v>
      </c>
      <c r="BR65" s="24">
        <f>BR160-BR107</f>
        <v>37.2148788943962</v>
      </c>
      <c r="BS65" s="24">
        <f>BS160-BS107</f>
        <v>40.639878894396197</v>
      </c>
      <c r="BT65" s="24">
        <f>BT160-BT107</f>
        <v>41.139878894396197</v>
      </c>
      <c r="BU65" s="24">
        <f t="shared" si="134"/>
        <v>41.139878894396197</v>
      </c>
    </row>
    <row r="66" spans="1:78">
      <c r="A66" s="9" t="s">
        <v>948</v>
      </c>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30"/>
      <c r="AD66" s="30"/>
      <c r="AE66" s="30">
        <f t="shared" ref="AE66:BD66" si="137">SUM(AE54:AE55)+AE61+SUM(AE62:AE65)</f>
        <v>228.73873873873873</v>
      </c>
      <c r="AF66" s="30">
        <f t="shared" si="137"/>
        <v>245.87800702766015</v>
      </c>
      <c r="AG66" s="30">
        <f t="shared" si="137"/>
        <v>245.87800702766015</v>
      </c>
      <c r="AH66" s="30">
        <f t="shared" si="137"/>
        <v>239.81816495036642</v>
      </c>
      <c r="AI66" s="30">
        <f t="shared" si="137"/>
        <v>249.53669384729432</v>
      </c>
      <c r="AJ66" s="30">
        <f t="shared" si="137"/>
        <v>272.54472435195328</v>
      </c>
      <c r="AK66" s="30">
        <f t="shared" si="137"/>
        <v>231.9213452173114</v>
      </c>
      <c r="AL66" s="30">
        <f t="shared" si="137"/>
        <v>231.9213452173114</v>
      </c>
      <c r="AM66" s="30">
        <f t="shared" si="137"/>
        <v>230.55503991089665</v>
      </c>
      <c r="AN66" s="30">
        <f t="shared" si="137"/>
        <v>298.01512287334594</v>
      </c>
      <c r="AO66" s="30">
        <f t="shared" si="137"/>
        <v>271.40096618357484</v>
      </c>
      <c r="AP66" s="30">
        <f t="shared" si="137"/>
        <v>274.59127450094843</v>
      </c>
      <c r="AQ66" s="30">
        <f t="shared" si="137"/>
        <v>274.59127450094843</v>
      </c>
      <c r="AR66" s="30">
        <f t="shared" si="137"/>
        <v>290.37800687285227</v>
      </c>
      <c r="AS66" s="30">
        <f t="shared" si="137"/>
        <v>229.62830593280916</v>
      </c>
      <c r="AT66" s="30">
        <f t="shared" si="137"/>
        <v>214.48443748913235</v>
      </c>
      <c r="AU66" s="30">
        <f t="shared" si="137"/>
        <v>189.39455837895252</v>
      </c>
      <c r="AV66" s="30">
        <f t="shared" si="137"/>
        <v>189.39455837895252</v>
      </c>
      <c r="AW66" s="30">
        <f t="shared" si="137"/>
        <v>158.47234416154521</v>
      </c>
      <c r="AX66" s="30">
        <f t="shared" si="137"/>
        <v>135.97127270216146</v>
      </c>
      <c r="AY66" s="30">
        <f t="shared" si="137"/>
        <v>127.58100979653355</v>
      </c>
      <c r="AZ66" s="30">
        <f t="shared" si="137"/>
        <v>118.84969669737137</v>
      </c>
      <c r="BA66" s="30">
        <f t="shared" si="137"/>
        <v>118.84969669737137</v>
      </c>
      <c r="BB66" s="30">
        <f t="shared" si="137"/>
        <v>116.55976274225807</v>
      </c>
      <c r="BC66" s="30">
        <f t="shared" si="137"/>
        <v>122.7436823104693</v>
      </c>
      <c r="BD66" s="30">
        <f t="shared" si="137"/>
        <v>153.14108439681308</v>
      </c>
      <c r="BE66" s="30">
        <f t="shared" ref="BE66:BF66" si="138">SUM(BE54:BE55)+BE61+SUM(BE62:BE65)</f>
        <v>200.3830658476983</v>
      </c>
      <c r="BF66" s="30">
        <f t="shared" si="138"/>
        <v>200.3830658476983</v>
      </c>
      <c r="BG66" s="30">
        <f t="shared" ref="BG66" si="139">SUM(BG54:BG55)+BG61+SUM(BG62:BG65)</f>
        <v>237.53647482461042</v>
      </c>
      <c r="BH66" s="30">
        <f t="shared" ref="BH66" si="140">SUM(BH54:BH55)+BH61+SUM(BH62:BH65)</f>
        <v>232.18664611504241</v>
      </c>
      <c r="BI66" s="30">
        <f t="shared" ref="BI66" si="141">SUM(BI54:BI55)+BI61+SUM(BI62:BI65)</f>
        <v>212.85876849159183</v>
      </c>
      <c r="BJ66" s="30">
        <f t="shared" ref="BJ66:BM66" si="142">SUM(BJ54:BJ55)+BJ61+SUM(BJ62:BJ65)</f>
        <v>209.804708400214</v>
      </c>
      <c r="BK66" s="30">
        <f t="shared" si="142"/>
        <v>209.804708400214</v>
      </c>
      <c r="BL66" s="30">
        <f t="shared" si="142"/>
        <v>269.59464125405702</v>
      </c>
      <c r="BM66" s="30">
        <f t="shared" si="142"/>
        <v>267.73240193444383</v>
      </c>
      <c r="BN66" s="30">
        <f t="shared" ref="BN66" si="143">SUM(BN54:BN55)+BN61+SUM(BN62:BN65)</f>
        <v>248.97802759325498</v>
      </c>
      <c r="BO66" s="30">
        <f t="shared" ref="BO66:BU66" si="144">SUM(BO54:BO55)+BO61+SUM(BO62:BO65)</f>
        <v>263.61260589047981</v>
      </c>
      <c r="BP66" s="30">
        <f t="shared" si="144"/>
        <v>263.61260589047981</v>
      </c>
      <c r="BQ66" s="30">
        <f t="shared" si="144"/>
        <v>287.94243010698221</v>
      </c>
      <c r="BR66" s="30">
        <f t="shared" si="144"/>
        <v>299.61026103361559</v>
      </c>
      <c r="BS66" s="30">
        <f t="shared" si="144"/>
        <v>308.99234059404563</v>
      </c>
      <c r="BT66" s="30">
        <f t="shared" si="144"/>
        <v>305.37467073198928</v>
      </c>
      <c r="BU66" s="30">
        <f t="shared" si="144"/>
        <v>305.37467073198928</v>
      </c>
    </row>
    <row r="67" spans="1:78">
      <c r="BO67" s="318" t="s">
        <v>2904</v>
      </c>
      <c r="BP67" s="44"/>
      <c r="BQ67" s="44"/>
      <c r="BR67" s="44"/>
      <c r="BS67" s="44"/>
      <c r="BT67" s="44"/>
      <c r="BU67" s="44"/>
      <c r="BV67" s="44"/>
      <c r="BW67" s="44"/>
      <c r="BX67" s="44"/>
      <c r="BY67" s="44"/>
      <c r="BZ67" s="44"/>
    </row>
    <row r="68" spans="1:78">
      <c r="A68" s="5" t="s">
        <v>953</v>
      </c>
      <c r="AC68" s="24"/>
      <c r="AD68" s="24"/>
      <c r="AE68" s="24">
        <f t="shared" ref="AE68" si="145">1000*AE28/AE$79</f>
        <v>100.36036036036036</v>
      </c>
      <c r="AF68" s="24">
        <f t="shared" ref="AF68" si="146">1000*AF28/AF$79</f>
        <v>108.65843769708984</v>
      </c>
      <c r="AG68" s="24">
        <f t="shared" ref="AG68:AG70" si="147">AF68</f>
        <v>108.65843769708984</v>
      </c>
      <c r="AH68" s="24">
        <f t="shared" ref="AH68" si="148">1000*AH28/AH$79</f>
        <v>135.4485573800909</v>
      </c>
      <c r="AI68" s="24">
        <f t="shared" ref="AI68:AJ68" si="149">1000*AI28/AI$79</f>
        <v>130.46701260192737</v>
      </c>
      <c r="AJ68" s="24">
        <f t="shared" si="149"/>
        <v>143.30047462577582</v>
      </c>
      <c r="AK68" s="24">
        <f t="shared" ref="AK68" si="150">1000*AK28/AK$79</f>
        <v>101.35073049710557</v>
      </c>
      <c r="AL68" s="24">
        <f t="shared" ref="AL68:AL70" si="151">AK68</f>
        <v>101.35073049710557</v>
      </c>
      <c r="AM68" s="24">
        <f>1000*AM28/AM$79</f>
        <v>92.351958418414711</v>
      </c>
      <c r="AN68" s="24">
        <f t="shared" ref="AN68:AP68" si="152">1000*AN28/AN$79</f>
        <v>85.727788279773165</v>
      </c>
      <c r="AO68" s="24">
        <f t="shared" si="152"/>
        <v>119.71014492753623</v>
      </c>
      <c r="AP68" s="24">
        <f t="shared" si="152"/>
        <v>126.63716014813477</v>
      </c>
      <c r="AQ68" s="24">
        <f t="shared" ref="AQ68:AQ70" si="153">AP68</f>
        <v>126.63716014813477</v>
      </c>
      <c r="AR68" s="24">
        <f>1000*AR28/AR$79</f>
        <v>143.51600651112318</v>
      </c>
      <c r="AS68" s="24">
        <f t="shared" ref="AS68:AU68" si="154">1000*AS28/AS$79</f>
        <v>143.58470335954252</v>
      </c>
      <c r="AT68" s="24">
        <f t="shared" si="154"/>
        <v>145.62684750478178</v>
      </c>
      <c r="AU68" s="24">
        <f t="shared" si="154"/>
        <v>139.71729716480104</v>
      </c>
      <c r="AV68" s="24">
        <f t="shared" ref="AV68:AV70" si="155">AU68</f>
        <v>139.71729716480104</v>
      </c>
      <c r="AW68" s="24">
        <f>1000*AW28/AW$79</f>
        <v>131.10916008194323</v>
      </c>
      <c r="AX68" s="24">
        <f t="shared" ref="AX68:AZ68" si="156">1000*AX28/AX$79</f>
        <v>97.576134244872591</v>
      </c>
      <c r="AY68" s="24">
        <f t="shared" si="156"/>
        <v>101.58251695553882</v>
      </c>
      <c r="AZ68" s="24">
        <f t="shared" si="156"/>
        <v>101.77488204897776</v>
      </c>
      <c r="BA68" s="24">
        <f t="shared" ref="BA68:BA70" si="157">AZ68</f>
        <v>101.77488204897776</v>
      </c>
      <c r="BB68" s="24">
        <f>1000*BB28/BB$79</f>
        <v>101.38630250362094</v>
      </c>
      <c r="BC68" s="24">
        <f t="shared" ref="BC68:BE68" si="158">1000*BC28/BC$79</f>
        <v>98.141462762401389</v>
      </c>
      <c r="BD68" s="24">
        <f t="shared" si="158"/>
        <v>104.06825072269618</v>
      </c>
      <c r="BE68" s="24">
        <f t="shared" si="158"/>
        <v>98.342249521167687</v>
      </c>
      <c r="BF68" s="24">
        <f t="shared" ref="BF68:BF70" si="159">BE68</f>
        <v>98.342249521167687</v>
      </c>
      <c r="BG68" s="24">
        <f>1000*BG28/BG$79</f>
        <v>96.976469857825791</v>
      </c>
      <c r="BH68" s="24">
        <f t="shared" ref="BH68:BJ68" si="160">1000*BH28/BH$79</f>
        <v>108.10621453093253</v>
      </c>
      <c r="BI68" s="24">
        <f t="shared" si="160"/>
        <v>92.489568845618905</v>
      </c>
      <c r="BJ68" s="24">
        <f t="shared" si="160"/>
        <v>96.375066880684855</v>
      </c>
      <c r="BK68" s="24">
        <f t="shared" ref="BK68:BK70" si="161">BJ68</f>
        <v>96.375066880684855</v>
      </c>
      <c r="BL68" s="24">
        <f>1000*BL28/BL$79</f>
        <v>101.85760651888681</v>
      </c>
      <c r="BM68" s="24">
        <f t="shared" ref="BM68" si="162">1000*BM28/BM$79</f>
        <v>96.789360558839334</v>
      </c>
      <c r="BN68" s="24">
        <f t="shared" ref="BN68" si="163">1000*BN28/BN$79</f>
        <v>118.54879918242207</v>
      </c>
      <c r="BO68" s="24"/>
      <c r="BP68" s="24"/>
      <c r="BQ68" s="24"/>
      <c r="BR68" s="24"/>
      <c r="BS68" s="24"/>
      <c r="BT68" s="24"/>
      <c r="BU68" s="24"/>
    </row>
    <row r="69" spans="1:78">
      <c r="A69" s="5" t="s">
        <v>954</v>
      </c>
      <c r="AC69" s="24"/>
      <c r="AD69" s="24"/>
      <c r="AE69" s="24">
        <f t="shared" ref="AE69" si="164">1000*AE29/AE$79</f>
        <v>67.747747747747752</v>
      </c>
      <c r="AF69" s="24">
        <f t="shared" ref="AF69" si="165">1000*AF29/AF$79</f>
        <v>62.888548517884495</v>
      </c>
      <c r="AG69" s="24">
        <f t="shared" si="147"/>
        <v>62.888548517884495</v>
      </c>
      <c r="AH69" s="24">
        <f t="shared" ref="AH69" si="166">1000*AH29/AH$79</f>
        <v>77.836534001298816</v>
      </c>
      <c r="AI69" s="24">
        <f t="shared" ref="AI69:AJ69" si="167">1000*AI29/AI$79</f>
        <v>79.318013343217203</v>
      </c>
      <c r="AJ69" s="24">
        <f t="shared" si="167"/>
        <v>86.436655713764139</v>
      </c>
      <c r="AK69" s="24">
        <f t="shared" ref="AK69" si="168">1000*AK29/AK$79</f>
        <v>41.992097767159791</v>
      </c>
      <c r="AL69" s="24">
        <f t="shared" si="151"/>
        <v>41.992097767159791</v>
      </c>
      <c r="AM69" s="24">
        <f>1000*AM29/AM$79</f>
        <v>39.910896602932986</v>
      </c>
      <c r="AN69" s="24">
        <f t="shared" ref="AN69:AP69" si="169">1000*AN29/AN$79</f>
        <v>24.007561436672969</v>
      </c>
      <c r="AO69" s="24">
        <f t="shared" si="169"/>
        <v>45.79710144927536</v>
      </c>
      <c r="AP69" s="24">
        <f t="shared" si="169"/>
        <v>49.318038117604559</v>
      </c>
      <c r="AQ69" s="24">
        <f t="shared" si="153"/>
        <v>49.318038117604559</v>
      </c>
      <c r="AR69" s="24">
        <f>1000*AR29/AR$79</f>
        <v>48.471694700669197</v>
      </c>
      <c r="AS69" s="24">
        <f t="shared" ref="AS69:AU69" si="170">1000*AS29/AS$79</f>
        <v>46.015010721944243</v>
      </c>
      <c r="AT69" s="24">
        <f t="shared" si="170"/>
        <v>45.731177186576247</v>
      </c>
      <c r="AU69" s="24">
        <f t="shared" si="170"/>
        <v>40.607892801699485</v>
      </c>
      <c r="AV69" s="24">
        <f t="shared" si="155"/>
        <v>40.607892801699485</v>
      </c>
      <c r="AW69" s="24">
        <f>1000*AW29/AW$79</f>
        <v>43.166520339479071</v>
      </c>
      <c r="AX69" s="24">
        <f t="shared" ref="AX69:AZ69" si="171">1000*AX29/AX$79</f>
        <v>38.878530488225948</v>
      </c>
      <c r="AY69" s="24">
        <f t="shared" si="171"/>
        <v>40.467219291635274</v>
      </c>
      <c r="AZ69" s="24">
        <f t="shared" si="171"/>
        <v>40.290571407174419</v>
      </c>
      <c r="BA69" s="24">
        <f t="shared" si="157"/>
        <v>40.290571407174419</v>
      </c>
      <c r="BB69" s="24">
        <f>1000*BB29/BB$79</f>
        <v>39.726877715704532</v>
      </c>
      <c r="BC69" s="24">
        <f t="shared" ref="BC69:BE69" si="172">1000*BC29/BC$79</f>
        <v>31.421313009760659</v>
      </c>
      <c r="BD69" s="24">
        <f t="shared" si="172"/>
        <v>33.420291898752026</v>
      </c>
      <c r="BE69" s="24">
        <f t="shared" si="172"/>
        <v>29.852717786143586</v>
      </c>
      <c r="BF69" s="24">
        <f t="shared" si="159"/>
        <v>29.852717786143586</v>
      </c>
      <c r="BG69" s="24">
        <f>1000*BG29/BG$79</f>
        <v>31.663252002235055</v>
      </c>
      <c r="BH69" s="24">
        <f t="shared" ref="BH69:BJ69" si="173">1000*BH29/BH$79</f>
        <v>36.152175436138165</v>
      </c>
      <c r="BI69" s="24">
        <f t="shared" si="173"/>
        <v>31.41990137817676</v>
      </c>
      <c r="BJ69" s="24">
        <f t="shared" si="173"/>
        <v>32.704654895666131</v>
      </c>
      <c r="BK69" s="24">
        <f t="shared" si="161"/>
        <v>32.704654895666131</v>
      </c>
      <c r="BL69" s="24">
        <f>1000*BL29/BL$79</f>
        <v>37.014018368897176</v>
      </c>
      <c r="BM69" s="24">
        <f t="shared" ref="BM69" si="174">1000*BM29/BM$79</f>
        <v>35.666308436324556</v>
      </c>
      <c r="BN69" s="24">
        <f t="shared" ref="BN69" si="175">1000*BN29/BN$79</f>
        <v>35.194174757281552</v>
      </c>
      <c r="BO69" s="24"/>
      <c r="BP69" s="24"/>
      <c r="BQ69" s="24"/>
      <c r="BR69" s="24"/>
      <c r="BS69" s="24"/>
      <c r="BT69" s="24"/>
      <c r="BU69" s="24"/>
    </row>
    <row r="70" spans="1:78">
      <c r="A70" s="5" t="s">
        <v>955</v>
      </c>
      <c r="AC70" s="24"/>
      <c r="AD70" s="24"/>
      <c r="AE70" s="24">
        <f t="shared" ref="AE70" si="176">1000*AE30/AE$79</f>
        <v>0</v>
      </c>
      <c r="AF70" s="24">
        <f t="shared" ref="AF70" si="177">1000*AF30/AF$79</f>
        <v>5.7662852509235067</v>
      </c>
      <c r="AG70" s="24">
        <f t="shared" si="147"/>
        <v>5.7662852509235067</v>
      </c>
      <c r="AH70" s="24">
        <f t="shared" ref="AH70" si="178">1000*AH30/AH$79</f>
        <v>12.153260970405418</v>
      </c>
      <c r="AI70" s="24">
        <f t="shared" ref="AI70:AJ70" si="179">1000*AI30/AI$79</f>
        <v>9.1734618235730174</v>
      </c>
      <c r="AJ70" s="24">
        <f t="shared" si="179"/>
        <v>13.052208835341364</v>
      </c>
      <c r="AK70" s="24">
        <f t="shared" ref="AK70" si="180">1000*AK30/AK$79</f>
        <v>26.463291371864376</v>
      </c>
      <c r="AL70" s="24">
        <f t="shared" si="151"/>
        <v>26.463291371864376</v>
      </c>
      <c r="AM70" s="24">
        <f>1000*AM30/AM$79</f>
        <v>32.29998143679228</v>
      </c>
      <c r="AN70" s="24">
        <f t="shared" ref="AN70:AP70" si="181">1000*AN30/AN$79</f>
        <v>27.315689981096408</v>
      </c>
      <c r="AO70" s="24">
        <f t="shared" si="181"/>
        <v>34.975845410628018</v>
      </c>
      <c r="AP70" s="24">
        <f t="shared" si="181"/>
        <v>43.808147412157894</v>
      </c>
      <c r="AQ70" s="24">
        <f t="shared" si="153"/>
        <v>43.808147412157894</v>
      </c>
      <c r="AR70" s="24">
        <f>1000*AR30/AR$79</f>
        <v>48.833423765599569</v>
      </c>
      <c r="AS70" s="24">
        <f t="shared" ref="AS70:AU70" si="182">1000*AS30/AS$79</f>
        <v>54.59256611865618</v>
      </c>
      <c r="AT70" s="24">
        <f t="shared" si="182"/>
        <v>53.642844722656932</v>
      </c>
      <c r="AU70" s="24">
        <f t="shared" si="182"/>
        <v>60.544162104747123</v>
      </c>
      <c r="AV70" s="24">
        <f t="shared" si="155"/>
        <v>60.544162104747123</v>
      </c>
      <c r="AW70" s="24">
        <f>1000*AW30/AW$79</f>
        <v>64.896107696810063</v>
      </c>
      <c r="AX70" s="24">
        <f t="shared" ref="AX70:AZ70" si="183">1000*AX30/AX$79</f>
        <v>38.257026448449693</v>
      </c>
      <c r="AY70" s="24">
        <f t="shared" si="183"/>
        <v>37.905048982667672</v>
      </c>
      <c r="AZ70" s="24">
        <f t="shared" si="183"/>
        <v>48.378641503781921</v>
      </c>
      <c r="BA70" s="24">
        <f t="shared" si="157"/>
        <v>48.378641503781921</v>
      </c>
      <c r="BB70" s="24">
        <f>1000*BB30/BB$79</f>
        <v>52.348437823298156</v>
      </c>
      <c r="BC70" s="24">
        <f t="shared" ref="BC70:BE70" si="184">1000*BC30/BC$79</f>
        <v>53.683647546463419</v>
      </c>
      <c r="BD70" s="24">
        <f t="shared" si="184"/>
        <v>53.162236480293302</v>
      </c>
      <c r="BE70" s="24">
        <f t="shared" si="184"/>
        <v>51.581797767650748</v>
      </c>
      <c r="BF70" s="24">
        <f t="shared" si="159"/>
        <v>51.581797767650748</v>
      </c>
      <c r="BG70" s="24">
        <f>1000*BG30/BG$79</f>
        <v>46.749860309182345</v>
      </c>
      <c r="BH70" s="24">
        <f t="shared" ref="BH70:BJ70" si="185">1000*BH30/BH$79</f>
        <v>43.018286274784565</v>
      </c>
      <c r="BI70" s="24">
        <f t="shared" si="185"/>
        <v>33.69578960677709</v>
      </c>
      <c r="BJ70" s="24">
        <f t="shared" si="185"/>
        <v>25.749063670411982</v>
      </c>
      <c r="BK70" s="24">
        <f t="shared" si="161"/>
        <v>25.749063670411982</v>
      </c>
      <c r="BL70" s="24">
        <f>1000*BL30/BL$79</f>
        <v>18.990401215385678</v>
      </c>
      <c r="BM70" s="24">
        <f t="shared" ref="BM70" si="186">1000*BM30/BM$79</f>
        <v>17.06072004298764</v>
      </c>
      <c r="BN70" s="24">
        <f t="shared" ref="BN70" si="187">1000*BN30/BN$79</f>
        <v>32.000510986203373</v>
      </c>
      <c r="BO70" s="24"/>
      <c r="BP70" s="24"/>
      <c r="BQ70" s="24"/>
      <c r="BR70" s="24"/>
      <c r="BS70" s="24"/>
      <c r="BT70" s="24"/>
      <c r="BU70" s="24"/>
    </row>
    <row r="71" spans="1:78">
      <c r="A71" s="9" t="s">
        <v>952</v>
      </c>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30"/>
      <c r="AD71" s="30"/>
      <c r="AE71" s="30">
        <f t="shared" ref="AE71:AF71" si="188">AE68-AE69-AE70</f>
        <v>32.612612612612608</v>
      </c>
      <c r="AF71" s="30">
        <f t="shared" si="188"/>
        <v>40.003603928281834</v>
      </c>
      <c r="AG71" s="30">
        <f t="shared" ref="AG71" si="189">AG68-AG69-AG70</f>
        <v>40.003603928281834</v>
      </c>
      <c r="AH71" s="30">
        <f t="shared" ref="AH71:AK71" si="190">AH68-AH69-AH70</f>
        <v>45.458762408386669</v>
      </c>
      <c r="AI71" s="30">
        <f t="shared" si="190"/>
        <v>41.975537435137142</v>
      </c>
      <c r="AJ71" s="30">
        <f t="shared" si="190"/>
        <v>43.81161007667032</v>
      </c>
      <c r="AK71" s="30">
        <f t="shared" si="190"/>
        <v>32.89534135808141</v>
      </c>
      <c r="AL71" s="30">
        <f t="shared" ref="AL71" si="191">AL68-AL69-AL70</f>
        <v>32.89534135808141</v>
      </c>
      <c r="AM71" s="30">
        <f>AM68-AM69-AM70</f>
        <v>20.141080378689445</v>
      </c>
      <c r="AN71" s="30">
        <f t="shared" ref="AN71:AQ71" si="192">AN68-AN69-AN70</f>
        <v>34.404536862003781</v>
      </c>
      <c r="AO71" s="30">
        <f t="shared" si="192"/>
        <v>38.937198067632856</v>
      </c>
      <c r="AP71" s="30">
        <f t="shared" si="192"/>
        <v>33.510974618372316</v>
      </c>
      <c r="AQ71" s="30">
        <f t="shared" si="192"/>
        <v>33.510974618372316</v>
      </c>
      <c r="AR71" s="30">
        <f>AR68-AR69-AR70</f>
        <v>46.210888044854421</v>
      </c>
      <c r="AS71" s="30">
        <f t="shared" ref="AS71" si="193">AS68-AS69-AS70</f>
        <v>42.9771265189421</v>
      </c>
      <c r="AT71" s="30">
        <f t="shared" ref="AT71" si="194">AT68-AT69-AT70</f>
        <v>46.2528255955486</v>
      </c>
      <c r="AU71" s="30">
        <f t="shared" ref="AU71" si="195">AU68-AU69-AU70</f>
        <v>38.565242258354438</v>
      </c>
      <c r="AV71" s="30">
        <f t="shared" ref="AV71" si="196">AV68-AV69-AV70</f>
        <v>38.565242258354438</v>
      </c>
      <c r="AW71" s="30">
        <f>AW68-AW69-AW70</f>
        <v>23.046532045654104</v>
      </c>
      <c r="AX71" s="30">
        <f t="shared" ref="AX71" si="197">AX68-AX69-AX70</f>
        <v>20.44057730819695</v>
      </c>
      <c r="AY71" s="30">
        <f t="shared" ref="AY71" si="198">AY68-AY69-AY70</f>
        <v>23.210248681235875</v>
      </c>
      <c r="AZ71" s="30">
        <f t="shared" ref="AZ71" si="199">AZ68-AZ69-AZ70</f>
        <v>13.105669138021419</v>
      </c>
      <c r="BA71" s="30">
        <f t="shared" ref="BA71" si="200">BA68-BA69-BA70</f>
        <v>13.105669138021419</v>
      </c>
      <c r="BB71" s="30">
        <f>BB68-BB69-BB70</f>
        <v>9.3109869646182517</v>
      </c>
      <c r="BC71" s="30">
        <f t="shared" ref="BC71" si="201">BC68-BC69-BC70</f>
        <v>13.036502206177317</v>
      </c>
      <c r="BD71" s="30">
        <f t="shared" ref="BD71:BF71" si="202">BD68-BD69-BD70</f>
        <v>17.485722343650849</v>
      </c>
      <c r="BE71" s="30">
        <f t="shared" si="202"/>
        <v>16.907733967373353</v>
      </c>
      <c r="BF71" s="30">
        <f t="shared" si="202"/>
        <v>16.907733967373353</v>
      </c>
      <c r="BG71" s="30">
        <f>BG68-BG69-BG70</f>
        <v>18.56335754640839</v>
      </c>
      <c r="BH71" s="30">
        <f t="shared" ref="BH71:BK71" si="203">BH68-BH69-BH70</f>
        <v>28.935752820009803</v>
      </c>
      <c r="BI71" s="30">
        <f t="shared" si="203"/>
        <v>27.373877860665054</v>
      </c>
      <c r="BJ71" s="30">
        <f t="shared" si="203"/>
        <v>37.921348314606746</v>
      </c>
      <c r="BK71" s="30">
        <f t="shared" si="203"/>
        <v>37.921348314606746</v>
      </c>
      <c r="BL71" s="30">
        <f>BL68-BL69-BL70</f>
        <v>45.853186934603968</v>
      </c>
      <c r="BM71" s="30">
        <f t="shared" ref="BM71" si="204">BM68-BM69-BM70</f>
        <v>44.062332079527138</v>
      </c>
      <c r="BN71" s="30">
        <f t="shared" ref="BN71" si="205">BN68-BN69-BN70</f>
        <v>51.354113438937141</v>
      </c>
      <c r="BO71" s="476">
        <f>BN71+('TopCo Net debt waterfall'!AZ37/1000)</f>
        <v>51.124113438937144</v>
      </c>
      <c r="BP71" s="1071">
        <f>BO71</f>
        <v>51.124113438937144</v>
      </c>
      <c r="BQ71" s="1157">
        <f>BP71+('TopCo Net debt waterfall'!BB37/1000)-50%*1.5</f>
        <v>55.869113438937141</v>
      </c>
      <c r="BR71" s="1157">
        <f>BQ71+('TopCo Net debt waterfall'!BC37/1000)-50%*1.5</f>
        <v>67.119113438937148</v>
      </c>
      <c r="BS71" s="1157">
        <f>BR71+('TopCo Net debt waterfall'!BD37/1000)-50%*1.5</f>
        <v>78.064113438937142</v>
      </c>
      <c r="BT71" s="476">
        <f>BS71+('TopCo Net debt waterfall'!BE37/1000)</f>
        <v>77.15911343893714</v>
      </c>
      <c r="BU71" s="1071">
        <f>BT71</f>
        <v>77.15911343893714</v>
      </c>
    </row>
    <row r="72" spans="1:78">
      <c r="BQ72" s="1158" t="s">
        <v>3506</v>
      </c>
    </row>
    <row r="73" spans="1:78">
      <c r="A73" s="9" t="s">
        <v>956</v>
      </c>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30"/>
      <c r="AD73" s="30"/>
      <c r="AE73" s="30">
        <f t="shared" ref="AE73:BD73" si="206">AE66-AE71</f>
        <v>196.12612612612611</v>
      </c>
      <c r="AF73" s="30">
        <f t="shared" si="206"/>
        <v>205.8744030993783</v>
      </c>
      <c r="AG73" s="30">
        <f t="shared" si="206"/>
        <v>205.8744030993783</v>
      </c>
      <c r="AH73" s="30">
        <f t="shared" si="206"/>
        <v>194.35940254197976</v>
      </c>
      <c r="AI73" s="30">
        <f t="shared" si="206"/>
        <v>207.56115641215717</v>
      </c>
      <c r="AJ73" s="30">
        <f t="shared" si="206"/>
        <v>228.73311427528296</v>
      </c>
      <c r="AK73" s="30">
        <f t="shared" si="206"/>
        <v>199.02600385923</v>
      </c>
      <c r="AL73" s="30">
        <f t="shared" si="206"/>
        <v>199.02600385923</v>
      </c>
      <c r="AM73" s="30">
        <f t="shared" si="206"/>
        <v>210.4139595322072</v>
      </c>
      <c r="AN73" s="30">
        <f t="shared" si="206"/>
        <v>263.61058601134215</v>
      </c>
      <c r="AO73" s="30">
        <f t="shared" si="206"/>
        <v>232.46376811594197</v>
      </c>
      <c r="AP73" s="30">
        <f t="shared" si="206"/>
        <v>241.08029988257613</v>
      </c>
      <c r="AQ73" s="30">
        <f t="shared" si="206"/>
        <v>241.08029988257613</v>
      </c>
      <c r="AR73" s="30">
        <f t="shared" si="206"/>
        <v>244.16711882799785</v>
      </c>
      <c r="AS73" s="30">
        <f t="shared" si="206"/>
        <v>186.65117941386706</v>
      </c>
      <c r="AT73" s="30">
        <f t="shared" si="206"/>
        <v>168.23161189358376</v>
      </c>
      <c r="AU73" s="30">
        <f t="shared" si="206"/>
        <v>150.82931612059809</v>
      </c>
      <c r="AV73" s="30">
        <f t="shared" si="206"/>
        <v>150.82931612059809</v>
      </c>
      <c r="AW73" s="30">
        <f t="shared" si="206"/>
        <v>135.42581211589112</v>
      </c>
      <c r="AX73" s="30">
        <f t="shared" si="206"/>
        <v>115.53069539396451</v>
      </c>
      <c r="AY73" s="30">
        <f t="shared" si="206"/>
        <v>104.37076111529768</v>
      </c>
      <c r="AZ73" s="30">
        <f t="shared" si="206"/>
        <v>105.74402755934995</v>
      </c>
      <c r="BA73" s="30">
        <f t="shared" si="206"/>
        <v>105.74402755934995</v>
      </c>
      <c r="BB73" s="30">
        <f t="shared" si="206"/>
        <v>107.24877577763982</v>
      </c>
      <c r="BC73" s="30">
        <f t="shared" si="206"/>
        <v>109.70718010429198</v>
      </c>
      <c r="BD73" s="30">
        <f t="shared" si="206"/>
        <v>135.65536205316224</v>
      </c>
      <c r="BE73" s="30">
        <f t="shared" ref="BE73:BI73" si="207">BE66-BE71</f>
        <v>183.47533188032494</v>
      </c>
      <c r="BF73" s="30">
        <f t="shared" si="207"/>
        <v>183.47533188032494</v>
      </c>
      <c r="BG73" s="30">
        <f t="shared" si="207"/>
        <v>218.97311727820204</v>
      </c>
      <c r="BH73" s="30">
        <f t="shared" si="207"/>
        <v>203.2508932950326</v>
      </c>
      <c r="BI73" s="30">
        <f t="shared" si="207"/>
        <v>185.48489063092677</v>
      </c>
      <c r="BJ73" s="30">
        <f t="shared" ref="BJ73:BM73" si="208">BJ66-BJ71</f>
        <v>171.88336008560725</v>
      </c>
      <c r="BK73" s="30">
        <f t="shared" si="208"/>
        <v>171.88336008560725</v>
      </c>
      <c r="BL73" s="30">
        <f t="shared" si="208"/>
        <v>223.74145431945306</v>
      </c>
      <c r="BM73" s="30">
        <f t="shared" si="208"/>
        <v>223.67006985491668</v>
      </c>
      <c r="BN73" s="30">
        <f t="shared" ref="BN73" si="209">BN66-BN71</f>
        <v>197.62391415431784</v>
      </c>
      <c r="BO73" s="30">
        <f t="shared" ref="BO73:BP73" si="210">BO66-BO71</f>
        <v>212.48849245154267</v>
      </c>
      <c r="BP73" s="30">
        <f t="shared" si="210"/>
        <v>212.48849245154267</v>
      </c>
      <c r="BQ73" s="30">
        <f t="shared" ref="BQ73:BU73" si="211">BQ66-BQ71</f>
        <v>232.07331666804507</v>
      </c>
      <c r="BR73" s="30">
        <f t="shared" si="211"/>
        <v>232.49114759467844</v>
      </c>
      <c r="BS73" s="30">
        <f t="shared" si="211"/>
        <v>230.92822715510849</v>
      </c>
      <c r="BT73" s="30">
        <f t="shared" si="211"/>
        <v>228.21555729305214</v>
      </c>
      <c r="BU73" s="30">
        <f t="shared" si="211"/>
        <v>228.21555729305214</v>
      </c>
    </row>
    <row r="74" spans="1:78">
      <c r="A74" s="1" t="s">
        <v>969</v>
      </c>
      <c r="AE74" s="24">
        <f t="shared" ref="AE74:BD74" si="212">AE55+SUM(AE62:AE63)</f>
        <v>68.558558558558559</v>
      </c>
      <c r="AF74" s="24">
        <f t="shared" si="212"/>
        <v>71.177583566087037</v>
      </c>
      <c r="AG74" s="24">
        <f t="shared" si="212"/>
        <v>71.177583566087037</v>
      </c>
      <c r="AH74" s="24">
        <f t="shared" si="212"/>
        <v>70.507468225252808</v>
      </c>
      <c r="AI74" s="24">
        <f t="shared" si="212"/>
        <v>73.387694588584139</v>
      </c>
      <c r="AJ74" s="24">
        <f t="shared" si="212"/>
        <v>73.201898503103322</v>
      </c>
      <c r="AK74" s="24">
        <f t="shared" si="212"/>
        <v>70.293117706514749</v>
      </c>
      <c r="AL74" s="24">
        <f t="shared" si="212"/>
        <v>70.293117706514749</v>
      </c>
      <c r="AM74" s="24">
        <f t="shared" si="212"/>
        <v>45.572674958232781</v>
      </c>
      <c r="AN74" s="24">
        <f t="shared" si="212"/>
        <v>28.638941398865782</v>
      </c>
      <c r="AO74" s="24">
        <f t="shared" si="212"/>
        <v>34.29951690821256</v>
      </c>
      <c r="AP74" s="24">
        <f t="shared" si="212"/>
        <v>34.052931081203141</v>
      </c>
      <c r="AQ74" s="24">
        <f t="shared" si="212"/>
        <v>34.052931081203141</v>
      </c>
      <c r="AR74" s="24">
        <f t="shared" si="212"/>
        <v>37.619822752758182</v>
      </c>
      <c r="AS74" s="24">
        <f t="shared" si="212"/>
        <v>32.969978556111506</v>
      </c>
      <c r="AT74" s="24">
        <f t="shared" si="212"/>
        <v>27.038775865066945</v>
      </c>
      <c r="AU74" s="24">
        <f t="shared" si="212"/>
        <v>26.962987172154588</v>
      </c>
      <c r="AV74" s="24">
        <f t="shared" si="212"/>
        <v>26.962987172154588</v>
      </c>
      <c r="AW74" s="24">
        <f t="shared" si="212"/>
        <v>26.046239391278899</v>
      </c>
      <c r="AX74" s="24">
        <f t="shared" si="212"/>
        <v>24.100545542434915</v>
      </c>
      <c r="AY74" s="24">
        <f t="shared" si="212"/>
        <v>27.128862094951018</v>
      </c>
      <c r="AZ74" s="24">
        <f t="shared" si="212"/>
        <v>29.057140717441776</v>
      </c>
      <c r="BA74" s="24">
        <f t="shared" si="212"/>
        <v>29.057140717441776</v>
      </c>
      <c r="BB74" s="24">
        <f t="shared" si="212"/>
        <v>26.346644596179043</v>
      </c>
      <c r="BC74" s="24">
        <f t="shared" si="212"/>
        <v>27.878058563979138</v>
      </c>
      <c r="BD74" s="24">
        <f t="shared" si="212"/>
        <v>33.208771063949797</v>
      </c>
      <c r="BE74" s="24">
        <f t="shared" ref="BE74:BF74" si="213">BE55+SUM(BE62:BE63)</f>
        <v>34.674063800277395</v>
      </c>
      <c r="BF74" s="24">
        <f t="shared" si="213"/>
        <v>34.674063800277395</v>
      </c>
      <c r="BG74" s="24">
        <f t="shared" ref="BG74" si="214">BG55+SUM(BG62:BG63)</f>
        <v>37.188799900664307</v>
      </c>
      <c r="BH74" s="24">
        <f t="shared" ref="BH74" si="215">BH55+SUM(BH62:BH63)</f>
        <v>41.617039164856727</v>
      </c>
      <c r="BI74" s="24">
        <f t="shared" ref="BI74:BM74" si="216">BI55+SUM(BI62:BI63)</f>
        <v>42.167151346567202</v>
      </c>
      <c r="BJ74" s="24">
        <f t="shared" si="216"/>
        <v>46.81647940074906</v>
      </c>
      <c r="BK74" s="24">
        <f t="shared" si="216"/>
        <v>46.81647940074906</v>
      </c>
      <c r="BL74" s="24">
        <f t="shared" si="216"/>
        <v>41.571714660589734</v>
      </c>
      <c r="BM74" s="24">
        <f t="shared" si="216"/>
        <v>33.785599140247179</v>
      </c>
      <c r="BN74" s="24">
        <f t="shared" ref="BN74" si="217">BN55+SUM(BN62:BN63)</f>
        <v>24.463464486458864</v>
      </c>
      <c r="BO74" s="24">
        <f t="shared" ref="BO74:BP74" si="218">BO55+SUM(BO62:BO63)</f>
        <v>21.860955732319269</v>
      </c>
      <c r="BP74" s="24">
        <f t="shared" si="218"/>
        <v>21.860955732319269</v>
      </c>
      <c r="BQ74" s="24">
        <f t="shared" ref="BQ74:BU74" si="219">BQ55+SUM(BQ62:BQ63)</f>
        <v>18.450779948821712</v>
      </c>
      <c r="BR74" s="24">
        <f t="shared" si="219"/>
        <v>18.498610875455082</v>
      </c>
      <c r="BS74" s="24">
        <f t="shared" si="219"/>
        <v>18.546690435885118</v>
      </c>
      <c r="BT74" s="24">
        <f t="shared" si="219"/>
        <v>18.595020573828787</v>
      </c>
      <c r="BU74" s="24">
        <f t="shared" si="219"/>
        <v>18.595020573828787</v>
      </c>
    </row>
    <row r="75" spans="1:78">
      <c r="A75" s="1" t="s">
        <v>970</v>
      </c>
      <c r="AE75" s="21">
        <f t="shared" ref="AE75:AF75" si="220">AE74/AE73</f>
        <v>0.3495636196600827</v>
      </c>
      <c r="AF75" s="21">
        <f t="shared" si="220"/>
        <v>0.34573304157549239</v>
      </c>
      <c r="AG75" s="21">
        <f t="shared" ref="AG75" si="221">AG74/AG73</f>
        <v>0.34573304157549239</v>
      </c>
      <c r="AH75" s="21">
        <f t="shared" ref="AH75:AK75" si="222">AH74/AH73</f>
        <v>0.36276849642004777</v>
      </c>
      <c r="AI75" s="21">
        <f t="shared" si="222"/>
        <v>0.35357142857142854</v>
      </c>
      <c r="AJ75" s="21">
        <f t="shared" si="222"/>
        <v>0.3200319233838787</v>
      </c>
      <c r="AK75" s="21">
        <f t="shared" si="222"/>
        <v>0.35318559556786705</v>
      </c>
      <c r="AL75" s="21">
        <f t="shared" ref="AL75" si="223">AL74/AL73</f>
        <v>0.35318559556786705</v>
      </c>
      <c r="AM75" s="21">
        <f>AM74/AM73</f>
        <v>0.2165857962064402</v>
      </c>
      <c r="AN75" s="21">
        <f t="shared" ref="AN75:BD75" si="224">AN74/AN73</f>
        <v>0.10864108999641447</v>
      </c>
      <c r="AO75" s="21">
        <f t="shared" si="224"/>
        <v>0.14754779717373237</v>
      </c>
      <c r="AP75" s="21">
        <f t="shared" si="224"/>
        <v>0.14125140502060696</v>
      </c>
      <c r="AQ75" s="21">
        <f t="shared" si="224"/>
        <v>0.14125140502060696</v>
      </c>
      <c r="AR75" s="21">
        <f t="shared" si="224"/>
        <v>0.15407407407407406</v>
      </c>
      <c r="AS75" s="21">
        <f t="shared" si="224"/>
        <v>0.17663954044997604</v>
      </c>
      <c r="AT75" s="21">
        <f t="shared" si="224"/>
        <v>0.16072351421188627</v>
      </c>
      <c r="AU75" s="21">
        <f t="shared" si="224"/>
        <v>0.17876489707475623</v>
      </c>
      <c r="AV75" s="21">
        <f t="shared" si="224"/>
        <v>0.17876489707475623</v>
      </c>
      <c r="AW75" s="21">
        <f t="shared" si="224"/>
        <v>0.19232847109670451</v>
      </c>
      <c r="AX75" s="21">
        <f t="shared" si="224"/>
        <v>0.20860729228930067</v>
      </c>
      <c r="AY75" s="21">
        <f t="shared" si="224"/>
        <v>0.25992779783393499</v>
      </c>
      <c r="AZ75" s="21">
        <f t="shared" si="224"/>
        <v>0.27478753541076495</v>
      </c>
      <c r="BA75" s="21">
        <f t="shared" si="224"/>
        <v>0.27478753541076495</v>
      </c>
      <c r="BB75" s="21">
        <f t="shared" si="224"/>
        <v>0.24565916398713827</v>
      </c>
      <c r="BC75" s="21">
        <f t="shared" si="224"/>
        <v>0.25411334552102383</v>
      </c>
      <c r="BD75" s="21">
        <f t="shared" si="224"/>
        <v>0.2448024948024948</v>
      </c>
      <c r="BE75" s="21">
        <f t="shared" ref="BE75:BI75" si="225">BE74/BE73</f>
        <v>0.18898488120950324</v>
      </c>
      <c r="BF75" s="21">
        <f t="shared" si="225"/>
        <v>0.18898488120950324</v>
      </c>
      <c r="BG75" s="21">
        <f t="shared" si="225"/>
        <v>0.16983271902466684</v>
      </c>
      <c r="BH75" s="21">
        <f t="shared" si="225"/>
        <v>0.20475698035160289</v>
      </c>
      <c r="BI75" s="21">
        <f t="shared" si="225"/>
        <v>0.22733469665985007</v>
      </c>
      <c r="BJ75" s="21">
        <f t="shared" ref="BJ75:BM75" si="226">BJ74/BJ73</f>
        <v>0.27237354085603116</v>
      </c>
      <c r="BK75" s="21">
        <f t="shared" si="226"/>
        <v>0.27237354085603116</v>
      </c>
      <c r="BL75" s="21">
        <f t="shared" si="226"/>
        <v>0.18580246913580248</v>
      </c>
      <c r="BM75" s="21">
        <f t="shared" si="226"/>
        <v>0.15105105105105107</v>
      </c>
      <c r="BN75" s="21">
        <f t="shared" ref="BN75" si="227">BN74/BN73</f>
        <v>0.12378797672915319</v>
      </c>
      <c r="BO75" s="21">
        <f t="shared" ref="BO75:BP75" si="228">BO74/BO73</f>
        <v>0.10288065711278266</v>
      </c>
      <c r="BP75" s="21">
        <f t="shared" si="228"/>
        <v>0.10288065711278266</v>
      </c>
      <c r="BQ75" s="21">
        <f t="shared" ref="BQ75:BU75" si="229">BQ74/BQ73</f>
        <v>7.9504099022351157E-2</v>
      </c>
      <c r="BR75" s="21">
        <f t="shared" si="229"/>
        <v>7.9566947244396946E-2</v>
      </c>
      <c r="BS75" s="21">
        <f t="shared" si="229"/>
        <v>8.0313657036945027E-2</v>
      </c>
      <c r="BT75" s="21">
        <f t="shared" si="229"/>
        <v>8.1480074340203185E-2</v>
      </c>
      <c r="BU75" s="21">
        <f t="shared" si="229"/>
        <v>8.1480074340203185E-2</v>
      </c>
    </row>
    <row r="77" spans="1:78">
      <c r="A77" s="179" t="s">
        <v>957</v>
      </c>
      <c r="B77" s="179"/>
      <c r="C77" s="179"/>
      <c r="D77" s="179"/>
      <c r="E77" s="179"/>
      <c r="F77" s="179"/>
      <c r="G77" s="179"/>
      <c r="H77" s="179"/>
      <c r="I77" s="179"/>
      <c r="J77" s="179"/>
      <c r="K77" s="179"/>
      <c r="L77" s="179"/>
      <c r="M77" s="179"/>
      <c r="N77" s="179"/>
      <c r="O77" s="179"/>
      <c r="P77" s="179"/>
      <c r="Q77" s="179"/>
      <c r="R77" s="179"/>
      <c r="S77" s="179"/>
      <c r="T77" s="179"/>
      <c r="U77" s="179"/>
      <c r="V77" s="179"/>
      <c r="W77" s="179"/>
      <c r="X77" s="179"/>
      <c r="Y77" s="179"/>
      <c r="Z77" s="179"/>
      <c r="AA77" s="179"/>
      <c r="AB77" s="179"/>
      <c r="AC77" s="255"/>
      <c r="AD77" s="255"/>
      <c r="AE77" s="255">
        <f>AE71/AE66</f>
        <v>0.14257581725088617</v>
      </c>
      <c r="AF77" s="255">
        <f>AF71/AF66</f>
        <v>0.16269695859289121</v>
      </c>
      <c r="AG77" s="255">
        <f>AG71/AG66</f>
        <v>0.16269695859289121</v>
      </c>
      <c r="AH77" s="255"/>
      <c r="AI77" s="255">
        <f>AI71/AI66</f>
        <v>0.1682138878574081</v>
      </c>
      <c r="AJ77" s="255">
        <f>AJ71/AJ66</f>
        <v>0.16075016744809109</v>
      </c>
      <c r="AK77" s="255">
        <f>AK71/AK66</f>
        <v>0.14183835182250396</v>
      </c>
      <c r="AL77" s="255">
        <f>AL71/AL66</f>
        <v>0.14183835182250396</v>
      </c>
      <c r="AM77" s="255">
        <f t="shared" ref="AM77:BD77" si="230">AM71/AM66</f>
        <v>8.7359098228663459E-2</v>
      </c>
      <c r="AN77" s="255">
        <f t="shared" si="230"/>
        <v>0.11544560735807168</v>
      </c>
      <c r="AO77" s="255">
        <f t="shared" si="230"/>
        <v>0.14346742613029553</v>
      </c>
      <c r="AP77" s="255">
        <f t="shared" si="230"/>
        <v>0.12203947368421049</v>
      </c>
      <c r="AQ77" s="255">
        <f t="shared" si="230"/>
        <v>0.12203947368421049</v>
      </c>
      <c r="AR77" s="255">
        <f t="shared" si="230"/>
        <v>0.15914045468701343</v>
      </c>
      <c r="AS77" s="255">
        <f t="shared" si="230"/>
        <v>0.18715953307392996</v>
      </c>
      <c r="AT77" s="255">
        <f t="shared" si="230"/>
        <v>0.21564653425212807</v>
      </c>
      <c r="AU77" s="255">
        <f t="shared" si="230"/>
        <v>0.20362381363244175</v>
      </c>
      <c r="AV77" s="255">
        <f t="shared" si="230"/>
        <v>0.20362381363244175</v>
      </c>
      <c r="AW77" s="255">
        <f t="shared" si="230"/>
        <v>0.14542936288088656</v>
      </c>
      <c r="AX77" s="255">
        <f t="shared" si="230"/>
        <v>0.15033011681056374</v>
      </c>
      <c r="AY77" s="255">
        <f t="shared" si="230"/>
        <v>0.18192557590076788</v>
      </c>
      <c r="AZ77" s="255">
        <f t="shared" si="230"/>
        <v>0.11027095148078137</v>
      </c>
      <c r="BA77" s="255">
        <f t="shared" si="230"/>
        <v>0.11027095148078137</v>
      </c>
      <c r="BB77" s="255">
        <f t="shared" si="230"/>
        <v>7.9881656804733761E-2</v>
      </c>
      <c r="BC77" s="255">
        <f t="shared" si="230"/>
        <v>0.10620915032679758</v>
      </c>
      <c r="BD77" s="255">
        <f t="shared" si="230"/>
        <v>0.1141804788213628</v>
      </c>
      <c r="BE77" s="255">
        <f t="shared" ref="BE77:BI77" si="231">BE71/BE66</f>
        <v>8.4377059986816064E-2</v>
      </c>
      <c r="BF77" s="255">
        <f t="shared" si="231"/>
        <v>8.4377059986816064E-2</v>
      </c>
      <c r="BG77" s="255">
        <f t="shared" si="231"/>
        <v>7.8149503397804479E-2</v>
      </c>
      <c r="BH77" s="255">
        <f t="shared" si="231"/>
        <v>0.12462281231140612</v>
      </c>
      <c r="BI77" s="255">
        <f t="shared" si="231"/>
        <v>0.12860112860112857</v>
      </c>
      <c r="BJ77" s="255">
        <f t="shared" ref="BJ77:BM77" si="232">BJ71/BJ66</f>
        <v>0.18074593560726812</v>
      </c>
      <c r="BK77" s="255">
        <f t="shared" si="232"/>
        <v>0.18074593560726812</v>
      </c>
      <c r="BL77" s="255">
        <f t="shared" si="232"/>
        <v>0.17008196721311478</v>
      </c>
      <c r="BM77" s="255">
        <f t="shared" si="232"/>
        <v>0.16457601605619671</v>
      </c>
      <c r="BN77" s="255">
        <f t="shared" ref="BN77:BU77" si="233">BN71/BN66</f>
        <v>0.20625962031811182</v>
      </c>
      <c r="BO77" s="255">
        <f>BO71/BO66</f>
        <v>0.19393652767947336</v>
      </c>
      <c r="BP77" s="255">
        <f t="shared" si="233"/>
        <v>0.19393652767947336</v>
      </c>
      <c r="BQ77" s="255">
        <f t="shared" si="233"/>
        <v>0.19402876268766472</v>
      </c>
      <c r="BR77" s="255">
        <f t="shared" si="233"/>
        <v>0.2240214110404134</v>
      </c>
      <c r="BS77" s="255">
        <f t="shared" si="233"/>
        <v>0.25264093371653451</v>
      </c>
      <c r="BT77" s="255">
        <f t="shared" si="233"/>
        <v>0.25267031235428</v>
      </c>
      <c r="BU77" s="255">
        <f t="shared" si="233"/>
        <v>0.25267031235428</v>
      </c>
    </row>
    <row r="79" spans="1:78">
      <c r="A79" s="5" t="s">
        <v>988</v>
      </c>
      <c r="I79" s="45"/>
      <c r="J79" s="45"/>
      <c r="K79" s="45"/>
      <c r="L79" s="45"/>
      <c r="N79" s="45"/>
      <c r="O79" s="45"/>
      <c r="P79" s="45"/>
      <c r="Q79" s="45"/>
      <c r="S79" s="45"/>
      <c r="T79" s="45"/>
      <c r="U79" s="45"/>
      <c r="V79" s="45"/>
      <c r="X79" s="45">
        <f>FX!I6</f>
        <v>112</v>
      </c>
      <c r="Y79" s="45">
        <f>FX!J6</f>
        <v>112.73</v>
      </c>
      <c r="Z79" s="45">
        <f>FX!K6</f>
        <v>113</v>
      </c>
      <c r="AA79" s="45">
        <f>FX!L6</f>
        <v>106.24</v>
      </c>
      <c r="AB79" s="41"/>
      <c r="AC79" s="45">
        <f>FX!N6</f>
        <v>110.54</v>
      </c>
      <c r="AD79" s="45">
        <f>FX!O6</f>
        <v>113.57</v>
      </c>
      <c r="AE79" s="45">
        <f>FX!P6</f>
        <v>111</v>
      </c>
      <c r="AF79" s="45">
        <f>FX!Q6</f>
        <v>110.99</v>
      </c>
      <c r="AG79" s="41"/>
      <c r="AH79" s="45">
        <f>FX!S6</f>
        <v>107.79</v>
      </c>
      <c r="AI79" s="45">
        <f>FX!T6</f>
        <v>107.92</v>
      </c>
      <c r="AJ79" s="45">
        <f>FX!U6</f>
        <v>109.56</v>
      </c>
      <c r="AK79" s="45">
        <f>FX!V6</f>
        <v>108.83</v>
      </c>
      <c r="AL79" s="41"/>
      <c r="AM79" s="45">
        <f>FX!X6</f>
        <v>107.74</v>
      </c>
      <c r="AN79" s="45">
        <f>FX!Y6</f>
        <v>105.8</v>
      </c>
      <c r="AO79" s="45">
        <f>FX!Z6</f>
        <v>103.5</v>
      </c>
      <c r="AP79" s="1">
        <f>FX!AA6</f>
        <v>110.71</v>
      </c>
      <c r="AR79" s="45">
        <f>FX!AC6</f>
        <v>110.58</v>
      </c>
      <c r="AS79" s="45">
        <f>FX!AD6</f>
        <v>111.92</v>
      </c>
      <c r="AT79" s="45">
        <f>FX!AE6</f>
        <v>115.02</v>
      </c>
      <c r="AU79" s="1">
        <f>FX!AF6</f>
        <v>122.39</v>
      </c>
      <c r="AW79" s="45">
        <f>FX!AH6</f>
        <v>136.68</v>
      </c>
      <c r="AX79" s="45">
        <f>FX!AI6</f>
        <v>144.81</v>
      </c>
      <c r="AY79" s="45">
        <f>FX!AJ6</f>
        <v>132.69999999999999</v>
      </c>
      <c r="AZ79" s="1">
        <f>FX!AK6</f>
        <v>133.53</v>
      </c>
      <c r="BB79" s="45">
        <f>FX!AM6</f>
        <v>144.99</v>
      </c>
      <c r="BC79" s="45">
        <f>FX!AN6</f>
        <v>149.58000000000001</v>
      </c>
      <c r="BD79" s="45">
        <f>FX!AO6</f>
        <v>141.83000000000001</v>
      </c>
      <c r="BE79" s="1">
        <f>FX!AP6</f>
        <v>151.41</v>
      </c>
      <c r="BG79" s="45">
        <f>FX!AR6</f>
        <v>161.07</v>
      </c>
      <c r="BH79" s="45">
        <f>FX!AS6</f>
        <v>142.72999999999999</v>
      </c>
      <c r="BI79" s="45">
        <f>FX!AT6</f>
        <v>158.18</v>
      </c>
      <c r="BJ79" s="1">
        <f>FX!AU6</f>
        <v>149.52000000000001</v>
      </c>
      <c r="BL79" s="45">
        <f>FX!AW6</f>
        <v>144.81</v>
      </c>
      <c r="BM79" s="45">
        <f>FX!AX6</f>
        <v>148.88</v>
      </c>
      <c r="BN79" s="45">
        <f>FX!AY6</f>
        <v>156.56</v>
      </c>
      <c r="BO79" s="45">
        <f>FX!AZ6</f>
        <v>155.1</v>
      </c>
      <c r="BQ79" s="45">
        <f>FX!BB6</f>
        <v>154.70000000000002</v>
      </c>
      <c r="BR79" s="45">
        <f>FX!BC6</f>
        <v>154.30000000000001</v>
      </c>
      <c r="BS79" s="45">
        <f>FX!BD6</f>
        <v>153.9</v>
      </c>
      <c r="BT79" s="45">
        <f>FX!BE6</f>
        <v>153.5</v>
      </c>
    </row>
    <row r="81" spans="1:75" s="26" customFormat="1">
      <c r="A81" s="189" t="s">
        <v>3477</v>
      </c>
      <c r="BW81" s="328"/>
    </row>
    <row r="82" spans="1:75" s="26" customFormat="1">
      <c r="BW82" s="328"/>
    </row>
    <row r="83" spans="1:75" s="26" customFormat="1">
      <c r="A83" s="26" t="s">
        <v>948</v>
      </c>
      <c r="BG83" s="287">
        <f>BG66-'SoftBank Other (13F)'!AR29/1000</f>
        <v>237.53647482461042</v>
      </c>
      <c r="BH83" s="287">
        <f>BH66-'SoftBank Other (13F)'!AS29/1000</f>
        <v>232.18664611504241</v>
      </c>
      <c r="BI83" s="287">
        <f>BI66-'SoftBank Other (13F)'!AT29/1000</f>
        <v>212.85876849159183</v>
      </c>
      <c r="BJ83" s="287">
        <f>BJ66-'SoftBank Other (13F)'!AU29/1000</f>
        <v>209.804708400214</v>
      </c>
      <c r="BK83" s="287">
        <f>BK66-'SoftBank Other (13F)'!AV29/1000</f>
        <v>209.804708400214</v>
      </c>
      <c r="BL83" s="285">
        <f>BL66-7.5</f>
        <v>262.09464125405702</v>
      </c>
      <c r="BM83" s="285">
        <f>BM66-7.5</f>
        <v>260.23240193444383</v>
      </c>
      <c r="BN83" s="285">
        <f>BN66-7.5</f>
        <v>241.47802759325498</v>
      </c>
      <c r="BO83" s="285">
        <f>BO66-7.5</f>
        <v>256.11260589047981</v>
      </c>
      <c r="BP83" s="287">
        <f>BP66-'SoftBank Other (13F)'!BA29/1000</f>
        <v>217.3232396774464</v>
      </c>
      <c r="BQ83" s="287"/>
      <c r="BR83" s="287"/>
      <c r="BS83" s="287"/>
      <c r="BT83" s="287"/>
      <c r="BU83" s="287"/>
      <c r="BW83" s="328"/>
    </row>
    <row r="84" spans="1:75" s="26" customFormat="1">
      <c r="A84" s="26" t="s">
        <v>952</v>
      </c>
      <c r="BG84" s="287">
        <f>BG71-'SoftBank Other (13F)'!AR29/1000</f>
        <v>18.56335754640839</v>
      </c>
      <c r="BH84" s="287">
        <f>BH71-'SoftBank Other (13F)'!AS29/1000</f>
        <v>28.935752820009803</v>
      </c>
      <c r="BI84" s="287">
        <f>BI71-'SoftBank Other (13F)'!AT29/1000</f>
        <v>27.373877860665054</v>
      </c>
      <c r="BJ84" s="287">
        <f>BJ71-'SoftBank Other (13F)'!AU29/1000</f>
        <v>37.921348314606746</v>
      </c>
      <c r="BK84" s="287">
        <f>BK71-'SoftBank Other (13F)'!AV29/1000</f>
        <v>37.921348314606746</v>
      </c>
      <c r="BL84" s="285">
        <f>BL71-7.5</f>
        <v>38.353186934603968</v>
      </c>
      <c r="BM84" s="285">
        <f>BM71-7.5</f>
        <v>36.562332079527138</v>
      </c>
      <c r="BN84" s="285">
        <f>BN71-7.5</f>
        <v>43.854113438937141</v>
      </c>
      <c r="BO84" s="285">
        <f>BO71-7.5</f>
        <v>43.624113438937144</v>
      </c>
      <c r="BP84" s="287">
        <f>BP71-'SoftBank Other (13F)'!BA29/1000</f>
        <v>4.8347472259037261</v>
      </c>
      <c r="BQ84" s="287"/>
      <c r="BR84" s="287"/>
      <c r="BS84" s="287"/>
      <c r="BT84" s="287"/>
      <c r="BU84" s="287"/>
      <c r="BW84" s="328"/>
    </row>
    <row r="85" spans="1:75" s="26" customFormat="1">
      <c r="A85" s="26" t="s">
        <v>3011</v>
      </c>
      <c r="BG85" s="208"/>
      <c r="BH85" s="208"/>
      <c r="BI85" s="208"/>
      <c r="BJ85" s="208">
        <f t="shared" ref="BJ85:BP85" si="234">BJ84/BJ83</f>
        <v>0.18074593560726812</v>
      </c>
      <c r="BK85" s="208">
        <f t="shared" si="234"/>
        <v>0.18074593560726812</v>
      </c>
      <c r="BL85" s="208">
        <f t="shared" si="234"/>
        <v>0.14633335023979735</v>
      </c>
      <c r="BM85" s="208">
        <f t="shared" si="234"/>
        <v>0.14049876882256077</v>
      </c>
      <c r="BN85" s="208">
        <f t="shared" si="234"/>
        <v>0.1816070550021425</v>
      </c>
      <c r="BO85" s="208">
        <f>BO84/BO83</f>
        <v>0.17033176983717824</v>
      </c>
      <c r="BP85" s="208">
        <f t="shared" si="234"/>
        <v>2.2246802657090482E-2</v>
      </c>
      <c r="BQ85" s="208"/>
      <c r="BR85" s="208"/>
      <c r="BS85" s="208"/>
      <c r="BT85" s="208"/>
      <c r="BU85" s="208"/>
      <c r="BW85" s="328"/>
    </row>
    <row r="86" spans="1:75" s="26" customFormat="1">
      <c r="BW86" s="328"/>
    </row>
    <row r="87" spans="1:75" s="26" customFormat="1">
      <c r="A87" s="26" t="s">
        <v>3320</v>
      </c>
      <c r="BN87" s="285">
        <f>BN83-SUM(BN62:BN63)</f>
        <v>235.66555952989268</v>
      </c>
      <c r="BO87" s="285">
        <f>BO83-SUM(BO62:BO63)</f>
        <v>252.65484589047981</v>
      </c>
      <c r="BP87" s="287"/>
      <c r="BQ87" s="287"/>
      <c r="BR87" s="287"/>
      <c r="BS87" s="287"/>
      <c r="BT87" s="287"/>
      <c r="BU87" s="287"/>
      <c r="BW87" s="328"/>
    </row>
    <row r="88" spans="1:75" s="26" customFormat="1">
      <c r="A88" s="26" t="s">
        <v>952</v>
      </c>
      <c r="BN88" s="285">
        <f>BN84-SUM(BN62:BN63)</f>
        <v>38.041645375574852</v>
      </c>
      <c r="BO88" s="285">
        <f>BO84-SUM(BO62:BO63)</f>
        <v>40.166353438937143</v>
      </c>
      <c r="BP88" s="287"/>
      <c r="BQ88" s="287"/>
      <c r="BR88" s="287"/>
      <c r="BS88" s="287"/>
      <c r="BT88" s="287"/>
      <c r="BU88" s="287"/>
      <c r="BW88" s="328"/>
    </row>
    <row r="89" spans="1:75" s="26" customFormat="1">
      <c r="A89" s="26" t="s">
        <v>3011</v>
      </c>
      <c r="BL89" s="208"/>
      <c r="BM89" s="208">
        <f>BM85</f>
        <v>0.14049876882256077</v>
      </c>
      <c r="BN89" s="208">
        <f t="shared" ref="BN89:BO89" si="235">BN88/BN87</f>
        <v>0.16142216729275416</v>
      </c>
      <c r="BO89" s="208">
        <f t="shared" si="235"/>
        <v>0.15897717416569304</v>
      </c>
      <c r="BP89" s="208"/>
      <c r="BQ89" s="208"/>
      <c r="BR89" s="208"/>
      <c r="BS89" s="208"/>
      <c r="BT89" s="208"/>
      <c r="BU89" s="208"/>
      <c r="BW89" s="328"/>
    </row>
    <row r="91" spans="1:75" s="706" customFormat="1">
      <c r="A91" s="706" t="s">
        <v>3571</v>
      </c>
      <c r="BN91" s="208">
        <f>BN77</f>
        <v>0.20625962031811182</v>
      </c>
      <c r="BO91" s="792">
        <f>BO71/(BO66-25%*BO159)</f>
        <v>0.21823542375987087</v>
      </c>
      <c r="BP91" s="792">
        <f>BP71/(BP66-25%*BP159)</f>
        <v>0.21823542375987087</v>
      </c>
      <c r="BQ91" s="792">
        <f t="shared" ref="BQ91:BU91" si="236">BQ71/(BQ66-25%*BQ159)</f>
        <v>0.21605194006151646</v>
      </c>
      <c r="BR91" s="792">
        <f t="shared" si="236"/>
        <v>0.24835111986726938</v>
      </c>
      <c r="BS91" s="792">
        <f t="shared" si="236"/>
        <v>0.27915829426337319</v>
      </c>
      <c r="BT91" s="792">
        <f t="shared" si="236"/>
        <v>0.27953834378950437</v>
      </c>
      <c r="BU91" s="792">
        <f t="shared" si="236"/>
        <v>0.27953834378950437</v>
      </c>
      <c r="BW91" s="710"/>
    </row>
    <row r="93" spans="1:75" s="12" customFormat="1">
      <c r="A93" s="13" t="s">
        <v>2189</v>
      </c>
      <c r="BW93" s="46"/>
    </row>
    <row r="94" spans="1:75">
      <c r="AW94" s="25" t="s">
        <v>2183</v>
      </c>
    </row>
    <row r="95" spans="1:75">
      <c r="A95" s="1" t="s">
        <v>943</v>
      </c>
      <c r="BJ95" s="678" t="s">
        <v>2811</v>
      </c>
    </row>
    <row r="96" spans="1:75" s="26" customFormat="1">
      <c r="A96" s="29" t="s">
        <v>704</v>
      </c>
      <c r="AC96" s="287"/>
      <c r="AD96" s="287"/>
      <c r="AE96" s="287"/>
      <c r="AF96" s="287"/>
      <c r="AG96" s="287"/>
      <c r="AH96" s="287"/>
      <c r="AI96" s="287"/>
      <c r="AJ96" s="287"/>
      <c r="AK96" s="287"/>
      <c r="AL96" s="287"/>
      <c r="AM96" s="287"/>
      <c r="AN96" s="287"/>
      <c r="AO96" s="287"/>
      <c r="AP96" s="287"/>
      <c r="AQ96" s="287"/>
      <c r="AR96" s="287"/>
      <c r="AS96" s="287"/>
      <c r="AT96" s="287"/>
      <c r="AU96" s="287"/>
      <c r="AV96" s="287"/>
      <c r="AW96" s="287"/>
      <c r="AX96" s="287"/>
      <c r="AY96" s="287"/>
      <c r="AZ96" s="287"/>
      <c r="BA96" s="287"/>
      <c r="BB96" s="287"/>
      <c r="BC96" s="287"/>
      <c r="BD96" s="287"/>
      <c r="BW96" s="328"/>
    </row>
    <row r="97" spans="1:75">
      <c r="A97" s="5" t="s">
        <v>85</v>
      </c>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f>'Investment Business Of HoldCo'!AN315/1000</f>
        <v>3.3299906404599544</v>
      </c>
      <c r="BD97" s="24">
        <f>'Investment Business Of HoldCo'!AO315/1000</f>
        <v>3.5140661355143479</v>
      </c>
      <c r="BE97" s="24">
        <f>'Investment Business Of HoldCo'!AP315/1000</f>
        <v>3.2943662902054025</v>
      </c>
      <c r="BF97" s="24">
        <f>BE97</f>
        <v>3.2943662902054025</v>
      </c>
      <c r="BG97" s="24">
        <f>'Investment Business Of HoldCo'!AR315/1000</f>
        <v>3.0986527596697089</v>
      </c>
      <c r="BH97" s="24">
        <f>'Investment Business Of HoldCo'!AS315/1000</f>
        <v>3.4996146570447699</v>
      </c>
      <c r="BI97" s="24">
        <f>'Investment Business Of HoldCo'!AT315/1000</f>
        <v>3.1596914907067895</v>
      </c>
      <c r="BJ97" s="24">
        <f>'Investment Business Of HoldCo'!AU315/1000</f>
        <v>5.3237025147137498</v>
      </c>
      <c r="BK97" s="24">
        <f>BJ97</f>
        <v>5.3237025147137498</v>
      </c>
      <c r="BL97" s="24">
        <f>'Investment Business Of HoldCo'!AW315/1000</f>
        <v>5.5003107520198879</v>
      </c>
      <c r="BM97" s="24">
        <f>'Investment Business Of HoldCo'!AX315/1000</f>
        <v>5.3533046749059645</v>
      </c>
      <c r="BN97" s="24">
        <f>'Investment Business Of HoldCo'!AY315/1000</f>
        <v>7.6392437404190083</v>
      </c>
      <c r="BO97" s="24">
        <f>'Investment Business Of HoldCo'!AZ315/1000</f>
        <v>7.7111540941328176</v>
      </c>
      <c r="BP97" s="24">
        <f>BO97</f>
        <v>7.7111540941328176</v>
      </c>
      <c r="BQ97" s="24">
        <f>'Investment Business Of HoldCo'!BB315/1000</f>
        <v>7.7310924369747891</v>
      </c>
      <c r="BR97" s="24">
        <f>'Investment Business Of HoldCo'!BC315/1000</f>
        <v>7.7511341542449763</v>
      </c>
      <c r="BS97" s="24">
        <f>'Investment Business Of HoldCo'!BD315/1000</f>
        <v>7.7712800519818055</v>
      </c>
      <c r="BT97" s="24">
        <f>'Investment Business Of HoldCo'!BE315/1000</f>
        <v>7.7915309446254071</v>
      </c>
      <c r="BU97" s="24">
        <f>BT97</f>
        <v>7.7915309446254071</v>
      </c>
    </row>
    <row r="98" spans="1:75">
      <c r="A98" s="34" t="s">
        <v>84</v>
      </c>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H98" s="24"/>
      <c r="BI98" s="24"/>
      <c r="BM98" s="24"/>
    </row>
    <row r="99" spans="1:75" s="26" customFormat="1">
      <c r="A99" s="806" t="s">
        <v>2964</v>
      </c>
      <c r="AC99" s="287"/>
      <c r="AD99" s="287"/>
      <c r="AE99" s="287"/>
      <c r="AF99" s="287"/>
      <c r="AG99" s="287"/>
      <c r="AH99" s="287"/>
      <c r="AI99" s="287"/>
      <c r="AJ99" s="287"/>
      <c r="AK99" s="287"/>
      <c r="AL99" s="287"/>
      <c r="AM99" s="287"/>
      <c r="AN99" s="287"/>
      <c r="AO99" s="287"/>
      <c r="AP99" s="287"/>
      <c r="AQ99" s="287"/>
      <c r="AR99" s="287"/>
      <c r="AS99" s="287"/>
      <c r="AT99" s="287"/>
      <c r="AU99" s="287"/>
      <c r="AV99" s="287"/>
      <c r="AW99" s="287"/>
      <c r="AX99" s="287"/>
      <c r="AY99" s="287"/>
      <c r="AZ99" s="287"/>
      <c r="BA99" s="287"/>
      <c r="BB99" s="287"/>
      <c r="BC99" s="287"/>
      <c r="BD99" s="287"/>
      <c r="BH99" s="287"/>
      <c r="BI99" s="287"/>
      <c r="BM99" s="287"/>
      <c r="BW99" s="328"/>
    </row>
    <row r="100" spans="1:75" s="26" customFormat="1">
      <c r="A100" s="806" t="s">
        <v>2963</v>
      </c>
      <c r="AC100" s="287"/>
      <c r="AD100" s="287"/>
      <c r="AE100" s="287"/>
      <c r="AF100" s="287"/>
      <c r="AG100" s="287"/>
      <c r="AH100" s="287"/>
      <c r="AI100" s="287"/>
      <c r="AJ100" s="287"/>
      <c r="AK100" s="287"/>
      <c r="AL100" s="287"/>
      <c r="AM100" s="287"/>
      <c r="AN100" s="287"/>
      <c r="AO100" s="287"/>
      <c r="AP100" s="287"/>
      <c r="AQ100" s="287"/>
      <c r="AR100" s="287"/>
      <c r="AS100" s="287"/>
      <c r="AT100" s="287"/>
      <c r="AU100" s="287"/>
      <c r="AV100" s="287"/>
      <c r="AW100" s="287"/>
      <c r="AX100" s="287"/>
      <c r="AY100" s="287"/>
      <c r="AZ100" s="287"/>
      <c r="BA100" s="287"/>
      <c r="BB100" s="287"/>
      <c r="BC100" s="287"/>
      <c r="BD100" s="287"/>
      <c r="BG100" s="287">
        <f>BG101</f>
        <v>3.6186378593158257</v>
      </c>
      <c r="BH100" s="287">
        <f>BH101</f>
        <v>3.5597421705317736</v>
      </c>
      <c r="BI100" s="287">
        <f>BI101</f>
        <v>3.415065115690985</v>
      </c>
      <c r="BJ100" s="287">
        <f>BJ101</f>
        <v>3.3523608881754949</v>
      </c>
      <c r="BK100" s="287">
        <f>BJ100</f>
        <v>3.3523608881754949</v>
      </c>
      <c r="BL100" s="287">
        <f>BL101</f>
        <v>3.1829086389061527</v>
      </c>
      <c r="BM100" s="287">
        <f>BM101</f>
        <v>4.3463594841483069</v>
      </c>
      <c r="BN100" s="287">
        <f>BN101</f>
        <v>5.331572560040879</v>
      </c>
      <c r="BO100" s="287">
        <f>BO101</f>
        <v>5.33</v>
      </c>
      <c r="BP100" s="287">
        <f>BO100</f>
        <v>5.33</v>
      </c>
      <c r="BQ100" s="287">
        <f>BQ101</f>
        <v>6.83</v>
      </c>
      <c r="BR100" s="287">
        <f>BR101</f>
        <v>8.08</v>
      </c>
      <c r="BS100" s="287">
        <f>BS101</f>
        <v>9.08</v>
      </c>
      <c r="BT100" s="287">
        <f>BT101</f>
        <v>10.58</v>
      </c>
      <c r="BU100" s="287">
        <f>BT100</f>
        <v>10.58</v>
      </c>
      <c r="BW100" s="328"/>
    </row>
    <row r="101" spans="1:75">
      <c r="A101" s="34" t="s">
        <v>83</v>
      </c>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f>'SVF Segment'!AN924/1000</f>
        <v>3.6249030619066716</v>
      </c>
      <c r="BD101" s="24">
        <f>'SVF Segment'!AO924/1000</f>
        <v>3.6186772897130361</v>
      </c>
      <c r="BE101" s="24">
        <f>'SVF Segment'!AP924/1000</f>
        <v>3.6186117165312726</v>
      </c>
      <c r="BF101" s="24">
        <f>BE101</f>
        <v>3.6186117165312726</v>
      </c>
      <c r="BG101" s="24">
        <f>'SVF Segment'!AR924/1000</f>
        <v>3.6186378593158257</v>
      </c>
      <c r="BH101" s="24">
        <f>'SVF Segment'!AS924/1000</f>
        <v>3.5597421705317736</v>
      </c>
      <c r="BI101" s="24">
        <f>'SVF Segment'!AT924/1000</f>
        <v>3.415065115690985</v>
      </c>
      <c r="BJ101" s="24">
        <f>'SVF Segment'!AU924/1000</f>
        <v>3.3523608881754949</v>
      </c>
      <c r="BK101" s="24">
        <f>BJ101</f>
        <v>3.3523608881754949</v>
      </c>
      <c r="BL101" s="24">
        <f>'SVF Segment'!AW924/1000</f>
        <v>3.1829086389061527</v>
      </c>
      <c r="BM101" s="24">
        <f>'SVF Segment'!AX924/1000</f>
        <v>4.3463594841483069</v>
      </c>
      <c r="BN101" s="24">
        <f>'SVF Segment'!AY924/1000</f>
        <v>5.331572560040879</v>
      </c>
      <c r="BO101" s="24">
        <f>'SVF Segment'!AZ924/1000</f>
        <v>5.33</v>
      </c>
      <c r="BP101" s="24">
        <f>BO101</f>
        <v>5.33</v>
      </c>
      <c r="BQ101" s="24">
        <f>'SVF Segment'!BB924/1000</f>
        <v>6.83</v>
      </c>
      <c r="BR101" s="24">
        <f>'SVF Segment'!BC924/1000</f>
        <v>8.08</v>
      </c>
      <c r="BS101" s="24">
        <f>'SVF Segment'!BD924/1000</f>
        <v>9.08</v>
      </c>
      <c r="BT101" s="24">
        <f>'SVF Segment'!BE924/1000</f>
        <v>10.58</v>
      </c>
      <c r="BU101" s="24">
        <f>BT101</f>
        <v>10.58</v>
      </c>
    </row>
    <row r="102" spans="1:75">
      <c r="A102" s="34" t="s">
        <v>944</v>
      </c>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H102" s="24"/>
      <c r="BI102" s="24"/>
      <c r="BM102" s="24"/>
    </row>
    <row r="103" spans="1:75">
      <c r="A103" s="5" t="s">
        <v>945</v>
      </c>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f>BC98+BC101+BC102</f>
        <v>3.6249030619066716</v>
      </c>
      <c r="BD103" s="24">
        <f>BD98+BD101+BD102</f>
        <v>3.6186772897130361</v>
      </c>
      <c r="BE103" s="24">
        <f>BE98+BE101+BE102</f>
        <v>3.6186117165312726</v>
      </c>
      <c r="BF103" s="24">
        <f>BE103</f>
        <v>3.6186117165312726</v>
      </c>
      <c r="BG103" s="24">
        <f t="shared" ref="BG103:BJ103" si="237">BG98+BG101+BG102</f>
        <v>3.6186378593158257</v>
      </c>
      <c r="BH103" s="24">
        <f t="shared" si="237"/>
        <v>3.5597421705317736</v>
      </c>
      <c r="BI103" s="24">
        <f t="shared" si="237"/>
        <v>3.415065115690985</v>
      </c>
      <c r="BJ103" s="24">
        <f t="shared" si="237"/>
        <v>3.3523608881754949</v>
      </c>
      <c r="BK103" s="24">
        <f>BJ103</f>
        <v>3.3523608881754949</v>
      </c>
      <c r="BL103" s="24">
        <f t="shared" ref="BL103:BM103" si="238">BL98+BL101+BL102</f>
        <v>3.1829086389061527</v>
      </c>
      <c r="BM103" s="24">
        <f t="shared" si="238"/>
        <v>4.3463594841483069</v>
      </c>
      <c r="BN103" s="24">
        <f t="shared" ref="BN103" si="239">BN98+BN101+BN102</f>
        <v>5.331572560040879</v>
      </c>
      <c r="BO103" s="24">
        <f t="shared" ref="BO103" si="240">BO98+BO101+BO102</f>
        <v>5.33</v>
      </c>
      <c r="BP103" s="24">
        <f>BO103</f>
        <v>5.33</v>
      </c>
      <c r="BQ103" s="24">
        <f t="shared" ref="BQ103:BT103" si="241">BQ98+BQ101+BQ102</f>
        <v>6.83</v>
      </c>
      <c r="BR103" s="24">
        <f t="shared" si="241"/>
        <v>8.08</v>
      </c>
      <c r="BS103" s="24">
        <f t="shared" si="241"/>
        <v>9.08</v>
      </c>
      <c r="BT103" s="24">
        <f t="shared" si="241"/>
        <v>10.58</v>
      </c>
      <c r="BU103" s="24">
        <f>BT103</f>
        <v>10.58</v>
      </c>
    </row>
    <row r="104" spans="1:75">
      <c r="A104" s="5" t="s">
        <v>87</v>
      </c>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f>'Investment Business Of HoldCo'!AN316/1000</f>
        <v>2.8359406337745687</v>
      </c>
      <c r="BD104" s="24">
        <f>'Investment Business Of HoldCo'!AO316/1000</f>
        <v>2.8449552280899666</v>
      </c>
      <c r="BE104" s="24">
        <f>'Investment Business Of HoldCo'!AP316/1000</f>
        <v>2.8545010237104553</v>
      </c>
      <c r="BF104" s="24">
        <f>BE104</f>
        <v>2.8545010237104553</v>
      </c>
      <c r="BG104" s="24">
        <f>'Investment Business Of HoldCo'!AR316/1000</f>
        <v>0.54013782827342149</v>
      </c>
      <c r="BH104" s="24">
        <f>'Investment Business Of HoldCo'!AS316/1000</f>
        <v>0</v>
      </c>
      <c r="BI104" s="24">
        <f>'Investment Business Of HoldCo'!AT316/1000</f>
        <v>0</v>
      </c>
      <c r="BJ104" s="24">
        <f>'Investment Business Of HoldCo'!AU316/1000</f>
        <v>0</v>
      </c>
      <c r="BK104" s="24">
        <f>BJ104</f>
        <v>0</v>
      </c>
      <c r="BL104" s="24">
        <f>'Investment Business Of HoldCo'!AW316/1000</f>
        <v>0</v>
      </c>
      <c r="BM104" s="24">
        <f>'Investment Business Of HoldCo'!AX316/1000</f>
        <v>0</v>
      </c>
      <c r="BN104" s="24">
        <f>'Investment Business Of HoldCo'!AY316/1000</f>
        <v>0</v>
      </c>
      <c r="BO104" s="24">
        <f>'Investment Business Of HoldCo'!AZ316/1000</f>
        <v>0</v>
      </c>
      <c r="BP104" s="24">
        <f>BO104</f>
        <v>0</v>
      </c>
      <c r="BQ104" s="24"/>
      <c r="BR104" s="24"/>
      <c r="BS104" s="24"/>
      <c r="BT104" s="24"/>
      <c r="BU104" s="24"/>
    </row>
    <row r="105" spans="1:75" s="26" customFormat="1">
      <c r="A105" s="29" t="s">
        <v>88</v>
      </c>
      <c r="AC105" s="287"/>
      <c r="AD105" s="287"/>
      <c r="AE105" s="287"/>
      <c r="AF105" s="287"/>
      <c r="AG105" s="287"/>
      <c r="AH105" s="287"/>
      <c r="AI105" s="287"/>
      <c r="AJ105" s="287"/>
      <c r="AK105" s="287"/>
      <c r="AL105" s="287"/>
      <c r="AM105" s="287"/>
      <c r="AN105" s="287"/>
      <c r="AO105" s="287"/>
      <c r="AP105" s="287"/>
      <c r="AQ105" s="287"/>
      <c r="AR105" s="287"/>
      <c r="AS105" s="287"/>
      <c r="AT105" s="287"/>
      <c r="AU105" s="287"/>
      <c r="AV105" s="287"/>
      <c r="AW105" s="287"/>
      <c r="AX105" s="287"/>
      <c r="AY105" s="287"/>
      <c r="AZ105" s="287"/>
      <c r="BA105" s="287"/>
      <c r="BB105" s="287"/>
      <c r="BC105" s="287">
        <f>'Investment Business Of HoldCo'!AN317/1000</f>
        <v>3.2196817756384539</v>
      </c>
      <c r="BD105" s="287">
        <f>'Investment Business Of HoldCo'!AO317/1000</f>
        <v>3.3624762039060845</v>
      </c>
      <c r="BE105" s="287">
        <f>'Investment Business Of HoldCo'!AP317/1000</f>
        <v>3.2818175814014925</v>
      </c>
      <c r="BF105" s="287">
        <f>BE105</f>
        <v>3.2818175814014925</v>
      </c>
      <c r="BG105" s="287">
        <f>'Investment Business Of HoldCo'!AR317/1000</f>
        <v>3.259452411994785</v>
      </c>
      <c r="BH105" s="287">
        <f>'Investment Business Of HoldCo'!AS317/1000</f>
        <v>3.3931198766902542</v>
      </c>
      <c r="BI105" s="287">
        <f>'Investment Business Of HoldCo'!AT317/1000</f>
        <v>3.1495764319130104</v>
      </c>
      <c r="BJ105" s="287">
        <f>'Investment Business Of HoldCo'!AU317/1000</f>
        <v>2.7380952380952381</v>
      </c>
      <c r="BK105" s="287">
        <f>BJ105</f>
        <v>2.7380952380952381</v>
      </c>
      <c r="BL105" s="287">
        <f>'Investment Business Of HoldCo'!AW317/1000</f>
        <v>2.3575719908846073</v>
      </c>
      <c r="BM105" s="287">
        <f>'Investment Business Of HoldCo'!AX317/1000</f>
        <v>0</v>
      </c>
      <c r="BN105" s="287">
        <f>'Investment Business Of HoldCo'!AY317/1000</f>
        <v>0</v>
      </c>
      <c r="BO105" s="287">
        <f>'Investment Business Of HoldCo'!AZ317/1000</f>
        <v>0</v>
      </c>
      <c r="BP105" s="287">
        <f t="shared" ref="BP105" si="242">BO105</f>
        <v>0</v>
      </c>
      <c r="BQ105" s="287"/>
      <c r="BR105" s="287"/>
      <c r="BS105" s="287"/>
      <c r="BT105" s="287"/>
      <c r="BU105" s="287"/>
      <c r="BW105" s="328"/>
    </row>
    <row r="106" spans="1:75">
      <c r="A106" s="5" t="s">
        <v>946</v>
      </c>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628">
        <f>'Investment Business Of HoldCo'!AN313/1000+12</f>
        <v>20.42224896376521</v>
      </c>
      <c r="BD106" s="628">
        <f>'Investment Business Of HoldCo'!AO313/1000+12</f>
        <v>20.419234294578015</v>
      </c>
      <c r="BE106" s="628">
        <f>'Investment Business Of HoldCo'!AP313/1000+12</f>
        <v>20.420183607423553</v>
      </c>
      <c r="BF106" s="24">
        <f>BE106</f>
        <v>20.420183607423553</v>
      </c>
      <c r="BG106" s="628">
        <f>'Investment Business Of HoldCo'!AR313/1000+12</f>
        <v>20.424908424908423</v>
      </c>
      <c r="BH106" s="628">
        <f>'Investment Business Of HoldCo'!AS313/1000+12-4.1</f>
        <v>16.332705107545713</v>
      </c>
      <c r="BI106" s="628">
        <f>'Investment Business Of HoldCo'!AT313/1000+12-4.1</f>
        <v>16.31193576937666</v>
      </c>
      <c r="BJ106" s="628">
        <f>'Investment Business Of HoldCo'!AU313/1000+12-4.1-4.1</f>
        <v>12.216934189406098</v>
      </c>
      <c r="BK106" s="24">
        <f>BJ106</f>
        <v>12.216934189406098</v>
      </c>
      <c r="BL106" s="628">
        <f>'Investment Business Of HoldCo'!AW313/1000+12-4.1-4.1</f>
        <v>12.22621365927767</v>
      </c>
      <c r="BM106" s="24">
        <f>'Investment Business Of HoldCo'!AX313/1000</f>
        <v>8.4376679204728635</v>
      </c>
      <c r="BN106" s="24">
        <f>'Investment Business Of HoldCo'!AY313/1000</f>
        <v>19.806463975472663</v>
      </c>
      <c r="BO106" s="24">
        <f>'Investment Business Of HoldCo'!AZ313/1000</f>
        <v>19.806463975472663</v>
      </c>
      <c r="BP106" s="24">
        <f>BO106</f>
        <v>19.806463975472663</v>
      </c>
      <c r="BQ106" s="24">
        <f>'Investment Business Of HoldCo'!BB313/1000</f>
        <v>19.806463975472663</v>
      </c>
      <c r="BR106" s="24">
        <f>'Investment Business Of HoldCo'!BC313/1000</f>
        <v>22.306463975472663</v>
      </c>
      <c r="BS106" s="24">
        <f>'Investment Business Of HoldCo'!BD313/1000</f>
        <v>24.806463975472663</v>
      </c>
      <c r="BT106" s="24">
        <f>'Investment Business Of HoldCo'!BE313/1000</f>
        <v>24.806463975472663</v>
      </c>
      <c r="BU106" s="24">
        <f>BT106</f>
        <v>24.806463975472663</v>
      </c>
    </row>
    <row r="107" spans="1:75">
      <c r="A107" s="5" t="s">
        <v>947</v>
      </c>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H107" s="24"/>
      <c r="BI107" s="24"/>
    </row>
    <row r="108" spans="1:75">
      <c r="A108" s="9" t="s">
        <v>2325</v>
      </c>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f t="shared" ref="BC108" si="243">SUM(BC96:BC97)+BC103+SUM(BC104:BC107)</f>
        <v>33.432765075544857</v>
      </c>
      <c r="BD108" s="30">
        <f t="shared" ref="BD108:BG108" si="244">SUM(BD96:BD97)+BD103+SUM(BD104:BD107)</f>
        <v>33.759409151801449</v>
      </c>
      <c r="BE108" s="30">
        <f t="shared" si="244"/>
        <v>33.469480219272171</v>
      </c>
      <c r="BF108" s="30">
        <f t="shared" si="244"/>
        <v>33.469480219272171</v>
      </c>
      <c r="BG108" s="30">
        <f t="shared" si="244"/>
        <v>30.941789284162162</v>
      </c>
      <c r="BH108" s="30">
        <f t="shared" ref="BH108" si="245">SUM(BH96:BH97)+BH103+SUM(BH104:BH107)</f>
        <v>26.78518181181251</v>
      </c>
      <c r="BI108" s="30">
        <f t="shared" ref="BI108" si="246">SUM(BI96:BI97)+BI103+SUM(BI104:BI107)</f>
        <v>26.036268807687446</v>
      </c>
      <c r="BJ108" s="30">
        <f t="shared" ref="BJ108:BU108" si="247">SUM(BJ96:BJ97)+BJ103+SUM(BJ104:BJ107)</f>
        <v>23.631092830390582</v>
      </c>
      <c r="BK108" s="30">
        <f t="shared" si="247"/>
        <v>23.631092830390582</v>
      </c>
      <c r="BL108" s="30">
        <f t="shared" ref="BL108" si="248">SUM(BL96:BL97)+BL103+SUM(BL104:BL107)</f>
        <v>23.267005041088318</v>
      </c>
      <c r="BM108" s="30">
        <f t="shared" si="247"/>
        <v>18.137332079527134</v>
      </c>
      <c r="BN108" s="30">
        <f t="shared" si="247"/>
        <v>32.777280275932554</v>
      </c>
      <c r="BO108" s="30">
        <f t="shared" si="247"/>
        <v>32.847618069605481</v>
      </c>
      <c r="BP108" s="30">
        <f t="shared" si="247"/>
        <v>32.847618069605481</v>
      </c>
      <c r="BQ108" s="30">
        <f t="shared" si="247"/>
        <v>34.367556412447456</v>
      </c>
      <c r="BR108" s="30">
        <f t="shared" si="247"/>
        <v>38.137598129717638</v>
      </c>
      <c r="BS108" s="30">
        <f t="shared" si="247"/>
        <v>41.65774402745447</v>
      </c>
      <c r="BT108" s="30">
        <f t="shared" si="247"/>
        <v>43.177994920098072</v>
      </c>
      <c r="BU108" s="30">
        <f t="shared" si="247"/>
        <v>43.177994920098072</v>
      </c>
    </row>
    <row r="109" spans="1:75">
      <c r="BJ109" s="522" t="s">
        <v>2495</v>
      </c>
      <c r="BK109" s="71"/>
      <c r="BL109" s="71"/>
      <c r="BM109" s="71"/>
      <c r="BN109" s="71"/>
      <c r="BO109" s="71"/>
      <c r="BP109" s="71"/>
    </row>
    <row r="110" spans="1:75" s="26" customFormat="1">
      <c r="A110" s="189" t="s">
        <v>2278</v>
      </c>
      <c r="BW110" s="328"/>
    </row>
    <row r="111" spans="1:75" s="26" customFormat="1" hidden="1" outlineLevel="1">
      <c r="BW111" s="328"/>
    </row>
    <row r="112" spans="1:75" s="26" customFormat="1" hidden="1" outlineLevel="1">
      <c r="A112" s="26" t="s">
        <v>2279</v>
      </c>
      <c r="BW112" s="328"/>
    </row>
    <row r="113" spans="1:75" s="26" customFormat="1" hidden="1" outlineLevel="1">
      <c r="A113" s="29" t="s">
        <v>704</v>
      </c>
      <c r="AC113" s="287"/>
      <c r="AD113" s="287"/>
      <c r="AE113" s="287"/>
      <c r="AF113" s="287"/>
      <c r="AG113" s="287"/>
      <c r="AH113" s="287"/>
      <c r="AI113" s="287"/>
      <c r="AJ113" s="287"/>
      <c r="AK113" s="287"/>
      <c r="AL113" s="287"/>
      <c r="AM113" s="287"/>
      <c r="AN113" s="287"/>
      <c r="AO113" s="287"/>
      <c r="AP113" s="287"/>
      <c r="AQ113" s="287"/>
      <c r="AR113" s="287"/>
      <c r="AS113" s="287"/>
      <c r="AT113" s="287"/>
      <c r="AU113" s="287"/>
      <c r="AV113" s="287"/>
      <c r="AW113" s="287"/>
      <c r="AX113" s="287"/>
      <c r="AY113" s="287"/>
      <c r="AZ113" s="287"/>
      <c r="BA113" s="287"/>
      <c r="BB113" s="287"/>
      <c r="BC113" s="287"/>
      <c r="BD113" s="287"/>
      <c r="BW113" s="328"/>
    </row>
    <row r="114" spans="1:75" s="26" customFormat="1" hidden="1" outlineLevel="1">
      <c r="A114" s="29" t="s">
        <v>85</v>
      </c>
      <c r="AC114" s="287"/>
      <c r="AD114" s="287"/>
      <c r="AE114" s="287"/>
      <c r="AF114" s="287"/>
      <c r="AG114" s="287"/>
      <c r="AH114" s="287"/>
      <c r="AI114" s="287"/>
      <c r="AJ114" s="287"/>
      <c r="AK114" s="287"/>
      <c r="AL114" s="287"/>
      <c r="AM114" s="287"/>
      <c r="AN114" s="287"/>
      <c r="AO114" s="287"/>
      <c r="AP114" s="287"/>
      <c r="AQ114" s="287"/>
      <c r="AR114" s="287"/>
      <c r="AS114" s="287"/>
      <c r="AT114" s="287"/>
      <c r="AU114" s="287"/>
      <c r="AV114" s="287"/>
      <c r="AW114" s="287"/>
      <c r="AX114" s="287"/>
      <c r="AY114" s="287"/>
      <c r="AZ114" s="287"/>
      <c r="BA114" s="287"/>
      <c r="BB114" s="287"/>
      <c r="BC114" s="287"/>
      <c r="BD114" s="287">
        <f t="shared" ref="BD114:BK114" si="249">BD97+$BD$138</f>
        <v>13.214066135514349</v>
      </c>
      <c r="BE114" s="287">
        <f t="shared" si="249"/>
        <v>12.994366290205404</v>
      </c>
      <c r="BF114" s="287">
        <f t="shared" si="249"/>
        <v>12.994366290205404</v>
      </c>
      <c r="BG114" s="287">
        <f t="shared" si="249"/>
        <v>12.798652759669711</v>
      </c>
      <c r="BH114" s="287">
        <f t="shared" si="249"/>
        <v>13.199614657044771</v>
      </c>
      <c r="BI114" s="287">
        <f t="shared" si="249"/>
        <v>12.859691490706791</v>
      </c>
      <c r="BJ114" s="287">
        <f t="shared" si="249"/>
        <v>15.023702514713751</v>
      </c>
      <c r="BK114" s="287">
        <f t="shared" si="249"/>
        <v>15.023702514713751</v>
      </c>
      <c r="BL114" s="287"/>
      <c r="BM114" s="287"/>
      <c r="BN114" s="287"/>
      <c r="BO114" s="287"/>
      <c r="BP114" s="287"/>
      <c r="BQ114" s="287"/>
      <c r="BR114" s="287"/>
      <c r="BS114" s="287"/>
      <c r="BT114" s="287"/>
      <c r="BU114" s="287"/>
      <c r="BW114" s="328"/>
    </row>
    <row r="115" spans="1:75" s="26" customFormat="1" hidden="1" outlineLevel="1">
      <c r="A115" s="423" t="s">
        <v>84</v>
      </c>
      <c r="AC115" s="287"/>
      <c r="AD115" s="287"/>
      <c r="AE115" s="287"/>
      <c r="AF115" s="287"/>
      <c r="AG115" s="287"/>
      <c r="AH115" s="287"/>
      <c r="AI115" s="287"/>
      <c r="AJ115" s="287"/>
      <c r="AK115" s="287"/>
      <c r="AL115" s="287"/>
      <c r="AM115" s="287"/>
      <c r="AN115" s="287"/>
      <c r="AO115" s="287"/>
      <c r="AP115" s="287"/>
      <c r="AQ115" s="287"/>
      <c r="AR115" s="287"/>
      <c r="AS115" s="287"/>
      <c r="AT115" s="287"/>
      <c r="AU115" s="287"/>
      <c r="AV115" s="287"/>
      <c r="AW115" s="287"/>
      <c r="AX115" s="287"/>
      <c r="AY115" s="287"/>
      <c r="AZ115" s="287"/>
      <c r="BA115" s="287"/>
      <c r="BB115" s="287"/>
      <c r="BC115" s="287"/>
      <c r="BD115" s="287"/>
      <c r="BE115" s="287"/>
      <c r="BF115" s="287"/>
      <c r="BG115" s="287"/>
      <c r="BH115" s="287"/>
      <c r="BI115" s="287"/>
      <c r="BJ115" s="287"/>
      <c r="BK115" s="287"/>
      <c r="BL115" s="287"/>
      <c r="BM115" s="287"/>
      <c r="BN115" s="287"/>
      <c r="BO115" s="287"/>
      <c r="BP115" s="287"/>
      <c r="BQ115" s="287"/>
      <c r="BR115" s="287"/>
      <c r="BS115" s="287"/>
      <c r="BT115" s="287"/>
      <c r="BU115" s="287"/>
      <c r="BW115" s="328"/>
    </row>
    <row r="116" spans="1:75" s="26" customFormat="1" hidden="1" outlineLevel="1">
      <c r="A116" s="423" t="s">
        <v>83</v>
      </c>
      <c r="AC116" s="287"/>
      <c r="AD116" s="287"/>
      <c r="AE116" s="287"/>
      <c r="AF116" s="287"/>
      <c r="AG116" s="287"/>
      <c r="AH116" s="287"/>
      <c r="AI116" s="287"/>
      <c r="AJ116" s="287"/>
      <c r="AK116" s="287"/>
      <c r="AL116" s="287"/>
      <c r="AM116" s="287"/>
      <c r="AN116" s="287"/>
      <c r="AO116" s="287"/>
      <c r="AP116" s="287"/>
      <c r="AQ116" s="287"/>
      <c r="AR116" s="287"/>
      <c r="AS116" s="287"/>
      <c r="AT116" s="287"/>
      <c r="AU116" s="287"/>
      <c r="AV116" s="287"/>
      <c r="AW116" s="287"/>
      <c r="AX116" s="287"/>
      <c r="AY116" s="287"/>
      <c r="AZ116" s="287"/>
      <c r="BA116" s="287"/>
      <c r="BB116" s="287"/>
      <c r="BC116" s="287"/>
      <c r="BD116" s="287">
        <f t="shared" ref="BD116:BK116" si="250">BD101</f>
        <v>3.6186772897130361</v>
      </c>
      <c r="BE116" s="287">
        <f t="shared" si="250"/>
        <v>3.6186117165312726</v>
      </c>
      <c r="BF116" s="287">
        <f t="shared" si="250"/>
        <v>3.6186117165312726</v>
      </c>
      <c r="BG116" s="287">
        <f t="shared" si="250"/>
        <v>3.6186378593158257</v>
      </c>
      <c r="BH116" s="287">
        <f t="shared" si="250"/>
        <v>3.5597421705317736</v>
      </c>
      <c r="BI116" s="287">
        <f t="shared" si="250"/>
        <v>3.415065115690985</v>
      </c>
      <c r="BJ116" s="287">
        <f t="shared" si="250"/>
        <v>3.3523608881754949</v>
      </c>
      <c r="BK116" s="287">
        <f t="shared" si="250"/>
        <v>3.3523608881754949</v>
      </c>
      <c r="BL116" s="287"/>
      <c r="BM116" s="287"/>
      <c r="BN116" s="287"/>
      <c r="BO116" s="287"/>
      <c r="BP116" s="287"/>
      <c r="BQ116" s="287"/>
      <c r="BR116" s="287"/>
      <c r="BS116" s="287"/>
      <c r="BT116" s="287"/>
      <c r="BU116" s="287"/>
      <c r="BW116" s="328"/>
    </row>
    <row r="117" spans="1:75" s="26" customFormat="1" hidden="1" outlineLevel="1">
      <c r="A117" s="423" t="s">
        <v>944</v>
      </c>
      <c r="AC117" s="287"/>
      <c r="AD117" s="287"/>
      <c r="AE117" s="287"/>
      <c r="AF117" s="287"/>
      <c r="AG117" s="287"/>
      <c r="AH117" s="287"/>
      <c r="AI117" s="287"/>
      <c r="AJ117" s="287"/>
      <c r="AK117" s="287"/>
      <c r="AL117" s="287"/>
      <c r="AM117" s="287"/>
      <c r="AN117" s="287"/>
      <c r="AO117" s="287"/>
      <c r="AP117" s="287"/>
      <c r="AQ117" s="287"/>
      <c r="AR117" s="287"/>
      <c r="AS117" s="287"/>
      <c r="AT117" s="287"/>
      <c r="AU117" s="287"/>
      <c r="AV117" s="287"/>
      <c r="AW117" s="287"/>
      <c r="AX117" s="287"/>
      <c r="AY117" s="287"/>
      <c r="AZ117" s="287"/>
      <c r="BA117" s="287"/>
      <c r="BB117" s="287"/>
      <c r="BC117" s="287"/>
      <c r="BD117" s="287"/>
      <c r="BE117" s="287"/>
      <c r="BF117" s="287"/>
      <c r="BG117" s="287"/>
      <c r="BH117" s="287"/>
      <c r="BI117" s="287"/>
      <c r="BJ117" s="287"/>
      <c r="BK117" s="287"/>
      <c r="BL117" s="287"/>
      <c r="BM117" s="287"/>
      <c r="BN117" s="287"/>
      <c r="BO117" s="287"/>
      <c r="BP117" s="287"/>
      <c r="BQ117" s="287"/>
      <c r="BR117" s="287"/>
      <c r="BS117" s="287"/>
      <c r="BT117" s="287"/>
      <c r="BU117" s="287"/>
      <c r="BW117" s="328"/>
    </row>
    <row r="118" spans="1:75" s="26" customFormat="1" hidden="1" outlineLevel="1">
      <c r="A118" s="29" t="s">
        <v>945</v>
      </c>
      <c r="AC118" s="287"/>
      <c r="AD118" s="287"/>
      <c r="AE118" s="287"/>
      <c r="AF118" s="287"/>
      <c r="AG118" s="287"/>
      <c r="AH118" s="287"/>
      <c r="AI118" s="287"/>
      <c r="AJ118" s="287"/>
      <c r="AK118" s="287"/>
      <c r="AL118" s="287"/>
      <c r="AM118" s="287"/>
      <c r="AN118" s="287"/>
      <c r="AO118" s="287"/>
      <c r="AP118" s="287"/>
      <c r="AQ118" s="287"/>
      <c r="AR118" s="287"/>
      <c r="AS118" s="287"/>
      <c r="AT118" s="287"/>
      <c r="AU118" s="287"/>
      <c r="AV118" s="287"/>
      <c r="AW118" s="287"/>
      <c r="AX118" s="287"/>
      <c r="AY118" s="287"/>
      <c r="AZ118" s="287"/>
      <c r="BA118" s="287"/>
      <c r="BB118" s="287"/>
      <c r="BC118" s="287"/>
      <c r="BD118" s="287">
        <f t="shared" ref="BD118:BK118" si="251">SUM(BD115:BD117)</f>
        <v>3.6186772897130361</v>
      </c>
      <c r="BE118" s="287">
        <f t="shared" si="251"/>
        <v>3.6186117165312726</v>
      </c>
      <c r="BF118" s="287">
        <f t="shared" si="251"/>
        <v>3.6186117165312726</v>
      </c>
      <c r="BG118" s="287">
        <f t="shared" si="251"/>
        <v>3.6186378593158257</v>
      </c>
      <c r="BH118" s="287">
        <f t="shared" si="251"/>
        <v>3.5597421705317736</v>
      </c>
      <c r="BI118" s="287">
        <f t="shared" si="251"/>
        <v>3.415065115690985</v>
      </c>
      <c r="BJ118" s="287">
        <f t="shared" si="251"/>
        <v>3.3523608881754949</v>
      </c>
      <c r="BK118" s="287">
        <f t="shared" si="251"/>
        <v>3.3523608881754949</v>
      </c>
      <c r="BL118" s="287"/>
      <c r="BM118" s="287"/>
      <c r="BN118" s="287"/>
      <c r="BO118" s="287"/>
      <c r="BP118" s="287"/>
      <c r="BQ118" s="287"/>
      <c r="BR118" s="287"/>
      <c r="BS118" s="287"/>
      <c r="BT118" s="287"/>
      <c r="BU118" s="287"/>
      <c r="BW118" s="328"/>
    </row>
    <row r="119" spans="1:75" s="26" customFormat="1" hidden="1" outlineLevel="1">
      <c r="A119" s="29" t="s">
        <v>87</v>
      </c>
      <c r="AC119" s="287"/>
      <c r="AD119" s="287"/>
      <c r="AE119" s="287"/>
      <c r="AF119" s="287"/>
      <c r="AG119" s="287"/>
      <c r="AH119" s="287"/>
      <c r="AI119" s="287"/>
      <c r="AJ119" s="287"/>
      <c r="AK119" s="287"/>
      <c r="AL119" s="287"/>
      <c r="AM119" s="287"/>
      <c r="AN119" s="287"/>
      <c r="AO119" s="287"/>
      <c r="AP119" s="287"/>
      <c r="AQ119" s="287"/>
      <c r="AR119" s="287"/>
      <c r="AS119" s="287"/>
      <c r="AT119" s="287"/>
      <c r="AU119" s="287"/>
      <c r="AV119" s="287"/>
      <c r="AW119" s="287"/>
      <c r="AX119" s="287"/>
      <c r="AY119" s="287"/>
      <c r="AZ119" s="287"/>
      <c r="BA119" s="287"/>
      <c r="BB119" s="287"/>
      <c r="BC119" s="287"/>
      <c r="BD119" s="287">
        <f t="shared" ref="BD119:BK119" si="252">BD104+$BD$139</f>
        <v>6.6449552280899669</v>
      </c>
      <c r="BE119" s="287">
        <f t="shared" si="252"/>
        <v>6.6545010237104556</v>
      </c>
      <c r="BF119" s="287">
        <f t="shared" si="252"/>
        <v>6.6545010237104556</v>
      </c>
      <c r="BG119" s="287">
        <f t="shared" si="252"/>
        <v>4.3401378282734218</v>
      </c>
      <c r="BH119" s="287">
        <f t="shared" si="252"/>
        <v>3.8000000000000003</v>
      </c>
      <c r="BI119" s="287">
        <f t="shared" si="252"/>
        <v>3.8000000000000003</v>
      </c>
      <c r="BJ119" s="287">
        <f t="shared" si="252"/>
        <v>3.8000000000000003</v>
      </c>
      <c r="BK119" s="287">
        <f t="shared" si="252"/>
        <v>3.8000000000000003</v>
      </c>
      <c r="BL119" s="287"/>
      <c r="BM119" s="287"/>
      <c r="BN119" s="287"/>
      <c r="BO119" s="287"/>
      <c r="BP119" s="287"/>
      <c r="BQ119" s="287"/>
      <c r="BR119" s="287"/>
      <c r="BS119" s="287"/>
      <c r="BT119" s="287"/>
      <c r="BU119" s="287"/>
      <c r="BW119" s="328"/>
    </row>
    <row r="120" spans="1:75" s="26" customFormat="1" hidden="1" outlineLevel="1">
      <c r="A120" s="29" t="s">
        <v>88</v>
      </c>
      <c r="AC120" s="287"/>
      <c r="AD120" s="287"/>
      <c r="AE120" s="287"/>
      <c r="AF120" s="287"/>
      <c r="AG120" s="287"/>
      <c r="AH120" s="287"/>
      <c r="AI120" s="287"/>
      <c r="AJ120" s="287"/>
      <c r="AK120" s="287"/>
      <c r="AL120" s="287"/>
      <c r="AM120" s="287"/>
      <c r="AN120" s="287"/>
      <c r="AO120" s="287"/>
      <c r="AP120" s="287"/>
      <c r="AQ120" s="287"/>
      <c r="AR120" s="287"/>
      <c r="AS120" s="287"/>
      <c r="AT120" s="287"/>
      <c r="AU120" s="287"/>
      <c r="AV120" s="287"/>
      <c r="AW120" s="287"/>
      <c r="AX120" s="287"/>
      <c r="AY120" s="287"/>
      <c r="AZ120" s="287"/>
      <c r="BA120" s="287"/>
      <c r="BB120" s="287"/>
      <c r="BC120" s="287"/>
      <c r="BD120" s="287">
        <f t="shared" ref="BD120:BK120" si="253">BD105+$BD$140</f>
        <v>8.362476203906084</v>
      </c>
      <c r="BE120" s="287">
        <f t="shared" si="253"/>
        <v>8.2818175814014925</v>
      </c>
      <c r="BF120" s="287">
        <f t="shared" si="253"/>
        <v>8.2818175814014925</v>
      </c>
      <c r="BG120" s="287">
        <f t="shared" si="253"/>
        <v>8.2594524119947845</v>
      </c>
      <c r="BH120" s="287">
        <f t="shared" si="253"/>
        <v>8.3931198766902533</v>
      </c>
      <c r="BI120" s="287">
        <f t="shared" si="253"/>
        <v>8.14957643191301</v>
      </c>
      <c r="BJ120" s="287">
        <f t="shared" si="253"/>
        <v>7.7380952380952381</v>
      </c>
      <c r="BK120" s="287">
        <f t="shared" si="253"/>
        <v>7.7380952380952381</v>
      </c>
      <c r="BL120" s="287"/>
      <c r="BM120" s="287"/>
      <c r="BN120" s="287"/>
      <c r="BO120" s="287"/>
      <c r="BP120" s="287"/>
      <c r="BQ120" s="287"/>
      <c r="BR120" s="287"/>
      <c r="BS120" s="287"/>
      <c r="BT120" s="287"/>
      <c r="BU120" s="287"/>
      <c r="BW120" s="328"/>
    </row>
    <row r="121" spans="1:75" s="26" customFormat="1" hidden="1" outlineLevel="1">
      <c r="A121" s="29" t="s">
        <v>946</v>
      </c>
      <c r="AC121" s="287"/>
      <c r="AD121" s="287"/>
      <c r="AE121" s="287"/>
      <c r="AF121" s="287"/>
      <c r="AG121" s="287"/>
      <c r="AH121" s="287"/>
      <c r="AI121" s="287"/>
      <c r="AJ121" s="287"/>
      <c r="AK121" s="287"/>
      <c r="AL121" s="287"/>
      <c r="AM121" s="287"/>
      <c r="AN121" s="287"/>
      <c r="AO121" s="287"/>
      <c r="AP121" s="287"/>
      <c r="AQ121" s="287"/>
      <c r="AR121" s="287"/>
      <c r="AS121" s="287"/>
      <c r="AT121" s="287"/>
      <c r="AU121" s="287"/>
      <c r="AV121" s="287"/>
      <c r="AW121" s="287"/>
      <c r="AX121" s="287"/>
      <c r="AY121" s="287"/>
      <c r="AZ121" s="287"/>
      <c r="BA121" s="287"/>
      <c r="BB121" s="287"/>
      <c r="BC121" s="287"/>
      <c r="BD121" s="287">
        <f t="shared" ref="BD121:BK121" si="254">BD106-$BD$143</f>
        <v>18.269234294578016</v>
      </c>
      <c r="BE121" s="287">
        <f t="shared" si="254"/>
        <v>18.270183607423554</v>
      </c>
      <c r="BF121" s="287">
        <f t="shared" si="254"/>
        <v>18.270183607423554</v>
      </c>
      <c r="BG121" s="287">
        <f t="shared" si="254"/>
        <v>18.274908424908425</v>
      </c>
      <c r="BH121" s="287">
        <f t="shared" si="254"/>
        <v>14.182705107545713</v>
      </c>
      <c r="BI121" s="287">
        <f t="shared" si="254"/>
        <v>14.16193576937666</v>
      </c>
      <c r="BJ121" s="287">
        <f t="shared" si="254"/>
        <v>10.066934189406098</v>
      </c>
      <c r="BK121" s="287">
        <f t="shared" si="254"/>
        <v>10.066934189406098</v>
      </c>
      <c r="BL121" s="287"/>
      <c r="BM121" s="287"/>
      <c r="BN121" s="287"/>
      <c r="BO121" s="287"/>
      <c r="BP121" s="287"/>
      <c r="BQ121" s="287"/>
      <c r="BR121" s="287"/>
      <c r="BS121" s="287"/>
      <c r="BT121" s="287"/>
      <c r="BU121" s="287"/>
      <c r="BW121" s="328"/>
    </row>
    <row r="122" spans="1:75" s="26" customFormat="1" hidden="1" outlineLevel="1">
      <c r="A122" s="29" t="s">
        <v>947</v>
      </c>
      <c r="AC122" s="287"/>
      <c r="AD122" s="287"/>
      <c r="AE122" s="287"/>
      <c r="AF122" s="287"/>
      <c r="AG122" s="287"/>
      <c r="AH122" s="287"/>
      <c r="AI122" s="287"/>
      <c r="AJ122" s="287"/>
      <c r="AK122" s="287"/>
      <c r="AL122" s="287"/>
      <c r="AM122" s="287"/>
      <c r="AN122" s="287"/>
      <c r="AO122" s="287"/>
      <c r="AP122" s="287"/>
      <c r="AQ122" s="287"/>
      <c r="AR122" s="287"/>
      <c r="AS122" s="287"/>
      <c r="AT122" s="287"/>
      <c r="AU122" s="287"/>
      <c r="AV122" s="287"/>
      <c r="AW122" s="287"/>
      <c r="AX122" s="287"/>
      <c r="AY122" s="287"/>
      <c r="AZ122" s="287"/>
      <c r="BA122" s="287"/>
      <c r="BB122" s="287"/>
      <c r="BC122" s="287"/>
      <c r="BD122" s="287"/>
      <c r="BW122" s="328"/>
    </row>
    <row r="123" spans="1:75" s="26" customFormat="1" hidden="1" outlineLevel="1">
      <c r="A123" s="174" t="s">
        <v>948</v>
      </c>
      <c r="B123" s="174"/>
      <c r="C123" s="174"/>
      <c r="D123" s="174"/>
      <c r="E123" s="174"/>
      <c r="F123" s="174"/>
      <c r="G123" s="174"/>
      <c r="H123" s="174"/>
      <c r="I123" s="174"/>
      <c r="J123" s="174"/>
      <c r="K123" s="174"/>
      <c r="L123" s="174"/>
      <c r="M123" s="174"/>
      <c r="N123" s="174"/>
      <c r="O123" s="174"/>
      <c r="P123" s="174"/>
      <c r="Q123" s="174"/>
      <c r="R123" s="174"/>
      <c r="S123" s="174"/>
      <c r="T123" s="174"/>
      <c r="U123" s="174"/>
      <c r="V123" s="174"/>
      <c r="W123" s="174"/>
      <c r="X123" s="174"/>
      <c r="Y123" s="174"/>
      <c r="Z123" s="174"/>
      <c r="AA123" s="174"/>
      <c r="AB123" s="174"/>
      <c r="AC123" s="523"/>
      <c r="AD123" s="523"/>
      <c r="AE123" s="523"/>
      <c r="AF123" s="523"/>
      <c r="AG123" s="523"/>
      <c r="AH123" s="523"/>
      <c r="AI123" s="523"/>
      <c r="AJ123" s="523"/>
      <c r="AK123" s="523"/>
      <c r="AL123" s="523"/>
      <c r="AM123" s="523"/>
      <c r="AN123" s="523"/>
      <c r="AO123" s="523"/>
      <c r="AP123" s="523"/>
      <c r="AQ123" s="523"/>
      <c r="AR123" s="523"/>
      <c r="AS123" s="523"/>
      <c r="AT123" s="523"/>
      <c r="AU123" s="523"/>
      <c r="AV123" s="523"/>
      <c r="AW123" s="523"/>
      <c r="AX123" s="523"/>
      <c r="AY123" s="523"/>
      <c r="AZ123" s="523"/>
      <c r="BA123" s="523"/>
      <c r="BB123" s="523"/>
      <c r="BC123" s="523"/>
      <c r="BD123" s="523">
        <f t="shared" ref="BD123:BK123" si="255">SUM(BD113:BD114)+BD118+SUM(BD119:BD122)</f>
        <v>50.109409151801451</v>
      </c>
      <c r="BE123" s="523">
        <f t="shared" si="255"/>
        <v>49.81948021927218</v>
      </c>
      <c r="BF123" s="523">
        <f t="shared" si="255"/>
        <v>49.81948021927218</v>
      </c>
      <c r="BG123" s="523">
        <f t="shared" si="255"/>
        <v>47.291789284162164</v>
      </c>
      <c r="BH123" s="523">
        <f t="shared" si="255"/>
        <v>43.135181811812515</v>
      </c>
      <c r="BI123" s="523">
        <f t="shared" si="255"/>
        <v>42.386268807687443</v>
      </c>
      <c r="BJ123" s="523">
        <f t="shared" si="255"/>
        <v>39.98109283039058</v>
      </c>
      <c r="BK123" s="523">
        <f t="shared" si="255"/>
        <v>39.98109283039058</v>
      </c>
      <c r="BL123" s="287"/>
      <c r="BM123" s="287"/>
      <c r="BN123" s="287"/>
      <c r="BO123" s="287"/>
      <c r="BP123" s="287"/>
      <c r="BQ123" s="287"/>
      <c r="BR123" s="287"/>
      <c r="BS123" s="287"/>
      <c r="BT123" s="287"/>
      <c r="BU123" s="287"/>
      <c r="BW123" s="328"/>
    </row>
    <row r="124" spans="1:75" s="26" customFormat="1" hidden="1" outlineLevel="1">
      <c r="BW124" s="328"/>
    </row>
    <row r="125" spans="1:75" s="26" customFormat="1" hidden="1" outlineLevel="1">
      <c r="A125" s="189" t="s">
        <v>2280</v>
      </c>
      <c r="BW125" s="328"/>
    </row>
    <row r="126" spans="1:75" s="26" customFormat="1" hidden="1" outlineLevel="1">
      <c r="A126" s="443" t="s">
        <v>2281</v>
      </c>
      <c r="BW126" s="328"/>
    </row>
    <row r="127" spans="1:75" s="26" customFormat="1" hidden="1" outlineLevel="1">
      <c r="A127" s="26" t="s">
        <v>2273</v>
      </c>
      <c r="BW127" s="328"/>
    </row>
    <row r="128" spans="1:75" s="26" customFormat="1" hidden="1" outlineLevel="1">
      <c r="A128" s="26" t="s">
        <v>85</v>
      </c>
      <c r="BD128" s="287">
        <f>FP!AE4</f>
        <v>24.05</v>
      </c>
      <c r="BE128" s="287"/>
      <c r="BF128" s="287"/>
      <c r="BG128" s="287"/>
      <c r="BH128" s="287"/>
      <c r="BI128" s="287"/>
      <c r="BJ128" s="287"/>
      <c r="BK128" s="287"/>
      <c r="BL128" s="287"/>
      <c r="BM128" s="287"/>
      <c r="BN128" s="287"/>
      <c r="BO128" s="287"/>
      <c r="BP128" s="287"/>
      <c r="BQ128" s="287"/>
      <c r="BR128" s="287"/>
      <c r="BS128" s="287"/>
      <c r="BT128" s="287"/>
      <c r="BU128" s="287"/>
      <c r="BW128" s="328"/>
    </row>
    <row r="129" spans="1:75" s="26" customFormat="1" hidden="1" outlineLevel="1">
      <c r="A129" s="26" t="s">
        <v>87</v>
      </c>
      <c r="BD129" s="287">
        <f>FP!AE6</f>
        <v>74.650000000000006</v>
      </c>
      <c r="BE129" s="287"/>
      <c r="BF129" s="287"/>
      <c r="BG129" s="287"/>
      <c r="BH129" s="287"/>
      <c r="BI129" s="287"/>
      <c r="BJ129" s="287"/>
      <c r="BK129" s="287"/>
      <c r="BL129" s="287"/>
      <c r="BM129" s="287"/>
      <c r="BN129" s="287"/>
      <c r="BO129" s="287"/>
      <c r="BP129" s="287"/>
      <c r="BQ129" s="287"/>
      <c r="BR129" s="287"/>
      <c r="BS129" s="287"/>
      <c r="BT129" s="287"/>
      <c r="BU129" s="287"/>
      <c r="BW129" s="328"/>
    </row>
    <row r="130" spans="1:75" s="26" customFormat="1" hidden="1" outlineLevel="1">
      <c r="A130" s="26" t="s">
        <v>2272</v>
      </c>
      <c r="BD130" s="287">
        <f>FP!AE7</f>
        <v>110.75</v>
      </c>
      <c r="BE130" s="287"/>
      <c r="BF130" s="287"/>
      <c r="BG130" s="287"/>
      <c r="BH130" s="287"/>
      <c r="BI130" s="287"/>
      <c r="BJ130" s="287"/>
      <c r="BK130" s="287"/>
      <c r="BL130" s="287"/>
      <c r="BM130" s="287"/>
      <c r="BN130" s="287"/>
      <c r="BO130" s="287"/>
      <c r="BP130" s="287"/>
      <c r="BQ130" s="287"/>
      <c r="BR130" s="287"/>
      <c r="BS130" s="287"/>
      <c r="BT130" s="287"/>
      <c r="BU130" s="287"/>
      <c r="BW130" s="328"/>
    </row>
    <row r="131" spans="1:75" s="26" customFormat="1" hidden="1" outlineLevel="1">
      <c r="BW131" s="328"/>
    </row>
    <row r="132" spans="1:75" s="26" customFormat="1" hidden="1" outlineLevel="1">
      <c r="A132" s="26" t="s">
        <v>2282</v>
      </c>
      <c r="BW132" s="328"/>
    </row>
    <row r="133" spans="1:75" s="26" customFormat="1" hidden="1" outlineLevel="1">
      <c r="A133" s="26" t="s">
        <v>85</v>
      </c>
      <c r="BD133" s="208">
        <f>FP!$V$4</f>
        <v>0.40250000000000002</v>
      </c>
      <c r="BW133" s="328"/>
    </row>
    <row r="134" spans="1:75" s="26" customFormat="1" hidden="1" outlineLevel="1">
      <c r="A134" s="26" t="s">
        <v>87</v>
      </c>
      <c r="BD134" s="208">
        <f>'Investment Business Of HoldCo'!AO100</f>
        <v>5.0647650510184092E-2</v>
      </c>
      <c r="BW134" s="328"/>
    </row>
    <row r="135" spans="1:75" s="26" customFormat="1" hidden="1" outlineLevel="1">
      <c r="A135" s="26" t="s">
        <v>2272</v>
      </c>
      <c r="BD135" s="208">
        <f>'Investment Business Of HoldCo'!AO192</f>
        <v>4.5122203597657222E-2</v>
      </c>
      <c r="BW135" s="328"/>
    </row>
    <row r="136" spans="1:75" s="26" customFormat="1" hidden="1" outlineLevel="1">
      <c r="BW136" s="328"/>
    </row>
    <row r="137" spans="1:75" s="26" customFormat="1" hidden="1" outlineLevel="1">
      <c r="A137" s="443" t="s">
        <v>2274</v>
      </c>
      <c r="BW137" s="328"/>
    </row>
    <row r="138" spans="1:75" s="26" customFormat="1" hidden="1" outlineLevel="1">
      <c r="A138" s="26" t="s">
        <v>85</v>
      </c>
      <c r="BD138" s="287">
        <f>MROUND(BD128*BD133, 0.05)</f>
        <v>9.7000000000000011</v>
      </c>
      <c r="BW138" s="328"/>
    </row>
    <row r="139" spans="1:75" s="26" customFormat="1" hidden="1" outlineLevel="1">
      <c r="A139" s="26" t="s">
        <v>87</v>
      </c>
      <c r="BD139" s="287">
        <f>MROUND(BD129*BD134, 0.05)</f>
        <v>3.8000000000000003</v>
      </c>
      <c r="BW139" s="328"/>
    </row>
    <row r="140" spans="1:75" s="26" customFormat="1" hidden="1" outlineLevel="1">
      <c r="A140" s="26" t="s">
        <v>2272</v>
      </c>
      <c r="BD140" s="287">
        <f>MROUND(BD130*BD135, 0.05)</f>
        <v>5</v>
      </c>
      <c r="BW140" s="328"/>
    </row>
    <row r="141" spans="1:75" s="26" customFormat="1" hidden="1" outlineLevel="1">
      <c r="BW141" s="328"/>
    </row>
    <row r="142" spans="1:75" s="26" customFormat="1" hidden="1" outlineLevel="1">
      <c r="A142" s="26" t="s">
        <v>2275</v>
      </c>
      <c r="BD142" s="287">
        <f>SUM('Links (Arm OLD Model)'!$AO$51:$AO$52)/1000</f>
        <v>2.4009999999999998</v>
      </c>
      <c r="BW142" s="328"/>
    </row>
    <row r="143" spans="1:75" s="26" customFormat="1" hidden="1" outlineLevel="1">
      <c r="A143" s="26" t="s">
        <v>2276</v>
      </c>
      <c r="BD143" s="287">
        <f>MROUND(FP!$L$13*BD142, 0.05)</f>
        <v>2.15</v>
      </c>
      <c r="BW143" s="328"/>
    </row>
    <row r="144" spans="1:75" collapsed="1"/>
    <row r="145" spans="1:75" s="12" customFormat="1">
      <c r="A145" s="13" t="s">
        <v>2190</v>
      </c>
      <c r="BW145" s="46"/>
    </row>
    <row r="146" spans="1:75">
      <c r="BJ146" s="678" t="s">
        <v>2811</v>
      </c>
    </row>
    <row r="147" spans="1:75">
      <c r="BF147" s="1" t="s">
        <v>2222</v>
      </c>
      <c r="BI147" s="401">
        <v>5.5E-2</v>
      </c>
      <c r="BJ147" s="484" t="s">
        <v>2223</v>
      </c>
      <c r="BK147" s="739">
        <f>MROUND((1+$BI$147)^(1/4)-1, 0.1%)</f>
        <v>1.3000000000000001E-2</v>
      </c>
      <c r="BL147" s="738"/>
      <c r="BM147" s="738"/>
      <c r="BN147" s="738"/>
      <c r="BO147" s="738"/>
      <c r="BP147" s="738"/>
      <c r="BQ147" s="738"/>
      <c r="BR147" s="738"/>
      <c r="BS147" s="738"/>
      <c r="BT147" s="738"/>
      <c r="BU147" s="738"/>
      <c r="BV147" s="738"/>
    </row>
    <row r="148" spans="1:75">
      <c r="A148" s="1" t="s">
        <v>943</v>
      </c>
      <c r="BN148" s="522" t="s">
        <v>2871</v>
      </c>
      <c r="BO148" s="71"/>
      <c r="BP148" s="71"/>
      <c r="BQ148" s="71"/>
      <c r="BR148" s="71"/>
      <c r="BS148" s="71"/>
      <c r="BT148" s="71"/>
      <c r="BU148" s="71"/>
      <c r="BV148" s="71"/>
    </row>
    <row r="149" spans="1:75" s="26" customFormat="1">
      <c r="A149" s="29" t="s">
        <v>704</v>
      </c>
      <c r="AC149" s="287"/>
      <c r="AD149" s="287"/>
      <c r="AE149" s="287"/>
      <c r="AF149" s="287"/>
      <c r="AG149" s="287"/>
      <c r="AH149" s="287"/>
      <c r="AI149" s="287"/>
      <c r="AJ149" s="287"/>
      <c r="AK149" s="287"/>
      <c r="AL149" s="287"/>
      <c r="AM149" s="287"/>
      <c r="AN149" s="287"/>
      <c r="AO149" s="287"/>
      <c r="AP149" s="287"/>
      <c r="AQ149" s="287"/>
      <c r="AR149" s="287"/>
      <c r="AS149" s="287"/>
      <c r="AT149" s="287"/>
      <c r="AU149" s="287"/>
      <c r="AV149" s="287"/>
      <c r="AW149" s="287"/>
      <c r="AX149" s="287"/>
      <c r="AY149" s="287"/>
      <c r="AZ149" s="287"/>
      <c r="BA149" s="287"/>
      <c r="BB149" s="287"/>
      <c r="BC149" s="287">
        <f t="shared" ref="BC149:BE151" si="256">BC54+BC96</f>
        <v>6.685385746757587E-2</v>
      </c>
      <c r="BD149" s="287">
        <f t="shared" si="256"/>
        <v>7.0506944934075999E-2</v>
      </c>
      <c r="BE149" s="287">
        <f t="shared" si="256"/>
        <v>6.6045835810052175E-2</v>
      </c>
      <c r="BF149" s="287">
        <f t="shared" ref="BF149" si="257">BE149</f>
        <v>6.6045835810052175E-2</v>
      </c>
      <c r="BG149" s="287">
        <f t="shared" ref="BG149:BJ151" si="258">BG54+BG96</f>
        <v>6.2084807847519713E-2</v>
      </c>
      <c r="BH149" s="287">
        <f t="shared" si="258"/>
        <v>7.0062355496391795E-2</v>
      </c>
      <c r="BI149" s="287">
        <f t="shared" si="258"/>
        <v>6.3219117461120244E-2</v>
      </c>
      <c r="BJ149" s="287">
        <f t="shared" si="258"/>
        <v>6.6880684858212941E-2</v>
      </c>
      <c r="BK149" s="287">
        <f t="shared" ref="BK149" si="259">BJ149</f>
        <v>6.6880684858212941E-2</v>
      </c>
      <c r="BL149" s="287">
        <f t="shared" ref="BL149:BN151" si="260">BL54+BL96</f>
        <v>6.9056004419584288E-2</v>
      </c>
      <c r="BM149" s="287">
        <f t="shared" si="260"/>
        <v>0</v>
      </c>
      <c r="BN149" s="287">
        <f t="shared" si="260"/>
        <v>0</v>
      </c>
      <c r="BO149" s="724">
        <f t="shared" ref="BO149:BP149" si="261">BN149</f>
        <v>0</v>
      </c>
      <c r="BP149" s="287">
        <f t="shared" si="261"/>
        <v>0</v>
      </c>
      <c r="BQ149" s="724">
        <f t="shared" ref="BQ149" si="262">BP149</f>
        <v>0</v>
      </c>
      <c r="BR149" s="724">
        <f t="shared" ref="BR149" si="263">BQ149</f>
        <v>0</v>
      </c>
      <c r="BS149" s="724">
        <f t="shared" ref="BS149" si="264">BR149</f>
        <v>0</v>
      </c>
      <c r="BT149" s="724">
        <f t="shared" ref="BT149" si="265">BS149</f>
        <v>0</v>
      </c>
      <c r="BU149" s="287">
        <f t="shared" ref="BU149:BU153" si="266">BT149</f>
        <v>0</v>
      </c>
      <c r="BW149" s="328"/>
    </row>
    <row r="150" spans="1:75">
      <c r="A150" s="5" t="s">
        <v>85</v>
      </c>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f t="shared" si="256"/>
        <v>21.179970584302712</v>
      </c>
      <c r="BD150" s="24">
        <f t="shared" si="256"/>
        <v>23.256010717055627</v>
      </c>
      <c r="BE150" s="24">
        <f t="shared" si="256"/>
        <v>24.164850406181891</v>
      </c>
      <c r="BF150" s="24">
        <f>BE150</f>
        <v>24.164850406181891</v>
      </c>
      <c r="BG150" s="24">
        <f t="shared" si="258"/>
        <v>22.965791270876018</v>
      </c>
      <c r="BH150" s="24">
        <f t="shared" si="258"/>
        <v>24.938695438940659</v>
      </c>
      <c r="BI150" s="24">
        <f t="shared" si="258"/>
        <v>24.08521937033759</v>
      </c>
      <c r="BJ150" s="24">
        <f t="shared" si="258"/>
        <v>26.658640984483682</v>
      </c>
      <c r="BK150" s="24">
        <f t="shared" ref="BK150:BK160" si="267">BJ150</f>
        <v>26.658640984483682</v>
      </c>
      <c r="BL150" s="24">
        <f t="shared" si="260"/>
        <v>29.462744285615635</v>
      </c>
      <c r="BM150" s="24">
        <f t="shared" si="260"/>
        <v>27.988984416980117</v>
      </c>
      <c r="BN150" s="24">
        <f t="shared" si="260"/>
        <v>26.290240163515584</v>
      </c>
      <c r="BO150" s="221">
        <f>FP!$V$4*FP!$Q$6*(FP!$Q$5/BO79)/1000</f>
        <v>26.114349826452088</v>
      </c>
      <c r="BP150" s="24">
        <f t="shared" ref="BP150:BP160" si="268">BO150</f>
        <v>26.114349826452088</v>
      </c>
      <c r="BQ150" s="221">
        <f>FP!$V$4*FP!$Q$6*(FP!$Q$5/BQ79)/1000</f>
        <v>26.181872385796503</v>
      </c>
      <c r="BR150" s="221">
        <f>FP!$V$4*FP!$Q$6*(FP!$Q$5/BR79)/1000</f>
        <v>26.249745029700058</v>
      </c>
      <c r="BS150" s="221">
        <f>FP!$V$4*FP!$Q$6*(FP!$Q$5/BS79)/1000</f>
        <v>26.317970487866923</v>
      </c>
      <c r="BT150" s="221">
        <f>FP!$V$4*FP!$Q$6*(FP!$Q$5/BT79)/1000</f>
        <v>26.386551518454194</v>
      </c>
      <c r="BU150" s="24">
        <f t="shared" si="266"/>
        <v>26.386551518454194</v>
      </c>
    </row>
    <row r="151" spans="1:75">
      <c r="A151" s="34" t="s">
        <v>84</v>
      </c>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f t="shared" si="256"/>
        <v>21.994919106832462</v>
      </c>
      <c r="BD151" s="24">
        <f t="shared" si="256"/>
        <v>22.914757103574701</v>
      </c>
      <c r="BE151" s="24">
        <f t="shared" si="256"/>
        <v>22.71976751865795</v>
      </c>
      <c r="BF151" s="24">
        <f>BE151</f>
        <v>22.71976751865795</v>
      </c>
      <c r="BG151" s="24">
        <f t="shared" si="258"/>
        <v>24.08890544483765</v>
      </c>
      <c r="BH151" s="24">
        <f t="shared" si="258"/>
        <v>25.572759756183004</v>
      </c>
      <c r="BI151" s="24">
        <f t="shared" si="258"/>
        <v>24.971551397142495</v>
      </c>
      <c r="BJ151" s="24">
        <f t="shared" si="258"/>
        <v>24.612092027822364</v>
      </c>
      <c r="BK151" s="24">
        <f t="shared" si="267"/>
        <v>24.612092027822364</v>
      </c>
      <c r="BL151" s="24">
        <f t="shared" si="260"/>
        <v>26.241281679442029</v>
      </c>
      <c r="BM151" s="24">
        <f t="shared" si="260"/>
        <v>26.598602901665771</v>
      </c>
      <c r="BN151" s="24">
        <f t="shared" si="260"/>
        <v>24.207971384772609</v>
      </c>
      <c r="BO151" s="221">
        <f>'SVF Segment'!AZ687/1000</f>
        <v>23.15</v>
      </c>
      <c r="BP151" s="24">
        <f t="shared" si="268"/>
        <v>23.15</v>
      </c>
      <c r="BQ151" s="221">
        <f>'SVF Segment'!BB687/1000</f>
        <v>21.515000000000001</v>
      </c>
      <c r="BR151" s="221">
        <f>'SVF Segment'!BC687/1000</f>
        <v>19.91</v>
      </c>
      <c r="BS151" s="221">
        <f>'SVF Segment'!BD687/1000</f>
        <v>18.324999999999999</v>
      </c>
      <c r="BT151" s="221">
        <f>'SVF Segment'!BE687/1000</f>
        <v>16.734999999999999</v>
      </c>
      <c r="BU151" s="24">
        <f t="shared" si="266"/>
        <v>16.734999999999999</v>
      </c>
    </row>
    <row r="152" spans="1:75" s="26" customFormat="1">
      <c r="A152" s="806" t="s">
        <v>2964</v>
      </c>
      <c r="AC152" s="287"/>
      <c r="AD152" s="287"/>
      <c r="AE152" s="287"/>
      <c r="AF152" s="287"/>
      <c r="AG152" s="287"/>
      <c r="AH152" s="287"/>
      <c r="AI152" s="287"/>
      <c r="AJ152" s="287"/>
      <c r="AK152" s="287"/>
      <c r="AL152" s="287"/>
      <c r="AM152" s="287"/>
      <c r="AN152" s="287"/>
      <c r="AO152" s="287"/>
      <c r="AP152" s="287"/>
      <c r="AQ152" s="287"/>
      <c r="AR152" s="287"/>
      <c r="AS152" s="287"/>
      <c r="AT152" s="287"/>
      <c r="AU152" s="287"/>
      <c r="AV152" s="287"/>
      <c r="AW152" s="287"/>
      <c r="AX152" s="287"/>
      <c r="AY152" s="287"/>
      <c r="AZ152" s="287"/>
      <c r="BA152" s="287"/>
      <c r="BB152" s="287"/>
      <c r="BC152" s="287"/>
      <c r="BD152" s="287"/>
      <c r="BE152" s="287"/>
      <c r="BF152" s="287"/>
      <c r="BG152" s="287">
        <f>'SVF2'!AR143/1000</f>
        <v>0</v>
      </c>
      <c r="BH152" s="287">
        <f>'SVF2'!AS143/1000</f>
        <v>0.5</v>
      </c>
      <c r="BI152" s="287">
        <f>'SVF2'!AT143/1000</f>
        <v>0.5</v>
      </c>
      <c r="BJ152" s="287">
        <f>'SVF2'!AU143/1000</f>
        <v>3.2929936305732488</v>
      </c>
      <c r="BK152" s="287">
        <f t="shared" si="267"/>
        <v>3.2929936305732488</v>
      </c>
      <c r="BL152" s="287">
        <f>'SVF2'!AW143/1000</f>
        <v>10.792993630573248</v>
      </c>
      <c r="BM152" s="287">
        <f>'SVF2'!AX143/1000</f>
        <v>24.7</v>
      </c>
      <c r="BN152" s="287">
        <f>'SVF2'!AY143/1000</f>
        <v>54.4</v>
      </c>
      <c r="BO152" s="287">
        <f>'SoftBank Other (13F)'!AZ31/1000</f>
        <v>54.4</v>
      </c>
      <c r="BP152" s="287">
        <f t="shared" si="268"/>
        <v>54.4</v>
      </c>
      <c r="BQ152" s="287">
        <f>'SoftBank Other (13F)'!BB31/1000</f>
        <v>85.474999999999994</v>
      </c>
      <c r="BR152" s="287">
        <f>'SoftBank Other (13F)'!BC31/1000</f>
        <v>97.45</v>
      </c>
      <c r="BS152" s="287">
        <f>'SoftBank Other (13F)'!BD31/1000</f>
        <v>109.425</v>
      </c>
      <c r="BT152" s="287">
        <f>'SoftBank Other (13F)'!BE31/1000</f>
        <v>109.425</v>
      </c>
      <c r="BU152" s="287">
        <f t="shared" si="266"/>
        <v>109.425</v>
      </c>
      <c r="BW152" s="328"/>
    </row>
    <row r="153" spans="1:75" s="26" customFormat="1">
      <c r="A153" s="806" t="s">
        <v>2963</v>
      </c>
      <c r="AC153" s="287"/>
      <c r="AD153" s="287"/>
      <c r="AE153" s="287"/>
      <c r="AF153" s="287"/>
      <c r="AG153" s="287"/>
      <c r="AH153" s="287"/>
      <c r="AI153" s="287"/>
      <c r="AJ153" s="287"/>
      <c r="AK153" s="287"/>
      <c r="AL153" s="287"/>
      <c r="AM153" s="287"/>
      <c r="AN153" s="287"/>
      <c r="AO153" s="287"/>
      <c r="AP153" s="287"/>
      <c r="AQ153" s="287"/>
      <c r="AR153" s="287"/>
      <c r="AS153" s="287"/>
      <c r="AT153" s="287"/>
      <c r="AU153" s="287"/>
      <c r="AV153" s="287"/>
      <c r="AW153" s="287"/>
      <c r="AX153" s="287"/>
      <c r="AY153" s="287"/>
      <c r="AZ153" s="287"/>
      <c r="BA153" s="287"/>
      <c r="BB153" s="287"/>
      <c r="BC153" s="287"/>
      <c r="BD153" s="287"/>
      <c r="BE153" s="287"/>
      <c r="BF153" s="287"/>
      <c r="BG153" s="287">
        <f>BG154-BG152</f>
        <v>30.56344446513938</v>
      </c>
      <c r="BH153" s="287">
        <f>BH154-BH152</f>
        <v>31.364933791074058</v>
      </c>
      <c r="BI153" s="287">
        <f>BI154-BI152</f>
        <v>31.490106208117336</v>
      </c>
      <c r="BJ153" s="287">
        <f>BJ154-BJ152</f>
        <v>31.961453934969818</v>
      </c>
      <c r="BK153" s="287">
        <f t="shared" si="267"/>
        <v>31.961453934969818</v>
      </c>
      <c r="BL153" s="287">
        <f>BL154-BL152</f>
        <v>32.856733598209296</v>
      </c>
      <c r="BM153" s="287">
        <f>BM154-BM152</f>
        <v>35.127283718430959</v>
      </c>
      <c r="BN153" s="287">
        <f>BN154-BN152</f>
        <v>35.052676290240164</v>
      </c>
      <c r="BO153" s="287">
        <f>BO154-BO152</f>
        <v>34.32</v>
      </c>
      <c r="BP153" s="287">
        <f t="shared" si="268"/>
        <v>34.32</v>
      </c>
      <c r="BQ153" s="287">
        <f t="shared" ref="BQ153:BT153" si="269">BQ154-BQ152</f>
        <v>33.580000000000013</v>
      </c>
      <c r="BR153" s="287">
        <f t="shared" si="269"/>
        <v>32.689999999999984</v>
      </c>
      <c r="BS153" s="287">
        <f t="shared" si="269"/>
        <v>31.695000000000007</v>
      </c>
      <c r="BT153" s="287">
        <f t="shared" si="269"/>
        <v>30.655000000000015</v>
      </c>
      <c r="BU153" s="287">
        <f t="shared" si="266"/>
        <v>30.655000000000015</v>
      </c>
      <c r="BW153" s="328"/>
    </row>
    <row r="154" spans="1:75">
      <c r="A154" s="34" t="s">
        <v>83</v>
      </c>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f t="shared" ref="BC154:BE155" si="270">BC59+BC101</f>
        <v>29.631053616793686</v>
      </c>
      <c r="BD154" s="24">
        <f t="shared" si="270"/>
        <v>32.808552492420503</v>
      </c>
      <c r="BE154" s="24">
        <f t="shared" si="270"/>
        <v>32.810871144574335</v>
      </c>
      <c r="BF154" s="24">
        <f t="shared" ref="BF154:BF160" si="271">BE154</f>
        <v>32.810871144574335</v>
      </c>
      <c r="BG154" s="24">
        <f t="shared" ref="BG154:BJ155" si="272">BG59+BG101</f>
        <v>30.56344446513938</v>
      </c>
      <c r="BH154" s="24">
        <f t="shared" si="272"/>
        <v>31.864933791074058</v>
      </c>
      <c r="BI154" s="24">
        <f t="shared" si="272"/>
        <v>31.990106208117336</v>
      </c>
      <c r="BJ154" s="24">
        <f t="shared" si="272"/>
        <v>35.254447565543067</v>
      </c>
      <c r="BK154" s="24">
        <f t="shared" si="267"/>
        <v>35.254447565543067</v>
      </c>
      <c r="BL154" s="24">
        <f t="shared" ref="BL154:BN155" si="273">BL59+BL101</f>
        <v>43.649727228782545</v>
      </c>
      <c r="BM154" s="24">
        <f t="shared" si="273"/>
        <v>59.827283718430955</v>
      </c>
      <c r="BN154" s="24">
        <f t="shared" si="273"/>
        <v>89.452676290240163</v>
      </c>
      <c r="BO154" s="221">
        <f>('SVF Segment'!AZ865-'SVF Segment'!AZ857)/1000</f>
        <v>88.72</v>
      </c>
      <c r="BP154" s="24">
        <f t="shared" si="268"/>
        <v>88.72</v>
      </c>
      <c r="BQ154" s="221">
        <f>('SVF Segment'!BB865-'SVF Segment'!BB857)/1000</f>
        <v>119.05500000000001</v>
      </c>
      <c r="BR154" s="221">
        <f>('SVF Segment'!BC865-'SVF Segment'!BC857)/1000</f>
        <v>130.13999999999999</v>
      </c>
      <c r="BS154" s="221">
        <f>('SVF Segment'!BD865-'SVF Segment'!BD857)/1000</f>
        <v>141.12</v>
      </c>
      <c r="BT154" s="221">
        <f>('SVF Segment'!BE865-'SVF Segment'!BE857)/1000</f>
        <v>140.08000000000001</v>
      </c>
      <c r="BU154" s="24">
        <f t="shared" ref="BU154:BU160" si="274">BT154</f>
        <v>140.08000000000001</v>
      </c>
    </row>
    <row r="155" spans="1:75">
      <c r="A155" s="34" t="s">
        <v>944</v>
      </c>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f t="shared" si="270"/>
        <v>6.2842626019521317</v>
      </c>
      <c r="BD155" s="24">
        <f t="shared" si="270"/>
        <v>6.4161319890009159</v>
      </c>
      <c r="BE155" s="24">
        <f t="shared" si="270"/>
        <v>6.4064460735750615</v>
      </c>
      <c r="BF155" s="24">
        <f t="shared" si="271"/>
        <v>6.4064460735750615</v>
      </c>
      <c r="BG155" s="24">
        <f t="shared" si="272"/>
        <v>6.3326504004470108</v>
      </c>
      <c r="BH155" s="24">
        <f t="shared" si="272"/>
        <v>6.5858614166608289</v>
      </c>
      <c r="BI155" s="24">
        <f t="shared" si="272"/>
        <v>6.5115690984953849</v>
      </c>
      <c r="BJ155" s="24">
        <f t="shared" si="272"/>
        <v>6.3536650615302293</v>
      </c>
      <c r="BK155" s="24">
        <f t="shared" si="267"/>
        <v>6.3536650615302293</v>
      </c>
      <c r="BL155" s="24">
        <f t="shared" si="273"/>
        <v>6.8365444375388442</v>
      </c>
      <c r="BM155" s="24">
        <f t="shared" si="273"/>
        <v>6.9854916711445458</v>
      </c>
      <c r="BN155" s="24">
        <f t="shared" si="273"/>
        <v>6.6428206438426161</v>
      </c>
      <c r="BO155" s="221">
        <f>('SVF Segment'!AZ980+'SVF Segment'!AZ1075)/1000</f>
        <v>6.7729999999999997</v>
      </c>
      <c r="BP155" s="24">
        <f t="shared" si="268"/>
        <v>6.7729999999999997</v>
      </c>
      <c r="BQ155" s="221">
        <f>('SVF Segment'!BB980+'SVF Segment'!BB1075)/1000</f>
        <v>6.8129999999999997</v>
      </c>
      <c r="BR155" s="221">
        <f>('SVF Segment'!BC980+'SVF Segment'!BC1075)/1000</f>
        <v>6.8280000000000003</v>
      </c>
      <c r="BS155" s="221">
        <f>('SVF Segment'!BD980+'SVF Segment'!BD1075)/1000</f>
        <v>6.8419999999999996</v>
      </c>
      <c r="BT155" s="221">
        <f>('SVF Segment'!BE980+'SVF Segment'!BE1075)/1000</f>
        <v>6.806</v>
      </c>
      <c r="BU155" s="24">
        <f t="shared" si="274"/>
        <v>6.806</v>
      </c>
    </row>
    <row r="156" spans="1:75">
      <c r="A156" s="5" t="s">
        <v>945</v>
      </c>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f>BC151+BC154+BC155</f>
        <v>57.910235325578277</v>
      </c>
      <c r="BD156" s="24">
        <f>BD151+BD154+BD155</f>
        <v>62.139441584996121</v>
      </c>
      <c r="BE156" s="24">
        <f>BE151+BE154+BE155</f>
        <v>61.937084736807343</v>
      </c>
      <c r="BF156" s="24">
        <f t="shared" si="271"/>
        <v>61.937084736807343</v>
      </c>
      <c r="BG156" s="24">
        <f t="shared" ref="BG156:BJ156" si="275">BG151+BG154+BG155</f>
        <v>60.985000310424041</v>
      </c>
      <c r="BH156" s="24">
        <f t="shared" si="275"/>
        <v>64.023554963917888</v>
      </c>
      <c r="BI156" s="24">
        <f t="shared" si="275"/>
        <v>63.473226703755216</v>
      </c>
      <c r="BJ156" s="24">
        <f t="shared" si="275"/>
        <v>66.220204654895667</v>
      </c>
      <c r="BK156" s="24">
        <f t="shared" si="267"/>
        <v>66.220204654895667</v>
      </c>
      <c r="BL156" s="24">
        <f t="shared" ref="BL156:BN156" si="276">BL151+BL154+BL155</f>
        <v>76.727553345763425</v>
      </c>
      <c r="BM156" s="24">
        <f t="shared" si="276"/>
        <v>93.411378291241263</v>
      </c>
      <c r="BN156" s="24">
        <f t="shared" si="276"/>
        <v>120.30346831885538</v>
      </c>
      <c r="BO156" s="24">
        <f t="shared" ref="BO156:BT156" si="277">BO151+BO154+BO155</f>
        <v>118.643</v>
      </c>
      <c r="BP156" s="24">
        <f t="shared" si="268"/>
        <v>118.643</v>
      </c>
      <c r="BQ156" s="24">
        <f t="shared" si="277"/>
        <v>147.38299999999998</v>
      </c>
      <c r="BR156" s="24">
        <f t="shared" si="277"/>
        <v>156.87799999999999</v>
      </c>
      <c r="BS156" s="24">
        <f t="shared" si="277"/>
        <v>166.28700000000001</v>
      </c>
      <c r="BT156" s="24">
        <f t="shared" si="277"/>
        <v>163.62100000000001</v>
      </c>
      <c r="BU156" s="24">
        <f t="shared" si="274"/>
        <v>163.62100000000001</v>
      </c>
    </row>
    <row r="157" spans="1:75">
      <c r="A157" s="5" t="s">
        <v>87</v>
      </c>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f t="shared" ref="BC157:BE160" si="278">BC62+BC104</f>
        <v>11.326380532156705</v>
      </c>
      <c r="BD157" s="24">
        <f t="shared" si="278"/>
        <v>14.267080307410279</v>
      </c>
      <c r="BE157" s="24">
        <f t="shared" si="278"/>
        <v>14.478568126279638</v>
      </c>
      <c r="BF157" s="24">
        <f t="shared" si="271"/>
        <v>14.478568126279638</v>
      </c>
      <c r="BG157" s="24">
        <f t="shared" ref="BG157:BJ160" si="279">BG62+BG104</f>
        <v>15.564661327373193</v>
      </c>
      <c r="BH157" s="24">
        <f t="shared" si="279"/>
        <v>17.58565122959434</v>
      </c>
      <c r="BI157" s="24">
        <f t="shared" si="279"/>
        <v>18.839297003413833</v>
      </c>
      <c r="BJ157" s="24">
        <f t="shared" si="279"/>
        <v>22.739432851792401</v>
      </c>
      <c r="BK157" s="24">
        <f t="shared" si="267"/>
        <v>22.739432851792401</v>
      </c>
      <c r="BL157" s="24">
        <f t="shared" ref="BL157:BN160" si="280">BL62+BL104</f>
        <v>15.192320972308542</v>
      </c>
      <c r="BM157" s="24">
        <f t="shared" si="280"/>
        <v>10.814078452444923</v>
      </c>
      <c r="BN157" s="24">
        <f t="shared" si="280"/>
        <v>5.8124680633622887</v>
      </c>
      <c r="BO157" s="24">
        <f>'Investment Business Of HoldCo'!AZ144/1000</f>
        <v>3.4577600000000013</v>
      </c>
      <c r="BP157" s="24">
        <f t="shared" si="268"/>
        <v>3.4577600000000013</v>
      </c>
      <c r="BQ157" s="24">
        <f>'Investment Business Of HoldCo'!BB144/1000</f>
        <v>0</v>
      </c>
      <c r="BR157" s="24">
        <f>'Investment Business Of HoldCo'!BC144/1000</f>
        <v>0</v>
      </c>
      <c r="BS157" s="24">
        <f>'Investment Business Of HoldCo'!BD144/1000</f>
        <v>0</v>
      </c>
      <c r="BT157" s="24">
        <f>'Investment Business Of HoldCo'!BE144/1000</f>
        <v>0</v>
      </c>
      <c r="BU157" s="24">
        <f t="shared" si="274"/>
        <v>0</v>
      </c>
    </row>
    <row r="158" spans="1:75" s="26" customFormat="1">
      <c r="A158" s="29" t="s">
        <v>88</v>
      </c>
      <c r="AC158" s="287"/>
      <c r="AD158" s="287"/>
      <c r="AE158" s="287"/>
      <c r="AF158" s="287"/>
      <c r="AG158" s="287"/>
      <c r="AH158" s="287"/>
      <c r="AI158" s="287"/>
      <c r="AJ158" s="287"/>
      <c r="AK158" s="287"/>
      <c r="AL158" s="287"/>
      <c r="AM158" s="287"/>
      <c r="AN158" s="287"/>
      <c r="AO158" s="287"/>
      <c r="AP158" s="287"/>
      <c r="AQ158" s="287"/>
      <c r="AR158" s="287"/>
      <c r="AS158" s="287"/>
      <c r="AT158" s="287"/>
      <c r="AU158" s="287"/>
      <c r="AV158" s="287"/>
      <c r="AW158" s="287"/>
      <c r="AX158" s="287"/>
      <c r="AY158" s="287"/>
      <c r="AZ158" s="287"/>
      <c r="BA158" s="287"/>
      <c r="BB158" s="287"/>
      <c r="BC158" s="287">
        <f t="shared" si="278"/>
        <v>4.7573204973926995</v>
      </c>
      <c r="BD158" s="287">
        <f t="shared" si="278"/>
        <v>5.4071776069942885</v>
      </c>
      <c r="BE158" s="287">
        <f t="shared" si="278"/>
        <v>5.4613301631332138</v>
      </c>
      <c r="BF158" s="287">
        <f t="shared" si="271"/>
        <v>5.4613301631332138</v>
      </c>
      <c r="BG158" s="287">
        <f t="shared" si="279"/>
        <v>5.5565903023530145</v>
      </c>
      <c r="BH158" s="287">
        <f t="shared" si="279"/>
        <v>5.9854270300567505</v>
      </c>
      <c r="BI158" s="287">
        <f t="shared" si="279"/>
        <v>5.55190289543558</v>
      </c>
      <c r="BJ158" s="287">
        <f t="shared" si="279"/>
        <v>5.4802033172819691</v>
      </c>
      <c r="BK158" s="287">
        <f t="shared" si="267"/>
        <v>5.4802033172819691</v>
      </c>
      <c r="BL158" s="287">
        <f t="shared" si="280"/>
        <v>4.7745321455700571</v>
      </c>
      <c r="BM158" s="287">
        <f t="shared" si="280"/>
        <v>0.33584094572810319</v>
      </c>
      <c r="BN158" s="287">
        <f t="shared" si="280"/>
        <v>0</v>
      </c>
      <c r="BO158" s="724">
        <f t="shared" ref="BO158" si="281">BN158</f>
        <v>0</v>
      </c>
      <c r="BP158" s="287">
        <f t="shared" si="268"/>
        <v>0</v>
      </c>
      <c r="BQ158" s="724">
        <f t="shared" ref="BQ158" si="282">BP158</f>
        <v>0</v>
      </c>
      <c r="BR158" s="724">
        <f t="shared" ref="BR158" si="283">BQ158</f>
        <v>0</v>
      </c>
      <c r="BS158" s="724">
        <f t="shared" ref="BS158" si="284">BR158</f>
        <v>0</v>
      </c>
      <c r="BT158" s="724">
        <f t="shared" ref="BT158" si="285">BS158</f>
        <v>0</v>
      </c>
      <c r="BU158" s="287">
        <f t="shared" si="274"/>
        <v>0</v>
      </c>
      <c r="BW158" s="328"/>
    </row>
    <row r="159" spans="1:75">
      <c r="A159" s="5" t="s">
        <v>946</v>
      </c>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f t="shared" si="278"/>
        <v>49.369969247225562</v>
      </c>
      <c r="BD159" s="24">
        <f t="shared" si="278"/>
        <v>69.280547133892682</v>
      </c>
      <c r="BE159" s="24">
        <f t="shared" si="278"/>
        <v>115.26200383065849</v>
      </c>
      <c r="BF159" s="24">
        <f t="shared" si="271"/>
        <v>115.26200383065849</v>
      </c>
      <c r="BG159" s="24">
        <f t="shared" si="279"/>
        <v>150.92717452039489</v>
      </c>
      <c r="BH159" s="24">
        <f t="shared" si="279"/>
        <v>131.93559167659217</v>
      </c>
      <c r="BI159" s="24">
        <f t="shared" si="279"/>
        <v>113.79581489442407</v>
      </c>
      <c r="BJ159" s="24">
        <f t="shared" si="279"/>
        <v>98.493017656500797</v>
      </c>
      <c r="BK159" s="24">
        <f t="shared" si="267"/>
        <v>98.493017656500797</v>
      </c>
      <c r="BL159" s="24">
        <f t="shared" si="280"/>
        <v>149.1642704233133</v>
      </c>
      <c r="BM159" s="24">
        <f t="shared" si="280"/>
        <v>130.54943578721119</v>
      </c>
      <c r="BN159" s="24">
        <f t="shared" si="280"/>
        <v>100.8616504854369</v>
      </c>
      <c r="BO159" s="741">
        <f>FP!$L$5*FP!$L$6*FP!$L$13/1000</f>
        <v>117.40523523923699</v>
      </c>
      <c r="BP159" s="24">
        <f t="shared" si="268"/>
        <v>117.40523523923699</v>
      </c>
      <c r="BQ159" s="741">
        <f>FP!$L$5*FP!$L$6*FP!$L$13/1000</f>
        <v>117.40523523923699</v>
      </c>
      <c r="BR159" s="741">
        <f>FP!$L$5*FP!$L$6*FP!$L$13/1000</f>
        <v>117.40523523923699</v>
      </c>
      <c r="BS159" s="741">
        <f>FP!$L$5*FP!$L$6*FP!$L$13/1000</f>
        <v>117.40523523923699</v>
      </c>
      <c r="BT159" s="741">
        <f>FP!$L$5*FP!$L$6*FP!$L$13/1000</f>
        <v>117.40523523923699</v>
      </c>
      <c r="BU159" s="24">
        <f t="shared" si="274"/>
        <v>117.40523523923699</v>
      </c>
    </row>
    <row r="160" spans="1:75">
      <c r="A160" s="5" t="s">
        <v>947</v>
      </c>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f t="shared" si="278"/>
        <v>11.565717341890625</v>
      </c>
      <c r="BD160" s="24">
        <f t="shared" si="278"/>
        <v>12.479729253331453</v>
      </c>
      <c r="BE160" s="24">
        <f t="shared" si="278"/>
        <v>12.482662968099861</v>
      </c>
      <c r="BF160" s="24">
        <f t="shared" si="271"/>
        <v>12.482662968099861</v>
      </c>
      <c r="BG160" s="24">
        <f t="shared" si="279"/>
        <v>12.416961569503943</v>
      </c>
      <c r="BH160" s="24">
        <f t="shared" si="279"/>
        <v>14.43284523225671</v>
      </c>
      <c r="BI160" s="24">
        <f t="shared" si="279"/>
        <v>13.08635731445189</v>
      </c>
      <c r="BJ160" s="24">
        <f t="shared" si="279"/>
        <v>13.777421080791866</v>
      </c>
      <c r="BK160" s="24">
        <f t="shared" si="267"/>
        <v>13.777421080791866</v>
      </c>
      <c r="BL160" s="24">
        <f t="shared" si="280"/>
        <v>17.471169118154823</v>
      </c>
      <c r="BM160" s="24">
        <f t="shared" si="280"/>
        <v>22.770016120365394</v>
      </c>
      <c r="BN160" s="24">
        <f t="shared" si="280"/>
        <v>28.487480838017373</v>
      </c>
      <c r="BO160" s="742">
        <f>'SoftBank Other (13F)'!AZ23/1000</f>
        <v>30.839878894396197</v>
      </c>
      <c r="BP160" s="742">
        <f t="shared" si="268"/>
        <v>30.839878894396197</v>
      </c>
      <c r="BQ160" s="742">
        <f>'SoftBank Other (13F)'!BB23/1000</f>
        <v>31.339878894396197</v>
      </c>
      <c r="BR160" s="742">
        <f>'SoftBank Other (13F)'!BC23/1000</f>
        <v>37.2148788943962</v>
      </c>
      <c r="BS160" s="742">
        <f>'SoftBank Other (13F)'!BD23/1000</f>
        <v>40.639878894396197</v>
      </c>
      <c r="BT160" s="742">
        <f>'SoftBank Other (13F)'!BE23/1000</f>
        <v>41.139878894396197</v>
      </c>
      <c r="BU160" s="742">
        <f t="shared" si="274"/>
        <v>41.139878894396197</v>
      </c>
    </row>
    <row r="161" spans="1:75">
      <c r="A161" s="9" t="s">
        <v>2837</v>
      </c>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f t="shared" ref="BC161" si="286">SUM(BC149:BC150)+BC156+SUM(BC157:BC160)</f>
        <v>156.17644738601416</v>
      </c>
      <c r="BD161" s="30">
        <f t="shared" ref="BD161:BF161" si="287">SUM(BD149:BD150)+BD156+SUM(BD157:BD160)</f>
        <v>186.90049354861452</v>
      </c>
      <c r="BE161" s="30">
        <f t="shared" ref="BE161:BG161" si="288">SUM(BE149:BE150)+BE156+SUM(BE157:BE160)</f>
        <v>233.85254606697049</v>
      </c>
      <c r="BF161" s="30">
        <f t="shared" si="287"/>
        <v>233.85254606697049</v>
      </c>
      <c r="BG161" s="30">
        <f t="shared" si="288"/>
        <v>268.47826410877258</v>
      </c>
      <c r="BH161" s="30">
        <f t="shared" ref="BH161" si="289">SUM(BH149:BH150)+BH156+SUM(BH157:BH160)</f>
        <v>258.97182792685493</v>
      </c>
      <c r="BI161" s="30">
        <f t="shared" ref="BI161:BU161" si="290">SUM(BI149:BI150)+BI156+SUM(BI157:BI160)</f>
        <v>238.89503729927929</v>
      </c>
      <c r="BJ161" s="30">
        <f t="shared" si="290"/>
        <v>233.4358012306046</v>
      </c>
      <c r="BK161" s="30">
        <f t="shared" ref="BK161:BN161" si="291">SUM(BK149:BK150)+BK156+SUM(BK157:BK160)</f>
        <v>233.4358012306046</v>
      </c>
      <c r="BL161" s="30">
        <f t="shared" si="291"/>
        <v>292.86164629514536</v>
      </c>
      <c r="BM161" s="30">
        <f t="shared" si="291"/>
        <v>285.86973401397097</v>
      </c>
      <c r="BN161" s="30">
        <f t="shared" si="291"/>
        <v>281.7553078691875</v>
      </c>
      <c r="BO161" s="30">
        <f t="shared" si="290"/>
        <v>296.46022396008527</v>
      </c>
      <c r="BP161" s="30">
        <f t="shared" si="290"/>
        <v>296.46022396008527</v>
      </c>
      <c r="BQ161" s="30">
        <f t="shared" si="290"/>
        <v>322.30998651942969</v>
      </c>
      <c r="BR161" s="30">
        <f t="shared" si="290"/>
        <v>337.74785916333326</v>
      </c>
      <c r="BS161" s="30">
        <f t="shared" si="290"/>
        <v>350.65008462150013</v>
      </c>
      <c r="BT161" s="30">
        <f t="shared" si="290"/>
        <v>348.5526656520874</v>
      </c>
      <c r="BU161" s="30">
        <f t="shared" si="290"/>
        <v>348.5526656520874</v>
      </c>
    </row>
    <row r="162" spans="1:75">
      <c r="BE162" s="525" t="s">
        <v>2286</v>
      </c>
      <c r="BF162" s="524"/>
      <c r="BG162" s="524"/>
      <c r="BN162" s="750" t="s">
        <v>3243</v>
      </c>
    </row>
    <row r="163" spans="1:75">
      <c r="A163" s="5" t="s">
        <v>2327</v>
      </c>
      <c r="BE163" s="22"/>
    </row>
    <row r="164" spans="1:75">
      <c r="A164" s="5" t="s">
        <v>2328</v>
      </c>
      <c r="BE164" s="22"/>
    </row>
    <row r="165" spans="1:75">
      <c r="A165" s="9" t="s">
        <v>2326</v>
      </c>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542"/>
      <c r="BF165" s="9"/>
      <c r="BG165" s="9"/>
      <c r="BH165" s="9"/>
      <c r="BI165" s="9"/>
      <c r="BJ165" s="9"/>
      <c r="BK165" s="9"/>
      <c r="BL165" s="9"/>
      <c r="BM165" s="9"/>
      <c r="BN165" s="9"/>
      <c r="BO165" s="9"/>
      <c r="BP165" s="9"/>
      <c r="BQ165" s="9"/>
      <c r="BR165" s="9"/>
      <c r="BS165" s="9"/>
      <c r="BT165" s="9"/>
      <c r="BU165" s="9"/>
    </row>
    <row r="166" spans="1:75">
      <c r="BE166" s="22"/>
    </row>
    <row r="167" spans="1:75">
      <c r="A167" s="1" t="s">
        <v>3505</v>
      </c>
      <c r="BE167" s="22"/>
    </row>
    <row r="168" spans="1:75">
      <c r="A168" s="1" t="s">
        <v>946</v>
      </c>
      <c r="BC168" s="21">
        <f>BC106/BC159</f>
        <v>0.4136573158775641</v>
      </c>
      <c r="BD168" s="21">
        <f t="shared" ref="BD168:BE168" si="292">BD106/BD159</f>
        <v>0.29473257846990553</v>
      </c>
      <c r="BE168" s="21">
        <f t="shared" si="292"/>
        <v>0.17716318412635473</v>
      </c>
      <c r="BG168" s="21">
        <f>BG106/BG159</f>
        <v>0.13532956202097585</v>
      </c>
      <c r="BH168" s="21">
        <f t="shared" ref="BH168:BJ168" si="293">BH106/BH159</f>
        <v>0.12379301824470038</v>
      </c>
      <c r="BI168" s="21">
        <f t="shared" si="293"/>
        <v>0.143343898758582</v>
      </c>
      <c r="BJ168" s="21">
        <f t="shared" si="293"/>
        <v>0.12403858141511363</v>
      </c>
      <c r="BL168" s="21">
        <f>BL106/BL159</f>
        <v>8.1964760224287614E-2</v>
      </c>
      <c r="BM168" s="21">
        <f t="shared" ref="BM168:BO168" si="294">BM106/BM159</f>
        <v>6.4631975386135132E-2</v>
      </c>
      <c r="BN168" s="21">
        <f t="shared" si="294"/>
        <v>0.19637259434231108</v>
      </c>
      <c r="BO168" s="21">
        <f t="shared" si="294"/>
        <v>0.16870171023560385</v>
      </c>
      <c r="BQ168" s="21">
        <f>BQ106/BQ159</f>
        <v>0.16870171023560385</v>
      </c>
      <c r="BR168" s="21">
        <f t="shared" ref="BR168:BT168" si="295">BR106/BR159</f>
        <v>0.18999547958844185</v>
      </c>
      <c r="BS168" s="21">
        <f t="shared" si="295"/>
        <v>0.21128924894127984</v>
      </c>
      <c r="BT168" s="21">
        <f t="shared" si="295"/>
        <v>0.21128924894127984</v>
      </c>
    </row>
    <row r="169" spans="1:75">
      <c r="A169" s="1" t="s">
        <v>3482</v>
      </c>
      <c r="BC169" s="21">
        <f>BC97/BC150</f>
        <v>0.15722357248824217</v>
      </c>
      <c r="BD169" s="21">
        <f t="shared" ref="BD169:BT169" si="296">BD97/BD150</f>
        <v>0.15110356536502548</v>
      </c>
      <c r="BE169" s="21">
        <f t="shared" si="296"/>
        <v>0.13632885098939543</v>
      </c>
      <c r="BG169" s="21">
        <f t="shared" si="296"/>
        <v>0.13492471141629045</v>
      </c>
      <c r="BH169" s="21">
        <f t="shared" si="296"/>
        <v>0.14032869785082175</v>
      </c>
      <c r="BI169" s="21">
        <f t="shared" si="296"/>
        <v>0.13118798887080685</v>
      </c>
      <c r="BJ169" s="21">
        <f t="shared" si="296"/>
        <v>0.19969894631209228</v>
      </c>
      <c r="BL169" s="21">
        <f t="shared" si="296"/>
        <v>0.18668697996015468</v>
      </c>
      <c r="BM169" s="21">
        <f t="shared" si="296"/>
        <v>0.19126469882409408</v>
      </c>
      <c r="BN169" s="21">
        <f t="shared" si="296"/>
        <v>0.29057337220602525</v>
      </c>
      <c r="BO169" s="21">
        <f t="shared" si="296"/>
        <v>0.29528416925478784</v>
      </c>
      <c r="BQ169" s="21">
        <f t="shared" si="296"/>
        <v>0.29528416925478779</v>
      </c>
      <c r="BR169" s="21">
        <f t="shared" si="296"/>
        <v>0.29528416925478779</v>
      </c>
      <c r="BS169" s="21">
        <f t="shared" si="296"/>
        <v>0.29528416925478773</v>
      </c>
      <c r="BT169" s="21">
        <f t="shared" si="296"/>
        <v>0.29528416925478784</v>
      </c>
    </row>
    <row r="170" spans="1:75">
      <c r="BE170" s="22"/>
    </row>
    <row r="171" spans="1:75" s="44" customFormat="1">
      <c r="A171" s="49" t="s">
        <v>2196</v>
      </c>
      <c r="BW171" s="46"/>
    </row>
    <row r="173" spans="1:75">
      <c r="A173" s="3" t="s">
        <v>2200</v>
      </c>
    </row>
    <row r="175" spans="1:75">
      <c r="A175" s="1" t="s">
        <v>704</v>
      </c>
      <c r="C175" s="261">
        <v>0</v>
      </c>
      <c r="D175" s="82" t="s">
        <v>2249</v>
      </c>
    </row>
    <row r="176" spans="1:75">
      <c r="A176" s="1" t="s">
        <v>85</v>
      </c>
      <c r="C176" s="261">
        <v>0.15</v>
      </c>
      <c r="D176" s="135" t="s">
        <v>2250</v>
      </c>
    </row>
    <row r="177" spans="1:5">
      <c r="A177" s="1" t="s">
        <v>2191</v>
      </c>
      <c r="C177" s="261">
        <v>0</v>
      </c>
      <c r="D177" s="135" t="s">
        <v>2253</v>
      </c>
    </row>
    <row r="178" spans="1:5">
      <c r="A178" s="1" t="s">
        <v>2201</v>
      </c>
      <c r="C178" s="261">
        <v>0.25</v>
      </c>
      <c r="D178" s="82" t="s">
        <v>2202</v>
      </c>
    </row>
    <row r="179" spans="1:5">
      <c r="A179" s="1" t="s">
        <v>1079</v>
      </c>
      <c r="C179" s="261">
        <v>0</v>
      </c>
      <c r="D179" s="82" t="s">
        <v>2254</v>
      </c>
    </row>
    <row r="180" spans="1:5">
      <c r="A180" s="1" t="s">
        <v>2192</v>
      </c>
      <c r="C180" s="261">
        <v>0.15</v>
      </c>
      <c r="D180" s="135" t="s">
        <v>2252</v>
      </c>
    </row>
    <row r="181" spans="1:5">
      <c r="A181" s="1" t="s">
        <v>2203</v>
      </c>
      <c r="C181" s="261">
        <v>0.67</v>
      </c>
      <c r="D181" s="135" t="s">
        <v>2251</v>
      </c>
    </row>
    <row r="182" spans="1:5">
      <c r="A182" s="1" t="s">
        <v>944</v>
      </c>
      <c r="C182" s="261">
        <v>0.5</v>
      </c>
      <c r="D182" s="135" t="s">
        <v>2204</v>
      </c>
    </row>
    <row r="183" spans="1:5">
      <c r="A183" s="1" t="s">
        <v>87</v>
      </c>
      <c r="C183" s="261">
        <v>0</v>
      </c>
      <c r="D183" s="135" t="s">
        <v>2205</v>
      </c>
    </row>
    <row r="184" spans="1:5">
      <c r="A184" s="1" t="s">
        <v>88</v>
      </c>
      <c r="C184" s="261">
        <v>0</v>
      </c>
      <c r="D184" s="135" t="s">
        <v>2206</v>
      </c>
    </row>
    <row r="185" spans="1:5">
      <c r="A185" s="1" t="s">
        <v>946</v>
      </c>
      <c r="C185" s="261">
        <v>0.1</v>
      </c>
      <c r="D185" s="135" t="s">
        <v>2210</v>
      </c>
    </row>
    <row r="186" spans="1:5">
      <c r="A186" s="1" t="s">
        <v>2964</v>
      </c>
      <c r="C186" s="261">
        <v>0</v>
      </c>
      <c r="D186" s="135" t="s">
        <v>2967</v>
      </c>
    </row>
    <row r="187" spans="1:5">
      <c r="A187" s="1" t="s">
        <v>2800</v>
      </c>
      <c r="C187" s="261">
        <v>0.5</v>
      </c>
      <c r="D187" s="135" t="s">
        <v>2972</v>
      </c>
    </row>
    <row r="188" spans="1:5">
      <c r="A188" s="1" t="s">
        <v>947</v>
      </c>
      <c r="C188" s="261">
        <v>0.1</v>
      </c>
      <c r="D188" s="82" t="s">
        <v>3012</v>
      </c>
    </row>
    <row r="189" spans="1:5">
      <c r="A189" s="1" t="s">
        <v>2970</v>
      </c>
      <c r="C189" s="21">
        <f>MROUND(1-$BP$205/$BP$160, 2.5%)</f>
        <v>0.17500000000000002</v>
      </c>
    </row>
    <row r="191" spans="1:5">
      <c r="A191" s="219" t="s">
        <v>1951</v>
      </c>
      <c r="B191" s="219"/>
      <c r="C191" s="478">
        <f>FP!$L$11</f>
        <v>144.74661148199999</v>
      </c>
      <c r="D191" s="262" t="s">
        <v>2208</v>
      </c>
      <c r="E191" s="219"/>
    </row>
    <row r="193" spans="1:75">
      <c r="A193" s="1" t="s">
        <v>943</v>
      </c>
    </row>
    <row r="194" spans="1:75">
      <c r="A194" s="5" t="s">
        <v>704</v>
      </c>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f>BD149*(1-$C175)</f>
        <v>7.0506944934075999E-2</v>
      </c>
      <c r="BE194" s="24">
        <f>BE149*(1-$C175)</f>
        <v>6.6045835810052175E-2</v>
      </c>
      <c r="BF194" s="24">
        <f>BE194</f>
        <v>6.6045835810052175E-2</v>
      </c>
      <c r="BG194" s="24">
        <f t="shared" ref="BG194:BJ195" si="297">BG149*(1-$C175)</f>
        <v>6.2084807847519713E-2</v>
      </c>
      <c r="BH194" s="24">
        <f t="shared" si="297"/>
        <v>7.0062355496391795E-2</v>
      </c>
      <c r="BI194" s="24">
        <f t="shared" si="297"/>
        <v>6.3219117461120244E-2</v>
      </c>
      <c r="BJ194" s="24">
        <f t="shared" si="297"/>
        <v>6.6880684858212941E-2</v>
      </c>
      <c r="BK194" s="24">
        <f t="shared" ref="BK194:BK200" si="298">BJ194</f>
        <v>6.6880684858212941E-2</v>
      </c>
      <c r="BL194" s="24">
        <f t="shared" ref="BL194:BO195" si="299">BL149*(1-$C175)</f>
        <v>6.9056004419584288E-2</v>
      </c>
      <c r="BM194" s="24">
        <f t="shared" si="299"/>
        <v>0</v>
      </c>
      <c r="BN194" s="24">
        <f t="shared" si="299"/>
        <v>0</v>
      </c>
      <c r="BO194" s="24">
        <f t="shared" si="299"/>
        <v>0</v>
      </c>
      <c r="BP194" s="24">
        <f t="shared" ref="BP194:BP200" si="300">BO194</f>
        <v>0</v>
      </c>
      <c r="BQ194" s="24"/>
      <c r="BR194" s="24"/>
      <c r="BS194" s="24"/>
      <c r="BT194" s="24"/>
      <c r="BU194" s="24"/>
    </row>
    <row r="195" spans="1:75">
      <c r="A195" s="5" t="s">
        <v>85</v>
      </c>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f>BD150*(1-$C176)</f>
        <v>19.767609109497283</v>
      </c>
      <c r="BE195" s="24">
        <f>BE150*(1-$C176)</f>
        <v>20.540122845254608</v>
      </c>
      <c r="BF195" s="24">
        <f>BE195</f>
        <v>20.540122845254608</v>
      </c>
      <c r="BG195" s="24">
        <f t="shared" si="297"/>
        <v>19.520922580244616</v>
      </c>
      <c r="BH195" s="24">
        <f t="shared" si="297"/>
        <v>21.197891123099559</v>
      </c>
      <c r="BI195" s="24">
        <f t="shared" si="297"/>
        <v>20.472436464786952</v>
      </c>
      <c r="BJ195" s="24">
        <f t="shared" si="297"/>
        <v>22.659844836811128</v>
      </c>
      <c r="BK195" s="24">
        <f t="shared" si="298"/>
        <v>22.659844836811128</v>
      </c>
      <c r="BL195" s="24">
        <f t="shared" si="299"/>
        <v>25.04333264277329</v>
      </c>
      <c r="BM195" s="24">
        <f t="shared" si="299"/>
        <v>23.790636754433098</v>
      </c>
      <c r="BN195" s="24">
        <f t="shared" si="299"/>
        <v>22.346704138988247</v>
      </c>
      <c r="BO195" s="24">
        <f t="shared" si="299"/>
        <v>22.197197352484274</v>
      </c>
      <c r="BP195" s="24">
        <f t="shared" si="300"/>
        <v>22.197197352484274</v>
      </c>
      <c r="BQ195" s="24"/>
      <c r="BR195" s="24"/>
      <c r="BS195" s="24"/>
      <c r="BT195" s="24"/>
      <c r="BU195" s="24"/>
    </row>
    <row r="196" spans="1:75">
      <c r="A196" s="34" t="s">
        <v>84</v>
      </c>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f t="shared" ref="BD196:BJ196" si="301">BD216*(1-$C$177)+BD217*(1-$C$178)+BD218*(1-$C$179)</f>
        <v>21.142619333004298</v>
      </c>
      <c r="BE196" s="24">
        <f t="shared" si="301"/>
        <v>20.871834984136431</v>
      </c>
      <c r="BF196" s="24">
        <f>BE196</f>
        <v>20.871834984136431</v>
      </c>
      <c r="BG196" s="24">
        <f t="shared" ref="BG196" si="302">BG216*(1-$C$177)+BG217*(1-$C$178)+BG218*(1-$C$179)</f>
        <v>22.233790136549125</v>
      </c>
      <c r="BH196" s="24">
        <f t="shared" si="301"/>
        <v>23.88367545630679</v>
      </c>
      <c r="BI196" s="24">
        <f t="shared" si="301"/>
        <v>23.359343797524001</v>
      </c>
      <c r="BJ196" s="24">
        <f t="shared" si="301"/>
        <v>23.083428651392499</v>
      </c>
      <c r="BK196" s="24">
        <f t="shared" si="298"/>
        <v>23.083428651392499</v>
      </c>
      <c r="BL196" s="24">
        <f t="shared" ref="BL196:BM196" si="303">BL216*(1-$C$177)+BL217*(1-$C$178)+BL218*(1-$C$179)</f>
        <v>24.584620760882956</v>
      </c>
      <c r="BM196" s="24">
        <f t="shared" si="303"/>
        <v>25.104962309668906</v>
      </c>
      <c r="BN196" s="24">
        <f t="shared" ref="BN196:BO196" si="304">BN216*(1-$C$177)+BN217*(1-$C$178)+BN218*(1-$C$179)</f>
        <v>24.066569194569471</v>
      </c>
      <c r="BO196" s="24">
        <f t="shared" si="304"/>
        <v>23.414681437125751</v>
      </c>
      <c r="BP196" s="24">
        <f t="shared" si="300"/>
        <v>23.414681437125751</v>
      </c>
      <c r="BQ196" s="24"/>
      <c r="BR196" s="24"/>
      <c r="BS196" s="24"/>
      <c r="BT196" s="24"/>
      <c r="BU196" s="24"/>
    </row>
    <row r="197" spans="1:75" s="26" customFormat="1">
      <c r="A197" s="806" t="s">
        <v>2964</v>
      </c>
      <c r="AC197" s="287"/>
      <c r="AD197" s="287"/>
      <c r="AE197" s="287"/>
      <c r="AF197" s="287"/>
      <c r="AG197" s="287"/>
      <c r="AH197" s="287"/>
      <c r="AI197" s="287"/>
      <c r="AJ197" s="287"/>
      <c r="AK197" s="287"/>
      <c r="AL197" s="287"/>
      <c r="AM197" s="287"/>
      <c r="AN197" s="287"/>
      <c r="AO197" s="287"/>
      <c r="AP197" s="287"/>
      <c r="AQ197" s="287"/>
      <c r="AR197" s="287"/>
      <c r="AS197" s="287"/>
      <c r="AT197" s="287"/>
      <c r="AU197" s="287"/>
      <c r="AV197" s="287"/>
      <c r="AW197" s="287"/>
      <c r="AX197" s="287"/>
      <c r="AY197" s="287"/>
      <c r="AZ197" s="287"/>
      <c r="BA197" s="287"/>
      <c r="BB197" s="287"/>
      <c r="BC197" s="287"/>
      <c r="BD197" s="287"/>
      <c r="BE197" s="287"/>
      <c r="BF197" s="287"/>
      <c r="BG197" s="287">
        <f>BG152*(1-$C$186)</f>
        <v>0</v>
      </c>
      <c r="BH197" s="287">
        <f>BH152*(1-$C$186)</f>
        <v>0.5</v>
      </c>
      <c r="BI197" s="287">
        <f>BI152*(1-$C$186)</f>
        <v>0.5</v>
      </c>
      <c r="BJ197" s="287">
        <f>BJ152*(1-$C$186)</f>
        <v>3.2929936305732488</v>
      </c>
      <c r="BK197" s="287">
        <f t="shared" si="298"/>
        <v>3.2929936305732488</v>
      </c>
      <c r="BL197" s="287">
        <f>BL152*(1-$C$186)</f>
        <v>10.792993630573248</v>
      </c>
      <c r="BM197" s="287">
        <f>BM152*(1-$C$186)</f>
        <v>24.7</v>
      </c>
      <c r="BN197" s="287">
        <f>BN152*(1-$C$186)</f>
        <v>54.4</v>
      </c>
      <c r="BO197" s="287">
        <f>BO152*(1-$C$186)</f>
        <v>54.4</v>
      </c>
      <c r="BP197" s="287">
        <f t="shared" si="300"/>
        <v>54.4</v>
      </c>
      <c r="BQ197" s="287"/>
      <c r="BR197" s="287"/>
      <c r="BS197" s="287"/>
      <c r="BT197" s="287"/>
      <c r="BU197" s="287"/>
      <c r="BW197" s="328"/>
    </row>
    <row r="198" spans="1:75" s="26" customFormat="1">
      <c r="A198" s="806" t="s">
        <v>2963</v>
      </c>
      <c r="AC198" s="287"/>
      <c r="AD198" s="287"/>
      <c r="AE198" s="287"/>
      <c r="AF198" s="287"/>
      <c r="AG198" s="287"/>
      <c r="AH198" s="287"/>
      <c r="AI198" s="287"/>
      <c r="AJ198" s="287"/>
      <c r="AK198" s="287"/>
      <c r="AL198" s="287"/>
      <c r="AM198" s="287"/>
      <c r="AN198" s="287"/>
      <c r="AO198" s="287"/>
      <c r="AP198" s="287"/>
      <c r="AQ198" s="287"/>
      <c r="AR198" s="287"/>
      <c r="AS198" s="287"/>
      <c r="AT198" s="287"/>
      <c r="AU198" s="287"/>
      <c r="AV198" s="287"/>
      <c r="AW198" s="287"/>
      <c r="AX198" s="287"/>
      <c r="AY198" s="287"/>
      <c r="AZ198" s="287"/>
      <c r="BA198" s="287"/>
      <c r="BB198" s="287"/>
      <c r="BC198" s="287"/>
      <c r="BD198" s="287"/>
      <c r="BE198" s="287"/>
      <c r="BF198" s="287"/>
      <c r="BG198" s="287">
        <f>BG229*(1-$C$180)+BG230*(1-$C$181)</f>
        <v>11.743838625058231</v>
      </c>
      <c r="BH198" s="287">
        <f>BH229*(1-$C$180)+BH230*(1-$C$181)</f>
        <v>12.396252403907772</v>
      </c>
      <c r="BI198" s="287">
        <f>BI229*(1-$C$180)+BI230*(1-$C$181)</f>
        <v>12.853688806767892</v>
      </c>
      <c r="BJ198" s="287">
        <f>BJ229*(1-$C$180)+BJ230*(1-$C$181)</f>
        <v>12.438059365859178</v>
      </c>
      <c r="BK198" s="287">
        <f t="shared" si="298"/>
        <v>12.438059365859178</v>
      </c>
      <c r="BL198" s="287">
        <f>BL229*(1-$C$180)+BL230*(1-$C$181)</f>
        <v>12.426440895354634</v>
      </c>
      <c r="BM198" s="287">
        <f>BM229*(1-$C$180)+BM230*(1-$C$181)</f>
        <v>14.484149986566365</v>
      </c>
      <c r="BN198" s="287">
        <f>BN229*(1-$C$180)+BN230*(1-$C$181)</f>
        <v>14.453386857009026</v>
      </c>
      <c r="BO198" s="287">
        <f>BO229*(1-$C$180)+BO230*(1-$C$181)</f>
        <v>14.151279999999998</v>
      </c>
      <c r="BP198" s="287">
        <f t="shared" si="300"/>
        <v>14.151279999999998</v>
      </c>
      <c r="BQ198" s="287"/>
      <c r="BR198" s="287"/>
      <c r="BS198" s="287"/>
      <c r="BT198" s="287"/>
      <c r="BU198" s="287"/>
      <c r="BW198" s="328"/>
    </row>
    <row r="199" spans="1:75">
      <c r="A199" s="34" t="s">
        <v>83</v>
      </c>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f>BD229*(1-$C$180)+BD230*(1-$C$181)</f>
        <v>13.320708305975781</v>
      </c>
      <c r="BE199" s="24">
        <f t="shared" ref="BE199" si="305">BE229*(1-$C$180)+BE230*(1-$C$181)</f>
        <v>13.110082861679919</v>
      </c>
      <c r="BF199" s="24">
        <f>BE199</f>
        <v>13.110082861679919</v>
      </c>
      <c r="BG199" s="24">
        <f>SUM(BG197:BG198)</f>
        <v>11.743838625058231</v>
      </c>
      <c r="BH199" s="24">
        <f>SUM(BH197:BH198)</f>
        <v>12.896252403907772</v>
      </c>
      <c r="BI199" s="24">
        <f>SUM(BI197:BI198)</f>
        <v>13.353688806767892</v>
      </c>
      <c r="BJ199" s="24">
        <f>SUM(BJ197:BJ198)</f>
        <v>15.731052996432428</v>
      </c>
      <c r="BK199" s="24">
        <f t="shared" si="298"/>
        <v>15.731052996432428</v>
      </c>
      <c r="BL199" s="24">
        <f>SUM(BL197:BL198)</f>
        <v>23.21943452592788</v>
      </c>
      <c r="BM199" s="24">
        <f>SUM(BM197:BM198)</f>
        <v>39.184149986566368</v>
      </c>
      <c r="BN199" s="24">
        <f>SUM(BN197:BN198)</f>
        <v>68.853386857009028</v>
      </c>
      <c r="BO199" s="24">
        <f>SUM(BO197:BO198)</f>
        <v>68.551279999999991</v>
      </c>
      <c r="BP199" s="24">
        <f t="shared" si="300"/>
        <v>68.551279999999991</v>
      </c>
      <c r="BQ199" s="24"/>
      <c r="BR199" s="24"/>
      <c r="BS199" s="24"/>
      <c r="BT199" s="24"/>
      <c r="BU199" s="24"/>
    </row>
    <row r="200" spans="1:75">
      <c r="A200" s="34" t="s">
        <v>944</v>
      </c>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f>BD155*(1-$C$182)</f>
        <v>3.2080659945004579</v>
      </c>
      <c r="BE200" s="24">
        <f>BE155*(1-$C$182)</f>
        <v>3.2032230367875307</v>
      </c>
      <c r="BF200" s="24">
        <f>BE200</f>
        <v>3.2032230367875307</v>
      </c>
      <c r="BG200" s="24">
        <f>BG155*(1-$C$182)</f>
        <v>3.1663252002235054</v>
      </c>
      <c r="BH200" s="24">
        <f>BH155*(1-$C$182)</f>
        <v>3.2929307083304145</v>
      </c>
      <c r="BI200" s="24">
        <f>BI155*(1-$C$182)</f>
        <v>3.2557845492476924</v>
      </c>
      <c r="BJ200" s="24">
        <f>BJ155*(1-$C$182)</f>
        <v>3.1768325307651146</v>
      </c>
      <c r="BK200" s="24">
        <f t="shared" si="298"/>
        <v>3.1768325307651146</v>
      </c>
      <c r="BL200" s="24">
        <f>BL155*(1-$C$182)</f>
        <v>3.4182722187694221</v>
      </c>
      <c r="BM200" s="24">
        <f>BM155*(1-$C$182)</f>
        <v>3.4927458355722729</v>
      </c>
      <c r="BN200" s="24">
        <f>BN155*(1-$C$182)</f>
        <v>3.321410321921308</v>
      </c>
      <c r="BO200" s="24">
        <f>BO155*(1-$C$182)</f>
        <v>3.3864999999999998</v>
      </c>
      <c r="BP200" s="24">
        <f t="shared" si="300"/>
        <v>3.3864999999999998</v>
      </c>
      <c r="BQ200" s="24"/>
      <c r="BR200" s="24"/>
      <c r="BS200" s="24"/>
      <c r="BT200" s="24"/>
      <c r="BU200" s="24"/>
    </row>
    <row r="201" spans="1:75">
      <c r="A201" s="5" t="s">
        <v>945</v>
      </c>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f>BD196+BD199+BD200</f>
        <v>37.671393633480534</v>
      </c>
      <c r="BE201" s="24">
        <f>BE196+BE199+BE200</f>
        <v>37.185140882603875</v>
      </c>
      <c r="BF201" s="24">
        <f t="shared" ref="BF201:BF205" si="306">BE201</f>
        <v>37.185140882603875</v>
      </c>
      <c r="BG201" s="24">
        <f t="shared" ref="BG201:BJ201" si="307">BG196+BG199+BG200</f>
        <v>37.14395396183086</v>
      </c>
      <c r="BH201" s="24">
        <f t="shared" si="307"/>
        <v>40.07285856854498</v>
      </c>
      <c r="BI201" s="24">
        <f t="shared" si="307"/>
        <v>39.96881715353959</v>
      </c>
      <c r="BJ201" s="24">
        <f t="shared" si="307"/>
        <v>41.991314178590045</v>
      </c>
      <c r="BK201" s="24">
        <f t="shared" ref="BK201:BK205" si="308">BJ201</f>
        <v>41.991314178590045</v>
      </c>
      <c r="BL201" s="24">
        <f t="shared" ref="BL201:BM201" si="309">BL196+BL199+BL200</f>
        <v>51.22232750558026</v>
      </c>
      <c r="BM201" s="24">
        <f t="shared" si="309"/>
        <v>67.781858131807553</v>
      </c>
      <c r="BN201" s="24">
        <f t="shared" ref="BN201" si="310">BN196+BN199+BN200</f>
        <v>96.241366373499801</v>
      </c>
      <c r="BO201" s="24">
        <f>BO196+BO199+BO200</f>
        <v>95.35246143712574</v>
      </c>
      <c r="BP201" s="24">
        <f t="shared" ref="BP201" si="311">BO201</f>
        <v>95.35246143712574</v>
      </c>
      <c r="BQ201" s="24"/>
      <c r="BR201" s="24"/>
      <c r="BS201" s="24"/>
      <c r="BT201" s="24"/>
      <c r="BU201" s="24"/>
    </row>
    <row r="202" spans="1:75">
      <c r="A202" s="5" t="s">
        <v>87</v>
      </c>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f>BD157*(1-$C183)</f>
        <v>14.267080307410279</v>
      </c>
      <c r="BE202" s="24">
        <f>BE157*(1-$C183)</f>
        <v>14.478568126279638</v>
      </c>
      <c r="BF202" s="24">
        <f t="shared" si="306"/>
        <v>14.478568126279638</v>
      </c>
      <c r="BG202" s="24">
        <f t="shared" ref="BG202:BJ203" si="312">BG157*(1-$C183)</f>
        <v>15.564661327373193</v>
      </c>
      <c r="BH202" s="24">
        <f t="shared" si="312"/>
        <v>17.58565122959434</v>
      </c>
      <c r="BI202" s="24">
        <f t="shared" si="312"/>
        <v>18.839297003413833</v>
      </c>
      <c r="BJ202" s="24">
        <f t="shared" si="312"/>
        <v>22.739432851792401</v>
      </c>
      <c r="BK202" s="24">
        <f t="shared" si="308"/>
        <v>22.739432851792401</v>
      </c>
      <c r="BL202" s="24">
        <f t="shared" ref="BL202:BO203" si="313">BL157*(1-$C183)</f>
        <v>15.192320972308542</v>
      </c>
      <c r="BM202" s="24">
        <f t="shared" si="313"/>
        <v>10.814078452444923</v>
      </c>
      <c r="BN202" s="24">
        <f t="shared" si="313"/>
        <v>5.8124680633622887</v>
      </c>
      <c r="BO202" s="24">
        <f t="shared" si="313"/>
        <v>3.4577600000000013</v>
      </c>
      <c r="BP202" s="24">
        <f t="shared" ref="BP202:BP207" si="314">BO202</f>
        <v>3.4577600000000013</v>
      </c>
      <c r="BQ202" s="24"/>
      <c r="BR202" s="24"/>
      <c r="BS202" s="24"/>
      <c r="BT202" s="24"/>
      <c r="BU202" s="24"/>
    </row>
    <row r="203" spans="1:75">
      <c r="A203" s="5" t="s">
        <v>88</v>
      </c>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f>BD158*(1-$C184)</f>
        <v>5.4071776069942885</v>
      </c>
      <c r="BE203" s="24">
        <f>BE158*(1-$C184)</f>
        <v>5.4613301631332138</v>
      </c>
      <c r="BF203" s="24">
        <f t="shared" si="306"/>
        <v>5.4613301631332138</v>
      </c>
      <c r="BG203" s="24">
        <f t="shared" si="312"/>
        <v>5.5565903023530145</v>
      </c>
      <c r="BH203" s="24">
        <f t="shared" si="312"/>
        <v>5.9854270300567505</v>
      </c>
      <c r="BI203" s="24">
        <f t="shared" si="312"/>
        <v>5.55190289543558</v>
      </c>
      <c r="BJ203" s="24">
        <f t="shared" si="312"/>
        <v>5.4802033172819691</v>
      </c>
      <c r="BK203" s="24">
        <f t="shared" si="308"/>
        <v>5.4802033172819691</v>
      </c>
      <c r="BL203" s="24">
        <f t="shared" si="313"/>
        <v>4.7745321455700571</v>
      </c>
      <c r="BM203" s="24">
        <f t="shared" si="313"/>
        <v>0.33584094572810319</v>
      </c>
      <c r="BN203" s="24">
        <f t="shared" si="313"/>
        <v>0</v>
      </c>
      <c r="BO203" s="24">
        <f t="shared" si="313"/>
        <v>0</v>
      </c>
      <c r="BP203" s="24">
        <f t="shared" si="314"/>
        <v>0</v>
      </c>
      <c r="BQ203" s="24"/>
      <c r="BR203" s="24"/>
      <c r="BS203" s="24"/>
      <c r="BT203" s="24"/>
      <c r="BU203" s="24"/>
    </row>
    <row r="204" spans="1:75">
      <c r="A204" s="5" t="s">
        <v>946</v>
      </c>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21">
        <f>BD159*(1-$C$185)</f>
        <v>62.352492420503417</v>
      </c>
      <c r="BE204" s="636">
        <f>(BE209/BE210)*BE159*(1-$C$185)</f>
        <v>76.355659790211391</v>
      </c>
      <c r="BF204" s="24">
        <f>BE204</f>
        <v>76.355659790211391</v>
      </c>
      <c r="BG204" s="636">
        <f>(BG209/BG210)*BG159*(1-$C$185)</f>
        <v>76.376787986118416</v>
      </c>
      <c r="BH204" s="636">
        <f>(BH209/BH210)*BH159*(1-$C$185)</f>
        <v>88.012414837751862</v>
      </c>
      <c r="BI204" s="636">
        <f>(BI209/BI210)*BI159*(1-$C$185)</f>
        <v>88.003572802594491</v>
      </c>
      <c r="BJ204" s="636">
        <f>(BJ209/BJ210)*BJ159*(1-$C$185)</f>
        <v>95.458632151398362</v>
      </c>
      <c r="BK204" s="24">
        <f>BJ204</f>
        <v>95.458632151398362</v>
      </c>
      <c r="BL204" s="636">
        <f>(BL209/BL210)*BL159*(1-$C$185)</f>
        <v>94.355836626408305</v>
      </c>
      <c r="BM204" s="636">
        <f>(BM209/BM210)*BM159*(1-$C$185)</f>
        <v>95.496972252288913</v>
      </c>
      <c r="BN204" s="24">
        <f>FP!$L$13*$C$191*(1-$C$185)</f>
        <v>117.24475530042</v>
      </c>
      <c r="BO204" s="24">
        <f>FP!$L$13*$C$191*(1-$C$185)</f>
        <v>117.24475530042</v>
      </c>
      <c r="BP204" s="24">
        <f>FP!$L$13*$C$191*(1-$C$185)</f>
        <v>117.24475530042</v>
      </c>
      <c r="BQ204" s="24"/>
      <c r="BR204" s="24"/>
      <c r="BS204" s="24"/>
      <c r="BT204" s="24"/>
      <c r="BU204" s="24"/>
    </row>
    <row r="205" spans="1:75">
      <c r="A205" s="5" t="s">
        <v>947</v>
      </c>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f>BD160*(1-$C188)</f>
        <v>11.231756327998308</v>
      </c>
      <c r="BE205" s="24">
        <f>BE160*(1-$C188)</f>
        <v>11.234396671289876</v>
      </c>
      <c r="BF205" s="24">
        <f t="shared" si="306"/>
        <v>11.234396671289876</v>
      </c>
      <c r="BG205" s="24">
        <f>BG160*(1-$C188)</f>
        <v>11.17526541255355</v>
      </c>
      <c r="BH205" s="24">
        <f>BH160*(1-$C188)</f>
        <v>12.989560709031039</v>
      </c>
      <c r="BI205" s="24">
        <f>BI160*(1-$C188)</f>
        <v>11.7777215830067</v>
      </c>
      <c r="BJ205" s="24">
        <f>BJ160*(1-$C188)</f>
        <v>12.39967897271268</v>
      </c>
      <c r="BK205" s="24">
        <f t="shared" si="308"/>
        <v>12.39967897271268</v>
      </c>
      <c r="BL205" s="24">
        <f>BL160*(1-$C188)</f>
        <v>15.724052206339341</v>
      </c>
      <c r="BM205" s="24">
        <f>BM160*(1-$C188)</f>
        <v>20.493014508328855</v>
      </c>
      <c r="BN205" s="223">
        <f>(BN160-('SoftBank Other (13F)'!AY19/1000))*(1-$C188)+('SoftBank Other (13F)'!AY19/1000)*(1-$C$187)</f>
        <v>23.038732754215637</v>
      </c>
      <c r="BO205" s="223">
        <f>(BO160-('SoftBank Other (13F)'!AZ19/1000))*(1-$C188)+('SoftBank Other (13F)'!AZ19/1000)*(1-$C$187)</f>
        <v>25.155891004956576</v>
      </c>
      <c r="BP205" s="24">
        <f t="shared" si="314"/>
        <v>25.155891004956576</v>
      </c>
      <c r="BQ205" s="24"/>
      <c r="BR205" s="24"/>
      <c r="BS205" s="24"/>
      <c r="BT205" s="24"/>
      <c r="BU205" s="24"/>
    </row>
    <row r="206" spans="1:75">
      <c r="A206" s="358" t="s">
        <v>2213</v>
      </c>
      <c r="B206" s="358"/>
      <c r="C206" s="358"/>
      <c r="D206" s="358"/>
      <c r="E206" s="358"/>
      <c r="F206" s="358"/>
      <c r="G206" s="358"/>
      <c r="H206" s="358"/>
      <c r="I206" s="358"/>
      <c r="J206" s="358"/>
      <c r="K206" s="358"/>
      <c r="L206" s="358"/>
      <c r="M206" s="358"/>
      <c r="N206" s="358"/>
      <c r="O206" s="358"/>
      <c r="P206" s="358"/>
      <c r="Q206" s="358"/>
      <c r="R206" s="358"/>
      <c r="S206" s="358"/>
      <c r="T206" s="358"/>
      <c r="U206" s="358"/>
      <c r="V206" s="358"/>
      <c r="W206" s="358"/>
      <c r="X206" s="358"/>
      <c r="Y206" s="358"/>
      <c r="Z206" s="358"/>
      <c r="AA206" s="358"/>
      <c r="AB206" s="358"/>
      <c r="AC206" s="472"/>
      <c r="AD206" s="472"/>
      <c r="AE206" s="472"/>
      <c r="AF206" s="472"/>
      <c r="AG206" s="472"/>
      <c r="AH206" s="472"/>
      <c r="AI206" s="472"/>
      <c r="AJ206" s="472"/>
      <c r="AK206" s="472"/>
      <c r="AL206" s="472"/>
      <c r="AM206" s="472"/>
      <c r="AN206" s="472"/>
      <c r="AO206" s="472"/>
      <c r="AP206" s="472"/>
      <c r="AQ206" s="472"/>
      <c r="AR206" s="472"/>
      <c r="AS206" s="472"/>
      <c r="AT206" s="472"/>
      <c r="AU206" s="472"/>
      <c r="AV206" s="472"/>
      <c r="AW206" s="472"/>
      <c r="AX206" s="472"/>
      <c r="AY206" s="472"/>
      <c r="AZ206" s="472"/>
      <c r="BA206" s="472"/>
      <c r="BB206" s="472"/>
      <c r="BC206" s="472"/>
      <c r="BD206" s="472">
        <f t="shared" ref="BD206" si="315">SUM(BD194:BD195)+BD201+SUM(BD202:BD205)</f>
        <v>150.76801635081819</v>
      </c>
      <c r="BE206" s="472">
        <f t="shared" ref="BE206" si="316">SUM(BE194:BE195)+BE201+SUM(BE202:BE205)</f>
        <v>165.32126431458266</v>
      </c>
      <c r="BF206" s="472">
        <f t="shared" ref="BF206" si="317">SUM(BF194:BF195)+BF201+SUM(BF202:BF205)</f>
        <v>165.32126431458266</v>
      </c>
      <c r="BG206" s="472">
        <f t="shared" ref="BG206" si="318">SUM(BG194:BG195)+BG201+SUM(BG202:BG205)</f>
        <v>165.40026637832116</v>
      </c>
      <c r="BH206" s="472">
        <f t="shared" ref="BH206" si="319">SUM(BH194:BH195)+BH201+SUM(BH202:BH205)</f>
        <v>185.91386585357492</v>
      </c>
      <c r="BI206" s="472">
        <f t="shared" ref="BI206" si="320">SUM(BI194:BI195)+BI201+SUM(BI202:BI205)</f>
        <v>184.67696702023827</v>
      </c>
      <c r="BJ206" s="472">
        <f t="shared" ref="BJ206:BM206" si="321">SUM(BJ194:BJ195)+BJ201+SUM(BJ202:BJ205)</f>
        <v>200.79598699344479</v>
      </c>
      <c r="BK206" s="472">
        <f t="shared" si="321"/>
        <v>200.79598699344479</v>
      </c>
      <c r="BL206" s="472">
        <f t="shared" si="321"/>
        <v>206.38145810339938</v>
      </c>
      <c r="BM206" s="472">
        <f t="shared" si="321"/>
        <v>218.71240104503144</v>
      </c>
      <c r="BN206" s="472">
        <f t="shared" ref="BN206:BO206" si="322">SUM(BN194:BN195)+BN201+SUM(BN202:BN205)</f>
        <v>264.68402663048596</v>
      </c>
      <c r="BO206" s="472">
        <f t="shared" si="322"/>
        <v>263.40806509498657</v>
      </c>
      <c r="BP206" s="472">
        <f t="shared" si="314"/>
        <v>263.40806509498657</v>
      </c>
      <c r="BQ206" s="1085"/>
      <c r="BR206" s="1085"/>
      <c r="BS206" s="1085"/>
      <c r="BT206" s="1085"/>
      <c r="BU206" s="1085"/>
    </row>
    <row r="207" spans="1:75">
      <c r="A207" s="44" t="s">
        <v>2209</v>
      </c>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c r="AC207" s="44"/>
      <c r="AD207" s="44"/>
      <c r="AE207" s="44"/>
      <c r="AF207" s="44"/>
      <c r="AG207" s="44"/>
      <c r="AH207" s="44"/>
      <c r="AI207" s="44"/>
      <c r="AJ207" s="44"/>
      <c r="AK207" s="44"/>
      <c r="AL207" s="44"/>
      <c r="AM207" s="44"/>
      <c r="AN207" s="44"/>
      <c r="AO207" s="44"/>
      <c r="AP207" s="44"/>
      <c r="AQ207" s="44"/>
      <c r="AR207" s="44"/>
      <c r="AS207" s="44"/>
      <c r="AT207" s="44"/>
      <c r="AU207" s="44"/>
      <c r="AV207" s="44"/>
      <c r="AW207" s="44"/>
      <c r="AX207" s="44"/>
      <c r="AY207" s="44"/>
      <c r="AZ207" s="44"/>
      <c r="BA207" s="44"/>
      <c r="BB207" s="44"/>
      <c r="BC207" s="44"/>
      <c r="BD207" s="370">
        <f t="shared" ref="BD207:BO207" si="323">BD206/BD161</f>
        <v>0.80667532486532489</v>
      </c>
      <c r="BE207" s="370">
        <f t="shared" si="323"/>
        <v>0.70694660842921975</v>
      </c>
      <c r="BF207" s="370">
        <f t="shared" si="323"/>
        <v>0.70694660842921975</v>
      </c>
      <c r="BG207" s="370">
        <f t="shared" si="323"/>
        <v>0.61606576207342467</v>
      </c>
      <c r="BH207" s="370">
        <f t="shared" si="323"/>
        <v>0.71789224079649772</v>
      </c>
      <c r="BI207" s="370">
        <f t="shared" si="323"/>
        <v>0.77304647726474729</v>
      </c>
      <c r="BJ207" s="370">
        <f t="shared" si="323"/>
        <v>0.86017648507601507</v>
      </c>
      <c r="BK207" s="370">
        <f t="shared" si="323"/>
        <v>0.86017648507601507</v>
      </c>
      <c r="BL207" s="370">
        <f t="shared" si="323"/>
        <v>0.70470633732424137</v>
      </c>
      <c r="BM207" s="370">
        <f t="shared" si="323"/>
        <v>0.7650771488608954</v>
      </c>
      <c r="BN207" s="752">
        <f t="shared" si="323"/>
        <v>0.93941096844703509</v>
      </c>
      <c r="BO207" s="752">
        <f t="shared" si="323"/>
        <v>0.8885106459693265</v>
      </c>
      <c r="BP207" s="752">
        <f t="shared" si="314"/>
        <v>0.8885106459693265</v>
      </c>
      <c r="BQ207" s="752"/>
      <c r="BR207" s="752"/>
      <c r="BS207" s="752"/>
      <c r="BT207" s="752"/>
      <c r="BU207" s="752"/>
    </row>
    <row r="208" spans="1:75">
      <c r="BH208" s="750" t="s">
        <v>2803</v>
      </c>
      <c r="BL208" s="218" t="s">
        <v>2971</v>
      </c>
      <c r="BM208" s="12"/>
      <c r="BN208" s="12"/>
      <c r="BO208" s="12"/>
      <c r="BP208" s="12"/>
      <c r="BQ208" s="12"/>
      <c r="BR208" s="12"/>
      <c r="BS208" s="12"/>
      <c r="BT208" s="12"/>
      <c r="BU208" s="12"/>
    </row>
    <row r="209" spans="1:78">
      <c r="A209" s="1" t="s">
        <v>2493</v>
      </c>
      <c r="BE209" s="625">
        <v>92</v>
      </c>
      <c r="BF209" s="8">
        <f>BE209</f>
        <v>92</v>
      </c>
      <c r="BG209" s="625">
        <v>92</v>
      </c>
      <c r="BH209" s="625">
        <v>106</v>
      </c>
      <c r="BI209" s="625">
        <v>106</v>
      </c>
      <c r="BJ209" s="625">
        <v>115</v>
      </c>
      <c r="BK209" s="8">
        <f>BJ209</f>
        <v>115</v>
      </c>
      <c r="BL209" s="625">
        <v>115</v>
      </c>
      <c r="BM209" s="625">
        <v>115</v>
      </c>
      <c r="BN209" s="753">
        <v>138</v>
      </c>
      <c r="BO209" s="753">
        <v>138</v>
      </c>
      <c r="BP209" s="8">
        <f>BO209</f>
        <v>138</v>
      </c>
      <c r="BQ209" s="8"/>
      <c r="BR209" s="8"/>
      <c r="BS209" s="8"/>
      <c r="BT209" s="8"/>
      <c r="BU209" s="8"/>
    </row>
    <row r="210" spans="1:78">
      <c r="A210" s="1" t="s">
        <v>2494</v>
      </c>
      <c r="BD210" s="634">
        <v>75.150000000000006</v>
      </c>
      <c r="BE210" s="634">
        <v>124.99</v>
      </c>
      <c r="BF210" s="410">
        <f>BE210</f>
        <v>124.99</v>
      </c>
      <c r="BG210" s="634">
        <v>163.62</v>
      </c>
      <c r="BH210" s="634">
        <v>143.01</v>
      </c>
      <c r="BI210" s="634">
        <v>123.36</v>
      </c>
      <c r="BJ210" s="634">
        <v>106.79</v>
      </c>
      <c r="BK210" s="635">
        <f>BJ210</f>
        <v>106.79</v>
      </c>
      <c r="BL210" s="634">
        <v>163.62</v>
      </c>
      <c r="BM210" s="634">
        <v>141.49</v>
      </c>
      <c r="BN210" s="477">
        <f>FP!$L$5</f>
        <v>124.37</v>
      </c>
      <c r="BO210" s="477">
        <f>FP!$L$5</f>
        <v>124.37</v>
      </c>
      <c r="BP210" s="635"/>
      <c r="BQ210" s="635"/>
      <c r="BR210" s="635"/>
      <c r="BS210" s="635"/>
      <c r="BT210" s="635"/>
      <c r="BU210" s="635"/>
    </row>
    <row r="211" spans="1:78">
      <c r="A211" s="1" t="s">
        <v>2758</v>
      </c>
      <c r="BE211" s="21"/>
      <c r="BF211" s="21"/>
      <c r="BG211" s="21">
        <f>BG210/BF210-1</f>
        <v>0.30906472517801431</v>
      </c>
      <c r="BH211" s="21">
        <f>BH210/BG210-1</f>
        <v>-0.12596259625962603</v>
      </c>
      <c r="BI211" s="21">
        <f>BI210/BH210-1</f>
        <v>-0.13740297881267038</v>
      </c>
      <c r="BJ211" s="21">
        <f>BJ210/BI210-1</f>
        <v>-0.13432230869001294</v>
      </c>
      <c r="BL211" s="21">
        <f>BL210/BK210-1</f>
        <v>0.53216593313980698</v>
      </c>
      <c r="BM211" s="21">
        <f>BM210/BL210-1</f>
        <v>-0.13525241413030187</v>
      </c>
      <c r="BN211" s="21">
        <f>BN210/BM210-1</f>
        <v>-0.12099795038518624</v>
      </c>
      <c r="BO211" s="21">
        <f>BO210/BN210-1</f>
        <v>0</v>
      </c>
    </row>
    <row r="212" spans="1:78">
      <c r="A212" s="1" t="s">
        <v>1397</v>
      </c>
      <c r="BE212" s="21">
        <f t="shared" ref="BE212:BJ212" si="324">BE209/BE210-1</f>
        <v>-0.26394111528922315</v>
      </c>
      <c r="BF212" s="21"/>
      <c r="BG212" s="21">
        <f t="shared" si="324"/>
        <v>-0.43772154993277113</v>
      </c>
      <c r="BH212" s="21">
        <f t="shared" si="324"/>
        <v>-0.25879309139221029</v>
      </c>
      <c r="BI212" s="21">
        <f t="shared" si="324"/>
        <v>-0.14072632944228269</v>
      </c>
      <c r="BJ212" s="21">
        <f t="shared" si="324"/>
        <v>7.687985766457528E-2</v>
      </c>
      <c r="BK212" s="21"/>
      <c r="BL212" s="21">
        <f t="shared" ref="BL212" si="325">BL209/BL210-1</f>
        <v>-0.2971519374159638</v>
      </c>
      <c r="BM212" s="21">
        <f t="shared" ref="BM212:BO212" si="326">BM209/BM210-1</f>
        <v>-0.1872217117817514</v>
      </c>
      <c r="BN212" s="21">
        <f t="shared" si="326"/>
        <v>0.10959234542092133</v>
      </c>
      <c r="BO212" s="21">
        <f t="shared" si="326"/>
        <v>0.10959234542092133</v>
      </c>
      <c r="BP212" s="21"/>
      <c r="BQ212" s="21"/>
      <c r="BR212" s="21"/>
      <c r="BS212" s="21"/>
      <c r="BT212" s="21"/>
      <c r="BU212" s="21"/>
    </row>
    <row r="214" spans="1:78">
      <c r="A214" s="3" t="s">
        <v>2188</v>
      </c>
    </row>
    <row r="215" spans="1:78">
      <c r="BG215" s="144" t="s">
        <v>2491</v>
      </c>
      <c r="BH215" s="46"/>
      <c r="BI215" s="46"/>
      <c r="BJ215" s="46"/>
      <c r="BK215" s="46"/>
      <c r="BL215" s="46"/>
      <c r="BM215" s="46"/>
      <c r="BN215" s="46"/>
      <c r="BO215" s="46"/>
      <c r="BP215" s="46"/>
      <c r="BQ215" s="46"/>
      <c r="BR215" s="46"/>
      <c r="BS215" s="46"/>
      <c r="BT215" s="46"/>
      <c r="BU215" s="46"/>
      <c r="BV215" s="46"/>
      <c r="BX215" s="46"/>
    </row>
    <row r="216" spans="1:78">
      <c r="A216" s="5" t="s">
        <v>2191</v>
      </c>
      <c r="BD216" s="631">
        <f>(BD219-BD218)*BD225/(BD225+BD226)</f>
        <v>9.666206021293096</v>
      </c>
      <c r="BE216" s="631">
        <f>(BE219-BE218)*BE225/(BE225+BE226)</f>
        <v>9.1680373805718762</v>
      </c>
      <c r="BF216" s="631">
        <f>(BF219-BF218)*BF225/(BF225+BF226)</f>
        <v>9.1680373805718762</v>
      </c>
      <c r="BG216" s="631">
        <f t="shared" ref="BG216:BK216" si="327">(BG219-BG218)*BG225/(BG225+BG226)</f>
        <v>9.738444211683559</v>
      </c>
      <c r="BH216" s="631">
        <f t="shared" si="327"/>
        <v>11.886422556678141</v>
      </c>
      <c r="BI216" s="631">
        <f t="shared" si="327"/>
        <v>11.592720998668518</v>
      </c>
      <c r="BJ216" s="631">
        <f t="shared" si="327"/>
        <v>10.87303852210291</v>
      </c>
      <c r="BK216" s="631">
        <f t="shared" si="327"/>
        <v>10.70135896649076</v>
      </c>
      <c r="BL216" s="631">
        <f t="shared" ref="BL216:BM216" si="328">(BL219-BL218)*BL225/(BL225+BL226)</f>
        <v>11.990238005205745</v>
      </c>
      <c r="BM216" s="631">
        <f t="shared" si="328"/>
        <v>11.473640533678319</v>
      </c>
      <c r="BN216" s="24">
        <f t="shared" ref="BN216:BO216" si="329">BN225*BN$219</f>
        <v>10.726885523791456</v>
      </c>
      <c r="BO216" s="24">
        <f t="shared" si="329"/>
        <v>10.258083832335329</v>
      </c>
      <c r="BP216" s="24">
        <f>BO216</f>
        <v>10.258083832335329</v>
      </c>
      <c r="BQ216" s="24"/>
      <c r="BR216" s="24"/>
      <c r="BS216" s="24"/>
      <c r="BT216" s="24"/>
      <c r="BU216" s="24"/>
    </row>
    <row r="217" spans="1:78">
      <c r="A217" s="5" t="s">
        <v>2195</v>
      </c>
      <c r="BD217" s="631">
        <f>(BD219-BD218)*BD226/(BD225+BD226)</f>
        <v>7.0885510822816036</v>
      </c>
      <c r="BE217" s="631">
        <f>(BE219-BE218)*BE226/(BE225+BE226)</f>
        <v>7.391730138086074</v>
      </c>
      <c r="BF217" s="631">
        <f>(BF219-BF218)*BF226/(BF225+BF226)</f>
        <v>7.391730138086074</v>
      </c>
      <c r="BG217" s="631">
        <f t="shared" ref="BG217:BK217" si="330">(BG219-BG218)*BG226/(BG225+BG226)</f>
        <v>7.4204612331540893</v>
      </c>
      <c r="BH217" s="631">
        <f t="shared" si="330"/>
        <v>6.7563371995048627</v>
      </c>
      <c r="BI217" s="631">
        <f t="shared" si="330"/>
        <v>6.4488303984739783</v>
      </c>
      <c r="BJ217" s="631">
        <f t="shared" si="330"/>
        <v>6.1146535057194527</v>
      </c>
      <c r="BK217" s="631">
        <f t="shared" si="330"/>
        <v>6.2863330613316037</v>
      </c>
      <c r="BL217" s="631">
        <f t="shared" ref="BL217:BM217" si="331">(BL219-BL218)*BL226/(BL225+BL226)</f>
        <v>6.6266436742362815</v>
      </c>
      <c r="BM217" s="631">
        <f t="shared" si="331"/>
        <v>5.9745623679874491</v>
      </c>
      <c r="BN217" s="24">
        <f t="shared" ref="BN217:BO217" si="332">BN226*BN$219</f>
        <v>5.5857115610373524</v>
      </c>
      <c r="BO217" s="24">
        <f t="shared" si="332"/>
        <v>5.3415968063872246</v>
      </c>
      <c r="BP217" s="24">
        <f>BO217</f>
        <v>5.3415968063872246</v>
      </c>
      <c r="BQ217" s="24"/>
      <c r="BR217" s="24"/>
      <c r="BS217" s="24"/>
      <c r="BT217" s="24"/>
      <c r="BU217" s="24"/>
    </row>
    <row r="218" spans="1:78">
      <c r="A218" s="5" t="s">
        <v>1079</v>
      </c>
      <c r="BD218" s="616">
        <f>BD222*'SVF1'!AO162/1000</f>
        <v>6.160000000000001</v>
      </c>
      <c r="BE218" s="616">
        <f>BE222*'SVF1'!AP162/1000</f>
        <v>6.160000000000001</v>
      </c>
      <c r="BF218" s="616">
        <f>BF222*'SVF1'!AQ162/1000</f>
        <v>6.160000000000001</v>
      </c>
      <c r="BG218" s="616">
        <f>BG222*'SVF1'!AR162/1000</f>
        <v>6.9300000000000006</v>
      </c>
      <c r="BH218" s="616">
        <f>BH222*'SVF1'!AS162/1000</f>
        <v>6.9300000000000006</v>
      </c>
      <c r="BI218" s="616">
        <f>BI222*'SVF1'!AT162/1000</f>
        <v>6.9300000000000006</v>
      </c>
      <c r="BJ218" s="616">
        <f>BJ222*'SVF1'!AU162/1000</f>
        <v>7.6244000000000005</v>
      </c>
      <c r="BK218" s="616">
        <f>BK222*'SVF1'!AV162/1000</f>
        <v>7.6244000000000005</v>
      </c>
      <c r="BL218" s="616">
        <f>BL222*'SVF1'!AW162/1000</f>
        <v>7.6244000000000005</v>
      </c>
      <c r="BM218" s="616">
        <f>BM222*'SVF1'!AX162/1000</f>
        <v>9.1504000000000012</v>
      </c>
      <c r="BN218" s="287">
        <f t="shared" ref="BN218:BO218" si="333">BM218</f>
        <v>9.1504000000000012</v>
      </c>
      <c r="BO218" s="287">
        <f t="shared" si="333"/>
        <v>9.1504000000000012</v>
      </c>
      <c r="BP218" s="24">
        <f>BO218</f>
        <v>9.1504000000000012</v>
      </c>
      <c r="BQ218" s="24"/>
      <c r="BR218" s="24"/>
      <c r="BS218" s="24"/>
      <c r="BT218" s="24"/>
      <c r="BU218" s="24"/>
    </row>
    <row r="219" spans="1:78">
      <c r="A219" s="9" t="s">
        <v>84</v>
      </c>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f t="shared" ref="BD219:BO219" si="334">BD151</f>
        <v>22.914757103574701</v>
      </c>
      <c r="BE219" s="30">
        <f t="shared" si="334"/>
        <v>22.71976751865795</v>
      </c>
      <c r="BF219" s="30">
        <f t="shared" si="334"/>
        <v>22.71976751865795</v>
      </c>
      <c r="BG219" s="30">
        <f t="shared" si="334"/>
        <v>24.08890544483765</v>
      </c>
      <c r="BH219" s="30">
        <f t="shared" si="334"/>
        <v>25.572759756183004</v>
      </c>
      <c r="BI219" s="30">
        <f t="shared" si="334"/>
        <v>24.971551397142495</v>
      </c>
      <c r="BJ219" s="30">
        <f t="shared" si="334"/>
        <v>24.612092027822364</v>
      </c>
      <c r="BK219" s="30">
        <f t="shared" si="334"/>
        <v>24.612092027822364</v>
      </c>
      <c r="BL219" s="30">
        <f t="shared" si="334"/>
        <v>26.241281679442029</v>
      </c>
      <c r="BM219" s="30">
        <f t="shared" si="334"/>
        <v>26.598602901665771</v>
      </c>
      <c r="BN219" s="632">
        <f t="shared" si="334"/>
        <v>24.207971384772609</v>
      </c>
      <c r="BO219" s="632">
        <f t="shared" si="334"/>
        <v>23.15</v>
      </c>
      <c r="BP219" s="30">
        <f>BO219</f>
        <v>23.15</v>
      </c>
      <c r="BQ219" s="24"/>
      <c r="BR219" s="24"/>
      <c r="BS219" s="24"/>
      <c r="BT219" s="24"/>
      <c r="BU219" s="24"/>
    </row>
    <row r="220" spans="1:78">
      <c r="BG220" s="522" t="s">
        <v>2487</v>
      </c>
      <c r="BH220" s="71"/>
      <c r="BI220" s="71"/>
      <c r="BJ220" s="71"/>
      <c r="BK220" s="71"/>
      <c r="BL220" s="71"/>
      <c r="BM220" s="71"/>
      <c r="BN220" s="71"/>
      <c r="BO220" s="71"/>
      <c r="BP220" s="71"/>
      <c r="BQ220" s="71"/>
      <c r="BR220" s="71"/>
      <c r="BS220" s="71"/>
      <c r="BT220" s="71"/>
      <c r="BU220" s="71"/>
      <c r="BV220" s="71"/>
      <c r="BW220" s="71"/>
      <c r="BX220" s="71"/>
      <c r="BY220" s="71"/>
      <c r="BZ220" s="71"/>
    </row>
    <row r="221" spans="1:78">
      <c r="A221" s="1" t="s">
        <v>2490</v>
      </c>
      <c r="BD221" s="103">
        <f>'SVF1'!AO163/1000</f>
        <v>0</v>
      </c>
      <c r="BE221" s="103">
        <f>'SVF1'!AP163/1000</f>
        <v>0</v>
      </c>
      <c r="BF221" s="103">
        <f>'SVF1'!AQ163/1000</f>
        <v>0</v>
      </c>
      <c r="BG221" s="103">
        <f>'SVF1'!AR163/1000</f>
        <v>0</v>
      </c>
      <c r="BH221" s="103">
        <f>'SVF1'!AS163/1000</f>
        <v>0</v>
      </c>
      <c r="BI221" s="103">
        <f>'SVF1'!AT163/1000</f>
        <v>0</v>
      </c>
      <c r="BJ221" s="103">
        <f>'SVF1'!AU163/1000</f>
        <v>0</v>
      </c>
      <c r="BK221" s="103">
        <f>'SVF1'!AV163/1000</f>
        <v>0</v>
      </c>
      <c r="BL221" s="198">
        <f>BK221</f>
        <v>0</v>
      </c>
      <c r="BM221" s="103">
        <f>'SVF1'!AX163/1000</f>
        <v>0</v>
      </c>
      <c r="BN221" s="198">
        <f>BM221</f>
        <v>0</v>
      </c>
      <c r="BO221" s="198">
        <f>BN221</f>
        <v>0</v>
      </c>
      <c r="BP221" s="198">
        <f>BO221</f>
        <v>0</v>
      </c>
      <c r="BQ221" s="198"/>
      <c r="BR221" s="198"/>
      <c r="BS221" s="198"/>
      <c r="BT221" s="198"/>
      <c r="BU221" s="198"/>
    </row>
    <row r="222" spans="1:78" s="26" customFormat="1">
      <c r="A222" s="26" t="s">
        <v>2488</v>
      </c>
      <c r="BD222" s="630">
        <f>'SVF1'!$AS$36</f>
        <v>0.56000000000000005</v>
      </c>
      <c r="BE222" s="630">
        <f>'SVF1'!$AS$36</f>
        <v>0.56000000000000005</v>
      </c>
      <c r="BF222" s="630">
        <f>'SVF1'!$AS$36</f>
        <v>0.56000000000000005</v>
      </c>
      <c r="BG222" s="630">
        <f>'SVF1'!$AS$36</f>
        <v>0.56000000000000005</v>
      </c>
      <c r="BH222" s="630">
        <f>'SVF1'!$AS$36</f>
        <v>0.56000000000000005</v>
      </c>
      <c r="BI222" s="630">
        <f>'SVF1'!$AS$36</f>
        <v>0.56000000000000005</v>
      </c>
      <c r="BJ222" s="630">
        <f>'SVF1'!$AS$36</f>
        <v>0.56000000000000005</v>
      </c>
      <c r="BK222" s="630">
        <f>'SVF1'!$AS$36</f>
        <v>0.56000000000000005</v>
      </c>
      <c r="BL222" s="630">
        <f>'SVF1'!$AS$36</f>
        <v>0.56000000000000005</v>
      </c>
      <c r="BM222" s="630">
        <f>'SVF1'!$AS$36</f>
        <v>0.56000000000000005</v>
      </c>
      <c r="BN222" s="630">
        <f>'SVF1'!$AS$36</f>
        <v>0.56000000000000005</v>
      </c>
      <c r="BO222" s="630">
        <f>'SVF1'!$AS$36</f>
        <v>0.56000000000000005</v>
      </c>
      <c r="BP222" s="630">
        <f>'SVF1'!$AS$36</f>
        <v>0.56000000000000005</v>
      </c>
      <c r="BQ222" s="630"/>
      <c r="BR222" s="630"/>
      <c r="BS222" s="630"/>
      <c r="BT222" s="630"/>
      <c r="BU222" s="630"/>
      <c r="BW222" s="328"/>
    </row>
    <row r="223" spans="1:78">
      <c r="A223" s="1" t="s">
        <v>2489</v>
      </c>
      <c r="BD223" s="103">
        <f t="shared" ref="BD223:BK223" si="335">BD222*BD221</f>
        <v>0</v>
      </c>
      <c r="BE223" s="103">
        <f t="shared" si="335"/>
        <v>0</v>
      </c>
      <c r="BF223" s="103">
        <f t="shared" si="335"/>
        <v>0</v>
      </c>
      <c r="BG223" s="103">
        <f t="shared" si="335"/>
        <v>0</v>
      </c>
      <c r="BH223" s="103">
        <f t="shared" si="335"/>
        <v>0</v>
      </c>
      <c r="BI223" s="103">
        <f t="shared" si="335"/>
        <v>0</v>
      </c>
      <c r="BJ223" s="103">
        <f t="shared" si="335"/>
        <v>0</v>
      </c>
      <c r="BK223" s="103">
        <f t="shared" si="335"/>
        <v>0</v>
      </c>
      <c r="BL223" s="198">
        <f t="shared" ref="BL223:BO223" si="336">BL222*BL221</f>
        <v>0</v>
      </c>
      <c r="BM223" s="103">
        <f t="shared" si="336"/>
        <v>0</v>
      </c>
      <c r="BN223" s="198">
        <f t="shared" si="336"/>
        <v>0</v>
      </c>
      <c r="BO223" s="198">
        <f t="shared" si="336"/>
        <v>0</v>
      </c>
      <c r="BP223" s="198">
        <f>BO223</f>
        <v>0</v>
      </c>
      <c r="BQ223" s="198"/>
      <c r="BR223" s="198"/>
      <c r="BS223" s="198"/>
      <c r="BT223" s="198"/>
      <c r="BU223" s="198"/>
    </row>
    <row r="225" spans="1:75">
      <c r="A225" s="28" t="s">
        <v>2191</v>
      </c>
      <c r="BD225" s="104">
        <f>'SVF1'!AO4</f>
        <v>0.42654028436018959</v>
      </c>
      <c r="BE225" s="104">
        <f>'SVF1'!AP4</f>
        <v>0.40100250626566414</v>
      </c>
      <c r="BF225" s="104">
        <f>'SVF1'!AQ4</f>
        <v>0.40100250626566414</v>
      </c>
      <c r="BG225" s="104">
        <f>'SVF1'!AR4</f>
        <v>0.39952153110047844</v>
      </c>
      <c r="BH225" s="104">
        <f>'SVF1'!AS4</f>
        <v>0.45785876993166286</v>
      </c>
      <c r="BI225" s="104">
        <f>'SVF1'!AT4</f>
        <v>0.45368171021377673</v>
      </c>
      <c r="BJ225" s="104">
        <f>'SVF1'!AU4</f>
        <v>0.43879907621247111</v>
      </c>
      <c r="BK225" s="104">
        <f>'SVF1'!AV4</f>
        <v>0.43187066974595845</v>
      </c>
      <c r="BL225" s="104">
        <f>'SVF1'!AW4</f>
        <v>0.4517543859649123</v>
      </c>
      <c r="BM225" s="104">
        <f>'SVF1'!AX4</f>
        <v>0.44311377245508982</v>
      </c>
      <c r="BN225" s="805">
        <f t="shared" ref="BN225:BN227" si="337">BM225</f>
        <v>0.44311377245508982</v>
      </c>
      <c r="BO225" s="805">
        <f t="shared" ref="BO225:BO227" si="338">BN225</f>
        <v>0.44311377245508982</v>
      </c>
      <c r="BP225" s="104">
        <f>BO225</f>
        <v>0.44311377245508982</v>
      </c>
      <c r="BQ225" s="104"/>
      <c r="BR225" s="104"/>
      <c r="BS225" s="104"/>
      <c r="BT225" s="104"/>
      <c r="BU225" s="104"/>
    </row>
    <row r="226" spans="1:75">
      <c r="A226" s="28" t="s">
        <v>2195</v>
      </c>
      <c r="BD226" s="104">
        <f>'SVF1'!AO5</f>
        <v>0.3127962085308057</v>
      </c>
      <c r="BE226" s="104">
        <f>'SVF1'!AP5</f>
        <v>0.32330827067669171</v>
      </c>
      <c r="BF226" s="104">
        <f>'SVF1'!AQ5</f>
        <v>0.32330827067669171</v>
      </c>
      <c r="BG226" s="104">
        <f>'SVF1'!AR5</f>
        <v>0.30442583732057416</v>
      </c>
      <c r="BH226" s="104">
        <f>'SVF1'!AS5</f>
        <v>0.26025056947608199</v>
      </c>
      <c r="BI226" s="104">
        <f>'SVF1'!AT5</f>
        <v>0.25237529691211402</v>
      </c>
      <c r="BJ226" s="104">
        <f>'SVF1'!AU5</f>
        <v>0.24676674364896073</v>
      </c>
      <c r="BK226" s="104">
        <f>'SVF1'!AV5</f>
        <v>0.25369515011547344</v>
      </c>
      <c r="BL226" s="104">
        <f>'SVF1'!AW5</f>
        <v>0.24967105263157896</v>
      </c>
      <c r="BM226" s="104">
        <f>'SVF1'!AX5</f>
        <v>0.23073852295409181</v>
      </c>
      <c r="BN226" s="805">
        <f t="shared" si="337"/>
        <v>0.23073852295409181</v>
      </c>
      <c r="BO226" s="805">
        <f t="shared" si="338"/>
        <v>0.23073852295409181</v>
      </c>
      <c r="BP226" s="104">
        <f>BO226</f>
        <v>0.23073852295409181</v>
      </c>
      <c r="BQ226" s="104"/>
      <c r="BR226" s="104"/>
      <c r="BS226" s="104"/>
      <c r="BT226" s="104"/>
      <c r="BU226" s="104"/>
    </row>
    <row r="227" spans="1:75">
      <c r="A227" s="28" t="s">
        <v>1079</v>
      </c>
      <c r="BD227" s="104">
        <f>'SVF1'!AO6</f>
        <v>0.26066350710900466</v>
      </c>
      <c r="BE227" s="104">
        <f>'SVF1'!AP6</f>
        <v>0.27568922305764421</v>
      </c>
      <c r="BF227" s="104">
        <f>'SVF1'!AQ6</f>
        <v>0.27568922305764421</v>
      </c>
      <c r="BG227" s="104">
        <f>'SVF1'!AR6</f>
        <v>0.29605263157894735</v>
      </c>
      <c r="BH227" s="104">
        <f>'SVF1'!AS6</f>
        <v>0.28189066059225509</v>
      </c>
      <c r="BI227" s="104">
        <f>'SVF1'!AT6</f>
        <v>0.2939429928741093</v>
      </c>
      <c r="BJ227" s="104">
        <f>'SVF1'!AU6</f>
        <v>0.31443418013856816</v>
      </c>
      <c r="BK227" s="104">
        <f>'SVF1'!AV6</f>
        <v>0.31443418013856816</v>
      </c>
      <c r="BL227" s="104">
        <f>'SVF1'!AW6</f>
        <v>0.29857456140350869</v>
      </c>
      <c r="BM227" s="104">
        <f>'SVF1'!AX6</f>
        <v>0.32614770459081832</v>
      </c>
      <c r="BN227" s="805">
        <f t="shared" si="337"/>
        <v>0.32614770459081832</v>
      </c>
      <c r="BO227" s="805">
        <f t="shared" si="338"/>
        <v>0.32614770459081832</v>
      </c>
      <c r="BP227" s="104">
        <f>BO227</f>
        <v>0.32614770459081832</v>
      </c>
      <c r="BQ227" s="104"/>
      <c r="BR227" s="104"/>
      <c r="BS227" s="104"/>
      <c r="BT227" s="104"/>
      <c r="BU227" s="104"/>
    </row>
    <row r="229" spans="1:75">
      <c r="A229" s="5" t="s">
        <v>2192</v>
      </c>
      <c r="BD229" s="24">
        <f t="shared" ref="BD229:BG230" si="339">BD233*BD$231</f>
        <v>4.7959345836096423</v>
      </c>
      <c r="BE229" s="24">
        <f t="shared" si="339"/>
        <v>4.3894141999430545</v>
      </c>
      <c r="BF229" s="24">
        <f t="shared" si="339"/>
        <v>4.3894141999430545</v>
      </c>
      <c r="BG229" s="24">
        <f t="shared" si="339"/>
        <v>3.1882729837735324</v>
      </c>
      <c r="BH229" s="24">
        <f t="shared" ref="BH229:BK229" si="340">BH233*BH$231</f>
        <v>3.9342774093333315</v>
      </c>
      <c r="BI229" s="24">
        <f t="shared" si="340"/>
        <v>4.7345264578637947</v>
      </c>
      <c r="BJ229" s="24">
        <f t="shared" si="340"/>
        <v>3.6361145525368044</v>
      </c>
      <c r="BK229" s="24">
        <f t="shared" si="340"/>
        <v>3.6361145525368044</v>
      </c>
      <c r="BL229" s="24">
        <f t="shared" ref="BL229:BN229" si="341">BL233*BL$231</f>
        <v>3.0456130922030167</v>
      </c>
      <c r="BM229" s="24">
        <f t="shared" si="341"/>
        <v>5.5618199220849016</v>
      </c>
      <c r="BN229" s="24">
        <f t="shared" si="341"/>
        <v>5.5500070792880258</v>
      </c>
      <c r="BO229" s="24">
        <f>BO233*BO$231</f>
        <v>5.4340000000000002</v>
      </c>
      <c r="BP229" s="24">
        <f>BO229</f>
        <v>5.4340000000000002</v>
      </c>
      <c r="BQ229" s="24"/>
      <c r="BR229" s="24"/>
      <c r="BS229" s="24"/>
      <c r="BT229" s="24"/>
      <c r="BU229" s="24"/>
    </row>
    <row r="230" spans="1:75">
      <c r="A230" s="5" t="s">
        <v>2969</v>
      </c>
      <c r="BD230" s="24">
        <f t="shared" si="339"/>
        <v>28.012617908810864</v>
      </c>
      <c r="BE230" s="24">
        <f t="shared" si="339"/>
        <v>28.421456944631281</v>
      </c>
      <c r="BF230" s="24">
        <f t="shared" si="339"/>
        <v>28.421456944631281</v>
      </c>
      <c r="BG230" s="24">
        <f t="shared" si="339"/>
        <v>27.375171481365847</v>
      </c>
      <c r="BH230" s="24">
        <f t="shared" ref="BH230:BK230" si="342">BH234*BH$231</f>
        <v>27.430656381740729</v>
      </c>
      <c r="BI230" s="24">
        <f t="shared" si="342"/>
        <v>26.755579750253542</v>
      </c>
      <c r="BJ230" s="24">
        <f t="shared" si="342"/>
        <v>28.325339382433015</v>
      </c>
      <c r="BK230" s="24">
        <f t="shared" si="342"/>
        <v>28.325339382433015</v>
      </c>
      <c r="BL230" s="24">
        <f t="shared" ref="BL230:BO230" si="343">BL234*BL$231</f>
        <v>29.811120506006279</v>
      </c>
      <c r="BM230" s="24">
        <f t="shared" si="343"/>
        <v>29.565463796346059</v>
      </c>
      <c r="BN230" s="24">
        <f t="shared" si="343"/>
        <v>29.502669210952138</v>
      </c>
      <c r="BO230" s="24">
        <f t="shared" si="343"/>
        <v>28.885999999999999</v>
      </c>
      <c r="BP230" s="24">
        <f>BO230</f>
        <v>28.885999999999999</v>
      </c>
      <c r="BQ230" s="24"/>
      <c r="BR230" s="24"/>
      <c r="BS230" s="24"/>
      <c r="BT230" s="24"/>
      <c r="BU230" s="24"/>
    </row>
    <row r="231" spans="1:75">
      <c r="A231" s="9" t="s">
        <v>2963</v>
      </c>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f>BD154</f>
        <v>32.808552492420503</v>
      </c>
      <c r="BE231" s="30">
        <f>BE154</f>
        <v>32.810871144574335</v>
      </c>
      <c r="BF231" s="30">
        <f>BF154</f>
        <v>32.810871144574335</v>
      </c>
      <c r="BG231" s="807">
        <f t="shared" ref="BG231:BO231" si="344">BG153</f>
        <v>30.56344446513938</v>
      </c>
      <c r="BH231" s="807">
        <f t="shared" si="344"/>
        <v>31.364933791074058</v>
      </c>
      <c r="BI231" s="807">
        <f t="shared" si="344"/>
        <v>31.490106208117336</v>
      </c>
      <c r="BJ231" s="807">
        <f t="shared" si="344"/>
        <v>31.961453934969818</v>
      </c>
      <c r="BK231" s="807">
        <f t="shared" si="344"/>
        <v>31.961453934969818</v>
      </c>
      <c r="BL231" s="807">
        <f t="shared" si="344"/>
        <v>32.856733598209296</v>
      </c>
      <c r="BM231" s="807">
        <f t="shared" si="344"/>
        <v>35.127283718430959</v>
      </c>
      <c r="BN231" s="807">
        <f t="shared" si="344"/>
        <v>35.052676290240164</v>
      </c>
      <c r="BO231" s="807">
        <f t="shared" si="344"/>
        <v>34.32</v>
      </c>
      <c r="BP231" s="30">
        <f>BO231</f>
        <v>34.32</v>
      </c>
      <c r="BQ231" s="24"/>
      <c r="BR231" s="24"/>
      <c r="BS231" s="24"/>
      <c r="BT231" s="24"/>
      <c r="BU231" s="24"/>
    </row>
    <row r="232" spans="1:75">
      <c r="BG232" s="809" t="s">
        <v>2968</v>
      </c>
      <c r="BH232" s="618"/>
      <c r="BM232" s="618"/>
    </row>
    <row r="233" spans="1:75">
      <c r="A233" s="28" t="s">
        <v>2192</v>
      </c>
      <c r="BD233" s="104">
        <f>'SVF2'!AO4</f>
        <v>0.1461794019933555</v>
      </c>
      <c r="BE233" s="104">
        <f>'SVF2'!AP4</f>
        <v>0.13377926421404682</v>
      </c>
      <c r="BF233" s="104">
        <f>'SVF2'!AQ4</f>
        <v>0.13377926421404682</v>
      </c>
      <c r="BG233" s="808">
        <f>'SVF2'!AR7</f>
        <v>0.10431654676258993</v>
      </c>
      <c r="BH233" s="808">
        <f>'SVF2'!AS7</f>
        <v>0.12543554006968641</v>
      </c>
      <c r="BI233" s="808">
        <f>'SVF2'!AT7</f>
        <v>0.15034965034965034</v>
      </c>
      <c r="BJ233" s="808">
        <f>'SVF2'!AU7</f>
        <v>0.11376561779495399</v>
      </c>
      <c r="BK233" s="808">
        <f>'SVF2'!AV7</f>
        <v>0.11376561779495399</v>
      </c>
      <c r="BL233" s="808">
        <f>'SVF2'!AW7</f>
        <v>9.2693726937269377E-2</v>
      </c>
      <c r="BM233" s="808">
        <f>'SVF2'!AX7</f>
        <v>0.15833333333333333</v>
      </c>
      <c r="BN233" s="805">
        <f t="shared" ref="BN233:BN234" si="345">BM233</f>
        <v>0.15833333333333333</v>
      </c>
      <c r="BO233" s="805">
        <f t="shared" ref="BO233:BO234" si="346">BN233</f>
        <v>0.15833333333333333</v>
      </c>
      <c r="BP233" s="104">
        <f>BO233</f>
        <v>0.15833333333333333</v>
      </c>
      <c r="BQ233" s="104"/>
      <c r="BR233" s="104"/>
      <c r="BS233" s="104"/>
      <c r="BT233" s="104"/>
      <c r="BU233" s="104"/>
    </row>
    <row r="234" spans="1:75">
      <c r="A234" s="28" t="s">
        <v>2193</v>
      </c>
      <c r="BD234" s="104">
        <f>'SVF2'!AO5</f>
        <v>0.85382059800664456</v>
      </c>
      <c r="BE234" s="104">
        <f>'SVF2'!AP5</f>
        <v>0.86622073578595316</v>
      </c>
      <c r="BF234" s="104">
        <f>'SVF2'!AQ5</f>
        <v>0.86622073578595316</v>
      </c>
      <c r="BG234" s="808">
        <f>'SVF2'!AR8</f>
        <v>0.89568345323741005</v>
      </c>
      <c r="BH234" s="808">
        <f>'SVF2'!AS8</f>
        <v>0.87456445993031362</v>
      </c>
      <c r="BI234" s="808">
        <f>'SVF2'!AT8</f>
        <v>0.84965034965034969</v>
      </c>
      <c r="BJ234" s="808">
        <f>'SVF2'!AU8</f>
        <v>0.88623438220504602</v>
      </c>
      <c r="BK234" s="808">
        <f>'SVF2'!AV8</f>
        <v>0.88623438220504602</v>
      </c>
      <c r="BL234" s="808">
        <f>'SVF2'!AW8</f>
        <v>0.90730627306273059</v>
      </c>
      <c r="BM234" s="808">
        <f>'SVF2'!AX8</f>
        <v>0.84166666666666667</v>
      </c>
      <c r="BN234" s="805">
        <f t="shared" si="345"/>
        <v>0.84166666666666667</v>
      </c>
      <c r="BO234" s="805">
        <f t="shared" si="346"/>
        <v>0.84166666666666667</v>
      </c>
      <c r="BP234" s="104">
        <f>BO234</f>
        <v>0.84166666666666667</v>
      </c>
      <c r="BQ234" s="104"/>
      <c r="BR234" s="104"/>
      <c r="BS234" s="104"/>
      <c r="BT234" s="104"/>
      <c r="BU234" s="104"/>
    </row>
    <row r="236" spans="1:75" s="44" customFormat="1">
      <c r="A236" s="49" t="s">
        <v>2211</v>
      </c>
      <c r="BW236" s="46"/>
    </row>
    <row r="238" spans="1:75">
      <c r="A238" s="1" t="s">
        <v>943</v>
      </c>
    </row>
    <row r="239" spans="1:75">
      <c r="A239" s="5" t="s">
        <v>704</v>
      </c>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f t="shared" ref="BD239:BE241" si="347">BD194-BD96</f>
        <v>7.0506944934075999E-2</v>
      </c>
      <c r="BE239" s="24">
        <f t="shared" si="347"/>
        <v>6.6045835810052175E-2</v>
      </c>
      <c r="BF239" s="24">
        <f>BE239</f>
        <v>6.6045835810052175E-2</v>
      </c>
      <c r="BG239" s="24">
        <f t="shared" ref="BG239:BJ245" si="348">BG194-BG96</f>
        <v>6.2084807847519713E-2</v>
      </c>
      <c r="BH239" s="24">
        <f t="shared" si="348"/>
        <v>7.0062355496391795E-2</v>
      </c>
      <c r="BI239" s="24">
        <f t="shared" si="348"/>
        <v>6.3219117461120244E-2</v>
      </c>
      <c r="BJ239" s="24">
        <f t="shared" si="348"/>
        <v>6.6880684858212941E-2</v>
      </c>
      <c r="BK239" s="24">
        <f t="shared" ref="BK239:BK245" si="349">BJ239</f>
        <v>6.6880684858212941E-2</v>
      </c>
      <c r="BL239" s="24">
        <f t="shared" ref="BL239:BO245" si="350">BL194-BL96</f>
        <v>6.9056004419584288E-2</v>
      </c>
      <c r="BM239" s="24">
        <f t="shared" si="350"/>
        <v>0</v>
      </c>
      <c r="BN239" s="24">
        <f t="shared" si="350"/>
        <v>0</v>
      </c>
      <c r="BO239" s="24">
        <f t="shared" si="350"/>
        <v>0</v>
      </c>
      <c r="BP239" s="24">
        <f t="shared" ref="BP239:BP245" si="351">BO239</f>
        <v>0</v>
      </c>
      <c r="BQ239" s="24"/>
      <c r="BR239" s="24"/>
      <c r="BS239" s="24"/>
      <c r="BT239" s="24"/>
      <c r="BU239" s="24"/>
    </row>
    <row r="240" spans="1:75">
      <c r="A240" s="5" t="s">
        <v>85</v>
      </c>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f t="shared" si="347"/>
        <v>16.253542973982935</v>
      </c>
      <c r="BE240" s="24">
        <f t="shared" si="347"/>
        <v>17.245756555049205</v>
      </c>
      <c r="BF240" s="24">
        <f t="shared" ref="BF240:BF250" si="352">BE240</f>
        <v>17.245756555049205</v>
      </c>
      <c r="BG240" s="24">
        <f t="shared" si="348"/>
        <v>16.422269820574908</v>
      </c>
      <c r="BH240" s="24">
        <f t="shared" si="348"/>
        <v>17.698276466054789</v>
      </c>
      <c r="BI240" s="24">
        <f t="shared" si="348"/>
        <v>17.312744974080161</v>
      </c>
      <c r="BJ240" s="24">
        <f t="shared" si="348"/>
        <v>17.33614232209738</v>
      </c>
      <c r="BK240" s="24">
        <f t="shared" si="349"/>
        <v>17.33614232209738</v>
      </c>
      <c r="BL240" s="24">
        <f t="shared" si="350"/>
        <v>19.543021890753401</v>
      </c>
      <c r="BM240" s="24">
        <f t="shared" si="350"/>
        <v>18.437332079527135</v>
      </c>
      <c r="BN240" s="24">
        <f t="shared" si="350"/>
        <v>14.707460398569239</v>
      </c>
      <c r="BO240" s="24">
        <f t="shared" si="350"/>
        <v>14.486043258351456</v>
      </c>
      <c r="BP240" s="24">
        <f t="shared" si="351"/>
        <v>14.486043258351456</v>
      </c>
      <c r="BQ240" s="24"/>
      <c r="BR240" s="24"/>
      <c r="BS240" s="24"/>
      <c r="BT240" s="24"/>
      <c r="BU240" s="24"/>
    </row>
    <row r="241" spans="1:75">
      <c r="A241" s="34" t="s">
        <v>84</v>
      </c>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f t="shared" si="347"/>
        <v>21.142619333004298</v>
      </c>
      <c r="BE241" s="24">
        <f t="shared" si="347"/>
        <v>20.871834984136431</v>
      </c>
      <c r="BF241" s="24">
        <f t="shared" si="352"/>
        <v>20.871834984136431</v>
      </c>
      <c r="BG241" s="24">
        <f t="shared" si="348"/>
        <v>22.233790136549125</v>
      </c>
      <c r="BH241" s="24">
        <f t="shared" si="348"/>
        <v>23.88367545630679</v>
      </c>
      <c r="BI241" s="24">
        <f t="shared" si="348"/>
        <v>23.359343797524001</v>
      </c>
      <c r="BJ241" s="24">
        <f t="shared" si="348"/>
        <v>23.083428651392499</v>
      </c>
      <c r="BK241" s="24">
        <f t="shared" si="349"/>
        <v>23.083428651392499</v>
      </c>
      <c r="BL241" s="24">
        <f t="shared" si="350"/>
        <v>24.584620760882956</v>
      </c>
      <c r="BM241" s="24">
        <f t="shared" si="350"/>
        <v>25.104962309668906</v>
      </c>
      <c r="BN241" s="24">
        <f t="shared" si="350"/>
        <v>24.066569194569471</v>
      </c>
      <c r="BO241" s="24">
        <f t="shared" si="350"/>
        <v>23.414681437125751</v>
      </c>
      <c r="BP241" s="24">
        <f t="shared" si="351"/>
        <v>23.414681437125751</v>
      </c>
      <c r="BQ241" s="24"/>
      <c r="BR241" s="24"/>
      <c r="BS241" s="24"/>
      <c r="BT241" s="24"/>
      <c r="BU241" s="24"/>
    </row>
    <row r="242" spans="1:75" s="26" customFormat="1">
      <c r="A242" s="806" t="s">
        <v>2964</v>
      </c>
      <c r="AC242" s="287"/>
      <c r="AD242" s="287"/>
      <c r="AE242" s="287"/>
      <c r="AF242" s="287"/>
      <c r="AG242" s="287"/>
      <c r="AH242" s="287"/>
      <c r="AI242" s="287"/>
      <c r="AJ242" s="287"/>
      <c r="AK242" s="287"/>
      <c r="AL242" s="287"/>
      <c r="AM242" s="287"/>
      <c r="AN242" s="287"/>
      <c r="AO242" s="287"/>
      <c r="AP242" s="287"/>
      <c r="AQ242" s="287"/>
      <c r="AR242" s="287"/>
      <c r="AS242" s="287"/>
      <c r="AT242" s="287"/>
      <c r="AU242" s="287"/>
      <c r="AV242" s="287"/>
      <c r="AW242" s="287"/>
      <c r="AX242" s="287"/>
      <c r="AY242" s="287"/>
      <c r="AZ242" s="287"/>
      <c r="BA242" s="287"/>
      <c r="BB242" s="287"/>
      <c r="BC242" s="287"/>
      <c r="BD242" s="287"/>
      <c r="BE242" s="287"/>
      <c r="BF242" s="287"/>
      <c r="BG242" s="287">
        <f t="shared" si="348"/>
        <v>0</v>
      </c>
      <c r="BH242" s="287">
        <f t="shared" si="348"/>
        <v>0.5</v>
      </c>
      <c r="BI242" s="287">
        <f t="shared" si="348"/>
        <v>0.5</v>
      </c>
      <c r="BJ242" s="287">
        <f t="shared" si="348"/>
        <v>3.2929936305732488</v>
      </c>
      <c r="BK242" s="287">
        <f t="shared" si="349"/>
        <v>3.2929936305732488</v>
      </c>
      <c r="BL242" s="287">
        <f t="shared" si="350"/>
        <v>10.792993630573248</v>
      </c>
      <c r="BM242" s="287">
        <f t="shared" si="350"/>
        <v>24.7</v>
      </c>
      <c r="BN242" s="287">
        <f t="shared" si="350"/>
        <v>54.4</v>
      </c>
      <c r="BO242" s="287">
        <f t="shared" si="350"/>
        <v>54.4</v>
      </c>
      <c r="BP242" s="287">
        <f t="shared" si="351"/>
        <v>54.4</v>
      </c>
      <c r="BQ242" s="287"/>
      <c r="BR242" s="287"/>
      <c r="BS242" s="287"/>
      <c r="BT242" s="287"/>
      <c r="BU242" s="287"/>
      <c r="BW242" s="328"/>
    </row>
    <row r="243" spans="1:75" s="26" customFormat="1">
      <c r="A243" s="806" t="s">
        <v>2963</v>
      </c>
      <c r="AC243" s="287"/>
      <c r="AD243" s="287"/>
      <c r="AE243" s="287"/>
      <c r="AF243" s="287"/>
      <c r="AG243" s="287"/>
      <c r="AH243" s="287"/>
      <c r="AI243" s="287"/>
      <c r="AJ243" s="287"/>
      <c r="AK243" s="287"/>
      <c r="AL243" s="287"/>
      <c r="AM243" s="287"/>
      <c r="AN243" s="287"/>
      <c r="AO243" s="287"/>
      <c r="AP243" s="287"/>
      <c r="AQ243" s="287"/>
      <c r="AR243" s="287"/>
      <c r="AS243" s="287"/>
      <c r="AT243" s="287"/>
      <c r="AU243" s="287"/>
      <c r="AV243" s="287"/>
      <c r="AW243" s="287"/>
      <c r="AX243" s="287"/>
      <c r="AY243" s="287"/>
      <c r="AZ243" s="287"/>
      <c r="BA243" s="287"/>
      <c r="BB243" s="287"/>
      <c r="BC243" s="287"/>
      <c r="BD243" s="287"/>
      <c r="BE243" s="287"/>
      <c r="BF243" s="287"/>
      <c r="BG243" s="287">
        <f t="shared" si="348"/>
        <v>8.1252007657424059</v>
      </c>
      <c r="BH243" s="287">
        <f t="shared" si="348"/>
        <v>8.8365102333759982</v>
      </c>
      <c r="BI243" s="287">
        <f t="shared" si="348"/>
        <v>9.4386236910769057</v>
      </c>
      <c r="BJ243" s="287">
        <f t="shared" si="348"/>
        <v>9.0856984776836835</v>
      </c>
      <c r="BK243" s="287">
        <f t="shared" si="349"/>
        <v>9.0856984776836835</v>
      </c>
      <c r="BL243" s="287">
        <f t="shared" si="350"/>
        <v>9.2435322564484821</v>
      </c>
      <c r="BM243" s="287">
        <f t="shared" si="350"/>
        <v>10.137790502418058</v>
      </c>
      <c r="BN243" s="287">
        <f t="shared" si="350"/>
        <v>9.1218142969681466</v>
      </c>
      <c r="BO243" s="287">
        <f t="shared" si="350"/>
        <v>8.821279999999998</v>
      </c>
      <c r="BP243" s="287">
        <f t="shared" si="351"/>
        <v>8.821279999999998</v>
      </c>
      <c r="BQ243" s="287"/>
      <c r="BR243" s="287"/>
      <c r="BS243" s="287"/>
      <c r="BT243" s="287"/>
      <c r="BU243" s="287"/>
      <c r="BW243" s="328"/>
    </row>
    <row r="244" spans="1:75">
      <c r="A244" s="34" t="s">
        <v>83</v>
      </c>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f>BD199-BD101</f>
        <v>9.7020310162627457</v>
      </c>
      <c r="BE244" s="24">
        <f>BE199-BE101</f>
        <v>9.4914711451486458</v>
      </c>
      <c r="BF244" s="24">
        <f t="shared" si="352"/>
        <v>9.4914711451486458</v>
      </c>
      <c r="BG244" s="24">
        <f t="shared" si="348"/>
        <v>8.1252007657424059</v>
      </c>
      <c r="BH244" s="24">
        <f t="shared" si="348"/>
        <v>9.3365102333759982</v>
      </c>
      <c r="BI244" s="24">
        <f t="shared" si="348"/>
        <v>9.9386236910769057</v>
      </c>
      <c r="BJ244" s="24">
        <f t="shared" si="348"/>
        <v>12.378692108256933</v>
      </c>
      <c r="BK244" s="24">
        <f t="shared" si="349"/>
        <v>12.378692108256933</v>
      </c>
      <c r="BL244" s="24">
        <f t="shared" si="350"/>
        <v>20.036525887021728</v>
      </c>
      <c r="BM244" s="24">
        <f t="shared" si="350"/>
        <v>34.837790502418059</v>
      </c>
      <c r="BN244" s="24">
        <f t="shared" si="350"/>
        <v>63.521814296968145</v>
      </c>
      <c r="BO244" s="24">
        <f t="shared" si="350"/>
        <v>63.221279999999993</v>
      </c>
      <c r="BP244" s="24">
        <f t="shared" si="351"/>
        <v>63.221279999999993</v>
      </c>
      <c r="BQ244" s="24"/>
      <c r="BR244" s="24"/>
      <c r="BS244" s="24"/>
      <c r="BT244" s="24"/>
      <c r="BU244" s="24"/>
    </row>
    <row r="245" spans="1:75">
      <c r="A245" s="34" t="s">
        <v>944</v>
      </c>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f>BD200-BD102</f>
        <v>3.2080659945004579</v>
      </c>
      <c r="BE245" s="24">
        <f>BE200-BE102</f>
        <v>3.2032230367875307</v>
      </c>
      <c r="BF245" s="24">
        <f t="shared" si="352"/>
        <v>3.2032230367875307</v>
      </c>
      <c r="BG245" s="24">
        <f t="shared" si="348"/>
        <v>3.1663252002235054</v>
      </c>
      <c r="BH245" s="24">
        <f t="shared" si="348"/>
        <v>3.2929307083304145</v>
      </c>
      <c r="BI245" s="24">
        <f t="shared" si="348"/>
        <v>3.2557845492476924</v>
      </c>
      <c r="BJ245" s="24">
        <f t="shared" si="348"/>
        <v>3.1768325307651146</v>
      </c>
      <c r="BK245" s="24">
        <f t="shared" si="349"/>
        <v>3.1768325307651146</v>
      </c>
      <c r="BL245" s="24">
        <f t="shared" si="350"/>
        <v>3.4182722187694221</v>
      </c>
      <c r="BM245" s="24">
        <f t="shared" si="350"/>
        <v>3.4927458355722729</v>
      </c>
      <c r="BN245" s="24">
        <f t="shared" si="350"/>
        <v>3.321410321921308</v>
      </c>
      <c r="BO245" s="24">
        <f t="shared" si="350"/>
        <v>3.3864999999999998</v>
      </c>
      <c r="BP245" s="24">
        <f t="shared" si="351"/>
        <v>3.3864999999999998</v>
      </c>
      <c r="BQ245" s="24"/>
      <c r="BR245" s="24"/>
      <c r="BS245" s="24"/>
      <c r="BT245" s="24"/>
      <c r="BU245" s="24"/>
    </row>
    <row r="246" spans="1:75">
      <c r="A246" s="5" t="s">
        <v>945</v>
      </c>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f>BD241+BD244+BD245</f>
        <v>34.0527163437675</v>
      </c>
      <c r="BE246" s="24">
        <f>BE241+BE244+BE245</f>
        <v>33.566529166072613</v>
      </c>
      <c r="BF246" s="24">
        <f t="shared" si="352"/>
        <v>33.566529166072613</v>
      </c>
      <c r="BG246" s="24">
        <f t="shared" ref="BG246:BJ246" si="353">BG241+BG244+BG245</f>
        <v>33.525316102515035</v>
      </c>
      <c r="BH246" s="24">
        <f t="shared" si="353"/>
        <v>36.513116398013203</v>
      </c>
      <c r="BI246" s="24">
        <f t="shared" si="353"/>
        <v>36.553752037848597</v>
      </c>
      <c r="BJ246" s="24">
        <f t="shared" si="353"/>
        <v>38.638953290414548</v>
      </c>
      <c r="BK246" s="24">
        <f t="shared" ref="BK246:BK251" si="354">BJ246</f>
        <v>38.638953290414548</v>
      </c>
      <c r="BL246" s="24">
        <f t="shared" ref="BL246:BM246" si="355">BL241+BL244+BL245</f>
        <v>48.039418866674104</v>
      </c>
      <c r="BM246" s="24">
        <f t="shared" si="355"/>
        <v>63.435498647659237</v>
      </c>
      <c r="BN246" s="24">
        <f t="shared" ref="BN246" si="356">BN241+BN244+BN245</f>
        <v>90.909793813458919</v>
      </c>
      <c r="BO246" s="24">
        <f t="shared" ref="BO246" si="357">BO241+BO244+BO245</f>
        <v>90.022461437125742</v>
      </c>
      <c r="BP246" s="24">
        <f t="shared" ref="BP246:BP252" si="358">BO246</f>
        <v>90.022461437125742</v>
      </c>
      <c r="BQ246" s="24"/>
      <c r="BR246" s="24"/>
      <c r="BS246" s="24"/>
      <c r="BT246" s="24"/>
      <c r="BU246" s="24"/>
    </row>
    <row r="247" spans="1:75">
      <c r="A247" s="5" t="s">
        <v>87</v>
      </c>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f t="shared" ref="BD247:BE250" si="359">BD202-BD104</f>
        <v>11.422125079320312</v>
      </c>
      <c r="BE247" s="24">
        <f t="shared" si="359"/>
        <v>11.624067102569184</v>
      </c>
      <c r="BF247" s="24">
        <f t="shared" si="352"/>
        <v>11.624067102569184</v>
      </c>
      <c r="BG247" s="24">
        <f t="shared" ref="BG247:BJ250" si="360">BG202-BG104</f>
        <v>15.024523499099772</v>
      </c>
      <c r="BH247" s="24">
        <f t="shared" si="360"/>
        <v>17.58565122959434</v>
      </c>
      <c r="BI247" s="24">
        <f t="shared" si="360"/>
        <v>18.839297003413833</v>
      </c>
      <c r="BJ247" s="24">
        <f t="shared" si="360"/>
        <v>22.739432851792401</v>
      </c>
      <c r="BK247" s="24">
        <f t="shared" si="354"/>
        <v>22.739432851792401</v>
      </c>
      <c r="BL247" s="24">
        <f t="shared" ref="BL247:BO250" si="361">BL202-BL104</f>
        <v>15.192320972308542</v>
      </c>
      <c r="BM247" s="24">
        <f t="shared" si="361"/>
        <v>10.814078452444923</v>
      </c>
      <c r="BN247" s="24">
        <f t="shared" si="361"/>
        <v>5.8124680633622887</v>
      </c>
      <c r="BO247" s="24">
        <f t="shared" si="361"/>
        <v>3.4577600000000013</v>
      </c>
      <c r="BP247" s="24">
        <f t="shared" si="358"/>
        <v>3.4577600000000013</v>
      </c>
      <c r="BQ247" s="24"/>
      <c r="BR247" s="24"/>
      <c r="BS247" s="24"/>
      <c r="BT247" s="24"/>
      <c r="BU247" s="24"/>
    </row>
    <row r="248" spans="1:75">
      <c r="A248" s="5" t="s">
        <v>88</v>
      </c>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f t="shared" si="359"/>
        <v>2.044701403088204</v>
      </c>
      <c r="BE248" s="24">
        <f t="shared" si="359"/>
        <v>2.1795125817317214</v>
      </c>
      <c r="BF248" s="24">
        <f t="shared" si="352"/>
        <v>2.1795125817317214</v>
      </c>
      <c r="BG248" s="24">
        <f t="shared" si="360"/>
        <v>2.2971378903582296</v>
      </c>
      <c r="BH248" s="24">
        <f t="shared" si="360"/>
        <v>2.5923071533664963</v>
      </c>
      <c r="BI248" s="24">
        <f t="shared" si="360"/>
        <v>2.4023264635225696</v>
      </c>
      <c r="BJ248" s="24">
        <f t="shared" si="360"/>
        <v>2.7421080791867309</v>
      </c>
      <c r="BK248" s="24">
        <f t="shared" si="354"/>
        <v>2.7421080791867309</v>
      </c>
      <c r="BL248" s="24">
        <f t="shared" si="361"/>
        <v>2.4169601546854498</v>
      </c>
      <c r="BM248" s="24">
        <f t="shared" si="361"/>
        <v>0.33584094572810319</v>
      </c>
      <c r="BN248" s="24">
        <f t="shared" si="361"/>
        <v>0</v>
      </c>
      <c r="BO248" s="24">
        <f t="shared" si="361"/>
        <v>0</v>
      </c>
      <c r="BP248" s="24">
        <f t="shared" si="358"/>
        <v>0</v>
      </c>
      <c r="BQ248" s="24"/>
      <c r="BR248" s="24"/>
      <c r="BS248" s="24"/>
      <c r="BT248" s="24"/>
      <c r="BU248" s="24"/>
    </row>
    <row r="249" spans="1:75">
      <c r="A249" s="5" t="s">
        <v>946</v>
      </c>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f t="shared" si="359"/>
        <v>41.933258125925406</v>
      </c>
      <c r="BE249" s="24">
        <f t="shared" si="359"/>
        <v>55.935476182787838</v>
      </c>
      <c r="BF249" s="24">
        <f t="shared" si="352"/>
        <v>55.935476182787838</v>
      </c>
      <c r="BG249" s="24">
        <f t="shared" si="360"/>
        <v>55.951879561209992</v>
      </c>
      <c r="BH249" s="24">
        <f t="shared" si="360"/>
        <v>71.679709730206156</v>
      </c>
      <c r="BI249" s="24">
        <f t="shared" si="360"/>
        <v>71.69163703321783</v>
      </c>
      <c r="BJ249" s="24">
        <f t="shared" si="360"/>
        <v>83.241697961992259</v>
      </c>
      <c r="BK249" s="24">
        <f t="shared" si="354"/>
        <v>83.241697961992259</v>
      </c>
      <c r="BL249" s="24">
        <f t="shared" si="361"/>
        <v>82.129622967130629</v>
      </c>
      <c r="BM249" s="24">
        <f t="shared" si="361"/>
        <v>87.059304331816051</v>
      </c>
      <c r="BN249" s="24">
        <f t="shared" si="361"/>
        <v>97.438291324947329</v>
      </c>
      <c r="BO249" s="24">
        <f t="shared" si="361"/>
        <v>97.438291324947329</v>
      </c>
      <c r="BP249" s="24">
        <f t="shared" si="358"/>
        <v>97.438291324947329</v>
      </c>
      <c r="BQ249" s="24"/>
      <c r="BR249" s="24"/>
      <c r="BS249" s="24"/>
      <c r="BT249" s="24"/>
      <c r="BU249" s="24"/>
    </row>
    <row r="250" spans="1:75">
      <c r="A250" s="5" t="s">
        <v>947</v>
      </c>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f t="shared" si="359"/>
        <v>11.231756327998308</v>
      </c>
      <c r="BE250" s="24">
        <f t="shared" si="359"/>
        <v>11.234396671289876</v>
      </c>
      <c r="BF250" s="24">
        <f t="shared" si="352"/>
        <v>11.234396671289876</v>
      </c>
      <c r="BG250" s="24">
        <f t="shared" si="360"/>
        <v>11.17526541255355</v>
      </c>
      <c r="BH250" s="24">
        <f t="shared" si="360"/>
        <v>12.989560709031039</v>
      </c>
      <c r="BI250" s="24">
        <f t="shared" si="360"/>
        <v>11.7777215830067</v>
      </c>
      <c r="BJ250" s="24">
        <f t="shared" si="360"/>
        <v>12.39967897271268</v>
      </c>
      <c r="BK250" s="24">
        <f t="shared" si="354"/>
        <v>12.39967897271268</v>
      </c>
      <c r="BL250" s="24">
        <f t="shared" si="361"/>
        <v>15.724052206339341</v>
      </c>
      <c r="BM250" s="24">
        <f t="shared" si="361"/>
        <v>20.493014508328855</v>
      </c>
      <c r="BN250" s="24">
        <f t="shared" si="361"/>
        <v>23.038732754215637</v>
      </c>
      <c r="BO250" s="24">
        <f t="shared" si="361"/>
        <v>25.155891004956576</v>
      </c>
      <c r="BP250" s="24">
        <f t="shared" si="358"/>
        <v>25.155891004956576</v>
      </c>
      <c r="BQ250" s="24"/>
      <c r="BR250" s="24"/>
      <c r="BS250" s="24"/>
      <c r="BT250" s="24"/>
      <c r="BU250" s="24"/>
    </row>
    <row r="251" spans="1:75">
      <c r="A251" s="358" t="s">
        <v>2214</v>
      </c>
      <c r="B251" s="358"/>
      <c r="C251" s="358"/>
      <c r="D251" s="358"/>
      <c r="E251" s="358"/>
      <c r="F251" s="358"/>
      <c r="G251" s="358"/>
      <c r="H251" s="358"/>
      <c r="I251" s="358"/>
      <c r="J251" s="358"/>
      <c r="K251" s="358"/>
      <c r="L251" s="358"/>
      <c r="M251" s="358"/>
      <c r="N251" s="358"/>
      <c r="O251" s="358"/>
      <c r="P251" s="358"/>
      <c r="Q251" s="358"/>
      <c r="R251" s="358"/>
      <c r="S251" s="358"/>
      <c r="T251" s="358"/>
      <c r="U251" s="358"/>
      <c r="V251" s="358"/>
      <c r="W251" s="358"/>
      <c r="X251" s="358"/>
      <c r="Y251" s="358"/>
      <c r="Z251" s="358"/>
      <c r="AA251" s="358"/>
      <c r="AB251" s="358"/>
      <c r="AC251" s="472"/>
      <c r="AD251" s="472"/>
      <c r="AE251" s="472"/>
      <c r="AF251" s="472"/>
      <c r="AG251" s="472"/>
      <c r="AH251" s="472"/>
      <c r="AI251" s="472"/>
      <c r="AJ251" s="472"/>
      <c r="AK251" s="472"/>
      <c r="AL251" s="472"/>
      <c r="AM251" s="472"/>
      <c r="AN251" s="472"/>
      <c r="AO251" s="472"/>
      <c r="AP251" s="472"/>
      <c r="AQ251" s="472"/>
      <c r="AR251" s="472"/>
      <c r="AS251" s="472"/>
      <c r="AT251" s="472"/>
      <c r="AU251" s="472"/>
      <c r="AV251" s="472"/>
      <c r="AW251" s="472"/>
      <c r="AX251" s="472"/>
      <c r="AY251" s="472"/>
      <c r="AZ251" s="472"/>
      <c r="BA251" s="472"/>
      <c r="BB251" s="472"/>
      <c r="BC251" s="472"/>
      <c r="BD251" s="472">
        <f t="shared" ref="BD251" si="362">SUM(BD239:BD240)+BD246+SUM(BD247:BD250)</f>
        <v>117.00860719901674</v>
      </c>
      <c r="BE251" s="472">
        <f t="shared" ref="BE251:BF251" si="363">SUM(BE239:BE240)+BE246+SUM(BE247:BE250)</f>
        <v>131.85178409531048</v>
      </c>
      <c r="BF251" s="472">
        <f t="shared" si="363"/>
        <v>131.85178409531048</v>
      </c>
      <c r="BG251" s="472">
        <f t="shared" ref="BG251" si="364">SUM(BG239:BG240)+BG246+SUM(BG247:BG250)</f>
        <v>134.45847709415898</v>
      </c>
      <c r="BH251" s="472">
        <f t="shared" ref="BH251:BI251" si="365">SUM(BH239:BH240)+BH246+SUM(BH247:BH250)</f>
        <v>159.12868404176243</v>
      </c>
      <c r="BI251" s="472">
        <f t="shared" si="365"/>
        <v>158.6406982125508</v>
      </c>
      <c r="BJ251" s="472">
        <f t="shared" ref="BJ251" si="366">SUM(BJ239:BJ240)+BJ246+SUM(BJ247:BJ250)</f>
        <v>177.16489416305421</v>
      </c>
      <c r="BK251" s="472">
        <f t="shared" si="354"/>
        <v>177.16489416305421</v>
      </c>
      <c r="BL251" s="472">
        <f t="shared" ref="BL251:BM251" si="367">SUM(BL239:BL240)+BL246+SUM(BL247:BL250)</f>
        <v>183.11445306231104</v>
      </c>
      <c r="BM251" s="472">
        <f t="shared" si="367"/>
        <v>200.5750689655043</v>
      </c>
      <c r="BN251" s="472">
        <f t="shared" ref="BN251:BO251" si="368">SUM(BN239:BN240)+BN246+SUM(BN247:BN250)</f>
        <v>231.90674635455343</v>
      </c>
      <c r="BO251" s="472">
        <f t="shared" si="368"/>
        <v>230.56044702538111</v>
      </c>
      <c r="BP251" s="472">
        <f t="shared" si="358"/>
        <v>230.56044702538111</v>
      </c>
      <c r="BQ251" s="1085"/>
      <c r="BR251" s="1085"/>
      <c r="BS251" s="1085"/>
      <c r="BT251" s="1085"/>
      <c r="BU251" s="1085"/>
    </row>
    <row r="252" spans="1:75">
      <c r="A252" s="44" t="s">
        <v>2434</v>
      </c>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c r="AC252" s="44"/>
      <c r="AD252" s="44"/>
      <c r="AE252" s="44"/>
      <c r="AF252" s="44"/>
      <c r="AG252" s="44"/>
      <c r="AH252" s="44"/>
      <c r="AI252" s="44"/>
      <c r="AJ252" s="44"/>
      <c r="AK252" s="44"/>
      <c r="AL252" s="44"/>
      <c r="AM252" s="44"/>
      <c r="AN252" s="44"/>
      <c r="AO252" s="44"/>
      <c r="AP252" s="44"/>
      <c r="AQ252" s="44"/>
      <c r="AR252" s="44"/>
      <c r="AS252" s="44"/>
      <c r="AT252" s="44"/>
      <c r="AU252" s="44"/>
      <c r="AV252" s="44"/>
      <c r="AW252" s="44"/>
      <c r="AX252" s="44"/>
      <c r="AY252" s="44"/>
      <c r="AZ252" s="44"/>
      <c r="BA252" s="44"/>
      <c r="BB252" s="44"/>
      <c r="BC252" s="44"/>
      <c r="BD252" s="370">
        <f t="shared" ref="BD252:BO252" si="369">BD251/BD66</f>
        <v>0.76405758559100112</v>
      </c>
      <c r="BE252" s="370">
        <f t="shared" si="369"/>
        <v>0.65799863644927359</v>
      </c>
      <c r="BF252" s="370">
        <f t="shared" si="369"/>
        <v>0.65799863644927359</v>
      </c>
      <c r="BG252" s="370">
        <f t="shared" si="369"/>
        <v>0.56605402262300542</v>
      </c>
      <c r="BH252" s="370">
        <f t="shared" si="369"/>
        <v>0.68534813136031225</v>
      </c>
      <c r="BI252" s="370">
        <f t="shared" si="369"/>
        <v>0.74528617889103921</v>
      </c>
      <c r="BJ252" s="370">
        <f t="shared" si="369"/>
        <v>0.84442763708192126</v>
      </c>
      <c r="BK252" s="370">
        <f t="shared" si="369"/>
        <v>0.84442763708192126</v>
      </c>
      <c r="BL252" s="370">
        <f t="shared" si="369"/>
        <v>0.6792214126012619</v>
      </c>
      <c r="BM252" s="370">
        <f t="shared" si="369"/>
        <v>0.74916247535334379</v>
      </c>
      <c r="BN252" s="752">
        <f t="shared" si="369"/>
        <v>0.93143458720546146</v>
      </c>
      <c r="BO252" s="752">
        <f t="shared" si="369"/>
        <v>0.87461844340315609</v>
      </c>
      <c r="BP252" s="752">
        <f t="shared" si="358"/>
        <v>0.87461844340315609</v>
      </c>
      <c r="BQ252" s="752"/>
      <c r="BR252" s="752"/>
      <c r="BS252" s="752"/>
      <c r="BT252" s="752"/>
      <c r="BU252" s="752"/>
    </row>
    <row r="254" spans="1:75">
      <c r="A254" s="5" t="s">
        <v>953</v>
      </c>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f t="shared" ref="BD254:BM254" si="370">BD68</f>
        <v>104.06825072269618</v>
      </c>
      <c r="BE254" s="24">
        <f t="shared" si="370"/>
        <v>98.342249521167687</v>
      </c>
      <c r="BF254" s="24">
        <f t="shared" si="370"/>
        <v>98.342249521167687</v>
      </c>
      <c r="BG254" s="24">
        <f t="shared" si="370"/>
        <v>96.976469857825791</v>
      </c>
      <c r="BH254" s="24">
        <f t="shared" si="370"/>
        <v>108.10621453093253</v>
      </c>
      <c r="BI254" s="24">
        <f t="shared" si="370"/>
        <v>92.489568845618905</v>
      </c>
      <c r="BJ254" s="24">
        <f t="shared" si="370"/>
        <v>96.375066880684855</v>
      </c>
      <c r="BK254" s="24">
        <f t="shared" si="370"/>
        <v>96.375066880684855</v>
      </c>
      <c r="BL254" s="24">
        <f t="shared" si="370"/>
        <v>101.85760651888681</v>
      </c>
      <c r="BM254" s="24">
        <f t="shared" si="370"/>
        <v>96.789360558839334</v>
      </c>
    </row>
    <row r="255" spans="1:75">
      <c r="A255" s="5" t="s">
        <v>954</v>
      </c>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f t="shared" ref="BD255:BM255" si="371">BD69</f>
        <v>33.420291898752026</v>
      </c>
      <c r="BE255" s="24">
        <f t="shared" si="371"/>
        <v>29.852717786143586</v>
      </c>
      <c r="BF255" s="24">
        <f t="shared" si="371"/>
        <v>29.852717786143586</v>
      </c>
      <c r="BG255" s="24">
        <f t="shared" si="371"/>
        <v>31.663252002235055</v>
      </c>
      <c r="BH255" s="24">
        <f t="shared" si="371"/>
        <v>36.152175436138165</v>
      </c>
      <c r="BI255" s="24">
        <f t="shared" si="371"/>
        <v>31.41990137817676</v>
      </c>
      <c r="BJ255" s="24">
        <f t="shared" si="371"/>
        <v>32.704654895666131</v>
      </c>
      <c r="BK255" s="24">
        <f t="shared" si="371"/>
        <v>32.704654895666131</v>
      </c>
      <c r="BL255" s="24">
        <f t="shared" si="371"/>
        <v>37.014018368897176</v>
      </c>
      <c r="BM255" s="24">
        <f t="shared" si="371"/>
        <v>35.666308436324556</v>
      </c>
    </row>
    <row r="256" spans="1:75">
      <c r="A256" s="5" t="s">
        <v>955</v>
      </c>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f t="shared" ref="BD256:BM256" si="372">BD70</f>
        <v>53.162236480293302</v>
      </c>
      <c r="BE256" s="24">
        <f t="shared" si="372"/>
        <v>51.581797767650748</v>
      </c>
      <c r="BF256" s="24">
        <f t="shared" si="372"/>
        <v>51.581797767650748</v>
      </c>
      <c r="BG256" s="24">
        <f t="shared" si="372"/>
        <v>46.749860309182345</v>
      </c>
      <c r="BH256" s="24">
        <f t="shared" si="372"/>
        <v>43.018286274784565</v>
      </c>
      <c r="BI256" s="24">
        <f t="shared" si="372"/>
        <v>33.69578960677709</v>
      </c>
      <c r="BJ256" s="24">
        <f t="shared" si="372"/>
        <v>25.749063670411982</v>
      </c>
      <c r="BK256" s="24">
        <f t="shared" si="372"/>
        <v>25.749063670411982</v>
      </c>
      <c r="BL256" s="24">
        <f t="shared" si="372"/>
        <v>18.990401215385678</v>
      </c>
      <c r="BM256" s="24">
        <f t="shared" si="372"/>
        <v>17.06072004298764</v>
      </c>
    </row>
    <row r="257" spans="1:75">
      <c r="A257" s="9" t="s">
        <v>952</v>
      </c>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c r="BB257" s="30"/>
      <c r="BC257" s="30"/>
      <c r="BD257" s="30">
        <f>BD71</f>
        <v>17.485722343650849</v>
      </c>
      <c r="BE257" s="30">
        <f>BD257</f>
        <v>17.485722343650849</v>
      </c>
      <c r="BF257" s="30">
        <f>BE257</f>
        <v>17.485722343650849</v>
      </c>
      <c r="BG257" s="30">
        <f>BF257</f>
        <v>17.485722343650849</v>
      </c>
      <c r="BH257" s="30">
        <f>BH71</f>
        <v>28.935752820009803</v>
      </c>
      <c r="BI257" s="30">
        <f>BI71</f>
        <v>27.373877860665054</v>
      </c>
      <c r="BJ257" s="30">
        <f>BI257</f>
        <v>27.373877860665054</v>
      </c>
      <c r="BK257" s="30">
        <f>BJ257</f>
        <v>27.373877860665054</v>
      </c>
      <c r="BL257" s="30">
        <f>BK257</f>
        <v>27.373877860665054</v>
      </c>
      <c r="BM257" s="30">
        <f>BM71</f>
        <v>44.062332079527138</v>
      </c>
      <c r="BN257" s="30">
        <f>BN71</f>
        <v>51.354113438937141</v>
      </c>
      <c r="BO257" s="30">
        <f>BO71</f>
        <v>51.124113438937144</v>
      </c>
      <c r="BP257" s="30">
        <f>BO257</f>
        <v>51.124113438937144</v>
      </c>
      <c r="BQ257" s="24"/>
      <c r="BR257" s="24"/>
      <c r="BS257" s="24"/>
      <c r="BT257" s="24"/>
      <c r="BU257" s="24"/>
    </row>
    <row r="259" spans="1:75">
      <c r="A259" s="358" t="s">
        <v>2219</v>
      </c>
      <c r="B259" s="358"/>
      <c r="C259" s="358"/>
      <c r="D259" s="358"/>
      <c r="E259" s="358"/>
      <c r="F259" s="358"/>
      <c r="G259" s="358"/>
      <c r="H259" s="358"/>
      <c r="I259" s="358"/>
      <c r="J259" s="358"/>
      <c r="K259" s="358"/>
      <c r="L259" s="358"/>
      <c r="M259" s="358"/>
      <c r="N259" s="358"/>
      <c r="O259" s="358"/>
      <c r="P259" s="358"/>
      <c r="Q259" s="358"/>
      <c r="R259" s="358"/>
      <c r="S259" s="358"/>
      <c r="T259" s="358"/>
      <c r="U259" s="358"/>
      <c r="V259" s="358"/>
      <c r="W259" s="358"/>
      <c r="X259" s="358"/>
      <c r="Y259" s="358"/>
      <c r="Z259" s="358"/>
      <c r="AA259" s="358"/>
      <c r="AB259" s="358"/>
      <c r="AC259" s="472"/>
      <c r="AD259" s="472"/>
      <c r="AE259" s="472"/>
      <c r="AF259" s="472"/>
      <c r="AG259" s="472"/>
      <c r="AH259" s="472"/>
      <c r="AI259" s="472"/>
      <c r="AJ259" s="472"/>
      <c r="AK259" s="472"/>
      <c r="AL259" s="472"/>
      <c r="AM259" s="472"/>
      <c r="AN259" s="472"/>
      <c r="AO259" s="472"/>
      <c r="AP259" s="472"/>
      <c r="AQ259" s="472"/>
      <c r="AR259" s="472"/>
      <c r="AS259" s="472"/>
      <c r="AT259" s="472"/>
      <c r="AU259" s="472"/>
      <c r="AV259" s="472"/>
      <c r="AW259" s="472"/>
      <c r="AX259" s="472"/>
      <c r="AY259" s="472"/>
      <c r="AZ259" s="472"/>
      <c r="BA259" s="472"/>
      <c r="BB259" s="472"/>
      <c r="BC259" s="472"/>
      <c r="BD259" s="472">
        <f t="shared" ref="BD259:BH259" si="373">BD251-BD257</f>
        <v>99.522884855365888</v>
      </c>
      <c r="BE259" s="472">
        <f t="shared" si="373"/>
        <v>114.36606175165963</v>
      </c>
      <c r="BF259" s="472">
        <f t="shared" si="373"/>
        <v>114.36606175165963</v>
      </c>
      <c r="BG259" s="472">
        <f t="shared" si="373"/>
        <v>116.97275475050813</v>
      </c>
      <c r="BH259" s="472">
        <f t="shared" si="373"/>
        <v>130.19293122175262</v>
      </c>
      <c r="BI259" s="472">
        <f t="shared" ref="BI259:BM259" si="374">BI251-BI257</f>
        <v>131.26682035188574</v>
      </c>
      <c r="BJ259" s="472">
        <f t="shared" si="374"/>
        <v>149.79101630238915</v>
      </c>
      <c r="BK259" s="472">
        <f t="shared" si="374"/>
        <v>149.79101630238915</v>
      </c>
      <c r="BL259" s="472">
        <f t="shared" si="374"/>
        <v>155.74057520164598</v>
      </c>
      <c r="BM259" s="472">
        <f t="shared" si="374"/>
        <v>156.51273688597718</v>
      </c>
      <c r="BN259" s="472">
        <f t="shared" ref="BN259:BO259" si="375">BN251-BN257</f>
        <v>180.5526329156163</v>
      </c>
      <c r="BO259" s="472">
        <f t="shared" si="375"/>
        <v>179.43633358644396</v>
      </c>
      <c r="BP259" s="472">
        <f>BO259</f>
        <v>179.43633358644396</v>
      </c>
      <c r="BQ259" s="1085"/>
      <c r="BR259" s="1085"/>
      <c r="BS259" s="1085"/>
      <c r="BT259" s="1085"/>
      <c r="BU259" s="1085"/>
    </row>
    <row r="260" spans="1:75">
      <c r="A260" s="44" t="s">
        <v>2435</v>
      </c>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c r="AC260" s="44"/>
      <c r="AD260" s="44"/>
      <c r="AE260" s="44"/>
      <c r="AF260" s="44"/>
      <c r="AG260" s="44"/>
      <c r="AH260" s="44"/>
      <c r="AI260" s="44"/>
      <c r="AJ260" s="44"/>
      <c r="AK260" s="44"/>
      <c r="AL260" s="44"/>
      <c r="AM260" s="44"/>
      <c r="AN260" s="44"/>
      <c r="AO260" s="44"/>
      <c r="AP260" s="44"/>
      <c r="AQ260" s="44"/>
      <c r="AR260" s="44"/>
      <c r="AS260" s="44"/>
      <c r="AT260" s="44"/>
      <c r="AU260" s="44"/>
      <c r="AV260" s="44"/>
      <c r="AW260" s="44"/>
      <c r="AX260" s="44"/>
      <c r="AY260" s="44"/>
      <c r="AZ260" s="44"/>
      <c r="BA260" s="44"/>
      <c r="BB260" s="44"/>
      <c r="BC260" s="44"/>
      <c r="BD260" s="370">
        <f t="shared" ref="BD260:BO260" si="376">BD259/BD73</f>
        <v>0.73364504984597423</v>
      </c>
      <c r="BE260" s="370">
        <f t="shared" si="376"/>
        <v>0.62333208818642138</v>
      </c>
      <c r="BF260" s="370">
        <f t="shared" si="376"/>
        <v>0.62333208818642138</v>
      </c>
      <c r="BG260" s="370">
        <f t="shared" si="376"/>
        <v>0.53418774050650253</v>
      </c>
      <c r="BH260" s="370">
        <f t="shared" si="376"/>
        <v>0.64055281190212854</v>
      </c>
      <c r="BI260" s="370">
        <f t="shared" si="376"/>
        <v>0.70769548886371125</v>
      </c>
      <c r="BJ260" s="370">
        <f t="shared" si="376"/>
        <v>0.87146897889234354</v>
      </c>
      <c r="BK260" s="370">
        <f t="shared" si="376"/>
        <v>0.87146897889234354</v>
      </c>
      <c r="BL260" s="370">
        <f t="shared" si="376"/>
        <v>0.69607384860957888</v>
      </c>
      <c r="BM260" s="370">
        <f t="shared" si="376"/>
        <v>0.69974823626379234</v>
      </c>
      <c r="BN260" s="752">
        <f t="shared" si="376"/>
        <v>0.91361733061631822</v>
      </c>
      <c r="BO260" s="752">
        <f t="shared" si="376"/>
        <v>0.84445200545325461</v>
      </c>
      <c r="BP260" s="752">
        <f>BO260</f>
        <v>0.84445200545325461</v>
      </c>
      <c r="BQ260" s="752"/>
      <c r="BR260" s="752"/>
      <c r="BS260" s="752"/>
      <c r="BT260" s="752"/>
      <c r="BU260" s="752"/>
    </row>
    <row r="262" spans="1:75">
      <c r="A262" s="12" t="s">
        <v>2221</v>
      </c>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487"/>
      <c r="BH262" s="487"/>
      <c r="BI262" s="487"/>
      <c r="BJ262" s="487"/>
      <c r="BK262" s="487"/>
      <c r="BL262" s="487"/>
      <c r="BM262" s="487"/>
      <c r="BN262" s="487"/>
      <c r="BO262" s="487"/>
      <c r="BP262" s="487"/>
      <c r="BQ262" s="487"/>
      <c r="BR262" s="487"/>
      <c r="BS262" s="487"/>
      <c r="BT262" s="487"/>
      <c r="BU262" s="487"/>
    </row>
    <row r="263" spans="1:75">
      <c r="A263" s="12" t="s">
        <v>2225</v>
      </c>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487"/>
      <c r="BH263" s="487"/>
      <c r="BI263" s="487"/>
      <c r="BJ263" s="487"/>
      <c r="BK263" s="487"/>
      <c r="BL263" s="487"/>
      <c r="BM263" s="487"/>
      <c r="BN263" s="487"/>
      <c r="BO263" s="487"/>
      <c r="BP263" s="487"/>
      <c r="BQ263" s="487"/>
      <c r="BR263" s="487"/>
      <c r="BS263" s="487"/>
      <c r="BT263" s="487"/>
      <c r="BU263" s="487"/>
    </row>
    <row r="265" spans="1:75">
      <c r="A265" s="481" t="s">
        <v>2220</v>
      </c>
      <c r="B265" s="481"/>
      <c r="C265" s="481"/>
      <c r="D265" s="481"/>
      <c r="E265" s="481"/>
      <c r="F265" s="481"/>
      <c r="G265" s="481"/>
      <c r="H265" s="481"/>
      <c r="I265" s="481"/>
      <c r="J265" s="481"/>
      <c r="K265" s="481"/>
      <c r="L265" s="481"/>
      <c r="M265" s="481"/>
      <c r="N265" s="481"/>
      <c r="O265" s="481"/>
      <c r="P265" s="481"/>
      <c r="Q265" s="481"/>
      <c r="R265" s="481"/>
      <c r="S265" s="481"/>
      <c r="T265" s="481"/>
      <c r="U265" s="481"/>
      <c r="V265" s="481"/>
      <c r="W265" s="481"/>
      <c r="X265" s="481"/>
      <c r="Y265" s="481"/>
      <c r="Z265" s="481"/>
      <c r="AA265" s="481"/>
      <c r="AB265" s="481"/>
      <c r="AC265" s="482"/>
      <c r="AD265" s="482"/>
      <c r="AE265" s="482"/>
      <c r="AF265" s="482"/>
      <c r="AG265" s="482"/>
      <c r="AH265" s="482"/>
      <c r="AI265" s="482"/>
      <c r="AJ265" s="482"/>
      <c r="AK265" s="482"/>
      <c r="AL265" s="482"/>
      <c r="AM265" s="482"/>
      <c r="AN265" s="482"/>
      <c r="AO265" s="482"/>
      <c r="AP265" s="482"/>
      <c r="AQ265" s="482"/>
      <c r="AR265" s="482"/>
      <c r="AS265" s="482"/>
      <c r="AT265" s="482"/>
      <c r="AU265" s="482"/>
      <c r="AV265" s="482"/>
      <c r="AW265" s="482"/>
      <c r="AX265" s="482"/>
      <c r="AY265" s="482"/>
      <c r="AZ265" s="482"/>
      <c r="BA265" s="482"/>
      <c r="BB265" s="482"/>
      <c r="BC265" s="482"/>
      <c r="BD265" s="482">
        <f>BD259*BD$79/1000</f>
        <v>14.115330759036546</v>
      </c>
      <c r="BE265" s="482">
        <f>BE259*BE$79/1000</f>
        <v>17.316165409818783</v>
      </c>
      <c r="BF265" s="482">
        <f>BE265</f>
        <v>17.316165409818783</v>
      </c>
      <c r="BG265" s="482">
        <f>BG259*BG$79/1000</f>
        <v>18.840801607664343</v>
      </c>
      <c r="BH265" s="482">
        <f t="shared" ref="BH265:BJ265" si="377">BH259*BH$79/1000</f>
        <v>18.582437073280751</v>
      </c>
      <c r="BI265" s="482">
        <f t="shared" si="377"/>
        <v>20.763785643261286</v>
      </c>
      <c r="BJ265" s="482">
        <f t="shared" si="377"/>
        <v>22.396752757533228</v>
      </c>
      <c r="BK265" s="482">
        <f>BJ265</f>
        <v>22.396752757533228</v>
      </c>
      <c r="BL265" s="482">
        <f t="shared" ref="BL265:BN265" si="378">BL259*BL$79/1000</f>
        <v>22.552792694950355</v>
      </c>
      <c r="BM265" s="482">
        <f t="shared" si="378"/>
        <v>23.301616267584283</v>
      </c>
      <c r="BN265" s="482">
        <f t="shared" si="378"/>
        <v>28.267320209268888</v>
      </c>
      <c r="BO265" s="482">
        <f>BO259*BO$79/1000</f>
        <v>27.830575339257457</v>
      </c>
      <c r="BP265" s="482">
        <f>BO265</f>
        <v>27.830575339257457</v>
      </c>
      <c r="BQ265" s="253"/>
      <c r="BR265" s="253"/>
      <c r="BS265" s="253"/>
      <c r="BT265" s="253"/>
      <c r="BU265" s="253"/>
    </row>
    <row r="266" spans="1:75">
      <c r="A266" s="2" t="s">
        <v>2212</v>
      </c>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483">
        <f>BD260</f>
        <v>0.73364504984597423</v>
      </c>
      <c r="BE266" s="483">
        <f>BE260</f>
        <v>0.62333208818642138</v>
      </c>
      <c r="BF266" s="483">
        <f>BF260</f>
        <v>0.62333208818642138</v>
      </c>
      <c r="BG266" s="483">
        <f>BG260</f>
        <v>0.53418774050650253</v>
      </c>
      <c r="BH266" s="483">
        <f t="shared" ref="BH266:BJ266" si="379">BH260</f>
        <v>0.64055281190212854</v>
      </c>
      <c r="BI266" s="483">
        <f t="shared" si="379"/>
        <v>0.70769548886371125</v>
      </c>
      <c r="BJ266" s="483">
        <f t="shared" si="379"/>
        <v>0.87146897889234354</v>
      </c>
      <c r="BK266" s="483">
        <f>BJ266</f>
        <v>0.87146897889234354</v>
      </c>
      <c r="BL266" s="483">
        <f t="shared" ref="BL266:BO266" si="380">BL260</f>
        <v>0.69607384860957888</v>
      </c>
      <c r="BM266" s="483">
        <f t="shared" si="380"/>
        <v>0.69974823626379234</v>
      </c>
      <c r="BN266" s="483">
        <f t="shared" si="380"/>
        <v>0.91361733061631822</v>
      </c>
      <c r="BO266" s="483">
        <f t="shared" si="380"/>
        <v>0.84445200545325461</v>
      </c>
      <c r="BP266" s="483">
        <f>BO266</f>
        <v>0.84445200545325461</v>
      </c>
      <c r="BQ266" s="483"/>
      <c r="BR266" s="483"/>
      <c r="BS266" s="483"/>
      <c r="BT266" s="483"/>
      <c r="BU266" s="483"/>
    </row>
    <row r="268" spans="1:75">
      <c r="A268" s="2" t="s">
        <v>1419</v>
      </c>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485">
        <f>'TopCo Net debt waterfall'!AQ153</f>
        <v>1465.925399</v>
      </c>
      <c r="BG268" s="485">
        <f>'TopCo Net debt waterfall'!AR153</f>
        <v>1465.9724639999999</v>
      </c>
      <c r="BH268" s="485">
        <f>'TopCo Net debt waterfall'!AS153</f>
        <v>1447.063101</v>
      </c>
      <c r="BI268" s="485">
        <f>'TopCo Net debt waterfall'!AT153</f>
        <v>1441.1232990000001</v>
      </c>
      <c r="BJ268" s="485">
        <f>'TopCo Net debt waterfall'!AU153</f>
        <v>1437.5963059999999</v>
      </c>
      <c r="BK268" s="485">
        <f>'TopCo Net debt waterfall'!AV153</f>
        <v>1437.5963059999999</v>
      </c>
      <c r="BL268" s="485">
        <f>'TopCo Net debt waterfall'!AW153</f>
        <v>1424.4851570000001</v>
      </c>
      <c r="BM268" s="485">
        <f>'TopCo Net debt waterfall'!AX153</f>
        <v>1424.4851570000001</v>
      </c>
      <c r="BN268" s="485">
        <f>'TopCo Net debt waterfall'!AY153</f>
        <v>1427.9620299999999</v>
      </c>
      <c r="BO268" s="485">
        <f>'TopCo Net debt waterfall'!AZ153</f>
        <v>1427.9620299999999</v>
      </c>
      <c r="BP268" s="485">
        <f>'TopCo Net debt waterfall'!BA153</f>
        <v>1424.4851570000001</v>
      </c>
      <c r="BQ268" s="485"/>
      <c r="BR268" s="485"/>
      <c r="BS268" s="485"/>
      <c r="BT268" s="485"/>
      <c r="BU268" s="485"/>
    </row>
    <row r="269" spans="1:75">
      <c r="A269" s="2" t="s">
        <v>2224</v>
      </c>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485">
        <f t="shared" ref="BF269:BK269" si="381">MROUND(1000000*BF265/BF268, 5)</f>
        <v>11810</v>
      </c>
      <c r="BG269" s="485">
        <f t="shared" si="381"/>
        <v>12850</v>
      </c>
      <c r="BH269" s="485">
        <f t="shared" si="381"/>
        <v>12840</v>
      </c>
      <c r="BI269" s="485">
        <f t="shared" si="381"/>
        <v>14410</v>
      </c>
      <c r="BJ269" s="485">
        <f t="shared" si="381"/>
        <v>15580</v>
      </c>
      <c r="BK269" s="485">
        <f t="shared" si="381"/>
        <v>15580</v>
      </c>
      <c r="BL269" s="485">
        <f t="shared" ref="BL269:BP269" si="382">MROUND(1000000*BL265/BL268, 5)</f>
        <v>15830</v>
      </c>
      <c r="BM269" s="485">
        <f t="shared" si="382"/>
        <v>16360</v>
      </c>
      <c r="BN269" s="485">
        <f t="shared" si="382"/>
        <v>19795</v>
      </c>
      <c r="BO269" s="485">
        <f t="shared" si="382"/>
        <v>19490</v>
      </c>
      <c r="BP269" s="485">
        <f t="shared" si="382"/>
        <v>19535</v>
      </c>
      <c r="BQ269" s="485"/>
      <c r="BR269" s="485"/>
      <c r="BS269" s="485"/>
      <c r="BT269" s="485"/>
      <c r="BU269" s="485"/>
    </row>
    <row r="271" spans="1:75" s="44" customFormat="1">
      <c r="A271" s="49" t="s">
        <v>2410</v>
      </c>
      <c r="BW271" s="46"/>
    </row>
    <row r="273" spans="1:73">
      <c r="A273" s="5" t="s">
        <v>704</v>
      </c>
      <c r="AZ273" s="24"/>
      <c r="BA273" s="24"/>
      <c r="BB273" s="24"/>
      <c r="BC273" s="24"/>
      <c r="BD273" s="24">
        <f>BD239</f>
        <v>7.0506944934075999E-2</v>
      </c>
      <c r="BE273" s="24">
        <f>BE239</f>
        <v>6.6045835810052175E-2</v>
      </c>
      <c r="BF273" s="24">
        <f>BF239</f>
        <v>6.6045835810052175E-2</v>
      </c>
      <c r="BG273" s="24">
        <f>BG239</f>
        <v>6.2084807847519713E-2</v>
      </c>
      <c r="BH273" s="24">
        <f t="shared" ref="BH273:BK273" si="383">BH239</f>
        <v>7.0062355496391795E-2</v>
      </c>
      <c r="BI273" s="24">
        <f t="shared" si="383"/>
        <v>6.3219117461120244E-2</v>
      </c>
      <c r="BJ273" s="24">
        <f t="shared" si="383"/>
        <v>6.6880684858212941E-2</v>
      </c>
      <c r="BK273" s="24">
        <f t="shared" si="383"/>
        <v>6.6880684858212941E-2</v>
      </c>
      <c r="BL273" s="24">
        <f>BL239</f>
        <v>6.9056004419584288E-2</v>
      </c>
      <c r="BM273" s="24">
        <f t="shared" ref="BM273:BP273" si="384">BM239</f>
        <v>0</v>
      </c>
      <c r="BN273" s="24">
        <f t="shared" si="384"/>
        <v>0</v>
      </c>
      <c r="BO273" s="24">
        <f t="shared" si="384"/>
        <v>0</v>
      </c>
      <c r="BP273" s="24">
        <f t="shared" si="384"/>
        <v>0</v>
      </c>
      <c r="BQ273" s="24"/>
      <c r="BR273" s="24"/>
      <c r="BS273" s="24"/>
      <c r="BT273" s="24"/>
      <c r="BU273" s="24"/>
    </row>
    <row r="274" spans="1:73">
      <c r="A274" s="5" t="s">
        <v>85</v>
      </c>
      <c r="AZ274" s="24"/>
      <c r="BA274" s="24"/>
      <c r="BB274" s="24"/>
      <c r="BC274" s="24"/>
      <c r="BD274" s="24">
        <f t="shared" ref="BD274" si="385">BD240</f>
        <v>16.253542973982935</v>
      </c>
      <c r="BE274" s="24">
        <f t="shared" ref="BE274" si="386">BE240</f>
        <v>17.245756555049205</v>
      </c>
      <c r="BF274" s="24">
        <f t="shared" ref="BF274" si="387">BF240</f>
        <v>17.245756555049205</v>
      </c>
      <c r="BG274" s="24">
        <f t="shared" ref="BG274:BK275" si="388">BG240</f>
        <v>16.422269820574908</v>
      </c>
      <c r="BH274" s="24">
        <f t="shared" si="388"/>
        <v>17.698276466054789</v>
      </c>
      <c r="BI274" s="24">
        <f t="shared" si="388"/>
        <v>17.312744974080161</v>
      </c>
      <c r="BJ274" s="24">
        <f t="shared" si="388"/>
        <v>17.33614232209738</v>
      </c>
      <c r="BK274" s="24">
        <f t="shared" si="388"/>
        <v>17.33614232209738</v>
      </c>
      <c r="BL274" s="24">
        <f t="shared" ref="BL274:BP274" si="389">BL240</f>
        <v>19.543021890753401</v>
      </c>
      <c r="BM274" s="24">
        <f t="shared" si="389"/>
        <v>18.437332079527135</v>
      </c>
      <c r="BN274" s="24">
        <f t="shared" si="389"/>
        <v>14.707460398569239</v>
      </c>
      <c r="BO274" s="24">
        <f t="shared" si="389"/>
        <v>14.486043258351456</v>
      </c>
      <c r="BP274" s="24">
        <f t="shared" si="389"/>
        <v>14.486043258351456</v>
      </c>
      <c r="BQ274" s="24"/>
      <c r="BR274" s="24"/>
      <c r="BS274" s="24"/>
      <c r="BT274" s="24"/>
      <c r="BU274" s="24"/>
    </row>
    <row r="275" spans="1:73">
      <c r="A275" s="34" t="s">
        <v>84</v>
      </c>
      <c r="AZ275" s="24"/>
      <c r="BA275" s="24"/>
      <c r="BB275" s="24"/>
      <c r="BC275" s="24"/>
      <c r="BD275" s="24">
        <f t="shared" ref="BD275" si="390">BD241</f>
        <v>21.142619333004298</v>
      </c>
      <c r="BE275" s="24">
        <f t="shared" ref="BE275" si="391">BE241</f>
        <v>20.871834984136431</v>
      </c>
      <c r="BF275" s="24">
        <f t="shared" ref="BF275" si="392">BF241</f>
        <v>20.871834984136431</v>
      </c>
      <c r="BG275" s="24">
        <f t="shared" si="388"/>
        <v>22.233790136549125</v>
      </c>
      <c r="BH275" s="24">
        <f t="shared" si="388"/>
        <v>23.88367545630679</v>
      </c>
      <c r="BI275" s="24">
        <f t="shared" si="388"/>
        <v>23.359343797524001</v>
      </c>
      <c r="BJ275" s="24">
        <f t="shared" si="388"/>
        <v>23.083428651392499</v>
      </c>
      <c r="BK275" s="24">
        <f t="shared" si="388"/>
        <v>23.083428651392499</v>
      </c>
      <c r="BL275" s="24">
        <f>BL241</f>
        <v>24.584620760882956</v>
      </c>
      <c r="BM275" s="24">
        <f t="shared" ref="BM275:BP275" si="393">BM241</f>
        <v>25.104962309668906</v>
      </c>
      <c r="BN275" s="24">
        <f t="shared" si="393"/>
        <v>24.066569194569471</v>
      </c>
      <c r="BO275" s="24">
        <f t="shared" si="393"/>
        <v>23.414681437125751</v>
      </c>
      <c r="BP275" s="24">
        <f t="shared" si="393"/>
        <v>23.414681437125751</v>
      </c>
      <c r="BQ275" s="24"/>
      <c r="BR275" s="24"/>
      <c r="BS275" s="24"/>
      <c r="BT275" s="24"/>
      <c r="BU275" s="24"/>
    </row>
    <row r="276" spans="1:73">
      <c r="A276" s="34" t="s">
        <v>83</v>
      </c>
      <c r="AZ276" s="24"/>
      <c r="BA276" s="24"/>
      <c r="BB276" s="24"/>
      <c r="BC276" s="24"/>
      <c r="BD276" s="24">
        <f t="shared" ref="BD276" si="394">BD244</f>
        <v>9.7020310162627457</v>
      </c>
      <c r="BE276" s="24">
        <f t="shared" ref="BE276" si="395">BE244</f>
        <v>9.4914711451486458</v>
      </c>
      <c r="BF276" s="24">
        <f t="shared" ref="BF276" si="396">BF244</f>
        <v>9.4914711451486458</v>
      </c>
      <c r="BG276" s="24">
        <f t="shared" ref="BG276:BK277" si="397">BG244</f>
        <v>8.1252007657424059</v>
      </c>
      <c r="BH276" s="24">
        <f t="shared" si="397"/>
        <v>9.3365102333759982</v>
      </c>
      <c r="BI276" s="24">
        <f t="shared" si="397"/>
        <v>9.9386236910769057</v>
      </c>
      <c r="BJ276" s="24">
        <f t="shared" si="397"/>
        <v>12.378692108256933</v>
      </c>
      <c r="BK276" s="24">
        <f t="shared" si="397"/>
        <v>12.378692108256933</v>
      </c>
      <c r="BL276" s="24">
        <f t="shared" ref="BL276:BP276" si="398">BL244</f>
        <v>20.036525887021728</v>
      </c>
      <c r="BM276" s="24">
        <f t="shared" si="398"/>
        <v>34.837790502418059</v>
      </c>
      <c r="BN276" s="24">
        <f t="shared" si="398"/>
        <v>63.521814296968145</v>
      </c>
      <c r="BO276" s="24">
        <f t="shared" si="398"/>
        <v>63.221279999999993</v>
      </c>
      <c r="BP276" s="24">
        <f t="shared" si="398"/>
        <v>63.221279999999993</v>
      </c>
      <c r="BQ276" s="24"/>
      <c r="BR276" s="24"/>
      <c r="BS276" s="24"/>
      <c r="BT276" s="24"/>
      <c r="BU276" s="24"/>
    </row>
    <row r="277" spans="1:73">
      <c r="A277" s="34" t="s">
        <v>944</v>
      </c>
      <c r="AZ277" s="24"/>
      <c r="BA277" s="24"/>
      <c r="BB277" s="24"/>
      <c r="BC277" s="24"/>
      <c r="BD277" s="24">
        <f t="shared" ref="BD277" si="399">BD245</f>
        <v>3.2080659945004579</v>
      </c>
      <c r="BE277" s="24">
        <f t="shared" ref="BE277" si="400">BE245</f>
        <v>3.2032230367875307</v>
      </c>
      <c r="BF277" s="24">
        <f t="shared" ref="BF277" si="401">BF245</f>
        <v>3.2032230367875307</v>
      </c>
      <c r="BG277" s="24">
        <f t="shared" si="397"/>
        <v>3.1663252002235054</v>
      </c>
      <c r="BH277" s="24">
        <f t="shared" si="397"/>
        <v>3.2929307083304145</v>
      </c>
      <c r="BI277" s="24">
        <f t="shared" si="397"/>
        <v>3.2557845492476924</v>
      </c>
      <c r="BJ277" s="24">
        <f t="shared" si="397"/>
        <v>3.1768325307651146</v>
      </c>
      <c r="BK277" s="24">
        <f t="shared" si="397"/>
        <v>3.1768325307651146</v>
      </c>
      <c r="BL277" s="24">
        <f t="shared" ref="BL277:BP277" si="402">BL245</f>
        <v>3.4182722187694221</v>
      </c>
      <c r="BM277" s="24">
        <f t="shared" si="402"/>
        <v>3.4927458355722729</v>
      </c>
      <c r="BN277" s="24">
        <f t="shared" si="402"/>
        <v>3.321410321921308</v>
      </c>
      <c r="BO277" s="24">
        <f t="shared" si="402"/>
        <v>3.3864999999999998</v>
      </c>
      <c r="BP277" s="24">
        <f t="shared" si="402"/>
        <v>3.3864999999999998</v>
      </c>
      <c r="BQ277" s="24"/>
      <c r="BR277" s="24"/>
      <c r="BS277" s="24"/>
      <c r="BT277" s="24"/>
      <c r="BU277" s="24"/>
    </row>
    <row r="278" spans="1:73">
      <c r="A278" s="5" t="s">
        <v>945</v>
      </c>
      <c r="AZ278" s="24"/>
      <c r="BA278" s="24"/>
      <c r="BB278" s="24"/>
      <c r="BC278" s="24"/>
      <c r="BD278" s="24">
        <f t="shared" ref="BD278:BK278" si="403">SUM(BD275:BD277)</f>
        <v>34.0527163437675</v>
      </c>
      <c r="BE278" s="24">
        <f t="shared" si="403"/>
        <v>33.566529166072613</v>
      </c>
      <c r="BF278" s="24">
        <f t="shared" si="403"/>
        <v>33.566529166072613</v>
      </c>
      <c r="BG278" s="24">
        <f t="shared" si="403"/>
        <v>33.525316102515035</v>
      </c>
      <c r="BH278" s="24">
        <f t="shared" si="403"/>
        <v>36.513116398013203</v>
      </c>
      <c r="BI278" s="24">
        <f t="shared" si="403"/>
        <v>36.553752037848597</v>
      </c>
      <c r="BJ278" s="24">
        <f t="shared" si="403"/>
        <v>38.638953290414548</v>
      </c>
      <c r="BK278" s="24">
        <f t="shared" si="403"/>
        <v>38.638953290414548</v>
      </c>
      <c r="BL278" s="24">
        <f t="shared" ref="BL278:BP278" si="404">SUM(BL275:BL277)</f>
        <v>48.039418866674104</v>
      </c>
      <c r="BM278" s="24">
        <f t="shared" si="404"/>
        <v>63.435498647659237</v>
      </c>
      <c r="BN278" s="24">
        <f t="shared" si="404"/>
        <v>90.909793813458919</v>
      </c>
      <c r="BO278" s="24">
        <f t="shared" si="404"/>
        <v>90.022461437125742</v>
      </c>
      <c r="BP278" s="24">
        <f t="shared" si="404"/>
        <v>90.022461437125742</v>
      </c>
      <c r="BQ278" s="24"/>
      <c r="BR278" s="24"/>
      <c r="BS278" s="24"/>
      <c r="BT278" s="24"/>
      <c r="BU278" s="24"/>
    </row>
    <row r="279" spans="1:73">
      <c r="A279" s="5" t="s">
        <v>87</v>
      </c>
      <c r="AZ279" s="24"/>
      <c r="BA279" s="24"/>
      <c r="BB279" s="24"/>
      <c r="BC279" s="24"/>
      <c r="BD279" s="24">
        <f t="shared" ref="BD279:BK280" si="405">BD247</f>
        <v>11.422125079320312</v>
      </c>
      <c r="BE279" s="24">
        <f t="shared" si="405"/>
        <v>11.624067102569184</v>
      </c>
      <c r="BF279" s="24">
        <f t="shared" si="405"/>
        <v>11.624067102569184</v>
      </c>
      <c r="BG279" s="24">
        <f t="shared" si="405"/>
        <v>15.024523499099772</v>
      </c>
      <c r="BH279" s="24">
        <f t="shared" si="405"/>
        <v>17.58565122959434</v>
      </c>
      <c r="BI279" s="24">
        <f t="shared" si="405"/>
        <v>18.839297003413833</v>
      </c>
      <c r="BJ279" s="24">
        <f t="shared" si="405"/>
        <v>22.739432851792401</v>
      </c>
      <c r="BK279" s="24">
        <f t="shared" si="405"/>
        <v>22.739432851792401</v>
      </c>
      <c r="BL279" s="24">
        <f t="shared" ref="BL279:BP279" si="406">BL247</f>
        <v>15.192320972308542</v>
      </c>
      <c r="BM279" s="24">
        <f t="shared" si="406"/>
        <v>10.814078452444923</v>
      </c>
      <c r="BN279" s="24">
        <f t="shared" si="406"/>
        <v>5.8124680633622887</v>
      </c>
      <c r="BO279" s="24">
        <f t="shared" si="406"/>
        <v>3.4577600000000013</v>
      </c>
      <c r="BP279" s="24">
        <f t="shared" si="406"/>
        <v>3.4577600000000013</v>
      </c>
      <c r="BQ279" s="24"/>
      <c r="BR279" s="24"/>
      <c r="BS279" s="24"/>
      <c r="BT279" s="24"/>
      <c r="BU279" s="24"/>
    </row>
    <row r="280" spans="1:73">
      <c r="A280" s="5" t="s">
        <v>88</v>
      </c>
      <c r="AZ280" s="24"/>
      <c r="BA280" s="24"/>
      <c r="BB280" s="24"/>
      <c r="BC280" s="24"/>
      <c r="BD280" s="24">
        <f t="shared" si="405"/>
        <v>2.044701403088204</v>
      </c>
      <c r="BE280" s="24">
        <f t="shared" si="405"/>
        <v>2.1795125817317214</v>
      </c>
      <c r="BF280" s="24">
        <f t="shared" si="405"/>
        <v>2.1795125817317214</v>
      </c>
      <c r="BG280" s="24">
        <f t="shared" si="405"/>
        <v>2.2971378903582296</v>
      </c>
      <c r="BH280" s="24">
        <f t="shared" si="405"/>
        <v>2.5923071533664963</v>
      </c>
      <c r="BI280" s="24">
        <f t="shared" si="405"/>
        <v>2.4023264635225696</v>
      </c>
      <c r="BJ280" s="24">
        <f t="shared" si="405"/>
        <v>2.7421080791867309</v>
      </c>
      <c r="BK280" s="24">
        <f t="shared" si="405"/>
        <v>2.7421080791867309</v>
      </c>
      <c r="BL280" s="24">
        <f t="shared" ref="BL280:BP280" si="407">BL248</f>
        <v>2.4169601546854498</v>
      </c>
      <c r="BM280" s="24">
        <f t="shared" si="407"/>
        <v>0.33584094572810319</v>
      </c>
      <c r="BN280" s="24">
        <f t="shared" si="407"/>
        <v>0</v>
      </c>
      <c r="BO280" s="24">
        <f t="shared" si="407"/>
        <v>0</v>
      </c>
      <c r="BP280" s="24">
        <f t="shared" si="407"/>
        <v>0</v>
      </c>
      <c r="BQ280" s="24"/>
      <c r="BR280" s="24"/>
      <c r="BS280" s="24"/>
      <c r="BT280" s="24"/>
      <c r="BU280" s="24"/>
    </row>
    <row r="281" spans="1:73">
      <c r="A281" s="5" t="s">
        <v>947</v>
      </c>
      <c r="AZ281" s="24"/>
      <c r="BA281" s="24"/>
      <c r="BB281" s="24"/>
      <c r="BC281" s="24"/>
      <c r="BD281" s="24">
        <f t="shared" ref="BD281:BK281" si="408">BD250</f>
        <v>11.231756327998308</v>
      </c>
      <c r="BE281" s="24">
        <f t="shared" si="408"/>
        <v>11.234396671289876</v>
      </c>
      <c r="BF281" s="24">
        <f t="shared" si="408"/>
        <v>11.234396671289876</v>
      </c>
      <c r="BG281" s="24">
        <f t="shared" si="408"/>
        <v>11.17526541255355</v>
      </c>
      <c r="BH281" s="24">
        <f t="shared" si="408"/>
        <v>12.989560709031039</v>
      </c>
      <c r="BI281" s="24">
        <f t="shared" si="408"/>
        <v>11.7777215830067</v>
      </c>
      <c r="BJ281" s="24">
        <f t="shared" si="408"/>
        <v>12.39967897271268</v>
      </c>
      <c r="BK281" s="24">
        <f t="shared" si="408"/>
        <v>12.39967897271268</v>
      </c>
      <c r="BL281" s="24">
        <f t="shared" ref="BL281:BP281" si="409">BL250</f>
        <v>15.724052206339341</v>
      </c>
      <c r="BM281" s="24">
        <f t="shared" si="409"/>
        <v>20.493014508328855</v>
      </c>
      <c r="BN281" s="24">
        <f t="shared" si="409"/>
        <v>23.038732754215637</v>
      </c>
      <c r="BO281" s="24">
        <f t="shared" si="409"/>
        <v>25.155891004956576</v>
      </c>
      <c r="BP281" s="24">
        <f t="shared" si="409"/>
        <v>25.155891004956576</v>
      </c>
      <c r="BQ281" s="24"/>
      <c r="BR281" s="24"/>
      <c r="BS281" s="24"/>
      <c r="BT281" s="24"/>
      <c r="BU281" s="24"/>
    </row>
    <row r="282" spans="1:73">
      <c r="A282" s="9" t="s">
        <v>1047</v>
      </c>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c r="BD282" s="30">
        <f t="shared" ref="BD282:BK282" si="410">SUM(BD273:BD274)+SUM(BD278:BD281)</f>
        <v>75.075349073091331</v>
      </c>
      <c r="BE282" s="30">
        <f t="shared" si="410"/>
        <v>75.916307912522655</v>
      </c>
      <c r="BF282" s="30">
        <f t="shared" si="410"/>
        <v>75.916307912522655</v>
      </c>
      <c r="BG282" s="30">
        <f t="shared" si="410"/>
        <v>78.506597532949016</v>
      </c>
      <c r="BH282" s="30">
        <f t="shared" si="410"/>
        <v>87.448974311556256</v>
      </c>
      <c r="BI282" s="30">
        <f t="shared" si="410"/>
        <v>86.949061179332972</v>
      </c>
      <c r="BJ282" s="30">
        <f t="shared" si="410"/>
        <v>93.923196201061955</v>
      </c>
      <c r="BK282" s="30">
        <f t="shared" si="410"/>
        <v>93.923196201061955</v>
      </c>
      <c r="BL282" s="30">
        <f t="shared" ref="BL282:BP282" si="411">SUM(BL273:BL274)+SUM(BL278:BL281)</f>
        <v>100.98483009518043</v>
      </c>
      <c r="BM282" s="30">
        <f t="shared" si="411"/>
        <v>113.51576463368826</v>
      </c>
      <c r="BN282" s="30">
        <f t="shared" si="411"/>
        <v>134.4684550296061</v>
      </c>
      <c r="BO282" s="30">
        <f t="shared" si="411"/>
        <v>133.12215570043378</v>
      </c>
      <c r="BP282" s="30">
        <f t="shared" si="411"/>
        <v>133.12215570043378</v>
      </c>
      <c r="BQ282" s="24"/>
      <c r="BR282" s="24"/>
      <c r="BS282" s="24"/>
      <c r="BT282" s="24"/>
      <c r="BU282" s="24"/>
    </row>
    <row r="284" spans="1:73">
      <c r="A284" s="1" t="s">
        <v>952</v>
      </c>
      <c r="AZ284" s="24"/>
      <c r="BA284" s="24"/>
      <c r="BB284" s="24"/>
      <c r="BC284" s="24"/>
      <c r="BD284" s="24">
        <f t="shared" ref="BD284:BK284" si="412">BD257</f>
        <v>17.485722343650849</v>
      </c>
      <c r="BE284" s="24">
        <f t="shared" si="412"/>
        <v>17.485722343650849</v>
      </c>
      <c r="BF284" s="24">
        <f t="shared" si="412"/>
        <v>17.485722343650849</v>
      </c>
      <c r="BG284" s="24">
        <f t="shared" si="412"/>
        <v>17.485722343650849</v>
      </c>
      <c r="BH284" s="24">
        <f t="shared" si="412"/>
        <v>28.935752820009803</v>
      </c>
      <c r="BI284" s="24">
        <f t="shared" si="412"/>
        <v>27.373877860665054</v>
      </c>
      <c r="BJ284" s="24">
        <f t="shared" si="412"/>
        <v>27.373877860665054</v>
      </c>
      <c r="BK284" s="24">
        <f t="shared" si="412"/>
        <v>27.373877860665054</v>
      </c>
      <c r="BL284" s="24">
        <f t="shared" ref="BL284:BP284" si="413">BL257</f>
        <v>27.373877860665054</v>
      </c>
      <c r="BM284" s="24">
        <f t="shared" si="413"/>
        <v>44.062332079527138</v>
      </c>
      <c r="BN284" s="24">
        <f t="shared" si="413"/>
        <v>51.354113438937141</v>
      </c>
      <c r="BO284" s="24">
        <f t="shared" si="413"/>
        <v>51.124113438937144</v>
      </c>
      <c r="BP284" s="24">
        <f t="shared" si="413"/>
        <v>51.124113438937144</v>
      </c>
      <c r="BQ284" s="24"/>
      <c r="BR284" s="24"/>
      <c r="BS284" s="24"/>
      <c r="BT284" s="24"/>
      <c r="BU284" s="24"/>
    </row>
    <row r="285" spans="1:73">
      <c r="A285" s="9" t="s">
        <v>2226</v>
      </c>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c r="BC285" s="30"/>
      <c r="BD285" s="30">
        <f t="shared" ref="BD285:BK285" si="414">BD282-BD284</f>
        <v>57.589626729440482</v>
      </c>
      <c r="BE285" s="30">
        <f t="shared" si="414"/>
        <v>58.430585568871805</v>
      </c>
      <c r="BF285" s="30">
        <f t="shared" si="414"/>
        <v>58.430585568871805</v>
      </c>
      <c r="BG285" s="30">
        <f t="shared" si="414"/>
        <v>61.020875189298167</v>
      </c>
      <c r="BH285" s="30">
        <f t="shared" si="414"/>
        <v>58.513221491546453</v>
      </c>
      <c r="BI285" s="30">
        <f t="shared" si="414"/>
        <v>59.575183318667918</v>
      </c>
      <c r="BJ285" s="30">
        <f t="shared" si="414"/>
        <v>66.549318340396894</v>
      </c>
      <c r="BK285" s="30">
        <f t="shared" si="414"/>
        <v>66.549318340396894</v>
      </c>
      <c r="BL285" s="30">
        <f t="shared" ref="BL285:BP285" si="415">BL282-BL284</f>
        <v>73.610952234515366</v>
      </c>
      <c r="BM285" s="30">
        <f t="shared" si="415"/>
        <v>69.453432554161125</v>
      </c>
      <c r="BN285" s="30">
        <f t="shared" si="415"/>
        <v>83.114341590668971</v>
      </c>
      <c r="BO285" s="30">
        <f t="shared" si="415"/>
        <v>81.998042261496636</v>
      </c>
      <c r="BP285" s="30">
        <f t="shared" si="415"/>
        <v>81.998042261496636</v>
      </c>
      <c r="BQ285" s="24"/>
      <c r="BR285" s="24"/>
      <c r="BS285" s="24"/>
      <c r="BT285" s="24"/>
      <c r="BU285" s="24"/>
    </row>
    <row r="287" spans="1:73">
      <c r="A287" s="1" t="s">
        <v>2155</v>
      </c>
      <c r="AZ287" s="24"/>
      <c r="BA287" s="24"/>
      <c r="BB287" s="24"/>
      <c r="BC287" s="24"/>
      <c r="BD287" s="663">
        <f>VLOOKUP(BD3, 'SBG Discount to NAV Workings'!$B:$E, 4, FALSE)</f>
        <v>65.45</v>
      </c>
      <c r="BE287" s="663">
        <f>VLOOKUP(BE3, 'SBG Discount to NAV Workings'!$B:$E, 4, FALSE)</f>
        <v>86.75</v>
      </c>
      <c r="BF287" s="541">
        <f>BE287</f>
        <v>86.75</v>
      </c>
      <c r="BG287" s="663">
        <f>VLOOKUP(BG3, 'SBG Discount to NAV Workings'!$B:$E, 4, FALSE)</f>
        <v>94.95</v>
      </c>
      <c r="BH287" s="663">
        <f>VLOOKUP(BH3, 'SBG Discount to NAV Workings'!$B:$E, 4, FALSE)</f>
        <v>85.300000000000011</v>
      </c>
      <c r="BI287" s="663">
        <f>VLOOKUP(BI3, 'SBG Discount to NAV Workings'!$B:$E, 4, FALSE)</f>
        <v>84.2</v>
      </c>
      <c r="BJ287" s="663">
        <f>VLOOKUP(BJ3, 'SBG Discount to NAV Workings'!$B:$E, 4, FALSE)</f>
        <v>71.900000000000006</v>
      </c>
      <c r="BK287" s="541">
        <f>BJ287</f>
        <v>71.900000000000006</v>
      </c>
      <c r="BL287" s="663">
        <f>VLOOKUP(BL3, 'SBG Discount to NAV Workings'!$B:$E, 4, FALSE)</f>
        <v>104.4</v>
      </c>
      <c r="BM287" s="663">
        <f>VLOOKUP(BM3, 'SBG Discount to NAV Workings'!$B:$E, 4, FALSE)</f>
        <v>171.60000000000002</v>
      </c>
      <c r="BN287" s="543">
        <f>FP!$D$7/FP!$G$4</f>
        <v>149.01073794680852</v>
      </c>
      <c r="BO287" s="543">
        <f>FP!$D$7/FP!$G$4</f>
        <v>149.01073794680852</v>
      </c>
      <c r="BP287" s="541">
        <f>BO287</f>
        <v>149.01073794680852</v>
      </c>
      <c r="BQ287" s="541"/>
      <c r="BR287" s="541"/>
      <c r="BS287" s="541"/>
      <c r="BT287" s="541"/>
      <c r="BU287" s="541"/>
    </row>
    <row r="288" spans="1:73">
      <c r="A288" s="1" t="s">
        <v>1048</v>
      </c>
      <c r="AZ288" s="24"/>
      <c r="BA288" s="24"/>
      <c r="BB288" s="24"/>
      <c r="BC288" s="24"/>
      <c r="BD288" s="541">
        <f>-BD285</f>
        <v>-57.589626729440482</v>
      </c>
      <c r="BE288" s="541">
        <f t="shared" ref="BE288:BK288" si="416">-BE285</f>
        <v>-58.430585568871805</v>
      </c>
      <c r="BF288" s="541">
        <f t="shared" si="416"/>
        <v>-58.430585568871805</v>
      </c>
      <c r="BG288" s="541">
        <f t="shared" si="416"/>
        <v>-61.020875189298167</v>
      </c>
      <c r="BH288" s="541">
        <f t="shared" si="416"/>
        <v>-58.513221491546453</v>
      </c>
      <c r="BI288" s="541">
        <f t="shared" si="416"/>
        <v>-59.575183318667918</v>
      </c>
      <c r="BJ288" s="541">
        <f t="shared" si="416"/>
        <v>-66.549318340396894</v>
      </c>
      <c r="BK288" s="541">
        <f t="shared" si="416"/>
        <v>-66.549318340396894</v>
      </c>
      <c r="BL288" s="541">
        <f t="shared" ref="BL288:BP288" si="417">-BL285</f>
        <v>-73.610952234515366</v>
      </c>
      <c r="BM288" s="541">
        <f t="shared" si="417"/>
        <v>-69.453432554161125</v>
      </c>
      <c r="BN288" s="541">
        <f t="shared" si="417"/>
        <v>-83.114341590668971</v>
      </c>
      <c r="BO288" s="541">
        <f t="shared" si="417"/>
        <v>-81.998042261496636</v>
      </c>
      <c r="BP288" s="541">
        <f t="shared" si="417"/>
        <v>-81.998042261496636</v>
      </c>
      <c r="BQ288" s="541"/>
      <c r="BR288" s="541"/>
      <c r="BS288" s="541"/>
      <c r="BT288" s="541"/>
      <c r="BU288" s="541"/>
    </row>
    <row r="289" spans="1:75">
      <c r="A289" s="9" t="s">
        <v>2256</v>
      </c>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30"/>
      <c r="BA289" s="30"/>
      <c r="BB289" s="30"/>
      <c r="BC289" s="30"/>
      <c r="BD289" s="545">
        <f>SUM(BD287:BD288)</f>
        <v>7.8603732705595206</v>
      </c>
      <c r="BE289" s="545">
        <f t="shared" ref="BE289:BK289" si="418">SUM(BE287:BE288)</f>
        <v>28.319414431128195</v>
      </c>
      <c r="BF289" s="545">
        <f t="shared" si="418"/>
        <v>28.319414431128195</v>
      </c>
      <c r="BG289" s="545">
        <f t="shared" si="418"/>
        <v>33.929124810701836</v>
      </c>
      <c r="BH289" s="545">
        <f t="shared" si="418"/>
        <v>26.786778508453558</v>
      </c>
      <c r="BI289" s="545">
        <f t="shared" si="418"/>
        <v>24.624816681332085</v>
      </c>
      <c r="BJ289" s="545">
        <f t="shared" si="418"/>
        <v>5.3506816596031115</v>
      </c>
      <c r="BK289" s="545">
        <f t="shared" si="418"/>
        <v>5.3506816596031115</v>
      </c>
      <c r="BL289" s="545">
        <f t="shared" ref="BL289:BP289" si="419">SUM(BL287:BL288)</f>
        <v>30.789047765484639</v>
      </c>
      <c r="BM289" s="545">
        <f t="shared" si="419"/>
        <v>102.1465674458389</v>
      </c>
      <c r="BN289" s="545">
        <f t="shared" si="419"/>
        <v>65.896396356139547</v>
      </c>
      <c r="BO289" s="545">
        <f t="shared" si="419"/>
        <v>67.012695685311883</v>
      </c>
      <c r="BP289" s="545">
        <f t="shared" si="419"/>
        <v>67.012695685311883</v>
      </c>
      <c r="BQ289" s="541"/>
      <c r="BR289" s="541"/>
      <c r="BS289" s="541"/>
      <c r="BT289" s="541"/>
      <c r="BU289" s="541"/>
    </row>
    <row r="291" spans="1:75">
      <c r="A291" s="1" t="s">
        <v>2152</v>
      </c>
      <c r="BD291" s="543">
        <v>12</v>
      </c>
      <c r="BE291" s="543">
        <v>12</v>
      </c>
      <c r="BF291" s="543">
        <v>12</v>
      </c>
      <c r="BG291" s="543">
        <v>12</v>
      </c>
      <c r="BH291" s="543">
        <f>BG291-4.1</f>
        <v>7.9</v>
      </c>
      <c r="BI291" s="543">
        <f>BH291</f>
        <v>7.9</v>
      </c>
      <c r="BJ291" s="543">
        <f>BI291-4.1</f>
        <v>3.8000000000000007</v>
      </c>
      <c r="BK291" s="541">
        <f>BJ291</f>
        <v>3.8000000000000007</v>
      </c>
      <c r="BL291" s="543">
        <f>BK291</f>
        <v>3.8000000000000007</v>
      </c>
      <c r="BM291" s="543">
        <f>BL291-3.8</f>
        <v>0</v>
      </c>
      <c r="BN291" s="543">
        <f>BM291</f>
        <v>0</v>
      </c>
      <c r="BO291" s="543">
        <f t="shared" ref="BO291" si="420">BN291</f>
        <v>0</v>
      </c>
      <c r="BP291" s="541">
        <f>BO291</f>
        <v>0</v>
      </c>
      <c r="BQ291" s="541"/>
      <c r="BR291" s="541"/>
      <c r="BS291" s="541"/>
      <c r="BT291" s="541"/>
      <c r="BU291" s="541"/>
    </row>
    <row r="292" spans="1:75">
      <c r="A292" s="1" t="s">
        <v>2153</v>
      </c>
      <c r="BD292" s="541">
        <f t="shared" ref="BD292:BP292" si="421">BD106-BD291</f>
        <v>8.4192342945780148</v>
      </c>
      <c r="BE292" s="541">
        <f t="shared" si="421"/>
        <v>8.420183607423553</v>
      </c>
      <c r="BF292" s="541">
        <f t="shared" si="421"/>
        <v>8.420183607423553</v>
      </c>
      <c r="BG292" s="541">
        <f t="shared" si="421"/>
        <v>8.4249084249084234</v>
      </c>
      <c r="BH292" s="541">
        <f t="shared" si="421"/>
        <v>8.4327051075457131</v>
      </c>
      <c r="BI292" s="541">
        <f t="shared" si="421"/>
        <v>8.4119357693766599</v>
      </c>
      <c r="BJ292" s="541">
        <f t="shared" si="421"/>
        <v>8.4169341894060974</v>
      </c>
      <c r="BK292" s="541">
        <f t="shared" si="421"/>
        <v>8.4169341894060974</v>
      </c>
      <c r="BL292" s="541">
        <f t="shared" si="421"/>
        <v>8.4262136592776695</v>
      </c>
      <c r="BM292" s="541">
        <f t="shared" si="421"/>
        <v>8.4376679204728635</v>
      </c>
      <c r="BN292" s="541">
        <f t="shared" si="421"/>
        <v>19.806463975472663</v>
      </c>
      <c r="BO292" s="541">
        <f t="shared" si="421"/>
        <v>19.806463975472663</v>
      </c>
      <c r="BP292" s="541">
        <f t="shared" si="421"/>
        <v>19.806463975472663</v>
      </c>
      <c r="BQ292" s="541"/>
      <c r="BR292" s="541"/>
      <c r="BS292" s="541"/>
      <c r="BT292" s="541"/>
      <c r="BU292" s="541"/>
    </row>
    <row r="293" spans="1:75">
      <c r="A293" s="9" t="s">
        <v>2154</v>
      </c>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545">
        <f t="shared" ref="BD293:BK293" si="422">BD289+SUM(BD291:BD292)</f>
        <v>28.279607565137535</v>
      </c>
      <c r="BE293" s="545">
        <f t="shared" si="422"/>
        <v>48.739598038551748</v>
      </c>
      <c r="BF293" s="545">
        <f t="shared" si="422"/>
        <v>48.739598038551748</v>
      </c>
      <c r="BG293" s="545">
        <f t="shared" si="422"/>
        <v>54.35403323561026</v>
      </c>
      <c r="BH293" s="545">
        <f t="shared" si="422"/>
        <v>43.119483615999272</v>
      </c>
      <c r="BI293" s="545">
        <f t="shared" si="422"/>
        <v>40.936752450708745</v>
      </c>
      <c r="BJ293" s="545">
        <f t="shared" si="422"/>
        <v>17.567615849009208</v>
      </c>
      <c r="BK293" s="545">
        <f t="shared" si="422"/>
        <v>17.567615849009208</v>
      </c>
      <c r="BL293" s="545">
        <f t="shared" ref="BL293:BP293" si="423">BL289+SUM(BL291:BL292)</f>
        <v>43.015261424762308</v>
      </c>
      <c r="BM293" s="545">
        <f t="shared" si="423"/>
        <v>110.58423536631176</v>
      </c>
      <c r="BN293" s="545">
        <f t="shared" si="423"/>
        <v>85.702860331612214</v>
      </c>
      <c r="BO293" s="545">
        <f t="shared" si="423"/>
        <v>86.81915966078455</v>
      </c>
      <c r="BP293" s="545">
        <f t="shared" si="423"/>
        <v>86.81915966078455</v>
      </c>
      <c r="BQ293" s="541"/>
      <c r="BR293" s="541"/>
      <c r="BS293" s="541"/>
      <c r="BT293" s="541"/>
      <c r="BU293" s="541"/>
    </row>
    <row r="295" spans="1:75">
      <c r="A295" s="1" t="s">
        <v>2255</v>
      </c>
      <c r="BD295" s="541">
        <f t="shared" ref="BD295:BK295" si="424">BD296-BD293</f>
        <v>3.1421786183486127</v>
      </c>
      <c r="BE295" s="541">
        <f t="shared" si="424"/>
        <v>5.4155108931724172</v>
      </c>
      <c r="BF295" s="541">
        <f t="shared" si="424"/>
        <v>5.4155108931724172</v>
      </c>
      <c r="BG295" s="541">
        <f t="shared" si="424"/>
        <v>6.039337026178913</v>
      </c>
      <c r="BH295" s="541">
        <f t="shared" si="424"/>
        <v>4.7910537351110278</v>
      </c>
      <c r="BI295" s="541">
        <f t="shared" si="424"/>
        <v>4.5485280500787511</v>
      </c>
      <c r="BJ295" s="541">
        <f t="shared" si="424"/>
        <v>1.9519573165565767</v>
      </c>
      <c r="BK295" s="541">
        <f t="shared" si="424"/>
        <v>1.9519573165565767</v>
      </c>
      <c r="BL295" s="541">
        <f t="shared" ref="BL295:BP295" si="425">BL296-BL293</f>
        <v>4.7794734916402533</v>
      </c>
      <c r="BM295" s="541">
        <f t="shared" si="425"/>
        <v>12.287137262923522</v>
      </c>
      <c r="BN295" s="541">
        <f t="shared" si="425"/>
        <v>9.5225400368457969</v>
      </c>
      <c r="BO295" s="541">
        <f t="shared" si="425"/>
        <v>9.6465732956427246</v>
      </c>
      <c r="BP295" s="541">
        <f t="shared" si="425"/>
        <v>9.6465732956427246</v>
      </c>
      <c r="BQ295" s="541"/>
      <c r="BR295" s="541"/>
      <c r="BS295" s="541"/>
      <c r="BT295" s="541"/>
      <c r="BU295" s="541"/>
    </row>
    <row r="296" spans="1:75">
      <c r="A296" s="358" t="s">
        <v>2413</v>
      </c>
      <c r="B296" s="358"/>
      <c r="C296" s="358"/>
      <c r="D296" s="358"/>
      <c r="E296" s="358"/>
      <c r="F296" s="358"/>
      <c r="G296" s="358"/>
      <c r="H296" s="358"/>
      <c r="I296" s="358"/>
      <c r="J296" s="358"/>
      <c r="K296" s="358"/>
      <c r="L296" s="358"/>
      <c r="M296" s="358"/>
      <c r="N296" s="358"/>
      <c r="O296" s="358"/>
      <c r="P296" s="358"/>
      <c r="Q296" s="358"/>
      <c r="R296" s="358"/>
      <c r="S296" s="358"/>
      <c r="T296" s="358"/>
      <c r="U296" s="358"/>
      <c r="V296" s="358"/>
      <c r="W296" s="358"/>
      <c r="X296" s="358"/>
      <c r="Y296" s="358"/>
      <c r="Z296" s="358"/>
      <c r="AA296" s="358"/>
      <c r="AB296" s="358"/>
      <c r="AC296" s="358"/>
      <c r="AD296" s="358"/>
      <c r="AE296" s="358"/>
      <c r="AF296" s="358"/>
      <c r="AG296" s="358"/>
      <c r="AH296" s="358"/>
      <c r="AI296" s="358"/>
      <c r="AJ296" s="358"/>
      <c r="AK296" s="358"/>
      <c r="AL296" s="358"/>
      <c r="AM296" s="358"/>
      <c r="AN296" s="358"/>
      <c r="AO296" s="358"/>
      <c r="AP296" s="358"/>
      <c r="AQ296" s="358"/>
      <c r="AR296" s="358"/>
      <c r="AS296" s="358"/>
      <c r="AT296" s="358"/>
      <c r="AU296" s="358"/>
      <c r="AV296" s="358"/>
      <c r="AW296" s="358"/>
      <c r="AX296" s="358"/>
      <c r="AY296" s="358"/>
      <c r="AZ296" s="358"/>
      <c r="BA296" s="358"/>
      <c r="BB296" s="358"/>
      <c r="BC296" s="358"/>
      <c r="BD296" s="548">
        <f t="shared" ref="BD296:BK296" si="426">BD293/0.9</f>
        <v>31.421786183486148</v>
      </c>
      <c r="BE296" s="548">
        <f t="shared" si="426"/>
        <v>54.155108931724165</v>
      </c>
      <c r="BF296" s="548">
        <f t="shared" si="426"/>
        <v>54.155108931724165</v>
      </c>
      <c r="BG296" s="548">
        <f t="shared" si="426"/>
        <v>60.393370261789173</v>
      </c>
      <c r="BH296" s="548">
        <f t="shared" si="426"/>
        <v>47.9105373511103</v>
      </c>
      <c r="BI296" s="548">
        <f t="shared" si="426"/>
        <v>45.485280500787496</v>
      </c>
      <c r="BJ296" s="548">
        <f t="shared" si="426"/>
        <v>19.519573165565784</v>
      </c>
      <c r="BK296" s="548">
        <f t="shared" si="426"/>
        <v>19.519573165565784</v>
      </c>
      <c r="BL296" s="548">
        <f t="shared" ref="BL296:BP296" si="427">BL293/0.9</f>
        <v>47.794734916402561</v>
      </c>
      <c r="BM296" s="548">
        <f t="shared" si="427"/>
        <v>122.87137262923528</v>
      </c>
      <c r="BN296" s="548">
        <f t="shared" si="427"/>
        <v>95.225400368458011</v>
      </c>
      <c r="BO296" s="548">
        <f t="shared" si="427"/>
        <v>96.465732956427274</v>
      </c>
      <c r="BP296" s="548">
        <f t="shared" si="427"/>
        <v>96.465732956427274</v>
      </c>
      <c r="BQ296" s="1086"/>
      <c r="BR296" s="1086"/>
      <c r="BS296" s="1086"/>
      <c r="BT296" s="1086"/>
      <c r="BU296" s="1086"/>
    </row>
    <row r="297" spans="1:75">
      <c r="A297" s="44" t="s">
        <v>2156</v>
      </c>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c r="AD297" s="44"/>
      <c r="AE297" s="44"/>
      <c r="AF297" s="44"/>
      <c r="AG297" s="44"/>
      <c r="AH297" s="44"/>
      <c r="AI297" s="44"/>
      <c r="AJ297" s="44"/>
      <c r="AK297" s="44"/>
      <c r="AL297" s="44"/>
      <c r="AM297" s="44"/>
      <c r="AN297" s="44"/>
      <c r="AO297" s="44"/>
      <c r="AP297" s="44"/>
      <c r="AQ297" s="44"/>
      <c r="AR297" s="44"/>
      <c r="AS297" s="44"/>
      <c r="AT297" s="44"/>
      <c r="AU297" s="44"/>
      <c r="AV297" s="44"/>
      <c r="AW297" s="44"/>
      <c r="AX297" s="44"/>
      <c r="AY297" s="44"/>
      <c r="AZ297" s="44"/>
      <c r="BA297" s="44"/>
      <c r="BB297" s="44"/>
      <c r="BC297" s="44"/>
      <c r="BD297" s="493">
        <f>1000*BD296/FP!$L$6</f>
        <v>29.95722282493859</v>
      </c>
      <c r="BE297" s="493">
        <f>1000*BE296/FP!$L$6</f>
        <v>51.630949809884093</v>
      </c>
      <c r="BF297" s="493">
        <f>1000*BF296/FP!$L$6</f>
        <v>51.630949809884093</v>
      </c>
      <c r="BG297" s="493">
        <f>1000*BG296/FP!$L$6</f>
        <v>57.57844698950565</v>
      </c>
      <c r="BH297" s="493">
        <f>1000*BH296/FP!$L$6</f>
        <v>45.677436499267657</v>
      </c>
      <c r="BI297" s="493">
        <f>1000*BI296/FP!$L$6</f>
        <v>43.365220400266494</v>
      </c>
      <c r="BJ297" s="493">
        <f>1000*BJ296/FP!$L$6</f>
        <v>18.609769646891209</v>
      </c>
      <c r="BK297" s="493">
        <f>1000*BK296/FP!$L$6</f>
        <v>18.609769646891209</v>
      </c>
      <c r="BL297" s="493">
        <f>1000*BL296/FP!$L$6</f>
        <v>45.567031593577305</v>
      </c>
      <c r="BM297" s="493">
        <f>1000*BM296/FP!$L$6</f>
        <v>117.14436178661819</v>
      </c>
      <c r="BN297" s="493">
        <f>1000*BN296/FP!$L$6</f>
        <v>90.786962929915433</v>
      </c>
      <c r="BO297" s="493">
        <f>1000*BO296/FP!$L$6</f>
        <v>91.969483856569695</v>
      </c>
      <c r="BP297" s="493">
        <f>1000*BP296/FP!$L$6</f>
        <v>91.969483856569695</v>
      </c>
      <c r="BQ297" s="493"/>
      <c r="BR297" s="493"/>
      <c r="BS297" s="493"/>
      <c r="BT297" s="493"/>
      <c r="BU297" s="493"/>
    </row>
    <row r="299" spans="1:75" s="12" customFormat="1">
      <c r="A299" s="13" t="s">
        <v>2412</v>
      </c>
      <c r="BW299" s="46"/>
    </row>
    <row r="301" spans="1:75">
      <c r="A301" s="1" t="s">
        <v>1047</v>
      </c>
      <c r="BD301" s="24">
        <f t="shared" ref="BD301:BP301" si="428">BD66-BD64</f>
        <v>104.27977155749841</v>
      </c>
      <c r="BE301" s="24">
        <f t="shared" si="428"/>
        <v>105.54124562446337</v>
      </c>
      <c r="BF301" s="24">
        <f t="shared" si="428"/>
        <v>105.54124562446337</v>
      </c>
      <c r="BG301" s="24">
        <f t="shared" si="428"/>
        <v>107.03420872912397</v>
      </c>
      <c r="BH301" s="24">
        <f t="shared" si="428"/>
        <v>116.58375954599595</v>
      </c>
      <c r="BI301" s="24">
        <f t="shared" si="428"/>
        <v>115.37488936654442</v>
      </c>
      <c r="BJ301" s="24">
        <f t="shared" si="428"/>
        <v>123.5286249331193</v>
      </c>
      <c r="BK301" s="24">
        <f t="shared" si="428"/>
        <v>123.5286249331193</v>
      </c>
      <c r="BL301" s="24">
        <f t="shared" si="428"/>
        <v>132.6565844900214</v>
      </c>
      <c r="BM301" s="24">
        <f t="shared" si="428"/>
        <v>145.62063406770551</v>
      </c>
      <c r="BN301" s="24">
        <f t="shared" si="428"/>
        <v>167.92284108329073</v>
      </c>
      <c r="BO301" s="24">
        <f t="shared" si="428"/>
        <v>166.01383462671549</v>
      </c>
      <c r="BP301" s="24">
        <f t="shared" si="428"/>
        <v>166.01383462671549</v>
      </c>
      <c r="BQ301" s="24"/>
      <c r="BR301" s="24"/>
      <c r="BS301" s="24"/>
      <c r="BT301" s="24"/>
      <c r="BU301" s="24"/>
    </row>
    <row r="303" spans="1:75">
      <c r="A303" s="1" t="s">
        <v>952</v>
      </c>
      <c r="AZ303" s="24"/>
      <c r="BA303" s="24"/>
      <c r="BB303" s="24"/>
      <c r="BC303" s="24"/>
      <c r="BD303" s="24">
        <f t="shared" ref="BD303:BK303" si="429">BD284</f>
        <v>17.485722343650849</v>
      </c>
      <c r="BE303" s="24">
        <f t="shared" si="429"/>
        <v>17.485722343650849</v>
      </c>
      <c r="BF303" s="24">
        <f t="shared" si="429"/>
        <v>17.485722343650849</v>
      </c>
      <c r="BG303" s="24">
        <f t="shared" si="429"/>
        <v>17.485722343650849</v>
      </c>
      <c r="BH303" s="24">
        <f t="shared" si="429"/>
        <v>28.935752820009803</v>
      </c>
      <c r="BI303" s="24">
        <f t="shared" si="429"/>
        <v>27.373877860665054</v>
      </c>
      <c r="BJ303" s="24">
        <f t="shared" si="429"/>
        <v>27.373877860665054</v>
      </c>
      <c r="BK303" s="24">
        <f t="shared" si="429"/>
        <v>27.373877860665054</v>
      </c>
      <c r="BL303" s="24">
        <f t="shared" ref="BL303:BP303" si="430">BL284</f>
        <v>27.373877860665054</v>
      </c>
      <c r="BM303" s="24">
        <f t="shared" si="430"/>
        <v>44.062332079527138</v>
      </c>
      <c r="BN303" s="24">
        <f t="shared" si="430"/>
        <v>51.354113438937141</v>
      </c>
      <c r="BO303" s="24">
        <f t="shared" si="430"/>
        <v>51.124113438937144</v>
      </c>
      <c r="BP303" s="24">
        <f t="shared" si="430"/>
        <v>51.124113438937144</v>
      </c>
      <c r="BQ303" s="24"/>
      <c r="BR303" s="24"/>
      <c r="BS303" s="24"/>
      <c r="BT303" s="24"/>
      <c r="BU303" s="24"/>
    </row>
    <row r="304" spans="1:75">
      <c r="A304" s="9" t="s">
        <v>2226</v>
      </c>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c r="BC304" s="30"/>
      <c r="BD304" s="30">
        <f t="shared" ref="BD304:BK304" si="431">BD301-BD303</f>
        <v>86.794049213847558</v>
      </c>
      <c r="BE304" s="30">
        <f t="shared" si="431"/>
        <v>88.055523280812523</v>
      </c>
      <c r="BF304" s="30">
        <f t="shared" si="431"/>
        <v>88.055523280812523</v>
      </c>
      <c r="BG304" s="30">
        <f t="shared" si="431"/>
        <v>89.548486385473126</v>
      </c>
      <c r="BH304" s="30">
        <f t="shared" si="431"/>
        <v>87.648006725986136</v>
      </c>
      <c r="BI304" s="30">
        <f t="shared" si="431"/>
        <v>88.001011505879376</v>
      </c>
      <c r="BJ304" s="30">
        <f t="shared" si="431"/>
        <v>96.154747072454256</v>
      </c>
      <c r="BK304" s="30">
        <f t="shared" si="431"/>
        <v>96.154747072454256</v>
      </c>
      <c r="BL304" s="30">
        <f t="shared" ref="BL304:BP304" si="432">BL301-BL303</f>
        <v>105.28270662935634</v>
      </c>
      <c r="BM304" s="30">
        <f t="shared" si="432"/>
        <v>101.55830198817837</v>
      </c>
      <c r="BN304" s="30">
        <f t="shared" si="432"/>
        <v>116.5687276443536</v>
      </c>
      <c r="BO304" s="30">
        <f t="shared" si="432"/>
        <v>114.88972118777835</v>
      </c>
      <c r="BP304" s="30">
        <f t="shared" si="432"/>
        <v>114.88972118777835</v>
      </c>
      <c r="BQ304" s="24"/>
      <c r="BR304" s="24"/>
      <c r="BS304" s="24"/>
      <c r="BT304" s="24"/>
      <c r="BU304" s="24"/>
    </row>
    <row r="306" spans="1:75">
      <c r="A306" s="1" t="s">
        <v>2155</v>
      </c>
      <c r="AZ306" s="24"/>
      <c r="BA306" s="24"/>
      <c r="BB306" s="24"/>
      <c r="BC306" s="24"/>
      <c r="BD306" s="541">
        <f t="shared" ref="BD306:BK306" si="433">BD287</f>
        <v>65.45</v>
      </c>
      <c r="BE306" s="541">
        <f t="shared" si="433"/>
        <v>86.75</v>
      </c>
      <c r="BF306" s="541">
        <f t="shared" si="433"/>
        <v>86.75</v>
      </c>
      <c r="BG306" s="541">
        <f t="shared" si="433"/>
        <v>94.95</v>
      </c>
      <c r="BH306" s="541">
        <f t="shared" si="433"/>
        <v>85.300000000000011</v>
      </c>
      <c r="BI306" s="541">
        <f t="shared" si="433"/>
        <v>84.2</v>
      </c>
      <c r="BJ306" s="541">
        <f t="shared" si="433"/>
        <v>71.900000000000006</v>
      </c>
      <c r="BK306" s="541">
        <f t="shared" si="433"/>
        <v>71.900000000000006</v>
      </c>
      <c r="BL306" s="541">
        <f t="shared" ref="BL306:BP306" si="434">BL287</f>
        <v>104.4</v>
      </c>
      <c r="BM306" s="541">
        <f t="shared" si="434"/>
        <v>171.60000000000002</v>
      </c>
      <c r="BN306" s="541">
        <f t="shared" si="434"/>
        <v>149.01073794680852</v>
      </c>
      <c r="BO306" s="541">
        <f t="shared" si="434"/>
        <v>149.01073794680852</v>
      </c>
      <c r="BP306" s="541">
        <f t="shared" si="434"/>
        <v>149.01073794680852</v>
      </c>
      <c r="BQ306" s="541"/>
      <c r="BR306" s="541"/>
      <c r="BS306" s="541"/>
      <c r="BT306" s="541"/>
      <c r="BU306" s="541"/>
    </row>
    <row r="307" spans="1:75">
      <c r="A307" s="1" t="s">
        <v>1048</v>
      </c>
      <c r="AZ307" s="24"/>
      <c r="BA307" s="24"/>
      <c r="BB307" s="24"/>
      <c r="BC307" s="24"/>
      <c r="BD307" s="541">
        <f>-BD304</f>
        <v>-86.794049213847558</v>
      </c>
      <c r="BE307" s="541">
        <f t="shared" ref="BE307:BK307" si="435">-BE304</f>
        <v>-88.055523280812523</v>
      </c>
      <c r="BF307" s="541">
        <f t="shared" si="435"/>
        <v>-88.055523280812523</v>
      </c>
      <c r="BG307" s="541">
        <f t="shared" si="435"/>
        <v>-89.548486385473126</v>
      </c>
      <c r="BH307" s="541">
        <f t="shared" si="435"/>
        <v>-87.648006725986136</v>
      </c>
      <c r="BI307" s="541">
        <f t="shared" si="435"/>
        <v>-88.001011505879376</v>
      </c>
      <c r="BJ307" s="541">
        <f t="shared" si="435"/>
        <v>-96.154747072454256</v>
      </c>
      <c r="BK307" s="541">
        <f t="shared" si="435"/>
        <v>-96.154747072454256</v>
      </c>
      <c r="BL307" s="541">
        <f t="shared" ref="BL307:BP307" si="436">-BL304</f>
        <v>-105.28270662935634</v>
      </c>
      <c r="BM307" s="541">
        <f t="shared" si="436"/>
        <v>-101.55830198817837</v>
      </c>
      <c r="BN307" s="541">
        <f t="shared" si="436"/>
        <v>-116.5687276443536</v>
      </c>
      <c r="BO307" s="541">
        <f t="shared" si="436"/>
        <v>-114.88972118777835</v>
      </c>
      <c r="BP307" s="541">
        <f t="shared" si="436"/>
        <v>-114.88972118777835</v>
      </c>
      <c r="BQ307" s="541"/>
      <c r="BR307" s="541"/>
      <c r="BS307" s="541"/>
      <c r="BT307" s="541"/>
      <c r="BU307" s="541"/>
    </row>
    <row r="308" spans="1:75">
      <c r="A308" s="9" t="s">
        <v>2256</v>
      </c>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30"/>
      <c r="BA308" s="30"/>
      <c r="BB308" s="30"/>
      <c r="BC308" s="30"/>
      <c r="BD308" s="545">
        <f>SUM(BD306:BD307)</f>
        <v>-21.344049213847555</v>
      </c>
      <c r="BE308" s="545">
        <f t="shared" ref="BE308:BK308" si="437">SUM(BE306:BE307)</f>
        <v>-1.3055232808125226</v>
      </c>
      <c r="BF308" s="545">
        <f t="shared" si="437"/>
        <v>-1.3055232808125226</v>
      </c>
      <c r="BG308" s="545">
        <f t="shared" si="437"/>
        <v>5.4015136145268769</v>
      </c>
      <c r="BH308" s="545">
        <f t="shared" si="437"/>
        <v>-2.3480067259861244</v>
      </c>
      <c r="BI308" s="545">
        <f t="shared" si="437"/>
        <v>-3.801011505879373</v>
      </c>
      <c r="BJ308" s="545">
        <f t="shared" si="437"/>
        <v>-24.254747072454251</v>
      </c>
      <c r="BK308" s="545">
        <f t="shared" si="437"/>
        <v>-24.254747072454251</v>
      </c>
      <c r="BL308" s="545">
        <f t="shared" ref="BL308:BP308" si="438">SUM(BL306:BL307)</f>
        <v>-0.88270662935633482</v>
      </c>
      <c r="BM308" s="545">
        <f t="shared" si="438"/>
        <v>70.041698011821651</v>
      </c>
      <c r="BN308" s="545">
        <f t="shared" si="438"/>
        <v>32.442010302454918</v>
      </c>
      <c r="BO308" s="545">
        <f t="shared" si="438"/>
        <v>34.121016759030169</v>
      </c>
      <c r="BP308" s="545">
        <f t="shared" si="438"/>
        <v>34.121016759030169</v>
      </c>
      <c r="BQ308" s="541"/>
      <c r="BR308" s="541"/>
      <c r="BS308" s="541"/>
      <c r="BT308" s="541"/>
      <c r="BU308" s="541"/>
    </row>
    <row r="310" spans="1:75">
      <c r="A310" s="1" t="s">
        <v>2152</v>
      </c>
      <c r="AZ310" s="24"/>
      <c r="BA310" s="24"/>
      <c r="BB310" s="24"/>
      <c r="BC310" s="24"/>
      <c r="BD310" s="541">
        <f>BD291</f>
        <v>12</v>
      </c>
      <c r="BE310" s="541">
        <f t="shared" ref="BE310:BK310" si="439">BE291</f>
        <v>12</v>
      </c>
      <c r="BF310" s="541">
        <f t="shared" si="439"/>
        <v>12</v>
      </c>
      <c r="BG310" s="541">
        <f t="shared" si="439"/>
        <v>12</v>
      </c>
      <c r="BH310" s="541">
        <f t="shared" si="439"/>
        <v>7.9</v>
      </c>
      <c r="BI310" s="541">
        <f t="shared" si="439"/>
        <v>7.9</v>
      </c>
      <c r="BJ310" s="541">
        <f t="shared" si="439"/>
        <v>3.8000000000000007</v>
      </c>
      <c r="BK310" s="541">
        <f t="shared" si="439"/>
        <v>3.8000000000000007</v>
      </c>
      <c r="BL310" s="541">
        <f t="shared" ref="BL310:BP310" si="440">BL291</f>
        <v>3.8000000000000007</v>
      </c>
      <c r="BM310" s="541">
        <f t="shared" si="440"/>
        <v>0</v>
      </c>
      <c r="BN310" s="541">
        <f t="shared" si="440"/>
        <v>0</v>
      </c>
      <c r="BO310" s="541">
        <f t="shared" si="440"/>
        <v>0</v>
      </c>
      <c r="BP310" s="541">
        <f t="shared" si="440"/>
        <v>0</v>
      </c>
      <c r="BQ310" s="541"/>
      <c r="BR310" s="541"/>
      <c r="BS310" s="541"/>
      <c r="BT310" s="541"/>
      <c r="BU310" s="541"/>
    </row>
    <row r="311" spans="1:75">
      <c r="A311" s="1" t="s">
        <v>2153</v>
      </c>
      <c r="AZ311" s="24"/>
      <c r="BA311" s="24"/>
      <c r="BB311" s="24"/>
      <c r="BC311" s="24"/>
      <c r="BD311" s="541">
        <f>BD292</f>
        <v>8.4192342945780148</v>
      </c>
      <c r="BE311" s="541">
        <f t="shared" ref="BE311:BK311" si="441">BE292</f>
        <v>8.420183607423553</v>
      </c>
      <c r="BF311" s="541">
        <f t="shared" si="441"/>
        <v>8.420183607423553</v>
      </c>
      <c r="BG311" s="541">
        <f t="shared" si="441"/>
        <v>8.4249084249084234</v>
      </c>
      <c r="BH311" s="541">
        <f t="shared" si="441"/>
        <v>8.4327051075457131</v>
      </c>
      <c r="BI311" s="541">
        <f t="shared" si="441"/>
        <v>8.4119357693766599</v>
      </c>
      <c r="BJ311" s="541">
        <f t="shared" si="441"/>
        <v>8.4169341894060974</v>
      </c>
      <c r="BK311" s="541">
        <f t="shared" si="441"/>
        <v>8.4169341894060974</v>
      </c>
      <c r="BL311" s="541">
        <f t="shared" ref="BL311:BP311" si="442">BL292</f>
        <v>8.4262136592776695</v>
      </c>
      <c r="BM311" s="541">
        <f t="shared" si="442"/>
        <v>8.4376679204728635</v>
      </c>
      <c r="BN311" s="541">
        <f t="shared" si="442"/>
        <v>19.806463975472663</v>
      </c>
      <c r="BO311" s="541">
        <f t="shared" si="442"/>
        <v>19.806463975472663</v>
      </c>
      <c r="BP311" s="541">
        <f t="shared" si="442"/>
        <v>19.806463975472663</v>
      </c>
      <c r="BQ311" s="541"/>
      <c r="BR311" s="541"/>
      <c r="BS311" s="541"/>
      <c r="BT311" s="541"/>
      <c r="BU311" s="541"/>
    </row>
    <row r="312" spans="1:75">
      <c r="A312" s="9" t="s">
        <v>2154</v>
      </c>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30"/>
      <c r="BA312" s="30"/>
      <c r="BB312" s="30"/>
      <c r="BC312" s="30"/>
      <c r="BD312" s="545">
        <f t="shared" ref="BD312:BK312" si="443">BD308+SUM(BD310:BD311)</f>
        <v>-0.92481491926954007</v>
      </c>
      <c r="BE312" s="545">
        <f t="shared" si="443"/>
        <v>19.11466032661103</v>
      </c>
      <c r="BF312" s="545">
        <f t="shared" si="443"/>
        <v>19.11466032661103</v>
      </c>
      <c r="BG312" s="545">
        <f t="shared" si="443"/>
        <v>25.8264220394353</v>
      </c>
      <c r="BH312" s="545">
        <f t="shared" si="443"/>
        <v>13.984698381559589</v>
      </c>
      <c r="BI312" s="545">
        <f t="shared" si="443"/>
        <v>12.510924263497287</v>
      </c>
      <c r="BJ312" s="545">
        <f t="shared" si="443"/>
        <v>-12.037812883048153</v>
      </c>
      <c r="BK312" s="545">
        <f t="shared" si="443"/>
        <v>-12.037812883048153</v>
      </c>
      <c r="BL312" s="545">
        <f t="shared" ref="BL312:BP312" si="444">BL308+SUM(BL310:BL311)</f>
        <v>11.343507029921335</v>
      </c>
      <c r="BM312" s="545">
        <f t="shared" si="444"/>
        <v>78.479365932294513</v>
      </c>
      <c r="BN312" s="545">
        <f t="shared" si="444"/>
        <v>52.248474277927585</v>
      </c>
      <c r="BO312" s="545">
        <f t="shared" si="444"/>
        <v>53.927480734502836</v>
      </c>
      <c r="BP312" s="545">
        <f t="shared" si="444"/>
        <v>53.927480734502836</v>
      </c>
      <c r="BQ312" s="541"/>
      <c r="BR312" s="541"/>
      <c r="BS312" s="541"/>
      <c r="BT312" s="541"/>
      <c r="BU312" s="541"/>
    </row>
    <row r="314" spans="1:75">
      <c r="A314" s="1" t="s">
        <v>2255</v>
      </c>
      <c r="BD314" s="541">
        <f>(1-FP!$L$13)*FP!$L$7</f>
        <v>13.045026137692997</v>
      </c>
      <c r="BE314" s="541">
        <f>(1-FP!$L$13)*FP!$L$7</f>
        <v>13.045026137692997</v>
      </c>
      <c r="BF314" s="541">
        <f>(1-FP!$L$13)*FP!$L$7</f>
        <v>13.045026137692997</v>
      </c>
      <c r="BG314" s="541">
        <f>(1-FP!$L$13)*FP!$L$7</f>
        <v>13.045026137692997</v>
      </c>
      <c r="BH314" s="541">
        <f>(1-FP!$L$13)*FP!$L$7</f>
        <v>13.045026137692997</v>
      </c>
      <c r="BI314" s="541">
        <f>(1-FP!$L$13)*FP!$L$7</f>
        <v>13.045026137692997</v>
      </c>
      <c r="BJ314" s="541">
        <f>(1-FP!$L$13)*FP!$L$7</f>
        <v>13.045026137692997</v>
      </c>
      <c r="BK314" s="541">
        <f>(1-FP!$L$13)*FP!$L$7</f>
        <v>13.045026137692997</v>
      </c>
      <c r="BL314" s="541">
        <f>(1-FP!$L$13)*FP!$L$7</f>
        <v>13.045026137692997</v>
      </c>
      <c r="BM314" s="541">
        <f>(1-FP!$L$13)*FP!$L$7</f>
        <v>13.045026137692997</v>
      </c>
      <c r="BN314" s="541">
        <f>(1-FP!$L$13)*FP!$L$7</f>
        <v>13.045026137692997</v>
      </c>
      <c r="BO314" s="541">
        <f>(1-FP!$L$13)*FP!$L$7</f>
        <v>13.045026137692997</v>
      </c>
      <c r="BP314" s="541">
        <f>(1-FP!$L$13)*FP!$L$7</f>
        <v>13.045026137692997</v>
      </c>
      <c r="BQ314" s="541"/>
      <c r="BR314" s="541"/>
      <c r="BS314" s="541"/>
      <c r="BT314" s="541"/>
      <c r="BU314" s="541"/>
    </row>
    <row r="315" spans="1:75">
      <c r="A315" s="358" t="s">
        <v>2414</v>
      </c>
      <c r="B315" s="358"/>
      <c r="C315" s="358"/>
      <c r="D315" s="358"/>
      <c r="E315" s="358"/>
      <c r="F315" s="358"/>
      <c r="G315" s="358"/>
      <c r="H315" s="358"/>
      <c r="I315" s="358"/>
      <c r="J315" s="358"/>
      <c r="K315" s="358"/>
      <c r="L315" s="358"/>
      <c r="M315" s="358"/>
      <c r="N315" s="358"/>
      <c r="O315" s="358"/>
      <c r="P315" s="358"/>
      <c r="Q315" s="358"/>
      <c r="R315" s="358"/>
      <c r="S315" s="358"/>
      <c r="T315" s="358"/>
      <c r="U315" s="358"/>
      <c r="V315" s="358"/>
      <c r="W315" s="358"/>
      <c r="X315" s="358"/>
      <c r="Y315" s="358"/>
      <c r="Z315" s="358"/>
      <c r="AA315" s="358"/>
      <c r="AB315" s="358"/>
      <c r="AC315" s="358"/>
      <c r="AD315" s="358"/>
      <c r="AE315" s="358"/>
      <c r="AF315" s="358"/>
      <c r="AG315" s="358"/>
      <c r="AH315" s="358"/>
      <c r="AI315" s="358"/>
      <c r="AJ315" s="358"/>
      <c r="AK315" s="358"/>
      <c r="AL315" s="358"/>
      <c r="AM315" s="358"/>
      <c r="AN315" s="358"/>
      <c r="AO315" s="358"/>
      <c r="AP315" s="358"/>
      <c r="AQ315" s="358"/>
      <c r="AR315" s="358"/>
      <c r="AS315" s="358"/>
      <c r="AT315" s="358"/>
      <c r="AU315" s="358"/>
      <c r="AV315" s="358"/>
      <c r="AW315" s="358"/>
      <c r="AX315" s="358"/>
      <c r="AY315" s="358"/>
      <c r="AZ315" s="358"/>
      <c r="BA315" s="358"/>
      <c r="BB315" s="358"/>
      <c r="BC315" s="358"/>
      <c r="BD315" s="548">
        <f t="shared" ref="BD315:BK315" si="445">BD312+BD314</f>
        <v>12.120211218423457</v>
      </c>
      <c r="BE315" s="548">
        <f t="shared" si="445"/>
        <v>32.159686464304031</v>
      </c>
      <c r="BF315" s="548">
        <f t="shared" si="445"/>
        <v>32.159686464304031</v>
      </c>
      <c r="BG315" s="548">
        <f t="shared" si="445"/>
        <v>38.8714481771283</v>
      </c>
      <c r="BH315" s="548">
        <f t="shared" si="445"/>
        <v>27.029724519252586</v>
      </c>
      <c r="BI315" s="548">
        <f t="shared" si="445"/>
        <v>25.555950401190284</v>
      </c>
      <c r="BJ315" s="548">
        <f t="shared" si="445"/>
        <v>1.007213254644844</v>
      </c>
      <c r="BK315" s="548">
        <f t="shared" si="445"/>
        <v>1.007213254644844</v>
      </c>
      <c r="BL315" s="548">
        <f t="shared" ref="BL315:BP315" si="446">BL312+BL314</f>
        <v>24.388533167614334</v>
      </c>
      <c r="BM315" s="548">
        <f t="shared" si="446"/>
        <v>91.524392069987513</v>
      </c>
      <c r="BN315" s="548">
        <f t="shared" si="446"/>
        <v>65.293500415620585</v>
      </c>
      <c r="BO315" s="548">
        <f t="shared" si="446"/>
        <v>66.972506872195837</v>
      </c>
      <c r="BP315" s="548">
        <f t="shared" si="446"/>
        <v>66.972506872195837</v>
      </c>
      <c r="BQ315" s="1086"/>
      <c r="BR315" s="1086"/>
      <c r="BS315" s="1086"/>
      <c r="BT315" s="1086"/>
      <c r="BU315" s="1086"/>
    </row>
    <row r="316" spans="1:75">
      <c r="A316" s="44" t="s">
        <v>2156</v>
      </c>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c r="AC316" s="44"/>
      <c r="AD316" s="44"/>
      <c r="AE316" s="44"/>
      <c r="AF316" s="44"/>
      <c r="AG316" s="44"/>
      <c r="AH316" s="44"/>
      <c r="AI316" s="44"/>
      <c r="AJ316" s="44"/>
      <c r="AK316" s="44"/>
      <c r="AL316" s="44"/>
      <c r="AM316" s="44"/>
      <c r="AN316" s="44"/>
      <c r="AO316" s="44"/>
      <c r="AP316" s="44"/>
      <c r="AQ316" s="44"/>
      <c r="AR316" s="44"/>
      <c r="AS316" s="44"/>
      <c r="AT316" s="44"/>
      <c r="AU316" s="44"/>
      <c r="AV316" s="44"/>
      <c r="AW316" s="44"/>
      <c r="AX316" s="44"/>
      <c r="AY316" s="44"/>
      <c r="AZ316" s="44"/>
      <c r="BA316" s="44"/>
      <c r="BB316" s="44"/>
      <c r="BC316" s="44"/>
      <c r="BD316" s="493">
        <f>1000*BD315/FP!$L$6</f>
        <v>11.555290524714163</v>
      </c>
      <c r="BE316" s="493">
        <f>1000*BE315/FP!$L$6</f>
        <v>30.660729716811712</v>
      </c>
      <c r="BF316" s="493">
        <f>1000*BF315/FP!$L$6</f>
        <v>30.660729716811712</v>
      </c>
      <c r="BG316" s="493">
        <f>1000*BG315/FP!$L$6</f>
        <v>37.059657518205739</v>
      </c>
      <c r="BH316" s="493">
        <f>1000*BH315/FP!$L$6</f>
        <v>25.76987430286556</v>
      </c>
      <c r="BI316" s="493">
        <f>1000*BI315/FP!$L$6</f>
        <v>24.364792510550931</v>
      </c>
      <c r="BJ316" s="493">
        <f>1000*BJ315/FP!$L$6</f>
        <v>0.96026724023362231</v>
      </c>
      <c r="BK316" s="493">
        <f>1000*BK315/FP!$L$6</f>
        <v>0.96026724023362231</v>
      </c>
      <c r="BL316" s="493">
        <f>1000*BL315/FP!$L$6</f>
        <v>23.251788367766455</v>
      </c>
      <c r="BM316" s="493">
        <f>1000*BM315/FP!$L$6</f>
        <v>87.258457910283653</v>
      </c>
      <c r="BN316" s="493">
        <f>1000*BN315/FP!$L$6</f>
        <v>62.250183027435803</v>
      </c>
      <c r="BO316" s="493">
        <f>1000*BO315/FP!$L$6</f>
        <v>63.850931318778009</v>
      </c>
      <c r="BP316" s="493">
        <f>1000*BP315/FP!$L$6</f>
        <v>63.850931318778009</v>
      </c>
      <c r="BQ316" s="493"/>
      <c r="BR316" s="493"/>
      <c r="BS316" s="493"/>
      <c r="BT316" s="493"/>
      <c r="BU316" s="493"/>
    </row>
    <row r="318" spans="1:75" s="12" customFormat="1">
      <c r="A318" s="13" t="s">
        <v>2411</v>
      </c>
      <c r="BW318" s="46"/>
    </row>
    <row r="320" spans="1:75">
      <c r="A320" s="1" t="s">
        <v>943</v>
      </c>
    </row>
    <row r="321" spans="1:73">
      <c r="A321" s="5" t="s">
        <v>704</v>
      </c>
      <c r="AC321" s="24"/>
      <c r="AD321" s="24"/>
      <c r="AE321" s="21">
        <f>AE10/AE$22</f>
        <v>0.47695943284757775</v>
      </c>
      <c r="AF321" s="21">
        <f>AF10/AF$22</f>
        <v>0.47856357640161235</v>
      </c>
      <c r="AG321" s="24"/>
      <c r="AH321" s="21">
        <f t="shared" ref="AH321:AK322" si="447">AH10/AH$22</f>
        <v>0.43636363636363634</v>
      </c>
      <c r="AI321" s="21">
        <f t="shared" si="447"/>
        <v>0.46045302636464913</v>
      </c>
      <c r="AJ321" s="21">
        <f t="shared" si="447"/>
        <v>0.49732083054253179</v>
      </c>
      <c r="AK321" s="21">
        <f t="shared" si="447"/>
        <v>0.4544374009508716</v>
      </c>
      <c r="AL321" s="24"/>
      <c r="AM321" s="21">
        <f t="shared" ref="AM321:AP322" si="448">AM10/AM$22</f>
        <v>0.50845410628019327</v>
      </c>
      <c r="AN321" s="21">
        <f t="shared" si="448"/>
        <v>0.5883285759594038</v>
      </c>
      <c r="AO321" s="21">
        <f t="shared" si="448"/>
        <v>0.46742613029547886</v>
      </c>
      <c r="AP321" s="21">
        <f t="shared" si="448"/>
        <v>0.41940789473684209</v>
      </c>
      <c r="AQ321" s="24"/>
      <c r="AR321" s="21">
        <f t="shared" ref="AR321:AU322" si="449">AR10/AR$22</f>
        <v>0.38554967299906573</v>
      </c>
      <c r="AS321" s="21">
        <f t="shared" si="449"/>
        <v>0.28287937743190661</v>
      </c>
      <c r="AT321" s="21">
        <f t="shared" si="449"/>
        <v>0.24199432509120389</v>
      </c>
      <c r="AU321" s="21">
        <f t="shared" si="449"/>
        <v>0.22562553925798107</v>
      </c>
      <c r="AV321" s="24"/>
      <c r="AW321" s="21">
        <f t="shared" ref="AW321:AZ322" si="450">AW10/AW$22</f>
        <v>0.20683287165281625</v>
      </c>
      <c r="AX321" s="21">
        <f t="shared" si="450"/>
        <v>0.15388522092432705</v>
      </c>
      <c r="AY321" s="21">
        <f t="shared" si="450"/>
        <v>0.12108682811577082</v>
      </c>
      <c r="AZ321" s="21">
        <f t="shared" si="450"/>
        <v>4.4738500315059854E-2</v>
      </c>
      <c r="BA321" s="24"/>
      <c r="BB321" s="21">
        <f t="shared" ref="BB321:BE322" si="451">BB10/BB$22</f>
        <v>1.1834319526627221E-3</v>
      </c>
      <c r="BC321" s="21">
        <f t="shared" si="451"/>
        <v>5.4466230936819177E-4</v>
      </c>
      <c r="BD321" s="21">
        <f t="shared" si="451"/>
        <v>4.6040515653775324E-4</v>
      </c>
      <c r="BE321" s="21">
        <f t="shared" si="451"/>
        <v>3.2959789057350036E-4</v>
      </c>
      <c r="BF321" s="24"/>
      <c r="BG321" s="21">
        <f t="shared" ref="BG321:BJ322" si="452">BG10/BG$22</f>
        <v>2.6136957658128598E-4</v>
      </c>
      <c r="BH321" s="21">
        <f t="shared" si="452"/>
        <v>3.0175015087507544E-4</v>
      </c>
      <c r="BI321" s="21">
        <f t="shared" si="452"/>
        <v>2.9700029700029698E-4</v>
      </c>
      <c r="BJ321" s="21">
        <f t="shared" si="452"/>
        <v>3.1877590054191907E-4</v>
      </c>
      <c r="BK321" s="24"/>
      <c r="BL321" s="21">
        <f t="shared" ref="BL321:BO322" si="453">BL10/BL$22</f>
        <v>2.5614754098360657E-4</v>
      </c>
      <c r="BM321" s="21">
        <f t="shared" si="453"/>
        <v>0</v>
      </c>
      <c r="BN321" s="21">
        <f t="shared" si="453"/>
        <v>0</v>
      </c>
      <c r="BO321" s="21">
        <f t="shared" si="453"/>
        <v>0</v>
      </c>
      <c r="BP321" s="24"/>
      <c r="BQ321" s="24"/>
      <c r="BR321" s="24"/>
      <c r="BS321" s="24"/>
      <c r="BT321" s="24"/>
      <c r="BU321" s="24"/>
    </row>
    <row r="322" spans="1:73">
      <c r="A322" s="5" t="s">
        <v>2373</v>
      </c>
      <c r="AC322" s="24"/>
      <c r="AD322" s="24"/>
      <c r="AE322" s="21">
        <f>AE11/AE$22</f>
        <v>0.19377707758960219</v>
      </c>
      <c r="AF322" s="21">
        <f>AF11/AF$22</f>
        <v>0.18614877244411873</v>
      </c>
      <c r="AG322" s="24"/>
      <c r="AH322" s="21">
        <f t="shared" si="447"/>
        <v>0.18181818181818182</v>
      </c>
      <c r="AI322" s="21">
        <f t="shared" si="447"/>
        <v>0.17786854808763461</v>
      </c>
      <c r="AJ322" s="21">
        <f t="shared" si="447"/>
        <v>0.1604152712659076</v>
      </c>
      <c r="AK322" s="21">
        <f t="shared" si="447"/>
        <v>0.17749603803486533</v>
      </c>
      <c r="AL322" s="24"/>
      <c r="AM322" s="21">
        <f t="shared" si="448"/>
        <v>0.142914653784219</v>
      </c>
      <c r="AN322" s="21">
        <f t="shared" si="448"/>
        <v>5.5819854107199487E-2</v>
      </c>
      <c r="AO322" s="21">
        <f t="shared" si="448"/>
        <v>7.0487718049127804E-2</v>
      </c>
      <c r="AP322" s="21">
        <f t="shared" si="448"/>
        <v>7.4342105263157876E-2</v>
      </c>
      <c r="AQ322" s="24"/>
      <c r="AR322" s="21">
        <f t="shared" si="449"/>
        <v>7.1005917159763315E-2</v>
      </c>
      <c r="AS322" s="21">
        <f t="shared" si="449"/>
        <v>9.3385214007782102E-2</v>
      </c>
      <c r="AT322" s="21">
        <f t="shared" si="449"/>
        <v>9.2825293879205517E-2</v>
      </c>
      <c r="AU322" s="21">
        <f t="shared" si="449"/>
        <v>9.6635030198446964E-2</v>
      </c>
      <c r="AV322" s="24"/>
      <c r="AW322" s="21">
        <f t="shared" si="450"/>
        <v>0.1103416435826408</v>
      </c>
      <c r="AX322" s="21">
        <f t="shared" si="450"/>
        <v>0.1122397155916709</v>
      </c>
      <c r="AY322" s="21">
        <f t="shared" si="450"/>
        <v>0.13526284701712937</v>
      </c>
      <c r="AZ322" s="21">
        <f t="shared" si="450"/>
        <v>0.14933837429111532</v>
      </c>
      <c r="BA322" s="24"/>
      <c r="BB322" s="21">
        <f t="shared" si="451"/>
        <v>0.14142011834319529</v>
      </c>
      <c r="BC322" s="21">
        <f t="shared" si="451"/>
        <v>0.1454248366013072</v>
      </c>
      <c r="BD322" s="21">
        <f t="shared" si="451"/>
        <v>0.12891344383057091</v>
      </c>
      <c r="BE322" s="21">
        <f t="shared" si="451"/>
        <v>0.10415293342122611</v>
      </c>
      <c r="BF322" s="24"/>
      <c r="BG322" s="21">
        <f t="shared" si="452"/>
        <v>8.3638264506011514E-2</v>
      </c>
      <c r="BH322" s="21">
        <f t="shared" si="452"/>
        <v>9.2335546167773078E-2</v>
      </c>
      <c r="BI322" s="21">
        <f t="shared" si="452"/>
        <v>9.8307098307098301E-2</v>
      </c>
      <c r="BJ322" s="21">
        <f t="shared" si="452"/>
        <v>0.10168951227287218</v>
      </c>
      <c r="BK322" s="24"/>
      <c r="BL322" s="21">
        <f t="shared" si="453"/>
        <v>8.888319672131148E-2</v>
      </c>
      <c r="BM322" s="21">
        <f t="shared" si="453"/>
        <v>8.4545910687405926E-2</v>
      </c>
      <c r="BN322" s="21">
        <f t="shared" si="453"/>
        <v>7.4910210364289367E-2</v>
      </c>
      <c r="BO322" s="21">
        <f t="shared" si="453"/>
        <v>6.9811516297384663E-2</v>
      </c>
      <c r="BP322" s="24"/>
      <c r="BQ322" s="24"/>
      <c r="BR322" s="24"/>
      <c r="BS322" s="24"/>
      <c r="BT322" s="24"/>
      <c r="BU322" s="24"/>
    </row>
    <row r="323" spans="1:73">
      <c r="A323" s="5" t="s">
        <v>2372</v>
      </c>
      <c r="AC323" s="24"/>
      <c r="AD323" s="24"/>
      <c r="AE323" s="21">
        <f>SUM(AE18:AE19)/AE$22</f>
        <v>0.10594722331626624</v>
      </c>
      <c r="AF323" s="21">
        <f>SUM(AF18:AF19)/AF$22</f>
        <v>0.10333455478197141</v>
      </c>
      <c r="AG323" s="24"/>
      <c r="AH323" s="21">
        <f>SUM(AH18:AH19)/AH$22</f>
        <v>0.11218568665377175</v>
      </c>
      <c r="AI323" s="21">
        <f>SUM(AI18:AI19)/AI$22</f>
        <v>0.11622725584849609</v>
      </c>
      <c r="AJ323" s="21">
        <f>SUM(AJ18:AJ19)/AJ$22</f>
        <v>0.10817146684527798</v>
      </c>
      <c r="AK323" s="21">
        <f>SUM(AK18:AK19)/AK$22</f>
        <v>0.12559429477020603</v>
      </c>
      <c r="AL323" s="24"/>
      <c r="AM323" s="21">
        <f>SUM(AM18:AM19)/AM$22</f>
        <v>5.475040257648954E-2</v>
      </c>
      <c r="AN323" s="21">
        <f>SUM(AN18:AN19)/AN$22</f>
        <v>4.0279099270535995E-2</v>
      </c>
      <c r="AO323" s="21">
        <f>SUM(AO18:AO19)/AO$22</f>
        <v>5.5891776432894273E-2</v>
      </c>
      <c r="AP323" s="21">
        <f>SUM(AP18:AP19)/AP$22</f>
        <v>4.9671052631578942E-2</v>
      </c>
      <c r="AQ323" s="24"/>
      <c r="AR323" s="21">
        <f>SUM(AR18:AR19)/AR$22</f>
        <v>5.854873871068203E-2</v>
      </c>
      <c r="AS323" s="21">
        <f>SUM(AS18:AS19)/AS$22</f>
        <v>5.0194552529182881E-2</v>
      </c>
      <c r="AT323" s="21">
        <f>SUM(AT18:AT19)/AT$22</f>
        <v>3.3238751520064856E-2</v>
      </c>
      <c r="AU323" s="21">
        <f>SUM(AU18:AU19)/AU$22</f>
        <v>4.5729076790336505E-2</v>
      </c>
      <c r="AV323" s="24"/>
      <c r="AW323" s="21">
        <f>SUM(AW18:AW19)/AW$22</f>
        <v>5.4016620498614949E-2</v>
      </c>
      <c r="AX323" s="21">
        <f>SUM(AX18:AX19)/AX$22</f>
        <v>6.5007618080243759E-2</v>
      </c>
      <c r="AY323" s="21">
        <f>SUM(AY18:AY19)/AY$22</f>
        <v>7.7377436503248659E-2</v>
      </c>
      <c r="AZ323" s="21">
        <f>SUM(AZ18:AZ19)/AZ$22</f>
        <v>9.5148078134845618E-2</v>
      </c>
      <c r="BA323" s="24"/>
      <c r="BB323" s="21">
        <f>SUM(BB18:BB19)/BB$22</f>
        <v>8.461538461538462E-2</v>
      </c>
      <c r="BC323" s="21">
        <f>SUM(BC18:BC19)/BC$22</f>
        <v>8.1699346405228759E-2</v>
      </c>
      <c r="BD323" s="21">
        <f>SUM(BD18:BD19)/BD$22</f>
        <v>8.7937384898710877E-2</v>
      </c>
      <c r="BE323" s="21">
        <f>SUM(BE18:BE19)/BE$22</f>
        <v>6.8885959129861563E-2</v>
      </c>
      <c r="BF323" s="24"/>
      <c r="BG323" s="21">
        <f>SUM(BG18:BG19)/BG$22</f>
        <v>7.2922111866178779E-2</v>
      </c>
      <c r="BH323" s="21">
        <f>SUM(BH18:BH19)/BH$22</f>
        <v>8.6904043452021726E-2</v>
      </c>
      <c r="BI323" s="21">
        <f>SUM(BI18:BI19)/BI$22</f>
        <v>9.9792099792099784E-2</v>
      </c>
      <c r="BJ323" s="21">
        <f>SUM(BJ18:BJ19)/BJ$22</f>
        <v>0.12145361810647116</v>
      </c>
      <c r="BK323" s="24"/>
      <c r="BL323" s="21">
        <f>SUM(BL18:BL19)/BL$22</f>
        <v>6.5317622950819679E-2</v>
      </c>
      <c r="BM323" s="21">
        <f>SUM(BM18:BM19)/BM$22</f>
        <v>4.164576016056197E-2</v>
      </c>
      <c r="BN323" s="21">
        <f>SUM(BN18:BN19)/BN$22</f>
        <v>2.3345305284761416E-2</v>
      </c>
      <c r="BO323" s="21">
        <f>SUM(BO18:BO19)/BO$22</f>
        <v>1.3116823409562436E-2</v>
      </c>
      <c r="BP323" s="24"/>
      <c r="BQ323" s="24"/>
      <c r="BR323" s="24"/>
      <c r="BS323" s="24"/>
      <c r="BT323" s="24"/>
      <c r="BU323" s="24"/>
    </row>
    <row r="324" spans="1:73">
      <c r="A324" s="5" t="s">
        <v>2374</v>
      </c>
      <c r="AC324" s="24"/>
      <c r="AD324" s="24"/>
      <c r="AE324" s="21">
        <f>AE17/AE$22</f>
        <v>0.10634107916502561</v>
      </c>
      <c r="AF324" s="21">
        <f>AF17/AF$22</f>
        <v>0.11542689629901062</v>
      </c>
      <c r="AG324" s="24"/>
      <c r="AH324" s="21">
        <f>AH17/AH$22</f>
        <v>0.13346228239845262</v>
      </c>
      <c r="AI324" s="21">
        <f>AI17/AI$22</f>
        <v>0.11771258819160788</v>
      </c>
      <c r="AJ324" s="21">
        <f>AJ17/AJ$22</f>
        <v>0.1054922973878098</v>
      </c>
      <c r="AK324" s="21">
        <f>AK17/AK$22</f>
        <v>0.10340729001584786</v>
      </c>
      <c r="AL324" s="24"/>
      <c r="AM324" s="21">
        <f>AM17/AM$22</f>
        <v>0.12520128824476651</v>
      </c>
      <c r="AN324" s="21">
        <f>AN17/AN$22</f>
        <v>0.12337456390738978</v>
      </c>
      <c r="AO324" s="21">
        <f>AO17/AO$22</f>
        <v>0.19615521537913852</v>
      </c>
      <c r="AP324" s="21">
        <f>AP17/AP$22</f>
        <v>0.26151315789473684</v>
      </c>
      <c r="AQ324" s="24"/>
      <c r="AR324" s="21">
        <f>AR17/AR$22</f>
        <v>0.30551230146371849</v>
      </c>
      <c r="AS324" s="21">
        <f>AS17/AS$22</f>
        <v>0.38949416342412452</v>
      </c>
      <c r="AT324" s="21">
        <f>AT17/AT$22</f>
        <v>0.44426428860964734</v>
      </c>
      <c r="AU324" s="21">
        <f>AU17/AU$22</f>
        <v>0.43485763589301124</v>
      </c>
      <c r="AV324" s="24"/>
      <c r="AW324" s="21">
        <f>AW17/AW$22</f>
        <v>0.40951061865189287</v>
      </c>
      <c r="AX324" s="21">
        <f>AX17/AX$22</f>
        <v>0.42915185373285936</v>
      </c>
      <c r="AY324" s="21">
        <f>AY17/AY$22</f>
        <v>0.43473124630832843</v>
      </c>
      <c r="AZ324" s="21">
        <f>AZ17/AZ$22</f>
        <v>0.44801512287334594</v>
      </c>
      <c r="BA324" s="24"/>
      <c r="BB324" s="21">
        <f>BB17/BB$22</f>
        <v>0.4721893491124261</v>
      </c>
      <c r="BC324" s="21">
        <f>BC17/BC$22</f>
        <v>0.44226579520697162</v>
      </c>
      <c r="BD324" s="21">
        <f>BD17/BD$22</f>
        <v>0.38213627992633514</v>
      </c>
      <c r="BE324" s="21">
        <f>BE17/BE$22</f>
        <v>0.29103493737640079</v>
      </c>
      <c r="BF324" s="24"/>
      <c r="BG324" s="21">
        <f>BG17/BG$22</f>
        <v>0.24150548876110817</v>
      </c>
      <c r="BH324" s="21">
        <f>BH17/BH$22</f>
        <v>0.26041038020519008</v>
      </c>
      <c r="BI324" s="21">
        <f>BI17/BI$22</f>
        <v>0.28215028215028209</v>
      </c>
      <c r="BJ324" s="21">
        <f>BJ17/BJ$22</f>
        <v>0.29964934650940389</v>
      </c>
      <c r="BK324" s="24"/>
      <c r="BL324" s="21">
        <f>BL17/BL$22</f>
        <v>0.27279713114754101</v>
      </c>
      <c r="BM324" s="21">
        <f>BM17/BM$22</f>
        <v>0.33266432513798289</v>
      </c>
      <c r="BN324" s="21">
        <f>BN17/BN$22</f>
        <v>0.46177526936890706</v>
      </c>
      <c r="BO324" s="21">
        <f>BO17/BO$22</f>
        <v>0.4298466669195512</v>
      </c>
      <c r="BP324" s="24"/>
      <c r="BQ324" s="24"/>
      <c r="BR324" s="24"/>
      <c r="BS324" s="24"/>
      <c r="BT324" s="24"/>
      <c r="BU324" s="24"/>
    </row>
    <row r="325" spans="1:73">
      <c r="A325" s="5" t="s">
        <v>946</v>
      </c>
      <c r="AC325" s="24"/>
      <c r="AD325" s="24"/>
      <c r="AE325" s="21">
        <f t="shared" ref="AE325:AF327" si="454">AE20/AE$22</f>
        <v>0.10634107916502561</v>
      </c>
      <c r="AF325" s="21">
        <f t="shared" si="454"/>
        <v>9.9303774276291681E-2</v>
      </c>
      <c r="AG325" s="24"/>
      <c r="AH325" s="21">
        <f t="shared" ref="AH325:AK327" si="455">AH20/AH$22</f>
        <v>0.10135396518375242</v>
      </c>
      <c r="AI325" s="21">
        <f t="shared" si="455"/>
        <v>9.9517266988488687E-2</v>
      </c>
      <c r="AJ325" s="21">
        <f t="shared" si="455"/>
        <v>9.0421969189551255E-2</v>
      </c>
      <c r="AK325" s="21">
        <f t="shared" si="455"/>
        <v>0.10419968304278923</v>
      </c>
      <c r="AL325" s="24"/>
      <c r="AM325" s="21">
        <f t="shared" ref="AM325:AP327" si="456">AM20/AM$22</f>
        <v>0.10668276972624799</v>
      </c>
      <c r="AN325" s="21">
        <f t="shared" si="456"/>
        <v>8.2461148112908347E-2</v>
      </c>
      <c r="AO325" s="21">
        <f t="shared" si="456"/>
        <v>9.0779636881452463E-2</v>
      </c>
      <c r="AP325" s="21">
        <f t="shared" si="456"/>
        <v>8.9473684210526316E-2</v>
      </c>
      <c r="AQ325" s="24"/>
      <c r="AR325" s="21">
        <f t="shared" ref="AR325:AU327" si="457">AR20/AR$22</f>
        <v>8.4708813453752738E-2</v>
      </c>
      <c r="AS325" s="21">
        <f t="shared" si="457"/>
        <v>0.10700389105058367</v>
      </c>
      <c r="AT325" s="21">
        <f t="shared" si="457"/>
        <v>0.11471422780705311</v>
      </c>
      <c r="AU325" s="21">
        <f t="shared" si="457"/>
        <v>0.11691113028472823</v>
      </c>
      <c r="AV325" s="24"/>
      <c r="AW325" s="21">
        <f t="shared" ref="AW325:AZ327" si="458">AW20/AW$22</f>
        <v>0.136657433056325</v>
      </c>
      <c r="AX325" s="21">
        <f t="shared" si="458"/>
        <v>0.15896394108684611</v>
      </c>
      <c r="AY325" s="21">
        <f t="shared" si="458"/>
        <v>0.1553455404607206</v>
      </c>
      <c r="AZ325" s="21">
        <f t="shared" si="458"/>
        <v>0.1808443604284814</v>
      </c>
      <c r="BA325" s="24"/>
      <c r="BB325" s="21">
        <f t="shared" ref="BB325:BE327" si="459">BB20/BB$22</f>
        <v>0.21656804733727814</v>
      </c>
      <c r="BC325" s="21">
        <f t="shared" si="459"/>
        <v>0.23583877995642702</v>
      </c>
      <c r="BD325" s="21">
        <f t="shared" si="459"/>
        <v>0.31906077348066297</v>
      </c>
      <c r="BE325" s="21">
        <f t="shared" si="459"/>
        <v>0.47330257086354643</v>
      </c>
      <c r="BF325" s="24"/>
      <c r="BG325" s="21">
        <f t="shared" ref="BG325:BJ327" si="460">BG20/BG$22</f>
        <v>0.54939884997386301</v>
      </c>
      <c r="BH325" s="21">
        <f t="shared" si="460"/>
        <v>0.49788774894387444</v>
      </c>
      <c r="BI325" s="21">
        <f t="shared" si="460"/>
        <v>0.45797445797445796</v>
      </c>
      <c r="BJ325" s="21">
        <f t="shared" si="460"/>
        <v>0.4112209116990756</v>
      </c>
      <c r="BK325" s="24"/>
      <c r="BL325" s="21">
        <f t="shared" ref="BL325:BO327" si="461">BL20/BL$22</f>
        <v>0.50794057377049173</v>
      </c>
      <c r="BM325" s="21">
        <f t="shared" si="461"/>
        <v>0.45609633718013043</v>
      </c>
      <c r="BN325" s="21">
        <f t="shared" si="461"/>
        <v>0.32555156490507947</v>
      </c>
      <c r="BO325" s="21">
        <f t="shared" si="461"/>
        <v>0.3702355998267875</v>
      </c>
      <c r="BP325" s="24"/>
      <c r="BQ325" s="24"/>
      <c r="BR325" s="24"/>
      <c r="BS325" s="24"/>
      <c r="BT325" s="24"/>
      <c r="BU325" s="24"/>
    </row>
    <row r="326" spans="1:73">
      <c r="A326" s="5" t="s">
        <v>947</v>
      </c>
      <c r="AC326" s="24"/>
      <c r="AD326" s="24"/>
      <c r="AE326" s="21">
        <f t="shared" si="454"/>
        <v>1.063410791650256E-2</v>
      </c>
      <c r="AF326" s="21">
        <f t="shared" si="454"/>
        <v>1.7222425796995237E-2</v>
      </c>
      <c r="AG326" s="24"/>
      <c r="AH326" s="21">
        <f t="shared" si="455"/>
        <v>3.4816247582205029E-2</v>
      </c>
      <c r="AI326" s="21">
        <f t="shared" si="455"/>
        <v>2.8221314519123655E-2</v>
      </c>
      <c r="AJ326" s="21">
        <f t="shared" si="455"/>
        <v>3.8178164768921635E-2</v>
      </c>
      <c r="AK326" s="21">
        <f t="shared" si="455"/>
        <v>3.486529318541997E-2</v>
      </c>
      <c r="AL326" s="24"/>
      <c r="AM326" s="21">
        <f t="shared" si="456"/>
        <v>6.1996779388083741E-2</v>
      </c>
      <c r="AN326" s="21">
        <f t="shared" si="456"/>
        <v>0.10973675864256263</v>
      </c>
      <c r="AO326" s="21">
        <f t="shared" si="456"/>
        <v>0.11925952296190814</v>
      </c>
      <c r="AP326" s="21">
        <f t="shared" si="456"/>
        <v>0.10559210526315789</v>
      </c>
      <c r="AQ326" s="24"/>
      <c r="AR326" s="21">
        <f t="shared" si="457"/>
        <v>9.4674556213017749E-2</v>
      </c>
      <c r="AS326" s="21">
        <f t="shared" si="457"/>
        <v>7.7042801556420237E-2</v>
      </c>
      <c r="AT326" s="21">
        <f t="shared" si="457"/>
        <v>7.2963113092825299E-2</v>
      </c>
      <c r="AU326" s="21">
        <f t="shared" si="457"/>
        <v>8.0241587575496126E-2</v>
      </c>
      <c r="AV326" s="24"/>
      <c r="AW326" s="21">
        <f t="shared" si="458"/>
        <v>8.2640812557710053E-2</v>
      </c>
      <c r="AX326" s="21">
        <f t="shared" si="458"/>
        <v>8.0751650584052814E-2</v>
      </c>
      <c r="AY326" s="21">
        <f t="shared" si="458"/>
        <v>7.6196101594802126E-2</v>
      </c>
      <c r="AZ326" s="21">
        <f t="shared" si="458"/>
        <v>8.1915563957151855E-2</v>
      </c>
      <c r="BA326" s="24"/>
      <c r="BB326" s="21">
        <f t="shared" si="459"/>
        <v>8.4023668639053251E-2</v>
      </c>
      <c r="BC326" s="21">
        <f t="shared" si="459"/>
        <v>9.4226579520697171E-2</v>
      </c>
      <c r="BD326" s="21">
        <f t="shared" si="459"/>
        <v>8.1491712707182321E-2</v>
      </c>
      <c r="BE326" s="21">
        <f t="shared" si="459"/>
        <v>6.2294001318391558E-2</v>
      </c>
      <c r="BF326" s="24"/>
      <c r="BG326" s="21">
        <f t="shared" si="460"/>
        <v>5.2273915316257191E-2</v>
      </c>
      <c r="BH326" s="21">
        <f t="shared" si="460"/>
        <v>6.2160531080265542E-2</v>
      </c>
      <c r="BI326" s="21">
        <f t="shared" si="460"/>
        <v>6.1479061479061473E-2</v>
      </c>
      <c r="BJ326" s="21">
        <f t="shared" si="460"/>
        <v>6.5667835511635325E-2</v>
      </c>
      <c r="BK326" s="24"/>
      <c r="BL326" s="21">
        <f t="shared" si="461"/>
        <v>6.4805327868852458E-2</v>
      </c>
      <c r="BM326" s="21">
        <f t="shared" si="461"/>
        <v>8.504766683391872E-2</v>
      </c>
      <c r="BN326" s="21">
        <f t="shared" si="461"/>
        <v>0.11441765007696253</v>
      </c>
      <c r="BO326" s="21">
        <f t="shared" si="461"/>
        <v>0.11698939354671417</v>
      </c>
      <c r="BP326" s="24"/>
      <c r="BQ326" s="24"/>
      <c r="BR326" s="24"/>
      <c r="BS326" s="24"/>
      <c r="BT326" s="24"/>
      <c r="BU326" s="24"/>
    </row>
    <row r="327" spans="1:73">
      <c r="A327" s="9" t="s">
        <v>948</v>
      </c>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30"/>
      <c r="AD327" s="30"/>
      <c r="AE327" s="32">
        <f t="shared" si="454"/>
        <v>1</v>
      </c>
      <c r="AF327" s="32">
        <f t="shared" si="454"/>
        <v>1</v>
      </c>
      <c r="AG327" s="30"/>
      <c r="AH327" s="32">
        <f t="shared" si="455"/>
        <v>1</v>
      </c>
      <c r="AI327" s="32">
        <f t="shared" si="455"/>
        <v>1</v>
      </c>
      <c r="AJ327" s="32">
        <f t="shared" si="455"/>
        <v>1</v>
      </c>
      <c r="AK327" s="32">
        <f t="shared" si="455"/>
        <v>1</v>
      </c>
      <c r="AL327" s="30"/>
      <c r="AM327" s="32">
        <f t="shared" si="456"/>
        <v>1</v>
      </c>
      <c r="AN327" s="32">
        <f t="shared" si="456"/>
        <v>1</v>
      </c>
      <c r="AO327" s="32">
        <f t="shared" si="456"/>
        <v>1</v>
      </c>
      <c r="AP327" s="32">
        <f t="shared" si="456"/>
        <v>1</v>
      </c>
      <c r="AQ327" s="30"/>
      <c r="AR327" s="32">
        <f t="shared" si="457"/>
        <v>1</v>
      </c>
      <c r="AS327" s="32">
        <f t="shared" si="457"/>
        <v>1</v>
      </c>
      <c r="AT327" s="32">
        <f t="shared" si="457"/>
        <v>1</v>
      </c>
      <c r="AU327" s="32">
        <f t="shared" si="457"/>
        <v>1</v>
      </c>
      <c r="AV327" s="30"/>
      <c r="AW327" s="32">
        <f t="shared" si="458"/>
        <v>1</v>
      </c>
      <c r="AX327" s="32">
        <f t="shared" si="458"/>
        <v>1</v>
      </c>
      <c r="AY327" s="32">
        <f t="shared" si="458"/>
        <v>1</v>
      </c>
      <c r="AZ327" s="32">
        <f t="shared" si="458"/>
        <v>1</v>
      </c>
      <c r="BA327" s="30"/>
      <c r="BB327" s="32">
        <f t="shared" si="459"/>
        <v>1</v>
      </c>
      <c r="BC327" s="32">
        <f t="shared" si="459"/>
        <v>1</v>
      </c>
      <c r="BD327" s="32">
        <f t="shared" si="459"/>
        <v>1</v>
      </c>
      <c r="BE327" s="32">
        <f t="shared" si="459"/>
        <v>1</v>
      </c>
      <c r="BF327" s="30"/>
      <c r="BG327" s="32">
        <f t="shared" si="460"/>
        <v>1</v>
      </c>
      <c r="BH327" s="32">
        <f t="shared" si="460"/>
        <v>1</v>
      </c>
      <c r="BI327" s="32">
        <f t="shared" si="460"/>
        <v>1</v>
      </c>
      <c r="BJ327" s="32">
        <f t="shared" si="460"/>
        <v>1</v>
      </c>
      <c r="BK327" s="30"/>
      <c r="BL327" s="32">
        <f t="shared" si="461"/>
        <v>1</v>
      </c>
      <c r="BM327" s="32">
        <f t="shared" si="461"/>
        <v>1</v>
      </c>
      <c r="BN327" s="32">
        <f t="shared" si="461"/>
        <v>1</v>
      </c>
      <c r="BO327" s="32">
        <f t="shared" si="461"/>
        <v>1</v>
      </c>
      <c r="BP327" s="30"/>
      <c r="BQ327" s="24"/>
      <c r="BR327" s="24"/>
      <c r="BS327" s="24"/>
      <c r="BT327" s="24"/>
      <c r="BU327" s="24"/>
    </row>
    <row r="329" spans="1:73">
      <c r="A329" s="1" t="s">
        <v>2804</v>
      </c>
    </row>
    <row r="330" spans="1:73">
      <c r="A330" s="5" t="s">
        <v>704</v>
      </c>
      <c r="AE330" s="104">
        <f>AE321</f>
        <v>0.47695943284757775</v>
      </c>
      <c r="AF330" s="104">
        <f>AF321</f>
        <v>0.47856357640161235</v>
      </c>
      <c r="AH330" s="104">
        <f t="shared" ref="AH330:BO330" si="462">AH321</f>
        <v>0.43636363636363634</v>
      </c>
      <c r="AI330" s="104">
        <f t="shared" si="462"/>
        <v>0.46045302636464913</v>
      </c>
      <c r="AJ330" s="104">
        <f t="shared" si="462"/>
        <v>0.49732083054253179</v>
      </c>
      <c r="AK330" s="104">
        <f t="shared" si="462"/>
        <v>0.4544374009508716</v>
      </c>
      <c r="AM330" s="104">
        <f t="shared" si="462"/>
        <v>0.50845410628019327</v>
      </c>
      <c r="AN330" s="104">
        <f t="shared" si="462"/>
        <v>0.5883285759594038</v>
      </c>
      <c r="AO330" s="104">
        <f t="shared" si="462"/>
        <v>0.46742613029547886</v>
      </c>
      <c r="AP330" s="104">
        <f t="shared" si="462"/>
        <v>0.41940789473684209</v>
      </c>
      <c r="AR330" s="104">
        <f t="shared" si="462"/>
        <v>0.38554967299906573</v>
      </c>
      <c r="AS330" s="104">
        <f t="shared" si="462"/>
        <v>0.28287937743190661</v>
      </c>
      <c r="AT330" s="104">
        <f t="shared" si="462"/>
        <v>0.24199432509120389</v>
      </c>
      <c r="AU330" s="104">
        <f t="shared" si="462"/>
        <v>0.22562553925798107</v>
      </c>
      <c r="AW330" s="104">
        <f t="shared" si="462"/>
        <v>0.20683287165281625</v>
      </c>
      <c r="AX330" s="104">
        <f t="shared" si="462"/>
        <v>0.15388522092432705</v>
      </c>
      <c r="AY330" s="104">
        <f t="shared" si="462"/>
        <v>0.12108682811577082</v>
      </c>
      <c r="AZ330" s="104">
        <f t="shared" si="462"/>
        <v>4.4738500315059854E-2</v>
      </c>
      <c r="BB330" s="104">
        <f t="shared" si="462"/>
        <v>1.1834319526627221E-3</v>
      </c>
      <c r="BC330" s="104">
        <f t="shared" si="462"/>
        <v>5.4466230936819177E-4</v>
      </c>
      <c r="BD330" s="104">
        <f t="shared" si="462"/>
        <v>4.6040515653775324E-4</v>
      </c>
      <c r="BE330" s="104">
        <f t="shared" si="462"/>
        <v>3.2959789057350036E-4</v>
      </c>
      <c r="BG330" s="104">
        <f t="shared" si="462"/>
        <v>2.6136957658128598E-4</v>
      </c>
      <c r="BH330" s="104">
        <f t="shared" si="462"/>
        <v>3.0175015087507544E-4</v>
      </c>
      <c r="BI330" s="104">
        <f t="shared" si="462"/>
        <v>2.9700029700029698E-4</v>
      </c>
      <c r="BJ330" s="104">
        <f t="shared" si="462"/>
        <v>3.1877590054191907E-4</v>
      </c>
      <c r="BL330" s="104">
        <f t="shared" si="462"/>
        <v>2.5614754098360657E-4</v>
      </c>
      <c r="BM330" s="104">
        <f t="shared" si="462"/>
        <v>0</v>
      </c>
      <c r="BN330" s="104">
        <f t="shared" si="462"/>
        <v>0</v>
      </c>
      <c r="BO330" s="104">
        <f t="shared" si="462"/>
        <v>0</v>
      </c>
    </row>
    <row r="331" spans="1:73">
      <c r="A331" s="5" t="s">
        <v>2806</v>
      </c>
      <c r="AE331" s="104">
        <f>SUM(AE322:AE323)</f>
        <v>0.29972430090586843</v>
      </c>
      <c r="AF331" s="104">
        <f>SUM(AF322:AF323)</f>
        <v>0.28948332722609016</v>
      </c>
      <c r="AH331" s="104">
        <f t="shared" ref="AH331:AK331" si="463">SUM(AH322:AH323)</f>
        <v>0.29400386847195359</v>
      </c>
      <c r="AI331" s="104">
        <f t="shared" si="463"/>
        <v>0.29409580393613072</v>
      </c>
      <c r="AJ331" s="104">
        <f t="shared" si="463"/>
        <v>0.26858673811118561</v>
      </c>
      <c r="AK331" s="104">
        <f t="shared" si="463"/>
        <v>0.30309033280507136</v>
      </c>
      <c r="AM331" s="104">
        <f t="shared" ref="AM331:AP331" si="464">SUM(AM322:AM323)</f>
        <v>0.19766505636070852</v>
      </c>
      <c r="AN331" s="104">
        <f t="shared" si="464"/>
        <v>9.6098953377735483E-2</v>
      </c>
      <c r="AO331" s="104">
        <f t="shared" si="464"/>
        <v>0.12637949448202207</v>
      </c>
      <c r="AP331" s="104">
        <f t="shared" si="464"/>
        <v>0.12401315789473683</v>
      </c>
      <c r="AR331" s="104">
        <f t="shared" ref="AR331:AU331" si="465">SUM(AR322:AR323)</f>
        <v>0.12955465587044535</v>
      </c>
      <c r="AS331" s="104">
        <f t="shared" si="465"/>
        <v>0.14357976653696497</v>
      </c>
      <c r="AT331" s="104">
        <f t="shared" si="465"/>
        <v>0.12606404539927038</v>
      </c>
      <c r="AU331" s="104">
        <f t="shared" si="465"/>
        <v>0.14236410698878346</v>
      </c>
      <c r="AW331" s="104">
        <f t="shared" ref="AW331:AZ331" si="466">SUM(AW322:AW323)</f>
        <v>0.16435826408125576</v>
      </c>
      <c r="AX331" s="104">
        <f t="shared" si="466"/>
        <v>0.17724733367191464</v>
      </c>
      <c r="AY331" s="104">
        <f t="shared" si="466"/>
        <v>0.21264028352037803</v>
      </c>
      <c r="AZ331" s="104">
        <f t="shared" si="466"/>
        <v>0.24448645242596095</v>
      </c>
      <c r="BB331" s="104">
        <f t="shared" ref="BB331:BE331" si="467">SUM(BB322:BB323)</f>
        <v>0.22603550295857991</v>
      </c>
      <c r="BC331" s="104">
        <f t="shared" si="467"/>
        <v>0.22712418300653597</v>
      </c>
      <c r="BD331" s="104">
        <f t="shared" si="467"/>
        <v>0.2168508287292818</v>
      </c>
      <c r="BE331" s="104">
        <f t="shared" si="467"/>
        <v>0.17303889255108768</v>
      </c>
      <c r="BG331" s="104">
        <f t="shared" ref="BG331:BJ331" si="468">SUM(BG322:BG323)</f>
        <v>0.15656037637219028</v>
      </c>
      <c r="BH331" s="104">
        <f t="shared" si="468"/>
        <v>0.1792395896197948</v>
      </c>
      <c r="BI331" s="104">
        <f t="shared" si="468"/>
        <v>0.19809919809919807</v>
      </c>
      <c r="BJ331" s="104">
        <f t="shared" si="468"/>
        <v>0.22314313037934336</v>
      </c>
      <c r="BL331" s="104">
        <f t="shared" ref="BL331:BO331" si="469">SUM(BL322:BL323)</f>
        <v>0.15420081967213117</v>
      </c>
      <c r="BM331" s="104">
        <f t="shared" si="469"/>
        <v>0.1261916708479679</v>
      </c>
      <c r="BN331" s="104">
        <f t="shared" si="469"/>
        <v>9.8255515649050787E-2</v>
      </c>
      <c r="BO331" s="104">
        <f t="shared" si="469"/>
        <v>8.2928339706947102E-2</v>
      </c>
    </row>
    <row r="332" spans="1:73">
      <c r="A332" s="5" t="s">
        <v>2374</v>
      </c>
      <c r="AE332" s="104">
        <f>AE324-(AE13/AE22)</f>
        <v>0.10634107916502561</v>
      </c>
      <c r="AF332" s="104">
        <f>AF324-(AF13/AF22)</f>
        <v>0.11542689629901062</v>
      </c>
      <c r="AH332" s="104">
        <f>AH324-(AH13/AH22)</f>
        <v>0.13346228239845262</v>
      </c>
      <c r="AI332" s="104">
        <f>AI324-(AI13/AI22)</f>
        <v>0.11771258819160788</v>
      </c>
      <c r="AJ332" s="104">
        <f>AJ324-(AJ13/AJ22)</f>
        <v>0.1054922973878098</v>
      </c>
      <c r="AK332" s="104">
        <f>AK324-(AK13/AK22)</f>
        <v>0.10340729001584786</v>
      </c>
      <c r="AM332" s="104">
        <f>AM324-(AM13/AM22)</f>
        <v>0.12520128824476651</v>
      </c>
      <c r="AN332" s="104">
        <f>AN324-(AN13/AN22)</f>
        <v>0.12337456390738978</v>
      </c>
      <c r="AO332" s="104">
        <f>AO324-(AO13/AO22)</f>
        <v>0.19615521537913852</v>
      </c>
      <c r="AP332" s="104">
        <f>AP324-(AP13/AP22)</f>
        <v>0.26151315789473684</v>
      </c>
      <c r="AR332" s="104">
        <f>AR324-(AR13/AR22)</f>
        <v>0.30551230146371849</v>
      </c>
      <c r="AS332" s="104">
        <f>AS324-(AS13/AS22)</f>
        <v>0.38949416342412452</v>
      </c>
      <c r="AT332" s="104">
        <f>AT324-(AT13/AT22)</f>
        <v>0.44426428860964734</v>
      </c>
      <c r="AU332" s="104">
        <f>AU324-(AU13/AU22)</f>
        <v>0.43485763589301124</v>
      </c>
      <c r="AW332" s="104">
        <f>AW324-(AW13/AW22)</f>
        <v>0.40951061865189287</v>
      </c>
      <c r="AX332" s="104">
        <f>AX324-(AX13/AX22)</f>
        <v>0.42915185373285936</v>
      </c>
      <c r="AY332" s="104">
        <f>AY324-(AY13/AY22)</f>
        <v>0.43473124630832843</v>
      </c>
      <c r="AZ332" s="104">
        <f>AZ324-(AZ13/AZ22)</f>
        <v>0.44801512287334594</v>
      </c>
      <c r="BB332" s="104">
        <f>BB324-(BB13/BB22)</f>
        <v>0.4721893491124261</v>
      </c>
      <c r="BC332" s="104">
        <f>BC324-(BC13/BC22)</f>
        <v>0.44226579520697162</v>
      </c>
      <c r="BD332" s="104">
        <f>BD324-(BD13/BD22)</f>
        <v>0.38213627992633514</v>
      </c>
      <c r="BE332" s="104">
        <f>BE324-(BE13/BE22)</f>
        <v>0.29103493737640079</v>
      </c>
      <c r="BG332" s="104">
        <f>BG324-(BG13/BG22)</f>
        <v>0.24150548876110817</v>
      </c>
      <c r="BH332" s="104">
        <f>BH324-(BH13/BH22)</f>
        <v>0.25825694025347012</v>
      </c>
      <c r="BI332" s="104">
        <f>BI324-(BI13/BI22)</f>
        <v>0.27980130680130677</v>
      </c>
      <c r="BJ332" s="104">
        <f>BJ324-(BJ13/BJ22)</f>
        <v>0.28395382825491511</v>
      </c>
      <c r="BL332" s="104">
        <f>BL324-(BL13/BL22)</f>
        <v>0.2327629762386447</v>
      </c>
      <c r="BM332" s="104">
        <f>BM324-(BM13/BM22)</f>
        <v>0.24040802809834416</v>
      </c>
      <c r="BN332" s="104">
        <f>BN324-(BN13/BN22)</f>
        <v>0.24328209338122109</v>
      </c>
      <c r="BO332" s="104">
        <f>BO324-(BO13/BO22)</f>
        <v>0.22348324277206957</v>
      </c>
    </row>
    <row r="333" spans="1:73">
      <c r="A333" s="5" t="s">
        <v>2805</v>
      </c>
      <c r="AE333" s="104">
        <f>AE325+(('SoftBank Other (13F)'!P6+'SoftBank Other (13F)'!P8+'SoftBank Other (13F)'!P19)/1000/'Valuation &amp; SBG NAV'!AE66)</f>
        <v>0.10634107916502561</v>
      </c>
      <c r="AF333" s="104">
        <f>AF325+(('SoftBank Other (13F)'!Q6+'SoftBank Other (13F)'!Q8+'SoftBank Other (13F)'!Q19)/1000/'Valuation &amp; SBG NAV'!AF66)</f>
        <v>9.9303774276291681E-2</v>
      </c>
      <c r="AH333" s="104">
        <f>AH325+(('SoftBank Other (13F)'!S6+'SoftBank Other (13F)'!S8+'SoftBank Other (13F)'!S19)/1000/'Valuation &amp; SBG NAV'!AH66)</f>
        <v>0.10135396518375242</v>
      </c>
      <c r="AI333" s="104">
        <f>AI325+(('SoftBank Other (13F)'!T6+'SoftBank Other (13F)'!T8+'SoftBank Other (13F)'!T19)/1000/'Valuation &amp; SBG NAV'!AI66)</f>
        <v>9.9517266988488687E-2</v>
      </c>
      <c r="AJ333" s="104">
        <f>AJ325+(('SoftBank Other (13F)'!U6+'SoftBank Other (13F)'!U8+'SoftBank Other (13F)'!U19)/1000/'Valuation &amp; SBG NAV'!AJ66)</f>
        <v>9.0421969189551255E-2</v>
      </c>
      <c r="AK333" s="104">
        <f>AK325+(('SoftBank Other (13F)'!V6+'SoftBank Other (13F)'!V8+'SoftBank Other (13F)'!V19)/1000/'Valuation &amp; SBG NAV'!AK66)</f>
        <v>0.10419968304278923</v>
      </c>
      <c r="AM333" s="104">
        <f>AM325+(('SoftBank Other (13F)'!X6+'SoftBank Other (13F)'!X8+'SoftBank Other (13F)'!X19)/1000/'Valuation &amp; SBG NAV'!AM66)</f>
        <v>0.10668276972624799</v>
      </c>
      <c r="AN333" s="104">
        <f>AN325+(('SoftBank Other (13F)'!Y6+'SoftBank Other (13F)'!Y8+'SoftBank Other (13F)'!Y19)/1000/'Valuation &amp; SBG NAV'!AN66)</f>
        <v>8.2461148112908347E-2</v>
      </c>
      <c r="AO333" s="104">
        <f>AO325+(('SoftBank Other (13F)'!Z6+'SoftBank Other (13F)'!Z8+'SoftBank Other (13F)'!Z19)/1000/'Valuation &amp; SBG NAV'!AO66)</f>
        <v>9.0779636881452463E-2</v>
      </c>
      <c r="AP333" s="104">
        <f>AP325+(('SoftBank Other (13F)'!AA6+'SoftBank Other (13F)'!AA8+'SoftBank Other (13F)'!AA19)/1000/'Valuation &amp; SBG NAV'!AP66)</f>
        <v>8.9473684210526316E-2</v>
      </c>
      <c r="AR333" s="104">
        <f>AR325+(('SoftBank Other (13F)'!AC6+'SoftBank Other (13F)'!AC8+'SoftBank Other (13F)'!AC19)/1000/'Valuation &amp; SBG NAV'!AR66)</f>
        <v>8.4708813453752738E-2</v>
      </c>
      <c r="AS333" s="104">
        <f>AS325+(('SoftBank Other (13F)'!AD6+'SoftBank Other (13F)'!AD8+'SoftBank Other (13F)'!AD19)/1000/'Valuation &amp; SBG NAV'!AS66)</f>
        <v>0.10700389105058367</v>
      </c>
      <c r="AT333" s="104">
        <f>AT325+(('SoftBank Other (13F)'!AE6+'SoftBank Other (13F)'!AE8+'SoftBank Other (13F)'!AE19)/1000/'Valuation &amp; SBG NAV'!AT66)</f>
        <v>0.11471422780705311</v>
      </c>
      <c r="AU333" s="104">
        <f>AU325+(('SoftBank Other (13F)'!AF6+'SoftBank Other (13F)'!AF8+'SoftBank Other (13F)'!AF19)/1000/'Valuation &amp; SBG NAV'!AU66)</f>
        <v>0.11691113028472823</v>
      </c>
      <c r="AW333" s="104">
        <f>AW325+(('SoftBank Other (13F)'!AH6+'SoftBank Other (13F)'!AH8+'SoftBank Other (13F)'!AH19)/1000/'Valuation &amp; SBG NAV'!AW66)</f>
        <v>0.136657433056325</v>
      </c>
      <c r="AX333" s="104">
        <f>AX325+(('SoftBank Other (13F)'!AI6+'SoftBank Other (13F)'!AI8+'SoftBank Other (13F)'!AI19)/1000/'Valuation &amp; SBG NAV'!AX66)</f>
        <v>0.15896394108684611</v>
      </c>
      <c r="AY333" s="104">
        <f>AY325+(('SoftBank Other (13F)'!AJ6+'SoftBank Other (13F)'!AJ8+'SoftBank Other (13F)'!AJ19)/1000/'Valuation &amp; SBG NAV'!AY66)</f>
        <v>0.1553455404607206</v>
      </c>
      <c r="AZ333" s="104">
        <f>AZ325+(('SoftBank Other (13F)'!AK6+'SoftBank Other (13F)'!AK8+'SoftBank Other (13F)'!AK19)/1000/'Valuation &amp; SBG NAV'!AZ66)</f>
        <v>0.1808443604284814</v>
      </c>
      <c r="BB333" s="104">
        <f>BB325+(('SoftBank Other (13F)'!AM6+'SoftBank Other (13F)'!AM8+'SoftBank Other (13F)'!AM19)/1000/'Valuation &amp; SBG NAV'!BB66)</f>
        <v>0.21656804733727814</v>
      </c>
      <c r="BC333" s="104">
        <f>BC325+(('SoftBank Other (13F)'!AN6+'SoftBank Other (13F)'!AN8+'SoftBank Other (13F)'!AN19)/1000/'Valuation &amp; SBG NAV'!BC66)</f>
        <v>0.23583877995642702</v>
      </c>
      <c r="BD333" s="104">
        <f>BD325+(('SoftBank Other (13F)'!AO6+'SoftBank Other (13F)'!AO8+'SoftBank Other (13F)'!AO19)/1000/'Valuation &amp; SBG NAV'!BD66)</f>
        <v>0.32246005779715065</v>
      </c>
      <c r="BE333" s="104">
        <f>BE325+(('SoftBank Other (13F)'!AP6+'SoftBank Other (13F)'!AP8+'SoftBank Other (13F)'!AP19)/1000/'Valuation &amp; SBG NAV'!BE66)</f>
        <v>0.47804295763815524</v>
      </c>
      <c r="BG333" s="104">
        <f>BG325+(('SoftBank Other (13F)'!AR6+'SoftBank Other (13F)'!AR8+'SoftBank Other (13F)'!AR19)/1000/'Valuation &amp; SBG NAV'!BG66)</f>
        <v>0.55486618720600356</v>
      </c>
      <c r="BH333" s="104">
        <f>BH325+(('SoftBank Other (13F)'!AS6+'SoftBank Other (13F)'!AS8+'SoftBank Other (13F)'!AS19)/1000/'Valuation &amp; SBG NAV'!BH66)</f>
        <v>0.50338598134509305</v>
      </c>
      <c r="BI333" s="104">
        <f>BI325+(('SoftBank Other (13F)'!AT6+'SoftBank Other (13F)'!AT8+'SoftBank Other (13F)'!AT19)/1000/'Valuation &amp; SBG NAV'!BI66)</f>
        <v>0.46460655240403637</v>
      </c>
      <c r="BJ333" s="104">
        <f>BJ325+(('SoftBank Other (13F)'!AU6+'SoftBank Other (13F)'!AU8+'SoftBank Other (13F)'!AU19)/1000/'Valuation &amp; SBG NAV'!BJ66)</f>
        <v>0.42856074247322751</v>
      </c>
      <c r="BL333" s="104">
        <f>BL325+(('SoftBank Other (13F)'!AW6+'SoftBank Other (13F)'!AW8+'SoftBank Other (13F)'!AW19)/1000/'Valuation &amp; SBG NAV'!BL66)</f>
        <v>0.52749761395465256</v>
      </c>
      <c r="BM333" s="104">
        <f>BM325+(('SoftBank Other (13F)'!AX6+'SoftBank Other (13F)'!AX8+'SoftBank Other (13F)'!AX19)/1000/'Valuation &amp; SBG NAV'!BM66)</f>
        <v>0.48054447824630864</v>
      </c>
      <c r="BN333" s="104">
        <f>BN325+(('SoftBank Other (13F)'!AY6+'SoftBank Other (13F)'!AY8+'SoftBank Other (13F)'!AY19)/1000/'Valuation &amp; SBG NAV'!BN66)</f>
        <v>0.35408107700164182</v>
      </c>
      <c r="BO333" s="104">
        <f>BO325+(('SoftBank Other (13F)'!AZ6+'SoftBank Other (13F)'!AZ8+'SoftBank Other (13F)'!AZ19)/1000/'Valuation &amp; SBG NAV'!BO66)</f>
        <v>0.3977137281034353</v>
      </c>
    </row>
    <row r="334" spans="1:73">
      <c r="A334" s="5" t="s">
        <v>2807</v>
      </c>
      <c r="AE334" s="104">
        <f>AE13/AE22</f>
        <v>0</v>
      </c>
      <c r="AF334" s="104">
        <f>AF13/AF22</f>
        <v>0</v>
      </c>
      <c r="AH334" s="104">
        <f>AH13/AH22</f>
        <v>0</v>
      </c>
      <c r="AI334" s="104">
        <f>AI13/AI22</f>
        <v>0</v>
      </c>
      <c r="AJ334" s="104">
        <f>AJ13/AJ22</f>
        <v>0</v>
      </c>
      <c r="AK334" s="104">
        <f>AK13/AK22</f>
        <v>0</v>
      </c>
      <c r="AM334" s="104">
        <f>AM13/AM22</f>
        <v>0</v>
      </c>
      <c r="AN334" s="104">
        <f>AN13/AN22</f>
        <v>0</v>
      </c>
      <c r="AO334" s="104">
        <f>AO13/AO22</f>
        <v>0</v>
      </c>
      <c r="AP334" s="104">
        <f>AP13/AP22</f>
        <v>0</v>
      </c>
      <c r="AR334" s="104">
        <f>AR13/AR22</f>
        <v>0</v>
      </c>
      <c r="AS334" s="104">
        <f>AS13/AS22</f>
        <v>0</v>
      </c>
      <c r="AT334" s="104">
        <f>AT13/AT22</f>
        <v>0</v>
      </c>
      <c r="AU334" s="104">
        <f>AU13/AU22</f>
        <v>0</v>
      </c>
      <c r="AW334" s="104">
        <f>AW13/AW22</f>
        <v>0</v>
      </c>
      <c r="AX334" s="104">
        <f>AX13/AX22</f>
        <v>0</v>
      </c>
      <c r="AY334" s="104">
        <f>AY13/AY22</f>
        <v>0</v>
      </c>
      <c r="AZ334" s="104">
        <f>AZ13/AZ22</f>
        <v>0</v>
      </c>
      <c r="BB334" s="104">
        <f>BB13/BB22</f>
        <v>0</v>
      </c>
      <c r="BC334" s="104">
        <f>BC13/BC22</f>
        <v>0</v>
      </c>
      <c r="BD334" s="104">
        <f>BD13/BD22</f>
        <v>0</v>
      </c>
      <c r="BE334" s="104">
        <f>BE13/BE22</f>
        <v>0</v>
      </c>
      <c r="BG334" s="104">
        <f>BG13/BG22</f>
        <v>0</v>
      </c>
      <c r="BH334" s="104">
        <f>BH13/BH22</f>
        <v>2.1534399517199759E-3</v>
      </c>
      <c r="BI334" s="104">
        <f>BI13/BI22</f>
        <v>2.3489753489753492E-3</v>
      </c>
      <c r="BJ334" s="104">
        <f>BJ13/BJ22</f>
        <v>1.5695518254488755E-2</v>
      </c>
      <c r="BL334" s="104">
        <f>BL13/BL22</f>
        <v>4.0034154908896308E-2</v>
      </c>
      <c r="BM334" s="104">
        <f>BM13/BM22</f>
        <v>9.2256297039638738E-2</v>
      </c>
      <c r="BN334" s="104">
        <f>BN13/BN22</f>
        <v>0.21849317598768597</v>
      </c>
      <c r="BO334" s="104">
        <f>BO13/BO22</f>
        <v>0.20636342414748163</v>
      </c>
    </row>
    <row r="335" spans="1:73">
      <c r="A335" s="5" t="s">
        <v>2808</v>
      </c>
      <c r="AE335" s="104">
        <f>'SoftBank Other (13F)'!Q17/1000/'Valuation &amp; SBG NAV'!AE66</f>
        <v>0</v>
      </c>
      <c r="AF335" s="104">
        <f>'SoftBank Other (13F)'!R17/1000/'Valuation &amp; SBG NAV'!AF66</f>
        <v>0</v>
      </c>
      <c r="AH335" s="104">
        <f>'SoftBank Other (13F)'!T17/1000/'Valuation &amp; SBG NAV'!AH66</f>
        <v>0</v>
      </c>
      <c r="AI335" s="104">
        <f>'SoftBank Other (13F)'!U17/1000/'Valuation &amp; SBG NAV'!AI66</f>
        <v>0</v>
      </c>
      <c r="AJ335" s="104">
        <f>'SoftBank Other (13F)'!V17/1000/'Valuation &amp; SBG NAV'!AJ66</f>
        <v>0</v>
      </c>
      <c r="AK335" s="104">
        <f>'SoftBank Other (13F)'!W17/1000/'Valuation &amp; SBG NAV'!AK66</f>
        <v>0</v>
      </c>
      <c r="AM335" s="104">
        <f>'SoftBank Other (13F)'!Y17/1000/'Valuation &amp; SBG NAV'!AM66</f>
        <v>0</v>
      </c>
      <c r="AN335" s="104">
        <f>'SoftBank Other (13F)'!Z17/1000/'Valuation &amp; SBG NAV'!AN66</f>
        <v>0</v>
      </c>
      <c r="AO335" s="104">
        <f>'SoftBank Other (13F)'!AA17/1000/'Valuation &amp; SBG NAV'!AO66</f>
        <v>0</v>
      </c>
      <c r="AP335" s="104">
        <f>'SoftBank Other (13F)'!AB17/1000/'Valuation &amp; SBG NAV'!AP66</f>
        <v>0</v>
      </c>
      <c r="AR335" s="104">
        <f>'SoftBank Other (13F)'!AD17/1000/'Valuation &amp; SBG NAV'!AR66</f>
        <v>0</v>
      </c>
      <c r="AS335" s="104">
        <f>'SoftBank Other (13F)'!AE17/1000/'Valuation &amp; SBG NAV'!AS66</f>
        <v>0</v>
      </c>
      <c r="AT335" s="104">
        <f>'SoftBank Other (13F)'!AF17/1000/'Valuation &amp; SBG NAV'!AT66</f>
        <v>0</v>
      </c>
      <c r="AU335" s="104">
        <f>'SoftBank Other (13F)'!AG17/1000/'Valuation &amp; SBG NAV'!AU66</f>
        <v>0</v>
      </c>
      <c r="AW335" s="104">
        <f>'SoftBank Other (13F)'!AI17/1000/'Valuation &amp; SBG NAV'!AW66</f>
        <v>0</v>
      </c>
      <c r="AX335" s="104">
        <f>'SoftBank Other (13F)'!AJ17/1000/'Valuation &amp; SBG NAV'!AX66</f>
        <v>0</v>
      </c>
      <c r="AY335" s="104">
        <f>'SoftBank Other (13F)'!AK17/1000/'Valuation &amp; SBG NAV'!AY66</f>
        <v>0</v>
      </c>
      <c r="AZ335" s="104">
        <f>'SoftBank Other (13F)'!AL17/1000/'Valuation &amp; SBG NAV'!AZ66</f>
        <v>0</v>
      </c>
      <c r="BB335" s="104">
        <f>'SoftBank Other (13F)'!AN17/1000/'Valuation &amp; SBG NAV'!BB66</f>
        <v>0</v>
      </c>
      <c r="BC335" s="104">
        <f>'SoftBank Other (13F)'!AO17/1000/'Valuation &amp; SBG NAV'!BC66</f>
        <v>0</v>
      </c>
      <c r="BD335" s="104">
        <f>'SoftBank Other (13F)'!AP17/1000/'Valuation &amp; SBG NAV'!BD66</f>
        <v>0</v>
      </c>
      <c r="BE335" s="104">
        <f>'SoftBank Other (13F)'!AQ17/1000/'Valuation &amp; SBG NAV'!BE66</f>
        <v>0</v>
      </c>
      <c r="BG335" s="104">
        <f>'SoftBank Other (13F)'!AS17/1000/'Valuation &amp; SBG NAV'!BG66</f>
        <v>0</v>
      </c>
      <c r="BH335" s="104">
        <f>'SoftBank Other (13F)'!AT17/1000/'Valuation &amp; SBG NAV'!BH66</f>
        <v>0</v>
      </c>
      <c r="BI335" s="104">
        <f>'SoftBank Other (13F)'!AU17/1000/'Valuation &amp; SBG NAV'!BI66</f>
        <v>0</v>
      </c>
      <c r="BJ335" s="104">
        <f>'SoftBank Other (13F)'!AV17/1000/'Valuation &amp; SBG NAV'!BJ66</f>
        <v>0</v>
      </c>
      <c r="BL335" s="104">
        <f>'SoftBank Other (13F)'!AX17/1000/'Valuation &amp; SBG NAV'!BL66</f>
        <v>3.7092725409836069E-3</v>
      </c>
      <c r="BM335" s="104">
        <f>'SoftBank Other (13F)'!AY17/1000/'Valuation &amp; SBG NAV'!BM66</f>
        <v>6.5363773206221784E-3</v>
      </c>
      <c r="BN335" s="104">
        <f>'SoftBank Other (13F)'!AZ17/1000/'Valuation &amp; SBG NAV'!BN66</f>
        <v>1.1045151359671627E-2</v>
      </c>
      <c r="BO335" s="104">
        <f>'SoftBank Other (13F)'!BA17/1000/'Valuation &amp; SBG NAV'!BO66</f>
        <v>1.0431974566278942E-2</v>
      </c>
    </row>
    <row r="336" spans="1:73">
      <c r="A336" s="5" t="s">
        <v>192</v>
      </c>
      <c r="AE336" s="104">
        <f>AE337-SUM(AE330:AE335)</f>
        <v>1.0634107916502433E-2</v>
      </c>
      <c r="AF336" s="104">
        <f>AF337-SUM(AF330:AF335)</f>
        <v>1.7222425796995289E-2</v>
      </c>
      <c r="AH336" s="104">
        <f t="shared" ref="AH336:AK336" si="470">AH337-SUM(AH330:AH335)</f>
        <v>3.4816247582205029E-2</v>
      </c>
      <c r="AI336" s="104">
        <f t="shared" si="470"/>
        <v>2.8221314519123464E-2</v>
      </c>
      <c r="AJ336" s="104">
        <f t="shared" si="470"/>
        <v>3.8178164768921552E-2</v>
      </c>
      <c r="AK336" s="104">
        <f t="shared" si="470"/>
        <v>3.4865293185419977E-2</v>
      </c>
      <c r="AM336" s="104">
        <f t="shared" ref="AM336" si="471">AM337-SUM(AM330:AM335)</f>
        <v>6.1996779388083678E-2</v>
      </c>
      <c r="AN336" s="104">
        <f t="shared" ref="AN336" si="472">AN337-SUM(AN330:AN335)</f>
        <v>0.1097367586425626</v>
      </c>
      <c r="AO336" s="104">
        <f t="shared" ref="AO336" si="473">AO337-SUM(AO330:AO335)</f>
        <v>0.119259522961908</v>
      </c>
      <c r="AP336" s="104">
        <f t="shared" ref="AP336" si="474">AP337-SUM(AP330:AP335)</f>
        <v>0.10559210526315788</v>
      </c>
      <c r="AR336" s="104">
        <f t="shared" ref="AR336" si="475">AR337-SUM(AR330:AR335)</f>
        <v>9.467455621301768E-2</v>
      </c>
      <c r="AS336" s="104">
        <f t="shared" ref="AS336" si="476">AS337-SUM(AS330:AS335)</f>
        <v>7.7042801556420182E-2</v>
      </c>
      <c r="AT336" s="104">
        <f t="shared" ref="AT336" si="477">AT337-SUM(AT330:AT335)</f>
        <v>7.2963113092825327E-2</v>
      </c>
      <c r="AU336" s="104">
        <f t="shared" ref="AU336" si="478">AU337-SUM(AU330:AU335)</f>
        <v>8.0241587575495932E-2</v>
      </c>
      <c r="AW336" s="104">
        <f t="shared" ref="AW336" si="479">AW337-SUM(AW330:AW335)</f>
        <v>8.2640812557710053E-2</v>
      </c>
      <c r="AX336" s="104">
        <f t="shared" ref="AX336" si="480">AX337-SUM(AX330:AX335)</f>
        <v>8.075165058405287E-2</v>
      </c>
      <c r="AY336" s="104">
        <f t="shared" ref="AY336" si="481">AY337-SUM(AY330:AY335)</f>
        <v>7.6196101594802168E-2</v>
      </c>
      <c r="AZ336" s="104">
        <f t="shared" ref="AZ336" si="482">AZ337-SUM(AZ330:AZ335)</f>
        <v>8.1915563957151938E-2</v>
      </c>
      <c r="BB336" s="104">
        <f t="shared" ref="BB336" si="483">BB337-SUM(BB330:BB335)</f>
        <v>8.4023668639053195E-2</v>
      </c>
      <c r="BC336" s="104">
        <f t="shared" ref="BC336" si="484">BC337-SUM(BC330:BC335)</f>
        <v>9.422657952069724E-2</v>
      </c>
      <c r="BD336" s="104">
        <f t="shared" ref="BD336" si="485">BD337-SUM(BD330:BD335)</f>
        <v>7.8092428390694746E-2</v>
      </c>
      <c r="BE336" s="104">
        <f t="shared" ref="BE336" si="486">BE337-SUM(BE330:BE335)</f>
        <v>5.7553614543782716E-2</v>
      </c>
      <c r="BG336" s="104">
        <f t="shared" ref="BG336" si="487">BG337-SUM(BG330:BG335)</f>
        <v>4.6806578084116701E-2</v>
      </c>
      <c r="BH336" s="104">
        <f t="shared" ref="BH336" si="488">BH337-SUM(BH330:BH335)</f>
        <v>5.666229867904693E-2</v>
      </c>
      <c r="BI336" s="104">
        <f t="shared" ref="BI336" si="489">BI337-SUM(BI330:BI335)</f>
        <v>5.4846967049483109E-2</v>
      </c>
      <c r="BJ336" s="104">
        <f t="shared" ref="BJ336" si="490">BJ337-SUM(BJ330:BJ335)</f>
        <v>4.8328004737483332E-2</v>
      </c>
      <c r="BL336" s="104">
        <f t="shared" ref="BL336" si="491">BL337-SUM(BL330:BL335)</f>
        <v>4.1539015143708058E-2</v>
      </c>
      <c r="BM336" s="104">
        <f t="shared" ref="BM336" si="492">BM337-SUM(BM330:BM335)</f>
        <v>5.4063148447118348E-2</v>
      </c>
      <c r="BN336" s="104">
        <f t="shared" ref="BN336" si="493">BN337-SUM(BN330:BN335)</f>
        <v>7.4842986620728746E-2</v>
      </c>
      <c r="BO336" s="104">
        <f t="shared" ref="BO336" si="494">BO337-SUM(BO330:BO335)</f>
        <v>7.9079290703787386E-2</v>
      </c>
    </row>
    <row r="337" spans="1:75">
      <c r="A337" s="9" t="s">
        <v>948</v>
      </c>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30"/>
      <c r="AD337" s="30"/>
      <c r="AE337" s="810">
        <v>1</v>
      </c>
      <c r="AF337" s="810">
        <v>1</v>
      </c>
      <c r="AG337" s="30"/>
      <c r="AH337" s="810">
        <v>1</v>
      </c>
      <c r="AI337" s="810">
        <v>1</v>
      </c>
      <c r="AJ337" s="810">
        <v>1</v>
      </c>
      <c r="AK337" s="810">
        <v>1</v>
      </c>
      <c r="AL337" s="30"/>
      <c r="AM337" s="810">
        <v>1</v>
      </c>
      <c r="AN337" s="810">
        <v>1</v>
      </c>
      <c r="AO337" s="810">
        <v>1</v>
      </c>
      <c r="AP337" s="810">
        <v>1</v>
      </c>
      <c r="AQ337" s="30"/>
      <c r="AR337" s="810">
        <v>1</v>
      </c>
      <c r="AS337" s="810">
        <v>1</v>
      </c>
      <c r="AT337" s="810">
        <v>1</v>
      </c>
      <c r="AU337" s="810">
        <v>1</v>
      </c>
      <c r="AV337" s="30"/>
      <c r="AW337" s="810">
        <v>1</v>
      </c>
      <c r="AX337" s="810">
        <v>1</v>
      </c>
      <c r="AY337" s="810">
        <v>1</v>
      </c>
      <c r="AZ337" s="810">
        <v>1</v>
      </c>
      <c r="BA337" s="30"/>
      <c r="BB337" s="810">
        <v>1</v>
      </c>
      <c r="BC337" s="810">
        <v>1</v>
      </c>
      <c r="BD337" s="810">
        <v>1</v>
      </c>
      <c r="BE337" s="810">
        <v>1</v>
      </c>
      <c r="BF337" s="30"/>
      <c r="BG337" s="810">
        <v>1</v>
      </c>
      <c r="BH337" s="810">
        <v>1</v>
      </c>
      <c r="BI337" s="810">
        <v>1</v>
      </c>
      <c r="BJ337" s="810">
        <v>1</v>
      </c>
      <c r="BK337" s="30"/>
      <c r="BL337" s="810">
        <v>1</v>
      </c>
      <c r="BM337" s="810">
        <v>1</v>
      </c>
      <c r="BN337" s="810">
        <v>1</v>
      </c>
      <c r="BO337" s="810">
        <v>1</v>
      </c>
      <c r="BP337" s="30"/>
      <c r="BQ337" s="24"/>
      <c r="BR337" s="24"/>
      <c r="BS337" s="24"/>
      <c r="BT337" s="24"/>
      <c r="BU337" s="24"/>
    </row>
    <row r="339" spans="1:75" s="12" customFormat="1">
      <c r="A339" s="13" t="s">
        <v>3321</v>
      </c>
      <c r="BG339" s="1054" t="s">
        <v>686</v>
      </c>
      <c r="BH339" s="1054" t="s">
        <v>695</v>
      </c>
      <c r="BI339" s="1054" t="s">
        <v>696</v>
      </c>
      <c r="BJ339" s="1054" t="s">
        <v>697</v>
      </c>
      <c r="BK339" s="1054" t="s">
        <v>698</v>
      </c>
      <c r="BL339" s="1054" t="s">
        <v>1172</v>
      </c>
      <c r="BM339" s="1054" t="s">
        <v>1173</v>
      </c>
      <c r="BN339" s="1054" t="s">
        <v>1459</v>
      </c>
      <c r="BO339" s="1054" t="s">
        <v>3330</v>
      </c>
      <c r="BP339" s="1054" t="s">
        <v>3328</v>
      </c>
      <c r="BQ339" s="1054" t="s">
        <v>3329</v>
      </c>
      <c r="BR339" s="1054"/>
      <c r="BS339" s="1054"/>
      <c r="BT339" s="1054"/>
      <c r="BU339" s="1054"/>
      <c r="BW339" s="46"/>
    </row>
    <row r="341" spans="1:75">
      <c r="A341" s="1" t="s">
        <v>3322</v>
      </c>
      <c r="BG341" s="103">
        <f>BG57</f>
        <v>0</v>
      </c>
      <c r="BH341" s="103">
        <f>BH57</f>
        <v>0.5</v>
      </c>
      <c r="BI341" s="103">
        <f>BI57</f>
        <v>0.5</v>
      </c>
      <c r="BJ341" s="103">
        <f>BJ57</f>
        <v>3.2929936305732488</v>
      </c>
      <c r="BL341" s="103">
        <f>BL57</f>
        <v>10.792993630573248</v>
      </c>
      <c r="BM341" s="103">
        <f>BM57</f>
        <v>24.7</v>
      </c>
      <c r="BN341" s="103">
        <f>BN57</f>
        <v>54.4</v>
      </c>
      <c r="BO341" s="103">
        <f>BO57</f>
        <v>54.4</v>
      </c>
      <c r="BP341" s="1053">
        <f>11.8%*500</f>
        <v>59.000000000000007</v>
      </c>
      <c r="BQ341" s="1053">
        <f>11.8%*830</f>
        <v>97.940000000000012</v>
      </c>
      <c r="BR341" s="1053"/>
      <c r="BS341" s="1053"/>
      <c r="BT341" s="1053"/>
      <c r="BU341" s="1053"/>
    </row>
    <row r="342" spans="1:75">
      <c r="A342" s="1" t="s">
        <v>3323</v>
      </c>
      <c r="BG342" s="103">
        <f>BG161</f>
        <v>268.47826410877258</v>
      </c>
      <c r="BH342" s="103">
        <f>BH161</f>
        <v>258.97182792685493</v>
      </c>
      <c r="BI342" s="103">
        <f>BI161</f>
        <v>238.89503729927929</v>
      </c>
      <c r="BJ342" s="103">
        <f>BJ161</f>
        <v>233.4358012306046</v>
      </c>
      <c r="BL342" s="103">
        <f>BL161</f>
        <v>292.86164629514536</v>
      </c>
      <c r="BM342" s="103">
        <f>BM161</f>
        <v>285.86973401397097</v>
      </c>
      <c r="BN342" s="103">
        <f>BN161</f>
        <v>281.7553078691875</v>
      </c>
      <c r="BO342" s="103">
        <f>BO161</f>
        <v>296.46022396008527</v>
      </c>
      <c r="BP342" s="1053">
        <f>BO342+(BP341-BO341)</f>
        <v>301.0602239600853</v>
      </c>
      <c r="BQ342" s="1053">
        <f>BP342+(BQ341-BP341)</f>
        <v>340.00022396008529</v>
      </c>
      <c r="BR342" s="1053"/>
      <c r="BS342" s="1053"/>
      <c r="BT342" s="1053"/>
      <c r="BU342" s="1053"/>
    </row>
    <row r="343" spans="1:75">
      <c r="A343" s="1" t="s">
        <v>3324</v>
      </c>
      <c r="BG343" s="103">
        <f>BG73</f>
        <v>218.97311727820204</v>
      </c>
      <c r="BH343" s="103">
        <f>BH73</f>
        <v>203.2508932950326</v>
      </c>
      <c r="BI343" s="103">
        <f>BI73</f>
        <v>185.48489063092677</v>
      </c>
      <c r="BJ343" s="103">
        <f>BJ73</f>
        <v>171.88336008560725</v>
      </c>
      <c r="BL343" s="103">
        <f>BL73</f>
        <v>223.74145431945306</v>
      </c>
      <c r="BM343" s="103">
        <f>BM73</f>
        <v>223.67006985491668</v>
      </c>
      <c r="BN343" s="103">
        <f>BN73</f>
        <v>197.62391415431784</v>
      </c>
      <c r="BO343" s="103">
        <f>BO73</f>
        <v>212.48849245154267</v>
      </c>
      <c r="BP343" s="1053">
        <f>BO343+(BP341-BO341)</f>
        <v>217.08849245154266</v>
      </c>
      <c r="BQ343" s="1053">
        <f>BP343+(BQ341-BP341)-11.8%*100</f>
        <v>244.22849245154265</v>
      </c>
      <c r="BR343" s="1053"/>
      <c r="BS343" s="1053"/>
      <c r="BT343" s="1053"/>
      <c r="BU343" s="1053"/>
    </row>
    <row r="345" spans="1:75">
      <c r="A345" s="1" t="s">
        <v>3325</v>
      </c>
    </row>
    <row r="346" spans="1:75">
      <c r="A346" s="1" t="s">
        <v>3326</v>
      </c>
      <c r="BG346" s="21">
        <f>BG$341/BG342</f>
        <v>0</v>
      </c>
      <c r="BH346" s="21">
        <f t="shared" ref="BH346:BJ347" si="495">BH$341/BH342</f>
        <v>1.9307119388338335E-3</v>
      </c>
      <c r="BI346" s="21">
        <f t="shared" si="495"/>
        <v>2.092969387947635E-3</v>
      </c>
      <c r="BJ346" s="21">
        <f t="shared" si="495"/>
        <v>1.4106634942941738E-2</v>
      </c>
      <c r="BK346" s="104"/>
      <c r="BL346" s="21">
        <f>BL$341/BL342</f>
        <v>3.6853557873181154E-2</v>
      </c>
      <c r="BM346" s="21">
        <f t="shared" ref="BM346:BO346" si="496">BM$341/BM342</f>
        <v>8.6402990806969671E-2</v>
      </c>
      <c r="BN346" s="21">
        <f t="shared" si="496"/>
        <v>0.19307533338557961</v>
      </c>
      <c r="BO346" s="21">
        <f t="shared" si="496"/>
        <v>0.18349847839055902</v>
      </c>
      <c r="BP346" s="21">
        <f>BP$341/BP342</f>
        <v>0.19597407862096805</v>
      </c>
      <c r="BQ346" s="21">
        <f>BQ$341/BQ342</f>
        <v>0.288058633783423</v>
      </c>
      <c r="BR346" s="21"/>
      <c r="BS346" s="21"/>
      <c r="BT346" s="21"/>
      <c r="BU346" s="21"/>
    </row>
    <row r="347" spans="1:75">
      <c r="A347" s="1" t="s">
        <v>3327</v>
      </c>
      <c r="BG347" s="21">
        <f>BG$341/BG343</f>
        <v>0</v>
      </c>
      <c r="BH347" s="21">
        <f t="shared" si="495"/>
        <v>2.460013788348845E-3</v>
      </c>
      <c r="BI347" s="21">
        <f t="shared" si="495"/>
        <v>2.6956373551465579E-3</v>
      </c>
      <c r="BJ347" s="21">
        <f t="shared" si="495"/>
        <v>1.9158303799350671E-2</v>
      </c>
      <c r="BK347" s="104"/>
      <c r="BL347" s="21">
        <f>BL$341/BL343</f>
        <v>4.8238685421089882E-2</v>
      </c>
      <c r="BM347" s="21">
        <f t="shared" ref="BM347:BO347" si="497">BM$341/BM343</f>
        <v>0.11043051051051052</v>
      </c>
      <c r="BN347" s="21">
        <f t="shared" si="497"/>
        <v>0.27527032967032966</v>
      </c>
      <c r="BO347" s="21">
        <f t="shared" si="497"/>
        <v>0.25601386396209547</v>
      </c>
      <c r="BP347" s="21">
        <f>BP$341/BP343</f>
        <v>0.27177856980682508</v>
      </c>
      <c r="BQ347" s="21">
        <f>BQ$341/BQ343</f>
        <v>0.4010179116158295</v>
      </c>
      <c r="BR347" s="21"/>
      <c r="BS347" s="21"/>
      <c r="BT347" s="21"/>
      <c r="BU347" s="21"/>
    </row>
    <row r="348" spans="1:75">
      <c r="A348" s="1" t="s">
        <v>2838</v>
      </c>
      <c r="BG348" s="104"/>
      <c r="BH348" s="104"/>
      <c r="BI348" s="104"/>
      <c r="BJ348" s="104"/>
      <c r="BK348" s="104"/>
      <c r="BL348" s="104"/>
      <c r="BM348" s="104"/>
      <c r="BN348" s="104"/>
      <c r="BO348" s="21">
        <f>1000*BO341/FP!$D$13</f>
        <v>0.3650743614156105</v>
      </c>
      <c r="BP348" s="21">
        <f>1000*BP341/FP!$D$13</f>
        <v>0.39594461991766589</v>
      </c>
      <c r="BQ348" s="21">
        <f>1000*BQ341/FP!$D$13</f>
        <v>0.65726806906332536</v>
      </c>
      <c r="BR348" s="21"/>
      <c r="BS348" s="21"/>
      <c r="BT348" s="21"/>
      <c r="BU348" s="21"/>
    </row>
    <row r="350" spans="1:75">
      <c r="BN350" s="1060" t="s">
        <v>3354</v>
      </c>
      <c r="BO350" s="1061"/>
      <c r="BP350" s="1062"/>
    </row>
    <row r="351" spans="1:75">
      <c r="BN351" s="1063" t="s">
        <v>3352</v>
      </c>
      <c r="BO351" s="618"/>
      <c r="BP351" s="1064">
        <f>(30-11.8%*100)/830</f>
        <v>2.1927710843373492E-2</v>
      </c>
      <c r="BQ351" s="273"/>
      <c r="BR351" s="273"/>
      <c r="BS351" s="273"/>
      <c r="BT351" s="273"/>
      <c r="BU351" s="273"/>
    </row>
    <row r="352" spans="1:75">
      <c r="BN352" s="1063" t="s">
        <v>3353</v>
      </c>
      <c r="BO352" s="618"/>
      <c r="BP352" s="1064">
        <f>11.8%+BP351</f>
        <v>0.13992771084337349</v>
      </c>
      <c r="BQ352" s="273"/>
      <c r="BR352" s="273"/>
      <c r="BS352" s="273"/>
      <c r="BT352" s="273"/>
      <c r="BU352" s="273"/>
    </row>
    <row r="353" spans="66:73">
      <c r="BN353" s="1063" t="s">
        <v>3355</v>
      </c>
      <c r="BO353" s="618"/>
      <c r="BP353" s="1067">
        <f>BP352*830</f>
        <v>116.14</v>
      </c>
      <c r="BQ353" s="103"/>
      <c r="BR353" s="103"/>
      <c r="BS353" s="103"/>
      <c r="BT353" s="103"/>
      <c r="BU353" s="103"/>
    </row>
    <row r="354" spans="66:73">
      <c r="BN354" s="1068" t="s">
        <v>3356</v>
      </c>
      <c r="BO354" s="618"/>
      <c r="BP354" s="1067">
        <f>90%*BP353</f>
        <v>104.526</v>
      </c>
      <c r="BQ354" s="103"/>
      <c r="BR354" s="103"/>
      <c r="BS354" s="103"/>
      <c r="BT354" s="103"/>
      <c r="BU354" s="103"/>
    </row>
    <row r="355" spans="66:73">
      <c r="BN355" s="1063" t="s">
        <v>3357</v>
      </c>
      <c r="BO355" s="618"/>
      <c r="BP355" s="1067">
        <f>$BP$353-$BO$341</f>
        <v>61.74</v>
      </c>
      <c r="BQ355" s="103"/>
      <c r="BR355" s="103"/>
      <c r="BS355" s="103"/>
      <c r="BT355" s="103"/>
      <c r="BU355" s="103"/>
    </row>
    <row r="356" spans="66:73">
      <c r="BN356" s="1063" t="s">
        <v>3359</v>
      </c>
      <c r="BO356" s="618"/>
      <c r="BP356" s="1069">
        <f>MROUND(1000*BP355*$BO$79/FP!$D$10, 5)</f>
        <v>1675</v>
      </c>
    </row>
    <row r="357" spans="66:73">
      <c r="BN357" s="1063" t="s">
        <v>3358</v>
      </c>
      <c r="BO357" s="618"/>
      <c r="BP357" s="1067">
        <f>$BP$353-$BP$341</f>
        <v>57.139999999999993</v>
      </c>
      <c r="BQ357" s="103"/>
      <c r="BR357" s="103"/>
      <c r="BS357" s="103"/>
      <c r="BT357" s="103"/>
      <c r="BU357" s="103"/>
    </row>
    <row r="358" spans="66:73">
      <c r="BN358" s="1065" t="s">
        <v>3359</v>
      </c>
      <c r="BO358" s="1066"/>
      <c r="BP358" s="1070">
        <f>MROUND(1000*BP357*$BO$79/FP!$D$10, 5)</f>
        <v>1550</v>
      </c>
    </row>
  </sheetData>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C7F5A-2E66-47CC-B0CB-C306195DA070}">
  <dimension ref="A1:AQ23"/>
  <sheetViews>
    <sheetView zoomScale="90" zoomScaleNormal="90" workbookViewId="0">
      <pane xSplit="8" ySplit="2" topLeftCell="I3" activePane="bottomRight" state="frozen"/>
      <selection activeCell="AO44" sqref="AO44:AS44"/>
      <selection pane="topRight" activeCell="AO44" sqref="AO44:AS44"/>
      <selection pane="bottomLeft" activeCell="AO44" sqref="AO44:AS44"/>
      <selection pane="bottomRight"/>
    </sheetView>
  </sheetViews>
  <sheetFormatPr defaultColWidth="9.140625" defaultRowHeight="12" outlineLevelCol="1"/>
  <cols>
    <col min="1" max="1" width="9.140625" style="1"/>
    <col min="2" max="2" width="18.42578125" style="1" customWidth="1"/>
    <col min="3" max="8" width="9.140625" style="1"/>
    <col min="9" max="12" width="9.7109375" style="1" customWidth="1" outlineLevel="1"/>
    <col min="13" max="13" width="9.7109375" style="1" customWidth="1"/>
    <col min="14" max="17" width="9.7109375" style="1" customWidth="1" outlineLevel="1"/>
    <col min="18" max="18" width="9.7109375" style="1" customWidth="1"/>
    <col min="19" max="22" width="9.7109375" style="1" customWidth="1" outlineLevel="1"/>
    <col min="23" max="23" width="9.7109375" style="1" customWidth="1"/>
    <col min="24" max="27" width="9.7109375" style="1" customWidth="1" outlineLevel="1"/>
    <col min="28" max="28" width="9.7109375" style="1" customWidth="1"/>
    <col min="29" max="32" width="9.7109375" style="1" customWidth="1" outlineLevel="1"/>
    <col min="33" max="33" width="9.7109375" style="1" customWidth="1"/>
    <col min="34" max="37" width="9.7109375" style="1" customWidth="1" outlineLevel="1"/>
    <col min="38" max="38" width="9.7109375" style="1" customWidth="1"/>
    <col min="39" max="42" width="9.7109375" style="1" customWidth="1" outlineLevel="1"/>
    <col min="43" max="43" width="9.7109375" style="1" customWidth="1"/>
    <col min="44" max="16384" width="9.140625" style="1"/>
  </cols>
  <sheetData>
    <row r="1" spans="1:43" s="2" customFormat="1">
      <c r="A1" s="2" t="s">
        <v>0</v>
      </c>
      <c r="I1" s="43" t="s">
        <v>700</v>
      </c>
      <c r="J1" s="43" t="s">
        <v>701</v>
      </c>
      <c r="K1" s="43" t="s">
        <v>702</v>
      </c>
      <c r="M1" s="18" t="s">
        <v>699</v>
      </c>
      <c r="N1" s="43" t="s">
        <v>1177</v>
      </c>
      <c r="O1" s="43" t="s">
        <v>1178</v>
      </c>
      <c r="P1" s="43" t="s">
        <v>1179</v>
      </c>
      <c r="R1" s="18" t="s">
        <v>1180</v>
      </c>
      <c r="S1" s="43" t="s">
        <v>1189</v>
      </c>
      <c r="T1" s="43" t="s">
        <v>1190</v>
      </c>
      <c r="U1" s="43" t="s">
        <v>1191</v>
      </c>
      <c r="W1" s="18" t="s">
        <v>1198</v>
      </c>
      <c r="X1" s="43" t="s">
        <v>1192</v>
      </c>
      <c r="Y1" s="43" t="s">
        <v>1199</v>
      </c>
      <c r="Z1" s="43" t="s">
        <v>1200</v>
      </c>
      <c r="AB1" s="18" t="s">
        <v>1209</v>
      </c>
      <c r="AC1" s="43" t="s">
        <v>1201</v>
      </c>
      <c r="AD1" s="43" t="s">
        <v>1203</v>
      </c>
      <c r="AE1" s="43" t="s">
        <v>1205</v>
      </c>
      <c r="AG1" s="18" t="s">
        <v>1210</v>
      </c>
      <c r="AH1" s="43" t="s">
        <v>1211</v>
      </c>
      <c r="AI1" s="43" t="s">
        <v>1213</v>
      </c>
      <c r="AJ1" s="43" t="s">
        <v>1215</v>
      </c>
      <c r="AL1" s="18" t="s">
        <v>1219</v>
      </c>
      <c r="AM1" s="43" t="s">
        <v>1211</v>
      </c>
      <c r="AN1" s="43" t="s">
        <v>1213</v>
      </c>
      <c r="AO1" s="43" t="s">
        <v>1215</v>
      </c>
      <c r="AQ1" s="18" t="s">
        <v>1220</v>
      </c>
    </row>
    <row r="2" spans="1:43" s="2" customFormat="1">
      <c r="A2" s="2" t="s">
        <v>2</v>
      </c>
      <c r="I2" s="6" t="s">
        <v>686</v>
      </c>
      <c r="J2" s="6" t="s">
        <v>695</v>
      </c>
      <c r="K2" s="6" t="s">
        <v>696</v>
      </c>
      <c r="L2" s="6" t="s">
        <v>697</v>
      </c>
      <c r="M2" s="6" t="s">
        <v>698</v>
      </c>
      <c r="N2" s="6" t="s">
        <v>1172</v>
      </c>
      <c r="O2" s="6" t="s">
        <v>1173</v>
      </c>
      <c r="P2" s="6" t="s">
        <v>1174</v>
      </c>
      <c r="Q2" s="6" t="s">
        <v>1175</v>
      </c>
      <c r="R2" s="6" t="s">
        <v>1176</v>
      </c>
      <c r="S2" s="6" t="s">
        <v>1184</v>
      </c>
      <c r="T2" s="6" t="s">
        <v>1185</v>
      </c>
      <c r="U2" s="6" t="s">
        <v>1186</v>
      </c>
      <c r="V2" s="6" t="s">
        <v>1187</v>
      </c>
      <c r="W2" s="6" t="s">
        <v>1188</v>
      </c>
      <c r="X2" s="6" t="s">
        <v>1193</v>
      </c>
      <c r="Y2" s="6" t="s">
        <v>1194</v>
      </c>
      <c r="Z2" s="6" t="s">
        <v>1195</v>
      </c>
      <c r="AA2" s="6" t="s">
        <v>1196</v>
      </c>
      <c r="AB2" s="6" t="s">
        <v>1197</v>
      </c>
      <c r="AC2" s="6" t="s">
        <v>1202</v>
      </c>
      <c r="AD2" s="6" t="s">
        <v>1204</v>
      </c>
      <c r="AE2" s="6" t="s">
        <v>1206</v>
      </c>
      <c r="AF2" s="6" t="s">
        <v>1207</v>
      </c>
      <c r="AG2" s="6" t="s">
        <v>1208</v>
      </c>
      <c r="AH2" s="6" t="s">
        <v>1212</v>
      </c>
      <c r="AI2" s="6" t="s">
        <v>1214</v>
      </c>
      <c r="AJ2" s="6" t="s">
        <v>1216</v>
      </c>
      <c r="AK2" s="6" t="s">
        <v>1217</v>
      </c>
      <c r="AL2" s="6" t="s">
        <v>1218</v>
      </c>
      <c r="AM2" s="6" t="s">
        <v>1221</v>
      </c>
      <c r="AN2" s="6" t="s">
        <v>1222</v>
      </c>
      <c r="AO2" s="6" t="s">
        <v>1223</v>
      </c>
      <c r="AP2" s="6" t="s">
        <v>1224</v>
      </c>
      <c r="AQ2" s="6" t="s">
        <v>1225</v>
      </c>
    </row>
    <row r="4" spans="1:43" s="2" customFormat="1">
      <c r="A4" s="2" t="s">
        <v>3509</v>
      </c>
    </row>
    <row r="6" spans="1:43">
      <c r="A6" s="1" t="s">
        <v>1111</v>
      </c>
      <c r="I6" s="1159">
        <f>[65]Sheet1!P11</f>
        <v>939</v>
      </c>
      <c r="J6" s="1159">
        <f>[65]Sheet1!Q11</f>
        <v>844</v>
      </c>
      <c r="K6" s="1159">
        <f>[65]Sheet1!R11</f>
        <v>983</v>
      </c>
      <c r="N6" s="1159">
        <f>[65]Sheet1!U11</f>
        <v>1053</v>
      </c>
      <c r="O6" s="1159">
        <f>[65]Sheet1!V11</f>
        <v>1135</v>
      </c>
      <c r="P6" s="1159">
        <f>[65]Sheet1!W11</f>
        <v>1242</v>
      </c>
    </row>
    <row r="7" spans="1:43">
      <c r="A7" s="1" t="s">
        <v>3507</v>
      </c>
      <c r="I7" s="1159">
        <f>-[65]Sheet1!P96</f>
        <v>0</v>
      </c>
      <c r="J7" s="1159">
        <f>-[65]Sheet1!Q96</f>
        <v>-43.2</v>
      </c>
      <c r="K7" s="1159">
        <f>-[65]Sheet1!R96</f>
        <v>-51.1</v>
      </c>
      <c r="N7" s="1159">
        <f>-[65]Sheet1!U96</f>
        <v>-126.1</v>
      </c>
      <c r="O7" s="1159">
        <f>-[65]Sheet1!V96</f>
        <v>-177.9</v>
      </c>
      <c r="P7" s="1159">
        <f>-[65]Sheet1!W96</f>
        <v>-200.2</v>
      </c>
    </row>
    <row r="8" spans="1:43">
      <c r="A8" s="9" t="s">
        <v>3508</v>
      </c>
      <c r="B8" s="9"/>
      <c r="C8" s="9"/>
      <c r="D8" s="9"/>
      <c r="E8" s="9"/>
      <c r="F8" s="9"/>
      <c r="G8" s="9"/>
      <c r="H8" s="9"/>
      <c r="I8" s="1160">
        <f>SUM(I6:I7)</f>
        <v>939</v>
      </c>
      <c r="J8" s="1160">
        <f>SUM(J6:J7)</f>
        <v>800.8</v>
      </c>
      <c r="K8" s="1160">
        <f>SUM(K6:K7)</f>
        <v>931.9</v>
      </c>
      <c r="L8" s="9"/>
      <c r="M8" s="9"/>
      <c r="N8" s="1160">
        <f>SUM(N6:N7)</f>
        <v>926.9</v>
      </c>
      <c r="O8" s="1160">
        <f>SUM(O6:O7)</f>
        <v>957.1</v>
      </c>
      <c r="P8" s="1160">
        <f>SUM(P6:P7)</f>
        <v>1041.8</v>
      </c>
      <c r="Q8" s="9"/>
      <c r="R8" s="9"/>
      <c r="S8" s="9"/>
      <c r="T8" s="9"/>
      <c r="U8" s="9"/>
      <c r="V8" s="9"/>
      <c r="W8" s="9"/>
      <c r="X8" s="9"/>
      <c r="Y8" s="9"/>
      <c r="Z8" s="9"/>
      <c r="AA8" s="9"/>
      <c r="AB8" s="9"/>
      <c r="AC8" s="9"/>
      <c r="AD8" s="9"/>
      <c r="AE8" s="9"/>
      <c r="AF8" s="9"/>
      <c r="AG8" s="9"/>
      <c r="AH8" s="9"/>
      <c r="AI8" s="9"/>
      <c r="AJ8" s="9"/>
      <c r="AK8" s="9"/>
      <c r="AL8" s="9"/>
      <c r="AM8" s="9"/>
      <c r="AN8" s="9"/>
      <c r="AO8" s="9"/>
      <c r="AP8" s="9"/>
      <c r="AQ8" s="9"/>
    </row>
    <row r="9" spans="1:43">
      <c r="A9" s="1" t="s">
        <v>28</v>
      </c>
      <c r="N9" s="16">
        <f>N8/I8-1</f>
        <v>-1.2886048988285381E-2</v>
      </c>
      <c r="O9" s="16">
        <f>O8/J8-1</f>
        <v>0.19517982017982027</v>
      </c>
      <c r="P9" s="16">
        <f>P8/K8-1</f>
        <v>0.11793110848803523</v>
      </c>
    </row>
    <row r="11" spans="1:43">
      <c r="A11" s="1" t="s">
        <v>3510</v>
      </c>
    </row>
    <row r="12" spans="1:43">
      <c r="A12" s="1" t="s">
        <v>1111</v>
      </c>
      <c r="I12" s="1159">
        <f>I6</f>
        <v>939</v>
      </c>
      <c r="J12" s="1159">
        <f>I12+J6</f>
        <v>1783</v>
      </c>
      <c r="K12" s="1159">
        <f>J12+K6</f>
        <v>2766</v>
      </c>
      <c r="N12" s="1159">
        <f>N6</f>
        <v>1053</v>
      </c>
      <c r="O12" s="1159">
        <f>N12+O6</f>
        <v>2188</v>
      </c>
      <c r="P12" s="1159">
        <f>O12+P6</f>
        <v>3430</v>
      </c>
    </row>
    <row r="13" spans="1:43">
      <c r="A13" s="1" t="s">
        <v>3507</v>
      </c>
      <c r="I13" s="1159">
        <f>I7</f>
        <v>0</v>
      </c>
      <c r="J13" s="1159">
        <f>I13+J7</f>
        <v>-43.2</v>
      </c>
      <c r="K13" s="1159">
        <f>J13+K7</f>
        <v>-94.300000000000011</v>
      </c>
      <c r="N13" s="1159">
        <f>N7</f>
        <v>-126.1</v>
      </c>
      <c r="O13" s="1159">
        <f>N13+O7</f>
        <v>-304</v>
      </c>
      <c r="P13" s="1159">
        <f>O13+P7</f>
        <v>-504.2</v>
      </c>
    </row>
    <row r="14" spans="1:43">
      <c r="A14" s="9" t="s">
        <v>3508</v>
      </c>
      <c r="B14" s="9"/>
      <c r="C14" s="9"/>
      <c r="D14" s="9"/>
      <c r="E14" s="9"/>
      <c r="F14" s="9"/>
      <c r="G14" s="9"/>
      <c r="H14" s="9"/>
      <c r="I14" s="1160">
        <f>SUM(I12:I13)</f>
        <v>939</v>
      </c>
      <c r="J14" s="1160">
        <f t="shared" ref="J14:K14" si="0">SUM(J12:J13)</f>
        <v>1739.8</v>
      </c>
      <c r="K14" s="1160">
        <f t="shared" si="0"/>
        <v>2671.7</v>
      </c>
      <c r="L14" s="9"/>
      <c r="M14" s="9"/>
      <c r="N14" s="1160">
        <f>SUM(N12:N13)</f>
        <v>926.9</v>
      </c>
      <c r="O14" s="1160">
        <f t="shared" ref="O14" si="1">SUM(O12:O13)</f>
        <v>1884</v>
      </c>
      <c r="P14" s="1160">
        <f t="shared" ref="P14" si="2">SUM(P12:P13)</f>
        <v>2925.8</v>
      </c>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row>
    <row r="15" spans="1:43">
      <c r="A15" s="1" t="s">
        <v>28</v>
      </c>
      <c r="N15" s="16">
        <f>N14/I14-1</f>
        <v>-1.2886048988285381E-2</v>
      </c>
      <c r="O15" s="16">
        <f>O14/J14-1</f>
        <v>8.2883090010346105E-2</v>
      </c>
      <c r="P15" s="16">
        <f>P14/K14-1</f>
        <v>9.5107983680802644E-2</v>
      </c>
    </row>
    <row r="17" spans="1:16" s="2" customFormat="1">
      <c r="A17" s="2" t="s">
        <v>3511</v>
      </c>
    </row>
    <row r="19" spans="1:16">
      <c r="A19" s="1" t="s">
        <v>3510</v>
      </c>
    </row>
    <row r="20" spans="1:16">
      <c r="A20" s="1" t="s">
        <v>3513</v>
      </c>
      <c r="I20" s="1161"/>
      <c r="J20" s="1161"/>
      <c r="K20" s="1161">
        <v>408.142</v>
      </c>
      <c r="N20" s="1161"/>
      <c r="O20" s="1161"/>
      <c r="P20" s="1161">
        <v>436.20299999999997</v>
      </c>
    </row>
    <row r="21" spans="1:16">
      <c r="A21" s="1" t="s">
        <v>3512</v>
      </c>
      <c r="I21" s="1159"/>
      <c r="J21" s="1159"/>
      <c r="K21" s="1159">
        <f>AVERAGE(FX!AR5:AT5)</f>
        <v>152.70333333333332</v>
      </c>
      <c r="N21" s="1159"/>
      <c r="O21" s="1159"/>
      <c r="P21" s="1159">
        <f>AVERAGE(FX!AW5:AY5)</f>
        <v>148.91</v>
      </c>
    </row>
    <row r="22" spans="1:16">
      <c r="A22" s="1" t="s">
        <v>3514</v>
      </c>
      <c r="K22" s="1159">
        <f>1000*K20/K21</f>
        <v>2672.7772805658033</v>
      </c>
      <c r="P22" s="1159">
        <f>1000*P20/P21</f>
        <v>2929.3062923913776</v>
      </c>
    </row>
    <row r="23" spans="1:16">
      <c r="A23" s="1" t="s">
        <v>3515</v>
      </c>
      <c r="K23" s="1159">
        <f>K22-K14</f>
        <v>1.0772805658034486</v>
      </c>
      <c r="P23" s="1159">
        <f>P22-P14</f>
        <v>3.5062923913774284</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6A71B-5D03-425F-9B74-83A5084A20A9}">
  <sheetPr codeName="Sheet9"/>
  <dimension ref="A1:CH321"/>
  <sheetViews>
    <sheetView zoomScale="90" zoomScaleNormal="90" workbookViewId="0">
      <pane xSplit="8" ySplit="2" topLeftCell="AP284" activePane="bottomRight" state="frozen"/>
      <selection pane="topRight" activeCell="I1" sqref="I1"/>
      <selection pane="bottomLeft" activeCell="A3" sqref="A3"/>
      <selection pane="bottomRight"/>
    </sheetView>
  </sheetViews>
  <sheetFormatPr defaultColWidth="9.140625" defaultRowHeight="12" outlineLevelRow="1" outlineLevelCol="1"/>
  <cols>
    <col min="1" max="1" width="9.140625" style="1"/>
    <col min="2" max="2" width="21.140625" style="1" customWidth="1"/>
    <col min="3" max="8" width="9.140625" style="1"/>
    <col min="9" max="12" width="11" style="1" hidden="1" customWidth="1" outlineLevel="1"/>
    <col min="13" max="13" width="11" style="1" customWidth="1" collapsed="1"/>
    <col min="14" max="17" width="11" style="1" hidden="1" customWidth="1" outlineLevel="1"/>
    <col min="18" max="18" width="11" style="1" customWidth="1" collapsed="1"/>
    <col min="19" max="22" width="11" style="1" customWidth="1" outlineLevel="1"/>
    <col min="23" max="23" width="11" style="1" customWidth="1"/>
    <col min="24" max="27" width="11" style="1" customWidth="1" outlineLevel="1"/>
    <col min="28" max="28" width="11" style="1" customWidth="1"/>
    <col min="29" max="32" width="11" style="1" customWidth="1" outlineLevel="1"/>
    <col min="33" max="33" width="11" style="1" customWidth="1"/>
    <col min="34" max="37" width="11" style="1" customWidth="1" outlineLevel="1"/>
    <col min="38" max="38" width="11" style="1" customWidth="1"/>
    <col min="39" max="42" width="11" style="1" customWidth="1" outlineLevel="1"/>
    <col min="43" max="43" width="11" style="1" customWidth="1"/>
    <col min="44" max="47" width="11.42578125" style="1" customWidth="1" outlineLevel="1"/>
    <col min="48" max="78" width="11.42578125" style="1" customWidth="1"/>
    <col min="79" max="16384" width="9.140625" style="1"/>
  </cols>
  <sheetData>
    <row r="1" spans="1:86" s="2" customFormat="1">
      <c r="A1" s="2" t="s">
        <v>0</v>
      </c>
      <c r="I1" s="43" t="s">
        <v>160</v>
      </c>
      <c r="J1" s="43" t="s">
        <v>161</v>
      </c>
      <c r="K1" s="43" t="s">
        <v>162</v>
      </c>
      <c r="M1" s="18" t="s">
        <v>159</v>
      </c>
      <c r="N1" s="43" t="s">
        <v>150</v>
      </c>
      <c r="O1" s="43" t="s">
        <v>151</v>
      </c>
      <c r="P1" s="43" t="s">
        <v>152</v>
      </c>
      <c r="R1" s="18" t="s">
        <v>153</v>
      </c>
      <c r="S1" s="43" t="s">
        <v>146</v>
      </c>
      <c r="T1" s="43" t="s">
        <v>147</v>
      </c>
      <c r="U1" s="43" t="s">
        <v>148</v>
      </c>
      <c r="W1" s="18" t="s">
        <v>149</v>
      </c>
      <c r="X1" s="43" t="s">
        <v>142</v>
      </c>
      <c r="Y1" s="43" t="s">
        <v>143</v>
      </c>
      <c r="Z1" s="43" t="s">
        <v>144</v>
      </c>
      <c r="AB1" s="18" t="s">
        <v>145</v>
      </c>
      <c r="AC1" s="43" t="s">
        <v>138</v>
      </c>
      <c r="AD1" s="43" t="s">
        <v>139</v>
      </c>
      <c r="AE1" s="43" t="s">
        <v>140</v>
      </c>
      <c r="AG1" s="18" t="s">
        <v>141</v>
      </c>
      <c r="AH1" s="43" t="s">
        <v>126</v>
      </c>
      <c r="AI1" s="43" t="s">
        <v>127</v>
      </c>
      <c r="AJ1" s="43" t="s">
        <v>128</v>
      </c>
      <c r="AL1" s="18" t="s">
        <v>79</v>
      </c>
      <c r="AM1" s="43" t="s">
        <v>129</v>
      </c>
      <c r="AN1" s="43" t="s">
        <v>130</v>
      </c>
      <c r="AO1" s="43" t="s">
        <v>131</v>
      </c>
      <c r="AQ1" s="18" t="s">
        <v>90</v>
      </c>
      <c r="AR1" s="43" t="s">
        <v>700</v>
      </c>
      <c r="AS1" s="43" t="s">
        <v>701</v>
      </c>
      <c r="AT1" s="43" t="s">
        <v>702</v>
      </c>
      <c r="AV1" s="18" t="s">
        <v>699</v>
      </c>
      <c r="AW1" s="43" t="s">
        <v>1177</v>
      </c>
      <c r="AX1" s="43" t="s">
        <v>1178</v>
      </c>
      <c r="AY1" s="43" t="s">
        <v>1179</v>
      </c>
      <c r="BA1" s="18" t="s">
        <v>1180</v>
      </c>
      <c r="BB1" s="43" t="s">
        <v>1189</v>
      </c>
      <c r="BC1" s="43" t="s">
        <v>1190</v>
      </c>
      <c r="BD1" s="43" t="s">
        <v>1191</v>
      </c>
      <c r="BF1" s="18" t="s">
        <v>1198</v>
      </c>
      <c r="BG1" s="43" t="s">
        <v>1192</v>
      </c>
      <c r="BH1" s="43" t="s">
        <v>1199</v>
      </c>
      <c r="BI1" s="43" t="s">
        <v>1200</v>
      </c>
      <c r="BK1" s="18" t="s">
        <v>1209</v>
      </c>
      <c r="BL1" s="43" t="s">
        <v>1201</v>
      </c>
      <c r="BM1" s="43" t="s">
        <v>1203</v>
      </c>
      <c r="BN1" s="43" t="s">
        <v>1205</v>
      </c>
      <c r="BP1" s="18" t="s">
        <v>1210</v>
      </c>
      <c r="BQ1" s="43" t="s">
        <v>1211</v>
      </c>
      <c r="BR1" s="43" t="s">
        <v>1213</v>
      </c>
      <c r="BS1" s="43" t="s">
        <v>1215</v>
      </c>
      <c r="BU1" s="18" t="s">
        <v>1219</v>
      </c>
      <c r="BV1" s="43" t="s">
        <v>1211</v>
      </c>
      <c r="BW1" s="43" t="s">
        <v>1213</v>
      </c>
      <c r="BX1" s="43" t="s">
        <v>1215</v>
      </c>
      <c r="BZ1" s="18" t="s">
        <v>1220</v>
      </c>
    </row>
    <row r="2" spans="1:86" s="2" customFormat="1">
      <c r="A2" s="2" t="s">
        <v>2139</v>
      </c>
      <c r="I2" s="6" t="s">
        <v>194</v>
      </c>
      <c r="J2" s="6" t="s">
        <v>195</v>
      </c>
      <c r="K2" s="6" t="s">
        <v>196</v>
      </c>
      <c r="L2" s="6" t="s">
        <v>197</v>
      </c>
      <c r="M2" s="6" t="s">
        <v>198</v>
      </c>
      <c r="N2" s="6" t="s">
        <v>163</v>
      </c>
      <c r="O2" s="6" t="s">
        <v>164</v>
      </c>
      <c r="P2" s="6" t="s">
        <v>165</v>
      </c>
      <c r="Q2" s="6" t="s">
        <v>166</v>
      </c>
      <c r="R2" s="6" t="s">
        <v>167</v>
      </c>
      <c r="S2" s="6" t="s">
        <v>154</v>
      </c>
      <c r="T2" s="6" t="s">
        <v>155</v>
      </c>
      <c r="U2" s="6" t="s">
        <v>156</v>
      </c>
      <c r="V2" s="6" t="s">
        <v>157</v>
      </c>
      <c r="W2" s="6" t="s">
        <v>158</v>
      </c>
      <c r="X2" s="6" t="s">
        <v>133</v>
      </c>
      <c r="Y2" s="6" t="s">
        <v>134</v>
      </c>
      <c r="Z2" s="6" t="s">
        <v>135</v>
      </c>
      <c r="AA2" s="6" t="s">
        <v>136</v>
      </c>
      <c r="AB2" s="6" t="s">
        <v>137</v>
      </c>
      <c r="AC2" s="6" t="s">
        <v>74</v>
      </c>
      <c r="AD2" s="6" t="s">
        <v>75</v>
      </c>
      <c r="AE2" s="6" t="s">
        <v>76</v>
      </c>
      <c r="AF2" s="6" t="s">
        <v>77</v>
      </c>
      <c r="AG2" s="6" t="s">
        <v>78</v>
      </c>
      <c r="AH2" s="6" t="s">
        <v>10</v>
      </c>
      <c r="AI2" s="6" t="s">
        <v>11</v>
      </c>
      <c r="AJ2" s="6" t="s">
        <v>12</v>
      </c>
      <c r="AK2" s="6" t="s">
        <v>13</v>
      </c>
      <c r="AL2" s="6" t="s">
        <v>14</v>
      </c>
      <c r="AM2" s="6" t="s">
        <v>91</v>
      </c>
      <c r="AN2" s="6" t="s">
        <v>92</v>
      </c>
      <c r="AO2" s="6" t="s">
        <v>93</v>
      </c>
      <c r="AP2" s="6" t="s">
        <v>94</v>
      </c>
      <c r="AQ2" s="6" t="s">
        <v>95</v>
      </c>
      <c r="AR2" s="6" t="s">
        <v>686</v>
      </c>
      <c r="AS2" s="6" t="s">
        <v>695</v>
      </c>
      <c r="AT2" s="6" t="s">
        <v>696</v>
      </c>
      <c r="AU2" s="6" t="s">
        <v>697</v>
      </c>
      <c r="AV2" s="6" t="s">
        <v>698</v>
      </c>
      <c r="AW2" s="6" t="s">
        <v>1172</v>
      </c>
      <c r="AX2" s="6" t="s">
        <v>1173</v>
      </c>
      <c r="AY2" s="6" t="s">
        <v>1174</v>
      </c>
      <c r="AZ2" s="6" t="s">
        <v>1175</v>
      </c>
      <c r="BA2" s="6" t="s">
        <v>1176</v>
      </c>
      <c r="BB2" s="6" t="s">
        <v>1184</v>
      </c>
      <c r="BC2" s="6" t="s">
        <v>1185</v>
      </c>
      <c r="BD2" s="6" t="s">
        <v>1186</v>
      </c>
      <c r="BE2" s="6" t="s">
        <v>1187</v>
      </c>
      <c r="BF2" s="6" t="s">
        <v>1188</v>
      </c>
      <c r="BG2" s="6" t="s">
        <v>1193</v>
      </c>
      <c r="BH2" s="6" t="s">
        <v>1194</v>
      </c>
      <c r="BI2" s="6" t="s">
        <v>1195</v>
      </c>
      <c r="BJ2" s="6" t="s">
        <v>1196</v>
      </c>
      <c r="BK2" s="6" t="s">
        <v>1197</v>
      </c>
      <c r="BL2" s="6" t="s">
        <v>1202</v>
      </c>
      <c r="BM2" s="6" t="s">
        <v>1204</v>
      </c>
      <c r="BN2" s="6" t="s">
        <v>1206</v>
      </c>
      <c r="BO2" s="6" t="s">
        <v>1207</v>
      </c>
      <c r="BP2" s="6" t="s">
        <v>1208</v>
      </c>
      <c r="BQ2" s="6" t="s">
        <v>1212</v>
      </c>
      <c r="BR2" s="6" t="s">
        <v>1214</v>
      </c>
      <c r="BS2" s="6" t="s">
        <v>1216</v>
      </c>
      <c r="BT2" s="6" t="s">
        <v>1217</v>
      </c>
      <c r="BU2" s="6" t="s">
        <v>1218</v>
      </c>
      <c r="BV2" s="6" t="s">
        <v>1221</v>
      </c>
      <c r="BW2" s="6" t="s">
        <v>1222</v>
      </c>
      <c r="BX2" s="6" t="s">
        <v>1223</v>
      </c>
      <c r="BY2" s="6" t="s">
        <v>1224</v>
      </c>
      <c r="BZ2" s="6" t="s">
        <v>1225</v>
      </c>
      <c r="CB2" s="717" t="s">
        <v>698</v>
      </c>
      <c r="CC2" s="717" t="s">
        <v>1176</v>
      </c>
      <c r="CD2" s="717" t="s">
        <v>1188</v>
      </c>
      <c r="CE2" s="717" t="s">
        <v>1197</v>
      </c>
      <c r="CF2" s="717" t="s">
        <v>1208</v>
      </c>
      <c r="CG2" s="717" t="s">
        <v>1218</v>
      </c>
      <c r="CH2" s="717" t="s">
        <v>1225</v>
      </c>
    </row>
    <row r="4" spans="1:86" s="2" customFormat="1">
      <c r="A4" s="4" t="s">
        <v>241</v>
      </c>
      <c r="I4" s="68" t="s">
        <v>244</v>
      </c>
      <c r="AY4" s="665" t="s">
        <v>3388</v>
      </c>
      <c r="AZ4" s="46"/>
      <c r="BA4" s="46"/>
      <c r="BB4" s="46"/>
      <c r="BC4" s="46"/>
    </row>
    <row r="5" spans="1:86">
      <c r="AP5" s="90" t="s">
        <v>1996</v>
      </c>
    </row>
    <row r="6" spans="1:86">
      <c r="A6" s="5" t="s">
        <v>1984</v>
      </c>
      <c r="X6" s="59"/>
      <c r="Y6" s="59"/>
      <c r="Z6" s="59"/>
      <c r="AA6" s="59"/>
      <c r="AB6" s="59"/>
      <c r="AC6" s="59"/>
      <c r="AD6" s="59"/>
      <c r="AE6" s="210">
        <v>68050</v>
      </c>
      <c r="AF6" s="210">
        <v>131922</v>
      </c>
      <c r="AG6" s="59">
        <f t="shared" ref="AG6:AG12" si="0">SUM(AC6:AF6)</f>
        <v>199972</v>
      </c>
      <c r="AH6" s="210">
        <v>97263</v>
      </c>
      <c r="AI6" s="210">
        <v>4740988</v>
      </c>
      <c r="AJ6" s="59"/>
      <c r="AK6" s="59"/>
      <c r="AL6" s="59">
        <f t="shared" ref="AL6:AL12" si="1">SUM(AH6:AK6)</f>
        <v>4838251</v>
      </c>
      <c r="AM6" s="59"/>
      <c r="AN6" s="59"/>
      <c r="AO6" s="59"/>
      <c r="AP6" s="59"/>
      <c r="AQ6" s="59"/>
    </row>
    <row r="7" spans="1:86">
      <c r="A7" s="5" t="s">
        <v>1985</v>
      </c>
      <c r="X7" s="59"/>
      <c r="Y7" s="59"/>
      <c r="Z7" s="59"/>
      <c r="AA7" s="59"/>
      <c r="AB7" s="59"/>
      <c r="AC7" s="59"/>
      <c r="AD7" s="210">
        <v>3149</v>
      </c>
      <c r="AE7" s="59"/>
      <c r="AF7" s="59"/>
      <c r="AG7" s="59">
        <f t="shared" si="0"/>
        <v>3149</v>
      </c>
      <c r="AH7" s="210">
        <v>24842</v>
      </c>
      <c r="AI7" s="59"/>
      <c r="AJ7" s="59"/>
      <c r="AK7" s="59"/>
      <c r="AL7" s="59">
        <f t="shared" si="1"/>
        <v>24842</v>
      </c>
      <c r="AM7" s="59"/>
      <c r="AN7" s="59"/>
      <c r="AO7" s="59"/>
      <c r="AP7" s="59"/>
      <c r="AQ7" s="59"/>
    </row>
    <row r="8" spans="1:86" s="26" customFormat="1">
      <c r="A8" s="29" t="s">
        <v>1986</v>
      </c>
      <c r="X8" s="61"/>
      <c r="Y8" s="61"/>
      <c r="Z8" s="61"/>
      <c r="AA8" s="61"/>
      <c r="AB8" s="61"/>
      <c r="AC8" s="446">
        <v>65416</v>
      </c>
      <c r="AD8" s="446">
        <v>-2465</v>
      </c>
      <c r="AE8" s="446">
        <v>5364</v>
      </c>
      <c r="AF8" s="446">
        <v>-13462</v>
      </c>
      <c r="AG8" s="61">
        <f t="shared" si="0"/>
        <v>54853</v>
      </c>
      <c r="AH8" s="446">
        <v>7176</v>
      </c>
      <c r="AI8" s="446">
        <v>-61402</v>
      </c>
      <c r="AJ8" s="446">
        <v>-15678</v>
      </c>
      <c r="AK8" s="446">
        <v>-4046</v>
      </c>
      <c r="AL8" s="61">
        <f t="shared" si="1"/>
        <v>-73950</v>
      </c>
      <c r="AM8" s="446">
        <v>-59</v>
      </c>
      <c r="AN8" s="446">
        <v>-88283</v>
      </c>
      <c r="AO8" s="446">
        <v>-2343</v>
      </c>
      <c r="AP8" s="61">
        <f>AQ8-SUM(AM8:AO8)</f>
        <v>325</v>
      </c>
      <c r="AQ8" s="446">
        <v>-90360</v>
      </c>
      <c r="AR8" s="787">
        <v>159</v>
      </c>
      <c r="AS8" s="787">
        <f>355-AR8</f>
        <v>196</v>
      </c>
      <c r="AT8" s="787">
        <f>-41551-AS8-AR8</f>
        <v>-41906</v>
      </c>
      <c r="AU8" s="61">
        <f t="shared" ref="AU8:AU17" si="2">AV8-SUM(AR8:AT8)</f>
        <v>2228</v>
      </c>
      <c r="AV8" s="787">
        <v>-39323</v>
      </c>
      <c r="AW8" s="787">
        <v>-48687</v>
      </c>
      <c r="AX8" s="787">
        <f>-36892-AW8</f>
        <v>11795</v>
      </c>
    </row>
    <row r="9" spans="1:86" s="26" customFormat="1">
      <c r="A9" s="29" t="s">
        <v>1987</v>
      </c>
      <c r="X9" s="61"/>
      <c r="Y9" s="61"/>
      <c r="Z9" s="61"/>
      <c r="AA9" s="61"/>
      <c r="AB9" s="61"/>
      <c r="AC9" s="446">
        <v>17557</v>
      </c>
      <c r="AD9" s="446">
        <v>-97576</v>
      </c>
      <c r="AE9" s="446">
        <v>-179275</v>
      </c>
      <c r="AF9" s="446">
        <v>-134341</v>
      </c>
      <c r="AG9" s="61">
        <f t="shared" si="0"/>
        <v>-393635</v>
      </c>
      <c r="AH9" s="446">
        <v>-69479</v>
      </c>
      <c r="AI9" s="446">
        <v>10676</v>
      </c>
      <c r="AJ9" s="446">
        <v>-4013</v>
      </c>
      <c r="AK9" s="446">
        <v>-4238</v>
      </c>
      <c r="AL9" s="61">
        <f t="shared" si="1"/>
        <v>-67054</v>
      </c>
      <c r="AM9" s="446">
        <v>906</v>
      </c>
      <c r="AN9" s="446">
        <v>29097</v>
      </c>
      <c r="AO9" s="446">
        <v>3248</v>
      </c>
      <c r="AP9" s="61">
        <f>AQ9-SUM(AM9:AO9)</f>
        <v>-20559</v>
      </c>
      <c r="AQ9" s="446">
        <v>12692</v>
      </c>
      <c r="AR9" s="787">
        <v>-989</v>
      </c>
      <c r="AS9" s="787">
        <f>7965-AR9</f>
        <v>8954</v>
      </c>
      <c r="AT9" s="787">
        <f>30935-AS9-AR9</f>
        <v>22970</v>
      </c>
      <c r="AU9" s="61">
        <f t="shared" si="2"/>
        <v>-41823</v>
      </c>
      <c r="AV9" s="787">
        <v>-10888</v>
      </c>
      <c r="AW9" s="787">
        <v>174854</v>
      </c>
      <c r="AX9" s="787">
        <f>248948-AW9</f>
        <v>74094</v>
      </c>
    </row>
    <row r="10" spans="1:86" s="26" customFormat="1">
      <c r="A10" s="29" t="s">
        <v>1988</v>
      </c>
      <c r="X10" s="61"/>
      <c r="Y10" s="61"/>
      <c r="Z10" s="61"/>
      <c r="AA10" s="61"/>
      <c r="AB10" s="61"/>
      <c r="AC10" s="446">
        <v>119511</v>
      </c>
      <c r="AD10" s="446">
        <v>-43326</v>
      </c>
      <c r="AE10" s="446">
        <v>47541</v>
      </c>
      <c r="AF10" s="446">
        <v>-34250</v>
      </c>
      <c r="AG10" s="61">
        <f t="shared" si="0"/>
        <v>89476</v>
      </c>
      <c r="AH10" s="446">
        <v>-5246</v>
      </c>
      <c r="AI10" s="446">
        <v>-596</v>
      </c>
      <c r="AJ10" s="446">
        <v>846</v>
      </c>
      <c r="AK10" s="446">
        <v>-106</v>
      </c>
      <c r="AL10" s="61">
        <f t="shared" si="1"/>
        <v>-5102</v>
      </c>
      <c r="AM10" s="446">
        <v>18</v>
      </c>
      <c r="AN10" s="446">
        <v>-814</v>
      </c>
      <c r="AO10" s="446">
        <v>10</v>
      </c>
      <c r="AP10" s="61">
        <f>AQ10-SUM(AM10:AO10)</f>
        <v>-6</v>
      </c>
      <c r="AQ10" s="446">
        <v>-792</v>
      </c>
      <c r="AR10" s="787">
        <v>0</v>
      </c>
      <c r="AS10" s="787">
        <v>0</v>
      </c>
      <c r="AT10" s="787">
        <v>0</v>
      </c>
      <c r="AU10" s="61">
        <f t="shared" si="2"/>
        <v>0</v>
      </c>
      <c r="AV10" s="787">
        <v>0</v>
      </c>
      <c r="AW10" s="787">
        <v>0</v>
      </c>
      <c r="AX10" s="787">
        <v>0</v>
      </c>
    </row>
    <row r="11" spans="1:86">
      <c r="A11" s="5" t="s">
        <v>1989</v>
      </c>
      <c r="X11" s="59"/>
      <c r="Y11" s="59"/>
      <c r="Z11" s="59"/>
      <c r="AA11" s="59"/>
      <c r="AB11" s="59"/>
      <c r="AC11" s="210">
        <v>91789</v>
      </c>
      <c r="AD11" s="210">
        <v>-428456</v>
      </c>
      <c r="AE11" s="210">
        <v>67224</v>
      </c>
      <c r="AF11" s="210">
        <v>100</v>
      </c>
      <c r="AG11" s="59">
        <f t="shared" si="0"/>
        <v>-269343</v>
      </c>
      <c r="AH11" s="210">
        <v>-400</v>
      </c>
      <c r="AI11" s="210">
        <v>-147266</v>
      </c>
      <c r="AJ11" s="210">
        <v>-90193</v>
      </c>
      <c r="AK11" s="210">
        <v>2242</v>
      </c>
      <c r="AL11" s="59">
        <f t="shared" si="1"/>
        <v>-235617</v>
      </c>
      <c r="AM11" s="210">
        <v>17686</v>
      </c>
      <c r="AN11" s="210">
        <v>-12197</v>
      </c>
      <c r="AO11" s="210">
        <v>-23822</v>
      </c>
      <c r="AP11" s="59">
        <f>AQ11-SUM(AM11:AO11)</f>
        <v>-20096</v>
      </c>
      <c r="AQ11" s="210">
        <v>-38429</v>
      </c>
      <c r="AR11" s="712">
        <v>32728</v>
      </c>
      <c r="AS11" s="712">
        <f>-29617-AR11</f>
        <v>-62345</v>
      </c>
      <c r="AT11" s="712">
        <f>-15565-AS11-AR11</f>
        <v>14052</v>
      </c>
      <c r="AU11" s="59">
        <f t="shared" si="2"/>
        <v>553370</v>
      </c>
      <c r="AV11" s="712">
        <v>537805</v>
      </c>
      <c r="AW11" s="712">
        <v>494064</v>
      </c>
      <c r="AX11" s="712">
        <f>1119243-AW11</f>
        <v>625179</v>
      </c>
    </row>
    <row r="12" spans="1:86">
      <c r="A12" s="5" t="s">
        <v>1997</v>
      </c>
      <c r="X12" s="59"/>
      <c r="Y12" s="59"/>
      <c r="Z12" s="59"/>
      <c r="AA12" s="59"/>
      <c r="AB12" s="59"/>
      <c r="AC12" s="210">
        <v>288351</v>
      </c>
      <c r="AD12" s="210">
        <v>173801</v>
      </c>
      <c r="AE12" s="210">
        <v>-200375</v>
      </c>
      <c r="AF12" s="210">
        <v>26957</v>
      </c>
      <c r="AG12" s="59">
        <f t="shared" si="0"/>
        <v>288734</v>
      </c>
      <c r="AH12" s="210">
        <v>-27605</v>
      </c>
      <c r="AI12" s="210">
        <v>-1142854</v>
      </c>
      <c r="AJ12" s="210">
        <v>213163</v>
      </c>
      <c r="AK12" s="210">
        <v>813098</v>
      </c>
      <c r="AL12" s="59">
        <f t="shared" si="1"/>
        <v>-144198</v>
      </c>
      <c r="AM12" s="210">
        <v>-620356</v>
      </c>
      <c r="AN12" s="210">
        <v>306585</v>
      </c>
      <c r="AO12" s="210">
        <v>-448793</v>
      </c>
      <c r="AP12" s="59">
        <f>AQ12-SUM(AM12:AO12)</f>
        <v>150937</v>
      </c>
      <c r="AQ12" s="210">
        <v>-611627</v>
      </c>
      <c r="AR12" s="712">
        <v>531085</v>
      </c>
      <c r="AS12" s="712">
        <f>2113078-AR12</f>
        <v>1581993</v>
      </c>
      <c r="AT12" s="712">
        <f>1995661-AS12-AR12</f>
        <v>-117417</v>
      </c>
      <c r="AU12" s="59">
        <f t="shared" si="2"/>
        <v>1138592</v>
      </c>
      <c r="AV12" s="712">
        <v>3134253</v>
      </c>
      <c r="AW12" s="712">
        <v>-966075</v>
      </c>
      <c r="AX12" s="712">
        <f>-1505592-AW12</f>
        <v>-539517</v>
      </c>
      <c r="AY12" s="59"/>
      <c r="AZ12" s="59">
        <f>AZ40*AZ$245</f>
        <v>0</v>
      </c>
      <c r="BA12" s="59">
        <f>SUM(AW12:AZ12)</f>
        <v>-1505592</v>
      </c>
      <c r="BB12" s="59">
        <f>BB40*BB$245</f>
        <v>0</v>
      </c>
      <c r="BC12" s="59">
        <f>BC40*BC$245</f>
        <v>0</v>
      </c>
      <c r="BD12" s="59">
        <f>BD40*BD$245</f>
        <v>0</v>
      </c>
      <c r="BE12" s="59">
        <f>BE40*BE$245</f>
        <v>0</v>
      </c>
      <c r="BF12" s="59">
        <f>SUM(BB12:BE12)</f>
        <v>0</v>
      </c>
      <c r="BG12" s="59">
        <f>BG40*BG$245</f>
        <v>0</v>
      </c>
      <c r="BH12" s="59">
        <f>BH40*BH$245</f>
        <v>0</v>
      </c>
      <c r="BI12" s="59">
        <f>BI40*BI$245</f>
        <v>0</v>
      </c>
      <c r="BJ12" s="59">
        <f>BJ40*BJ$245</f>
        <v>0</v>
      </c>
      <c r="BK12" s="59">
        <f>SUM(BG12:BJ12)</f>
        <v>0</v>
      </c>
      <c r="BL12" s="59">
        <f>BL40*BL$245</f>
        <v>0</v>
      </c>
      <c r="BM12" s="59">
        <f>BM40*BM$245</f>
        <v>0</v>
      </c>
      <c r="BN12" s="59">
        <f>BN40*BN$245</f>
        <v>0</v>
      </c>
      <c r="BO12" s="59">
        <f>BO40*BO$245</f>
        <v>0</v>
      </c>
      <c r="BP12" s="59">
        <f>SUM(BL12:BO12)</f>
        <v>0</v>
      </c>
      <c r="BQ12" s="59">
        <f>BQ40*BQ$245</f>
        <v>0</v>
      </c>
      <c r="BR12" s="59">
        <f>BR40*BR$245</f>
        <v>0</v>
      </c>
      <c r="BS12" s="59">
        <f>BS40*BS$245</f>
        <v>0</v>
      </c>
      <c r="BT12" s="59">
        <f>BT40*BT$245</f>
        <v>0</v>
      </c>
      <c r="BU12" s="59">
        <f>SUM(BQ12:BT12)</f>
        <v>0</v>
      </c>
      <c r="BV12" s="59">
        <f>BV40*BV$245</f>
        <v>0</v>
      </c>
      <c r="BW12" s="59">
        <f>BW40*BW$245</f>
        <v>0</v>
      </c>
      <c r="BX12" s="59">
        <f>BX40*BX$245</f>
        <v>0</v>
      </c>
      <c r="BY12" s="59">
        <f>BY40*BY$245</f>
        <v>0</v>
      </c>
      <c r="BZ12" s="59">
        <f>SUM(BV12:BY12)</f>
        <v>0</v>
      </c>
    </row>
    <row r="13" spans="1:86">
      <c r="A13" s="34" t="s">
        <v>104</v>
      </c>
      <c r="X13" s="59"/>
      <c r="Y13" s="59"/>
      <c r="Z13" s="59"/>
      <c r="AA13" s="59"/>
      <c r="AB13" s="59"/>
      <c r="AC13" s="59"/>
      <c r="AD13" s="59"/>
      <c r="AE13" s="59"/>
      <c r="AF13" s="59"/>
      <c r="AG13" s="59"/>
      <c r="AH13" s="59"/>
      <c r="AI13" s="59"/>
      <c r="AJ13" s="59"/>
      <c r="AK13" s="59"/>
      <c r="AL13" s="59"/>
      <c r="AM13" s="59"/>
      <c r="AN13" s="59"/>
      <c r="AO13" s="59"/>
      <c r="AP13" s="59"/>
      <c r="AQ13" s="59"/>
      <c r="AR13" s="712">
        <v>502605</v>
      </c>
      <c r="AS13" s="712">
        <f>1954299-AR13</f>
        <v>1451694</v>
      </c>
      <c r="AT13" s="712">
        <f>1509258-AS13-AR13</f>
        <v>-445041</v>
      </c>
      <c r="AU13" s="59">
        <f t="shared" si="2"/>
        <v>870250</v>
      </c>
      <c r="AV13" s="712">
        <v>2379508</v>
      </c>
      <c r="AW13" s="712">
        <v>-141149</v>
      </c>
      <c r="AX13" s="712">
        <f>-64042-AW13</f>
        <v>77107</v>
      </c>
      <c r="BA13" s="59"/>
      <c r="BF13" s="59"/>
      <c r="BK13" s="59"/>
      <c r="BP13" s="59"/>
      <c r="BU13" s="59"/>
      <c r="BZ13" s="59"/>
    </row>
    <row r="14" spans="1:86">
      <c r="A14" s="34" t="s">
        <v>1991</v>
      </c>
      <c r="X14" s="59"/>
      <c r="Y14" s="59"/>
      <c r="Z14" s="59"/>
      <c r="AA14" s="59"/>
      <c r="AB14" s="59"/>
      <c r="AC14" s="59"/>
      <c r="AD14" s="59"/>
      <c r="AE14" s="59"/>
      <c r="AF14" s="59"/>
      <c r="AG14" s="59"/>
      <c r="AH14" s="59"/>
      <c r="AI14" s="59"/>
      <c r="AJ14" s="59"/>
      <c r="AK14" s="59"/>
      <c r="AL14" s="59"/>
      <c r="AM14" s="59"/>
      <c r="AN14" s="59"/>
      <c r="AO14" s="59"/>
      <c r="AP14" s="59"/>
      <c r="AQ14" s="59"/>
      <c r="AR14" s="712">
        <v>28480</v>
      </c>
      <c r="AS14" s="712">
        <f>158779-AR14</f>
        <v>130299</v>
      </c>
      <c r="AT14" s="712">
        <f>486403-AS14-AR14</f>
        <v>327624</v>
      </c>
      <c r="AU14" s="59">
        <f t="shared" si="2"/>
        <v>268342</v>
      </c>
      <c r="AV14" s="712">
        <v>754745</v>
      </c>
      <c r="AW14" s="712">
        <v>-824926</v>
      </c>
      <c r="AX14" s="712">
        <f>-1569634-AW14</f>
        <v>-744708</v>
      </c>
      <c r="BA14" s="59"/>
      <c r="BF14" s="59"/>
      <c r="BK14" s="59"/>
      <c r="BP14" s="59"/>
      <c r="BU14" s="59"/>
      <c r="BZ14" s="59"/>
    </row>
    <row r="15" spans="1:86">
      <c r="A15" s="5" t="s">
        <v>2890</v>
      </c>
      <c r="X15" s="59"/>
      <c r="Y15" s="59"/>
      <c r="Z15" s="59"/>
      <c r="AA15" s="59"/>
      <c r="AB15" s="59"/>
      <c r="AC15" s="210">
        <v>147277</v>
      </c>
      <c r="AD15" s="210">
        <v>-78778</v>
      </c>
      <c r="AE15" s="210">
        <v>-72710</v>
      </c>
      <c r="AF15" s="210">
        <v>105735</v>
      </c>
      <c r="AG15" s="59">
        <f>SUM(AC15:AF15)</f>
        <v>101524</v>
      </c>
      <c r="AH15" s="210">
        <v>73609</v>
      </c>
      <c r="AI15" s="210">
        <v>12924</v>
      </c>
      <c r="AJ15" s="210">
        <v>69001</v>
      </c>
      <c r="AK15" s="210">
        <v>49972</v>
      </c>
      <c r="AL15" s="59">
        <f>SUM(AH15:AK15)</f>
        <v>205506</v>
      </c>
      <c r="AM15" s="210">
        <v>-97024</v>
      </c>
      <c r="AN15" s="210">
        <v>30529</v>
      </c>
      <c r="AO15" s="210">
        <v>291887</v>
      </c>
      <c r="AP15" s="59">
        <f>AQ15-SUM(AM15:AO15)</f>
        <v>658</v>
      </c>
      <c r="AQ15" s="210">
        <v>226050</v>
      </c>
      <c r="AR15" s="712">
        <v>-12022</v>
      </c>
      <c r="AS15" s="712">
        <f>-8453-AR15</f>
        <v>3569</v>
      </c>
      <c r="AT15" s="712">
        <f>-24757-AS15-AR15</f>
        <v>-16304</v>
      </c>
      <c r="AU15" s="59">
        <f t="shared" si="2"/>
        <v>-272896</v>
      </c>
      <c r="AV15" s="712">
        <v>-297653</v>
      </c>
      <c r="AW15" s="712">
        <v>31828</v>
      </c>
      <c r="AX15" s="712">
        <f>446896-AW15</f>
        <v>415068</v>
      </c>
      <c r="BA15" s="59"/>
      <c r="BF15" s="59"/>
      <c r="BK15" s="59"/>
      <c r="BP15" s="59"/>
      <c r="BU15" s="59"/>
      <c r="BZ15" s="59"/>
    </row>
    <row r="16" spans="1:86">
      <c r="A16" s="5" t="s">
        <v>1994</v>
      </c>
      <c r="X16" s="59"/>
      <c r="Y16" s="59"/>
      <c r="Z16" s="59"/>
      <c r="AA16" s="59"/>
      <c r="AB16" s="59"/>
      <c r="AC16" s="59"/>
      <c r="AD16" s="59">
        <v>11233</v>
      </c>
      <c r="AE16" s="59">
        <v>-1211</v>
      </c>
      <c r="AF16" s="59"/>
      <c r="AG16" s="59">
        <f>SUM(AC16:AF16)</f>
        <v>10022</v>
      </c>
      <c r="AH16" s="59"/>
      <c r="AI16" s="59"/>
      <c r="AJ16" s="59"/>
      <c r="AK16" s="59"/>
      <c r="AL16" s="59"/>
      <c r="AM16" s="59"/>
      <c r="AN16" s="210">
        <v>6532</v>
      </c>
      <c r="AO16" s="59"/>
      <c r="AP16" s="59"/>
      <c r="AQ16" s="210">
        <v>6532</v>
      </c>
      <c r="AR16" s="712">
        <v>-11066</v>
      </c>
      <c r="AS16" s="712">
        <f>-11066-AR16</f>
        <v>0</v>
      </c>
      <c r="AT16" s="712">
        <f>-1912-AS16-AR16</f>
        <v>9154</v>
      </c>
      <c r="AU16" s="59">
        <f t="shared" si="2"/>
        <v>-51</v>
      </c>
      <c r="AV16" s="712">
        <v>-1963</v>
      </c>
      <c r="AW16" s="712">
        <v>33023</v>
      </c>
      <c r="AX16" s="712">
        <f>47782-AW16</f>
        <v>14759</v>
      </c>
      <c r="BA16" s="59"/>
      <c r="BF16" s="59"/>
      <c r="BK16" s="59"/>
      <c r="BP16" s="59"/>
      <c r="BU16" s="59"/>
      <c r="BZ16" s="59"/>
    </row>
    <row r="17" spans="1:78">
      <c r="A17" s="5" t="s">
        <v>192</v>
      </c>
      <c r="X17" s="59"/>
      <c r="Y17" s="59"/>
      <c r="Z17" s="59"/>
      <c r="AA17" s="59"/>
      <c r="AB17" s="59"/>
      <c r="AC17" s="210">
        <v>11480</v>
      </c>
      <c r="AD17" s="210">
        <v>726</v>
      </c>
      <c r="AE17" s="210">
        <v>1551</v>
      </c>
      <c r="AF17" s="210">
        <v>5626</v>
      </c>
      <c r="AG17" s="59">
        <f>SUM(AC17:AF17)</f>
        <v>19383</v>
      </c>
      <c r="AH17" s="210">
        <v>11073</v>
      </c>
      <c r="AI17" s="210">
        <v>1005</v>
      </c>
      <c r="AJ17" s="210">
        <v>1882</v>
      </c>
      <c r="AK17" s="210">
        <v>3930</v>
      </c>
      <c r="AL17" s="59">
        <f>SUM(AH17:AK17)</f>
        <v>17890</v>
      </c>
      <c r="AM17" s="210">
        <v>9132</v>
      </c>
      <c r="AN17" s="210">
        <v>4718</v>
      </c>
      <c r="AO17" s="210">
        <v>9915</v>
      </c>
      <c r="AP17" s="59">
        <f>AQ17-SUM(AM17:AO17)</f>
        <v>13124</v>
      </c>
      <c r="AQ17" s="210">
        <v>36889</v>
      </c>
      <c r="AR17" s="712">
        <v>28038</v>
      </c>
      <c r="AS17" s="712">
        <f>44497-AR17</f>
        <v>16459</v>
      </c>
      <c r="AT17" s="712">
        <f>65639-AS17-AR17</f>
        <v>21142</v>
      </c>
      <c r="AU17" s="59">
        <f t="shared" si="2"/>
        <v>25951</v>
      </c>
      <c r="AV17" s="712">
        <v>91590</v>
      </c>
      <c r="AW17" s="712">
        <v>24445</v>
      </c>
      <c r="AX17" s="712">
        <f>43613-AW17</f>
        <v>19168</v>
      </c>
      <c r="BA17" s="59"/>
      <c r="BF17" s="59"/>
      <c r="BK17" s="59"/>
      <c r="BP17" s="59"/>
      <c r="BU17" s="59"/>
      <c r="BZ17" s="59"/>
    </row>
    <row r="18" spans="1:78">
      <c r="A18" s="9" t="s">
        <v>59</v>
      </c>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39">
        <f t="shared" ref="AC18:AV18" si="3">SUM(AC6:AC12)+SUM(AC15:AC17)</f>
        <v>741381</v>
      </c>
      <c r="AD18" s="39">
        <f t="shared" si="3"/>
        <v>-461692</v>
      </c>
      <c r="AE18" s="39">
        <f t="shared" si="3"/>
        <v>-263841</v>
      </c>
      <c r="AF18" s="39">
        <f t="shared" si="3"/>
        <v>88287</v>
      </c>
      <c r="AG18" s="39">
        <f t="shared" si="3"/>
        <v>104135</v>
      </c>
      <c r="AH18" s="39">
        <f t="shared" si="3"/>
        <v>111233</v>
      </c>
      <c r="AI18" s="39">
        <f t="shared" si="3"/>
        <v>3413475</v>
      </c>
      <c r="AJ18" s="39">
        <f t="shared" si="3"/>
        <v>175008</v>
      </c>
      <c r="AK18" s="39">
        <f t="shared" si="3"/>
        <v>860852</v>
      </c>
      <c r="AL18" s="39">
        <f t="shared" si="3"/>
        <v>4560568</v>
      </c>
      <c r="AM18" s="39">
        <f t="shared" si="3"/>
        <v>-689697</v>
      </c>
      <c r="AN18" s="39">
        <f t="shared" si="3"/>
        <v>276167</v>
      </c>
      <c r="AO18" s="39">
        <f t="shared" si="3"/>
        <v>-169898</v>
      </c>
      <c r="AP18" s="39">
        <f t="shared" si="3"/>
        <v>124383</v>
      </c>
      <c r="AQ18" s="39">
        <f t="shared" si="3"/>
        <v>-459045</v>
      </c>
      <c r="AR18" s="39">
        <f t="shared" si="3"/>
        <v>567933</v>
      </c>
      <c r="AS18" s="39">
        <f t="shared" si="3"/>
        <v>1548826</v>
      </c>
      <c r="AT18" s="39">
        <f t="shared" si="3"/>
        <v>-108309</v>
      </c>
      <c r="AU18" s="39">
        <f t="shared" si="3"/>
        <v>1405371</v>
      </c>
      <c r="AV18" s="39">
        <f t="shared" si="3"/>
        <v>3413821</v>
      </c>
      <c r="AW18" s="39">
        <f t="shared" ref="AW18" si="4">SUM(AW6:AW12)+SUM(AW15:AW17)</f>
        <v>-256548</v>
      </c>
      <c r="AX18" s="39">
        <f t="shared" ref="AX18" si="5">SUM(AX6:AX12)+SUM(AX15:AX17)</f>
        <v>620546</v>
      </c>
      <c r="AY18" s="39">
        <f>AY19-AX19</f>
        <v>-200620</v>
      </c>
      <c r="AZ18" s="39">
        <f t="shared" ref="AZ18" si="6">SUM(AZ6:AZ12)+SUM(AZ15:AZ17)</f>
        <v>0</v>
      </c>
      <c r="BA18" s="39">
        <f t="shared" ref="BA18" si="7">SUM(BA6:BA12)+SUM(BA15:BA17)</f>
        <v>-1505592</v>
      </c>
      <c r="BB18" s="39">
        <f t="shared" ref="BB18" si="8">SUM(BB6:BB12)+SUM(BB15:BB17)</f>
        <v>0</v>
      </c>
      <c r="BC18" s="39">
        <f t="shared" ref="BC18" si="9">SUM(BC6:BC12)+SUM(BC15:BC17)</f>
        <v>0</v>
      </c>
      <c r="BD18" s="39">
        <f t="shared" ref="BD18" si="10">SUM(BD6:BD12)+SUM(BD15:BD17)</f>
        <v>0</v>
      </c>
      <c r="BE18" s="39">
        <f t="shared" ref="BE18" si="11">SUM(BE6:BE12)+SUM(BE15:BE17)</f>
        <v>0</v>
      </c>
      <c r="BF18" s="39">
        <f t="shared" ref="BF18" si="12">SUM(BF6:BF12)+SUM(BF15:BF17)</f>
        <v>0</v>
      </c>
      <c r="BG18" s="39">
        <f t="shared" ref="BG18" si="13">SUM(BG6:BG12)+SUM(BG15:BG17)</f>
        <v>0</v>
      </c>
      <c r="BH18" s="39">
        <f t="shared" ref="BH18" si="14">SUM(BH6:BH12)+SUM(BH15:BH17)</f>
        <v>0</v>
      </c>
      <c r="BI18" s="39">
        <f t="shared" ref="BI18" si="15">SUM(BI6:BI12)+SUM(BI15:BI17)</f>
        <v>0</v>
      </c>
      <c r="BJ18" s="39">
        <f t="shared" ref="BJ18" si="16">SUM(BJ6:BJ12)+SUM(BJ15:BJ17)</f>
        <v>0</v>
      </c>
      <c r="BK18" s="39">
        <f t="shared" ref="BK18" si="17">SUM(BK6:BK12)+SUM(BK15:BK17)</f>
        <v>0</v>
      </c>
      <c r="BL18" s="39">
        <f t="shared" ref="BL18" si="18">SUM(BL6:BL12)+SUM(BL15:BL17)</f>
        <v>0</v>
      </c>
      <c r="BM18" s="39">
        <f t="shared" ref="BM18" si="19">SUM(BM6:BM12)+SUM(BM15:BM17)</f>
        <v>0</v>
      </c>
      <c r="BN18" s="39">
        <f t="shared" ref="BN18" si="20">SUM(BN6:BN12)+SUM(BN15:BN17)</f>
        <v>0</v>
      </c>
      <c r="BO18" s="39">
        <f t="shared" ref="BO18" si="21">SUM(BO6:BO12)+SUM(BO15:BO17)</f>
        <v>0</v>
      </c>
      <c r="BP18" s="39">
        <f t="shared" ref="BP18" si="22">SUM(BP6:BP12)+SUM(BP15:BP17)</f>
        <v>0</v>
      </c>
      <c r="BQ18" s="39">
        <f t="shared" ref="BQ18" si="23">SUM(BQ6:BQ12)+SUM(BQ15:BQ17)</f>
        <v>0</v>
      </c>
      <c r="BR18" s="39">
        <f t="shared" ref="BR18" si="24">SUM(BR6:BR12)+SUM(BR15:BR17)</f>
        <v>0</v>
      </c>
      <c r="BS18" s="39">
        <f t="shared" ref="BS18" si="25">SUM(BS6:BS12)+SUM(BS15:BS17)</f>
        <v>0</v>
      </c>
      <c r="BT18" s="39">
        <f t="shared" ref="BT18" si="26">SUM(BT6:BT12)+SUM(BT15:BT17)</f>
        <v>0</v>
      </c>
      <c r="BU18" s="39">
        <f t="shared" ref="BU18" si="27">SUM(BU6:BU12)+SUM(BU15:BU17)</f>
        <v>0</v>
      </c>
      <c r="BV18" s="39">
        <f t="shared" ref="BV18" si="28">SUM(BV6:BV12)+SUM(BV15:BV17)</f>
        <v>0</v>
      </c>
      <c r="BW18" s="39">
        <f t="shared" ref="BW18" si="29">SUM(BW6:BW12)+SUM(BW15:BW17)</f>
        <v>0</v>
      </c>
      <c r="BX18" s="39">
        <f t="shared" ref="BX18" si="30">SUM(BX6:BX12)+SUM(BX15:BX17)</f>
        <v>0</v>
      </c>
      <c r="BY18" s="39">
        <f t="shared" ref="BY18" si="31">SUM(BY6:BY12)+SUM(BY15:BY17)</f>
        <v>0</v>
      </c>
      <c r="BZ18" s="39">
        <f t="shared" ref="BZ18" si="32">SUM(BZ6:BZ12)+SUM(BZ15:BZ17)</f>
        <v>0</v>
      </c>
    </row>
    <row r="19" spans="1:78">
      <c r="A19" s="1" t="s">
        <v>1356</v>
      </c>
      <c r="AC19" s="210">
        <v>741381</v>
      </c>
      <c r="AD19" s="210">
        <v>-461692</v>
      </c>
      <c r="AE19" s="210">
        <v>-263841</v>
      </c>
      <c r="AF19" s="210">
        <v>88287</v>
      </c>
      <c r="AG19" s="59">
        <f>SUM(AC19:AF19)</f>
        <v>104135</v>
      </c>
      <c r="AH19" s="210">
        <v>111233</v>
      </c>
      <c r="AI19" s="210">
        <v>3413475</v>
      </c>
      <c r="AJ19" s="210">
        <v>175008</v>
      </c>
      <c r="AK19" s="210">
        <v>860852</v>
      </c>
      <c r="AL19" s="59">
        <f>SUM(AH19:AK19)</f>
        <v>4560568</v>
      </c>
      <c r="AM19" s="210">
        <v>-689697</v>
      </c>
      <c r="AN19" s="210">
        <v>276167</v>
      </c>
      <c r="AO19" s="210">
        <v>-169898</v>
      </c>
      <c r="AQ19" s="210">
        <v>-459045</v>
      </c>
      <c r="AR19" s="712">
        <v>567933</v>
      </c>
      <c r="AS19" s="712">
        <v>2116759</v>
      </c>
      <c r="AT19" s="712">
        <f>2008450</f>
        <v>2008450</v>
      </c>
      <c r="AV19" s="712">
        <v>3413821</v>
      </c>
      <c r="AW19" s="712">
        <v>-256548</v>
      </c>
      <c r="AX19" s="712">
        <v>363998</v>
      </c>
      <c r="AY19" s="338">
        <v>163378</v>
      </c>
    </row>
    <row r="20" spans="1:78">
      <c r="A20" s="1" t="s">
        <v>706</v>
      </c>
      <c r="AC20" s="36">
        <f>AC18-AC19</f>
        <v>0</v>
      </c>
      <c r="AD20" s="36">
        <f>AD18-AD19</f>
        <v>0</v>
      </c>
      <c r="AE20" s="36">
        <f>AE18-AE19</f>
        <v>0</v>
      </c>
      <c r="AF20" s="36">
        <f>AF18-AF19</f>
        <v>0</v>
      </c>
      <c r="AH20" s="36">
        <f>AH18-AH19</f>
        <v>0</v>
      </c>
      <c r="AI20" s="36">
        <f>AI18-AI19</f>
        <v>0</v>
      </c>
      <c r="AJ20" s="36">
        <f>AJ18-AJ19</f>
        <v>0</v>
      </c>
      <c r="AK20" s="36">
        <f>AK18-AK19</f>
        <v>0</v>
      </c>
      <c r="AM20" s="36">
        <f>AM18-AM19</f>
        <v>0</v>
      </c>
      <c r="AN20" s="36">
        <f>AN18-AN19</f>
        <v>0</v>
      </c>
      <c r="AO20" s="36">
        <f>AO18-AO19</f>
        <v>0</v>
      </c>
      <c r="AQ20" s="36">
        <f>AQ18-AQ19</f>
        <v>0</v>
      </c>
      <c r="AR20" s="36">
        <f>AR18-AR19</f>
        <v>0</v>
      </c>
      <c r="AS20" s="36">
        <f>SUM(AR18:AS18)-AS19</f>
        <v>0</v>
      </c>
      <c r="AT20" s="36">
        <f>SUM(AR18:AT18)-AT19</f>
        <v>0</v>
      </c>
      <c r="AV20" s="36">
        <f>AV18-AV19</f>
        <v>0</v>
      </c>
      <c r="AW20" s="36">
        <f>AW18-AW19</f>
        <v>0</v>
      </c>
      <c r="AX20" s="36">
        <f>SUM(AW18:AX18)-AX19</f>
        <v>0</v>
      </c>
      <c r="AY20" s="36">
        <f>SUM(AW18:AY18)-AY19</f>
        <v>0</v>
      </c>
    </row>
    <row r="22" spans="1:78">
      <c r="A22" s="1" t="s">
        <v>62</v>
      </c>
      <c r="AC22" s="210">
        <v>-20370</v>
      </c>
      <c r="AD22" s="210">
        <v>-25872</v>
      </c>
      <c r="AE22" s="210">
        <v>-16184</v>
      </c>
      <c r="AF22" s="210">
        <v>-23445</v>
      </c>
      <c r="AG22" s="59">
        <f t="shared" ref="AG22:AG27" si="33">SUM(AC22:AF22)</f>
        <v>-85871</v>
      </c>
      <c r="AH22" s="210">
        <v>-16657</v>
      </c>
      <c r="AI22" s="210">
        <v>-14005</v>
      </c>
      <c r="AJ22" s="210">
        <v>-13537</v>
      </c>
      <c r="AK22" s="210">
        <v>-29597</v>
      </c>
      <c r="AL22" s="59">
        <f t="shared" ref="AL22:AL27" si="34">SUM(AH22:AK22)</f>
        <v>-73796</v>
      </c>
      <c r="AM22" s="210">
        <v>-19633</v>
      </c>
      <c r="AN22" s="210">
        <v>-21862</v>
      </c>
      <c r="AO22" s="210">
        <v>-26544</v>
      </c>
      <c r="AP22" s="59">
        <f>AQ22-SUM(AM22:AO22)</f>
        <v>-21246</v>
      </c>
      <c r="AQ22" s="210">
        <v>-89285</v>
      </c>
      <c r="AR22" s="712">
        <v>-37171</v>
      </c>
      <c r="AS22" s="712">
        <f>-60806-AR22</f>
        <v>-23635</v>
      </c>
      <c r="AT22" s="712">
        <f>-93743-AS22-AR22</f>
        <v>-32937</v>
      </c>
      <c r="AU22" s="59">
        <f>AV22-SUM(AR22:AT22)</f>
        <v>-38113</v>
      </c>
      <c r="AV22" s="712">
        <v>-131856</v>
      </c>
      <c r="AW22" s="712">
        <v>-19140</v>
      </c>
      <c r="AX22" s="712">
        <f>-47627-AW22</f>
        <v>-28487</v>
      </c>
      <c r="AY22" s="338">
        <f>-82174-AX22-AW22</f>
        <v>-34547</v>
      </c>
      <c r="AZ22" s="59">
        <f>AZ48*AZ$244</f>
        <v>-39228.481167048049</v>
      </c>
      <c r="BA22" s="36">
        <f>SUM(AW22:AZ22)</f>
        <v>-121402.48116704804</v>
      </c>
      <c r="BB22" s="59">
        <f>BB48*BB$244</f>
        <v>-20699.582409256833</v>
      </c>
      <c r="BC22" s="59">
        <f>BC48*BC$244</f>
        <v>-30247.303467796613</v>
      </c>
      <c r="BD22" s="59">
        <f>BD48*BD$244</f>
        <v>-35033.335818618543</v>
      </c>
      <c r="BE22" s="59">
        <f>BE48*BE$244</f>
        <v>-39406.160135583516</v>
      </c>
      <c r="BF22" s="36">
        <f>SUM(BB22:BE22)</f>
        <v>-125386.38183125551</v>
      </c>
      <c r="BG22" s="59">
        <f>BG48*BG$244</f>
        <v>-20792.777361732893</v>
      </c>
      <c r="BH22" s="59">
        <f>BH48*BH$244</f>
        <v>-30382.661621033898</v>
      </c>
      <c r="BI22" s="59">
        <f>BI48*BI$244</f>
        <v>-35189.15335187289</v>
      </c>
      <c r="BJ22" s="59">
        <f>BJ48*BJ$244</f>
        <v>-39580.343064912464</v>
      </c>
      <c r="BK22" s="36">
        <f>SUM(BG22:BJ22)</f>
        <v>-125944.93539955215</v>
      </c>
      <c r="BL22" s="59">
        <f>BL48*BL$244</f>
        <v>-20884.110756741156</v>
      </c>
      <c r="BM22" s="59">
        <f>BM48*BM$244</f>
        <v>-30515.274875588046</v>
      </c>
      <c r="BN22" s="59">
        <f>BN48*BN$244</f>
        <v>-35341.762910565674</v>
      </c>
      <c r="BO22" s="59">
        <f>BO48*BO$244</f>
        <v>-39750.885096090773</v>
      </c>
      <c r="BP22" s="36">
        <f>SUM(BL22:BO22)</f>
        <v>-126492.03363898564</v>
      </c>
      <c r="BQ22" s="59">
        <f>BQ48*BQ$244</f>
        <v>-20973.505778693281</v>
      </c>
      <c r="BR22" s="59">
        <f>BR48*BR$244</f>
        <v>-30645.030428914088</v>
      </c>
      <c r="BS22" s="59">
        <f>BS48*BS$244</f>
        <v>-35491.033196515069</v>
      </c>
      <c r="BT22" s="59">
        <f>BT48*BT$244</f>
        <v>-39917.637811014822</v>
      </c>
      <c r="BU22" s="36">
        <f>SUM(BQ22:BT22)</f>
        <v>-127027.20721513726</v>
      </c>
      <c r="BV22" s="59">
        <f>BV48*BV$244</f>
        <v>-21060.883726383701</v>
      </c>
      <c r="BW22" s="59">
        <f>BW48*BW$244</f>
        <v>-30771.812711992901</v>
      </c>
      <c r="BX22" s="59">
        <f>BX48*BX$244</f>
        <v>-35636.829694388078</v>
      </c>
      <c r="BY22" s="59">
        <f>BY48*BY$244</f>
        <v>-40080.449158239964</v>
      </c>
      <c r="BZ22" s="36">
        <f>SUM(BV22:BY22)</f>
        <v>-127549.97529100464</v>
      </c>
    </row>
    <row r="23" spans="1:78">
      <c r="A23" s="1" t="s">
        <v>106</v>
      </c>
      <c r="AC23" s="210">
        <v>-59594</v>
      </c>
      <c r="AD23" s="210">
        <v>-78818</v>
      </c>
      <c r="AE23" s="210">
        <v>-70772</v>
      </c>
      <c r="AF23" s="210">
        <v>-67924</v>
      </c>
      <c r="AG23" s="59">
        <f t="shared" si="33"/>
        <v>-277108</v>
      </c>
      <c r="AH23" s="210">
        <v>-80029</v>
      </c>
      <c r="AI23" s="210">
        <v>-160610</v>
      </c>
      <c r="AJ23" s="210">
        <v>-76563</v>
      </c>
      <c r="AK23" s="210">
        <v>-81339</v>
      </c>
      <c r="AL23" s="59">
        <f t="shared" si="34"/>
        <v>-398541</v>
      </c>
      <c r="AM23" s="210">
        <v>-97256</v>
      </c>
      <c r="AN23" s="210">
        <v>-112386</v>
      </c>
      <c r="AO23" s="210">
        <v>-136361</v>
      </c>
      <c r="AP23" s="59">
        <f t="shared" ref="AP23:AP27" si="35">AQ23-SUM(AM23:AO23)</f>
        <v>-127808</v>
      </c>
      <c r="AQ23" s="210">
        <v>-473811</v>
      </c>
      <c r="AR23" s="712">
        <v>-136075</v>
      </c>
      <c r="AS23" s="712">
        <f>-270408-AR23</f>
        <v>-134333</v>
      </c>
      <c r="AT23" s="712">
        <f>-402887-AS23-AR23</f>
        <v>-132479</v>
      </c>
      <c r="AU23" s="59">
        <f t="shared" ref="AU23:AU27" si="36">AV23-SUM(AR23:AT23)</f>
        <v>-128365</v>
      </c>
      <c r="AV23" s="712">
        <v>-531252</v>
      </c>
      <c r="AW23" s="712">
        <v>-146581</v>
      </c>
      <c r="AX23" s="712">
        <f>-296333-AW23</f>
        <v>-149752</v>
      </c>
      <c r="AY23" s="338">
        <f>-451597-AX23-AW23</f>
        <v>-155264</v>
      </c>
      <c r="AZ23" s="36">
        <f>AZ308</f>
        <v>-256640</v>
      </c>
      <c r="BA23" s="36">
        <f>SUM(AW23:AZ23)</f>
        <v>-708237</v>
      </c>
      <c r="BB23" s="36">
        <f>BB308</f>
        <v>-255745</v>
      </c>
      <c r="BC23" s="36">
        <f>BC308</f>
        <v>-201880</v>
      </c>
      <c r="BD23" s="36">
        <f>BD308</f>
        <v>-201770</v>
      </c>
      <c r="BE23" s="36">
        <f>BE308</f>
        <v>-201665</v>
      </c>
      <c r="BF23" s="36">
        <f>SUM(BB23:BE23)</f>
        <v>-861060</v>
      </c>
      <c r="BG23" s="36">
        <f>BG308</f>
        <v>-201555</v>
      </c>
      <c r="BH23" s="36">
        <f>BH308</f>
        <v>-201445</v>
      </c>
      <c r="BI23" s="36">
        <f>BI308</f>
        <v>-201340</v>
      </c>
      <c r="BJ23" s="36">
        <f>BJ308</f>
        <v>-201230</v>
      </c>
      <c r="BK23" s="36">
        <f>SUM(BG23:BJ23)</f>
        <v>-805570</v>
      </c>
      <c r="BL23" s="36">
        <f>BL308</f>
        <v>-201120</v>
      </c>
      <c r="BM23" s="36">
        <f>BM308</f>
        <v>-201010</v>
      </c>
      <c r="BN23" s="36">
        <f>BN308</f>
        <v>-200900</v>
      </c>
      <c r="BO23" s="36">
        <f>BO308</f>
        <v>-200795</v>
      </c>
      <c r="BP23" s="36">
        <f>SUM(BL23:BO23)</f>
        <v>-803825</v>
      </c>
      <c r="BQ23" s="36">
        <f>BQ308</f>
        <v>-200685</v>
      </c>
      <c r="BR23" s="36">
        <f>BR308</f>
        <v>-200575</v>
      </c>
      <c r="BS23" s="36">
        <f>BS308</f>
        <v>-200465</v>
      </c>
      <c r="BT23" s="36">
        <f>BT308</f>
        <v>-200350</v>
      </c>
      <c r="BU23" s="36">
        <f>SUM(BQ23:BT23)</f>
        <v>-802075</v>
      </c>
      <c r="BV23" s="36">
        <f>BV308</f>
        <v>-200240</v>
      </c>
      <c r="BW23" s="36">
        <f>BW308</f>
        <v>-200130</v>
      </c>
      <c r="BX23" s="36">
        <f>BX308</f>
        <v>-200020</v>
      </c>
      <c r="BY23" s="36">
        <f>BY308</f>
        <v>-199910</v>
      </c>
      <c r="BZ23" s="36">
        <f>SUM(BV23:BY23)</f>
        <v>-800300</v>
      </c>
    </row>
    <row r="24" spans="1:78">
      <c r="A24" s="1" t="s">
        <v>64</v>
      </c>
      <c r="AC24" s="210">
        <v>-12661</v>
      </c>
      <c r="AD24" s="210">
        <v>-77188</v>
      </c>
      <c r="AE24" s="210">
        <v>-185280</v>
      </c>
      <c r="AF24" s="210">
        <v>-429979</v>
      </c>
      <c r="AG24" s="59">
        <f t="shared" si="33"/>
        <v>-705108</v>
      </c>
      <c r="AH24" s="210">
        <v>-822035</v>
      </c>
      <c r="AI24" s="210">
        <v>-278108</v>
      </c>
      <c r="AJ24" s="210">
        <v>374787</v>
      </c>
      <c r="AK24" s="210">
        <v>-46697</v>
      </c>
      <c r="AL24" s="59">
        <f t="shared" si="34"/>
        <v>-772053</v>
      </c>
      <c r="AM24" s="210">
        <v>-466107</v>
      </c>
      <c r="AN24" s="210">
        <v>-184024</v>
      </c>
      <c r="AO24" s="210">
        <v>343456</v>
      </c>
      <c r="AP24" s="59">
        <f t="shared" si="35"/>
        <v>-396763</v>
      </c>
      <c r="AQ24" s="210">
        <v>-703438</v>
      </c>
      <c r="AR24" s="712">
        <v>-442568</v>
      </c>
      <c r="AS24" s="712">
        <f>289539-AR24</f>
        <v>732107</v>
      </c>
      <c r="AT24" s="712">
        <f>-256029-AS24-AR24</f>
        <v>-545568</v>
      </c>
      <c r="AU24" s="59">
        <f t="shared" si="36"/>
        <v>275286</v>
      </c>
      <c r="AV24" s="712">
        <v>19257</v>
      </c>
      <c r="AW24" s="712">
        <v>131780</v>
      </c>
      <c r="AX24" s="712">
        <f>8625-AW24</f>
        <v>-123155</v>
      </c>
      <c r="AY24" s="338">
        <f>-107462-AX24-AW24</f>
        <v>-116087</v>
      </c>
      <c r="AZ24" s="36">
        <f>AY306-AZ306</f>
        <v>51157.623104119673</v>
      </c>
      <c r="BA24" s="36">
        <f>SUM(AW24:AZ24)</f>
        <v>-56304.376895880327</v>
      </c>
      <c r="BB24" s="36">
        <f>BA306-BB306</f>
        <v>3078119.8682531826</v>
      </c>
      <c r="BC24" s="36">
        <f>BB306-BC306</f>
        <v>6149.5051529761404</v>
      </c>
      <c r="BD24" s="36">
        <f>BC306-BD306</f>
        <v>6161.7598261963576</v>
      </c>
      <c r="BE24" s="36">
        <f>BD306-BE306</f>
        <v>6174.0700697656721</v>
      </c>
      <c r="BF24" s="36">
        <f>SUM(BB24:BE24)</f>
        <v>3096605.2033021208</v>
      </c>
      <c r="BG24" s="36">
        <f>BF306-BG306</f>
        <v>6186.4362802300602</v>
      </c>
      <c r="BH24" s="36">
        <f>BG306-BH306</f>
        <v>6198.8588580098003</v>
      </c>
      <c r="BI24" s="36">
        <f>BH306-BI306</f>
        <v>6211.3382074367255</v>
      </c>
      <c r="BJ24" s="36">
        <f>BI306-BJ306</f>
        <v>6223.874736815691</v>
      </c>
      <c r="BK24" s="36">
        <f>SUM(BG24:BJ24)</f>
        <v>24820.508082492277</v>
      </c>
      <c r="BL24" s="36">
        <f>BK306-BL306</f>
        <v>6236.4688584655523</v>
      </c>
      <c r="BM24" s="36">
        <f>BL306-BM306</f>
        <v>6249.1209887675941</v>
      </c>
      <c r="BN24" s="36">
        <f>BM306-BN306</f>
        <v>6261.8315482251346</v>
      </c>
      <c r="BO24" s="36">
        <f>BN306-BO306</f>
        <v>6274.6009615063667</v>
      </c>
      <c r="BP24" s="36">
        <f>SUM(BL24:BO24)</f>
        <v>25022.022356964648</v>
      </c>
      <c r="BQ24" s="36">
        <f>BP306-BQ306</f>
        <v>6287.4296575020999</v>
      </c>
      <c r="BR24" s="36">
        <f>BQ306-BR306</f>
        <v>6300.3180693816394</v>
      </c>
      <c r="BS24" s="36">
        <f>BR306-BS306</f>
        <v>6313.266634631902</v>
      </c>
      <c r="BT24" s="36">
        <f>BS306-BT306</f>
        <v>6326.2757951356471</v>
      </c>
      <c r="BU24" s="36">
        <f>SUM(BQ24:BT24)</f>
        <v>25227.290156651288</v>
      </c>
      <c r="BV24" s="36">
        <f>BU306-BV306</f>
        <v>6339.3459972050041</v>
      </c>
      <c r="BW24" s="36">
        <f>BV306-BW306</f>
        <v>6352.4776916615665</v>
      </c>
      <c r="BX24" s="36">
        <f>BW306-BX306</f>
        <v>6365.6713338643312</v>
      </c>
      <c r="BY24" s="36">
        <f>BX306-BY306</f>
        <v>6378.9273837935179</v>
      </c>
      <c r="BZ24" s="36">
        <f>SUM(BV24:BY24)</f>
        <v>25436.42240652442</v>
      </c>
    </row>
    <row r="25" spans="1:78">
      <c r="A25" s="1" t="s">
        <v>65</v>
      </c>
      <c r="AC25" s="210">
        <v>54670</v>
      </c>
      <c r="AD25" s="210">
        <v>212319</v>
      </c>
      <c r="AE25" s="210">
        <v>-45309</v>
      </c>
      <c r="AF25" s="210">
        <v>154753</v>
      </c>
      <c r="AG25" s="59">
        <f t="shared" si="33"/>
        <v>376433</v>
      </c>
      <c r="AH25" s="210">
        <v>-139782</v>
      </c>
      <c r="AI25" s="210">
        <v>115903</v>
      </c>
      <c r="AJ25" s="210">
        <v>-829</v>
      </c>
      <c r="AK25" s="210">
        <v>1872</v>
      </c>
      <c r="AL25" s="59">
        <f t="shared" si="34"/>
        <v>-22836</v>
      </c>
      <c r="AM25" s="210">
        <v>-1581</v>
      </c>
      <c r="AN25" s="210">
        <v>-2481</v>
      </c>
      <c r="AO25" s="210">
        <v>2859</v>
      </c>
      <c r="AP25" s="59">
        <f t="shared" si="35"/>
        <v>3107</v>
      </c>
      <c r="AQ25" s="210">
        <v>1904</v>
      </c>
      <c r="AR25" s="44">
        <v>0</v>
      </c>
      <c r="AS25" s="712">
        <v>0</v>
      </c>
      <c r="AT25" s="712">
        <v>0</v>
      </c>
      <c r="AU25" s="59">
        <f t="shared" si="36"/>
        <v>0</v>
      </c>
      <c r="AV25" s="712">
        <v>0</v>
      </c>
      <c r="AW25" s="44">
        <v>0</v>
      </c>
      <c r="AX25" s="712">
        <v>0</v>
      </c>
      <c r="AY25" s="338">
        <v>0</v>
      </c>
    </row>
    <row r="26" spans="1:78">
      <c r="A26" s="1" t="s">
        <v>1995</v>
      </c>
      <c r="AC26" s="210">
        <v>-108211</v>
      </c>
      <c r="AD26" s="210">
        <v>732200</v>
      </c>
      <c r="AE26" s="210">
        <v>482668</v>
      </c>
      <c r="AF26" s="210">
        <v>130029</v>
      </c>
      <c r="AG26" s="59">
        <f t="shared" si="33"/>
        <v>1236686</v>
      </c>
      <c r="AH26" s="210">
        <v>-244986</v>
      </c>
      <c r="AI26" s="210">
        <v>1286487</v>
      </c>
      <c r="AJ26" s="210">
        <v>-410386</v>
      </c>
      <c r="AK26" s="210">
        <v>-565383</v>
      </c>
      <c r="AL26" s="59">
        <f t="shared" si="34"/>
        <v>65732</v>
      </c>
      <c r="AM26" s="210">
        <v>848775</v>
      </c>
      <c r="AN26" s="210">
        <v>-148389</v>
      </c>
      <c r="AO26" s="210">
        <v>478445</v>
      </c>
      <c r="AP26" s="59">
        <f t="shared" si="35"/>
        <v>321184</v>
      </c>
      <c r="AQ26" s="210">
        <v>1500015</v>
      </c>
      <c r="AR26" s="712">
        <v>58778</v>
      </c>
      <c r="AS26" s="712">
        <f>-1472334-AR26</f>
        <v>-1531112</v>
      </c>
      <c r="AT26" s="712">
        <f>-802486-AS26-AR26</f>
        <v>669848</v>
      </c>
      <c r="AU26" s="59">
        <f t="shared" si="36"/>
        <v>-1239344</v>
      </c>
      <c r="AV26" s="712">
        <v>-2041830</v>
      </c>
      <c r="AW26" s="712">
        <v>228468</v>
      </c>
      <c r="AX26" s="712">
        <f>207918-AW26</f>
        <v>-20550</v>
      </c>
      <c r="AY26" s="338">
        <f>216825-AX26-AW26</f>
        <v>8907</v>
      </c>
      <c r="AZ26" s="36">
        <f>AZ52*AZ$245</f>
        <v>-86762.34731035294</v>
      </c>
      <c r="BA26" s="36">
        <f>SUM(AW26:AZ26)</f>
        <v>130062.65268964706</v>
      </c>
      <c r="BB26" s="36">
        <f>BB52*BB$245</f>
        <v>-88219.734794342119</v>
      </c>
      <c r="BC26" s="36">
        <f>BC52*BC$245</f>
        <v>-89701.002985838786</v>
      </c>
      <c r="BD26" s="36">
        <f>BD52*BD$245</f>
        <v>-91206.529719694794</v>
      </c>
      <c r="BE26" s="36">
        <f>BE52*BE$245</f>
        <v>-92736.698498454003</v>
      </c>
      <c r="BF26" s="36">
        <f>SUM(BB26:BE26)</f>
        <v>-361863.96599832969</v>
      </c>
      <c r="BG26" s="36">
        <f>BG52*BG$245</f>
        <v>-94291.898569972254</v>
      </c>
      <c r="BH26" s="36">
        <f>BH52*BH$245</f>
        <v>-95872.525005915901</v>
      </c>
      <c r="BI26" s="36">
        <f>BI52*BI$245</f>
        <v>-97478.978781118582</v>
      </c>
      <c r="BJ26" s="36">
        <f>BJ52*BJ$245</f>
        <v>-99111.666853864881</v>
      </c>
      <c r="BK26" s="36">
        <f>SUM(BG26:BJ26)</f>
        <v>-386755.06921087159</v>
      </c>
      <c r="BL26" s="36">
        <f>BL52*BL$245</f>
        <v>-100771.00224702108</v>
      </c>
      <c r="BM26" s="36">
        <f>BM52*BM$245</f>
        <v>-102457.40413009413</v>
      </c>
      <c r="BN26" s="36">
        <f>BN52*BN$245</f>
        <v>-104171.29790216575</v>
      </c>
      <c r="BO26" s="36">
        <f>BO52*BO$245</f>
        <v>-105913.11527575228</v>
      </c>
      <c r="BP26" s="36">
        <f>SUM(BL26:BO26)</f>
        <v>-413312.81955503323</v>
      </c>
      <c r="BQ26" s="36">
        <f>BQ52*BQ$245</f>
        <v>-107683.29436155051</v>
      </c>
      <c r="BR26" s="36">
        <f>BR52*BR$245</f>
        <v>-109482.27975410242</v>
      </c>
      <c r="BS26" s="36">
        <f>BS52*BS$245</f>
        <v>-111310.52261838056</v>
      </c>
      <c r="BT26" s="36">
        <f>BT52*BT$245</f>
        <v>-113168.4807772783</v>
      </c>
      <c r="BU26" s="36">
        <f>SUM(BQ26:BT26)</f>
        <v>-441644.5775113118</v>
      </c>
      <c r="BV26" s="36">
        <f>BV52*BV$245</f>
        <v>-115056.61880002145</v>
      </c>
      <c r="BW26" s="36">
        <f>BW52*BW$245</f>
        <v>-116975.40809152045</v>
      </c>
      <c r="BX26" s="36">
        <f>BX52*BX$245</f>
        <v>-118925.32698261624</v>
      </c>
      <c r="BY26" s="36">
        <f>BY52*BY$245</f>
        <v>-120906.86082128072</v>
      </c>
      <c r="BZ26" s="36">
        <f>SUM(BV26:BY26)</f>
        <v>-471864.21469543886</v>
      </c>
    </row>
    <row r="27" spans="1:78">
      <c r="A27" s="1" t="s">
        <v>68</v>
      </c>
      <c r="AC27" s="210">
        <v>30112</v>
      </c>
      <c r="AD27" s="210">
        <v>89286</v>
      </c>
      <c r="AE27" s="210">
        <v>56133</v>
      </c>
      <c r="AF27" s="210">
        <v>140460</v>
      </c>
      <c r="AG27" s="59">
        <f t="shared" si="33"/>
        <v>315991</v>
      </c>
      <c r="AH27" s="210">
        <v>-5797</v>
      </c>
      <c r="AI27" s="210">
        <v>97200</v>
      </c>
      <c r="AJ27" s="210">
        <v>-179002</v>
      </c>
      <c r="AK27" s="210">
        <v>78371</v>
      </c>
      <c r="AL27" s="59">
        <f t="shared" si="34"/>
        <v>-9228</v>
      </c>
      <c r="AM27" s="210">
        <v>30959</v>
      </c>
      <c r="AN27" s="210">
        <v>44263</v>
      </c>
      <c r="AO27" s="210">
        <v>45438</v>
      </c>
      <c r="AP27" s="59">
        <f t="shared" si="35"/>
        <v>5474</v>
      </c>
      <c r="AQ27" s="210">
        <v>126134</v>
      </c>
      <c r="AR27" s="712">
        <v>27072</v>
      </c>
      <c r="AS27" s="712">
        <f>61616-AR27</f>
        <v>34544</v>
      </c>
      <c r="AT27" s="712">
        <f>78681-AS27-AR27</f>
        <v>17065</v>
      </c>
      <c r="AU27" s="59">
        <f t="shared" si="36"/>
        <v>-12570</v>
      </c>
      <c r="AV27" s="712">
        <v>66111</v>
      </c>
      <c r="AW27" s="712">
        <v>41083</v>
      </c>
      <c r="AX27" s="712">
        <f>117828-AW27</f>
        <v>76745</v>
      </c>
      <c r="AY27" s="338">
        <f>171031-AX27-AW27</f>
        <v>53203</v>
      </c>
    </row>
    <row r="28" spans="1:78">
      <c r="A28" s="9" t="s">
        <v>110</v>
      </c>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39">
        <f t="shared" ref="AC28:AV28" si="37">AC18+SUM(AC22:AC27)</f>
        <v>625327</v>
      </c>
      <c r="AD28" s="39">
        <f t="shared" si="37"/>
        <v>390235</v>
      </c>
      <c r="AE28" s="39">
        <f t="shared" si="37"/>
        <v>-42585</v>
      </c>
      <c r="AF28" s="39">
        <f t="shared" si="37"/>
        <v>-7819</v>
      </c>
      <c r="AG28" s="39">
        <f t="shared" si="37"/>
        <v>965158</v>
      </c>
      <c r="AH28" s="39">
        <f t="shared" si="37"/>
        <v>-1198053</v>
      </c>
      <c r="AI28" s="39">
        <f t="shared" si="37"/>
        <v>4460342</v>
      </c>
      <c r="AJ28" s="39">
        <f t="shared" si="37"/>
        <v>-130522</v>
      </c>
      <c r="AK28" s="39">
        <f t="shared" si="37"/>
        <v>218079</v>
      </c>
      <c r="AL28" s="39">
        <f t="shared" si="37"/>
        <v>3349846</v>
      </c>
      <c r="AM28" s="39">
        <f t="shared" si="37"/>
        <v>-394540</v>
      </c>
      <c r="AN28" s="39">
        <f t="shared" si="37"/>
        <v>-148712</v>
      </c>
      <c r="AO28" s="39">
        <f t="shared" si="37"/>
        <v>537395</v>
      </c>
      <c r="AP28" s="39">
        <f t="shared" si="37"/>
        <v>-91669</v>
      </c>
      <c r="AQ28" s="39">
        <f t="shared" si="37"/>
        <v>-97526</v>
      </c>
      <c r="AR28" s="39">
        <f t="shared" si="37"/>
        <v>37969</v>
      </c>
      <c r="AS28" s="39">
        <f t="shared" si="37"/>
        <v>626397</v>
      </c>
      <c r="AT28" s="39">
        <f t="shared" si="37"/>
        <v>-132380</v>
      </c>
      <c r="AU28" s="39">
        <f t="shared" ref="AU28" si="38">AU18+SUM(AU22:AU27)</f>
        <v>262265</v>
      </c>
      <c r="AV28" s="39">
        <f t="shared" si="37"/>
        <v>794251</v>
      </c>
      <c r="AW28" s="39">
        <f t="shared" ref="AW28" si="39">AW18+SUM(AW22:AW27)</f>
        <v>-20938</v>
      </c>
      <c r="AX28" s="39">
        <f t="shared" ref="AX28" si="40">AX18+SUM(AX22:AX27)</f>
        <v>375347</v>
      </c>
      <c r="AY28" s="39">
        <f t="shared" ref="AY28" si="41">AY18+SUM(AY22:AY27)</f>
        <v>-444408</v>
      </c>
      <c r="AZ28" s="39">
        <f t="shared" ref="AZ28" si="42">AZ18+SUM(AZ22:AZ27)</f>
        <v>-331473.20537328132</v>
      </c>
      <c r="BA28" s="39">
        <f t="shared" ref="BA28" si="43">BA18+SUM(BA22:BA27)</f>
        <v>-2261473.2053732811</v>
      </c>
      <c r="BB28" s="39">
        <f t="shared" ref="BB28" si="44">BB18+SUM(BB22:BB27)</f>
        <v>2713455.5510495836</v>
      </c>
      <c r="BC28" s="39">
        <f t="shared" ref="BC28" si="45">BC18+SUM(BC22:BC27)</f>
        <v>-315678.80130065925</v>
      </c>
      <c r="BD28" s="39">
        <f t="shared" ref="BD28" si="46">BD18+SUM(BD22:BD27)</f>
        <v>-321848.10571211699</v>
      </c>
      <c r="BE28" s="39">
        <f t="shared" ref="BE28" si="47">BE18+SUM(BE22:BE27)</f>
        <v>-327633.78856427188</v>
      </c>
      <c r="BF28" s="39">
        <f t="shared" ref="BF28" si="48">BF18+SUM(BF22:BF27)</f>
        <v>1748294.8554725354</v>
      </c>
      <c r="BG28" s="39">
        <f t="shared" ref="BG28" si="49">BG18+SUM(BG22:BG27)</f>
        <v>-310453.2396514751</v>
      </c>
      <c r="BH28" s="39">
        <f t="shared" ref="BH28" si="50">BH18+SUM(BH22:BH27)</f>
        <v>-321501.32776894001</v>
      </c>
      <c r="BI28" s="39">
        <f t="shared" ref="BI28" si="51">BI18+SUM(BI22:BI27)</f>
        <v>-327796.79392555472</v>
      </c>
      <c r="BJ28" s="39">
        <f t="shared" ref="BJ28" si="52">BJ18+SUM(BJ22:BJ27)</f>
        <v>-333698.1351819617</v>
      </c>
      <c r="BK28" s="39">
        <f t="shared" ref="BK28" si="53">BK18+SUM(BK22:BK27)</f>
        <v>-1293449.4965279314</v>
      </c>
      <c r="BL28" s="39">
        <f t="shared" ref="BL28" si="54">BL18+SUM(BL22:BL27)</f>
        <v>-316538.64414529671</v>
      </c>
      <c r="BM28" s="39">
        <f t="shared" ref="BM28" si="55">BM18+SUM(BM22:BM27)</f>
        <v>-327733.55801691458</v>
      </c>
      <c r="BN28" s="39">
        <f t="shared" ref="BN28" si="56">BN18+SUM(BN22:BN27)</f>
        <v>-334151.22926450631</v>
      </c>
      <c r="BO28" s="39">
        <f t="shared" ref="BO28" si="57">BO18+SUM(BO22:BO27)</f>
        <v>-340184.39941033669</v>
      </c>
      <c r="BP28" s="39">
        <f t="shared" ref="BP28" si="58">BP18+SUM(BP22:BP27)</f>
        <v>-1318607.8308370542</v>
      </c>
      <c r="BQ28" s="39">
        <f t="shared" ref="BQ28" si="59">BQ18+SUM(BQ22:BQ27)</f>
        <v>-323054.37048274168</v>
      </c>
      <c r="BR28" s="39">
        <f t="shared" ref="BR28" si="60">BR18+SUM(BR22:BR27)</f>
        <v>-334401.99211363489</v>
      </c>
      <c r="BS28" s="39">
        <f t="shared" ref="BS28" si="61">BS18+SUM(BS22:BS27)</f>
        <v>-340953.2891802637</v>
      </c>
      <c r="BT28" s="39">
        <f t="shared" ref="BT28" si="62">BT18+SUM(BT22:BT27)</f>
        <v>-347109.8427931575</v>
      </c>
      <c r="BU28" s="39">
        <f t="shared" ref="BU28" si="63">BU18+SUM(BU22:BU27)</f>
        <v>-1345519.4945697978</v>
      </c>
      <c r="BV28" s="39">
        <f t="shared" ref="BV28" si="64">BV18+SUM(BV22:BV27)</f>
        <v>-330018.15652920015</v>
      </c>
      <c r="BW28" s="39">
        <f t="shared" ref="BW28" si="65">BW18+SUM(BW22:BW27)</f>
        <v>-341524.7431118518</v>
      </c>
      <c r="BX28" s="39">
        <f t="shared" ref="BX28" si="66">BX18+SUM(BX22:BX27)</f>
        <v>-348216.48534313997</v>
      </c>
      <c r="BY28" s="39">
        <f t="shared" ref="BY28" si="67">BY18+SUM(BY22:BY27)</f>
        <v>-354518.38259572716</v>
      </c>
      <c r="BZ28" s="39">
        <f t="shared" ref="BZ28" si="68">BZ18+SUM(BZ22:BZ27)</f>
        <v>-1374277.7675799192</v>
      </c>
    </row>
    <row r="29" spans="1:78">
      <c r="A29" s="1" t="s">
        <v>1356</v>
      </c>
      <c r="AC29" s="210">
        <v>625327</v>
      </c>
      <c r="AD29" s="210">
        <v>390235</v>
      </c>
      <c r="AE29" s="210">
        <v>-42585</v>
      </c>
      <c r="AF29" s="210">
        <v>-7819</v>
      </c>
      <c r="AH29" s="210">
        <v>-1198053</v>
      </c>
      <c r="AI29" s="210">
        <v>4460342</v>
      </c>
      <c r="AJ29" s="210">
        <v>-130522</v>
      </c>
      <c r="AK29" s="210">
        <v>218079</v>
      </c>
      <c r="AM29" s="210">
        <v>-394540</v>
      </c>
      <c r="AN29" s="210">
        <v>-148712</v>
      </c>
      <c r="AO29" s="210">
        <v>537395</v>
      </c>
      <c r="AQ29" s="210">
        <v>-97526</v>
      </c>
      <c r="AR29" s="712">
        <v>37969</v>
      </c>
      <c r="AS29" s="712">
        <v>664366</v>
      </c>
      <c r="AT29" s="712">
        <f>531986</f>
        <v>531986</v>
      </c>
      <c r="AV29" s="712">
        <v>794251</v>
      </c>
      <c r="AW29" s="712">
        <v>-20938</v>
      </c>
      <c r="AX29" s="712">
        <v>354409</v>
      </c>
      <c r="AY29" s="338">
        <v>-89999</v>
      </c>
    </row>
    <row r="30" spans="1:78">
      <c r="A30" s="1" t="s">
        <v>706</v>
      </c>
      <c r="AC30" s="36"/>
      <c r="AD30" s="36"/>
      <c r="AE30" s="36"/>
      <c r="AF30" s="36"/>
      <c r="AH30" s="36">
        <f>AH28-AH29</f>
        <v>0</v>
      </c>
      <c r="AI30" s="36">
        <f>AI28-AI29</f>
        <v>0</v>
      </c>
      <c r="AJ30" s="36">
        <f>AJ28-AJ29</f>
        <v>0</v>
      </c>
      <c r="AK30" s="36">
        <f>AK28-AK29</f>
        <v>0</v>
      </c>
      <c r="AM30" s="36">
        <f>AM28-AM29</f>
        <v>0</v>
      </c>
      <c r="AN30" s="36">
        <f>AN28-AN29</f>
        <v>0</v>
      </c>
      <c r="AO30" s="36">
        <f>AO28-AO29</f>
        <v>0</v>
      </c>
      <c r="AQ30" s="36">
        <f>AQ28-AQ29</f>
        <v>0</v>
      </c>
      <c r="AR30" s="36">
        <f>AR28-AR29</f>
        <v>0</v>
      </c>
      <c r="AS30" s="36">
        <f>SUM(AR28:AS28)-AS29</f>
        <v>0</v>
      </c>
      <c r="AT30" s="36">
        <f>SUM(AR28:AT28)-AT29</f>
        <v>0</v>
      </c>
      <c r="AV30" s="36">
        <f>AV28-AV29</f>
        <v>0</v>
      </c>
      <c r="AW30" s="36">
        <f>AW28-AW29</f>
        <v>0</v>
      </c>
      <c r="AX30" s="36">
        <f>SUM(AW28:AX28)-AX29</f>
        <v>0</v>
      </c>
      <c r="AY30" s="36">
        <f>SUM(AW28:AY28)-AY29</f>
        <v>0</v>
      </c>
    </row>
    <row r="32" spans="1:78" s="12" customFormat="1">
      <c r="A32" s="13" t="s">
        <v>1992</v>
      </c>
      <c r="I32" s="69" t="s">
        <v>244</v>
      </c>
      <c r="AY32" s="665" t="s">
        <v>3388</v>
      </c>
      <c r="AZ32" s="46"/>
      <c r="BA32" s="46"/>
      <c r="BB32" s="46"/>
      <c r="BC32" s="46"/>
    </row>
    <row r="33" spans="1:78">
      <c r="AP33" s="90" t="s">
        <v>1996</v>
      </c>
    </row>
    <row r="34" spans="1:78">
      <c r="A34" s="5" t="s">
        <v>1984</v>
      </c>
      <c r="AC34" s="59">
        <f t="shared" ref="AC34:AF40" si="69">AC6/AC$244</f>
        <v>0</v>
      </c>
      <c r="AD34" s="59">
        <f t="shared" si="69"/>
        <v>0</v>
      </c>
      <c r="AE34" s="59">
        <f t="shared" si="69"/>
        <v>599.03169014084506</v>
      </c>
      <c r="AF34" s="59">
        <f t="shared" si="69"/>
        <v>1126.5755764304015</v>
      </c>
      <c r="AG34" s="59">
        <f t="shared" ref="AG34:AG40" si="70">SUM(AC34:AF34)</f>
        <v>1725.6072665712466</v>
      </c>
      <c r="AH34" s="59">
        <f t="shared" ref="AH34:AK40" si="71">AH6/AH$244</f>
        <v>753.74302541847499</v>
      </c>
      <c r="AI34" s="59">
        <f t="shared" si="71"/>
        <v>34186.530141332565</v>
      </c>
      <c r="AJ34" s="59">
        <f t="shared" si="71"/>
        <v>0</v>
      </c>
      <c r="AK34" s="59">
        <f t="shared" si="71"/>
        <v>0</v>
      </c>
      <c r="AL34" s="59">
        <f t="shared" ref="AL34:AL40" si="72">SUM(AH34:AK34)</f>
        <v>34940.273166751038</v>
      </c>
      <c r="AM34" s="59">
        <f t="shared" ref="AM34:AP40" si="73">AM6/AM$244</f>
        <v>0</v>
      </c>
      <c r="AN34" s="59">
        <f t="shared" si="73"/>
        <v>0</v>
      </c>
      <c r="AO34" s="59">
        <f t="shared" si="73"/>
        <v>0</v>
      </c>
      <c r="AP34" s="59">
        <f t="shared" si="73"/>
        <v>0</v>
      </c>
      <c r="AQ34" s="59">
        <f t="shared" ref="AQ34:AQ40" si="74">SUM(AM34:AP34)</f>
        <v>0</v>
      </c>
      <c r="AR34" s="59">
        <f t="shared" ref="AR34:AU34" si="75">AR6/AR$244</f>
        <v>0</v>
      </c>
      <c r="AS34" s="59">
        <f t="shared" si="75"/>
        <v>0</v>
      </c>
      <c r="AT34" s="59">
        <f t="shared" si="75"/>
        <v>0</v>
      </c>
      <c r="AU34" s="59">
        <f t="shared" si="75"/>
        <v>0</v>
      </c>
      <c r="AV34" s="59">
        <f t="shared" ref="AV34:AV40" si="76">SUM(AR34:AU34)</f>
        <v>0</v>
      </c>
      <c r="AW34" s="59">
        <f t="shared" ref="AW34:AX34" si="77">AW6/AW$244</f>
        <v>0</v>
      </c>
      <c r="AX34" s="59">
        <f t="shared" si="77"/>
        <v>0</v>
      </c>
      <c r="BA34" s="36"/>
    </row>
    <row r="35" spans="1:78">
      <c r="A35" s="5" t="s">
        <v>1985</v>
      </c>
      <c r="AC35" s="59">
        <f t="shared" si="69"/>
        <v>0</v>
      </c>
      <c r="AD35" s="59">
        <f t="shared" si="69"/>
        <v>28.505476599981897</v>
      </c>
      <c r="AE35" s="59">
        <f t="shared" si="69"/>
        <v>0</v>
      </c>
      <c r="AF35" s="59">
        <f t="shared" si="69"/>
        <v>0</v>
      </c>
      <c r="AG35" s="59">
        <f t="shared" si="70"/>
        <v>28.505476599981897</v>
      </c>
      <c r="AH35" s="59">
        <f t="shared" si="71"/>
        <v>192.51394916305023</v>
      </c>
      <c r="AI35" s="59">
        <f t="shared" si="71"/>
        <v>0</v>
      </c>
      <c r="AJ35" s="59">
        <f t="shared" si="71"/>
        <v>0</v>
      </c>
      <c r="AK35" s="59">
        <f t="shared" si="71"/>
        <v>0</v>
      </c>
      <c r="AL35" s="59">
        <f t="shared" si="72"/>
        <v>192.51394916305023</v>
      </c>
      <c r="AM35" s="59">
        <f t="shared" si="73"/>
        <v>0</v>
      </c>
      <c r="AN35" s="59">
        <f t="shared" si="73"/>
        <v>0</v>
      </c>
      <c r="AO35" s="59">
        <f t="shared" si="73"/>
        <v>0</v>
      </c>
      <c r="AP35" s="59">
        <f t="shared" si="73"/>
        <v>0</v>
      </c>
      <c r="AQ35" s="59">
        <f t="shared" si="74"/>
        <v>0</v>
      </c>
      <c r="AR35" s="59">
        <f t="shared" ref="AR35:AU35" si="78">AR7/AR$244</f>
        <v>0</v>
      </c>
      <c r="AS35" s="59">
        <f t="shared" si="78"/>
        <v>0</v>
      </c>
      <c r="AT35" s="59">
        <f t="shared" si="78"/>
        <v>0</v>
      </c>
      <c r="AU35" s="59">
        <f t="shared" si="78"/>
        <v>0</v>
      </c>
      <c r="AV35" s="59">
        <f t="shared" si="76"/>
        <v>0</v>
      </c>
      <c r="AW35" s="59">
        <f t="shared" ref="AW35:AX35" si="79">AW7/AW$244</f>
        <v>0</v>
      </c>
      <c r="AX35" s="59">
        <f t="shared" si="79"/>
        <v>0</v>
      </c>
      <c r="BA35" s="36"/>
    </row>
    <row r="36" spans="1:78" s="26" customFormat="1">
      <c r="A36" s="29" t="s">
        <v>1986</v>
      </c>
      <c r="AC36" s="61">
        <f t="shared" si="69"/>
        <v>594.69090909090914</v>
      </c>
      <c r="AD36" s="61">
        <f t="shared" si="69"/>
        <v>-22.313750339458675</v>
      </c>
      <c r="AE36" s="61">
        <f t="shared" si="69"/>
        <v>47.218309859154935</v>
      </c>
      <c r="AF36" s="61">
        <f t="shared" si="69"/>
        <v>-114.96157130657558</v>
      </c>
      <c r="AG36" s="61">
        <f t="shared" si="70"/>
        <v>504.6338973040298</v>
      </c>
      <c r="AH36" s="61">
        <f t="shared" si="71"/>
        <v>55.610663360198394</v>
      </c>
      <c r="AI36" s="61">
        <f t="shared" si="71"/>
        <v>-442.76031150850878</v>
      </c>
      <c r="AJ36" s="61">
        <f t="shared" si="71"/>
        <v>-111.06545763672429</v>
      </c>
      <c r="AK36" s="61">
        <f t="shared" si="71"/>
        <v>-30.36169893441393</v>
      </c>
      <c r="AL36" s="61">
        <f t="shared" si="72"/>
        <v>-528.57680471944855</v>
      </c>
      <c r="AM36" s="61">
        <f t="shared" si="73"/>
        <v>-0.4271957135616537</v>
      </c>
      <c r="AN36" s="61">
        <f t="shared" si="73"/>
        <v>-607.00632563256329</v>
      </c>
      <c r="AO36" s="61">
        <f t="shared" si="73"/>
        <v>-15.938775510204081</v>
      </c>
      <c r="AP36" s="61">
        <f t="shared" si="73"/>
        <v>2.1978765131534455</v>
      </c>
      <c r="AQ36" s="61">
        <f t="shared" si="74"/>
        <v>-621.1744203431756</v>
      </c>
      <c r="AR36" s="61">
        <f t="shared" ref="AR36:AU36" si="80">AR8/AR$244</f>
        <v>1.0157797227368555</v>
      </c>
      <c r="AS36" s="61">
        <f t="shared" si="80"/>
        <v>1.3044056967922268</v>
      </c>
      <c r="AT36" s="61">
        <f t="shared" si="80"/>
        <v>-276.93629394660326</v>
      </c>
      <c r="AU36" s="61">
        <f t="shared" si="80"/>
        <v>14.566851912389671</v>
      </c>
      <c r="AV36" s="61">
        <f t="shared" si="76"/>
        <v>-260.04925661468451</v>
      </c>
      <c r="AW36" s="61">
        <f t="shared" ref="AW36:AX36" si="81">AW8/AW$244</f>
        <v>-335.3330119154212</v>
      </c>
      <c r="AX36" s="61">
        <f t="shared" si="81"/>
        <v>79.966101694915253</v>
      </c>
      <c r="BA36" s="61"/>
    </row>
    <row r="37" spans="1:78" s="26" customFormat="1">
      <c r="A37" s="29" t="s">
        <v>1987</v>
      </c>
      <c r="AC37" s="61">
        <f t="shared" si="69"/>
        <v>159.6090909090909</v>
      </c>
      <c r="AD37" s="61">
        <f t="shared" si="69"/>
        <v>-883.28052865031236</v>
      </c>
      <c r="AE37" s="61">
        <f t="shared" si="69"/>
        <v>-1578.125</v>
      </c>
      <c r="AF37" s="61">
        <f t="shared" si="69"/>
        <v>-1147.2331340734415</v>
      </c>
      <c r="AG37" s="61">
        <f t="shared" si="70"/>
        <v>-3449.0295718146626</v>
      </c>
      <c r="AH37" s="61">
        <f t="shared" si="71"/>
        <v>-538.42994420334787</v>
      </c>
      <c r="AI37" s="61">
        <f t="shared" si="71"/>
        <v>76.982982405537925</v>
      </c>
      <c r="AJ37" s="61">
        <f t="shared" si="71"/>
        <v>-28.428733352224427</v>
      </c>
      <c r="AK37" s="61">
        <f t="shared" si="71"/>
        <v>-31.802491370253641</v>
      </c>
      <c r="AL37" s="61">
        <f t="shared" si="72"/>
        <v>-521.67818652028802</v>
      </c>
      <c r="AM37" s="61">
        <f t="shared" si="73"/>
        <v>6.559988415031496</v>
      </c>
      <c r="AN37" s="61">
        <f t="shared" si="73"/>
        <v>200.0618811881188</v>
      </c>
      <c r="AO37" s="61">
        <f t="shared" si="73"/>
        <v>22.095238095238095</v>
      </c>
      <c r="AP37" s="61">
        <f t="shared" si="73"/>
        <v>-139.0342868736052</v>
      </c>
      <c r="AQ37" s="61">
        <f t="shared" si="74"/>
        <v>89.682820824783192</v>
      </c>
      <c r="AR37" s="61">
        <f t="shared" ref="AR37:AU37" si="82">AR9/AR$244</f>
        <v>-6.3182776464575481</v>
      </c>
      <c r="AS37" s="61">
        <f t="shared" si="82"/>
        <v>59.590043923865302</v>
      </c>
      <c r="AT37" s="61">
        <f t="shared" si="82"/>
        <v>151.79751519957705</v>
      </c>
      <c r="AU37" s="61">
        <f t="shared" si="82"/>
        <v>-273.44230140568817</v>
      </c>
      <c r="AV37" s="61">
        <f t="shared" si="76"/>
        <v>-68.373019928703371</v>
      </c>
      <c r="AW37" s="61">
        <f t="shared" ref="AW37:AX37" si="83">AW9/AW$244</f>
        <v>1204.3115917074178</v>
      </c>
      <c r="AX37" s="61">
        <f t="shared" si="83"/>
        <v>502.33220338983051</v>
      </c>
      <c r="BA37" s="61"/>
    </row>
    <row r="38" spans="1:78" s="26" customFormat="1">
      <c r="A38" s="29" t="s">
        <v>1988</v>
      </c>
      <c r="AC38" s="61">
        <f t="shared" si="69"/>
        <v>1086.4636363636364</v>
      </c>
      <c r="AD38" s="61">
        <f t="shared" si="69"/>
        <v>-392.19697655472072</v>
      </c>
      <c r="AE38" s="61">
        <f t="shared" si="69"/>
        <v>418.49471830985919</v>
      </c>
      <c r="AF38" s="61">
        <f t="shared" si="69"/>
        <v>-292.48505550811274</v>
      </c>
      <c r="AG38" s="61">
        <f t="shared" si="70"/>
        <v>820.27632261066196</v>
      </c>
      <c r="AH38" s="61">
        <f t="shared" si="71"/>
        <v>-40.654060756354625</v>
      </c>
      <c r="AI38" s="61">
        <f t="shared" si="71"/>
        <v>-4.2976636861840207</v>
      </c>
      <c r="AJ38" s="61">
        <f t="shared" si="71"/>
        <v>5.9931992065741007</v>
      </c>
      <c r="AK38" s="61">
        <f t="shared" si="71"/>
        <v>-0.79543749061984093</v>
      </c>
      <c r="AL38" s="61">
        <f t="shared" si="72"/>
        <v>-39.753962726584383</v>
      </c>
      <c r="AM38" s="61">
        <f t="shared" si="73"/>
        <v>0.13033089566287739</v>
      </c>
      <c r="AN38" s="61">
        <f t="shared" si="73"/>
        <v>-5.5968096809680965</v>
      </c>
      <c r="AO38" s="61">
        <f t="shared" si="73"/>
        <v>6.8027210884353748E-2</v>
      </c>
      <c r="AP38" s="61">
        <f t="shared" si="73"/>
        <v>-4.0576181781294379E-2</v>
      </c>
      <c r="AQ38" s="61">
        <f t="shared" si="74"/>
        <v>-5.4390277562021607</v>
      </c>
      <c r="AR38" s="61">
        <f t="shared" ref="AR38:AU38" si="84">AR10/AR$244</f>
        <v>0</v>
      </c>
      <c r="AS38" s="61">
        <f t="shared" si="84"/>
        <v>0</v>
      </c>
      <c r="AT38" s="61">
        <f t="shared" si="84"/>
        <v>0</v>
      </c>
      <c r="AU38" s="61">
        <f t="shared" si="84"/>
        <v>0</v>
      </c>
      <c r="AV38" s="61">
        <f t="shared" si="76"/>
        <v>0</v>
      </c>
      <c r="AW38" s="61">
        <f t="shared" ref="AW38:AX38" si="85">AW10/AW$244</f>
        <v>0</v>
      </c>
      <c r="AX38" s="61">
        <f t="shared" si="85"/>
        <v>0</v>
      </c>
      <c r="BA38" s="61"/>
    </row>
    <row r="39" spans="1:78">
      <c r="A39" s="5" t="s">
        <v>1989</v>
      </c>
      <c r="AC39" s="59">
        <f t="shared" si="69"/>
        <v>834.4454545454546</v>
      </c>
      <c r="AD39" s="59">
        <f t="shared" si="69"/>
        <v>-3878.4828460215444</v>
      </c>
      <c r="AE39" s="59">
        <f t="shared" si="69"/>
        <v>591.76056338028172</v>
      </c>
      <c r="AF39" s="59">
        <f t="shared" si="69"/>
        <v>0.8539709649871905</v>
      </c>
      <c r="AG39" s="59">
        <f t="shared" si="70"/>
        <v>-2451.4228571308208</v>
      </c>
      <c r="AH39" s="59">
        <f t="shared" si="71"/>
        <v>-3.0998140111593306</v>
      </c>
      <c r="AI39" s="59">
        <f t="shared" si="71"/>
        <v>-1061.9123161234497</v>
      </c>
      <c r="AJ39" s="59">
        <f t="shared" si="71"/>
        <v>-638.94162652309433</v>
      </c>
      <c r="AK39" s="59">
        <f t="shared" si="71"/>
        <v>16.824253339336636</v>
      </c>
      <c r="AL39" s="59">
        <f t="shared" si="72"/>
        <v>-1687.1295033183669</v>
      </c>
      <c r="AM39" s="59">
        <f t="shared" si="73"/>
        <v>128.05734559409166</v>
      </c>
      <c r="AN39" s="59">
        <f t="shared" si="73"/>
        <v>-83.862761276127614</v>
      </c>
      <c r="AO39" s="59">
        <f t="shared" si="73"/>
        <v>-162.05442176870747</v>
      </c>
      <c r="AP39" s="59">
        <f t="shared" si="73"/>
        <v>-135.90315817948198</v>
      </c>
      <c r="AQ39" s="59">
        <f t="shared" si="74"/>
        <v>-253.76299563022542</v>
      </c>
      <c r="AR39" s="59">
        <f t="shared" ref="AR39:AU39" si="86">AR11/AR$244</f>
        <v>209.08452053919376</v>
      </c>
      <c r="AS39" s="59">
        <f t="shared" si="86"/>
        <v>-414.91414880873157</v>
      </c>
      <c r="AT39" s="59">
        <f t="shared" si="86"/>
        <v>92.862807295796998</v>
      </c>
      <c r="AU39" s="59">
        <f t="shared" si="86"/>
        <v>3617.9797319385425</v>
      </c>
      <c r="AV39" s="59">
        <f t="shared" si="76"/>
        <v>3505.0129109648019</v>
      </c>
      <c r="AW39" s="59">
        <f t="shared" ref="AW39:AX39" si="87">AW11/AW$244</f>
        <v>3402.8789861560713</v>
      </c>
      <c r="AX39" s="59">
        <f t="shared" si="87"/>
        <v>4238.5016949152541</v>
      </c>
      <c r="BA39" s="36"/>
    </row>
    <row r="40" spans="1:78">
      <c r="A40" s="5" t="s">
        <v>1990</v>
      </c>
      <c r="AC40" s="59">
        <f t="shared" si="69"/>
        <v>2621.3727272727274</v>
      </c>
      <c r="AD40" s="59">
        <f t="shared" si="69"/>
        <v>1573.2868652122747</v>
      </c>
      <c r="AE40" s="59">
        <f t="shared" si="69"/>
        <v>-1763.8644366197184</v>
      </c>
      <c r="AF40" s="59">
        <f t="shared" si="69"/>
        <v>230.20495303159694</v>
      </c>
      <c r="AG40" s="59">
        <f t="shared" si="70"/>
        <v>2661.0001088968811</v>
      </c>
      <c r="AH40" s="59">
        <f t="shared" si="71"/>
        <v>-213.92591444513332</v>
      </c>
      <c r="AI40" s="59">
        <f t="shared" si="71"/>
        <v>-8240.943178540525</v>
      </c>
      <c r="AJ40" s="59">
        <f t="shared" si="71"/>
        <v>1510.0807594219325</v>
      </c>
      <c r="AK40" s="59">
        <f t="shared" si="71"/>
        <v>6101.5908749812397</v>
      </c>
      <c r="AL40" s="59">
        <f t="shared" si="72"/>
        <v>-843.19745858248643</v>
      </c>
      <c r="AM40" s="59">
        <f t="shared" si="73"/>
        <v>-4491.7529505466655</v>
      </c>
      <c r="AN40" s="59">
        <f t="shared" si="73"/>
        <v>2107.9826732673268</v>
      </c>
      <c r="AO40" s="59">
        <f t="shared" si="73"/>
        <v>-3053.0136054421769</v>
      </c>
      <c r="AP40" s="59">
        <f t="shared" si="73"/>
        <v>1020.741191587205</v>
      </c>
      <c r="AQ40" s="59">
        <f t="shared" si="74"/>
        <v>-4416.0426911343102</v>
      </c>
      <c r="AR40" s="59">
        <f t="shared" ref="AR40:AU42" si="88">AR12/AR$244</f>
        <v>3392.8639877339806</v>
      </c>
      <c r="AS40" s="59">
        <f t="shared" si="88"/>
        <v>10528.370823905232</v>
      </c>
      <c r="AT40" s="59">
        <f t="shared" si="88"/>
        <v>-775.95162569389379</v>
      </c>
      <c r="AU40" s="59">
        <f t="shared" si="88"/>
        <v>7444.21052631579</v>
      </c>
      <c r="AV40" s="59">
        <f t="shared" si="76"/>
        <v>20589.493712261108</v>
      </c>
      <c r="AW40" s="59">
        <f t="shared" ref="AW40:AX40" si="89">AW12/AW$244</f>
        <v>-6653.8673462359666</v>
      </c>
      <c r="AX40" s="59">
        <f t="shared" si="89"/>
        <v>-3657.742372881356</v>
      </c>
      <c r="AY40" s="36"/>
      <c r="AZ40" s="36">
        <f>AZ65</f>
        <v>0</v>
      </c>
      <c r="BA40" s="36">
        <f>SUM(AW40:AZ40)</f>
        <v>-10311.609719117323</v>
      </c>
      <c r="BB40" s="36">
        <f>BB65</f>
        <v>0</v>
      </c>
      <c r="BC40" s="36">
        <f>BC65</f>
        <v>0</v>
      </c>
      <c r="BD40" s="36">
        <f>BD65</f>
        <v>0</v>
      </c>
      <c r="BE40" s="36">
        <f>BE65</f>
        <v>0</v>
      </c>
      <c r="BF40" s="36">
        <f>SUM(BB40:BE40)</f>
        <v>0</v>
      </c>
      <c r="BG40" s="36">
        <f>BG65</f>
        <v>0</v>
      </c>
      <c r="BH40" s="36">
        <f>BH65</f>
        <v>0</v>
      </c>
      <c r="BI40" s="36">
        <f>BI65</f>
        <v>0</v>
      </c>
      <c r="BJ40" s="36">
        <f>BJ65</f>
        <v>0</v>
      </c>
      <c r="BK40" s="36">
        <f>SUM(BG40:BJ40)</f>
        <v>0</v>
      </c>
      <c r="BL40" s="36">
        <f>BL65</f>
        <v>0</v>
      </c>
      <c r="BM40" s="36">
        <f>BM65</f>
        <v>0</v>
      </c>
      <c r="BN40" s="36">
        <f>BN65</f>
        <v>0</v>
      </c>
      <c r="BO40" s="36">
        <f>BO65</f>
        <v>0</v>
      </c>
      <c r="BP40" s="36">
        <f>SUM(BL40:BO40)</f>
        <v>0</v>
      </c>
      <c r="BQ40" s="36">
        <f>BQ65</f>
        <v>0</v>
      </c>
      <c r="BR40" s="36">
        <f>BR65</f>
        <v>0</v>
      </c>
      <c r="BS40" s="36">
        <f>BS65</f>
        <v>0</v>
      </c>
      <c r="BT40" s="36">
        <f>BT65</f>
        <v>0</v>
      </c>
      <c r="BU40" s="36">
        <f>SUM(BQ40:BT40)</f>
        <v>0</v>
      </c>
      <c r="BV40" s="36">
        <f>BV65</f>
        <v>0</v>
      </c>
      <c r="BW40" s="36">
        <f>BW65</f>
        <v>0</v>
      </c>
      <c r="BX40" s="36">
        <f>BX65</f>
        <v>0</v>
      </c>
      <c r="BY40" s="36">
        <f>BY65</f>
        <v>0</v>
      </c>
      <c r="BZ40" s="36">
        <f>SUM(BV40:BY40)</f>
        <v>0</v>
      </c>
    </row>
    <row r="41" spans="1:78">
      <c r="A41" s="34" t="s">
        <v>104</v>
      </c>
      <c r="AC41" s="59"/>
      <c r="AD41" s="59"/>
      <c r="AE41" s="59"/>
      <c r="AF41" s="59"/>
      <c r="AG41" s="59"/>
      <c r="AH41" s="59"/>
      <c r="AI41" s="59"/>
      <c r="AJ41" s="59"/>
      <c r="AK41" s="59"/>
      <c r="AL41" s="59"/>
      <c r="AM41" s="59"/>
      <c r="AN41" s="59"/>
      <c r="AO41" s="59"/>
      <c r="AP41" s="59"/>
      <c r="AQ41" s="59"/>
      <c r="AR41" s="59">
        <f t="shared" si="88"/>
        <v>3210.9180348814925</v>
      </c>
      <c r="AS41" s="59">
        <f t="shared" si="88"/>
        <v>9661.2138959137501</v>
      </c>
      <c r="AT41" s="59">
        <f t="shared" si="88"/>
        <v>-2941.058683584457</v>
      </c>
      <c r="AU41" s="59">
        <f t="shared" si="88"/>
        <v>5689.7678980058845</v>
      </c>
      <c r="AV41" s="59">
        <f t="shared" ref="AV41:AV42" si="90">SUM(AR41:AU41)</f>
        <v>15620.841145216671</v>
      </c>
      <c r="AW41" s="59">
        <f t="shared" ref="AW41:AX41" si="91">AW13/AW$244</f>
        <v>-972.16750464908057</v>
      </c>
      <c r="AX41" s="59">
        <f t="shared" si="91"/>
        <v>522.75932203389834</v>
      </c>
    </row>
    <row r="42" spans="1:78">
      <c r="A42" s="34" t="s">
        <v>1991</v>
      </c>
      <c r="AC42" s="59"/>
      <c r="AD42" s="59"/>
      <c r="AE42" s="59"/>
      <c r="AF42" s="59"/>
      <c r="AG42" s="59"/>
      <c r="AH42" s="59"/>
      <c r="AI42" s="59"/>
      <c r="AJ42" s="59"/>
      <c r="AK42" s="59"/>
      <c r="AL42" s="59"/>
      <c r="AM42" s="59"/>
      <c r="AN42" s="59"/>
      <c r="AO42" s="59"/>
      <c r="AP42" s="59"/>
      <c r="AQ42" s="59"/>
      <c r="AR42" s="59">
        <f t="shared" si="88"/>
        <v>181.94595285248835</v>
      </c>
      <c r="AS42" s="59">
        <f t="shared" si="88"/>
        <v>867.15692799148144</v>
      </c>
      <c r="AT42" s="59">
        <f t="shared" si="88"/>
        <v>2165.1070578905633</v>
      </c>
      <c r="AU42" s="59">
        <f t="shared" si="88"/>
        <v>1754.4426283099053</v>
      </c>
      <c r="AV42" s="59">
        <f t="shared" si="90"/>
        <v>4968.6525670444389</v>
      </c>
      <c r="AW42" s="59">
        <f t="shared" ref="AW42:AX42" si="92">AW14/AW$244</f>
        <v>-5681.6998415868866</v>
      </c>
      <c r="AX42" s="59">
        <f t="shared" si="92"/>
        <v>-5048.8677966101695</v>
      </c>
    </row>
    <row r="43" spans="1:78">
      <c r="A43" s="5" t="s">
        <v>1993</v>
      </c>
      <c r="AC43" s="59">
        <f t="shared" ref="AC43:AF45" si="93">AC15/AC$244</f>
        <v>1338.8818181818183</v>
      </c>
      <c r="AD43" s="59">
        <f t="shared" si="93"/>
        <v>-713.1166832624242</v>
      </c>
      <c r="AE43" s="59">
        <f t="shared" si="93"/>
        <v>-640.05281690140851</v>
      </c>
      <c r="AF43" s="59">
        <f t="shared" si="93"/>
        <v>902.94619982920585</v>
      </c>
      <c r="AG43" s="59">
        <f>SUM(AC43:AF43)</f>
        <v>888.65851784719143</v>
      </c>
      <c r="AH43" s="59">
        <f t="shared" ref="AH43:AK45" si="94">AH15/AH$244</f>
        <v>570.43552386856788</v>
      </c>
      <c r="AI43" s="59">
        <f t="shared" si="94"/>
        <v>93.192962215171619</v>
      </c>
      <c r="AJ43" s="59">
        <f t="shared" si="94"/>
        <v>488.81411164635875</v>
      </c>
      <c r="AK43" s="59">
        <f t="shared" si="94"/>
        <v>374.99624793636502</v>
      </c>
      <c r="AL43" s="59">
        <f>SUM(AH43:AK43)</f>
        <v>1527.4388456664633</v>
      </c>
      <c r="AM43" s="59">
        <f t="shared" ref="AM43:AP45" si="95">AM15/AM$244</f>
        <v>-702.51249004416763</v>
      </c>
      <c r="AN43" s="59">
        <f t="shared" si="95"/>
        <v>209.90786578657867</v>
      </c>
      <c r="AO43" s="59">
        <f t="shared" si="95"/>
        <v>1985.6258503401361</v>
      </c>
      <c r="AP43" s="59">
        <f t="shared" si="95"/>
        <v>4.4498546020152832</v>
      </c>
      <c r="AQ43" s="59">
        <f>SUM(AM43:AP43)</f>
        <v>1497.4710806845624</v>
      </c>
      <c r="AR43" s="59">
        <f t="shared" ref="AR43:AU43" si="96">AR15/AR$244</f>
        <v>-76.803168721650806</v>
      </c>
      <c r="AS43" s="59">
        <f t="shared" si="96"/>
        <v>23.752162917609478</v>
      </c>
      <c r="AT43" s="59">
        <f t="shared" si="96"/>
        <v>-107.7451757864129</v>
      </c>
      <c r="AU43" s="59">
        <f t="shared" si="96"/>
        <v>-1784.217064400131</v>
      </c>
      <c r="AV43" s="59">
        <f>SUM(AR43:AU43)</f>
        <v>-1945.0132459905853</v>
      </c>
      <c r="AW43" s="59">
        <f t="shared" ref="AW43:AX43" si="97">AW15/AW$244</f>
        <v>219.21619946277292</v>
      </c>
      <c r="AX43" s="59">
        <f t="shared" si="97"/>
        <v>2814.0203389830508</v>
      </c>
      <c r="BA43" s="36"/>
      <c r="BF43" s="36"/>
      <c r="BK43" s="36"/>
      <c r="BP43" s="36"/>
      <c r="BU43" s="36"/>
      <c r="BZ43" s="36"/>
    </row>
    <row r="44" spans="1:78">
      <c r="A44" s="5" t="s">
        <v>1994</v>
      </c>
      <c r="AC44" s="59">
        <f t="shared" si="93"/>
        <v>0</v>
      </c>
      <c r="AD44" s="59">
        <f t="shared" si="93"/>
        <v>101.68371503575632</v>
      </c>
      <c r="AE44" s="59">
        <f t="shared" si="93"/>
        <v>-10.660211267605634</v>
      </c>
      <c r="AF44" s="59">
        <f t="shared" si="93"/>
        <v>0</v>
      </c>
      <c r="AG44" s="59">
        <f>SUM(AC44:AF44)</f>
        <v>91.02350376815069</v>
      </c>
      <c r="AH44" s="59">
        <f t="shared" si="94"/>
        <v>0</v>
      </c>
      <c r="AI44" s="59">
        <f t="shared" si="94"/>
        <v>0</v>
      </c>
      <c r="AJ44" s="59">
        <f t="shared" si="94"/>
        <v>0</v>
      </c>
      <c r="AK44" s="59">
        <f t="shared" si="94"/>
        <v>0</v>
      </c>
      <c r="AL44" s="59">
        <f>SUM(AH44:AK44)</f>
        <v>0</v>
      </c>
      <c r="AM44" s="59">
        <f t="shared" si="95"/>
        <v>0</v>
      </c>
      <c r="AN44" s="59">
        <f t="shared" si="95"/>
        <v>44.91199119911991</v>
      </c>
      <c r="AO44" s="59">
        <f t="shared" si="95"/>
        <v>0</v>
      </c>
      <c r="AP44" s="59">
        <f t="shared" si="95"/>
        <v>0</v>
      </c>
      <c r="AQ44" s="59">
        <f>SUM(AM44:AP44)</f>
        <v>44.91199119911991</v>
      </c>
      <c r="AR44" s="59">
        <f t="shared" ref="AR44:AU44" si="98">AR16/AR$244</f>
        <v>-70.695713281799016</v>
      </c>
      <c r="AS44" s="59">
        <f t="shared" si="98"/>
        <v>0</v>
      </c>
      <c r="AT44" s="59">
        <f t="shared" si="98"/>
        <v>60.494316679883696</v>
      </c>
      <c r="AU44" s="59">
        <f t="shared" si="98"/>
        <v>-0.33344230140568815</v>
      </c>
      <c r="AV44" s="59">
        <f>SUM(AR44:AU44)</f>
        <v>-10.534838903321008</v>
      </c>
      <c r="AW44" s="59">
        <f t="shared" ref="AW44:AY46" si="99">AW16/AW$244</f>
        <v>227.4467938563262</v>
      </c>
      <c r="AX44" s="59">
        <f t="shared" si="99"/>
        <v>100.06101694915255</v>
      </c>
      <c r="BA44" s="36"/>
      <c r="BF44" s="36"/>
      <c r="BK44" s="36"/>
      <c r="BP44" s="36"/>
      <c r="BU44" s="36"/>
      <c r="BZ44" s="36"/>
    </row>
    <row r="45" spans="1:78">
      <c r="A45" s="5" t="s">
        <v>192</v>
      </c>
      <c r="AC45" s="59">
        <f t="shared" si="93"/>
        <v>104.36363636363636</v>
      </c>
      <c r="AD45" s="59">
        <f t="shared" si="93"/>
        <v>6.5719199782746447</v>
      </c>
      <c r="AE45" s="59">
        <f t="shared" si="93"/>
        <v>13.653169014084508</v>
      </c>
      <c r="AF45" s="59">
        <f t="shared" si="93"/>
        <v>48.044406490179334</v>
      </c>
      <c r="AG45" s="59">
        <f>SUM(AC45:AF45)</f>
        <v>172.63313184617485</v>
      </c>
      <c r="AH45" s="59">
        <f t="shared" si="94"/>
        <v>85.810601363918167</v>
      </c>
      <c r="AI45" s="59">
        <f t="shared" si="94"/>
        <v>7.2468993366022492</v>
      </c>
      <c r="AJ45" s="59">
        <f t="shared" si="94"/>
        <v>13.332388778690847</v>
      </c>
      <c r="AK45" s="59">
        <f t="shared" si="94"/>
        <v>29.491220171094103</v>
      </c>
      <c r="AL45" s="59">
        <f>SUM(AH45:AK45)</f>
        <v>135.88110965030538</v>
      </c>
      <c r="AM45" s="59">
        <f t="shared" si="95"/>
        <v>66.121207732966468</v>
      </c>
      <c r="AN45" s="59">
        <f t="shared" si="95"/>
        <v>32.439493949394937</v>
      </c>
      <c r="AO45" s="59">
        <f t="shared" si="95"/>
        <v>67.448979591836732</v>
      </c>
      <c r="AP45" s="59">
        <f t="shared" si="95"/>
        <v>88.753634949617904</v>
      </c>
      <c r="AQ45" s="59">
        <f>SUM(AM45:AP45)</f>
        <v>254.76331622381605</v>
      </c>
      <c r="AR45" s="59">
        <f t="shared" ref="AR45:AU45" si="100">AR17/AR$244</f>
        <v>179.1222129943142</v>
      </c>
      <c r="AS45" s="59">
        <f t="shared" si="100"/>
        <v>109.53680287501665</v>
      </c>
      <c r="AT45" s="59">
        <f t="shared" si="100"/>
        <v>139.71715569653713</v>
      </c>
      <c r="AU45" s="59">
        <f t="shared" si="100"/>
        <v>169.66982674076496</v>
      </c>
      <c r="AV45" s="59">
        <f>SUM(AR45:AU45)</f>
        <v>598.04599830663301</v>
      </c>
      <c r="AW45" s="59">
        <f t="shared" ref="AW45:AX45" si="101">AW17/AW$244</f>
        <v>168.36558991666092</v>
      </c>
      <c r="AX45" s="59">
        <f t="shared" si="101"/>
        <v>129.95254237288137</v>
      </c>
      <c r="BA45" s="36"/>
      <c r="BF45" s="36"/>
      <c r="BK45" s="36"/>
      <c r="BP45" s="36"/>
      <c r="BU45" s="36"/>
      <c r="BZ45" s="36"/>
    </row>
    <row r="46" spans="1:78">
      <c r="A46" s="9" t="s">
        <v>59</v>
      </c>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39">
        <f t="shared" ref="AC46:AO46" si="102">SUM(AC34:AC40)+SUM(AC43:AC45)</f>
        <v>6739.8272727272733</v>
      </c>
      <c r="AD46" s="39">
        <f t="shared" si="102"/>
        <v>-4179.3428080021731</v>
      </c>
      <c r="AE46" s="39">
        <f t="shared" si="102"/>
        <v>-2322.5440140845071</v>
      </c>
      <c r="AF46" s="39">
        <f t="shared" si="102"/>
        <v>753.9453458582409</v>
      </c>
      <c r="AG46" s="39">
        <f t="shared" si="102"/>
        <v>991.88579649883445</v>
      </c>
      <c r="AH46" s="39">
        <f t="shared" si="102"/>
        <v>862.00402975821453</v>
      </c>
      <c r="AI46" s="39">
        <f t="shared" si="102"/>
        <v>24614.039515431214</v>
      </c>
      <c r="AJ46" s="39">
        <f t="shared" si="102"/>
        <v>1239.7846415415131</v>
      </c>
      <c r="AK46" s="39">
        <f t="shared" si="102"/>
        <v>6459.9429686327476</v>
      </c>
      <c r="AL46" s="39">
        <f t="shared" si="102"/>
        <v>33175.771155363676</v>
      </c>
      <c r="AM46" s="39">
        <f t="shared" si="102"/>
        <v>-4993.8237636666427</v>
      </c>
      <c r="AN46" s="39">
        <f t="shared" si="102"/>
        <v>1898.8380088008803</v>
      </c>
      <c r="AO46" s="39">
        <f t="shared" si="102"/>
        <v>-1155.7687074829928</v>
      </c>
      <c r="AP46" s="39">
        <f t="shared" ref="AP46:AQ46" si="103">SUM(AP34:AP40)+SUM(AP43:AP45)</f>
        <v>841.16453641712314</v>
      </c>
      <c r="AQ46" s="39">
        <f t="shared" si="103"/>
        <v>-3409.5899259316316</v>
      </c>
      <c r="AR46" s="39">
        <f t="shared" ref="AR46:AT46" si="104">SUM(AR34:AR40)+SUM(AR43:AR45)</f>
        <v>3628.2693413403181</v>
      </c>
      <c r="AS46" s="39">
        <f t="shared" si="104"/>
        <v>10307.640090509783</v>
      </c>
      <c r="AT46" s="39">
        <f t="shared" si="104"/>
        <v>-715.7613005551151</v>
      </c>
      <c r="AU46" s="39">
        <f t="shared" ref="AU46:AX46" si="105">SUM(AU34:AU40)+SUM(AU43:AU45)</f>
        <v>9188.4341288002615</v>
      </c>
      <c r="AV46" s="39">
        <f t="shared" si="105"/>
        <v>22408.582260095249</v>
      </c>
      <c r="AW46" s="39">
        <f t="shared" si="105"/>
        <v>-1766.9811970521382</v>
      </c>
      <c r="AX46" s="39">
        <f t="shared" si="105"/>
        <v>4207.0915254237289</v>
      </c>
      <c r="AY46" s="81">
        <f t="shared" si="99"/>
        <v>-1302.3889898727605</v>
      </c>
      <c r="AZ46" s="39">
        <f t="shared" ref="AZ46" si="106">SUM(AZ34:AZ40)+SUM(AZ43:AZ45)</f>
        <v>0</v>
      </c>
      <c r="BA46" s="39">
        <f t="shared" ref="BA46" si="107">SUM(BA34:BA40)+SUM(BA43:BA45)</f>
        <v>-10311.609719117323</v>
      </c>
      <c r="BB46" s="39">
        <f t="shared" ref="BB46" si="108">SUM(BB34:BB40)+SUM(BB43:BB45)</f>
        <v>0</v>
      </c>
      <c r="BC46" s="39">
        <f t="shared" ref="BC46" si="109">SUM(BC34:BC40)+SUM(BC43:BC45)</f>
        <v>0</v>
      </c>
      <c r="BD46" s="39">
        <f t="shared" ref="BD46" si="110">SUM(BD34:BD40)+SUM(BD43:BD45)</f>
        <v>0</v>
      </c>
      <c r="BE46" s="39">
        <f t="shared" ref="BE46" si="111">SUM(BE34:BE40)+SUM(BE43:BE45)</f>
        <v>0</v>
      </c>
      <c r="BF46" s="39">
        <f t="shared" ref="BF46" si="112">SUM(BF34:BF40)+SUM(BF43:BF45)</f>
        <v>0</v>
      </c>
      <c r="BG46" s="39">
        <f t="shared" ref="BG46" si="113">SUM(BG34:BG40)+SUM(BG43:BG45)</f>
        <v>0</v>
      </c>
      <c r="BH46" s="39">
        <f t="shared" ref="BH46" si="114">SUM(BH34:BH40)+SUM(BH43:BH45)</f>
        <v>0</v>
      </c>
      <c r="BI46" s="39">
        <f t="shared" ref="BI46" si="115">SUM(BI34:BI40)+SUM(BI43:BI45)</f>
        <v>0</v>
      </c>
      <c r="BJ46" s="39">
        <f t="shared" ref="BJ46" si="116">SUM(BJ34:BJ40)+SUM(BJ43:BJ45)</f>
        <v>0</v>
      </c>
      <c r="BK46" s="39">
        <f t="shared" ref="BK46" si="117">SUM(BK34:BK40)+SUM(BK43:BK45)</f>
        <v>0</v>
      </c>
      <c r="BL46" s="39">
        <f t="shared" ref="BL46" si="118">SUM(BL34:BL40)+SUM(BL43:BL45)</f>
        <v>0</v>
      </c>
      <c r="BM46" s="39">
        <f t="shared" ref="BM46" si="119">SUM(BM34:BM40)+SUM(BM43:BM45)</f>
        <v>0</v>
      </c>
      <c r="BN46" s="39">
        <f t="shared" ref="BN46" si="120">SUM(BN34:BN40)+SUM(BN43:BN45)</f>
        <v>0</v>
      </c>
      <c r="BO46" s="39">
        <f t="shared" ref="BO46" si="121">SUM(BO34:BO40)+SUM(BO43:BO45)</f>
        <v>0</v>
      </c>
      <c r="BP46" s="39">
        <f t="shared" ref="BP46" si="122">SUM(BP34:BP40)+SUM(BP43:BP45)</f>
        <v>0</v>
      </c>
      <c r="BQ46" s="39">
        <f t="shared" ref="BQ46" si="123">SUM(BQ34:BQ40)+SUM(BQ43:BQ45)</f>
        <v>0</v>
      </c>
      <c r="BR46" s="39">
        <f t="shared" ref="BR46" si="124">SUM(BR34:BR40)+SUM(BR43:BR45)</f>
        <v>0</v>
      </c>
      <c r="BS46" s="39">
        <f t="shared" ref="BS46" si="125">SUM(BS34:BS40)+SUM(BS43:BS45)</f>
        <v>0</v>
      </c>
      <c r="BT46" s="39">
        <f t="shared" ref="BT46" si="126">SUM(BT34:BT40)+SUM(BT43:BT45)</f>
        <v>0</v>
      </c>
      <c r="BU46" s="39">
        <f t="shared" ref="BU46" si="127">SUM(BU34:BU40)+SUM(BU43:BU45)</f>
        <v>0</v>
      </c>
      <c r="BV46" s="39">
        <f t="shared" ref="BV46" si="128">SUM(BV34:BV40)+SUM(BV43:BV45)</f>
        <v>0</v>
      </c>
      <c r="BW46" s="39">
        <f t="shared" ref="BW46" si="129">SUM(BW34:BW40)+SUM(BW43:BW45)</f>
        <v>0</v>
      </c>
      <c r="BX46" s="39">
        <f t="shared" ref="BX46" si="130">SUM(BX34:BX40)+SUM(BX43:BX45)</f>
        <v>0</v>
      </c>
      <c r="BY46" s="39">
        <f t="shared" ref="BY46" si="131">SUM(BY34:BY40)+SUM(BY43:BY45)</f>
        <v>0</v>
      </c>
      <c r="BZ46" s="39">
        <f t="shared" ref="BZ46" si="132">SUM(BZ34:BZ40)+SUM(BZ43:BZ45)</f>
        <v>0</v>
      </c>
    </row>
    <row r="48" spans="1:78">
      <c r="A48" s="1" t="s">
        <v>62</v>
      </c>
      <c r="AC48" s="59">
        <f t="shared" ref="AC48:AF53" si="133">AC22/AC$244</f>
        <v>-185.18181818181819</v>
      </c>
      <c r="AD48" s="59">
        <f t="shared" si="133"/>
        <v>-234.19933013487824</v>
      </c>
      <c r="AE48" s="59">
        <f t="shared" si="133"/>
        <v>-142.46478873239437</v>
      </c>
      <c r="AF48" s="59">
        <f t="shared" si="133"/>
        <v>-200.2134927412468</v>
      </c>
      <c r="AG48" s="59">
        <f t="shared" ref="AG48:AG53" si="134">SUM(AC48:AF48)</f>
        <v>-762.05942979033762</v>
      </c>
      <c r="AH48" s="59">
        <f t="shared" ref="AH48:AK53" si="135">AH22/AH$244</f>
        <v>-129.08400495970241</v>
      </c>
      <c r="AI48" s="59">
        <f t="shared" si="135"/>
        <v>-100.98788578021343</v>
      </c>
      <c r="AJ48" s="59">
        <f t="shared" si="135"/>
        <v>-95.898271465004257</v>
      </c>
      <c r="AK48" s="59">
        <f t="shared" si="135"/>
        <v>-222.09965481014561</v>
      </c>
      <c r="AL48" s="59">
        <f t="shared" ref="AL48:AL53" si="136">SUM(AH48:AK48)</f>
        <v>-548.06981701506572</v>
      </c>
      <c r="AM48" s="59">
        <f t="shared" ref="AM48:AP53" si="137">AM22/AM$244</f>
        <v>-142.15480414162622</v>
      </c>
      <c r="AN48" s="59">
        <f t="shared" si="137"/>
        <v>-150.31628162816281</v>
      </c>
      <c r="AO48" s="59">
        <f t="shared" si="137"/>
        <v>-180.57142857142858</v>
      </c>
      <c r="AP48" s="59">
        <f t="shared" si="137"/>
        <v>-143.68025968756339</v>
      </c>
      <c r="AQ48" s="59">
        <f t="shared" ref="AQ48:AQ53" si="138">SUM(AM48:AP48)</f>
        <v>-616.72277402878103</v>
      </c>
      <c r="AR48" s="59">
        <f t="shared" ref="AR48:AU48" si="139">AR22/AR$244</f>
        <v>-237.46885581038779</v>
      </c>
      <c r="AS48" s="59">
        <f t="shared" si="139"/>
        <v>-157.29402369226673</v>
      </c>
      <c r="AT48" s="59">
        <f t="shared" si="139"/>
        <v>-217.66455194290248</v>
      </c>
      <c r="AU48" s="59">
        <f t="shared" si="139"/>
        <v>-249.18600849950965</v>
      </c>
      <c r="AV48" s="59">
        <f t="shared" ref="AV48:AV53" si="140">SUM(AR48:AU48)</f>
        <v>-861.6134399450666</v>
      </c>
      <c r="AW48" s="59">
        <f t="shared" ref="AW48:AY48" si="141">AW22/AW$244</f>
        <v>-131.82726083063571</v>
      </c>
      <c r="AX48" s="59">
        <f t="shared" si="141"/>
        <v>-193.13220338983052</v>
      </c>
      <c r="AY48" s="59">
        <f t="shared" si="141"/>
        <v>-224.27291612568166</v>
      </c>
      <c r="AZ48" s="36">
        <f t="shared" ref="AZ48" si="142">-AZ56</f>
        <v>-252.92379862700227</v>
      </c>
      <c r="BA48" s="59">
        <f>SUM(AW48:AZ48)</f>
        <v>-802.15617897315019</v>
      </c>
      <c r="BB48" s="36">
        <f t="shared" ref="BB48:BE48" si="143">-BB56</f>
        <v>-133.80466974309522</v>
      </c>
      <c r="BC48" s="36">
        <f t="shared" si="143"/>
        <v>-196.02918644067796</v>
      </c>
      <c r="BD48" s="36">
        <f t="shared" si="143"/>
        <v>-227.63700986756686</v>
      </c>
      <c r="BE48" s="36">
        <f t="shared" si="143"/>
        <v>-256.71765560640728</v>
      </c>
      <c r="BF48" s="59">
        <f>SUM(BB48:BE48)</f>
        <v>-814.18852165774729</v>
      </c>
      <c r="BG48" s="36">
        <f t="shared" ref="BG48:BJ48" si="144">-BG56</f>
        <v>-135.81173978924164</v>
      </c>
      <c r="BH48" s="36">
        <f t="shared" si="144"/>
        <v>-198.96962423728812</v>
      </c>
      <c r="BI48" s="36">
        <f t="shared" si="144"/>
        <v>-231.05156501558034</v>
      </c>
      <c r="BJ48" s="36">
        <f t="shared" si="144"/>
        <v>-260.56842044050336</v>
      </c>
      <c r="BK48" s="59">
        <f>SUM(BG48:BJ48)</f>
        <v>-826.40134948261345</v>
      </c>
      <c r="BL48" s="36">
        <f t="shared" ref="BL48:BO48" si="145">-BL56</f>
        <v>-137.84891588608025</v>
      </c>
      <c r="BM48" s="36">
        <f t="shared" si="145"/>
        <v>-201.95416860084742</v>
      </c>
      <c r="BN48" s="36">
        <f t="shared" si="145"/>
        <v>-234.51733849081401</v>
      </c>
      <c r="BO48" s="36">
        <f t="shared" si="145"/>
        <v>-264.4769467471109</v>
      </c>
      <c r="BP48" s="59">
        <f>SUM(BL48:BO48)</f>
        <v>-838.79736972485262</v>
      </c>
      <c r="BQ48" s="36">
        <f t="shared" ref="BQ48:BT48" si="146">-BQ56</f>
        <v>-139.91664962437144</v>
      </c>
      <c r="BR48" s="36">
        <f t="shared" si="146"/>
        <v>-204.98348112986011</v>
      </c>
      <c r="BS48" s="36">
        <f t="shared" si="146"/>
        <v>-238.03509856817621</v>
      </c>
      <c r="BT48" s="36">
        <f t="shared" si="146"/>
        <v>-268.44410094831755</v>
      </c>
      <c r="BU48" s="59">
        <f>SUM(BQ48:BT48)</f>
        <v>-851.37933027072529</v>
      </c>
      <c r="BV48" s="36">
        <f t="shared" ref="BV48:BY48" si="147">-BV56</f>
        <v>-142.01539936873701</v>
      </c>
      <c r="BW48" s="36">
        <f t="shared" si="147"/>
        <v>-208.05823334680798</v>
      </c>
      <c r="BX48" s="36">
        <f t="shared" si="147"/>
        <v>-241.60562504669883</v>
      </c>
      <c r="BY48" s="36">
        <f t="shared" si="147"/>
        <v>-272.47076246254227</v>
      </c>
      <c r="BZ48" s="59">
        <f>SUM(BV48:BY48)</f>
        <v>-864.1500202247862</v>
      </c>
    </row>
    <row r="49" spans="1:78">
      <c r="A49" s="1" t="s">
        <v>106</v>
      </c>
      <c r="AC49" s="59">
        <f t="shared" si="133"/>
        <v>-541.76363636363635</v>
      </c>
      <c r="AD49" s="59">
        <f t="shared" si="133"/>
        <v>-713.47877251742557</v>
      </c>
      <c r="AE49" s="59">
        <f t="shared" si="133"/>
        <v>-622.99295774647885</v>
      </c>
      <c r="AF49" s="59">
        <f t="shared" si="133"/>
        <v>-580.05123825789929</v>
      </c>
      <c r="AG49" s="59">
        <f t="shared" si="134"/>
        <v>-2458.2866048854403</v>
      </c>
      <c r="AH49" s="59">
        <f t="shared" si="135"/>
        <v>-620.18753874767515</v>
      </c>
      <c r="AI49" s="59">
        <f t="shared" si="135"/>
        <v>-1158.1338332852611</v>
      </c>
      <c r="AJ49" s="59">
        <f t="shared" si="135"/>
        <v>-542.38452819495615</v>
      </c>
      <c r="AK49" s="59">
        <f t="shared" si="135"/>
        <v>-610.37820801440796</v>
      </c>
      <c r="AL49" s="59">
        <f t="shared" si="136"/>
        <v>-2931.0841082423003</v>
      </c>
      <c r="AM49" s="59">
        <f t="shared" si="137"/>
        <v>-704.19231047715584</v>
      </c>
      <c r="AN49" s="59">
        <f t="shared" si="137"/>
        <v>-772.73102310231025</v>
      </c>
      <c r="AO49" s="59">
        <f t="shared" si="137"/>
        <v>-927.62585034013603</v>
      </c>
      <c r="AP49" s="59">
        <f t="shared" si="137"/>
        <v>-864.32677351727864</v>
      </c>
      <c r="AQ49" s="59">
        <f t="shared" si="138"/>
        <v>-3268.8759574368805</v>
      </c>
      <c r="AR49" s="59">
        <f t="shared" ref="AR49:AU49" si="148">AR23/AR$244</f>
        <v>-869.32217466300392</v>
      </c>
      <c r="AS49" s="59">
        <f t="shared" si="148"/>
        <v>-894.00372687341951</v>
      </c>
      <c r="AT49" s="59">
        <f t="shared" si="148"/>
        <v>-875.48902987047325</v>
      </c>
      <c r="AU49" s="59">
        <f t="shared" si="148"/>
        <v>-839.26119646943448</v>
      </c>
      <c r="AV49" s="59">
        <f t="shared" si="140"/>
        <v>-3478.0761278763312</v>
      </c>
      <c r="AW49" s="59">
        <f t="shared" ref="AW49:AY49" si="149">AW23/AW$244</f>
        <v>-1009.5805496246298</v>
      </c>
      <c r="AX49" s="59">
        <f t="shared" si="149"/>
        <v>-1015.2677966101695</v>
      </c>
      <c r="AY49" s="59">
        <f t="shared" si="149"/>
        <v>-1007.9459880550506</v>
      </c>
      <c r="AZ49" s="59">
        <f t="shared" ref="AZ49:AZ50" si="150">AZ23/AZ$244</f>
        <v>-1654.6744036105738</v>
      </c>
      <c r="BA49" s="59">
        <f>SUM(AW49:AZ49)</f>
        <v>-4687.4687379004245</v>
      </c>
      <c r="BB49" s="59">
        <f t="shared" ref="BB49:BE50" si="151">BB23/BB$244</f>
        <v>-1653.1674208144796</v>
      </c>
      <c r="BC49" s="59">
        <f t="shared" si="151"/>
        <v>-1308.3603370058327</v>
      </c>
      <c r="BD49" s="59">
        <f t="shared" si="151"/>
        <v>-1311.0461338531513</v>
      </c>
      <c r="BE49" s="59">
        <f t="shared" si="151"/>
        <v>-1313.7785016286646</v>
      </c>
      <c r="BF49" s="59">
        <f>SUM(BB49:BE49)</f>
        <v>-5586.3523933021279</v>
      </c>
      <c r="BG49" s="59">
        <f t="shared" ref="BG49:BJ50" si="152">BG23/BG$244</f>
        <v>-1316.4924885695625</v>
      </c>
      <c r="BH49" s="59">
        <f t="shared" si="152"/>
        <v>-1319.2206941715781</v>
      </c>
      <c r="BI49" s="59">
        <f t="shared" si="152"/>
        <v>-1321.9960604070911</v>
      </c>
      <c r="BJ49" s="59">
        <f t="shared" si="152"/>
        <v>-1324.7531270572745</v>
      </c>
      <c r="BK49" s="59">
        <f>SUM(BG49:BJ49)</f>
        <v>-5282.462370205506</v>
      </c>
      <c r="BL49" s="59">
        <f t="shared" ref="BL49:BO50" si="153">BL23/BL$244</f>
        <v>-1327.5247524752476</v>
      </c>
      <c r="BM49" s="59">
        <f t="shared" si="153"/>
        <v>-1330.3110522832562</v>
      </c>
      <c r="BN49" s="59">
        <f t="shared" si="153"/>
        <v>-1333.1121433311214</v>
      </c>
      <c r="BO49" s="59">
        <f t="shared" si="153"/>
        <v>-1335.9614105123087</v>
      </c>
      <c r="BP49" s="59">
        <f>SUM(BL49:BO49)</f>
        <v>-5326.9093586019335</v>
      </c>
      <c r="BQ49" s="59">
        <f t="shared" ref="BQ49:BT50" si="154">BQ23/BQ$244</f>
        <v>-1338.7925283522347</v>
      </c>
      <c r="BR49" s="59">
        <f t="shared" si="154"/>
        <v>-1341.638795986622</v>
      </c>
      <c r="BS49" s="59">
        <f t="shared" si="154"/>
        <v>-1344.5003353454058</v>
      </c>
      <c r="BT49" s="59">
        <f t="shared" si="154"/>
        <v>-1347.3436449226629</v>
      </c>
      <c r="BU49" s="59">
        <f>SUM(BQ49:BT49)</f>
        <v>-5372.2753046069256</v>
      </c>
      <c r="BV49" s="59">
        <f t="shared" ref="BV49:BY50" si="155">BV23/BV$244</f>
        <v>-1350.2360080917058</v>
      </c>
      <c r="BW49" s="59">
        <f t="shared" si="155"/>
        <v>-1353.1440162271804</v>
      </c>
      <c r="BX49" s="59">
        <f t="shared" si="155"/>
        <v>-1356.0677966101696</v>
      </c>
      <c r="BY49" s="59">
        <f t="shared" si="155"/>
        <v>-1359.0074779061863</v>
      </c>
      <c r="BZ49" s="59">
        <f>SUM(BV49:BY49)</f>
        <v>-5418.4552988352416</v>
      </c>
    </row>
    <row r="50" spans="1:78">
      <c r="A50" s="1" t="s">
        <v>64</v>
      </c>
      <c r="AC50" s="59">
        <f t="shared" si="133"/>
        <v>-115.1</v>
      </c>
      <c r="AD50" s="59">
        <f t="shared" si="133"/>
        <v>-698.72363537612023</v>
      </c>
      <c r="AE50" s="59">
        <f t="shared" si="133"/>
        <v>-1630.9859154929579</v>
      </c>
      <c r="AF50" s="59">
        <f t="shared" si="133"/>
        <v>-3671.8958155422715</v>
      </c>
      <c r="AG50" s="59">
        <f t="shared" si="134"/>
        <v>-6116.70536641135</v>
      </c>
      <c r="AH50" s="59">
        <f t="shared" si="135"/>
        <v>-6370.3890266584012</v>
      </c>
      <c r="AI50" s="59">
        <f t="shared" si="135"/>
        <v>-2005.3937121430631</v>
      </c>
      <c r="AJ50" s="59">
        <f t="shared" si="135"/>
        <v>2655.0510059506942</v>
      </c>
      <c r="AK50" s="59">
        <f t="shared" si="135"/>
        <v>-350.42023112711996</v>
      </c>
      <c r="AL50" s="59">
        <f t="shared" si="136"/>
        <v>-6071.1519639778908</v>
      </c>
      <c r="AM50" s="59">
        <f t="shared" si="137"/>
        <v>-3374.8968213742664</v>
      </c>
      <c r="AN50" s="59">
        <f t="shared" si="137"/>
        <v>-1265.2915291529152</v>
      </c>
      <c r="AO50" s="59">
        <f t="shared" si="137"/>
        <v>2336.4353741496598</v>
      </c>
      <c r="AP50" s="59">
        <f t="shared" si="137"/>
        <v>-2683.187935348617</v>
      </c>
      <c r="AQ50" s="59">
        <f t="shared" si="138"/>
        <v>-4986.9409117261384</v>
      </c>
      <c r="AR50" s="59">
        <f t="shared" ref="AR50:AU50" si="156">AR24/AR$244</f>
        <v>-2827.3685555484572</v>
      </c>
      <c r="AS50" s="59">
        <f t="shared" si="156"/>
        <v>4872.2680686809535</v>
      </c>
      <c r="AT50" s="59">
        <f t="shared" si="156"/>
        <v>-3605.3925455987314</v>
      </c>
      <c r="AU50" s="59">
        <f t="shared" si="156"/>
        <v>1799.8430859758091</v>
      </c>
      <c r="AV50" s="59">
        <f t="shared" si="140"/>
        <v>239.35005350957408</v>
      </c>
      <c r="AW50" s="59">
        <f t="shared" ref="AW50:AY50" si="157">AW24/AW$244</f>
        <v>907.63826709828504</v>
      </c>
      <c r="AX50" s="59">
        <f t="shared" si="157"/>
        <v>-834.94915254237287</v>
      </c>
      <c r="AY50" s="59">
        <f t="shared" si="157"/>
        <v>-753.61594391067263</v>
      </c>
      <c r="AZ50" s="59">
        <f t="shared" si="150"/>
        <v>329.83638365003014</v>
      </c>
      <c r="BA50" s="59">
        <f>SUM(AW50:AZ50)</f>
        <v>-351.09044570473031</v>
      </c>
      <c r="BB50" s="59">
        <f t="shared" si="151"/>
        <v>19897.348857486635</v>
      </c>
      <c r="BC50" s="59">
        <f t="shared" si="151"/>
        <v>39.854213564330138</v>
      </c>
      <c r="BD50" s="59">
        <f t="shared" si="151"/>
        <v>40.03742577125638</v>
      </c>
      <c r="BE50" s="59">
        <f t="shared" si="151"/>
        <v>40.221954851893628</v>
      </c>
      <c r="BF50" s="59">
        <f>SUM(BB50:BE50)</f>
        <v>20017.462451674117</v>
      </c>
      <c r="BG50" s="59">
        <f t="shared" si="152"/>
        <v>40.407813718027825</v>
      </c>
      <c r="BH50" s="59">
        <f t="shared" si="152"/>
        <v>40.595015442107396</v>
      </c>
      <c r="BI50" s="59">
        <f t="shared" si="152"/>
        <v>40.783573259597667</v>
      </c>
      <c r="BJ50" s="59">
        <f t="shared" si="152"/>
        <v>40.973500571531865</v>
      </c>
      <c r="BK50" s="59">
        <f>SUM(BG50:BJ50)</f>
        <v>162.75990299126477</v>
      </c>
      <c r="BL50" s="59">
        <f t="shared" si="153"/>
        <v>41.164810946967343</v>
      </c>
      <c r="BM50" s="59">
        <f t="shared" si="153"/>
        <v>41.357518125530078</v>
      </c>
      <c r="BN50" s="59">
        <f t="shared" si="153"/>
        <v>41.551636020073879</v>
      </c>
      <c r="BO50" s="59">
        <f t="shared" si="153"/>
        <v>41.747178719270565</v>
      </c>
      <c r="BP50" s="59">
        <f>SUM(BL50:BO50)</f>
        <v>165.82114381184186</v>
      </c>
      <c r="BQ50" s="59">
        <f t="shared" si="154"/>
        <v>41.944160490340892</v>
      </c>
      <c r="BR50" s="59">
        <f t="shared" si="154"/>
        <v>42.142595781816986</v>
      </c>
      <c r="BS50" s="59">
        <f t="shared" si="154"/>
        <v>42.342499226236768</v>
      </c>
      <c r="BT50" s="59">
        <f t="shared" si="154"/>
        <v>42.543885643144897</v>
      </c>
      <c r="BU50" s="59">
        <f>SUM(BQ50:BT50)</f>
        <v>168.97314114153954</v>
      </c>
      <c r="BV50" s="59">
        <f t="shared" si="155"/>
        <v>42.74677004184089</v>
      </c>
      <c r="BW50" s="59">
        <f t="shared" si="155"/>
        <v>42.951167624486587</v>
      </c>
      <c r="BX50" s="59">
        <f t="shared" si="155"/>
        <v>43.157093788910721</v>
      </c>
      <c r="BY50" s="59">
        <f t="shared" si="155"/>
        <v>43.36456413183901</v>
      </c>
      <c r="BZ50" s="59">
        <f>SUM(BV50:BY50)</f>
        <v>172.21959558707721</v>
      </c>
    </row>
    <row r="51" spans="1:78">
      <c r="A51" s="1" t="s">
        <v>65</v>
      </c>
      <c r="AC51" s="59">
        <f t="shared" si="133"/>
        <v>497</v>
      </c>
      <c r="AD51" s="59">
        <f t="shared" si="133"/>
        <v>1921.9607133158324</v>
      </c>
      <c r="AE51" s="59">
        <f t="shared" si="133"/>
        <v>-398.84683098591552</v>
      </c>
      <c r="AF51" s="59">
        <f t="shared" si="133"/>
        <v>1321.545687446627</v>
      </c>
      <c r="AG51" s="59">
        <f t="shared" si="134"/>
        <v>3341.6595697765442</v>
      </c>
      <c r="AH51" s="59">
        <f t="shared" si="135"/>
        <v>-1083.2455052696839</v>
      </c>
      <c r="AI51" s="59">
        <f t="shared" si="135"/>
        <v>835.75858090568215</v>
      </c>
      <c r="AJ51" s="59">
        <f t="shared" si="135"/>
        <v>-5.8727684896571271</v>
      </c>
      <c r="AK51" s="59">
        <f t="shared" si="135"/>
        <v>14.047726249437192</v>
      </c>
      <c r="AL51" s="59">
        <f t="shared" si="136"/>
        <v>-239.31196660422168</v>
      </c>
      <c r="AM51" s="59">
        <f t="shared" si="137"/>
        <v>-11.447397002389399</v>
      </c>
      <c r="AN51" s="59">
        <f t="shared" si="137"/>
        <v>-17.058580858085808</v>
      </c>
      <c r="AO51" s="59">
        <f t="shared" si="137"/>
        <v>19.448979591836736</v>
      </c>
      <c r="AP51" s="59">
        <f t="shared" si="137"/>
        <v>21.01169946574694</v>
      </c>
      <c r="AQ51" s="59">
        <f t="shared" si="138"/>
        <v>11.95470119710847</v>
      </c>
      <c r="AR51" s="59">
        <f t="shared" ref="AR51:AU51" si="158">AR25/AR$244</f>
        <v>0</v>
      </c>
      <c r="AS51" s="59">
        <f t="shared" si="158"/>
        <v>0</v>
      </c>
      <c r="AT51" s="59">
        <f t="shared" si="158"/>
        <v>0</v>
      </c>
      <c r="AU51" s="59">
        <f t="shared" si="158"/>
        <v>0</v>
      </c>
      <c r="AV51" s="59">
        <f t="shared" si="140"/>
        <v>0</v>
      </c>
      <c r="AW51" s="59">
        <f t="shared" ref="AW51:AY51" si="159">AW25/AW$244</f>
        <v>0</v>
      </c>
      <c r="AX51" s="59">
        <f t="shared" si="159"/>
        <v>0</v>
      </c>
      <c r="AY51" s="59">
        <f t="shared" si="159"/>
        <v>0</v>
      </c>
      <c r="BA51" s="59"/>
      <c r="BF51" s="59"/>
      <c r="BK51" s="59"/>
      <c r="BP51" s="59"/>
      <c r="BU51" s="59"/>
      <c r="BZ51" s="59"/>
    </row>
    <row r="52" spans="1:78">
      <c r="A52" s="1" t="s">
        <v>1995</v>
      </c>
      <c r="AC52" s="59">
        <f t="shared" si="133"/>
        <v>-983.73636363636365</v>
      </c>
      <c r="AD52" s="59">
        <f t="shared" si="133"/>
        <v>6628.043812799855</v>
      </c>
      <c r="AE52" s="59">
        <f t="shared" si="133"/>
        <v>4248.8380281690143</v>
      </c>
      <c r="AF52" s="59">
        <f t="shared" si="133"/>
        <v>1110.4099060631938</v>
      </c>
      <c r="AG52" s="59">
        <f t="shared" si="134"/>
        <v>11003.5553833957</v>
      </c>
      <c r="AH52" s="59">
        <f t="shared" si="135"/>
        <v>-1898.5275883446993</v>
      </c>
      <c r="AI52" s="59">
        <f t="shared" si="135"/>
        <v>9276.6584943755406</v>
      </c>
      <c r="AJ52" s="59">
        <f t="shared" si="135"/>
        <v>-2907.2400113346557</v>
      </c>
      <c r="AK52" s="59">
        <f t="shared" si="135"/>
        <v>-4242.7059882935619</v>
      </c>
      <c r="AL52" s="59">
        <f t="shared" si="136"/>
        <v>228.18490640262371</v>
      </c>
      <c r="AM52" s="59">
        <f t="shared" si="137"/>
        <v>6145.6447759032653</v>
      </c>
      <c r="AN52" s="59">
        <f t="shared" si="137"/>
        <v>-1020.276402640264</v>
      </c>
      <c r="AO52" s="59">
        <f t="shared" si="137"/>
        <v>3254.7278911564626</v>
      </c>
      <c r="AP52" s="59">
        <f t="shared" si="137"/>
        <v>2172.0700615405422</v>
      </c>
      <c r="AQ52" s="59">
        <f t="shared" si="138"/>
        <v>10552.166325960006</v>
      </c>
      <c r="AR52" s="59">
        <f t="shared" ref="AR52:AU52" si="160">AR26/AR$244</f>
        <v>375.50629272343957</v>
      </c>
      <c r="AS52" s="59">
        <f t="shared" si="160"/>
        <v>-10189.751098096633</v>
      </c>
      <c r="AT52" s="59">
        <f t="shared" si="160"/>
        <v>4426.6983875231299</v>
      </c>
      <c r="AU52" s="59">
        <f t="shared" si="160"/>
        <v>-8102.935599869239</v>
      </c>
      <c r="AV52" s="59">
        <f t="shared" si="140"/>
        <v>-13490.482017719303</v>
      </c>
      <c r="AW52" s="59">
        <f t="shared" ref="AW52:AY52" si="161">AW26/AW$244</f>
        <v>1573.5794476203596</v>
      </c>
      <c r="AX52" s="59">
        <f t="shared" si="161"/>
        <v>-139.32203389830508</v>
      </c>
      <c r="AY52" s="59">
        <f t="shared" si="161"/>
        <v>57.822643469228773</v>
      </c>
      <c r="AZ52" s="36">
        <f>(AZ82-AY82)+(AZ166-AY166)</f>
        <v>-559.39617866120534</v>
      </c>
      <c r="BA52" s="59">
        <f>SUM(AW52:AZ52)</f>
        <v>932.68387853007789</v>
      </c>
      <c r="BB52" s="36">
        <f>(BB82-BA82)+(BB166-BA166)</f>
        <v>-570.26331476627092</v>
      </c>
      <c r="BC52" s="36">
        <f>(BC82-BB82)+(BC166-BB166)</f>
        <v>-581.34156180064019</v>
      </c>
      <c r="BD52" s="36">
        <f>(BD82-BC82)+(BD166-BC166)</f>
        <v>-592.63502092069393</v>
      </c>
      <c r="BE52" s="36">
        <f>(BE82-BD82)+(BE166-BD166)</f>
        <v>-604.14787295409769</v>
      </c>
      <c r="BF52" s="59">
        <f>SUM(BB52:BE52)</f>
        <v>-2348.3877704417027</v>
      </c>
      <c r="BG52" s="36">
        <f>(BG82-BF82)+(BG166-BF166)</f>
        <v>-615.88437994756532</v>
      </c>
      <c r="BH52" s="36">
        <f>(BH82-BG82)+(BH166-BG166)</f>
        <v>-627.8488867447013</v>
      </c>
      <c r="BI52" s="36">
        <f>(BI82-BH82)+(BI166-BH166)</f>
        <v>-640.04582259434392</v>
      </c>
      <c r="BJ52" s="36">
        <f>(BJ82-BI82)+(BJ166-BI166)</f>
        <v>-652.47970279042056</v>
      </c>
      <c r="BK52" s="59">
        <f>SUM(BG52:BJ52)</f>
        <v>-2536.2587920770311</v>
      </c>
      <c r="BL52" s="36">
        <f>(BL82-BK82)+(BL166-BK166)</f>
        <v>-665.15513034337346</v>
      </c>
      <c r="BM52" s="36">
        <f>(BM82-BL82)+(BM166-BL166)</f>
        <v>-678.07679768427624</v>
      </c>
      <c r="BN52" s="36">
        <f>(BN82-BM82)+(BN166-BM166)</f>
        <v>-691.24948840189609</v>
      </c>
      <c r="BO52" s="36">
        <f>(BO82-BN82)+(BO166-BN166)</f>
        <v>-704.6780790136545</v>
      </c>
      <c r="BP52" s="59">
        <f>SUM(BL52:BO52)</f>
        <v>-2739.1594954432003</v>
      </c>
      <c r="BQ52" s="36">
        <f>(BQ82-BP82)+(BQ166-BP166)</f>
        <v>-718.36754077085061</v>
      </c>
      <c r="BR52" s="36">
        <f>(BR82-BQ82)+(BR166-BQ166)</f>
        <v>-732.32294149901281</v>
      </c>
      <c r="BS52" s="36">
        <f>(BS82-BR82)+(BS166-BR166)</f>
        <v>-746.54944747404807</v>
      </c>
      <c r="BT52" s="36">
        <f>(BT82-BS82)+(BT166-BS166)</f>
        <v>-761.05232533475646</v>
      </c>
      <c r="BU52" s="59">
        <f>SUM(BQ52:BT52)</f>
        <v>-2958.2922550786679</v>
      </c>
      <c r="BV52" s="36">
        <f>(BV82-BU82)+(BV166-BU166)</f>
        <v>-775.83694403251138</v>
      </c>
      <c r="BW52" s="36">
        <f>(BW82-BV82)+(BW166-BV166)</f>
        <v>-790.90877681893471</v>
      </c>
      <c r="BX52" s="36">
        <f>(BX82-BW82)+(BX166-BW166)</f>
        <v>-806.27340327197453</v>
      </c>
      <c r="BY52" s="36">
        <f>(BY82-BX82)+(BY166-BX166)</f>
        <v>-821.93651136152766</v>
      </c>
      <c r="BZ52" s="59">
        <f>SUM(BV52:BY52)</f>
        <v>-3194.9556354849483</v>
      </c>
    </row>
    <row r="53" spans="1:78">
      <c r="A53" s="1" t="s">
        <v>68</v>
      </c>
      <c r="AC53" s="59">
        <f t="shared" si="133"/>
        <v>273.74545454545455</v>
      </c>
      <c r="AD53" s="59">
        <f t="shared" si="133"/>
        <v>808.23753055128088</v>
      </c>
      <c r="AE53" s="59">
        <f t="shared" si="133"/>
        <v>494.12852112676057</v>
      </c>
      <c r="AF53" s="59">
        <f t="shared" si="133"/>
        <v>1199.4876174210078</v>
      </c>
      <c r="AG53" s="59">
        <f t="shared" si="134"/>
        <v>2775.5991236445034</v>
      </c>
      <c r="AH53" s="59">
        <f t="shared" si="135"/>
        <v>-44.924054556726603</v>
      </c>
      <c r="AI53" s="59">
        <f t="shared" si="135"/>
        <v>700.89414479376978</v>
      </c>
      <c r="AJ53" s="59">
        <f t="shared" si="135"/>
        <v>-1268.0787758571835</v>
      </c>
      <c r="AK53" s="59">
        <f t="shared" si="135"/>
        <v>588.10595827705242</v>
      </c>
      <c r="AL53" s="59">
        <f t="shared" si="136"/>
        <v>-24.002727343087827</v>
      </c>
      <c r="AM53" s="59">
        <f t="shared" si="137"/>
        <v>224.16189993483454</v>
      </c>
      <c r="AN53" s="59">
        <f t="shared" si="137"/>
        <v>304.33855885588559</v>
      </c>
      <c r="AO53" s="59">
        <f t="shared" si="137"/>
        <v>309.10204081632651</v>
      </c>
      <c r="AP53" s="59">
        <f t="shared" si="137"/>
        <v>37.019003178467571</v>
      </c>
      <c r="AQ53" s="59">
        <f t="shared" si="138"/>
        <v>874.62150278551417</v>
      </c>
      <c r="AR53" s="59">
        <f t="shared" ref="AR53:AU53" si="162">AR27/AR$244</f>
        <v>172.95087203730915</v>
      </c>
      <c r="AS53" s="59">
        <f t="shared" si="162"/>
        <v>229.89484892852391</v>
      </c>
      <c r="AT53" s="59">
        <f t="shared" si="162"/>
        <v>112.77425323817077</v>
      </c>
      <c r="AU53" s="59">
        <f t="shared" si="162"/>
        <v>-82.183720169990195</v>
      </c>
      <c r="AV53" s="59">
        <f t="shared" si="140"/>
        <v>433.43625403401364</v>
      </c>
      <c r="AW53" s="59">
        <f t="shared" ref="AW53:AY53" si="163">AW27/AW$244</f>
        <v>282.9602589710035</v>
      </c>
      <c r="AX53" s="59">
        <f t="shared" si="163"/>
        <v>520.30508474576266</v>
      </c>
      <c r="AY53" s="59">
        <f t="shared" si="163"/>
        <v>345.38431576213975</v>
      </c>
      <c r="BA53" s="59"/>
      <c r="BF53" s="59"/>
      <c r="BK53" s="59"/>
      <c r="BP53" s="59"/>
      <c r="BU53" s="59"/>
      <c r="BZ53" s="59"/>
    </row>
    <row r="54" spans="1:78">
      <c r="A54" s="9" t="s">
        <v>110</v>
      </c>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39">
        <f t="shared" ref="AC54:AO54" si="164">SUM(AC48:AC53)</f>
        <v>-1055.0363636363638</v>
      </c>
      <c r="AD54" s="39">
        <f t="shared" si="164"/>
        <v>7711.840318638544</v>
      </c>
      <c r="AE54" s="39">
        <f t="shared" si="164"/>
        <v>1947.676056338028</v>
      </c>
      <c r="AF54" s="39">
        <f t="shared" si="164"/>
        <v>-820.71733561058886</v>
      </c>
      <c r="AG54" s="39">
        <f t="shared" si="164"/>
        <v>7783.7626757296193</v>
      </c>
      <c r="AH54" s="39">
        <f t="shared" si="164"/>
        <v>-10146.357718536889</v>
      </c>
      <c r="AI54" s="39">
        <f t="shared" si="164"/>
        <v>7548.7957888664541</v>
      </c>
      <c r="AJ54" s="39">
        <f t="shared" si="164"/>
        <v>-2164.4233493907623</v>
      </c>
      <c r="AK54" s="39">
        <f t="shared" si="164"/>
        <v>-4823.450397718746</v>
      </c>
      <c r="AL54" s="39">
        <f t="shared" si="164"/>
        <v>-9585.4356767799418</v>
      </c>
      <c r="AM54" s="39">
        <f t="shared" si="164"/>
        <v>2137.1153428426624</v>
      </c>
      <c r="AN54" s="39">
        <f t="shared" si="164"/>
        <v>-2921.3352585258526</v>
      </c>
      <c r="AO54" s="39">
        <f t="shared" si="164"/>
        <v>4811.517006802721</v>
      </c>
      <c r="AP54" s="39">
        <f t="shared" ref="AP54:AT54" si="165">SUM(AP48:AP53)</f>
        <v>-1461.0942043687025</v>
      </c>
      <c r="AQ54" s="39">
        <f t="shared" si="165"/>
        <v>2566.2028867508288</v>
      </c>
      <c r="AR54" s="39">
        <f t="shared" si="165"/>
        <v>-3385.7024212611</v>
      </c>
      <c r="AS54" s="39">
        <f t="shared" si="165"/>
        <v>-6138.8859310528414</v>
      </c>
      <c r="AT54" s="39">
        <f t="shared" si="165"/>
        <v>-159.07348665080644</v>
      </c>
      <c r="AU54" s="39">
        <f t="shared" ref="AU54:AY54" si="166">SUM(AU48:AU53)</f>
        <v>-7473.7234390323638</v>
      </c>
      <c r="AV54" s="39">
        <f t="shared" si="166"/>
        <v>-17157.385277997113</v>
      </c>
      <c r="AW54" s="39">
        <f t="shared" si="166"/>
        <v>1622.7701632343826</v>
      </c>
      <c r="AX54" s="39">
        <f t="shared" si="166"/>
        <v>-1662.3661016949154</v>
      </c>
      <c r="AY54" s="39">
        <f t="shared" si="166"/>
        <v>-1582.6278888600366</v>
      </c>
      <c r="AZ54" s="39">
        <f t="shared" ref="AZ54" si="167">SUM(AZ48:AZ53)</f>
        <v>-2137.1579972487511</v>
      </c>
      <c r="BA54" s="39">
        <f t="shared" ref="BA54" si="168">SUM(BA48:BA53)</f>
        <v>-4908.031484048227</v>
      </c>
      <c r="BB54" s="39">
        <f t="shared" ref="BB54" si="169">SUM(BB48:BB53)</f>
        <v>17540.11345216279</v>
      </c>
      <c r="BC54" s="39">
        <f t="shared" ref="BC54" si="170">SUM(BC48:BC53)</f>
        <v>-2045.8768716828206</v>
      </c>
      <c r="BD54" s="39">
        <f t="shared" ref="BD54" si="171">SUM(BD48:BD53)</f>
        <v>-2091.2807388701558</v>
      </c>
      <c r="BE54" s="39">
        <f t="shared" ref="BE54" si="172">SUM(BE48:BE53)</f>
        <v>-2134.4220753372761</v>
      </c>
      <c r="BF54" s="39">
        <f t="shared" ref="BF54" si="173">SUM(BF48:BF53)</f>
        <v>11268.53376627254</v>
      </c>
      <c r="BG54" s="39">
        <f t="shared" ref="BG54" si="174">SUM(BG48:BG53)</f>
        <v>-2027.7807945883417</v>
      </c>
      <c r="BH54" s="39">
        <f t="shared" ref="BH54" si="175">SUM(BH48:BH53)</f>
        <v>-2105.4441897114602</v>
      </c>
      <c r="BI54" s="39">
        <f t="shared" ref="BI54" si="176">SUM(BI48:BI53)</f>
        <v>-2152.3098747574177</v>
      </c>
      <c r="BJ54" s="39">
        <f t="shared" ref="BJ54" si="177">SUM(BJ48:BJ53)</f>
        <v>-2196.8277497166664</v>
      </c>
      <c r="BK54" s="39">
        <f t="shared" ref="BK54" si="178">SUM(BK48:BK53)</f>
        <v>-8482.3626087738849</v>
      </c>
      <c r="BL54" s="39">
        <f t="shared" ref="BL54" si="179">SUM(BL48:BL53)</f>
        <v>-2089.3639877577343</v>
      </c>
      <c r="BM54" s="39">
        <f t="shared" ref="BM54" si="180">SUM(BM48:BM53)</f>
        <v>-2168.9845004428498</v>
      </c>
      <c r="BN54" s="39">
        <f t="shared" ref="BN54" si="181">SUM(BN48:BN53)</f>
        <v>-2217.3273342037573</v>
      </c>
      <c r="BO54" s="39">
        <f t="shared" ref="BO54" si="182">SUM(BO48:BO53)</f>
        <v>-2263.3692575538034</v>
      </c>
      <c r="BP54" s="39">
        <f t="shared" ref="BP54" si="183">SUM(BP48:BP53)</f>
        <v>-8739.0450799581449</v>
      </c>
      <c r="BQ54" s="39">
        <f t="shared" ref="BQ54" si="184">SUM(BQ48:BQ53)</f>
        <v>-2155.1325582571162</v>
      </c>
      <c r="BR54" s="39">
        <f t="shared" ref="BR54" si="185">SUM(BR48:BR53)</f>
        <v>-2236.802622833678</v>
      </c>
      <c r="BS54" s="39">
        <f t="shared" ref="BS54" si="186">SUM(BS48:BS53)</f>
        <v>-2286.7423821613934</v>
      </c>
      <c r="BT54" s="39">
        <f t="shared" ref="BT54" si="187">SUM(BT48:BT53)</f>
        <v>-2334.2961855625917</v>
      </c>
      <c r="BU54" s="39">
        <f t="shared" ref="BU54" si="188">SUM(BU48:BU53)</f>
        <v>-9012.9737488147803</v>
      </c>
      <c r="BV54" s="39">
        <f t="shared" ref="BV54" si="189">SUM(BV48:BV53)</f>
        <v>-2225.3415814511136</v>
      </c>
      <c r="BW54" s="39">
        <f t="shared" ref="BW54" si="190">SUM(BW48:BW53)</f>
        <v>-2309.1598587684366</v>
      </c>
      <c r="BX54" s="39">
        <f t="shared" ref="BX54" si="191">SUM(BX48:BX53)</f>
        <v>-2360.789731139932</v>
      </c>
      <c r="BY54" s="39">
        <f t="shared" ref="BY54" si="192">SUM(BY48:BY53)</f>
        <v>-2410.0501875984173</v>
      </c>
      <c r="BZ54" s="39">
        <f t="shared" ref="BZ54" si="193">SUM(BZ48:BZ53)</f>
        <v>-9305.3413589578995</v>
      </c>
    </row>
    <row r="56" spans="1:78">
      <c r="A56" s="1" t="s">
        <v>1376</v>
      </c>
      <c r="AC56" s="36">
        <f>-AC48</f>
        <v>185.18181818181819</v>
      </c>
      <c r="AD56" s="36">
        <f>-AD48</f>
        <v>234.19933013487824</v>
      </c>
      <c r="AE56" s="36">
        <f>-AE48</f>
        <v>142.46478873239437</v>
      </c>
      <c r="AF56" s="36">
        <f>-AF48</f>
        <v>200.2134927412468</v>
      </c>
      <c r="AG56" s="36">
        <f>SUM(AC56:AF56)</f>
        <v>762.05942979033762</v>
      </c>
      <c r="AH56" s="36">
        <f>-AH48</f>
        <v>129.08400495970241</v>
      </c>
      <c r="AI56" s="36">
        <f>-AI48</f>
        <v>100.98788578021343</v>
      </c>
      <c r="AJ56" s="36">
        <f>-AJ48</f>
        <v>95.898271465004257</v>
      </c>
      <c r="AK56" s="36">
        <f>-AK48</f>
        <v>222.09965481014561</v>
      </c>
      <c r="AL56" s="36">
        <f>SUM(AH56:AK56)</f>
        <v>548.06981701506572</v>
      </c>
      <c r="AM56" s="36">
        <f>-AM48</f>
        <v>142.15480414162622</v>
      </c>
      <c r="AN56" s="36">
        <f>-AN48</f>
        <v>150.31628162816281</v>
      </c>
      <c r="AO56" s="36">
        <f>-AO48</f>
        <v>180.57142857142858</v>
      </c>
      <c r="AP56" s="36">
        <f>-AP48</f>
        <v>143.68025968756339</v>
      </c>
      <c r="AQ56" s="36">
        <f>SUM(AM56:AP56)</f>
        <v>616.72277402878103</v>
      </c>
      <c r="AR56" s="36">
        <f>-AR48</f>
        <v>237.46885581038779</v>
      </c>
      <c r="AS56" s="36">
        <f>-AS48</f>
        <v>157.29402369226673</v>
      </c>
      <c r="AT56" s="36">
        <f>-AT48</f>
        <v>217.66455194290248</v>
      </c>
      <c r="AU56" s="36">
        <f>-AU48</f>
        <v>249.18600849950965</v>
      </c>
      <c r="AV56" s="36">
        <f>SUM(AR56:AU56)</f>
        <v>861.6134399450666</v>
      </c>
      <c r="AW56" s="36">
        <f>-AW48</f>
        <v>131.82726083063571</v>
      </c>
      <c r="AX56" s="36">
        <f>-AX48</f>
        <v>193.13220338983052</v>
      </c>
      <c r="AY56" s="36">
        <f>-AY48</f>
        <v>224.27291612568166</v>
      </c>
      <c r="AZ56" s="36">
        <f t="shared" ref="AZ56" si="194">AU56*(1+AZ57)</f>
        <v>252.92379862700227</v>
      </c>
      <c r="BA56" s="36">
        <f>SUM(AW56:AZ56)</f>
        <v>802.15617897315019</v>
      </c>
      <c r="BB56" s="36">
        <f t="shared" ref="BB56" si="195">AW56*(1+BB57)</f>
        <v>133.80466974309522</v>
      </c>
      <c r="BC56" s="36">
        <f t="shared" ref="BC56" si="196">AX56*(1+BC57)</f>
        <v>196.02918644067796</v>
      </c>
      <c r="BD56" s="36">
        <f t="shared" ref="BD56" si="197">AY56*(1+BD57)</f>
        <v>227.63700986756686</v>
      </c>
      <c r="BE56" s="36">
        <f t="shared" ref="BE56" si="198">AZ56*(1+BE57)</f>
        <v>256.71765560640728</v>
      </c>
      <c r="BF56" s="36">
        <f>SUM(BB56:BE56)</f>
        <v>814.18852165774729</v>
      </c>
      <c r="BG56" s="36">
        <f t="shared" ref="BG56" si="199">BB56*(1+BG57)</f>
        <v>135.81173978924164</v>
      </c>
      <c r="BH56" s="36">
        <f t="shared" ref="BH56" si="200">BC56*(1+BH57)</f>
        <v>198.96962423728812</v>
      </c>
      <c r="BI56" s="36">
        <f t="shared" ref="BI56" si="201">BD56*(1+BI57)</f>
        <v>231.05156501558034</v>
      </c>
      <c r="BJ56" s="36">
        <f t="shared" ref="BJ56" si="202">BE56*(1+BJ57)</f>
        <v>260.56842044050336</v>
      </c>
      <c r="BK56" s="36">
        <f>SUM(BG56:BJ56)</f>
        <v>826.40134948261345</v>
      </c>
      <c r="BL56" s="36">
        <f t="shared" ref="BL56" si="203">BG56*(1+BL57)</f>
        <v>137.84891588608025</v>
      </c>
      <c r="BM56" s="36">
        <f t="shared" ref="BM56" si="204">BH56*(1+BM57)</f>
        <v>201.95416860084742</v>
      </c>
      <c r="BN56" s="36">
        <f t="shared" ref="BN56" si="205">BI56*(1+BN57)</f>
        <v>234.51733849081401</v>
      </c>
      <c r="BO56" s="36">
        <f t="shared" ref="BO56" si="206">BJ56*(1+BO57)</f>
        <v>264.4769467471109</v>
      </c>
      <c r="BP56" s="36">
        <f>SUM(BL56:BO56)</f>
        <v>838.79736972485262</v>
      </c>
      <c r="BQ56" s="36">
        <f t="shared" ref="BQ56" si="207">BL56*(1+BQ57)</f>
        <v>139.91664962437144</v>
      </c>
      <c r="BR56" s="36">
        <f t="shared" ref="BR56" si="208">BM56*(1+BR57)</f>
        <v>204.98348112986011</v>
      </c>
      <c r="BS56" s="36">
        <f t="shared" ref="BS56" si="209">BN56*(1+BS57)</f>
        <v>238.03509856817621</v>
      </c>
      <c r="BT56" s="36">
        <f t="shared" ref="BT56" si="210">BO56*(1+BT57)</f>
        <v>268.44410094831755</v>
      </c>
      <c r="BU56" s="36">
        <f>SUM(BQ56:BT56)</f>
        <v>851.37933027072529</v>
      </c>
      <c r="BV56" s="36">
        <f t="shared" ref="BV56" si="211">BQ56*(1+BV57)</f>
        <v>142.01539936873701</v>
      </c>
      <c r="BW56" s="36">
        <f t="shared" ref="BW56" si="212">BR56*(1+BW57)</f>
        <v>208.05823334680798</v>
      </c>
      <c r="BX56" s="36">
        <f t="shared" ref="BX56" si="213">BS56*(1+BX57)</f>
        <v>241.60562504669883</v>
      </c>
      <c r="BY56" s="36">
        <f t="shared" ref="BY56" si="214">BT56*(1+BY57)</f>
        <v>272.47076246254227</v>
      </c>
      <c r="BZ56" s="36">
        <f>SUM(BV56:BY56)</f>
        <v>864.1500202247862</v>
      </c>
    </row>
    <row r="57" spans="1:78">
      <c r="A57" s="1" t="s">
        <v>28</v>
      </c>
      <c r="AH57" s="16">
        <f t="shared" ref="AH57:AP57" si="215">AH56/AC56-1</f>
        <v>-0.30293369928486669</v>
      </c>
      <c r="AI57" s="16">
        <f t="shared" si="215"/>
        <v>-0.56879515529761215</v>
      </c>
      <c r="AJ57" s="16">
        <f t="shared" si="215"/>
        <v>-0.32686334414085005</v>
      </c>
      <c r="AK57" s="16">
        <f t="shared" si="215"/>
        <v>0.10931412148722752</v>
      </c>
      <c r="AL57" s="16">
        <f t="shared" si="215"/>
        <v>-0.2808043630326128</v>
      </c>
      <c r="AM57" s="16">
        <f t="shared" si="215"/>
        <v>0.10125808527558666</v>
      </c>
      <c r="AN57" s="16">
        <f t="shared" si="215"/>
        <v>0.4884585459617008</v>
      </c>
      <c r="AO57" s="16">
        <f t="shared" si="215"/>
        <v>0.88294768834622572</v>
      </c>
      <c r="AP57" s="16">
        <f t="shared" si="215"/>
        <v>-0.35308202162500613</v>
      </c>
      <c r="AQ57" s="16">
        <f>AQ56/AL56-1</f>
        <v>0.12526315969672908</v>
      </c>
      <c r="AR57" s="16">
        <f t="shared" ref="AR57" si="216">AR56/AM56-1</f>
        <v>0.67049476269406938</v>
      </c>
      <c r="AS57" s="16">
        <f t="shared" ref="AS57" si="217">AS56/AN56-1</f>
        <v>4.6420400960720531E-2</v>
      </c>
      <c r="AT57" s="16">
        <f t="shared" ref="AT57" si="218">AT56/AO56-1</f>
        <v>0.20542077816480786</v>
      </c>
      <c r="AU57" s="16">
        <f t="shared" ref="AU57" si="219">AU56/AP56-1</f>
        <v>0.73430928536300932</v>
      </c>
      <c r="AV57" s="16">
        <f>AV56/AQ56-1</f>
        <v>0.39708387014236823</v>
      </c>
      <c r="AW57" s="16">
        <f t="shared" ref="AW57" si="220">AW56/AR56-1</f>
        <v>-0.44486505238440166</v>
      </c>
      <c r="AX57" s="16">
        <f t="shared" ref="AX57:AY57" si="221">AX56/AS56-1</f>
        <v>0.22784196663236456</v>
      </c>
      <c r="AY57" s="16">
        <f t="shared" si="221"/>
        <v>3.0360314179741499E-2</v>
      </c>
      <c r="AZ57" s="303">
        <v>1.4999999999999999E-2</v>
      </c>
      <c r="BA57" s="16">
        <f>BA56/AV56-1</f>
        <v>-6.900688663318344E-2</v>
      </c>
      <c r="BB57" s="303">
        <v>1.4999999999999999E-2</v>
      </c>
      <c r="BC57" s="303">
        <v>1.4999999999999999E-2</v>
      </c>
      <c r="BD57" s="303">
        <v>1.4999999999999999E-2</v>
      </c>
      <c r="BE57" s="303">
        <v>1.4999999999999999E-2</v>
      </c>
      <c r="BF57" s="16">
        <f>BF56/BA56-1</f>
        <v>1.4999999999999902E-2</v>
      </c>
      <c r="BG57" s="303">
        <v>1.4999999999999999E-2</v>
      </c>
      <c r="BH57" s="303">
        <v>1.4999999999999999E-2</v>
      </c>
      <c r="BI57" s="303">
        <v>1.4999999999999999E-2</v>
      </c>
      <c r="BJ57" s="303">
        <v>1.4999999999999999E-2</v>
      </c>
      <c r="BK57" s="16">
        <f>BK56/BF56-1</f>
        <v>1.4999999999999902E-2</v>
      </c>
      <c r="BL57" s="303">
        <v>1.4999999999999999E-2</v>
      </c>
      <c r="BM57" s="303">
        <v>1.4999999999999999E-2</v>
      </c>
      <c r="BN57" s="303">
        <v>1.4999999999999999E-2</v>
      </c>
      <c r="BO57" s="303">
        <v>1.4999999999999999E-2</v>
      </c>
      <c r="BP57" s="16">
        <f>BP56/BK56-1</f>
        <v>1.4999999999999902E-2</v>
      </c>
      <c r="BQ57" s="303">
        <v>1.4999999999999999E-2</v>
      </c>
      <c r="BR57" s="303">
        <v>1.4999999999999999E-2</v>
      </c>
      <c r="BS57" s="303">
        <v>1.4999999999999999E-2</v>
      </c>
      <c r="BT57" s="303">
        <v>1.4999999999999999E-2</v>
      </c>
      <c r="BU57" s="16">
        <f>BU56/BP56-1</f>
        <v>1.4999999999999902E-2</v>
      </c>
      <c r="BV57" s="303">
        <v>1.4999999999999999E-2</v>
      </c>
      <c r="BW57" s="303">
        <v>1.4999999999999999E-2</v>
      </c>
      <c r="BX57" s="303">
        <v>1.4999999999999999E-2</v>
      </c>
      <c r="BY57" s="303">
        <v>1.4999999999999999E-2</v>
      </c>
      <c r="BZ57" s="16">
        <f>BZ56/BU56-1</f>
        <v>1.5000000000000124E-2</v>
      </c>
    </row>
    <row r="59" spans="1:78">
      <c r="A59" s="3" t="s">
        <v>1999</v>
      </c>
    </row>
    <row r="60" spans="1:78">
      <c r="AD60" s="98" t="s">
        <v>2003</v>
      </c>
      <c r="AE60" s="71"/>
      <c r="AF60" s="71"/>
      <c r="AG60" s="71"/>
      <c r="AO60" s="25" t="s">
        <v>2006</v>
      </c>
    </row>
    <row r="61" spans="1:78" s="26" customFormat="1">
      <c r="A61" s="29" t="s">
        <v>2004</v>
      </c>
      <c r="AC61" s="61"/>
      <c r="AD61" s="61"/>
      <c r="AE61" s="61"/>
      <c r="AF61" s="61"/>
      <c r="AG61" s="61"/>
      <c r="AH61" s="61"/>
      <c r="AI61" s="61"/>
      <c r="AJ61" s="61"/>
      <c r="AK61" s="61"/>
      <c r="AL61" s="61"/>
      <c r="AM61" s="61">
        <f>AM80-AL80</f>
        <v>-6569.5081465300063</v>
      </c>
      <c r="AN61" s="61">
        <f>AN80-AM80</f>
        <v>1182.7207974900011</v>
      </c>
      <c r="AO61" s="61">
        <f>AO80-AN80</f>
        <v>-3220.2103129299976</v>
      </c>
      <c r="AP61" s="61">
        <f>AP80-AO80</f>
        <v>-1796.7587336500001</v>
      </c>
      <c r="AQ61" s="61">
        <f>SUM(AM61:AP61)</f>
        <v>-10403.756395620003</v>
      </c>
      <c r="AR61" s="61">
        <f>AR80-AQ80</f>
        <v>-125.5986687600016</v>
      </c>
      <c r="AS61" s="61">
        <f>AS80-AR80</f>
        <v>1034.6318233499987</v>
      </c>
      <c r="AT61" s="61">
        <f>AT80-AS80</f>
        <v>508.08900970567265</v>
      </c>
      <c r="AU61" s="61">
        <f>AU80-AT80</f>
        <v>517.95942468629437</v>
      </c>
      <c r="AV61" s="61">
        <f>SUM(AR61:AU61)</f>
        <v>1935.0815889819642</v>
      </c>
      <c r="AW61" s="61">
        <f>AW80-AV80</f>
        <v>528.0215877465489</v>
      </c>
      <c r="AX61" s="61">
        <f>AX80-AW80</f>
        <v>538.27922388948718</v>
      </c>
      <c r="AY61" s="61"/>
      <c r="AZ61" s="61"/>
      <c r="BA61" s="61"/>
      <c r="BB61" s="61"/>
      <c r="BC61" s="61"/>
      <c r="BD61" s="61"/>
      <c r="BE61" s="61"/>
      <c r="BF61" s="61"/>
      <c r="BG61" s="61"/>
      <c r="BH61" s="61"/>
      <c r="BI61" s="61"/>
      <c r="BJ61" s="61"/>
      <c r="BK61" s="61"/>
      <c r="BL61" s="61"/>
      <c r="BM61" s="61"/>
      <c r="BN61" s="61"/>
      <c r="BO61" s="61"/>
      <c r="BP61" s="61"/>
      <c r="BQ61" s="61"/>
      <c r="BR61" s="61"/>
      <c r="BS61" s="61"/>
      <c r="BT61" s="61"/>
      <c r="BU61" s="61"/>
      <c r="BV61" s="61"/>
      <c r="BW61" s="61"/>
      <c r="BX61" s="61"/>
      <c r="BY61" s="61"/>
      <c r="BZ61" s="61"/>
    </row>
    <row r="62" spans="1:78">
      <c r="A62" s="5" t="s">
        <v>2000</v>
      </c>
      <c r="AC62" s="59">
        <f>AC144-AB144</f>
        <v>2076.938313420007</v>
      </c>
      <c r="AD62" s="107">
        <f>AD144-(AC144*AD96/AC96)</f>
        <v>-1039.988964780001</v>
      </c>
      <c r="AE62" s="59">
        <f>AE144-AD144</f>
        <v>-717.69595811999989</v>
      </c>
      <c r="AF62" s="59">
        <f>AF144-AE144</f>
        <v>753.64168097999936</v>
      </c>
      <c r="AG62" s="59">
        <f>SUM(AC62:AF62)</f>
        <v>1072.8950715000055</v>
      </c>
      <c r="AH62" s="107">
        <f>AH144-(AG144*AH96/AG96)</f>
        <v>246.18749770999966</v>
      </c>
      <c r="AI62" s="59">
        <f>AI144-AH144</f>
        <v>-14.715569330000108</v>
      </c>
      <c r="AJ62" s="59">
        <f>AJ144-AI144</f>
        <v>231.86964647000059</v>
      </c>
      <c r="AK62" s="59">
        <f>AK144-AJ144</f>
        <v>192.49555555999996</v>
      </c>
      <c r="AL62" s="59">
        <f>SUM(AH62:AK62)</f>
        <v>655.8371304100001</v>
      </c>
      <c r="AM62" s="107">
        <f>AM144-(AL144*AM96/AL96)</f>
        <v>-257.4289614599993</v>
      </c>
      <c r="AN62" s="59">
        <f>AN144-AM144</f>
        <v>49.838940350000485</v>
      </c>
      <c r="AO62" s="107">
        <f>AO144-(AN144*AO96/AN96)</f>
        <v>1867.5804544799994</v>
      </c>
      <c r="AP62" s="59">
        <f>AP144-AO144</f>
        <v>266.13942373999816</v>
      </c>
      <c r="AQ62" s="59">
        <f>SUM(AM62:AP62)</f>
        <v>1926.1298571099987</v>
      </c>
      <c r="AR62" s="59">
        <f>AR144-AQ144</f>
        <v>7.7919673600008537</v>
      </c>
      <c r="AS62" s="59">
        <f>AS144-AR144</f>
        <v>2576.4257995199987</v>
      </c>
      <c r="AT62" s="59">
        <f>AT144-AS144</f>
        <v>1226.638504049999</v>
      </c>
      <c r="AU62" s="59">
        <f>AU144-AT144</f>
        <v>3924.9017686999978</v>
      </c>
      <c r="AV62" s="59">
        <f>SUM(AR62:AU62)</f>
        <v>7735.7580396299963</v>
      </c>
      <c r="AW62" s="59">
        <f>AW144-AV144</f>
        <v>-7551.1122992499968</v>
      </c>
      <c r="AX62" s="59">
        <f>AX144-AW144</f>
        <v>-4395.5613468999982</v>
      </c>
      <c r="AY62" s="59"/>
      <c r="AZ62" s="59"/>
      <c r="BA62" s="59"/>
      <c r="BB62" s="59"/>
      <c r="BC62" s="59"/>
      <c r="BD62" s="59"/>
      <c r="BE62" s="59"/>
      <c r="BF62" s="59"/>
      <c r="BG62" s="59"/>
      <c r="BH62" s="59"/>
      <c r="BI62" s="59"/>
      <c r="BJ62" s="59"/>
      <c r="BK62" s="59"/>
      <c r="BL62" s="59"/>
      <c r="BM62" s="59"/>
      <c r="BN62" s="59"/>
      <c r="BO62" s="59"/>
      <c r="BP62" s="59"/>
      <c r="BQ62" s="59"/>
      <c r="BR62" s="59"/>
      <c r="BS62" s="59"/>
      <c r="BT62" s="59"/>
      <c r="BU62" s="59"/>
      <c r="BV62" s="59"/>
      <c r="BW62" s="59"/>
      <c r="BX62" s="59"/>
      <c r="BY62" s="59"/>
      <c r="BZ62" s="59"/>
    </row>
    <row r="63" spans="1:78">
      <c r="A63" s="5" t="s">
        <v>2001</v>
      </c>
      <c r="AC63" s="59"/>
      <c r="AD63" s="59"/>
      <c r="AE63" s="59">
        <f>AE204-AD204</f>
        <v>-383.99545337726249</v>
      </c>
      <c r="AF63" s="59">
        <f>AF204-AE204</f>
        <v>79.545955367408169</v>
      </c>
      <c r="AG63" s="59">
        <f>SUM(AC63:AF63)</f>
        <v>-304.44949800985432</v>
      </c>
      <c r="AH63" s="59">
        <f t="shared" ref="AH63:AU63" si="222">AH204-AG204</f>
        <v>224.19176438733666</v>
      </c>
      <c r="AI63" s="59">
        <f t="shared" si="222"/>
        <v>-596.96517217508972</v>
      </c>
      <c r="AJ63" s="59">
        <f t="shared" si="222"/>
        <v>622.43877729453743</v>
      </c>
      <c r="AK63" s="59">
        <f t="shared" si="222"/>
        <v>981.93219377552941</v>
      </c>
      <c r="AL63" s="59">
        <f>SUM(AH63:AK63)</f>
        <v>1231.5975632823138</v>
      </c>
      <c r="AM63" s="59">
        <f t="shared" si="222"/>
        <v>-556.88854665428971</v>
      </c>
      <c r="AN63" s="59">
        <f t="shared" si="222"/>
        <v>-175.2909975633147</v>
      </c>
      <c r="AO63" s="59">
        <f t="shared" si="222"/>
        <v>677.77412425301281</v>
      </c>
      <c r="AP63" s="59">
        <f t="shared" si="222"/>
        <v>58.991995498972756</v>
      </c>
      <c r="AQ63" s="59">
        <f>SUM(AM63:AP63)</f>
        <v>4.5865755343811543</v>
      </c>
      <c r="AR63" s="59">
        <f t="shared" si="222"/>
        <v>192.31562454887262</v>
      </c>
      <c r="AS63" s="59">
        <f t="shared" si="222"/>
        <v>961.95909716572532</v>
      </c>
      <c r="AT63" s="59">
        <f t="shared" si="222"/>
        <v>121.878774982506</v>
      </c>
      <c r="AU63" s="59">
        <f t="shared" si="222"/>
        <v>856.34860685747572</v>
      </c>
      <c r="AV63" s="59">
        <f>SUM(AR63:AU63)</f>
        <v>2132.5021035545797</v>
      </c>
      <c r="AW63" s="59">
        <f t="shared" ref="AW63" si="223">AW204-AV204</f>
        <v>-1544.9560017681033</v>
      </c>
      <c r="AX63" s="59">
        <f t="shared" ref="AX63" si="224">AX204-AW204</f>
        <v>-5688.1868261804002</v>
      </c>
      <c r="AY63" s="59"/>
      <c r="AZ63" s="59"/>
      <c r="BA63" s="59"/>
      <c r="BB63" s="59"/>
      <c r="BC63" s="59"/>
      <c r="BD63" s="59"/>
      <c r="BE63" s="59"/>
      <c r="BF63" s="59"/>
      <c r="BG63" s="59"/>
      <c r="BH63" s="59"/>
      <c r="BI63" s="59"/>
      <c r="BJ63" s="59"/>
      <c r="BK63" s="59"/>
      <c r="BL63" s="59"/>
      <c r="BM63" s="59"/>
      <c r="BN63" s="59"/>
      <c r="BO63" s="59"/>
      <c r="BP63" s="59"/>
      <c r="BQ63" s="59"/>
      <c r="BR63" s="59"/>
      <c r="BS63" s="59"/>
      <c r="BT63" s="59"/>
      <c r="BU63" s="59"/>
      <c r="BV63" s="59"/>
      <c r="BW63" s="59"/>
      <c r="BX63" s="59"/>
      <c r="BY63" s="59"/>
      <c r="BZ63" s="59"/>
    </row>
    <row r="64" spans="1:78" s="26" customFormat="1">
      <c r="A64" s="29" t="s">
        <v>276</v>
      </c>
      <c r="AC64" s="61"/>
      <c r="AD64" s="61"/>
      <c r="AE64" s="61"/>
      <c r="AF64" s="61"/>
      <c r="AG64" s="61"/>
      <c r="AH64" s="61"/>
      <c r="AI64" s="61"/>
      <c r="AJ64" s="61"/>
      <c r="AK64" s="61"/>
      <c r="AL64" s="61"/>
      <c r="AM64" s="61">
        <f>AM65-SUM(AM61:AM63)</f>
        <v>2892.0727040976299</v>
      </c>
      <c r="AN64" s="61">
        <f>AN65-SUM(AN61:AN63)</f>
        <v>1050.7139329906399</v>
      </c>
      <c r="AO64" s="61">
        <f>AO65-SUM(AO61:AO63)</f>
        <v>-2378.1578712451915</v>
      </c>
      <c r="AP64" s="61">
        <f>AP65-SUM(AP61:AP63)</f>
        <v>2492.368505998234</v>
      </c>
      <c r="AQ64" s="61">
        <f>SUM(AM64:AP64)</f>
        <v>4056.9972718413123</v>
      </c>
      <c r="AR64" s="61">
        <f>AR65-SUM(AR61:AR63)</f>
        <v>3318.3550645851087</v>
      </c>
      <c r="AS64" s="61">
        <f>AS65-SUM(AS61:AS63)</f>
        <v>5955.3541038695093</v>
      </c>
      <c r="AT64" s="61">
        <f>AT65-SUM(AT61:AT63)</f>
        <v>-2632.5579144320714</v>
      </c>
      <c r="AU64" s="61">
        <f>AU65-SUM(AU61:AU63)</f>
        <v>2145.0007260720222</v>
      </c>
      <c r="AV64" s="59">
        <f>SUM(AR64:AU64)</f>
        <v>8786.151980094568</v>
      </c>
      <c r="AW64" s="61">
        <f>AW65-SUM(AW61:AW63)</f>
        <v>1914.1793670355846</v>
      </c>
      <c r="AX64" s="61">
        <f>AX65-SUM(AX61:AX63)</f>
        <v>5887.7265763095565</v>
      </c>
      <c r="AY64" s="61"/>
      <c r="BA64" s="59"/>
      <c r="BF64" s="59"/>
      <c r="BK64" s="59"/>
      <c r="BP64" s="59"/>
      <c r="BU64" s="59"/>
      <c r="BZ64" s="59"/>
    </row>
    <row r="65" spans="1:78">
      <c r="A65" s="9" t="s">
        <v>2002</v>
      </c>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39"/>
      <c r="AD65" s="39"/>
      <c r="AE65" s="39"/>
      <c r="AF65" s="39"/>
      <c r="AG65" s="39"/>
      <c r="AH65" s="39"/>
      <c r="AI65" s="39"/>
      <c r="AJ65" s="39"/>
      <c r="AK65" s="39"/>
      <c r="AL65" s="39"/>
      <c r="AM65" s="39">
        <f>AM40</f>
        <v>-4491.7529505466655</v>
      </c>
      <c r="AN65" s="39">
        <f>AN40</f>
        <v>2107.9826732673268</v>
      </c>
      <c r="AO65" s="39">
        <f>AO40</f>
        <v>-3053.0136054421769</v>
      </c>
      <c r="AP65" s="39">
        <f>AP40</f>
        <v>1020.741191587205</v>
      </c>
      <c r="AQ65" s="39">
        <f t="shared" ref="AQ65:AV65" si="225">SUM(AQ61:AQ64)</f>
        <v>-4416.0426911343129</v>
      </c>
      <c r="AR65" s="39">
        <f>AR40</f>
        <v>3392.8639877339806</v>
      </c>
      <c r="AS65" s="39">
        <f>AS40</f>
        <v>10528.370823905232</v>
      </c>
      <c r="AT65" s="39">
        <f>AT40</f>
        <v>-775.95162569389379</v>
      </c>
      <c r="AU65" s="39">
        <f>AU40</f>
        <v>7444.21052631579</v>
      </c>
      <c r="AV65" s="39">
        <f t="shared" si="225"/>
        <v>20589.493712261108</v>
      </c>
      <c r="AW65" s="39">
        <f>AW40</f>
        <v>-6653.8673462359666</v>
      </c>
      <c r="AX65" s="39">
        <f>AX40</f>
        <v>-3657.742372881356</v>
      </c>
      <c r="AY65" s="39"/>
      <c r="AZ65" s="39"/>
      <c r="BA65" s="39"/>
      <c r="BB65" s="39"/>
      <c r="BC65" s="39"/>
      <c r="BD65" s="39"/>
      <c r="BE65" s="39"/>
      <c r="BF65" s="39"/>
      <c r="BG65" s="39"/>
      <c r="BH65" s="39"/>
      <c r="BI65" s="39"/>
      <c r="BJ65" s="39"/>
      <c r="BK65" s="39"/>
      <c r="BL65" s="39"/>
      <c r="BM65" s="39"/>
      <c r="BN65" s="39"/>
      <c r="BO65" s="39"/>
      <c r="BP65" s="39"/>
      <c r="BQ65" s="39"/>
      <c r="BR65" s="39"/>
      <c r="BS65" s="39"/>
      <c r="BT65" s="39"/>
      <c r="BU65" s="39"/>
      <c r="BV65" s="39"/>
      <c r="BW65" s="39"/>
      <c r="BX65" s="39"/>
      <c r="BY65" s="39"/>
      <c r="BZ65" s="39"/>
    </row>
    <row r="66" spans="1:78">
      <c r="AX66" s="678" t="s">
        <v>3134</v>
      </c>
    </row>
    <row r="67" spans="1:78" s="328" customFormat="1">
      <c r="A67" s="469" t="s">
        <v>704</v>
      </c>
    </row>
    <row r="68" spans="1:78" s="26" customFormat="1"/>
    <row r="69" spans="1:78" s="26" customFormat="1" hidden="1" outlineLevel="1">
      <c r="A69" s="189" t="s">
        <v>2134</v>
      </c>
    </row>
    <row r="70" spans="1:78" s="26" customFormat="1" hidden="1" outlineLevel="1">
      <c r="AM70" s="26" t="s">
        <v>2005</v>
      </c>
    </row>
    <row r="71" spans="1:78" s="26" customFormat="1" hidden="1" outlineLevel="1">
      <c r="A71" s="26" t="s">
        <v>1011</v>
      </c>
      <c r="AK71" s="337">
        <v>348.88519100000002</v>
      </c>
      <c r="AL71" s="61">
        <f>AK71</f>
        <v>348.88519100000002</v>
      </c>
      <c r="AM71" s="337">
        <v>348.88519100000002</v>
      </c>
      <c r="AN71" s="337">
        <v>348.88519100000002</v>
      </c>
      <c r="AO71" s="337">
        <v>348.88519100000002</v>
      </c>
      <c r="AP71" s="337">
        <v>348.88519100000002</v>
      </c>
      <c r="AQ71" s="470">
        <f t="shared" ref="AQ71:BZ71" si="226">AP71</f>
        <v>348.88519100000002</v>
      </c>
      <c r="AR71" s="337">
        <v>348.88519100000002</v>
      </c>
      <c r="AS71" s="883">
        <v>261.67449299999998</v>
      </c>
      <c r="AT71" s="884">
        <f t="shared" si="226"/>
        <v>261.67449299999998</v>
      </c>
      <c r="AU71" s="884">
        <f t="shared" si="226"/>
        <v>261.67449299999998</v>
      </c>
      <c r="AV71" s="470">
        <f t="shared" si="226"/>
        <v>261.67449299999998</v>
      </c>
      <c r="AW71" s="884">
        <f t="shared" si="226"/>
        <v>261.67449299999998</v>
      </c>
      <c r="AX71" s="884">
        <f t="shared" si="226"/>
        <v>261.67449299999998</v>
      </c>
      <c r="AY71" s="884">
        <f t="shared" si="226"/>
        <v>261.67449299999998</v>
      </c>
      <c r="AZ71" s="884">
        <f t="shared" si="226"/>
        <v>261.67449299999998</v>
      </c>
      <c r="BA71" s="470">
        <f t="shared" si="226"/>
        <v>261.67449299999998</v>
      </c>
      <c r="BB71" s="884">
        <f t="shared" si="226"/>
        <v>261.67449299999998</v>
      </c>
      <c r="BC71" s="884">
        <f t="shared" si="226"/>
        <v>261.67449299999998</v>
      </c>
      <c r="BD71" s="884">
        <f t="shared" si="226"/>
        <v>261.67449299999998</v>
      </c>
      <c r="BE71" s="884">
        <f t="shared" si="226"/>
        <v>261.67449299999998</v>
      </c>
      <c r="BF71" s="470">
        <f t="shared" si="226"/>
        <v>261.67449299999998</v>
      </c>
      <c r="BG71" s="884">
        <f t="shared" si="226"/>
        <v>261.67449299999998</v>
      </c>
      <c r="BH71" s="884">
        <f t="shared" si="226"/>
        <v>261.67449299999998</v>
      </c>
      <c r="BI71" s="884">
        <f t="shared" si="226"/>
        <v>261.67449299999998</v>
      </c>
      <c r="BJ71" s="884">
        <f t="shared" si="226"/>
        <v>261.67449299999998</v>
      </c>
      <c r="BK71" s="470">
        <f t="shared" si="226"/>
        <v>261.67449299999998</v>
      </c>
      <c r="BL71" s="884">
        <f t="shared" si="226"/>
        <v>261.67449299999998</v>
      </c>
      <c r="BM71" s="884">
        <f t="shared" si="226"/>
        <v>261.67449299999998</v>
      </c>
      <c r="BN71" s="884">
        <f t="shared" si="226"/>
        <v>261.67449299999998</v>
      </c>
      <c r="BO71" s="884">
        <f t="shared" si="226"/>
        <v>261.67449299999998</v>
      </c>
      <c r="BP71" s="470">
        <f t="shared" si="226"/>
        <v>261.67449299999998</v>
      </c>
      <c r="BQ71" s="884">
        <f t="shared" si="226"/>
        <v>261.67449299999998</v>
      </c>
      <c r="BR71" s="884">
        <f t="shared" si="226"/>
        <v>261.67449299999998</v>
      </c>
      <c r="BS71" s="884">
        <f t="shared" si="226"/>
        <v>261.67449299999998</v>
      </c>
      <c r="BT71" s="884">
        <f t="shared" si="226"/>
        <v>261.67449299999998</v>
      </c>
      <c r="BU71" s="470">
        <f t="shared" si="226"/>
        <v>261.67449299999998</v>
      </c>
      <c r="BV71" s="884">
        <f t="shared" si="226"/>
        <v>261.67449299999998</v>
      </c>
      <c r="BW71" s="884">
        <f t="shared" si="226"/>
        <v>261.67449299999998</v>
      </c>
      <c r="BX71" s="884">
        <f t="shared" si="226"/>
        <v>261.67449299999998</v>
      </c>
      <c r="BY71" s="884">
        <f t="shared" si="226"/>
        <v>261.67449299999998</v>
      </c>
      <c r="BZ71" s="470">
        <f t="shared" si="226"/>
        <v>261.67449299999998</v>
      </c>
    </row>
    <row r="72" spans="1:78" s="26" customFormat="1" hidden="1" outlineLevel="1">
      <c r="A72" s="26" t="s">
        <v>80</v>
      </c>
      <c r="AK72" s="208">
        <f>AK71/AK74</f>
        <v>0.14336029215676205</v>
      </c>
      <c r="AM72" s="208">
        <f>AM71/AM74</f>
        <v>0.14336029215676205</v>
      </c>
      <c r="AN72" s="208">
        <f>AN71/AN74</f>
        <v>0.14336029215676205</v>
      </c>
      <c r="AO72" s="208">
        <f>AO71/AO74</f>
        <v>0.14336029215676205</v>
      </c>
      <c r="AP72" s="208">
        <f>AP71/AP74</f>
        <v>0.14336029215676205</v>
      </c>
      <c r="AR72" s="208">
        <f>AR71/AR74</f>
        <v>0.14336029215676205</v>
      </c>
      <c r="AS72" s="208">
        <f>AS71/AS74</f>
        <v>0.10752457465714725</v>
      </c>
      <c r="AT72" s="208">
        <f>AT71/AT74</f>
        <v>0.10752457465714725</v>
      </c>
      <c r="AU72" s="208">
        <f>AU71/AU74</f>
        <v>0.10752457465714725</v>
      </c>
      <c r="AW72" s="208">
        <f>AW71/AW74</f>
        <v>0.10752457465714725</v>
      </c>
      <c r="AX72" s="208">
        <f>AX71/AX74</f>
        <v>0.10752457465714725</v>
      </c>
      <c r="AY72" s="208">
        <f>AY71/AY74</f>
        <v>0.10752457465714725</v>
      </c>
      <c r="AZ72" s="208">
        <f>AZ71/AZ74</f>
        <v>0.10752457465714725</v>
      </c>
      <c r="BB72" s="208">
        <f>BB71/BB74</f>
        <v>0.10752457465714725</v>
      </c>
      <c r="BC72" s="208">
        <f>BC71/BC74</f>
        <v>0.10752457465714725</v>
      </c>
      <c r="BD72" s="208">
        <f>BD71/BD74</f>
        <v>0.10752457465714725</v>
      </c>
      <c r="BE72" s="208">
        <f>BE71/BE74</f>
        <v>0.10752457465714725</v>
      </c>
      <c r="BG72" s="208">
        <f>BG71/BG74</f>
        <v>0.10752457465714725</v>
      </c>
      <c r="BH72" s="208">
        <f>BH71/BH74</f>
        <v>0.10752457465714725</v>
      </c>
      <c r="BI72" s="208">
        <f>BI71/BI74</f>
        <v>0.10752457465714725</v>
      </c>
      <c r="BJ72" s="208">
        <f>BJ71/BJ74</f>
        <v>0.10752457465714725</v>
      </c>
      <c r="BL72" s="208">
        <f>BL71/BL74</f>
        <v>0.10752457465714725</v>
      </c>
      <c r="BM72" s="208">
        <f>BM71/BM74</f>
        <v>0.10752457465714725</v>
      </c>
      <c r="BN72" s="208">
        <f>BN71/BN74</f>
        <v>0.10752457465714725</v>
      </c>
      <c r="BO72" s="208">
        <f>BO71/BO74</f>
        <v>0.10752457465714725</v>
      </c>
      <c r="BQ72" s="208">
        <f>BQ71/BQ74</f>
        <v>0.10752457465714725</v>
      </c>
      <c r="BR72" s="208">
        <f>BR71/BR74</f>
        <v>0.10752457465714725</v>
      </c>
      <c r="BS72" s="208">
        <f>BS71/BS74</f>
        <v>0.10752457465714725</v>
      </c>
      <c r="BT72" s="208">
        <f>BT71/BT74</f>
        <v>0.10752457465714725</v>
      </c>
      <c r="BV72" s="208">
        <f>BV71/BV74</f>
        <v>0.10752457465714725</v>
      </c>
      <c r="BW72" s="208">
        <f>BW71/BW74</f>
        <v>0.10752457465714725</v>
      </c>
      <c r="BX72" s="208">
        <f>BX71/BX74</f>
        <v>0.10752457465714725</v>
      </c>
      <c r="BY72" s="208">
        <f>BY71/BY74</f>
        <v>0.10752457465714725</v>
      </c>
    </row>
    <row r="73" spans="1:78" s="26" customFormat="1" hidden="1" outlineLevel="1">
      <c r="AM73" s="26" t="s">
        <v>2005</v>
      </c>
    </row>
    <row r="74" spans="1:78" s="26" customFormat="1" hidden="1" outlineLevel="1">
      <c r="A74" s="26" t="s">
        <v>1013</v>
      </c>
      <c r="AK74" s="337">
        <v>2433.625</v>
      </c>
      <c r="AL74" s="61">
        <f>AK74</f>
        <v>2433.625</v>
      </c>
      <c r="AM74" s="337">
        <v>2433.625</v>
      </c>
      <c r="AN74" s="337">
        <v>2433.625</v>
      </c>
      <c r="AO74" s="337">
        <v>2433.625</v>
      </c>
      <c r="AP74" s="337">
        <v>2433.625</v>
      </c>
      <c r="AQ74" s="470">
        <f t="shared" ref="AQ74:BZ74" si="227">AP74</f>
        <v>2433.625</v>
      </c>
      <c r="AR74" s="337">
        <v>2433.625</v>
      </c>
      <c r="AS74" s="883">
        <f t="shared" si="227"/>
        <v>2433.625</v>
      </c>
      <c r="AT74" s="884">
        <f t="shared" si="227"/>
        <v>2433.625</v>
      </c>
      <c r="AU74" s="884">
        <f t="shared" si="227"/>
        <v>2433.625</v>
      </c>
      <c r="AV74" s="470">
        <f t="shared" si="227"/>
        <v>2433.625</v>
      </c>
      <c r="AW74" s="884">
        <f t="shared" si="227"/>
        <v>2433.625</v>
      </c>
      <c r="AX74" s="884">
        <f t="shared" si="227"/>
        <v>2433.625</v>
      </c>
      <c r="AY74" s="884">
        <f t="shared" si="227"/>
        <v>2433.625</v>
      </c>
      <c r="AZ74" s="884">
        <f t="shared" si="227"/>
        <v>2433.625</v>
      </c>
      <c r="BA74" s="470">
        <f t="shared" si="227"/>
        <v>2433.625</v>
      </c>
      <c r="BB74" s="884">
        <f t="shared" si="227"/>
        <v>2433.625</v>
      </c>
      <c r="BC74" s="884">
        <f t="shared" si="227"/>
        <v>2433.625</v>
      </c>
      <c r="BD74" s="884">
        <f t="shared" si="227"/>
        <v>2433.625</v>
      </c>
      <c r="BE74" s="884">
        <f t="shared" si="227"/>
        <v>2433.625</v>
      </c>
      <c r="BF74" s="470">
        <f t="shared" si="227"/>
        <v>2433.625</v>
      </c>
      <c r="BG74" s="884">
        <f t="shared" si="227"/>
        <v>2433.625</v>
      </c>
      <c r="BH74" s="884">
        <f t="shared" si="227"/>
        <v>2433.625</v>
      </c>
      <c r="BI74" s="884">
        <f t="shared" si="227"/>
        <v>2433.625</v>
      </c>
      <c r="BJ74" s="884">
        <f t="shared" si="227"/>
        <v>2433.625</v>
      </c>
      <c r="BK74" s="470">
        <f t="shared" si="227"/>
        <v>2433.625</v>
      </c>
      <c r="BL74" s="884">
        <f t="shared" si="227"/>
        <v>2433.625</v>
      </c>
      <c r="BM74" s="884">
        <f t="shared" si="227"/>
        <v>2433.625</v>
      </c>
      <c r="BN74" s="884">
        <f t="shared" si="227"/>
        <v>2433.625</v>
      </c>
      <c r="BO74" s="884">
        <f t="shared" si="227"/>
        <v>2433.625</v>
      </c>
      <c r="BP74" s="470">
        <f t="shared" si="227"/>
        <v>2433.625</v>
      </c>
      <c r="BQ74" s="884">
        <f t="shared" si="227"/>
        <v>2433.625</v>
      </c>
      <c r="BR74" s="884">
        <f t="shared" si="227"/>
        <v>2433.625</v>
      </c>
      <c r="BS74" s="884">
        <f t="shared" si="227"/>
        <v>2433.625</v>
      </c>
      <c r="BT74" s="884">
        <f t="shared" si="227"/>
        <v>2433.625</v>
      </c>
      <c r="BU74" s="470">
        <f t="shared" si="227"/>
        <v>2433.625</v>
      </c>
      <c r="BV74" s="884">
        <f t="shared" si="227"/>
        <v>2433.625</v>
      </c>
      <c r="BW74" s="884">
        <f t="shared" si="227"/>
        <v>2433.625</v>
      </c>
      <c r="BX74" s="884">
        <f t="shared" si="227"/>
        <v>2433.625</v>
      </c>
      <c r="BY74" s="884">
        <f t="shared" si="227"/>
        <v>2433.625</v>
      </c>
      <c r="BZ74" s="470">
        <f t="shared" si="227"/>
        <v>2433.625</v>
      </c>
    </row>
    <row r="75" spans="1:78" s="26" customFormat="1" hidden="1" outlineLevel="1"/>
    <row r="76" spans="1:78" s="26" customFormat="1" hidden="1" outlineLevel="1">
      <c r="A76" s="189" t="s">
        <v>2135</v>
      </c>
      <c r="AR76" s="885" t="s">
        <v>2137</v>
      </c>
      <c r="AS76" s="405">
        <v>0.08</v>
      </c>
      <c r="AT76" s="885" t="s">
        <v>1970</v>
      </c>
      <c r="AU76" s="405">
        <f>(1+AS76)^(1/4)-1</f>
        <v>1.9426546908273501E-2</v>
      </c>
    </row>
    <row r="77" spans="1:78" s="26" customFormat="1" hidden="1" outlineLevel="1"/>
    <row r="78" spans="1:78" s="26" customFormat="1" hidden="1" outlineLevel="1">
      <c r="A78" s="26" t="s">
        <v>1012</v>
      </c>
      <c r="AH78" s="26">
        <f>VLOOKUP(AH2, 'SBG investee share prices'!$B:$C, 2, FALSE)</f>
        <v>113.68</v>
      </c>
      <c r="AI78" s="26">
        <f>VLOOKUP(AI2, 'SBG investee share prices'!$B:$C, 2, FALSE)</f>
        <v>79.989999999999995</v>
      </c>
      <c r="AJ78" s="26">
        <f>VLOOKUP(AJ2, 'SBG investee share prices'!$B:$C, 2, FALSE)</f>
        <v>88.09</v>
      </c>
      <c r="AK78" s="26">
        <f>VLOOKUP(AK2, 'SBG investee share prices'!$B:$C, 2, FALSE)</f>
        <v>102.18</v>
      </c>
      <c r="AL78" s="26">
        <f>AK78</f>
        <v>102.18</v>
      </c>
      <c r="AM78" s="26">
        <f>VLOOKUP(AM2, 'SBG investee share prices'!$B:$C, 2, FALSE)</f>
        <v>83.35</v>
      </c>
      <c r="AN78" s="26">
        <f>VLOOKUP(AN2, 'SBG investee share prices'!$B:$C, 2, FALSE)</f>
        <v>86.74</v>
      </c>
      <c r="AO78" s="26">
        <f>VLOOKUP(AO2, 'SBG investee share prices'!$B:$C, 2, FALSE)</f>
        <v>77.510000000000005</v>
      </c>
      <c r="AP78" s="26">
        <f>VLOOKUP(AP2, 'SBG investee share prices'!$B:$C, 2, FALSE)</f>
        <v>72.36</v>
      </c>
      <c r="AQ78" s="26">
        <f>AP78</f>
        <v>72.36</v>
      </c>
      <c r="AR78" s="287">
        <f>VLOOKUP(AR2, 'SBG investee share prices'!$B:$C, 2, FALSE)</f>
        <v>72</v>
      </c>
      <c r="AS78" s="724">
        <v>99.95</v>
      </c>
      <c r="AT78" s="287">
        <f>AS78*(1+$AU$76)</f>
        <v>101.89168336348195</v>
      </c>
      <c r="AU78" s="287">
        <f>AT78*(1+$AU$76)</f>
        <v>103.87108692990557</v>
      </c>
      <c r="AV78" s="287">
        <f>AU78</f>
        <v>103.87108692990557</v>
      </c>
      <c r="AW78" s="287">
        <f>AV78*(1+$AU$76)</f>
        <v>105.88894347256274</v>
      </c>
      <c r="AX78" s="287">
        <f t="shared" ref="AX78:AZ78" si="228">AW78*(1+$AU$76)</f>
        <v>107.94600000000001</v>
      </c>
      <c r="AY78" s="287">
        <f t="shared" si="228"/>
        <v>110.04301803256051</v>
      </c>
      <c r="AZ78" s="287">
        <f t="shared" si="228"/>
        <v>112.18077388429803</v>
      </c>
      <c r="BA78" s="287">
        <f>AZ78</f>
        <v>112.18077388429803</v>
      </c>
      <c r="BB78" s="287">
        <f>BA78*(1+$AU$76)</f>
        <v>114.36005895036777</v>
      </c>
      <c r="BC78" s="287">
        <f t="shared" ref="BC78:BE78" si="229">BB78*(1+$AU$76)</f>
        <v>116.58168000000002</v>
      </c>
      <c r="BD78" s="287">
        <f t="shared" si="229"/>
        <v>118.84645947516535</v>
      </c>
      <c r="BE78" s="287">
        <f t="shared" si="229"/>
        <v>121.15523579504188</v>
      </c>
      <c r="BF78" s="287">
        <f>BE78</f>
        <v>121.15523579504188</v>
      </c>
      <c r="BG78" s="287">
        <f>BF78*(1+$AU$76)</f>
        <v>123.50886366639719</v>
      </c>
      <c r="BH78" s="287">
        <f t="shared" ref="BH78:BJ78" si="230">BG78*(1+$AU$76)</f>
        <v>125.90821440000001</v>
      </c>
      <c r="BI78" s="287">
        <f t="shared" si="230"/>
        <v>128.35417623317855</v>
      </c>
      <c r="BJ78" s="287">
        <f t="shared" si="230"/>
        <v>130.84765465864518</v>
      </c>
      <c r="BK78" s="287">
        <f>BJ78</f>
        <v>130.84765465864518</v>
      </c>
      <c r="BL78" s="287">
        <f>BK78*(1+$AU$76)</f>
        <v>133.38957275970893</v>
      </c>
      <c r="BM78" s="287">
        <f t="shared" ref="BM78:BO78" si="231">BL78*(1+$AU$76)</f>
        <v>135.98087155199997</v>
      </c>
      <c r="BN78" s="287">
        <f t="shared" si="231"/>
        <v>138.62251033183281</v>
      </c>
      <c r="BO78" s="287">
        <f t="shared" si="231"/>
        <v>141.31546703133679</v>
      </c>
      <c r="BP78" s="287">
        <f>BO78</f>
        <v>141.31546703133679</v>
      </c>
      <c r="BQ78" s="287">
        <f>BP78*(1+$AU$76)</f>
        <v>144.06073858048563</v>
      </c>
      <c r="BR78" s="287">
        <f t="shared" ref="BR78:BT78" si="232">BQ78*(1+$AU$76)</f>
        <v>146.85934127615997</v>
      </c>
      <c r="BS78" s="287">
        <f t="shared" si="232"/>
        <v>149.71231115837944</v>
      </c>
      <c r="BT78" s="287">
        <f t="shared" si="232"/>
        <v>152.62070439384374</v>
      </c>
      <c r="BU78" s="287">
        <f>BT78</f>
        <v>152.62070439384374</v>
      </c>
      <c r="BV78" s="287">
        <f>BU78*(1+$AU$76)</f>
        <v>155.58559766692449</v>
      </c>
      <c r="BW78" s="287">
        <f t="shared" ref="BW78:BY78" si="233">BV78*(1+$AU$76)</f>
        <v>158.60808857825276</v>
      </c>
      <c r="BX78" s="287">
        <f t="shared" si="233"/>
        <v>161.68929605104978</v>
      </c>
      <c r="BY78" s="287">
        <f t="shared" si="233"/>
        <v>164.83036074535121</v>
      </c>
      <c r="BZ78" s="287">
        <f>BY78</f>
        <v>164.83036074535121</v>
      </c>
    </row>
    <row r="79" spans="1:78" s="26" customFormat="1" hidden="1" outlineLevel="1"/>
    <row r="80" spans="1:78" s="26" customFormat="1" hidden="1" outlineLevel="1">
      <c r="A80" s="26" t="s">
        <v>1014</v>
      </c>
      <c r="AK80" s="61">
        <f t="shared" ref="AK80:BZ80" si="234">AK71*AK78</f>
        <v>35649.088816380005</v>
      </c>
      <c r="AL80" s="61">
        <f t="shared" si="234"/>
        <v>35649.088816380005</v>
      </c>
      <c r="AM80" s="61">
        <f t="shared" si="234"/>
        <v>29079.580669849998</v>
      </c>
      <c r="AN80" s="61">
        <f t="shared" si="234"/>
        <v>30262.301467339999</v>
      </c>
      <c r="AO80" s="61">
        <f t="shared" si="234"/>
        <v>27042.091154410002</v>
      </c>
      <c r="AP80" s="61">
        <f t="shared" ref="AP80" si="235">AP71*AP78</f>
        <v>25245.332420760002</v>
      </c>
      <c r="AQ80" s="61">
        <f t="shared" si="234"/>
        <v>25245.332420760002</v>
      </c>
      <c r="AR80" s="61">
        <f t="shared" ref="AR80" si="236">AR71*AR78</f>
        <v>25119.733752</v>
      </c>
      <c r="AS80" s="61">
        <f t="shared" si="234"/>
        <v>26154.365575349999</v>
      </c>
      <c r="AT80" s="61">
        <f t="shared" si="234"/>
        <v>26662.454585055671</v>
      </c>
      <c r="AU80" s="61">
        <f t="shared" si="234"/>
        <v>27180.414009741966</v>
      </c>
      <c r="AV80" s="61">
        <f t="shared" si="234"/>
        <v>27180.414009741966</v>
      </c>
      <c r="AW80" s="61">
        <f t="shared" si="234"/>
        <v>27708.435597488515</v>
      </c>
      <c r="AX80" s="61">
        <f t="shared" si="234"/>
        <v>28246.714821378002</v>
      </c>
      <c r="AY80" s="61">
        <f t="shared" si="234"/>
        <v>28795.450951860126</v>
      </c>
      <c r="AZ80" s="61">
        <f t="shared" si="234"/>
        <v>29354.847130521328</v>
      </c>
      <c r="BA80" s="61">
        <f t="shared" si="234"/>
        <v>29354.847130521328</v>
      </c>
      <c r="BB80" s="61">
        <f t="shared" si="234"/>
        <v>29925.110445287599</v>
      </c>
      <c r="BC80" s="61">
        <f t="shared" si="234"/>
        <v>30506.452007088243</v>
      </c>
      <c r="BD80" s="61">
        <f t="shared" si="234"/>
        <v>31099.087028008937</v>
      </c>
      <c r="BE80" s="61">
        <f t="shared" si="234"/>
        <v>31703.234900963034</v>
      </c>
      <c r="BF80" s="61">
        <f t="shared" si="234"/>
        <v>31703.234900963034</v>
      </c>
      <c r="BG80" s="61">
        <f t="shared" si="234"/>
        <v>32319.119280910603</v>
      </c>
      <c r="BH80" s="61">
        <f t="shared" si="234"/>
        <v>32946.968167655301</v>
      </c>
      <c r="BI80" s="61">
        <f t="shared" si="234"/>
        <v>33587.013990249645</v>
      </c>
      <c r="BJ80" s="61">
        <f t="shared" si="234"/>
        <v>34239.493693040065</v>
      </c>
      <c r="BK80" s="61">
        <f t="shared" si="234"/>
        <v>34239.493693040065</v>
      </c>
      <c r="BL80" s="61">
        <f t="shared" si="234"/>
        <v>34904.648823383439</v>
      </c>
      <c r="BM80" s="61">
        <f t="shared" si="234"/>
        <v>35582.725621067715</v>
      </c>
      <c r="BN80" s="61">
        <f t="shared" si="234"/>
        <v>36273.975109469611</v>
      </c>
      <c r="BO80" s="61">
        <f t="shared" si="234"/>
        <v>36978.653188483266</v>
      </c>
      <c r="BP80" s="61">
        <f t="shared" si="234"/>
        <v>36978.653188483266</v>
      </c>
      <c r="BQ80" s="61">
        <f t="shared" si="234"/>
        <v>37697.020729254116</v>
      </c>
      <c r="BR80" s="61">
        <f t="shared" si="234"/>
        <v>38429.343670753129</v>
      </c>
      <c r="BS80" s="61">
        <f t="shared" si="234"/>
        <v>39175.893118227177</v>
      </c>
      <c r="BT80" s="61">
        <f t="shared" si="234"/>
        <v>39936.945443561934</v>
      </c>
      <c r="BU80" s="61">
        <f t="shared" si="234"/>
        <v>39936.945443561934</v>
      </c>
      <c r="BV80" s="61">
        <f t="shared" si="234"/>
        <v>40712.782387594445</v>
      </c>
      <c r="BW80" s="61">
        <f t="shared" si="234"/>
        <v>41503.69116441338</v>
      </c>
      <c r="BX80" s="61">
        <f t="shared" si="234"/>
        <v>42309.964567685354</v>
      </c>
      <c r="BY80" s="61">
        <f t="shared" si="234"/>
        <v>43131.901079046882</v>
      </c>
      <c r="BZ80" s="61">
        <f t="shared" si="234"/>
        <v>43131.901079046882</v>
      </c>
    </row>
    <row r="81" spans="1:78" s="26" customFormat="1" hidden="1" outlineLevel="1"/>
    <row r="82" spans="1:78" s="26" customFormat="1" hidden="1" outlineLevel="1">
      <c r="A82" s="29" t="s">
        <v>2136</v>
      </c>
      <c r="AD82" s="61"/>
      <c r="AE82" s="61"/>
      <c r="AF82" s="61"/>
      <c r="AG82" s="61"/>
      <c r="AH82" s="61"/>
      <c r="AI82" s="61"/>
      <c r="AJ82" s="61"/>
      <c r="AK82" s="61"/>
      <c r="AL82" s="61"/>
      <c r="AM82" s="61">
        <f>-AM270/AM$245</f>
        <v>-32862.266363197457</v>
      </c>
      <c r="AN82" s="61">
        <f>-AN270/AN$245</f>
        <v>-33028.479743281183</v>
      </c>
      <c r="AO82" s="61">
        <f>-AO270/AO$245</f>
        <v>-31962.208277515332</v>
      </c>
      <c r="AP82" s="61">
        <f>-AP270/AP$245</f>
        <v>-30886.995574929002</v>
      </c>
      <c r="AQ82" s="61">
        <f>AP82</f>
        <v>-30886.995574929002</v>
      </c>
      <c r="AR82" s="61">
        <f>-AR270/AR$245</f>
        <v>-28841.497485565284</v>
      </c>
      <c r="AS82" s="61">
        <f>AR82+(AR80-AS80)</f>
        <v>-29876.129308915282</v>
      </c>
      <c r="AT82" s="61">
        <f>AS82+(AS80-AT80)</f>
        <v>-30384.218318620955</v>
      </c>
      <c r="AU82" s="61">
        <f>AT82+(AT80-AU80)</f>
        <v>-30902.177743307249</v>
      </c>
      <c r="AV82" s="61">
        <f>AU82</f>
        <v>-30902.177743307249</v>
      </c>
      <c r="AW82" s="61">
        <f>AV82+(AV80-AW80)</f>
        <v>-31430.199331053798</v>
      </c>
      <c r="AX82" s="61">
        <f>AW82+(AW80-AX80)</f>
        <v>-31968.478554943285</v>
      </c>
      <c r="AY82" s="61">
        <f>AX82+(AX80-AY80)</f>
        <v>-32517.21468542541</v>
      </c>
      <c r="AZ82" s="61">
        <f>AY82+(AY80-AZ80)</f>
        <v>-33076.610864086615</v>
      </c>
      <c r="BA82" s="61">
        <f>AZ82</f>
        <v>-33076.610864086615</v>
      </c>
      <c r="BB82" s="61">
        <f>BA82+(BA80-BB80)</f>
        <v>-33646.874178852886</v>
      </c>
      <c r="BC82" s="61">
        <f>BB82+(BB80-BC80)</f>
        <v>-34228.215740653526</v>
      </c>
      <c r="BD82" s="61">
        <f>BC82+(BC80-BD80)</f>
        <v>-34820.85076157422</v>
      </c>
      <c r="BE82" s="61">
        <f>BD82+(BD80-BE80)</f>
        <v>-35424.998634528318</v>
      </c>
      <c r="BF82" s="61">
        <f>BE82</f>
        <v>-35424.998634528318</v>
      </c>
      <c r="BG82" s="61">
        <f>BF82+(BF80-BG80)</f>
        <v>-36040.883014475883</v>
      </c>
      <c r="BH82" s="61">
        <f>BG82+(BG80-BH80)</f>
        <v>-36668.731901220584</v>
      </c>
      <c r="BI82" s="61">
        <f>BH82+(BH80-BI80)</f>
        <v>-37308.777723814928</v>
      </c>
      <c r="BJ82" s="61">
        <f>BI82+(BI80-BJ80)</f>
        <v>-37961.257426605349</v>
      </c>
      <c r="BK82" s="61">
        <f>BJ82</f>
        <v>-37961.257426605349</v>
      </c>
      <c r="BL82" s="61">
        <f>BK82+(BK80-BL80)</f>
        <v>-38626.412556948722</v>
      </c>
      <c r="BM82" s="61">
        <f>BL82+(BL80-BM80)</f>
        <v>-39304.489354632999</v>
      </c>
      <c r="BN82" s="61">
        <f>BM82+(BM80-BN80)</f>
        <v>-39995.738843034895</v>
      </c>
      <c r="BO82" s="61">
        <f>BN82+(BN80-BO80)</f>
        <v>-40700.416922048549</v>
      </c>
      <c r="BP82" s="61">
        <f>BO82</f>
        <v>-40700.416922048549</v>
      </c>
      <c r="BQ82" s="61">
        <f>BP82+(BP80-BQ80)</f>
        <v>-41418.7844628194</v>
      </c>
      <c r="BR82" s="61">
        <f>BQ82+(BQ80-BR80)</f>
        <v>-42151.107404318413</v>
      </c>
      <c r="BS82" s="61">
        <f>BR82+(BR80-BS80)</f>
        <v>-42897.656851792461</v>
      </c>
      <c r="BT82" s="61">
        <f>BS82+(BS80-BT80)</f>
        <v>-43658.709177127217</v>
      </c>
      <c r="BU82" s="61">
        <f>BT82</f>
        <v>-43658.709177127217</v>
      </c>
      <c r="BV82" s="61">
        <f>BU82+(BU80-BV80)</f>
        <v>-44434.546121159729</v>
      </c>
      <c r="BW82" s="61">
        <f>BV82+(BV80-BW80)</f>
        <v>-45225.454897978663</v>
      </c>
      <c r="BX82" s="61">
        <f>BW82+(BW80-BX80)</f>
        <v>-46031.728301250638</v>
      </c>
      <c r="BY82" s="61">
        <f>BX82+(BX80-BY80)</f>
        <v>-46853.664812612165</v>
      </c>
      <c r="BZ82" s="61">
        <f>BY82</f>
        <v>-46853.664812612165</v>
      </c>
    </row>
    <row r="83" spans="1:78" s="26" customFormat="1" hidden="1" outlineLevel="1">
      <c r="A83" s="174" t="s">
        <v>1982</v>
      </c>
      <c r="B83" s="174"/>
      <c r="C83" s="174"/>
      <c r="D83" s="174"/>
      <c r="E83" s="174"/>
      <c r="F83" s="174"/>
      <c r="G83" s="174"/>
      <c r="H83" s="174"/>
      <c r="I83" s="174"/>
      <c r="J83" s="174"/>
      <c r="K83" s="174"/>
      <c r="L83" s="174"/>
      <c r="M83" s="174"/>
      <c r="N83" s="174"/>
      <c r="O83" s="174"/>
      <c r="P83" s="174"/>
      <c r="Q83" s="174"/>
      <c r="R83" s="174"/>
      <c r="S83" s="174"/>
      <c r="T83" s="174"/>
      <c r="U83" s="174"/>
      <c r="V83" s="174"/>
      <c r="W83" s="174"/>
      <c r="X83" s="174"/>
      <c r="Y83" s="174"/>
      <c r="Z83" s="174"/>
      <c r="AA83" s="174"/>
      <c r="AB83" s="174"/>
      <c r="AC83" s="174"/>
      <c r="AD83" s="173"/>
      <c r="AE83" s="173"/>
      <c r="AF83" s="173"/>
      <c r="AG83" s="173"/>
      <c r="AH83" s="173"/>
      <c r="AI83" s="173"/>
      <c r="AJ83" s="173"/>
      <c r="AK83" s="173"/>
      <c r="AL83" s="173"/>
      <c r="AM83" s="173">
        <f t="shared" ref="AM83:BZ83" si="237">AM80+AM82</f>
        <v>-3782.6856933474592</v>
      </c>
      <c r="AN83" s="173">
        <f t="shared" si="237"/>
        <v>-2766.1782759411835</v>
      </c>
      <c r="AO83" s="173">
        <f t="shared" si="237"/>
        <v>-4920.1171231053304</v>
      </c>
      <c r="AP83" s="173">
        <f t="shared" ref="AP83" si="238">AP80+AP82</f>
        <v>-5641.6631541690003</v>
      </c>
      <c r="AQ83" s="173">
        <f t="shared" si="237"/>
        <v>-5641.6631541690003</v>
      </c>
      <c r="AR83" s="173">
        <f t="shared" ref="AR83" si="239">AR80+AR82</f>
        <v>-3721.7637335652835</v>
      </c>
      <c r="AS83" s="173">
        <f t="shared" si="237"/>
        <v>-3721.7637335652835</v>
      </c>
      <c r="AT83" s="173">
        <f t="shared" si="237"/>
        <v>-3721.7637335652835</v>
      </c>
      <c r="AU83" s="173">
        <f t="shared" si="237"/>
        <v>-3721.7637335652835</v>
      </c>
      <c r="AV83" s="173">
        <f t="shared" si="237"/>
        <v>-3721.7637335652835</v>
      </c>
      <c r="AW83" s="173">
        <f t="shared" si="237"/>
        <v>-3721.7637335652835</v>
      </c>
      <c r="AX83" s="173">
        <f t="shared" si="237"/>
        <v>-3721.7637335652835</v>
      </c>
      <c r="AY83" s="173">
        <f t="shared" si="237"/>
        <v>-3721.7637335652835</v>
      </c>
      <c r="AZ83" s="173">
        <f t="shared" si="237"/>
        <v>-3721.7637335652871</v>
      </c>
      <c r="BA83" s="173">
        <f t="shared" si="237"/>
        <v>-3721.7637335652871</v>
      </c>
      <c r="BB83" s="173">
        <f t="shared" si="237"/>
        <v>-3721.7637335652871</v>
      </c>
      <c r="BC83" s="173">
        <f t="shared" si="237"/>
        <v>-3721.7637335652835</v>
      </c>
      <c r="BD83" s="173">
        <f t="shared" si="237"/>
        <v>-3721.7637335652835</v>
      </c>
      <c r="BE83" s="173">
        <f t="shared" si="237"/>
        <v>-3721.7637335652835</v>
      </c>
      <c r="BF83" s="173">
        <f t="shared" si="237"/>
        <v>-3721.7637335652835</v>
      </c>
      <c r="BG83" s="173">
        <f t="shared" si="237"/>
        <v>-3721.7637335652798</v>
      </c>
      <c r="BH83" s="173">
        <f t="shared" si="237"/>
        <v>-3721.7637335652835</v>
      </c>
      <c r="BI83" s="173">
        <f t="shared" si="237"/>
        <v>-3721.7637335652835</v>
      </c>
      <c r="BJ83" s="173">
        <f t="shared" si="237"/>
        <v>-3721.7637335652835</v>
      </c>
      <c r="BK83" s="173">
        <f t="shared" si="237"/>
        <v>-3721.7637335652835</v>
      </c>
      <c r="BL83" s="173">
        <f t="shared" si="237"/>
        <v>-3721.7637335652835</v>
      </c>
      <c r="BM83" s="173">
        <f t="shared" si="237"/>
        <v>-3721.7637335652835</v>
      </c>
      <c r="BN83" s="173">
        <f t="shared" si="237"/>
        <v>-3721.7637335652835</v>
      </c>
      <c r="BO83" s="173">
        <f t="shared" si="237"/>
        <v>-3721.7637335652835</v>
      </c>
      <c r="BP83" s="173">
        <f t="shared" si="237"/>
        <v>-3721.7637335652835</v>
      </c>
      <c r="BQ83" s="173">
        <f t="shared" si="237"/>
        <v>-3721.7637335652835</v>
      </c>
      <c r="BR83" s="173">
        <f t="shared" si="237"/>
        <v>-3721.7637335652835</v>
      </c>
      <c r="BS83" s="173">
        <f t="shared" si="237"/>
        <v>-3721.7637335652835</v>
      </c>
      <c r="BT83" s="173">
        <f t="shared" si="237"/>
        <v>-3721.7637335652835</v>
      </c>
      <c r="BU83" s="173">
        <f t="shared" si="237"/>
        <v>-3721.7637335652835</v>
      </c>
      <c r="BV83" s="173">
        <f t="shared" si="237"/>
        <v>-3721.7637335652835</v>
      </c>
      <c r="BW83" s="173">
        <f t="shared" si="237"/>
        <v>-3721.7637335652835</v>
      </c>
      <c r="BX83" s="173">
        <f t="shared" si="237"/>
        <v>-3721.7637335652835</v>
      </c>
      <c r="BY83" s="173">
        <f t="shared" si="237"/>
        <v>-3721.7637335652835</v>
      </c>
      <c r="BZ83" s="173">
        <f t="shared" si="237"/>
        <v>-3721.7637335652835</v>
      </c>
    </row>
    <row r="84" spans="1:78" s="26" customFormat="1" hidden="1" outlineLevel="1"/>
    <row r="85" spans="1:78" s="26" customFormat="1" hidden="1" outlineLevel="1">
      <c r="A85" s="26" t="s">
        <v>276</v>
      </c>
      <c r="AD85" s="61"/>
      <c r="AE85" s="61"/>
      <c r="AF85" s="61"/>
      <c r="AG85" s="61"/>
      <c r="AH85" s="61"/>
      <c r="AI85" s="61"/>
      <c r="AJ85" s="61"/>
      <c r="AK85" s="61"/>
      <c r="AL85" s="61"/>
      <c r="AM85" s="61">
        <f>AM86-AM83</f>
        <v>3920.6262409714332</v>
      </c>
      <c r="AN85" s="61">
        <f>AN86-AN83</f>
        <v>2833.0321334087594</v>
      </c>
      <c r="AO85" s="61">
        <f>AO86-AO83</f>
        <v>4990.6240680394067</v>
      </c>
      <c r="AP85" s="61">
        <f>AP86-AP83</f>
        <v>5707.7089899790526</v>
      </c>
      <c r="AQ85" s="61">
        <f>AP85</f>
        <v>5707.7089899790526</v>
      </c>
      <c r="AR85" s="61">
        <f>AR86-AR83</f>
        <v>3783.8485414128031</v>
      </c>
      <c r="AS85" s="471">
        <f>MROUND(AR85, 100)</f>
        <v>3800</v>
      </c>
      <c r="AT85" s="471">
        <f>MROUND(AS85, 100)</f>
        <v>3800</v>
      </c>
      <c r="AU85" s="471">
        <f>MROUND(AT85, 100)</f>
        <v>3800</v>
      </c>
      <c r="AV85" s="61">
        <f>AU85</f>
        <v>3800</v>
      </c>
      <c r="AW85" s="471">
        <f>MROUND(AV85, 100)</f>
        <v>3800</v>
      </c>
      <c r="AX85" s="471">
        <f>MROUND(AW85, 100)</f>
        <v>3800</v>
      </c>
      <c r="AY85" s="471">
        <f>MROUND(AX85, 100)</f>
        <v>3800</v>
      </c>
      <c r="AZ85" s="471">
        <f>MROUND(AY85, 100)</f>
        <v>3800</v>
      </c>
      <c r="BA85" s="61">
        <f>AZ85</f>
        <v>3800</v>
      </c>
      <c r="BB85" s="471">
        <f>MROUND(BA85, 100)</f>
        <v>3800</v>
      </c>
      <c r="BC85" s="471">
        <f>MROUND(BB85, 100)</f>
        <v>3800</v>
      </c>
      <c r="BD85" s="471">
        <f>MROUND(BC85, 100)</f>
        <v>3800</v>
      </c>
      <c r="BE85" s="471">
        <f>MROUND(BD85, 100)</f>
        <v>3800</v>
      </c>
      <c r="BF85" s="61">
        <f>BE85</f>
        <v>3800</v>
      </c>
      <c r="BG85" s="471">
        <f>MROUND(BF85, 100)</f>
        <v>3800</v>
      </c>
      <c r="BH85" s="471">
        <f>MROUND(BG85, 100)</f>
        <v>3800</v>
      </c>
      <c r="BI85" s="471">
        <f>MROUND(BH85, 100)</f>
        <v>3800</v>
      </c>
      <c r="BJ85" s="471">
        <f>MROUND(BI85, 100)</f>
        <v>3800</v>
      </c>
      <c r="BK85" s="61">
        <f>BJ85</f>
        <v>3800</v>
      </c>
      <c r="BL85" s="471">
        <f>MROUND(BK85, 100)</f>
        <v>3800</v>
      </c>
      <c r="BM85" s="471">
        <f>MROUND(BL85, 100)</f>
        <v>3800</v>
      </c>
      <c r="BN85" s="471">
        <f>MROUND(BM85, 100)</f>
        <v>3800</v>
      </c>
      <c r="BO85" s="471">
        <f>MROUND(BN85, 100)</f>
        <v>3800</v>
      </c>
      <c r="BP85" s="61">
        <f>BO85</f>
        <v>3800</v>
      </c>
      <c r="BQ85" s="471">
        <f>MROUND(BP85, 100)</f>
        <v>3800</v>
      </c>
      <c r="BR85" s="471">
        <f>MROUND(BQ85, 100)</f>
        <v>3800</v>
      </c>
      <c r="BS85" s="471">
        <f>MROUND(BR85, 100)</f>
        <v>3800</v>
      </c>
      <c r="BT85" s="471">
        <f>MROUND(BS85, 100)</f>
        <v>3800</v>
      </c>
      <c r="BU85" s="61">
        <f>BT85</f>
        <v>3800</v>
      </c>
      <c r="BV85" s="471">
        <f>MROUND(BU85, 100)</f>
        <v>3800</v>
      </c>
      <c r="BW85" s="471">
        <f>MROUND(BV85, 100)</f>
        <v>3800</v>
      </c>
      <c r="BX85" s="471">
        <f>MROUND(BW85, 100)</f>
        <v>3800</v>
      </c>
      <c r="BY85" s="471">
        <f>MROUND(BX85, 100)</f>
        <v>3800</v>
      </c>
      <c r="BZ85" s="61">
        <f>BY85</f>
        <v>3800</v>
      </c>
    </row>
    <row r="86" spans="1:78" s="26" customFormat="1" hidden="1" outlineLevel="1">
      <c r="A86" s="174" t="s">
        <v>1983</v>
      </c>
      <c r="B86" s="174"/>
      <c r="C86" s="174"/>
      <c r="D86" s="174"/>
      <c r="E86" s="174"/>
      <c r="F86" s="174"/>
      <c r="G86" s="174"/>
      <c r="H86" s="174"/>
      <c r="I86" s="174"/>
      <c r="J86" s="174"/>
      <c r="K86" s="174"/>
      <c r="L86" s="174"/>
      <c r="M86" s="174"/>
      <c r="N86" s="174"/>
      <c r="O86" s="174"/>
      <c r="P86" s="174"/>
      <c r="Q86" s="174"/>
      <c r="R86" s="174"/>
      <c r="S86" s="174"/>
      <c r="T86" s="174"/>
      <c r="U86" s="174"/>
      <c r="V86" s="174"/>
      <c r="W86" s="174"/>
      <c r="X86" s="174"/>
      <c r="Y86" s="174"/>
      <c r="Z86" s="174"/>
      <c r="AA86" s="174"/>
      <c r="AB86" s="174"/>
      <c r="AC86" s="174"/>
      <c r="AD86" s="173"/>
      <c r="AE86" s="173"/>
      <c r="AF86" s="173"/>
      <c r="AG86" s="173"/>
      <c r="AH86" s="173"/>
      <c r="AI86" s="173"/>
      <c r="AJ86" s="173"/>
      <c r="AK86" s="173"/>
      <c r="AL86" s="173"/>
      <c r="AM86" s="173">
        <f>'Valuation &amp; SBG NAV'!BB54*1000</f>
        <v>137.94054762397406</v>
      </c>
      <c r="AN86" s="173">
        <f>'Valuation &amp; SBG NAV'!BC54*1000</f>
        <v>66.853857467575864</v>
      </c>
      <c r="AO86" s="173">
        <f>'Valuation &amp; SBG NAV'!BD54*1000</f>
        <v>70.506944934076003</v>
      </c>
      <c r="AP86" s="173">
        <f>'Valuation &amp; SBG NAV'!BE54*1000</f>
        <v>66.045835810052182</v>
      </c>
      <c r="AQ86" s="173">
        <f t="shared" ref="AQ86:BZ86" si="240">AQ83+AQ85</f>
        <v>66.045835810052267</v>
      </c>
      <c r="AR86" s="173">
        <f>'Valuation &amp; SBG NAV'!BG54*1000</f>
        <v>62.084807847519713</v>
      </c>
      <c r="AS86" s="173">
        <f t="shared" si="240"/>
        <v>78.236266434716526</v>
      </c>
      <c r="AT86" s="173">
        <f t="shared" si="240"/>
        <v>78.236266434716526</v>
      </c>
      <c r="AU86" s="173">
        <f t="shared" si="240"/>
        <v>78.236266434716526</v>
      </c>
      <c r="AV86" s="173">
        <f t="shared" si="240"/>
        <v>78.236266434716526</v>
      </c>
      <c r="AW86" s="173">
        <f t="shared" si="240"/>
        <v>78.236266434716526</v>
      </c>
      <c r="AX86" s="173">
        <f t="shared" si="240"/>
        <v>78.236266434716526</v>
      </c>
      <c r="AY86" s="173">
        <f t="shared" si="240"/>
        <v>78.236266434716526</v>
      </c>
      <c r="AZ86" s="173">
        <f t="shared" si="240"/>
        <v>78.236266434712888</v>
      </c>
      <c r="BA86" s="173">
        <f t="shared" si="240"/>
        <v>78.236266434712888</v>
      </c>
      <c r="BB86" s="173">
        <f t="shared" si="240"/>
        <v>78.236266434712888</v>
      </c>
      <c r="BC86" s="173">
        <f t="shared" si="240"/>
        <v>78.236266434716526</v>
      </c>
      <c r="BD86" s="173">
        <f t="shared" si="240"/>
        <v>78.236266434716526</v>
      </c>
      <c r="BE86" s="173">
        <f t="shared" si="240"/>
        <v>78.236266434716526</v>
      </c>
      <c r="BF86" s="173">
        <f t="shared" si="240"/>
        <v>78.236266434716526</v>
      </c>
      <c r="BG86" s="173">
        <f t="shared" si="240"/>
        <v>78.236266434720164</v>
      </c>
      <c r="BH86" s="173">
        <f t="shared" si="240"/>
        <v>78.236266434716526</v>
      </c>
      <c r="BI86" s="173">
        <f t="shared" si="240"/>
        <v>78.236266434716526</v>
      </c>
      <c r="BJ86" s="173">
        <f t="shared" si="240"/>
        <v>78.236266434716526</v>
      </c>
      <c r="BK86" s="173">
        <f t="shared" si="240"/>
        <v>78.236266434716526</v>
      </c>
      <c r="BL86" s="173">
        <f t="shared" si="240"/>
        <v>78.236266434716526</v>
      </c>
      <c r="BM86" s="173">
        <f t="shared" si="240"/>
        <v>78.236266434716526</v>
      </c>
      <c r="BN86" s="173">
        <f t="shared" si="240"/>
        <v>78.236266434716526</v>
      </c>
      <c r="BO86" s="173">
        <f t="shared" si="240"/>
        <v>78.236266434716526</v>
      </c>
      <c r="BP86" s="173">
        <f t="shared" si="240"/>
        <v>78.236266434716526</v>
      </c>
      <c r="BQ86" s="173">
        <f t="shared" si="240"/>
        <v>78.236266434716526</v>
      </c>
      <c r="BR86" s="173">
        <f t="shared" si="240"/>
        <v>78.236266434716526</v>
      </c>
      <c r="BS86" s="173">
        <f t="shared" si="240"/>
        <v>78.236266434716526</v>
      </c>
      <c r="BT86" s="173">
        <f t="shared" si="240"/>
        <v>78.236266434716526</v>
      </c>
      <c r="BU86" s="173">
        <f t="shared" si="240"/>
        <v>78.236266434716526</v>
      </c>
      <c r="BV86" s="173">
        <f t="shared" si="240"/>
        <v>78.236266434716526</v>
      </c>
      <c r="BW86" s="173">
        <f t="shared" si="240"/>
        <v>78.236266434716526</v>
      </c>
      <c r="BX86" s="173">
        <f t="shared" si="240"/>
        <v>78.236266434716526</v>
      </c>
      <c r="BY86" s="173">
        <f t="shared" si="240"/>
        <v>78.236266434716526</v>
      </c>
      <c r="BZ86" s="173">
        <f t="shared" si="240"/>
        <v>78.236266434716526</v>
      </c>
    </row>
    <row r="87" spans="1:78" hidden="1" outlineLevel="1"/>
    <row r="88" spans="1:78" s="71" customFormat="1" collapsed="1">
      <c r="A88" s="217" t="s">
        <v>705</v>
      </c>
      <c r="AP88" s="349" t="s">
        <v>2149</v>
      </c>
    </row>
    <row r="90" spans="1:78">
      <c r="A90" s="3" t="s">
        <v>977</v>
      </c>
      <c r="BB90" s="522" t="s">
        <v>3441</v>
      </c>
      <c r="BC90" s="647"/>
      <c r="BD90" s="647"/>
      <c r="BE90" s="647"/>
      <c r="BF90" s="647"/>
      <c r="BG90" s="647"/>
      <c r="BH90" s="647"/>
      <c r="BI90" s="647"/>
    </row>
    <row r="91" spans="1:78">
      <c r="AD91" s="22" t="s">
        <v>1031</v>
      </c>
      <c r="AP91" s="22" t="s">
        <v>1998</v>
      </c>
      <c r="AX91" s="25" t="s">
        <v>3239</v>
      </c>
      <c r="AY91" s="79"/>
    </row>
    <row r="92" spans="1:78">
      <c r="A92" s="34" t="s">
        <v>2456</v>
      </c>
      <c r="X92" s="272">
        <v>44.905479</v>
      </c>
      <c r="Y92" s="8">
        <f t="shared" ref="Y92:AC95" si="241">X92</f>
        <v>44.905479</v>
      </c>
      <c r="Z92" s="8">
        <f t="shared" ref="Z92:Z93" si="242">Y92</f>
        <v>44.905479</v>
      </c>
      <c r="AA92" s="8">
        <f t="shared" ref="AA92:AA93" si="243">Z92</f>
        <v>44.905479</v>
      </c>
      <c r="AB92" s="8">
        <f t="shared" ref="AB92:AB93" si="244">AA92</f>
        <v>44.905479</v>
      </c>
      <c r="AC92" s="8">
        <f t="shared" ref="AC92:AC93" si="245">AB92</f>
        <v>44.905479</v>
      </c>
      <c r="AD92" s="409">
        <f>AC92-26.35</f>
        <v>18.555478999999998</v>
      </c>
      <c r="AE92" s="269">
        <f t="shared" ref="AE92:AG93" si="246">AD92</f>
        <v>18.555478999999998</v>
      </c>
      <c r="AF92" s="269">
        <f t="shared" si="246"/>
        <v>18.555478999999998</v>
      </c>
      <c r="AG92" s="269">
        <f t="shared" si="246"/>
        <v>18.555478999999998</v>
      </c>
      <c r="AH92" s="617">
        <v>6.73</v>
      </c>
      <c r="AI92" s="8">
        <f t="shared" ref="AI92:AQ92" si="247">AH92</f>
        <v>6.73</v>
      </c>
      <c r="AJ92" s="8">
        <f t="shared" si="247"/>
        <v>6.73</v>
      </c>
      <c r="AK92" s="8">
        <f t="shared" si="247"/>
        <v>6.73</v>
      </c>
      <c r="AL92" s="8">
        <f t="shared" si="247"/>
        <v>6.73</v>
      </c>
      <c r="AM92" s="8">
        <f t="shared" si="247"/>
        <v>6.73</v>
      </c>
      <c r="AN92" s="8">
        <f t="shared" si="247"/>
        <v>6.73</v>
      </c>
      <c r="AO92" s="8">
        <f t="shared" si="247"/>
        <v>6.73</v>
      </c>
      <c r="AP92" s="8">
        <f t="shared" si="247"/>
        <v>6.73</v>
      </c>
      <c r="AQ92" s="8">
        <f t="shared" si="247"/>
        <v>6.73</v>
      </c>
      <c r="AR92" s="694">
        <v>0</v>
      </c>
    </row>
    <row r="93" spans="1:78">
      <c r="A93" s="34" t="s">
        <v>2455</v>
      </c>
      <c r="X93" s="272">
        <v>56.586143999999997</v>
      </c>
      <c r="Y93" s="8">
        <f t="shared" si="241"/>
        <v>56.586143999999997</v>
      </c>
      <c r="Z93" s="8">
        <f t="shared" si="242"/>
        <v>56.586143999999997</v>
      </c>
      <c r="AA93" s="8">
        <f t="shared" si="243"/>
        <v>56.586143999999997</v>
      </c>
      <c r="AB93" s="8">
        <f t="shared" si="244"/>
        <v>56.586143999999997</v>
      </c>
      <c r="AC93" s="8">
        <f t="shared" si="245"/>
        <v>56.586143999999997</v>
      </c>
      <c r="AD93" s="409">
        <f>AC93-19.02</f>
        <v>37.566143999999994</v>
      </c>
      <c r="AE93" s="269">
        <f t="shared" si="246"/>
        <v>37.566143999999994</v>
      </c>
      <c r="AF93" s="269">
        <f t="shared" si="246"/>
        <v>37.566143999999994</v>
      </c>
      <c r="AG93" s="269">
        <f t="shared" si="246"/>
        <v>37.566143999999994</v>
      </c>
      <c r="AH93" s="617">
        <v>28.24</v>
      </c>
      <c r="AI93" s="8">
        <f t="shared" ref="AI93:AQ93" si="248">AH93</f>
        <v>28.24</v>
      </c>
      <c r="AJ93" s="8">
        <f t="shared" si="248"/>
        <v>28.24</v>
      </c>
      <c r="AK93" s="8">
        <f t="shared" si="248"/>
        <v>28.24</v>
      </c>
      <c r="AL93" s="8">
        <f t="shared" si="248"/>
        <v>28.24</v>
      </c>
      <c r="AM93" s="8">
        <f t="shared" si="248"/>
        <v>28.24</v>
      </c>
      <c r="AN93" s="8">
        <f t="shared" si="248"/>
        <v>28.24</v>
      </c>
      <c r="AO93" s="8">
        <f t="shared" si="248"/>
        <v>28.24</v>
      </c>
      <c r="AP93" s="8">
        <f t="shared" si="248"/>
        <v>28.24</v>
      </c>
      <c r="AQ93" s="8">
        <f t="shared" si="248"/>
        <v>28.24</v>
      </c>
      <c r="AR93" s="693">
        <v>0</v>
      </c>
    </row>
    <row r="94" spans="1:78">
      <c r="A94" s="5" t="s">
        <v>979</v>
      </c>
      <c r="X94" s="272">
        <f>44.905479+56.586144</f>
        <v>101.491623</v>
      </c>
      <c r="Y94" s="8">
        <f t="shared" si="241"/>
        <v>101.491623</v>
      </c>
      <c r="Z94" s="8">
        <f t="shared" si="241"/>
        <v>101.491623</v>
      </c>
      <c r="AA94" s="8">
        <f t="shared" si="241"/>
        <v>101.491623</v>
      </c>
      <c r="AB94" s="8">
        <f t="shared" si="241"/>
        <v>101.491623</v>
      </c>
      <c r="AC94" s="8">
        <f t="shared" si="241"/>
        <v>101.491623</v>
      </c>
      <c r="AD94" s="409">
        <f>AC94-45.366669</f>
        <v>56.124954000000002</v>
      </c>
      <c r="AE94" s="8">
        <f t="shared" ref="AE94:AG96" si="249">AD94</f>
        <v>56.124954000000002</v>
      </c>
      <c r="AF94" s="8">
        <f t="shared" si="249"/>
        <v>56.124954000000002</v>
      </c>
      <c r="AG94" s="8">
        <f t="shared" si="249"/>
        <v>56.124954000000002</v>
      </c>
      <c r="AH94" s="617">
        <f>AG94-21.153145</f>
        <v>34.971809000000007</v>
      </c>
      <c r="AI94" s="8">
        <f t="shared" ref="AI94:AJ96" si="250">AH94</f>
        <v>34.971809000000007</v>
      </c>
      <c r="AJ94" s="8">
        <f t="shared" si="250"/>
        <v>34.971809000000007</v>
      </c>
      <c r="AK94" s="8">
        <f t="shared" ref="AK94:AM94" si="251">AJ94</f>
        <v>34.971809000000007</v>
      </c>
      <c r="AL94" s="8">
        <f t="shared" si="251"/>
        <v>34.971809000000007</v>
      </c>
      <c r="AM94" s="8">
        <f t="shared" si="251"/>
        <v>34.971809000000007</v>
      </c>
      <c r="AN94" s="8">
        <f t="shared" ref="AN94:AP94" si="252">AM94</f>
        <v>34.971809000000007</v>
      </c>
      <c r="AO94" s="8">
        <f t="shared" si="252"/>
        <v>34.971809000000007</v>
      </c>
      <c r="AP94" s="8">
        <f t="shared" si="252"/>
        <v>34.971809000000007</v>
      </c>
      <c r="AQ94" s="8">
        <f>AP94</f>
        <v>34.971809000000007</v>
      </c>
      <c r="AR94" s="693">
        <v>0</v>
      </c>
    </row>
    <row r="95" spans="1:78">
      <c r="A95" s="5" t="s">
        <v>980</v>
      </c>
      <c r="X95" s="8">
        <f>X96-X94</f>
        <v>4.7999999999999545</v>
      </c>
      <c r="Y95" s="8">
        <f t="shared" si="241"/>
        <v>4.7999999999999545</v>
      </c>
      <c r="Z95" s="8">
        <f t="shared" si="241"/>
        <v>4.7999999999999545</v>
      </c>
      <c r="AA95" s="8">
        <f t="shared" si="241"/>
        <v>4.7999999999999545</v>
      </c>
      <c r="AB95" s="8">
        <f t="shared" si="241"/>
        <v>4.7999999999999545</v>
      </c>
      <c r="AC95" s="8">
        <f t="shared" si="241"/>
        <v>4.7999999999999545</v>
      </c>
      <c r="AD95" s="8">
        <f>AD96-AD94</f>
        <v>4.7999999999999972</v>
      </c>
      <c r="AE95" s="8">
        <f t="shared" si="249"/>
        <v>4.7999999999999972</v>
      </c>
      <c r="AF95" s="8">
        <f t="shared" si="249"/>
        <v>4.7999999999999972</v>
      </c>
      <c r="AG95" s="8">
        <f t="shared" si="249"/>
        <v>4.7999999999999972</v>
      </c>
      <c r="AH95" s="8">
        <f>AH96-AH94</f>
        <v>4.7999999999999972</v>
      </c>
      <c r="AI95" s="8">
        <f t="shared" si="250"/>
        <v>4.7999999999999972</v>
      </c>
      <c r="AJ95" s="8">
        <f t="shared" si="250"/>
        <v>4.7999999999999972</v>
      </c>
      <c r="AK95" s="8">
        <f t="shared" ref="AK95:AL95" si="253">AJ95</f>
        <v>4.7999999999999972</v>
      </c>
      <c r="AL95" s="8">
        <f t="shared" si="253"/>
        <v>4.7999999999999972</v>
      </c>
      <c r="AM95" s="281">
        <f>AL95+3.5664</f>
        <v>8.366399999999997</v>
      </c>
      <c r="AN95" s="8">
        <f t="shared" ref="AN95:AQ95" si="254">AM95</f>
        <v>8.366399999999997</v>
      </c>
      <c r="AO95" s="281">
        <f>AN95+48.751557</f>
        <v>57.117956999999997</v>
      </c>
      <c r="AP95" s="8">
        <f t="shared" si="254"/>
        <v>57.117956999999997</v>
      </c>
      <c r="AQ95" s="8">
        <f t="shared" si="254"/>
        <v>57.117956999999997</v>
      </c>
      <c r="AR95" s="693">
        <f>AQ96-AQ92</f>
        <v>85.359765999999993</v>
      </c>
      <c r="AS95" s="788">
        <f>81.794665+3.5664</f>
        <v>85.361064999999996</v>
      </c>
      <c r="AT95" s="788">
        <f>81.794665+3.5664</f>
        <v>85.361064999999996</v>
      </c>
      <c r="AU95" s="788">
        <f>81.794665+3.5664</f>
        <v>85.361064999999996</v>
      </c>
      <c r="AV95" s="8">
        <f t="shared" ref="AV95:AV96" si="255">AU95</f>
        <v>85.361064999999996</v>
      </c>
      <c r="AW95" s="901">
        <f>33.043108+27.251557+3.5664</f>
        <v>63.861064999999996</v>
      </c>
      <c r="AX95" s="901">
        <v>45.2</v>
      </c>
      <c r="AY95" s="901">
        <f>AX95-16.7</f>
        <v>28.500000000000004</v>
      </c>
      <c r="AZ95" s="901">
        <f>AY95-12.5</f>
        <v>16.000000000000004</v>
      </c>
      <c r="BA95" s="8">
        <f>AZ95</f>
        <v>16.000000000000004</v>
      </c>
      <c r="BB95" s="1122">
        <v>0</v>
      </c>
      <c r="BC95" s="967">
        <f t="shared" ref="BC95" si="256">BB95</f>
        <v>0</v>
      </c>
      <c r="BD95" s="967">
        <f t="shared" ref="BD95" si="257">BC95</f>
        <v>0</v>
      </c>
      <c r="BE95" s="967">
        <f t="shared" ref="BE95" si="258">BD95</f>
        <v>0</v>
      </c>
      <c r="BF95" s="8">
        <f t="shared" ref="BF95:BF96" si="259">BE95</f>
        <v>0</v>
      </c>
      <c r="BG95" s="967">
        <f>BF95</f>
        <v>0</v>
      </c>
      <c r="BH95" s="967">
        <f t="shared" ref="BH95" si="260">BG95</f>
        <v>0</v>
      </c>
      <c r="BI95" s="967">
        <f t="shared" ref="BI95" si="261">BH95</f>
        <v>0</v>
      </c>
      <c r="BJ95" s="967">
        <f t="shared" ref="BJ95" si="262">BI95</f>
        <v>0</v>
      </c>
      <c r="BK95" s="8">
        <f t="shared" ref="BK95:BK96" si="263">BJ95</f>
        <v>0</v>
      </c>
      <c r="BL95" s="967">
        <f>BK95</f>
        <v>0</v>
      </c>
      <c r="BM95" s="967">
        <f t="shared" ref="BM95" si="264">BL95</f>
        <v>0</v>
      </c>
      <c r="BN95" s="967">
        <f t="shared" ref="BN95" si="265">BM95</f>
        <v>0</v>
      </c>
      <c r="BO95" s="967">
        <f t="shared" ref="BO95" si="266">BN95</f>
        <v>0</v>
      </c>
      <c r="BP95" s="8">
        <f t="shared" ref="BP95:BP96" si="267">BO95</f>
        <v>0</v>
      </c>
      <c r="BQ95" s="967">
        <f>BP95</f>
        <v>0</v>
      </c>
      <c r="BR95" s="967">
        <f t="shared" ref="BR95" si="268">BQ95</f>
        <v>0</v>
      </c>
      <c r="BS95" s="967">
        <f t="shared" ref="BS95" si="269">BR95</f>
        <v>0</v>
      </c>
      <c r="BT95" s="967">
        <f t="shared" ref="BT95" si="270">BS95</f>
        <v>0</v>
      </c>
      <c r="BU95" s="8">
        <f t="shared" ref="BU95:BU96" si="271">BT95</f>
        <v>0</v>
      </c>
      <c r="BV95" s="967">
        <f>BU95</f>
        <v>0</v>
      </c>
      <c r="BW95" s="967">
        <f t="shared" ref="BW95" si="272">BV95</f>
        <v>0</v>
      </c>
      <c r="BX95" s="967">
        <f t="shared" ref="BX95" si="273">BW95</f>
        <v>0</v>
      </c>
      <c r="BY95" s="967">
        <f t="shared" ref="BY95" si="274">BX95</f>
        <v>0</v>
      </c>
      <c r="BZ95" s="8">
        <f t="shared" ref="BZ95:BZ96" si="275">BY95</f>
        <v>0</v>
      </c>
    </row>
    <row r="96" spans="1:78">
      <c r="A96" s="9" t="s">
        <v>978</v>
      </c>
      <c r="B96" s="9"/>
      <c r="C96" s="9"/>
      <c r="D96" s="9"/>
      <c r="E96" s="9"/>
      <c r="F96" s="9"/>
      <c r="G96" s="9"/>
      <c r="H96" s="9"/>
      <c r="I96" s="9"/>
      <c r="J96" s="9"/>
      <c r="K96" s="9"/>
      <c r="L96" s="9"/>
      <c r="M96" s="9"/>
      <c r="N96" s="9"/>
      <c r="O96" s="9"/>
      <c r="P96" s="9"/>
      <c r="Q96" s="9"/>
      <c r="R96" s="9"/>
      <c r="S96" s="9"/>
      <c r="T96" s="9"/>
      <c r="U96" s="9"/>
      <c r="V96" s="270">
        <v>304.60604899999998</v>
      </c>
      <c r="W96" s="271">
        <f>V96</f>
        <v>304.60604899999998</v>
      </c>
      <c r="X96" s="10">
        <f>W96-X116</f>
        <v>106.29162299999996</v>
      </c>
      <c r="Y96" s="10">
        <f>X96</f>
        <v>106.29162299999996</v>
      </c>
      <c r="Z96" s="10">
        <f>Y96</f>
        <v>106.29162299999996</v>
      </c>
      <c r="AA96" s="10">
        <f>Z96</f>
        <v>106.29162299999996</v>
      </c>
      <c r="AB96" s="10">
        <f>AA96</f>
        <v>106.29162299999996</v>
      </c>
      <c r="AC96" s="277">
        <v>106.291623</v>
      </c>
      <c r="AD96" s="277">
        <f>AC96-45.366669</f>
        <v>60.924954</v>
      </c>
      <c r="AE96" s="10">
        <f t="shared" si="249"/>
        <v>60.924954</v>
      </c>
      <c r="AF96" s="10">
        <f t="shared" si="249"/>
        <v>60.924954</v>
      </c>
      <c r="AG96" s="10">
        <f t="shared" si="249"/>
        <v>60.924954</v>
      </c>
      <c r="AH96" s="277">
        <f>AG96-21.153145</f>
        <v>39.771809000000005</v>
      </c>
      <c r="AI96" s="10">
        <f t="shared" si="250"/>
        <v>39.771809000000005</v>
      </c>
      <c r="AJ96" s="10">
        <f t="shared" si="250"/>
        <v>39.771809000000005</v>
      </c>
      <c r="AK96" s="10">
        <f t="shared" ref="AK96:AL96" si="276">AJ96</f>
        <v>39.771809000000005</v>
      </c>
      <c r="AL96" s="10">
        <f t="shared" si="276"/>
        <v>39.771809000000005</v>
      </c>
      <c r="AM96" s="278">
        <f>AL96+3.5664</f>
        <v>43.338209000000006</v>
      </c>
      <c r="AN96" s="10">
        <f t="shared" ref="AN96:AQ96" si="277">AM96</f>
        <v>43.338209000000006</v>
      </c>
      <c r="AO96" s="278">
        <f>AN96+48.751557</f>
        <v>92.089765999999997</v>
      </c>
      <c r="AP96" s="10">
        <f t="shared" si="277"/>
        <v>92.089765999999997</v>
      </c>
      <c r="AQ96" s="10">
        <f t="shared" si="277"/>
        <v>92.089765999999997</v>
      </c>
      <c r="AR96" s="445">
        <f>SUM(AR94:AR95)</f>
        <v>85.359765999999993</v>
      </c>
      <c r="AS96" s="445">
        <f t="shared" ref="AS96:AU96" si="278">SUM(AS94:AS95)</f>
        <v>85.361064999999996</v>
      </c>
      <c r="AT96" s="445">
        <f t="shared" si="278"/>
        <v>85.361064999999996</v>
      </c>
      <c r="AU96" s="445">
        <f t="shared" si="278"/>
        <v>85.361064999999996</v>
      </c>
      <c r="AV96" s="10">
        <f t="shared" si="255"/>
        <v>85.361064999999996</v>
      </c>
      <c r="AW96" s="445">
        <f>SUM(AW94:AW95)</f>
        <v>63.861064999999996</v>
      </c>
      <c r="AX96" s="445">
        <f t="shared" ref="AX96" si="279">SUM(AX94:AX95)</f>
        <v>45.2</v>
      </c>
      <c r="AY96" s="445">
        <f>SUM(AY94:AY95)</f>
        <v>28.500000000000004</v>
      </c>
      <c r="AZ96" s="445">
        <f>SUM(AZ94:AZ95)</f>
        <v>16.000000000000004</v>
      </c>
      <c r="BA96" s="10">
        <f t="shared" ref="BA96" si="280">AZ96</f>
        <v>16.000000000000004</v>
      </c>
      <c r="BB96" s="445">
        <f>SUM(BB94:BB95)</f>
        <v>0</v>
      </c>
      <c r="BC96" s="445">
        <f t="shared" ref="BC96:BE96" si="281">SUM(BC94:BC95)</f>
        <v>0</v>
      </c>
      <c r="BD96" s="445">
        <f t="shared" si="281"/>
        <v>0</v>
      </c>
      <c r="BE96" s="445">
        <f t="shared" si="281"/>
        <v>0</v>
      </c>
      <c r="BF96" s="10">
        <f t="shared" si="259"/>
        <v>0</v>
      </c>
      <c r="BG96" s="445">
        <f>SUM(BG94:BG95)</f>
        <v>0</v>
      </c>
      <c r="BH96" s="445">
        <f t="shared" ref="BH96:BJ96" si="282">SUM(BH94:BH95)</f>
        <v>0</v>
      </c>
      <c r="BI96" s="445">
        <f t="shared" si="282"/>
        <v>0</v>
      </c>
      <c r="BJ96" s="445">
        <f t="shared" si="282"/>
        <v>0</v>
      </c>
      <c r="BK96" s="10">
        <f t="shared" si="263"/>
        <v>0</v>
      </c>
      <c r="BL96" s="445">
        <f>SUM(BL94:BL95)</f>
        <v>0</v>
      </c>
      <c r="BM96" s="445">
        <f t="shared" ref="BM96:BO96" si="283">SUM(BM94:BM95)</f>
        <v>0</v>
      </c>
      <c r="BN96" s="445">
        <f t="shared" si="283"/>
        <v>0</v>
      </c>
      <c r="BO96" s="445">
        <f t="shared" si="283"/>
        <v>0</v>
      </c>
      <c r="BP96" s="10">
        <f t="shared" si="267"/>
        <v>0</v>
      </c>
      <c r="BQ96" s="445">
        <f>SUM(BQ94:BQ95)</f>
        <v>0</v>
      </c>
      <c r="BR96" s="445">
        <f t="shared" ref="BR96:BT96" si="284">SUM(BR94:BR95)</f>
        <v>0</v>
      </c>
      <c r="BS96" s="445">
        <f t="shared" si="284"/>
        <v>0</v>
      </c>
      <c r="BT96" s="445">
        <f t="shared" si="284"/>
        <v>0</v>
      </c>
      <c r="BU96" s="10">
        <f t="shared" si="271"/>
        <v>0</v>
      </c>
      <c r="BV96" s="445">
        <f>SUM(BV94:BV95)</f>
        <v>0</v>
      </c>
      <c r="BW96" s="445">
        <f t="shared" ref="BW96:BY96" si="285">SUM(BW94:BW95)</f>
        <v>0</v>
      </c>
      <c r="BX96" s="445">
        <f t="shared" si="285"/>
        <v>0</v>
      </c>
      <c r="BY96" s="445">
        <f t="shared" si="285"/>
        <v>0</v>
      </c>
      <c r="BZ96" s="10">
        <f t="shared" si="275"/>
        <v>0</v>
      </c>
    </row>
    <row r="97" spans="1:78">
      <c r="X97" s="22" t="s">
        <v>1035</v>
      </c>
      <c r="AD97" s="22" t="s">
        <v>1036</v>
      </c>
      <c r="AR97" s="685" t="s">
        <v>2684</v>
      </c>
      <c r="AS97" s="618"/>
      <c r="AT97" s="618"/>
      <c r="AU97" s="618"/>
      <c r="AV97" s="618"/>
      <c r="AW97" s="618"/>
      <c r="AX97" s="618"/>
      <c r="AY97" s="618"/>
      <c r="AZ97" s="618"/>
      <c r="BA97" s="618"/>
    </row>
    <row r="98" spans="1:78">
      <c r="A98" s="1" t="s">
        <v>1034</v>
      </c>
      <c r="X98" s="31">
        <v>44.905479</v>
      </c>
      <c r="Y98" s="8">
        <f>X98</f>
        <v>44.905479</v>
      </c>
      <c r="Z98" s="8">
        <f>Y98</f>
        <v>44.905479</v>
      </c>
      <c r="AA98" s="8">
        <f>Z98</f>
        <v>44.905479</v>
      </c>
      <c r="AB98" s="8">
        <f>AA98</f>
        <v>44.905479</v>
      </c>
      <c r="AC98" s="8">
        <f>AB98</f>
        <v>44.905479</v>
      </c>
      <c r="AD98" s="31">
        <f>17.935+AD92</f>
        <v>36.490478999999993</v>
      </c>
      <c r="AE98" s="8">
        <f>AD98</f>
        <v>36.490478999999993</v>
      </c>
      <c r="AF98" s="31">
        <f>AE98+6.865</f>
        <v>43.355478999999995</v>
      </c>
      <c r="AG98" s="8">
        <f>AF98</f>
        <v>43.355478999999995</v>
      </c>
      <c r="AH98" s="31">
        <f>17.935+6.865+AH92</f>
        <v>31.529999999999998</v>
      </c>
      <c r="AI98" s="8">
        <f>AH98</f>
        <v>31.529999999999998</v>
      </c>
      <c r="AJ98" s="8">
        <f>AI98</f>
        <v>31.529999999999998</v>
      </c>
      <c r="AK98" s="8">
        <f t="shared" ref="AK98:AL98" si="286">AJ98</f>
        <v>31.529999999999998</v>
      </c>
      <c r="AL98" s="8">
        <f t="shared" si="286"/>
        <v>31.529999999999998</v>
      </c>
      <c r="AM98" s="8">
        <f t="shared" ref="AM98:AN98" si="287">AL98</f>
        <v>31.529999999999998</v>
      </c>
      <c r="AN98" s="8">
        <f t="shared" si="287"/>
        <v>31.529999999999998</v>
      </c>
      <c r="AO98" s="8">
        <f t="shared" ref="AO98:AP98" si="288">AN98</f>
        <v>31.529999999999998</v>
      </c>
      <c r="AP98" s="8">
        <f t="shared" si="288"/>
        <v>31.529999999999998</v>
      </c>
      <c r="AQ98" s="8">
        <f>AP98</f>
        <v>31.529999999999998</v>
      </c>
      <c r="AR98" s="693">
        <f>AQ98+(AR92-AQ92)-20</f>
        <v>4.7999999999999972</v>
      </c>
      <c r="AS98" s="693">
        <v>0</v>
      </c>
      <c r="AT98" s="693">
        <v>0</v>
      </c>
      <c r="AU98" s="693">
        <v>0</v>
      </c>
      <c r="AV98" s="8">
        <f t="shared" ref="AV98" si="289">AU98</f>
        <v>0</v>
      </c>
      <c r="AW98" s="968">
        <f>AV98</f>
        <v>0</v>
      </c>
      <c r="AX98" s="968">
        <f t="shared" ref="AX98" si="290">AW98</f>
        <v>0</v>
      </c>
      <c r="AY98" s="967">
        <f t="shared" ref="AY98" si="291">AX98</f>
        <v>0</v>
      </c>
      <c r="AZ98" s="967">
        <f t="shared" ref="AZ98" si="292">AY98</f>
        <v>0</v>
      </c>
      <c r="BA98" s="8">
        <f t="shared" ref="BA98" si="293">AZ98</f>
        <v>0</v>
      </c>
      <c r="BB98" s="967">
        <f>BA98</f>
        <v>0</v>
      </c>
      <c r="BC98" s="967">
        <f t="shared" ref="BC98" si="294">BB98</f>
        <v>0</v>
      </c>
      <c r="BD98" s="967">
        <f t="shared" ref="BD98" si="295">BC98</f>
        <v>0</v>
      </c>
      <c r="BE98" s="967">
        <f t="shared" ref="BE98" si="296">BD98</f>
        <v>0</v>
      </c>
      <c r="BF98" s="8">
        <f t="shared" ref="BF98" si="297">BE98</f>
        <v>0</v>
      </c>
      <c r="BG98" s="967">
        <f>BF98</f>
        <v>0</v>
      </c>
      <c r="BH98" s="967">
        <f t="shared" ref="BH98" si="298">BG98</f>
        <v>0</v>
      </c>
      <c r="BI98" s="967">
        <f t="shared" ref="BI98" si="299">BH98</f>
        <v>0</v>
      </c>
      <c r="BJ98" s="967">
        <f t="shared" ref="BJ98" si="300">BI98</f>
        <v>0</v>
      </c>
      <c r="BK98" s="8">
        <f t="shared" ref="BK98" si="301">BJ98</f>
        <v>0</v>
      </c>
      <c r="BL98" s="967">
        <f>BK98</f>
        <v>0</v>
      </c>
      <c r="BM98" s="967">
        <f t="shared" ref="BM98" si="302">BL98</f>
        <v>0</v>
      </c>
      <c r="BN98" s="967">
        <f t="shared" ref="BN98" si="303">BM98</f>
        <v>0</v>
      </c>
      <c r="BO98" s="967">
        <f t="shared" ref="BO98" si="304">BN98</f>
        <v>0</v>
      </c>
      <c r="BP98" s="8">
        <f t="shared" ref="BP98" si="305">BO98</f>
        <v>0</v>
      </c>
      <c r="BQ98" s="967">
        <f>BP98</f>
        <v>0</v>
      </c>
      <c r="BR98" s="967">
        <f t="shared" ref="BR98" si="306">BQ98</f>
        <v>0</v>
      </c>
      <c r="BS98" s="967">
        <f t="shared" ref="BS98" si="307">BR98</f>
        <v>0</v>
      </c>
      <c r="BT98" s="967">
        <f t="shared" ref="BT98" si="308">BS98</f>
        <v>0</v>
      </c>
      <c r="BU98" s="8">
        <f t="shared" ref="BU98" si="309">BT98</f>
        <v>0</v>
      </c>
      <c r="BV98" s="967">
        <f>BU98</f>
        <v>0</v>
      </c>
      <c r="BW98" s="967">
        <f t="shared" ref="BW98" si="310">BV98</f>
        <v>0</v>
      </c>
      <c r="BX98" s="967">
        <f t="shared" ref="BX98" si="311">BW98</f>
        <v>0</v>
      </c>
      <c r="BY98" s="967">
        <f t="shared" ref="BY98" si="312">BX98</f>
        <v>0</v>
      </c>
      <c r="BZ98" s="8">
        <f t="shared" ref="BZ98" si="313">BY98</f>
        <v>0</v>
      </c>
    </row>
    <row r="99" spans="1:78">
      <c r="A99" s="9" t="s">
        <v>1037</v>
      </c>
      <c r="B99" s="9"/>
      <c r="C99" s="9"/>
      <c r="D99" s="9"/>
      <c r="E99" s="9"/>
      <c r="F99" s="9"/>
      <c r="G99" s="9"/>
      <c r="H99" s="9"/>
      <c r="I99" s="9"/>
      <c r="J99" s="9"/>
      <c r="K99" s="9"/>
      <c r="L99" s="9"/>
      <c r="M99" s="9"/>
      <c r="N99" s="9"/>
      <c r="O99" s="9"/>
      <c r="P99" s="9"/>
      <c r="Q99" s="9"/>
      <c r="R99" s="9"/>
      <c r="S99" s="9"/>
      <c r="T99" s="9"/>
      <c r="U99" s="9"/>
      <c r="V99" s="10">
        <f t="shared" ref="V99:AJ99" si="314">V96-V98</f>
        <v>304.60604899999998</v>
      </c>
      <c r="W99" s="10">
        <f t="shared" si="314"/>
        <v>304.60604899999998</v>
      </c>
      <c r="X99" s="10">
        <f t="shared" si="314"/>
        <v>61.386143999999959</v>
      </c>
      <c r="Y99" s="10">
        <f t="shared" si="314"/>
        <v>61.386143999999959</v>
      </c>
      <c r="Z99" s="10">
        <f t="shared" si="314"/>
        <v>61.386143999999959</v>
      </c>
      <c r="AA99" s="10">
        <f t="shared" si="314"/>
        <v>61.386143999999959</v>
      </c>
      <c r="AB99" s="10">
        <f t="shared" si="314"/>
        <v>61.386143999999959</v>
      </c>
      <c r="AC99" s="10">
        <f t="shared" si="314"/>
        <v>61.386144000000002</v>
      </c>
      <c r="AD99" s="10">
        <f t="shared" si="314"/>
        <v>24.434475000000006</v>
      </c>
      <c r="AE99" s="10">
        <f t="shared" si="314"/>
        <v>24.434475000000006</v>
      </c>
      <c r="AF99" s="10">
        <f t="shared" si="314"/>
        <v>17.569475000000004</v>
      </c>
      <c r="AG99" s="10">
        <f t="shared" si="314"/>
        <v>17.569475000000004</v>
      </c>
      <c r="AH99" s="10">
        <f t="shared" si="314"/>
        <v>8.241809000000007</v>
      </c>
      <c r="AI99" s="10">
        <f t="shared" si="314"/>
        <v>8.241809000000007</v>
      </c>
      <c r="AJ99" s="10">
        <f t="shared" si="314"/>
        <v>8.241809000000007</v>
      </c>
      <c r="AK99" s="10">
        <f t="shared" ref="AK99:AO99" si="315">AK96-AK98</f>
        <v>8.241809000000007</v>
      </c>
      <c r="AL99" s="10">
        <f t="shared" si="315"/>
        <v>8.241809000000007</v>
      </c>
      <c r="AM99" s="10">
        <f t="shared" si="315"/>
        <v>11.808209000000009</v>
      </c>
      <c r="AN99" s="10">
        <f t="shared" si="315"/>
        <v>11.808209000000009</v>
      </c>
      <c r="AO99" s="10">
        <f t="shared" si="315"/>
        <v>60.559765999999996</v>
      </c>
      <c r="AP99" s="10">
        <f t="shared" ref="AP99:AQ99" si="316">AP96-AP98</f>
        <v>60.559765999999996</v>
      </c>
      <c r="AQ99" s="10">
        <f t="shared" si="316"/>
        <v>60.559765999999996</v>
      </c>
      <c r="AR99" s="10">
        <f t="shared" ref="AR99" si="317">AR96-AR98</f>
        <v>80.559765999999996</v>
      </c>
      <c r="AS99" s="10">
        <f t="shared" ref="AS99:AW99" si="318">AS96-AS98</f>
        <v>85.361064999999996</v>
      </c>
      <c r="AT99" s="10">
        <f t="shared" si="318"/>
        <v>85.361064999999996</v>
      </c>
      <c r="AU99" s="10">
        <f t="shared" si="318"/>
        <v>85.361064999999996</v>
      </c>
      <c r="AV99" s="10">
        <f t="shared" si="318"/>
        <v>85.361064999999996</v>
      </c>
      <c r="AW99" s="10">
        <f t="shared" si="318"/>
        <v>63.861064999999996</v>
      </c>
      <c r="AX99" s="10">
        <f t="shared" ref="AX99:BB99" si="319">AX96-AX98</f>
        <v>45.2</v>
      </c>
      <c r="AY99" s="10">
        <f t="shared" si="319"/>
        <v>28.500000000000004</v>
      </c>
      <c r="AZ99" s="10">
        <f t="shared" si="319"/>
        <v>16.000000000000004</v>
      </c>
      <c r="BA99" s="10">
        <f t="shared" si="319"/>
        <v>16.000000000000004</v>
      </c>
      <c r="BB99" s="10">
        <f t="shared" si="319"/>
        <v>0</v>
      </c>
      <c r="BC99" s="10">
        <f t="shared" ref="BC99:BU99" si="320">BC96-BC98</f>
        <v>0</v>
      </c>
      <c r="BD99" s="10">
        <f t="shared" si="320"/>
        <v>0</v>
      </c>
      <c r="BE99" s="10">
        <f t="shared" si="320"/>
        <v>0</v>
      </c>
      <c r="BF99" s="10">
        <f t="shared" si="320"/>
        <v>0</v>
      </c>
      <c r="BG99" s="10">
        <f t="shared" si="320"/>
        <v>0</v>
      </c>
      <c r="BH99" s="10">
        <f t="shared" si="320"/>
        <v>0</v>
      </c>
      <c r="BI99" s="10">
        <f t="shared" si="320"/>
        <v>0</v>
      </c>
      <c r="BJ99" s="10">
        <f t="shared" si="320"/>
        <v>0</v>
      </c>
      <c r="BK99" s="10">
        <f t="shared" si="320"/>
        <v>0</v>
      </c>
      <c r="BL99" s="10">
        <f t="shared" si="320"/>
        <v>0</v>
      </c>
      <c r="BM99" s="10">
        <f t="shared" si="320"/>
        <v>0</v>
      </c>
      <c r="BN99" s="10">
        <f t="shared" si="320"/>
        <v>0</v>
      </c>
      <c r="BO99" s="10">
        <f t="shared" si="320"/>
        <v>0</v>
      </c>
      <c r="BP99" s="10">
        <f t="shared" si="320"/>
        <v>0</v>
      </c>
      <c r="BQ99" s="10">
        <f t="shared" si="320"/>
        <v>0</v>
      </c>
      <c r="BR99" s="10">
        <f t="shared" si="320"/>
        <v>0</v>
      </c>
      <c r="BS99" s="10">
        <f t="shared" si="320"/>
        <v>0</v>
      </c>
      <c r="BT99" s="10">
        <f t="shared" si="320"/>
        <v>0</v>
      </c>
      <c r="BU99" s="10">
        <f t="shared" si="320"/>
        <v>0</v>
      </c>
      <c r="BV99" s="10">
        <f t="shared" ref="BV99:BZ99" si="321">BV96-BV98</f>
        <v>0</v>
      </c>
      <c r="BW99" s="10">
        <f t="shared" si="321"/>
        <v>0</v>
      </c>
      <c r="BX99" s="10">
        <f t="shared" si="321"/>
        <v>0</v>
      </c>
      <c r="BY99" s="10">
        <f t="shared" si="321"/>
        <v>0</v>
      </c>
      <c r="BZ99" s="10">
        <f t="shared" si="321"/>
        <v>0</v>
      </c>
    </row>
    <row r="100" spans="1:78">
      <c r="A100" s="1" t="s">
        <v>1038</v>
      </c>
      <c r="V100" s="16">
        <f t="shared" ref="V100:BA100" si="322">V99/V136</f>
        <v>0.24821136421034751</v>
      </c>
      <c r="W100" s="16">
        <f t="shared" si="322"/>
        <v>0.24821136421034751</v>
      </c>
      <c r="X100" s="16">
        <f t="shared" si="322"/>
        <v>4.9611419344254053E-2</v>
      </c>
      <c r="Y100" s="16">
        <f t="shared" si="322"/>
        <v>4.9486652040817994E-2</v>
      </c>
      <c r="Z100" s="16">
        <f t="shared" si="322"/>
        <v>4.9611419344254053E-2</v>
      </c>
      <c r="AA100" s="16">
        <f t="shared" si="322"/>
        <v>4.92360160058785E-2</v>
      </c>
      <c r="AB100" s="16">
        <f t="shared" si="322"/>
        <v>4.92360160058785E-2</v>
      </c>
      <c r="AC100" s="16">
        <f t="shared" si="322"/>
        <v>4.9129417613433701E-2</v>
      </c>
      <c r="AD100" s="16">
        <f t="shared" si="322"/>
        <v>1.9538607996255213E-2</v>
      </c>
      <c r="AE100" s="16">
        <f>AE99/AE136</f>
        <v>1.9535840553951668E-2</v>
      </c>
      <c r="AF100" s="16">
        <f t="shared" si="322"/>
        <v>1.4017981530657735E-2</v>
      </c>
      <c r="AG100" s="16">
        <f t="shared" si="322"/>
        <v>1.4017981530657735E-2</v>
      </c>
      <c r="AH100" s="16">
        <f t="shared" si="322"/>
        <v>6.5723626819482253E-3</v>
      </c>
      <c r="AI100" s="16">
        <f t="shared" si="322"/>
        <v>6.5928964241584141E-3</v>
      </c>
      <c r="AJ100" s="16">
        <f t="shared" si="322"/>
        <v>6.679153683284725E-3</v>
      </c>
      <c r="AK100" s="16">
        <f t="shared" si="322"/>
        <v>6.8413996365432658E-3</v>
      </c>
      <c r="AL100" s="16">
        <f t="shared" si="322"/>
        <v>6.8413996365432658E-3</v>
      </c>
      <c r="AM100" s="16">
        <f t="shared" si="322"/>
        <v>1.0003576350794307E-2</v>
      </c>
      <c r="AN100" s="16">
        <f t="shared" si="322"/>
        <v>1.0162147341044623E-2</v>
      </c>
      <c r="AO100" s="16">
        <f t="shared" si="322"/>
        <v>5.0647650510184092E-2</v>
      </c>
      <c r="AP100" s="16">
        <f t="shared" si="322"/>
        <v>5.144215312201688E-2</v>
      </c>
      <c r="AQ100" s="16">
        <f t="shared" si="322"/>
        <v>5.144215312201688E-2</v>
      </c>
      <c r="AR100" s="16">
        <f t="shared" si="322"/>
        <v>6.892679204004569E-2</v>
      </c>
      <c r="AS100" s="16">
        <f t="shared" si="322"/>
        <v>7.3295590399098803E-2</v>
      </c>
      <c r="AT100" s="16">
        <f t="shared" si="322"/>
        <v>7.4554943481022623E-2</v>
      </c>
      <c r="AU100" s="16">
        <f t="shared" si="322"/>
        <v>7.5053279294216194E-2</v>
      </c>
      <c r="AV100" s="16">
        <f t="shared" si="322"/>
        <v>7.5053279294216194E-2</v>
      </c>
      <c r="AW100" s="16">
        <f t="shared" si="322"/>
        <v>5.6642006293174958E-2</v>
      </c>
      <c r="AX100" s="16">
        <f t="shared" si="322"/>
        <v>4.0411039638008642E-2</v>
      </c>
      <c r="AY100" s="16">
        <f t="shared" si="322"/>
        <v>2.5746870155582403E-2</v>
      </c>
      <c r="AZ100" s="16">
        <f t="shared" si="322"/>
        <v>1.4758498336693586E-2</v>
      </c>
      <c r="BA100" s="16">
        <f t="shared" si="322"/>
        <v>1.4758498336693586E-2</v>
      </c>
      <c r="BB100" s="16">
        <f t="shared" ref="BB100:BZ100" si="323">BB99/BB136</f>
        <v>0</v>
      </c>
      <c r="BC100" s="16">
        <f t="shared" si="323"/>
        <v>0</v>
      </c>
      <c r="BD100" s="16">
        <f t="shared" si="323"/>
        <v>0</v>
      </c>
      <c r="BE100" s="16">
        <f t="shared" si="323"/>
        <v>0</v>
      </c>
      <c r="BF100" s="16">
        <f t="shared" si="323"/>
        <v>0</v>
      </c>
      <c r="BG100" s="16">
        <f t="shared" si="323"/>
        <v>0</v>
      </c>
      <c r="BH100" s="16">
        <f t="shared" si="323"/>
        <v>0</v>
      </c>
      <c r="BI100" s="16">
        <f t="shared" si="323"/>
        <v>0</v>
      </c>
      <c r="BJ100" s="16">
        <f t="shared" si="323"/>
        <v>0</v>
      </c>
      <c r="BK100" s="16">
        <f t="shared" si="323"/>
        <v>0</v>
      </c>
      <c r="BL100" s="16">
        <f t="shared" si="323"/>
        <v>0</v>
      </c>
      <c r="BM100" s="16">
        <f t="shared" si="323"/>
        <v>0</v>
      </c>
      <c r="BN100" s="16">
        <f t="shared" si="323"/>
        <v>0</v>
      </c>
      <c r="BO100" s="16">
        <f t="shared" si="323"/>
        <v>0</v>
      </c>
      <c r="BP100" s="16">
        <f t="shared" si="323"/>
        <v>0</v>
      </c>
      <c r="BQ100" s="16">
        <f t="shared" si="323"/>
        <v>0</v>
      </c>
      <c r="BR100" s="16">
        <f t="shared" si="323"/>
        <v>0</v>
      </c>
      <c r="BS100" s="16">
        <f t="shared" si="323"/>
        <v>0</v>
      </c>
      <c r="BT100" s="16">
        <f t="shared" si="323"/>
        <v>0</v>
      </c>
      <c r="BU100" s="16">
        <f t="shared" si="323"/>
        <v>0</v>
      </c>
      <c r="BV100" s="16">
        <f t="shared" si="323"/>
        <v>0</v>
      </c>
      <c r="BW100" s="16">
        <f t="shared" si="323"/>
        <v>0</v>
      </c>
      <c r="BX100" s="16">
        <f t="shared" si="323"/>
        <v>0</v>
      </c>
      <c r="BY100" s="16">
        <f t="shared" si="323"/>
        <v>0</v>
      </c>
      <c r="BZ100" s="16">
        <f t="shared" si="323"/>
        <v>0</v>
      </c>
    </row>
    <row r="101" spans="1:78">
      <c r="AM101" s="98" t="s">
        <v>1045</v>
      </c>
      <c r="AN101" s="71"/>
      <c r="AO101" s="71"/>
      <c r="AP101" s="71"/>
      <c r="AQ101" s="71"/>
    </row>
    <row r="102" spans="1:78">
      <c r="A102" s="1" t="s">
        <v>1044</v>
      </c>
      <c r="V102" s="274">
        <v>3.5663999999999998</v>
      </c>
      <c r="W102" s="279">
        <f>V102</f>
        <v>3.5663999999999998</v>
      </c>
      <c r="X102" s="279">
        <f t="shared" ref="X102:AL102" si="324">W102</f>
        <v>3.5663999999999998</v>
      </c>
      <c r="Y102" s="279">
        <f t="shared" si="324"/>
        <v>3.5663999999999998</v>
      </c>
      <c r="Z102" s="279">
        <f t="shared" si="324"/>
        <v>3.5663999999999998</v>
      </c>
      <c r="AA102" s="279">
        <f t="shared" si="324"/>
        <v>3.5663999999999998</v>
      </c>
      <c r="AB102" s="279">
        <f t="shared" si="324"/>
        <v>3.5663999999999998</v>
      </c>
      <c r="AC102" s="279">
        <f t="shared" si="324"/>
        <v>3.5663999999999998</v>
      </c>
      <c r="AD102" s="279">
        <f t="shared" si="324"/>
        <v>3.5663999999999998</v>
      </c>
      <c r="AE102" s="279">
        <f t="shared" si="324"/>
        <v>3.5663999999999998</v>
      </c>
      <c r="AF102" s="279">
        <f t="shared" si="324"/>
        <v>3.5663999999999998</v>
      </c>
      <c r="AG102" s="279">
        <f t="shared" si="324"/>
        <v>3.5663999999999998</v>
      </c>
      <c r="AH102" s="279">
        <f t="shared" si="324"/>
        <v>3.5663999999999998</v>
      </c>
      <c r="AI102" s="279">
        <f t="shared" si="324"/>
        <v>3.5663999999999998</v>
      </c>
      <c r="AJ102" s="279">
        <f t="shared" si="324"/>
        <v>3.5663999999999998</v>
      </c>
      <c r="AK102" s="279">
        <f t="shared" si="324"/>
        <v>3.5663999999999998</v>
      </c>
      <c r="AL102" s="279">
        <f t="shared" si="324"/>
        <v>3.5663999999999998</v>
      </c>
      <c r="AM102" s="280"/>
    </row>
    <row r="103" spans="1:78">
      <c r="A103" s="1" t="s">
        <v>1017</v>
      </c>
      <c r="V103" s="272">
        <v>48.751556999999998</v>
      </c>
      <c r="W103" s="8">
        <f>V103</f>
        <v>48.751556999999998</v>
      </c>
      <c r="X103" s="8">
        <f t="shared" ref="X103:AJ103" si="325">W103</f>
        <v>48.751556999999998</v>
      </c>
      <c r="Y103" s="8">
        <f t="shared" si="325"/>
        <v>48.751556999999998</v>
      </c>
      <c r="Z103" s="8">
        <f t="shared" si="325"/>
        <v>48.751556999999998</v>
      </c>
      <c r="AA103" s="8">
        <f t="shared" si="325"/>
        <v>48.751556999999998</v>
      </c>
      <c r="AB103" s="8">
        <f t="shared" si="325"/>
        <v>48.751556999999998</v>
      </c>
      <c r="AC103" s="8">
        <f t="shared" si="325"/>
        <v>48.751556999999998</v>
      </c>
      <c r="AD103" s="8">
        <f t="shared" si="325"/>
        <v>48.751556999999998</v>
      </c>
      <c r="AE103" s="8">
        <f t="shared" si="325"/>
        <v>48.751556999999998</v>
      </c>
      <c r="AF103" s="8">
        <f t="shared" si="325"/>
        <v>48.751556999999998</v>
      </c>
      <c r="AG103" s="8">
        <f t="shared" si="325"/>
        <v>48.751556999999998</v>
      </c>
      <c r="AH103" s="8">
        <f t="shared" si="325"/>
        <v>48.751556999999998</v>
      </c>
      <c r="AI103" s="8">
        <f t="shared" si="325"/>
        <v>48.751556999999998</v>
      </c>
      <c r="AJ103" s="8">
        <f t="shared" si="325"/>
        <v>48.751556999999998</v>
      </c>
      <c r="AK103" s="8">
        <f t="shared" ref="AK103:AN103" si="326">AJ103</f>
        <v>48.751556999999998</v>
      </c>
      <c r="AL103" s="8">
        <f t="shared" si="326"/>
        <v>48.751556999999998</v>
      </c>
      <c r="AM103" s="8">
        <f t="shared" si="326"/>
        <v>48.751556999999998</v>
      </c>
      <c r="AN103" s="8">
        <f t="shared" si="326"/>
        <v>48.751556999999998</v>
      </c>
      <c r="AO103" s="280"/>
    </row>
    <row r="104" spans="1:78">
      <c r="A104" s="1" t="s">
        <v>1039</v>
      </c>
      <c r="V104" s="16">
        <f t="shared" ref="V104:BA104" si="327">(V99+V102+V103)/(V136+V102+V103)</f>
        <v>0.27895099836557041</v>
      </c>
      <c r="W104" s="16">
        <f t="shared" si="327"/>
        <v>0.27895099836557041</v>
      </c>
      <c r="X104" s="16">
        <f t="shared" si="327"/>
        <v>8.8166159522372861E-2</v>
      </c>
      <c r="Y104" s="16">
        <f t="shared" si="327"/>
        <v>8.7953404477490602E-2</v>
      </c>
      <c r="Z104" s="16">
        <f t="shared" si="327"/>
        <v>8.8166159522372861E-2</v>
      </c>
      <c r="AA104" s="16">
        <f t="shared" si="327"/>
        <v>8.7525884981562593E-2</v>
      </c>
      <c r="AB104" s="16">
        <f t="shared" si="327"/>
        <v>8.7525884981562593E-2</v>
      </c>
      <c r="AC104" s="16">
        <f t="shared" si="327"/>
        <v>8.7344002880622704E-2</v>
      </c>
      <c r="AD104" s="16">
        <f t="shared" si="327"/>
        <v>5.8909284119001024E-2</v>
      </c>
      <c r="AE104" s="16">
        <f t="shared" si="327"/>
        <v>5.8901275232060693E-2</v>
      </c>
      <c r="AF104" s="16">
        <f t="shared" si="327"/>
        <v>5.3526079969184764E-2</v>
      </c>
      <c r="AG104" s="16">
        <f t="shared" si="327"/>
        <v>5.3526079969184764E-2</v>
      </c>
      <c r="AH104" s="16">
        <f t="shared" si="327"/>
        <v>4.6358774102365989E-2</v>
      </c>
      <c r="AI104" s="16">
        <f t="shared" si="327"/>
        <v>4.6497792721057682E-2</v>
      </c>
      <c r="AJ104" s="16">
        <f t="shared" si="327"/>
        <v>4.7081396363889555E-2</v>
      </c>
      <c r="AK104" s="16">
        <f t="shared" si="327"/>
        <v>4.8177468519804784E-2</v>
      </c>
      <c r="AL104" s="16">
        <f t="shared" si="327"/>
        <v>4.8177468519804784E-2</v>
      </c>
      <c r="AM104" s="16">
        <f t="shared" si="327"/>
        <v>4.9269618006562675E-2</v>
      </c>
      <c r="AN104" s="16">
        <f t="shared" si="327"/>
        <v>5.0019164244511354E-2</v>
      </c>
      <c r="AO104" s="16">
        <f t="shared" si="327"/>
        <v>5.0647650510184092E-2</v>
      </c>
      <c r="AP104" s="16">
        <f t="shared" si="327"/>
        <v>5.144215312201688E-2</v>
      </c>
      <c r="AQ104" s="16">
        <f t="shared" si="327"/>
        <v>5.144215312201688E-2</v>
      </c>
      <c r="AR104" s="16">
        <f t="shared" si="327"/>
        <v>6.892679204004569E-2</v>
      </c>
      <c r="AS104" s="16">
        <f t="shared" si="327"/>
        <v>7.3295590399098803E-2</v>
      </c>
      <c r="AT104" s="16">
        <f t="shared" si="327"/>
        <v>7.4554943481022623E-2</v>
      </c>
      <c r="AU104" s="16">
        <f t="shared" si="327"/>
        <v>7.5053279294216194E-2</v>
      </c>
      <c r="AV104" s="16">
        <f t="shared" si="327"/>
        <v>7.5053279294216194E-2</v>
      </c>
      <c r="AW104" s="16">
        <f t="shared" si="327"/>
        <v>5.6642006293174958E-2</v>
      </c>
      <c r="AX104" s="16">
        <f t="shared" si="327"/>
        <v>4.0411039638008642E-2</v>
      </c>
      <c r="AY104" s="16">
        <f t="shared" si="327"/>
        <v>2.5746870155582403E-2</v>
      </c>
      <c r="AZ104" s="16">
        <f t="shared" si="327"/>
        <v>1.4758498336693586E-2</v>
      </c>
      <c r="BA104" s="16">
        <f t="shared" si="327"/>
        <v>1.4758498336693586E-2</v>
      </c>
      <c r="BB104" s="16">
        <f t="shared" ref="BB104:BZ104" si="328">(BB99+BB102+BB103)/(BB136+BB102+BB103)</f>
        <v>0</v>
      </c>
      <c r="BC104" s="16">
        <f t="shared" si="328"/>
        <v>0</v>
      </c>
      <c r="BD104" s="16">
        <f t="shared" si="328"/>
        <v>0</v>
      </c>
      <c r="BE104" s="16">
        <f t="shared" si="328"/>
        <v>0</v>
      </c>
      <c r="BF104" s="16">
        <f t="shared" si="328"/>
        <v>0</v>
      </c>
      <c r="BG104" s="16">
        <f t="shared" si="328"/>
        <v>0</v>
      </c>
      <c r="BH104" s="16">
        <f t="shared" si="328"/>
        <v>0</v>
      </c>
      <c r="BI104" s="16">
        <f t="shared" si="328"/>
        <v>0</v>
      </c>
      <c r="BJ104" s="16">
        <f t="shared" si="328"/>
        <v>0</v>
      </c>
      <c r="BK104" s="16">
        <f t="shared" si="328"/>
        <v>0</v>
      </c>
      <c r="BL104" s="16">
        <f t="shared" si="328"/>
        <v>0</v>
      </c>
      <c r="BM104" s="16">
        <f t="shared" si="328"/>
        <v>0</v>
      </c>
      <c r="BN104" s="16">
        <f t="shared" si="328"/>
        <v>0</v>
      </c>
      <c r="BO104" s="16">
        <f t="shared" si="328"/>
        <v>0</v>
      </c>
      <c r="BP104" s="16">
        <f t="shared" si="328"/>
        <v>0</v>
      </c>
      <c r="BQ104" s="16">
        <f t="shared" si="328"/>
        <v>0</v>
      </c>
      <c r="BR104" s="16">
        <f t="shared" si="328"/>
        <v>0</v>
      </c>
      <c r="BS104" s="16">
        <f t="shared" si="328"/>
        <v>0</v>
      </c>
      <c r="BT104" s="16">
        <f t="shared" si="328"/>
        <v>0</v>
      </c>
      <c r="BU104" s="16">
        <f t="shared" si="328"/>
        <v>0</v>
      </c>
      <c r="BV104" s="16">
        <f t="shared" si="328"/>
        <v>0</v>
      </c>
      <c r="BW104" s="16">
        <f t="shared" si="328"/>
        <v>0</v>
      </c>
      <c r="BX104" s="16">
        <f t="shared" si="328"/>
        <v>0</v>
      </c>
      <c r="BY104" s="16">
        <f t="shared" si="328"/>
        <v>0</v>
      </c>
      <c r="BZ104" s="16">
        <f t="shared" si="328"/>
        <v>0</v>
      </c>
    </row>
    <row r="105" spans="1:78">
      <c r="AO105" s="98" t="s">
        <v>1046</v>
      </c>
      <c r="AP105" s="72"/>
      <c r="AQ105" s="72"/>
      <c r="AR105" s="72"/>
      <c r="AZ105" s="714">
        <f>AZ100</f>
        <v>1.4758498336693586E-2</v>
      </c>
      <c r="BA105" s="713" t="s">
        <v>2721</v>
      </c>
    </row>
    <row r="106" spans="1:78">
      <c r="A106" s="1" t="s">
        <v>2720</v>
      </c>
      <c r="AZ106" s="269">
        <f>AZ99-$AZ$105*AZ136</f>
        <v>0</v>
      </c>
      <c r="BA106" s="269">
        <f t="shared" ref="BA106:BZ106" si="329">BA99-$AZ$105*BA136</f>
        <v>0</v>
      </c>
      <c r="BB106" s="269">
        <f t="shared" si="329"/>
        <v>-15.907278130015122</v>
      </c>
      <c r="BC106" s="269">
        <f t="shared" si="329"/>
        <v>-15.817686756194949</v>
      </c>
      <c r="BD106" s="269">
        <f t="shared" si="329"/>
        <v>-15.731134699039538</v>
      </c>
      <c r="BE106" s="269">
        <f t="shared" si="329"/>
        <v>-15.599087581534899</v>
      </c>
      <c r="BF106" s="269">
        <f t="shared" si="329"/>
        <v>-15.599087581534899</v>
      </c>
      <c r="BG106" s="269">
        <f t="shared" si="329"/>
        <v>-15.471316355753794</v>
      </c>
      <c r="BH106" s="269">
        <f t="shared" si="329"/>
        <v>-15.347696481160586</v>
      </c>
      <c r="BI106" s="269">
        <f t="shared" si="329"/>
        <v>-15.228107044613882</v>
      </c>
      <c r="BJ106" s="269">
        <f t="shared" si="329"/>
        <v>-14.981995766477954</v>
      </c>
      <c r="BK106" s="269">
        <f t="shared" si="329"/>
        <v>-14.981995766477954</v>
      </c>
      <c r="BL106" s="269">
        <f t="shared" si="329"/>
        <v>-14.743482637171327</v>
      </c>
      <c r="BM106" s="269">
        <f t="shared" si="329"/>
        <v>-14.512346351388292</v>
      </c>
      <c r="BN106" s="269">
        <f t="shared" si="329"/>
        <v>-14.288372049608743</v>
      </c>
      <c r="BO106" s="269">
        <f t="shared" si="329"/>
        <v>-14.069078783125592</v>
      </c>
      <c r="BP106" s="269">
        <f t="shared" si="329"/>
        <v>-14.069078783125592</v>
      </c>
      <c r="BQ106" s="269">
        <f t="shared" si="329"/>
        <v>-13.854374766933025</v>
      </c>
      <c r="BR106" s="269">
        <f t="shared" si="329"/>
        <v>-13.644170015731229</v>
      </c>
      <c r="BS106" s="269">
        <f t="shared" si="329"/>
        <v>-13.438376308638031</v>
      </c>
      <c r="BT106" s="269">
        <f t="shared" si="329"/>
        <v>-13.236907154592476</v>
      </c>
      <c r="BU106" s="269">
        <f t="shared" si="329"/>
        <v>-13.236907154592476</v>
      </c>
      <c r="BV106" s="269">
        <f t="shared" si="329"/>
        <v>-13.03967775843677</v>
      </c>
      <c r="BW106" s="269">
        <f t="shared" si="329"/>
        <v>-12.84660498766327</v>
      </c>
      <c r="BX106" s="269">
        <f t="shared" si="329"/>
        <v>-12.657607339813497</v>
      </c>
      <c r="BY106" s="269">
        <f t="shared" si="329"/>
        <v>-12.546918602288294</v>
      </c>
      <c r="BZ106" s="269">
        <f t="shared" si="329"/>
        <v>-12.546918602288294</v>
      </c>
    </row>
    <row r="107" spans="1:78">
      <c r="A107" s="135" t="s">
        <v>2722</v>
      </c>
      <c r="AZ107" s="715">
        <f>AZ106-AY106</f>
        <v>0</v>
      </c>
      <c r="BA107" s="269">
        <f>SUM(AW107:AZ107)</f>
        <v>0</v>
      </c>
      <c r="BB107" s="715">
        <f>BB106-BA106</f>
        <v>-15.907278130015122</v>
      </c>
      <c r="BC107" s="715">
        <f>BC106-BB106</f>
        <v>8.9591373820173459E-2</v>
      </c>
      <c r="BD107" s="715">
        <f>BD106-BC106</f>
        <v>8.6552057155410367E-2</v>
      </c>
      <c r="BE107" s="715">
        <f>BE106-BD106</f>
        <v>0.13204711750463893</v>
      </c>
      <c r="BF107" s="269">
        <f>SUM(BB107:BE107)</f>
        <v>-15.599087581534899</v>
      </c>
      <c r="BG107" s="715">
        <f>BG106-BF106</f>
        <v>0.127771225781105</v>
      </c>
      <c r="BH107" s="715">
        <f>BH106-BG106</f>
        <v>0.12361987459320822</v>
      </c>
      <c r="BI107" s="715">
        <f>BI106-BH106</f>
        <v>0.11958943654670406</v>
      </c>
      <c r="BJ107" s="715">
        <f>BJ106-BI106</f>
        <v>0.24611127813592759</v>
      </c>
      <c r="BK107" s="269">
        <f>SUM(BG107:BJ107)</f>
        <v>0.61709181505694488</v>
      </c>
      <c r="BL107" s="715">
        <f>BL106-BK106</f>
        <v>0.23851312930662694</v>
      </c>
      <c r="BM107" s="715">
        <f>BM106-BL106</f>
        <v>0.23113628578303569</v>
      </c>
      <c r="BN107" s="715">
        <f>BN106-BM106</f>
        <v>0.22397430177954902</v>
      </c>
      <c r="BO107" s="715">
        <f>BO106-BN106</f>
        <v>0.21929326648315062</v>
      </c>
      <c r="BP107" s="269">
        <f>SUM(BL107:BO107)</f>
        <v>0.91291698335236227</v>
      </c>
      <c r="BQ107" s="715">
        <f>BQ106-BP106</f>
        <v>0.21470401619256663</v>
      </c>
      <c r="BR107" s="715">
        <f>BR106-BQ106</f>
        <v>0.21020475120179682</v>
      </c>
      <c r="BS107" s="715">
        <f>BS106-BR106</f>
        <v>0.20579370709319811</v>
      </c>
      <c r="BT107" s="715">
        <f>BT106-BS106</f>
        <v>0.20146915404555443</v>
      </c>
      <c r="BU107" s="269">
        <f>SUM(BQ107:BT107)</f>
        <v>0.83217162853311599</v>
      </c>
      <c r="BV107" s="715">
        <f>BV106-BU106</f>
        <v>0.19722939615570567</v>
      </c>
      <c r="BW107" s="715">
        <f>BW106-BV106</f>
        <v>0.19307277077350093</v>
      </c>
      <c r="BX107" s="715">
        <f>BX106-BW106</f>
        <v>0.18899764784977258</v>
      </c>
      <c r="BY107" s="715">
        <f>BY106-BX106</f>
        <v>0.11068873752520325</v>
      </c>
      <c r="BZ107" s="269">
        <f>SUM(BV107:BY107)</f>
        <v>0.68998855230418243</v>
      </c>
    </row>
    <row r="108" spans="1:78">
      <c r="A108" s="135" t="s">
        <v>2723</v>
      </c>
      <c r="AZ108" s="8">
        <f>MROUND(AZ107*AZ140, 5)</f>
        <v>0</v>
      </c>
      <c r="BA108" s="8">
        <f>SUM(AW108:AZ108)</f>
        <v>0</v>
      </c>
      <c r="BB108" s="8" t="e">
        <f t="shared" ref="BB108:BE108" si="330">MROUND(BB107*BB140, 5)</f>
        <v>#NUM!</v>
      </c>
      <c r="BC108" s="8">
        <f t="shared" si="330"/>
        <v>20</v>
      </c>
      <c r="BD108" s="8">
        <f t="shared" si="330"/>
        <v>20</v>
      </c>
      <c r="BE108" s="8">
        <f t="shared" si="330"/>
        <v>30</v>
      </c>
      <c r="BF108" s="8" t="e">
        <f>SUM(BB108:BE108)</f>
        <v>#NUM!</v>
      </c>
      <c r="BG108" s="8">
        <f t="shared" ref="BG108" si="331">MROUND(BG107*BG140, 5)</f>
        <v>30</v>
      </c>
      <c r="BH108" s="8">
        <f t="shared" ref="BH108" si="332">MROUND(BH107*BH140, 5)</f>
        <v>30</v>
      </c>
      <c r="BI108" s="8">
        <f t="shared" ref="BI108" si="333">MROUND(BI107*BI140, 5)</f>
        <v>30</v>
      </c>
      <c r="BJ108" s="8">
        <f t="shared" ref="BJ108" si="334">MROUND(BJ107*BJ140, 5)</f>
        <v>60</v>
      </c>
      <c r="BK108" s="8">
        <f>SUM(BG108:BJ108)</f>
        <v>150</v>
      </c>
      <c r="BL108" s="8">
        <f t="shared" ref="BL108" si="335">MROUND(BL107*BL140, 5)</f>
        <v>60</v>
      </c>
      <c r="BM108" s="8">
        <f t="shared" ref="BM108" si="336">MROUND(BM107*BM140, 5)</f>
        <v>60</v>
      </c>
      <c r="BN108" s="8">
        <f t="shared" ref="BN108" si="337">MROUND(BN107*BN140, 5)</f>
        <v>60</v>
      </c>
      <c r="BO108" s="8">
        <f t="shared" ref="BO108" si="338">MROUND(BO107*BO140, 5)</f>
        <v>60</v>
      </c>
      <c r="BP108" s="8">
        <f>SUM(BL108:BO108)</f>
        <v>240</v>
      </c>
      <c r="BQ108" s="8">
        <f t="shared" ref="BQ108" si="339">MROUND(BQ107*BQ140, 5)</f>
        <v>60</v>
      </c>
      <c r="BR108" s="8">
        <f t="shared" ref="BR108" si="340">MROUND(BR107*BR140, 5)</f>
        <v>60</v>
      </c>
      <c r="BS108" s="8">
        <f t="shared" ref="BS108" si="341">MROUND(BS107*BS140, 5)</f>
        <v>60</v>
      </c>
      <c r="BT108" s="8">
        <f t="shared" ref="BT108" si="342">MROUND(BT107*BT140, 5)</f>
        <v>60</v>
      </c>
      <c r="BU108" s="8">
        <f>SUM(BQ108:BT108)</f>
        <v>240</v>
      </c>
      <c r="BV108" s="8">
        <f t="shared" ref="BV108" si="343">MROUND(BV107*BV140, 5)</f>
        <v>60</v>
      </c>
      <c r="BW108" s="8">
        <f t="shared" ref="BW108" si="344">MROUND(BW107*BW140, 5)</f>
        <v>60</v>
      </c>
      <c r="BX108" s="8">
        <f t="shared" ref="BX108" si="345">MROUND(BX107*BX140, 5)</f>
        <v>60</v>
      </c>
      <c r="BY108" s="8">
        <f t="shared" ref="BY108" si="346">MROUND(BY107*BY140, 5)</f>
        <v>35</v>
      </c>
      <c r="BZ108" s="8">
        <f>SUM(BV108:BY108)</f>
        <v>215</v>
      </c>
    </row>
    <row r="110" spans="1:78">
      <c r="A110" s="3" t="s">
        <v>1018</v>
      </c>
    </row>
    <row r="111" spans="1:78" hidden="1" outlineLevel="1"/>
    <row r="112" spans="1:78" hidden="1" outlineLevel="1">
      <c r="A112" s="5" t="s">
        <v>1019</v>
      </c>
      <c r="X112" s="272">
        <v>154.14702600000001</v>
      </c>
    </row>
    <row r="113" spans="1:24" hidden="1" outlineLevel="1">
      <c r="A113" s="5" t="s">
        <v>1020</v>
      </c>
      <c r="X113" s="272">
        <v>19.417400000000001</v>
      </c>
    </row>
    <row r="114" spans="1:24" hidden="1" outlineLevel="1">
      <c r="A114" s="5" t="s">
        <v>1021</v>
      </c>
      <c r="X114" s="272">
        <v>5</v>
      </c>
    </row>
    <row r="115" spans="1:24" hidden="1" outlineLevel="1">
      <c r="A115" s="5" t="s">
        <v>1022</v>
      </c>
      <c r="X115" s="272">
        <v>19.75</v>
      </c>
    </row>
    <row r="116" spans="1:24" hidden="1" outlineLevel="1">
      <c r="A116" s="9" t="s">
        <v>1023</v>
      </c>
      <c r="B116" s="9"/>
      <c r="C116" s="9"/>
      <c r="D116" s="9"/>
      <c r="E116" s="9"/>
      <c r="F116" s="9"/>
      <c r="G116" s="9"/>
      <c r="H116" s="9"/>
      <c r="I116" s="9"/>
      <c r="J116" s="9"/>
      <c r="K116" s="9"/>
      <c r="L116" s="9"/>
      <c r="M116" s="9"/>
      <c r="N116" s="9"/>
      <c r="O116" s="9"/>
      <c r="P116" s="9"/>
      <c r="Q116" s="9"/>
      <c r="R116" s="9"/>
      <c r="S116" s="9"/>
      <c r="T116" s="9"/>
      <c r="U116" s="9"/>
      <c r="V116" s="9"/>
      <c r="W116" s="9"/>
      <c r="X116" s="10">
        <f>SUM(X112:X115)</f>
        <v>198.31442600000003</v>
      </c>
    </row>
    <row r="117" spans="1:24" hidden="1" outlineLevel="1"/>
    <row r="118" spans="1:24" hidden="1" outlineLevel="1">
      <c r="A118" s="5" t="s">
        <v>1019</v>
      </c>
      <c r="X118" s="272">
        <v>15877</v>
      </c>
    </row>
    <row r="119" spans="1:24" hidden="1" outlineLevel="1">
      <c r="A119" s="5" t="s">
        <v>1020</v>
      </c>
      <c r="X119" s="272">
        <v>1667</v>
      </c>
    </row>
    <row r="120" spans="1:24" hidden="1" outlineLevel="1">
      <c r="A120" s="5" t="s">
        <v>1021</v>
      </c>
      <c r="X120" s="272">
        <v>515</v>
      </c>
    </row>
    <row r="121" spans="1:24" hidden="1" outlineLevel="1">
      <c r="A121" s="5" t="s">
        <v>1022</v>
      </c>
      <c r="X121" s="272">
        <v>2034</v>
      </c>
    </row>
    <row r="122" spans="1:24" hidden="1" outlineLevel="1">
      <c r="A122" s="9" t="s">
        <v>1023</v>
      </c>
      <c r="B122" s="9"/>
      <c r="C122" s="9"/>
      <c r="D122" s="9"/>
      <c r="E122" s="9"/>
      <c r="F122" s="9"/>
      <c r="G122" s="9"/>
      <c r="H122" s="9"/>
      <c r="I122" s="9"/>
      <c r="J122" s="9"/>
      <c r="K122" s="9"/>
      <c r="L122" s="9"/>
      <c r="M122" s="9"/>
      <c r="N122" s="9"/>
      <c r="O122" s="9"/>
      <c r="P122" s="9"/>
      <c r="Q122" s="9"/>
      <c r="R122" s="9"/>
      <c r="S122" s="9"/>
      <c r="T122" s="9"/>
      <c r="U122" s="9"/>
      <c r="V122" s="9"/>
      <c r="W122" s="9"/>
      <c r="X122" s="10">
        <f>SUM(X118:X121)</f>
        <v>20093</v>
      </c>
    </row>
    <row r="123" spans="1:24" hidden="1" outlineLevel="1"/>
    <row r="124" spans="1:24" hidden="1" outlineLevel="1">
      <c r="A124" s="5" t="s">
        <v>1019</v>
      </c>
      <c r="X124" s="24">
        <f>X118/X112</f>
        <v>102.99906791584807</v>
      </c>
    </row>
    <row r="125" spans="1:24" hidden="1" outlineLevel="1">
      <c r="A125" s="5" t="s">
        <v>1020</v>
      </c>
      <c r="X125" s="24">
        <f t="shared" ref="X125:X128" si="347">X119/X113</f>
        <v>85.850834818255791</v>
      </c>
    </row>
    <row r="126" spans="1:24" hidden="1" outlineLevel="1">
      <c r="A126" s="5" t="s">
        <v>1021</v>
      </c>
      <c r="X126" s="24">
        <f t="shared" si="347"/>
        <v>103</v>
      </c>
    </row>
    <row r="127" spans="1:24" hidden="1" outlineLevel="1">
      <c r="A127" s="5" t="s">
        <v>1022</v>
      </c>
      <c r="X127" s="24">
        <f t="shared" si="347"/>
        <v>102.98734177215189</v>
      </c>
    </row>
    <row r="128" spans="1:24" hidden="1" outlineLevel="1">
      <c r="A128" s="9" t="s">
        <v>1023</v>
      </c>
      <c r="B128" s="9"/>
      <c r="C128" s="9"/>
      <c r="D128" s="9"/>
      <c r="E128" s="9"/>
      <c r="F128" s="9"/>
      <c r="G128" s="9"/>
      <c r="H128" s="9"/>
      <c r="I128" s="9"/>
      <c r="J128" s="9"/>
      <c r="K128" s="9"/>
      <c r="L128" s="9"/>
      <c r="M128" s="9"/>
      <c r="N128" s="9"/>
      <c r="O128" s="9"/>
      <c r="P128" s="9"/>
      <c r="Q128" s="9"/>
      <c r="R128" s="9"/>
      <c r="S128" s="9"/>
      <c r="T128" s="9"/>
      <c r="U128" s="9"/>
      <c r="V128" s="9"/>
      <c r="W128" s="9"/>
      <c r="X128" s="30">
        <f t="shared" si="347"/>
        <v>101.31890253914256</v>
      </c>
    </row>
    <row r="129" spans="1:78" collapsed="1"/>
    <row r="130" spans="1:78">
      <c r="A130" s="1" t="s">
        <v>981</v>
      </c>
    </row>
    <row r="131" spans="1:78">
      <c r="A131" s="5" t="s">
        <v>979</v>
      </c>
      <c r="X131" s="16">
        <f t="shared" ref="X131:BC131" si="348">X94/X136</f>
        <v>8.2024104146074764E-2</v>
      </c>
      <c r="Y131" s="16">
        <f t="shared" si="348"/>
        <v>8.1817822478943841E-2</v>
      </c>
      <c r="Z131" s="16">
        <f t="shared" si="348"/>
        <v>8.2024104146074764E-2</v>
      </c>
      <c r="AA131" s="16">
        <f t="shared" si="348"/>
        <v>8.1403438119367622E-2</v>
      </c>
      <c r="AB131" s="16">
        <f t="shared" si="348"/>
        <v>8.1403438119367622E-2</v>
      </c>
      <c r="AC131" s="16">
        <f t="shared" si="348"/>
        <v>8.1227195678428232E-2</v>
      </c>
      <c r="AD131" s="16">
        <f t="shared" si="348"/>
        <v>4.4879354887463543E-2</v>
      </c>
      <c r="AE131" s="16">
        <f t="shared" si="348"/>
        <v>4.4872998189724629E-2</v>
      </c>
      <c r="AF131" s="16">
        <f t="shared" si="348"/>
        <v>4.4779856460196721E-2</v>
      </c>
      <c r="AG131" s="16">
        <f t="shared" si="348"/>
        <v>4.4779856460196721E-2</v>
      </c>
      <c r="AH131" s="16">
        <f t="shared" si="348"/>
        <v>2.7887980950762257E-2</v>
      </c>
      <c r="AI131" s="16">
        <f t="shared" si="348"/>
        <v>2.7975110136919078E-2</v>
      </c>
      <c r="AJ131" s="16">
        <f t="shared" si="348"/>
        <v>2.8341118666239385E-2</v>
      </c>
      <c r="AK131" s="16">
        <f t="shared" si="348"/>
        <v>2.9029563944257913E-2</v>
      </c>
      <c r="AL131" s="16">
        <f t="shared" si="348"/>
        <v>2.9029563944257913E-2</v>
      </c>
      <c r="AM131" s="16">
        <f t="shared" si="348"/>
        <v>2.9627114616356746E-2</v>
      </c>
      <c r="AN131" s="16">
        <f t="shared" si="348"/>
        <v>3.009674674972896E-2</v>
      </c>
      <c r="AO131" s="16">
        <f t="shared" si="348"/>
        <v>2.9247800593233984E-2</v>
      </c>
      <c r="AP131" s="16">
        <f t="shared" si="348"/>
        <v>2.970660675161672E-2</v>
      </c>
      <c r="AQ131" s="16">
        <f t="shared" si="348"/>
        <v>2.970660675161672E-2</v>
      </c>
      <c r="AR131" s="16">
        <f t="shared" si="348"/>
        <v>0</v>
      </c>
      <c r="AS131" s="16">
        <f t="shared" si="348"/>
        <v>0</v>
      </c>
      <c r="AT131" s="16">
        <f t="shared" si="348"/>
        <v>0</v>
      </c>
      <c r="AU131" s="16">
        <f t="shared" si="348"/>
        <v>0</v>
      </c>
      <c r="AV131" s="16">
        <f t="shared" si="348"/>
        <v>0</v>
      </c>
      <c r="AW131" s="16">
        <f t="shared" si="348"/>
        <v>0</v>
      </c>
      <c r="AX131" s="16">
        <f t="shared" si="348"/>
        <v>0</v>
      </c>
      <c r="AY131" s="16">
        <f>AY94/AY136</f>
        <v>0</v>
      </c>
      <c r="AZ131" s="16">
        <f>AZ94/AZ136</f>
        <v>0</v>
      </c>
      <c r="BA131" s="16">
        <f t="shared" si="348"/>
        <v>0</v>
      </c>
      <c r="BB131" s="16">
        <f t="shared" si="348"/>
        <v>0</v>
      </c>
      <c r="BC131" s="16">
        <f t="shared" si="348"/>
        <v>0</v>
      </c>
      <c r="BD131" s="16">
        <f t="shared" ref="BD131:BZ131" si="349">BD94/BD136</f>
        <v>0</v>
      </c>
      <c r="BE131" s="16">
        <f t="shared" si="349"/>
        <v>0</v>
      </c>
      <c r="BF131" s="16">
        <f t="shared" si="349"/>
        <v>0</v>
      </c>
      <c r="BG131" s="16">
        <f t="shared" si="349"/>
        <v>0</v>
      </c>
      <c r="BH131" s="16">
        <f t="shared" si="349"/>
        <v>0</v>
      </c>
      <c r="BI131" s="16">
        <f t="shared" si="349"/>
        <v>0</v>
      </c>
      <c r="BJ131" s="16">
        <f t="shared" si="349"/>
        <v>0</v>
      </c>
      <c r="BK131" s="16">
        <f t="shared" si="349"/>
        <v>0</v>
      </c>
      <c r="BL131" s="16">
        <f t="shared" si="349"/>
        <v>0</v>
      </c>
      <c r="BM131" s="16">
        <f t="shared" si="349"/>
        <v>0</v>
      </c>
      <c r="BN131" s="16">
        <f t="shared" si="349"/>
        <v>0</v>
      </c>
      <c r="BO131" s="16">
        <f t="shared" si="349"/>
        <v>0</v>
      </c>
      <c r="BP131" s="16">
        <f t="shared" si="349"/>
        <v>0</v>
      </c>
      <c r="BQ131" s="16">
        <f t="shared" si="349"/>
        <v>0</v>
      </c>
      <c r="BR131" s="16">
        <f t="shared" si="349"/>
        <v>0</v>
      </c>
      <c r="BS131" s="16">
        <f t="shared" si="349"/>
        <v>0</v>
      </c>
      <c r="BT131" s="16">
        <f t="shared" si="349"/>
        <v>0</v>
      </c>
      <c r="BU131" s="16">
        <f t="shared" si="349"/>
        <v>0</v>
      </c>
      <c r="BV131" s="16">
        <f t="shared" si="349"/>
        <v>0</v>
      </c>
      <c r="BW131" s="16">
        <f t="shared" si="349"/>
        <v>0</v>
      </c>
      <c r="BX131" s="16">
        <f t="shared" si="349"/>
        <v>0</v>
      </c>
      <c r="BY131" s="16">
        <f t="shared" si="349"/>
        <v>0</v>
      </c>
      <c r="BZ131" s="16">
        <f t="shared" si="349"/>
        <v>0</v>
      </c>
    </row>
    <row r="132" spans="1:78">
      <c r="A132" s="5" t="s">
        <v>980</v>
      </c>
      <c r="X132" s="16">
        <f t="shared" ref="X132:BC132" si="350">X95/X136</f>
        <v>3.8792925786708047E-3</v>
      </c>
      <c r="Y132" s="16">
        <f t="shared" si="350"/>
        <v>3.8695365813484596E-3</v>
      </c>
      <c r="Z132" s="16">
        <f t="shared" si="350"/>
        <v>3.8792925786708047E-3</v>
      </c>
      <c r="AA132" s="16">
        <f t="shared" si="350"/>
        <v>3.8499384621424456E-3</v>
      </c>
      <c r="AB132" s="16">
        <f t="shared" si="350"/>
        <v>3.8499384621424456E-3</v>
      </c>
      <c r="AC132" s="16">
        <f t="shared" si="350"/>
        <v>3.8416031563161799E-3</v>
      </c>
      <c r="AD132" s="16">
        <f t="shared" si="350"/>
        <v>3.8382375059020073E-3</v>
      </c>
      <c r="AE132" s="16">
        <f t="shared" si="350"/>
        <v>3.8376938591464693E-3</v>
      </c>
      <c r="AF132" s="16">
        <f t="shared" si="350"/>
        <v>3.8297280565957191E-3</v>
      </c>
      <c r="AG132" s="16">
        <f t="shared" si="350"/>
        <v>3.8297280565957191E-3</v>
      </c>
      <c r="AH132" s="16">
        <f t="shared" si="350"/>
        <v>3.8277204523122815E-3</v>
      </c>
      <c r="AI132" s="16">
        <f t="shared" si="350"/>
        <v>3.8396792301253692E-3</v>
      </c>
      <c r="AJ132" s="16">
        <f t="shared" si="350"/>
        <v>3.8899151484542574E-3</v>
      </c>
      <c r="AK132" s="16">
        <f t="shared" si="350"/>
        <v>3.9844066096906185E-3</v>
      </c>
      <c r="AL132" s="16">
        <f t="shared" si="350"/>
        <v>3.9844066096906185E-3</v>
      </c>
      <c r="AM132" s="16">
        <f t="shared" si="350"/>
        <v>7.0877743763923381E-3</v>
      </c>
      <c r="AN132" s="16">
        <f t="shared" si="350"/>
        <v>7.2001257357585426E-3</v>
      </c>
      <c r="AO132" s="16">
        <f t="shared" si="350"/>
        <v>4.7769179358977759E-2</v>
      </c>
      <c r="AP132" s="16">
        <f t="shared" si="350"/>
        <v>4.8518527796338848E-2</v>
      </c>
      <c r="AQ132" s="16">
        <f t="shared" si="350"/>
        <v>4.8518527796338848E-2</v>
      </c>
      <c r="AR132" s="16">
        <f t="shared" si="350"/>
        <v>7.3033663475002675E-2</v>
      </c>
      <c r="AS132" s="16">
        <f t="shared" si="350"/>
        <v>7.3295590399098803E-2</v>
      </c>
      <c r="AT132" s="16">
        <f t="shared" si="350"/>
        <v>7.4554943481022623E-2</v>
      </c>
      <c r="AU132" s="16">
        <f t="shared" si="350"/>
        <v>7.5053279294216194E-2</v>
      </c>
      <c r="AV132" s="16">
        <f t="shared" si="350"/>
        <v>7.5053279294216194E-2</v>
      </c>
      <c r="AW132" s="16">
        <f t="shared" si="350"/>
        <v>5.6642006293174958E-2</v>
      </c>
      <c r="AX132" s="16">
        <f t="shared" si="350"/>
        <v>4.0411039638008642E-2</v>
      </c>
      <c r="AY132" s="16">
        <f>AY95/AY136</f>
        <v>2.5746870155582403E-2</v>
      </c>
      <c r="AZ132" s="16">
        <f>AZ95/AZ136</f>
        <v>1.4758498336693586E-2</v>
      </c>
      <c r="BA132" s="16">
        <f t="shared" si="350"/>
        <v>1.4758498336693586E-2</v>
      </c>
      <c r="BB132" s="16">
        <f t="shared" si="350"/>
        <v>0</v>
      </c>
      <c r="BC132" s="16">
        <f t="shared" si="350"/>
        <v>0</v>
      </c>
      <c r="BD132" s="16">
        <f t="shared" ref="BD132:BZ132" si="351">BD95/BD136</f>
        <v>0</v>
      </c>
      <c r="BE132" s="16">
        <f t="shared" si="351"/>
        <v>0</v>
      </c>
      <c r="BF132" s="16">
        <f t="shared" si="351"/>
        <v>0</v>
      </c>
      <c r="BG132" s="16">
        <f t="shared" si="351"/>
        <v>0</v>
      </c>
      <c r="BH132" s="16">
        <f t="shared" si="351"/>
        <v>0</v>
      </c>
      <c r="BI132" s="16">
        <f t="shared" si="351"/>
        <v>0</v>
      </c>
      <c r="BJ132" s="16">
        <f t="shared" si="351"/>
        <v>0</v>
      </c>
      <c r="BK132" s="16">
        <f t="shared" si="351"/>
        <v>0</v>
      </c>
      <c r="BL132" s="16">
        <f t="shared" si="351"/>
        <v>0</v>
      </c>
      <c r="BM132" s="16">
        <f t="shared" si="351"/>
        <v>0</v>
      </c>
      <c r="BN132" s="16">
        <f t="shared" si="351"/>
        <v>0</v>
      </c>
      <c r="BO132" s="16">
        <f t="shared" si="351"/>
        <v>0</v>
      </c>
      <c r="BP132" s="16">
        <f t="shared" si="351"/>
        <v>0</v>
      </c>
      <c r="BQ132" s="16">
        <f t="shared" si="351"/>
        <v>0</v>
      </c>
      <c r="BR132" s="16">
        <f t="shared" si="351"/>
        <v>0</v>
      </c>
      <c r="BS132" s="16">
        <f t="shared" si="351"/>
        <v>0</v>
      </c>
      <c r="BT132" s="16">
        <f t="shared" si="351"/>
        <v>0</v>
      </c>
      <c r="BU132" s="16">
        <f t="shared" si="351"/>
        <v>0</v>
      </c>
      <c r="BV132" s="16">
        <f t="shared" si="351"/>
        <v>0</v>
      </c>
      <c r="BW132" s="16">
        <f t="shared" si="351"/>
        <v>0</v>
      </c>
      <c r="BX132" s="16">
        <f t="shared" si="351"/>
        <v>0</v>
      </c>
      <c r="BY132" s="16">
        <f t="shared" si="351"/>
        <v>0</v>
      </c>
      <c r="BZ132" s="16">
        <f t="shared" si="351"/>
        <v>0</v>
      </c>
    </row>
    <row r="133" spans="1:78">
      <c r="A133" s="9" t="s">
        <v>978</v>
      </c>
      <c r="B133" s="9"/>
      <c r="C133" s="9"/>
      <c r="D133" s="9"/>
      <c r="E133" s="9"/>
      <c r="F133" s="9"/>
      <c r="G133" s="9"/>
      <c r="H133" s="9"/>
      <c r="I133" s="9"/>
      <c r="J133" s="9"/>
      <c r="K133" s="9"/>
      <c r="L133" s="9"/>
      <c r="M133" s="9"/>
      <c r="N133" s="9"/>
      <c r="O133" s="9"/>
      <c r="P133" s="9"/>
      <c r="Q133" s="9"/>
      <c r="R133" s="9"/>
      <c r="S133" s="9"/>
      <c r="T133" s="9"/>
      <c r="U133" s="9"/>
      <c r="V133" s="17">
        <f t="shared" ref="V133:BA133" si="352">V96/V136</f>
        <v>0.24821136421034751</v>
      </c>
      <c r="W133" s="17">
        <f t="shared" si="352"/>
        <v>0.24821136421034751</v>
      </c>
      <c r="X133" s="17">
        <f t="shared" si="352"/>
        <v>8.5903396724745576E-2</v>
      </c>
      <c r="Y133" s="17">
        <f t="shared" si="352"/>
        <v>8.5687359060292304E-2</v>
      </c>
      <c r="Z133" s="17">
        <f t="shared" si="352"/>
        <v>8.5903396724745576E-2</v>
      </c>
      <c r="AA133" s="17">
        <f t="shared" si="352"/>
        <v>8.5253376581510068E-2</v>
      </c>
      <c r="AB133" s="17">
        <f t="shared" si="352"/>
        <v>8.5253376581510068E-2</v>
      </c>
      <c r="AC133" s="17">
        <f t="shared" si="352"/>
        <v>8.5068798834744441E-2</v>
      </c>
      <c r="AD133" s="17">
        <f t="shared" si="352"/>
        <v>4.8717592393365552E-2</v>
      </c>
      <c r="AE133" s="17">
        <f t="shared" si="352"/>
        <v>4.8710692048871095E-2</v>
      </c>
      <c r="AF133" s="17">
        <f t="shared" si="352"/>
        <v>4.8609584516792446E-2</v>
      </c>
      <c r="AG133" s="17">
        <f t="shared" si="352"/>
        <v>4.8609584516792446E-2</v>
      </c>
      <c r="AH133" s="17">
        <f t="shared" si="352"/>
        <v>3.1715701403074538E-2</v>
      </c>
      <c r="AI133" s="17">
        <f t="shared" si="352"/>
        <v>3.1814789367044446E-2</v>
      </c>
      <c r="AJ133" s="17">
        <f t="shared" si="352"/>
        <v>3.2231033814693638E-2</v>
      </c>
      <c r="AK133" s="17">
        <f t="shared" si="352"/>
        <v>3.301397055394853E-2</v>
      </c>
      <c r="AL133" s="17">
        <f t="shared" si="352"/>
        <v>3.301397055394853E-2</v>
      </c>
      <c r="AM133" s="17">
        <f t="shared" si="352"/>
        <v>3.6714888992749085E-2</v>
      </c>
      <c r="AN133" s="17">
        <f t="shared" si="352"/>
        <v>3.7296872485487506E-2</v>
      </c>
      <c r="AO133" s="17">
        <f t="shared" si="352"/>
        <v>7.7016979952211739E-2</v>
      </c>
      <c r="AP133" s="17">
        <f t="shared" si="352"/>
        <v>7.8225134547955558E-2</v>
      </c>
      <c r="AQ133" s="17">
        <f t="shared" si="352"/>
        <v>7.8225134547955558E-2</v>
      </c>
      <c r="AR133" s="17">
        <f t="shared" si="352"/>
        <v>7.3033663475002675E-2</v>
      </c>
      <c r="AS133" s="17">
        <f t="shared" si="352"/>
        <v>7.3295590399098803E-2</v>
      </c>
      <c r="AT133" s="17">
        <f t="shared" si="352"/>
        <v>7.4554943481022623E-2</v>
      </c>
      <c r="AU133" s="17">
        <f t="shared" si="352"/>
        <v>7.5053279294216194E-2</v>
      </c>
      <c r="AV133" s="17">
        <f t="shared" si="352"/>
        <v>7.5053279294216194E-2</v>
      </c>
      <c r="AW133" s="17">
        <f t="shared" si="352"/>
        <v>5.6642006293174958E-2</v>
      </c>
      <c r="AX133" s="17">
        <f t="shared" si="352"/>
        <v>4.0411039638008642E-2</v>
      </c>
      <c r="AY133" s="17">
        <f t="shared" si="352"/>
        <v>2.5746870155582403E-2</v>
      </c>
      <c r="AZ133" s="17">
        <f t="shared" si="352"/>
        <v>1.4758498336693586E-2</v>
      </c>
      <c r="BA133" s="17">
        <f t="shared" si="352"/>
        <v>1.4758498336693586E-2</v>
      </c>
      <c r="BB133" s="17">
        <f t="shared" ref="BB133:BZ133" si="353">BB96/BB136</f>
        <v>0</v>
      </c>
      <c r="BC133" s="17">
        <f t="shared" si="353"/>
        <v>0</v>
      </c>
      <c r="BD133" s="17">
        <f t="shared" si="353"/>
        <v>0</v>
      </c>
      <c r="BE133" s="17">
        <f t="shared" si="353"/>
        <v>0</v>
      </c>
      <c r="BF133" s="17">
        <f t="shared" si="353"/>
        <v>0</v>
      </c>
      <c r="BG133" s="17">
        <f t="shared" si="353"/>
        <v>0</v>
      </c>
      <c r="BH133" s="17">
        <f t="shared" si="353"/>
        <v>0</v>
      </c>
      <c r="BI133" s="17">
        <f t="shared" si="353"/>
        <v>0</v>
      </c>
      <c r="BJ133" s="17">
        <f t="shared" si="353"/>
        <v>0</v>
      </c>
      <c r="BK133" s="17">
        <f t="shared" si="353"/>
        <v>0</v>
      </c>
      <c r="BL133" s="17">
        <f t="shared" si="353"/>
        <v>0</v>
      </c>
      <c r="BM133" s="17">
        <f t="shared" si="353"/>
        <v>0</v>
      </c>
      <c r="BN133" s="17">
        <f t="shared" si="353"/>
        <v>0</v>
      </c>
      <c r="BO133" s="17">
        <f t="shared" si="353"/>
        <v>0</v>
      </c>
      <c r="BP133" s="17">
        <f t="shared" si="353"/>
        <v>0</v>
      </c>
      <c r="BQ133" s="17">
        <f t="shared" si="353"/>
        <v>0</v>
      </c>
      <c r="BR133" s="17">
        <f t="shared" si="353"/>
        <v>0</v>
      </c>
      <c r="BS133" s="17">
        <f t="shared" si="353"/>
        <v>0</v>
      </c>
      <c r="BT133" s="17">
        <f t="shared" si="353"/>
        <v>0</v>
      </c>
      <c r="BU133" s="17">
        <f t="shared" si="353"/>
        <v>0</v>
      </c>
      <c r="BV133" s="17">
        <f t="shared" si="353"/>
        <v>0</v>
      </c>
      <c r="BW133" s="17">
        <f t="shared" si="353"/>
        <v>0</v>
      </c>
      <c r="BX133" s="17">
        <f t="shared" si="353"/>
        <v>0</v>
      </c>
      <c r="BY133" s="17">
        <f t="shared" si="353"/>
        <v>0</v>
      </c>
      <c r="BZ133" s="17">
        <f t="shared" si="353"/>
        <v>0</v>
      </c>
    </row>
    <row r="134" spans="1:78">
      <c r="A134" s="1" t="s">
        <v>2457</v>
      </c>
      <c r="V134" s="195">
        <f t="shared" ref="V134:BA134" si="354">(V96+V102+V103)/(V136+V102+V103)</f>
        <v>0.27895099836557041</v>
      </c>
      <c r="W134" s="195">
        <f t="shared" si="354"/>
        <v>0.27895099836557041</v>
      </c>
      <c r="X134" s="195">
        <f t="shared" si="354"/>
        <v>0.12298586778375357</v>
      </c>
      <c r="Y134" s="195">
        <f t="shared" si="354"/>
        <v>0.12268908879324332</v>
      </c>
      <c r="Z134" s="195">
        <f t="shared" si="354"/>
        <v>0.12298586778375357</v>
      </c>
      <c r="AA134" s="195">
        <f t="shared" si="354"/>
        <v>0.12209272782565647</v>
      </c>
      <c r="AB134" s="195">
        <f t="shared" si="354"/>
        <v>0.12209272782565647</v>
      </c>
      <c r="AC134" s="195">
        <f t="shared" si="354"/>
        <v>0.12183901451728953</v>
      </c>
      <c r="AD134" s="195">
        <f t="shared" si="354"/>
        <v>8.6916578989467669E-2</v>
      </c>
      <c r="AE134" s="195">
        <f t="shared" si="354"/>
        <v>8.6904762430078483E-2</v>
      </c>
      <c r="AF134" s="195">
        <f t="shared" si="354"/>
        <v>8.673160447688609E-2</v>
      </c>
      <c r="AG134" s="195">
        <f t="shared" si="354"/>
        <v>8.673160447688609E-2</v>
      </c>
      <c r="AH134" s="195">
        <f t="shared" si="354"/>
        <v>7.0495131357240434E-2</v>
      </c>
      <c r="AI134" s="195">
        <f t="shared" si="354"/>
        <v>7.0706529004730706E-2</v>
      </c>
      <c r="AJ134" s="195">
        <f t="shared" si="354"/>
        <v>7.1593981623109967E-2</v>
      </c>
      <c r="AK134" s="195">
        <f t="shared" si="354"/>
        <v>7.3260715744198693E-2</v>
      </c>
      <c r="AL134" s="195">
        <f t="shared" si="354"/>
        <v>7.3260715744198693E-2</v>
      </c>
      <c r="AM134" s="195">
        <f t="shared" si="354"/>
        <v>7.4921484887074077E-2</v>
      </c>
      <c r="AN134" s="195">
        <f t="shared" si="354"/>
        <v>7.606127690111314E-2</v>
      </c>
      <c r="AO134" s="195">
        <f t="shared" si="354"/>
        <v>7.7016979952211739E-2</v>
      </c>
      <c r="AP134" s="195">
        <f t="shared" si="354"/>
        <v>7.8225134547955558E-2</v>
      </c>
      <c r="AQ134" s="195">
        <f t="shared" si="354"/>
        <v>7.8225134547955558E-2</v>
      </c>
      <c r="AR134" s="195">
        <f t="shared" si="354"/>
        <v>7.3033663475002675E-2</v>
      </c>
      <c r="AS134" s="195">
        <f t="shared" si="354"/>
        <v>7.3295590399098803E-2</v>
      </c>
      <c r="AT134" s="195">
        <f t="shared" si="354"/>
        <v>7.4554943481022623E-2</v>
      </c>
      <c r="AU134" s="195">
        <f t="shared" si="354"/>
        <v>7.5053279294216194E-2</v>
      </c>
      <c r="AV134" s="195">
        <f t="shared" si="354"/>
        <v>7.5053279294216194E-2</v>
      </c>
      <c r="AW134" s="195">
        <f t="shared" si="354"/>
        <v>5.6642006293174958E-2</v>
      </c>
      <c r="AX134" s="195">
        <f t="shared" si="354"/>
        <v>4.0411039638008642E-2</v>
      </c>
      <c r="AY134" s="195">
        <f t="shared" si="354"/>
        <v>2.5746870155582403E-2</v>
      </c>
      <c r="AZ134" s="195">
        <f t="shared" si="354"/>
        <v>1.4758498336693586E-2</v>
      </c>
      <c r="BA134" s="195">
        <f t="shared" si="354"/>
        <v>1.4758498336693586E-2</v>
      </c>
      <c r="BB134" s="195">
        <f t="shared" ref="BB134:BZ134" si="355">(BB96+BB102+BB103)/(BB136+BB102+BB103)</f>
        <v>0</v>
      </c>
      <c r="BC134" s="195">
        <f t="shared" si="355"/>
        <v>0</v>
      </c>
      <c r="BD134" s="195">
        <f t="shared" si="355"/>
        <v>0</v>
      </c>
      <c r="BE134" s="195">
        <f t="shared" si="355"/>
        <v>0</v>
      </c>
      <c r="BF134" s="195">
        <f t="shared" si="355"/>
        <v>0</v>
      </c>
      <c r="BG134" s="195">
        <f t="shared" si="355"/>
        <v>0</v>
      </c>
      <c r="BH134" s="195">
        <f t="shared" si="355"/>
        <v>0</v>
      </c>
      <c r="BI134" s="195">
        <f t="shared" si="355"/>
        <v>0</v>
      </c>
      <c r="BJ134" s="195">
        <f t="shared" si="355"/>
        <v>0</v>
      </c>
      <c r="BK134" s="195">
        <f t="shared" si="355"/>
        <v>0</v>
      </c>
      <c r="BL134" s="195">
        <f t="shared" si="355"/>
        <v>0</v>
      </c>
      <c r="BM134" s="195">
        <f t="shared" si="355"/>
        <v>0</v>
      </c>
      <c r="BN134" s="195">
        <f t="shared" si="355"/>
        <v>0</v>
      </c>
      <c r="BO134" s="195">
        <f t="shared" si="355"/>
        <v>0</v>
      </c>
      <c r="BP134" s="195">
        <f t="shared" si="355"/>
        <v>0</v>
      </c>
      <c r="BQ134" s="195">
        <f t="shared" si="355"/>
        <v>0</v>
      </c>
      <c r="BR134" s="195">
        <f t="shared" si="355"/>
        <v>0</v>
      </c>
      <c r="BS134" s="195">
        <f t="shared" si="355"/>
        <v>0</v>
      </c>
      <c r="BT134" s="195">
        <f t="shared" si="355"/>
        <v>0</v>
      </c>
      <c r="BU134" s="195">
        <f t="shared" si="355"/>
        <v>0</v>
      </c>
      <c r="BV134" s="195">
        <f t="shared" si="355"/>
        <v>0</v>
      </c>
      <c r="BW134" s="195">
        <f t="shared" si="355"/>
        <v>0</v>
      </c>
      <c r="BX134" s="195">
        <f t="shared" si="355"/>
        <v>0</v>
      </c>
      <c r="BY134" s="195">
        <f t="shared" si="355"/>
        <v>0</v>
      </c>
      <c r="BZ134" s="195">
        <f t="shared" si="355"/>
        <v>0</v>
      </c>
    </row>
    <row r="135" spans="1:78">
      <c r="X135" s="262" t="s">
        <v>1015</v>
      </c>
      <c r="Y135" s="219"/>
      <c r="Z135" s="219"/>
      <c r="AA135" s="219"/>
      <c r="AB135" s="219"/>
      <c r="AC135" s="219"/>
      <c r="AD135" s="219"/>
      <c r="AE135" s="219"/>
      <c r="AF135" s="219"/>
      <c r="AG135" s="219"/>
      <c r="AH135" s="219"/>
      <c r="AI135" s="219"/>
      <c r="AJ135" s="219"/>
      <c r="AK135" s="219"/>
      <c r="AL135" s="219"/>
      <c r="AM135" s="219"/>
      <c r="AN135" s="219"/>
      <c r="AO135" s="219"/>
      <c r="AP135" s="219"/>
      <c r="AQ135" s="219"/>
      <c r="AR135" s="219"/>
      <c r="AS135" s="219"/>
      <c r="AT135" s="685" t="s">
        <v>2683</v>
      </c>
      <c r="AU135" s="684"/>
      <c r="AV135" s="684"/>
      <c r="AW135" s="684"/>
    </row>
    <row r="136" spans="1:78">
      <c r="A136" s="1" t="s">
        <v>990</v>
      </c>
      <c r="V136" s="272">
        <v>1227.2042819999999</v>
      </c>
      <c r="W136" s="8">
        <f>V136</f>
        <v>1227.2042819999999</v>
      </c>
      <c r="X136" s="690">
        <v>1237.3389999999999</v>
      </c>
      <c r="Y136" s="690">
        <v>1240.4586179999999</v>
      </c>
      <c r="Z136" s="690">
        <v>1237.3389999999999</v>
      </c>
      <c r="AA136" s="690">
        <v>1246.773175</v>
      </c>
      <c r="AB136" s="691">
        <f>AA136</f>
        <v>1246.773175</v>
      </c>
      <c r="AC136" s="690">
        <v>1249.478357</v>
      </c>
      <c r="AD136" s="690">
        <v>1250.5739920000001</v>
      </c>
      <c r="AE136" s="690">
        <v>1250.7511480000001</v>
      </c>
      <c r="AF136" s="690">
        <v>1253.3526999999999</v>
      </c>
      <c r="AG136" s="691">
        <f>AF136</f>
        <v>1253.3526999999999</v>
      </c>
      <c r="AH136" s="690">
        <v>1254.010072</v>
      </c>
      <c r="AI136" s="690">
        <v>1250.1044260000001</v>
      </c>
      <c r="AJ136" s="690">
        <v>1233.9600780000001</v>
      </c>
      <c r="AK136" s="690">
        <v>1204.6963249999999</v>
      </c>
      <c r="AL136" s="691">
        <f>AK136</f>
        <v>1204.6963249999999</v>
      </c>
      <c r="AM136" s="690">
        <v>1180.3987480000001</v>
      </c>
      <c r="AN136" s="690">
        <v>1161.9797080000001</v>
      </c>
      <c r="AO136" s="690">
        <v>1195.7073109999999</v>
      </c>
      <c r="AP136" s="690">
        <v>1177.24011</v>
      </c>
      <c r="AQ136" s="691">
        <f>AP136</f>
        <v>1177.24011</v>
      </c>
      <c r="AR136" s="690">
        <v>1168.7728910000001</v>
      </c>
      <c r="AS136" s="690">
        <v>1164.613922</v>
      </c>
      <c r="AT136" s="690">
        <v>1144.9417169999999</v>
      </c>
      <c r="AU136" s="690">
        <v>1137.3395780000001</v>
      </c>
      <c r="AV136" s="691">
        <f>AU136</f>
        <v>1137.3395780000001</v>
      </c>
      <c r="AW136" s="690">
        <v>1127.4506180000001</v>
      </c>
      <c r="AX136" s="690">
        <v>1118.5062399999999</v>
      </c>
      <c r="AY136" s="690">
        <v>1106.9306610000001</v>
      </c>
      <c r="AZ136" s="689">
        <v>1084.1211371904762</v>
      </c>
      <c r="BA136" s="691">
        <f>AZ136</f>
        <v>1084.1211371904762</v>
      </c>
      <c r="BB136" s="689">
        <v>1077.838528494824</v>
      </c>
      <c r="BC136" s="689">
        <v>1071.7680346155501</v>
      </c>
      <c r="BD136" s="689">
        <v>1065.9034774512063</v>
      </c>
      <c r="BE136" s="689">
        <v>1056.9562855017155</v>
      </c>
      <c r="BF136" s="691">
        <f>BE136</f>
        <v>1056.9562855017155</v>
      </c>
      <c r="BG136" s="689">
        <v>1048.2988175895885</v>
      </c>
      <c r="BH136" s="689">
        <v>1039.9226351506302</v>
      </c>
      <c r="BI136" s="689">
        <v>1031.8195454040688</v>
      </c>
      <c r="BJ136" s="689">
        <v>1015.1436429835611</v>
      </c>
      <c r="BK136" s="691">
        <f>BJ136</f>
        <v>1015.1436429835611</v>
      </c>
      <c r="BL136" s="689">
        <v>998.98257267238864</v>
      </c>
      <c r="BM136" s="689">
        <v>983.32133936057062</v>
      </c>
      <c r="BN136" s="689">
        <v>968.14538468890271</v>
      </c>
      <c r="BO136" s="689">
        <v>953.28660559903221</v>
      </c>
      <c r="BP136" s="691">
        <f>BO136</f>
        <v>953.28660559903221</v>
      </c>
      <c r="BQ136" s="689">
        <v>938.73878296190423</v>
      </c>
      <c r="BR136" s="689">
        <v>924.49581959217096</v>
      </c>
      <c r="BS136" s="689">
        <v>910.55173785713828</v>
      </c>
      <c r="BT136" s="689">
        <v>896.9006773325965</v>
      </c>
      <c r="BU136" s="691">
        <f>BT136</f>
        <v>896.9006773325965</v>
      </c>
      <c r="BV136" s="689">
        <v>883.53689250461434</v>
      </c>
      <c r="BW136" s="689">
        <v>870.45475051639653</v>
      </c>
      <c r="BX136" s="689">
        <v>857.64872895932024</v>
      </c>
      <c r="BY136" s="692">
        <f>BX136-7.5</f>
        <v>850.14872895932024</v>
      </c>
      <c r="BZ136" s="691">
        <f>BY136</f>
        <v>850.14872895932024</v>
      </c>
    </row>
    <row r="138" spans="1:78">
      <c r="A138" s="3" t="s">
        <v>982</v>
      </c>
      <c r="AQ138" s="219"/>
      <c r="AR138" s="263" t="s">
        <v>1981</v>
      </c>
      <c r="AS138" s="303">
        <v>0.08</v>
      </c>
      <c r="AT138" s="263" t="s">
        <v>1970</v>
      </c>
      <c r="AU138" s="303">
        <f>(1+AS138)^(1/4)-1</f>
        <v>1.9426546908273501E-2</v>
      </c>
    </row>
    <row r="140" spans="1:78">
      <c r="A140" s="1" t="s">
        <v>983</v>
      </c>
      <c r="V140" s="24">
        <f>VLOOKUP(V2, 'SBG investee share prices'!$B:$E, 4, FALSE)</f>
        <v>83.9</v>
      </c>
      <c r="W140" s="24">
        <f>V140</f>
        <v>83.9</v>
      </c>
      <c r="X140" s="24">
        <f>VLOOKUP(X2, 'SBG investee share prices'!$B:$E, 4, FALSE)</f>
        <v>104.15</v>
      </c>
      <c r="Y140" s="24">
        <f>VLOOKUP(Y2, 'SBG investee share prices'!$B:$E, 4, FALSE)</f>
        <v>114.36</v>
      </c>
      <c r="Z140" s="24">
        <f>VLOOKUP(Z2, 'SBG investee share prices'!$B:$E, 4, FALSE)</f>
        <v>134.85</v>
      </c>
      <c r="AA140" s="24">
        <f>VLOOKUP(AA2, 'SBG investee share prices'!$B:$E, 4, FALSE)</f>
        <v>125.29</v>
      </c>
      <c r="AB140" s="24">
        <f>AA140</f>
        <v>125.29</v>
      </c>
      <c r="AC140" s="24">
        <f>VLOOKUP(AC2, 'SBG investee share prices'!$B:$E, 4, FALSE)</f>
        <v>144.83000000000001</v>
      </c>
      <c r="AD140" s="24">
        <f>VLOOKUP(AD2, 'SBG investee share prices'!$B:$E, 4, FALSE)</f>
        <v>127.76</v>
      </c>
      <c r="AE140" s="24">
        <f>VLOOKUP(AE2, 'SBG investee share prices'!$B:$E, 4, FALSE)</f>
        <v>115.98</v>
      </c>
      <c r="AF140" s="24">
        <f>VLOOKUP(AF2, 'SBG investee share prices'!$B:$E, 4, FALSE)</f>
        <v>128.35</v>
      </c>
      <c r="AG140" s="24">
        <f>AF140</f>
        <v>128.35</v>
      </c>
      <c r="AH140" s="24">
        <f>VLOOKUP(AH2, 'SBG investee share prices'!$B:$E, 4, FALSE)</f>
        <v>134.54</v>
      </c>
      <c r="AI140" s="24">
        <f>VLOOKUP(AI2, 'SBG investee share prices'!$B:$E, 4, FALSE)</f>
        <v>134.16999999999999</v>
      </c>
      <c r="AJ140" s="24">
        <f>VLOOKUP(AJ2, 'SBG investee share prices'!$B:$E, 4, FALSE)</f>
        <v>140</v>
      </c>
      <c r="AK140" s="24">
        <f>VLOOKUP(AK2, 'SBG investee share prices'!$B:$E, 4, FALSE)</f>
        <v>144.84</v>
      </c>
      <c r="AL140" s="24">
        <f>AK140</f>
        <v>144.84</v>
      </c>
      <c r="AM140" s="24">
        <f>VLOOKUP(AM2, 'SBG investee share prices'!$B:$E, 4, FALSE)</f>
        <v>138.9</v>
      </c>
      <c r="AN140" s="24">
        <f>VLOOKUP(AN2, 'SBG investee share prices'!$B:$E, 4, FALSE)</f>
        <v>140.05000000000001</v>
      </c>
      <c r="AO140" s="24">
        <f>VLOOKUP(AO2, 'SBG investee share prices'!$B:$E, 4, FALSE)</f>
        <v>160.33000000000001</v>
      </c>
      <c r="AP140" s="24">
        <f>VLOOKUP(AP2, 'SBG investee share prices'!$B:$E, 4, FALSE)</f>
        <v>163.22</v>
      </c>
      <c r="AQ140" s="24">
        <f>AP140</f>
        <v>163.22</v>
      </c>
      <c r="AR140" s="24">
        <f>VLOOKUP(AR2, 'SBG investee share prices'!$B:$E, 4, FALSE)</f>
        <v>176.18</v>
      </c>
      <c r="AS140" s="24">
        <f>VLOOKUP(AS2, 'SBG investee share prices'!$B:$E, 4, FALSE)</f>
        <v>206.36</v>
      </c>
      <c r="AT140" s="24">
        <f>VLOOKUP(AT2, 'SBG investee share prices'!$B:$E, 4, FALSE)</f>
        <v>220.73</v>
      </c>
      <c r="AU140" s="24">
        <f>VLOOKUP(AU2, 'SBG investee share prices'!$B:$E, 4, FALSE)</f>
        <v>266.70999999999998</v>
      </c>
      <c r="AV140" s="24">
        <f>AU140</f>
        <v>266.70999999999998</v>
      </c>
      <c r="AW140" s="24">
        <f>VLOOKUP(AW2, 'SBG investee share prices'!$B:$E, 4, FALSE)</f>
        <v>238.26</v>
      </c>
      <c r="AX140" s="24">
        <f>VLOOKUP(AX2, 'SBG investee share prices'!$B:$E, 4, FALSE)</f>
        <v>239.38</v>
      </c>
      <c r="AY140" s="24">
        <f>VLOOKUP(AY2, 'SBG investee share prices'!$B:$E, 4, FALSE)</f>
        <v>203.04</v>
      </c>
      <c r="AZ140" s="221">
        <f>FP!$G$8</f>
        <v>216.11</v>
      </c>
      <c r="BA140" s="24">
        <f>AZ140</f>
        <v>216.11</v>
      </c>
      <c r="BB140" s="24">
        <f>BA140*(1+$AU$138)</f>
        <v>220.30827105234701</v>
      </c>
      <c r="BC140" s="24">
        <f>BB140*(1+$AU$138)</f>
        <v>224.58810001422606</v>
      </c>
      <c r="BD140" s="24">
        <f>BC140*(1+$AU$138)</f>
        <v>228.95107127419243</v>
      </c>
      <c r="BE140" s="24">
        <f>BD140*(1+$AU$138)</f>
        <v>233.39879999999999</v>
      </c>
      <c r="BF140" s="24">
        <f>BE140</f>
        <v>233.39879999999999</v>
      </c>
      <c r="BG140" s="24">
        <f>BF140*(1+$AU$138)</f>
        <v>237.93293273653475</v>
      </c>
      <c r="BH140" s="24">
        <f>BG140*(1+$AU$138)</f>
        <v>242.55514801536413</v>
      </c>
      <c r="BI140" s="24">
        <f>BH140*(1+$AU$138)</f>
        <v>247.26715697612781</v>
      </c>
      <c r="BJ140" s="24">
        <f>BI140*(1+$AU$138)</f>
        <v>252.07070399999998</v>
      </c>
      <c r="BK140" s="24">
        <f>BJ140</f>
        <v>252.07070399999998</v>
      </c>
      <c r="BL140" s="24">
        <f>BK140*(1+$AU$138)</f>
        <v>256.9675673554575</v>
      </c>
      <c r="BM140" s="24">
        <f>BL140*(1+$AU$138)</f>
        <v>261.95955985659322</v>
      </c>
      <c r="BN140" s="24">
        <f>BM140*(1+$AU$138)</f>
        <v>267.04852953421801</v>
      </c>
      <c r="BO140" s="24">
        <f>BN140*(1+$AU$138)</f>
        <v>272.23636031999996</v>
      </c>
      <c r="BP140" s="24">
        <f>BO140</f>
        <v>272.23636031999996</v>
      </c>
      <c r="BQ140" s="24">
        <f>BP140*(1+$AU$138)</f>
        <v>277.52497274389407</v>
      </c>
      <c r="BR140" s="24">
        <f>BQ140*(1+$AU$138)</f>
        <v>282.91632464512065</v>
      </c>
      <c r="BS140" s="24">
        <f>BR140*(1+$AU$138)</f>
        <v>288.4124118969554</v>
      </c>
      <c r="BT140" s="24">
        <f>BS140*(1+$AU$138)</f>
        <v>294.01526914559992</v>
      </c>
      <c r="BU140" s="24">
        <f>BT140</f>
        <v>294.01526914559992</v>
      </c>
      <c r="BV140" s="24">
        <f>BU140*(1+$AU$138)</f>
        <v>299.72697056340559</v>
      </c>
      <c r="BW140" s="24">
        <f>BV140*(1+$AU$138)</f>
        <v>305.54963061673027</v>
      </c>
      <c r="BX140" s="24">
        <f>BW140*(1+$AU$138)</f>
        <v>311.48540484871182</v>
      </c>
      <c r="BY140" s="24">
        <f>BX140*(1+$AU$138)</f>
        <v>317.53649067724791</v>
      </c>
      <c r="BZ140" s="24">
        <f>BY140</f>
        <v>317.53649067724791</v>
      </c>
    </row>
    <row r="142" spans="1:78">
      <c r="A142" s="5" t="s">
        <v>979</v>
      </c>
      <c r="X142" s="36">
        <f>X140*X94</f>
        <v>10570.352535450002</v>
      </c>
      <c r="Y142" s="36">
        <f>Y140*Y94</f>
        <v>11606.582006280001</v>
      </c>
      <c r="Z142" s="36">
        <f>Z140*Z94</f>
        <v>13686.14536155</v>
      </c>
      <c r="AA142" s="36">
        <f>AA140*AA94</f>
        <v>12715.885445670001</v>
      </c>
      <c r="AB142" s="36">
        <f>AA142</f>
        <v>12715.885445670001</v>
      </c>
      <c r="AC142" s="36">
        <f>AC140*AC94</f>
        <v>14699.031759090001</v>
      </c>
      <c r="AD142" s="36">
        <f>AD140*AD94</f>
        <v>7170.5241230400006</v>
      </c>
      <c r="AE142" s="36">
        <f>AE140*AE94</f>
        <v>6509.3721649200006</v>
      </c>
      <c r="AF142" s="36">
        <f>AF140*AF94</f>
        <v>7203.6378458999998</v>
      </c>
      <c r="AG142" s="36">
        <f>AF142</f>
        <v>7203.6378458999998</v>
      </c>
      <c r="AH142" s="36">
        <f>AH140*AH94</f>
        <v>4705.1071828600006</v>
      </c>
      <c r="AI142" s="36">
        <f>AI140*AI94</f>
        <v>4692.1676135300004</v>
      </c>
      <c r="AJ142" s="36">
        <f>AJ140*AJ94</f>
        <v>4896.0532600000006</v>
      </c>
      <c r="AK142" s="36">
        <f>AK140*AK94</f>
        <v>5065.3168155600015</v>
      </c>
      <c r="AL142" s="36">
        <f>AK142</f>
        <v>5065.3168155600015</v>
      </c>
      <c r="AM142" s="36">
        <f t="shared" ref="AM142:BZ142" si="356">AM140*AM94</f>
        <v>4857.584270100001</v>
      </c>
      <c r="AN142" s="36">
        <f t="shared" si="356"/>
        <v>4897.8018504500014</v>
      </c>
      <c r="AO142" s="36">
        <f t="shared" si="356"/>
        <v>5607.0301369700019</v>
      </c>
      <c r="AP142" s="36">
        <f t="shared" si="356"/>
        <v>5708.0986649800016</v>
      </c>
      <c r="AQ142" s="36">
        <f t="shared" si="356"/>
        <v>5708.0986649800016</v>
      </c>
      <c r="AR142" s="36">
        <f t="shared" si="356"/>
        <v>0</v>
      </c>
      <c r="AS142" s="36">
        <f t="shared" si="356"/>
        <v>0</v>
      </c>
      <c r="AT142" s="36">
        <f t="shared" si="356"/>
        <v>0</v>
      </c>
      <c r="AU142" s="36">
        <f t="shared" si="356"/>
        <v>0</v>
      </c>
      <c r="AV142" s="36">
        <f t="shared" si="356"/>
        <v>0</v>
      </c>
      <c r="AW142" s="36">
        <f t="shared" si="356"/>
        <v>0</v>
      </c>
      <c r="AX142" s="36">
        <f t="shared" si="356"/>
        <v>0</v>
      </c>
      <c r="AY142" s="36">
        <f>AY140*AY94</f>
        <v>0</v>
      </c>
      <c r="AZ142" s="36">
        <f>AZ140*AZ94</f>
        <v>0</v>
      </c>
      <c r="BA142" s="36">
        <f t="shared" si="356"/>
        <v>0</v>
      </c>
      <c r="BB142" s="36">
        <f t="shared" si="356"/>
        <v>0</v>
      </c>
      <c r="BC142" s="36">
        <f t="shared" si="356"/>
        <v>0</v>
      </c>
      <c r="BD142" s="36">
        <f t="shared" si="356"/>
        <v>0</v>
      </c>
      <c r="BE142" s="36">
        <f t="shared" si="356"/>
        <v>0</v>
      </c>
      <c r="BF142" s="36">
        <f t="shared" si="356"/>
        <v>0</v>
      </c>
      <c r="BG142" s="36">
        <f t="shared" si="356"/>
        <v>0</v>
      </c>
      <c r="BH142" s="36">
        <f t="shared" si="356"/>
        <v>0</v>
      </c>
      <c r="BI142" s="36">
        <f t="shared" si="356"/>
        <v>0</v>
      </c>
      <c r="BJ142" s="36">
        <f t="shared" si="356"/>
        <v>0</v>
      </c>
      <c r="BK142" s="36">
        <f t="shared" si="356"/>
        <v>0</v>
      </c>
      <c r="BL142" s="36">
        <f t="shared" si="356"/>
        <v>0</v>
      </c>
      <c r="BM142" s="36">
        <f t="shared" si="356"/>
        <v>0</v>
      </c>
      <c r="BN142" s="36">
        <f t="shared" si="356"/>
        <v>0</v>
      </c>
      <c r="BO142" s="36">
        <f t="shared" si="356"/>
        <v>0</v>
      </c>
      <c r="BP142" s="36">
        <f t="shared" si="356"/>
        <v>0</v>
      </c>
      <c r="BQ142" s="36">
        <f t="shared" si="356"/>
        <v>0</v>
      </c>
      <c r="BR142" s="36">
        <f t="shared" si="356"/>
        <v>0</v>
      </c>
      <c r="BS142" s="36">
        <f t="shared" si="356"/>
        <v>0</v>
      </c>
      <c r="BT142" s="36">
        <f t="shared" si="356"/>
        <v>0</v>
      </c>
      <c r="BU142" s="36">
        <f t="shared" si="356"/>
        <v>0</v>
      </c>
      <c r="BV142" s="36">
        <f t="shared" si="356"/>
        <v>0</v>
      </c>
      <c r="BW142" s="36">
        <f t="shared" si="356"/>
        <v>0</v>
      </c>
      <c r="BX142" s="36">
        <f t="shared" si="356"/>
        <v>0</v>
      </c>
      <c r="BY142" s="36">
        <f t="shared" si="356"/>
        <v>0</v>
      </c>
      <c r="BZ142" s="36">
        <f t="shared" si="356"/>
        <v>0</v>
      </c>
    </row>
    <row r="143" spans="1:78">
      <c r="A143" s="5" t="s">
        <v>980</v>
      </c>
      <c r="X143" s="36">
        <f>X140*X95</f>
        <v>499.9199999999953</v>
      </c>
      <c r="Y143" s="36">
        <f>Y140*Y95</f>
        <v>548.92799999999477</v>
      </c>
      <c r="Z143" s="36">
        <f>Z140*Z95</f>
        <v>647.27999999999383</v>
      </c>
      <c r="AA143" s="36">
        <f>AA140*AA95</f>
        <v>601.39199999999437</v>
      </c>
      <c r="AB143" s="36">
        <f>AA143</f>
        <v>601.39199999999437</v>
      </c>
      <c r="AC143" s="36">
        <f>AC140*AC95</f>
        <v>695.18399999999349</v>
      </c>
      <c r="AD143" s="36">
        <f>AD140*AD95</f>
        <v>613.24799999999971</v>
      </c>
      <c r="AE143" s="36">
        <f>AE140*AE95</f>
        <v>556.70399999999972</v>
      </c>
      <c r="AF143" s="36">
        <f>AF140*AF95</f>
        <v>616.07999999999959</v>
      </c>
      <c r="AG143" s="36">
        <f>AF143</f>
        <v>616.07999999999959</v>
      </c>
      <c r="AH143" s="36">
        <f>AH140*AH95</f>
        <v>645.79199999999958</v>
      </c>
      <c r="AI143" s="36">
        <f>AI140*AI95</f>
        <v>644.01599999999951</v>
      </c>
      <c r="AJ143" s="36">
        <f>AJ140*AJ95</f>
        <v>671.99999999999955</v>
      </c>
      <c r="AK143" s="36">
        <f>AK140*AK95</f>
        <v>695.23199999999963</v>
      </c>
      <c r="AL143" s="36">
        <f>AK143</f>
        <v>695.23199999999963</v>
      </c>
      <c r="AM143" s="36">
        <f t="shared" ref="AM143:BZ143" si="357">AM140*AM95</f>
        <v>1162.0929599999997</v>
      </c>
      <c r="AN143" s="36">
        <f t="shared" si="357"/>
        <v>1171.7143199999996</v>
      </c>
      <c r="AO143" s="36">
        <f t="shared" si="357"/>
        <v>9157.7220458100001</v>
      </c>
      <c r="AP143" s="36">
        <f t="shared" si="357"/>
        <v>9322.7929415399994</v>
      </c>
      <c r="AQ143" s="36">
        <f t="shared" si="357"/>
        <v>9322.7929415399994</v>
      </c>
      <c r="AR143" s="36">
        <f t="shared" si="357"/>
        <v>15038.68357388</v>
      </c>
      <c r="AS143" s="36">
        <f t="shared" si="357"/>
        <v>17615.109373399999</v>
      </c>
      <c r="AT143" s="36">
        <f t="shared" si="357"/>
        <v>18841.747877449998</v>
      </c>
      <c r="AU143" s="36">
        <f t="shared" si="357"/>
        <v>22766.649646149996</v>
      </c>
      <c r="AV143" s="36">
        <f t="shared" si="357"/>
        <v>22766.649646149996</v>
      </c>
      <c r="AW143" s="36">
        <f t="shared" si="357"/>
        <v>15215.537346899999</v>
      </c>
      <c r="AX143" s="36">
        <f t="shared" si="357"/>
        <v>10819.976000000001</v>
      </c>
      <c r="AY143" s="36">
        <f>AY140*AY95</f>
        <v>5786.64</v>
      </c>
      <c r="AZ143" s="36">
        <f>AZ140*AZ95</f>
        <v>3457.7600000000011</v>
      </c>
      <c r="BA143" s="36">
        <f t="shared" si="357"/>
        <v>3457.7600000000011</v>
      </c>
      <c r="BB143" s="36">
        <f t="shared" si="357"/>
        <v>0</v>
      </c>
      <c r="BC143" s="36">
        <f t="shared" si="357"/>
        <v>0</v>
      </c>
      <c r="BD143" s="36">
        <f t="shared" si="357"/>
        <v>0</v>
      </c>
      <c r="BE143" s="36">
        <f t="shared" si="357"/>
        <v>0</v>
      </c>
      <c r="BF143" s="36">
        <f t="shared" si="357"/>
        <v>0</v>
      </c>
      <c r="BG143" s="36">
        <f t="shared" si="357"/>
        <v>0</v>
      </c>
      <c r="BH143" s="36">
        <f t="shared" si="357"/>
        <v>0</v>
      </c>
      <c r="BI143" s="36">
        <f t="shared" si="357"/>
        <v>0</v>
      </c>
      <c r="BJ143" s="36">
        <f t="shared" si="357"/>
        <v>0</v>
      </c>
      <c r="BK143" s="36">
        <f t="shared" si="357"/>
        <v>0</v>
      </c>
      <c r="BL143" s="36">
        <f t="shared" si="357"/>
        <v>0</v>
      </c>
      <c r="BM143" s="36">
        <f t="shared" si="357"/>
        <v>0</v>
      </c>
      <c r="BN143" s="36">
        <f t="shared" si="357"/>
        <v>0</v>
      </c>
      <c r="BO143" s="36">
        <f t="shared" si="357"/>
        <v>0</v>
      </c>
      <c r="BP143" s="36">
        <f t="shared" si="357"/>
        <v>0</v>
      </c>
      <c r="BQ143" s="36">
        <f t="shared" si="357"/>
        <v>0</v>
      </c>
      <c r="BR143" s="36">
        <f t="shared" si="357"/>
        <v>0</v>
      </c>
      <c r="BS143" s="36">
        <f t="shared" si="357"/>
        <v>0</v>
      </c>
      <c r="BT143" s="36">
        <f t="shared" si="357"/>
        <v>0</v>
      </c>
      <c r="BU143" s="36">
        <f t="shared" si="357"/>
        <v>0</v>
      </c>
      <c r="BV143" s="36">
        <f t="shared" si="357"/>
        <v>0</v>
      </c>
      <c r="BW143" s="36">
        <f t="shared" si="357"/>
        <v>0</v>
      </c>
      <c r="BX143" s="36">
        <f t="shared" si="357"/>
        <v>0</v>
      </c>
      <c r="BY143" s="36">
        <f t="shared" si="357"/>
        <v>0</v>
      </c>
      <c r="BZ143" s="36">
        <f t="shared" si="357"/>
        <v>0</v>
      </c>
    </row>
    <row r="144" spans="1:78">
      <c r="A144" s="9" t="s">
        <v>984</v>
      </c>
      <c r="B144" s="9"/>
      <c r="C144" s="9"/>
      <c r="D144" s="9"/>
      <c r="E144" s="9"/>
      <c r="F144" s="9"/>
      <c r="G144" s="9"/>
      <c r="H144" s="9"/>
      <c r="I144" s="9"/>
      <c r="J144" s="9"/>
      <c r="K144" s="9"/>
      <c r="L144" s="9"/>
      <c r="M144" s="9"/>
      <c r="N144" s="9"/>
      <c r="O144" s="9"/>
      <c r="P144" s="9"/>
      <c r="Q144" s="9"/>
      <c r="R144" s="9"/>
      <c r="S144" s="9"/>
      <c r="T144" s="9"/>
      <c r="U144" s="9"/>
      <c r="V144" s="39">
        <f t="shared" ref="V144:AA144" si="358">V140*V96</f>
        <v>25556.447511099999</v>
      </c>
      <c r="W144" s="39">
        <f t="shared" si="358"/>
        <v>25556.447511099999</v>
      </c>
      <c r="X144" s="39">
        <f>X140*X96</f>
        <v>11070.272535449996</v>
      </c>
      <c r="Y144" s="39">
        <f t="shared" si="358"/>
        <v>12155.510006279996</v>
      </c>
      <c r="Z144" s="39">
        <f t="shared" si="358"/>
        <v>14333.425361549995</v>
      </c>
      <c r="AA144" s="39">
        <f t="shared" si="358"/>
        <v>13317.277445669995</v>
      </c>
      <c r="AB144" s="39">
        <f>AA144</f>
        <v>13317.277445669995</v>
      </c>
      <c r="AC144" s="39">
        <f>AC140*AC96</f>
        <v>15394.215759090002</v>
      </c>
      <c r="AD144" s="39">
        <f>AD140*AD96</f>
        <v>7783.7721230400002</v>
      </c>
      <c r="AE144" s="39">
        <f>AE140*AE96</f>
        <v>7066.0761649200003</v>
      </c>
      <c r="AF144" s="39">
        <f>AF140*AF96</f>
        <v>7819.7178458999997</v>
      </c>
      <c r="AG144" s="39">
        <f>AF144</f>
        <v>7819.7178458999997</v>
      </c>
      <c r="AH144" s="39">
        <f>AH140*AH96</f>
        <v>5350.8991828600001</v>
      </c>
      <c r="AI144" s="39">
        <f>AI140*AI96</f>
        <v>5336.18361353</v>
      </c>
      <c r="AJ144" s="39">
        <f>AJ140*AJ96</f>
        <v>5568.0532600000006</v>
      </c>
      <c r="AK144" s="39">
        <f>AK140*AK96</f>
        <v>5760.5488155600005</v>
      </c>
      <c r="AL144" s="39">
        <f>AK144</f>
        <v>5760.5488155600005</v>
      </c>
      <c r="AM144" s="39">
        <f t="shared" ref="AM144:BZ144" si="359">AM140*AM96</f>
        <v>6019.677230100001</v>
      </c>
      <c r="AN144" s="39">
        <f t="shared" si="359"/>
        <v>6069.5161704500015</v>
      </c>
      <c r="AO144" s="39">
        <f t="shared" si="359"/>
        <v>14764.752182780001</v>
      </c>
      <c r="AP144" s="39">
        <f t="shared" si="359"/>
        <v>15030.891606519999</v>
      </c>
      <c r="AQ144" s="39">
        <f t="shared" si="359"/>
        <v>15030.891606519999</v>
      </c>
      <c r="AR144" s="39">
        <f t="shared" si="359"/>
        <v>15038.68357388</v>
      </c>
      <c r="AS144" s="39">
        <f>AS140*AS96</f>
        <v>17615.109373399999</v>
      </c>
      <c r="AT144" s="39">
        <f t="shared" si="359"/>
        <v>18841.747877449998</v>
      </c>
      <c r="AU144" s="39">
        <f t="shared" si="359"/>
        <v>22766.649646149996</v>
      </c>
      <c r="AV144" s="39">
        <f t="shared" si="359"/>
        <v>22766.649646149996</v>
      </c>
      <c r="AW144" s="39">
        <f t="shared" si="359"/>
        <v>15215.537346899999</v>
      </c>
      <c r="AX144" s="39">
        <f t="shared" si="359"/>
        <v>10819.976000000001</v>
      </c>
      <c r="AY144" s="39">
        <f t="shared" si="359"/>
        <v>5786.64</v>
      </c>
      <c r="AZ144" s="39">
        <f t="shared" si="359"/>
        <v>3457.7600000000011</v>
      </c>
      <c r="BA144" s="39">
        <f t="shared" si="359"/>
        <v>3457.7600000000011</v>
      </c>
      <c r="BB144" s="39">
        <f t="shared" si="359"/>
        <v>0</v>
      </c>
      <c r="BC144" s="39">
        <f t="shared" si="359"/>
        <v>0</v>
      </c>
      <c r="BD144" s="39">
        <f t="shared" si="359"/>
        <v>0</v>
      </c>
      <c r="BE144" s="39">
        <f t="shared" si="359"/>
        <v>0</v>
      </c>
      <c r="BF144" s="39">
        <f t="shared" si="359"/>
        <v>0</v>
      </c>
      <c r="BG144" s="39">
        <f t="shared" si="359"/>
        <v>0</v>
      </c>
      <c r="BH144" s="39">
        <f t="shared" si="359"/>
        <v>0</v>
      </c>
      <c r="BI144" s="39">
        <f t="shared" si="359"/>
        <v>0</v>
      </c>
      <c r="BJ144" s="39">
        <f t="shared" si="359"/>
        <v>0</v>
      </c>
      <c r="BK144" s="39">
        <f t="shared" si="359"/>
        <v>0</v>
      </c>
      <c r="BL144" s="39">
        <f t="shared" si="359"/>
        <v>0</v>
      </c>
      <c r="BM144" s="39">
        <f t="shared" si="359"/>
        <v>0</v>
      </c>
      <c r="BN144" s="39">
        <f t="shared" si="359"/>
        <v>0</v>
      </c>
      <c r="BO144" s="39">
        <f t="shared" si="359"/>
        <v>0</v>
      </c>
      <c r="BP144" s="39">
        <f t="shared" si="359"/>
        <v>0</v>
      </c>
      <c r="BQ144" s="39">
        <f t="shared" si="359"/>
        <v>0</v>
      </c>
      <c r="BR144" s="39">
        <f t="shared" si="359"/>
        <v>0</v>
      </c>
      <c r="BS144" s="39">
        <f t="shared" si="359"/>
        <v>0</v>
      </c>
      <c r="BT144" s="39">
        <f t="shared" si="359"/>
        <v>0</v>
      </c>
      <c r="BU144" s="39">
        <f t="shared" si="359"/>
        <v>0</v>
      </c>
      <c r="BV144" s="39">
        <f t="shared" si="359"/>
        <v>0</v>
      </c>
      <c r="BW144" s="39">
        <f t="shared" si="359"/>
        <v>0</v>
      </c>
      <c r="BX144" s="39">
        <f t="shared" si="359"/>
        <v>0</v>
      </c>
      <c r="BY144" s="39">
        <f t="shared" si="359"/>
        <v>0</v>
      </c>
      <c r="BZ144" s="39">
        <f t="shared" si="359"/>
        <v>0</v>
      </c>
    </row>
    <row r="145" spans="1:78">
      <c r="AD145" s="645" t="s">
        <v>2551</v>
      </c>
      <c r="AE145" s="618"/>
      <c r="AF145" s="618"/>
      <c r="AG145" s="618"/>
      <c r="AO145" s="98" t="s">
        <v>1046</v>
      </c>
      <c r="AP145" s="71"/>
      <c r="AQ145" s="71"/>
      <c r="AR145" s="71"/>
    </row>
    <row r="146" spans="1:78">
      <c r="A146" s="5" t="s">
        <v>1027</v>
      </c>
      <c r="X146" s="36">
        <f>1000*X154/X245</f>
        <v>3025.4501577872657</v>
      </c>
      <c r="Y146" s="36">
        <f>1000*Y154/Y245</f>
        <v>3528.8279773156901</v>
      </c>
      <c r="Z146" s="36">
        <f>1000*Z154/Z245</f>
        <v>5032.1835748792273</v>
      </c>
      <c r="AA146" s="36">
        <f>1000*AA154/AA245</f>
        <v>4161.4036672387319</v>
      </c>
      <c r="AB146" s="36">
        <f>AA146</f>
        <v>4161.4036672387319</v>
      </c>
      <c r="AC146" s="36">
        <f>1000*AC154/AC245</f>
        <v>5954.8923856031834</v>
      </c>
      <c r="AD146" s="36">
        <f>1000*AD154/AD245</f>
        <v>4634.4621157969968</v>
      </c>
      <c r="AE146" s="36">
        <f>1000*AE154/AE245</f>
        <v>3779.3861937054426</v>
      </c>
      <c r="AF146" s="36">
        <f>1000*AF154/AF245</f>
        <v>4832.3310728000652</v>
      </c>
      <c r="AG146" s="36">
        <f>AF146</f>
        <v>4832.3310728000652</v>
      </c>
      <c r="AH146" s="36">
        <f>1000*AH154/AH245</f>
        <v>5384.1015510681882</v>
      </c>
      <c r="AI146" s="36">
        <f>1000*AI154/AI245</f>
        <v>5469.3391340377048</v>
      </c>
      <c r="AJ146" s="36">
        <f>1000*AJ154/AJ245</f>
        <v>5926.5938206480787</v>
      </c>
      <c r="AK146" s="36">
        <f>1000*AK154/AK245</f>
        <v>6244.0650041189247</v>
      </c>
      <c r="AL146" s="36">
        <f>AK146</f>
        <v>6244.0650041189247</v>
      </c>
      <c r="AM146" s="36">
        <f>1000*AM154/AM245</f>
        <v>5481.0745568659904</v>
      </c>
      <c r="AN146" s="36">
        <f>1000*AN154/AN245</f>
        <v>5665.8644203770555</v>
      </c>
      <c r="AO146" s="280"/>
    </row>
    <row r="147" spans="1:78">
      <c r="A147" s="5" t="s">
        <v>1028</v>
      </c>
      <c r="X147" s="36">
        <f>-1000*X155/X245</f>
        <v>-1369.0087247076297</v>
      </c>
      <c r="Y147" s="36">
        <f>-1000*Y155/Y245</f>
        <v>-1688.7523629489604</v>
      </c>
      <c r="Z147" s="36">
        <f>-1000*Z155/Z245</f>
        <v>-2279.5169082125603</v>
      </c>
      <c r="AA147" s="36">
        <f>-1000*AA155/AA245</f>
        <v>-1850.067744557854</v>
      </c>
      <c r="AB147" s="36">
        <f>AA147</f>
        <v>-1850.067744557854</v>
      </c>
      <c r="AC147" s="36">
        <f>-1000*AC155/AC245</f>
        <v>-2455.5977572797974</v>
      </c>
      <c r="AD147" s="36">
        <f>-1000*AD155/AD245</f>
        <v>-815.95782701929954</v>
      </c>
      <c r="AE147" s="36">
        <f>-1000*AE155/AE245</f>
        <v>-645.35732916014604</v>
      </c>
      <c r="AF147" s="36">
        <f>-1000*AF155/AF245</f>
        <v>-847.73265789688696</v>
      </c>
      <c r="AG147" s="36">
        <f>AF147</f>
        <v>-847.73265789688696</v>
      </c>
      <c r="AH147" s="36">
        <f>-1000*AH155/AH245</f>
        <v>-382.47731928592333</v>
      </c>
      <c r="AI147" s="36">
        <f>-1000*AI155/AI245</f>
        <v>-377.41178095435396</v>
      </c>
      <c r="AJ147" s="36">
        <f>-1000*AJ155/AJ245</f>
        <v>-405.94574227581012</v>
      </c>
      <c r="AK147" s="36">
        <f>-1000*AK155/AK245</f>
        <v>-412.311840035947</v>
      </c>
      <c r="AL147" s="36">
        <f>AK147</f>
        <v>-412.311840035947</v>
      </c>
      <c r="AM147" s="36">
        <f>-1000*AM155/AM245</f>
        <v>-358.81095247948133</v>
      </c>
      <c r="AN147" s="36">
        <f>-1000*AN155/AN245</f>
        <v>-357.05976734857597</v>
      </c>
      <c r="AO147" s="36">
        <f>-1000*AO155/AO245</f>
        <v>-467.78537685962061</v>
      </c>
      <c r="AP147" s="36">
        <f>-1000*AP155/AP245</f>
        <v>-466.93745459348787</v>
      </c>
      <c r="AQ147" s="36">
        <f>AP147</f>
        <v>-466.93745459348787</v>
      </c>
      <c r="AR147" s="613"/>
      <c r="AS147" s="36"/>
      <c r="AT147" s="36"/>
      <c r="AU147" s="36"/>
      <c r="AV147" s="36"/>
      <c r="AW147" s="36"/>
      <c r="AX147" s="36"/>
      <c r="AY147" s="36"/>
      <c r="AZ147" s="36"/>
      <c r="BA147" s="36"/>
      <c r="BB147" s="36"/>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row>
    <row r="148" spans="1:78">
      <c r="A148" s="5" t="s">
        <v>985</v>
      </c>
      <c r="X148" s="136">
        <v>-2300</v>
      </c>
      <c r="Y148" s="36">
        <f>X148</f>
        <v>-2300</v>
      </c>
      <c r="Z148" s="36">
        <f>Y148</f>
        <v>-2300</v>
      </c>
      <c r="AA148" s="36">
        <f>Z148</f>
        <v>-2300</v>
      </c>
      <c r="AB148" s="36">
        <f>AA148</f>
        <v>-2300</v>
      </c>
      <c r="AC148" s="36">
        <f>AB148</f>
        <v>-2300</v>
      </c>
      <c r="AD148" s="614">
        <f>-1000*AD159/AD245-1250</f>
        <v>-5139.3852751965687</v>
      </c>
      <c r="AE148" s="107">
        <f>-1000*AE159/AE245</f>
        <v>-4693.0968527212663</v>
      </c>
      <c r="AF148" s="59">
        <f>-1000*AF159/AF245</f>
        <v>-4836.9964866410655</v>
      </c>
      <c r="AG148" s="36">
        <f>AF148</f>
        <v>-4836.9964866410655</v>
      </c>
      <c r="AH148" s="59">
        <f>-1000*AH159/AH245</f>
        <v>-3651.5949663447464</v>
      </c>
      <c r="AI148" s="59">
        <f>-1000*AI159/AI245</f>
        <v>-2799.530419169947</v>
      </c>
      <c r="AJ148" s="59">
        <f>-1000*AJ159/AJ245</f>
        <v>-2808.5908063300681</v>
      </c>
      <c r="AK148" s="59">
        <f>-1000*AK159/AK245</f>
        <v>-2817.3444169849472</v>
      </c>
      <c r="AL148" s="36">
        <f>AK148</f>
        <v>-2817.3444169849472</v>
      </c>
      <c r="AM148" s="59">
        <f>-1000*AM159/AM245</f>
        <v>-2826.4018208152283</v>
      </c>
      <c r="AN148" s="59">
        <f>-1000*AN159/AN245</f>
        <v>-2837.27771092392</v>
      </c>
      <c r="AO148" s="59">
        <f>-1000*AO159/AO245</f>
        <v>-2844.9552280899666</v>
      </c>
      <c r="AP148" s="59">
        <f>-1000*AP159/AP245</f>
        <v>-2854.5010237104552</v>
      </c>
      <c r="AQ148" s="36">
        <f>AP148</f>
        <v>-2854.5010237104552</v>
      </c>
      <c r="AR148" s="59">
        <f>-AR172</f>
        <v>-540.13782827342152</v>
      </c>
      <c r="AS148" s="59"/>
      <c r="AT148" s="59"/>
      <c r="AU148" s="59"/>
      <c r="AV148" s="36"/>
      <c r="AW148" s="59"/>
      <c r="AX148" s="59"/>
      <c r="AY148" s="59"/>
      <c r="AZ148" s="59"/>
      <c r="BA148" s="36"/>
      <c r="BB148" s="59"/>
      <c r="BC148" s="59"/>
      <c r="BD148" s="59"/>
      <c r="BE148" s="59"/>
      <c r="BF148" s="36"/>
      <c r="BG148" s="59"/>
      <c r="BH148" s="59"/>
      <c r="BI148" s="59"/>
      <c r="BJ148" s="59"/>
      <c r="BK148" s="36"/>
      <c r="BL148" s="59"/>
      <c r="BM148" s="59"/>
      <c r="BN148" s="59"/>
      <c r="BO148" s="59"/>
      <c r="BP148" s="36"/>
      <c r="BQ148" s="59"/>
      <c r="BR148" s="59"/>
      <c r="BS148" s="59"/>
      <c r="BT148" s="59"/>
      <c r="BU148" s="36"/>
      <c r="BV148" s="59"/>
      <c r="BW148" s="59"/>
      <c r="BX148" s="59"/>
      <c r="BY148" s="59"/>
      <c r="BZ148" s="36"/>
    </row>
    <row r="149" spans="1:78">
      <c r="A149" s="9" t="s">
        <v>986</v>
      </c>
      <c r="B149" s="9"/>
      <c r="C149" s="9"/>
      <c r="D149" s="9"/>
      <c r="E149" s="9"/>
      <c r="F149" s="9"/>
      <c r="G149" s="9"/>
      <c r="H149" s="9"/>
      <c r="I149" s="9"/>
      <c r="J149" s="9"/>
      <c r="K149" s="9"/>
      <c r="L149" s="9"/>
      <c r="M149" s="9"/>
      <c r="N149" s="9"/>
      <c r="O149" s="9"/>
      <c r="P149" s="9"/>
      <c r="Q149" s="9"/>
      <c r="R149" s="9"/>
      <c r="S149" s="9"/>
      <c r="T149" s="9"/>
      <c r="U149" s="9"/>
      <c r="V149" s="39">
        <f t="shared" ref="V149:AA149" si="360">V144+SUM(V146:V148)</f>
        <v>25556.447511099999</v>
      </c>
      <c r="W149" s="39">
        <f t="shared" si="360"/>
        <v>25556.447511099999</v>
      </c>
      <c r="X149" s="39">
        <f t="shared" si="360"/>
        <v>10426.713968529632</v>
      </c>
      <c r="Y149" s="39">
        <f t="shared" si="360"/>
        <v>11695.585620646725</v>
      </c>
      <c r="Z149" s="39">
        <f t="shared" si="360"/>
        <v>14786.092028216663</v>
      </c>
      <c r="AA149" s="39">
        <f t="shared" si="360"/>
        <v>13328.613368350874</v>
      </c>
      <c r="AB149" s="39">
        <f>AA149</f>
        <v>13328.613368350874</v>
      </c>
      <c r="AC149" s="39">
        <f>AC144+SUM(AC146:AC148)</f>
        <v>16593.510387413389</v>
      </c>
      <c r="AD149" s="39">
        <f>AD144+SUM(AD146:AD148)</f>
        <v>6462.8911366211287</v>
      </c>
      <c r="AE149" s="39">
        <f>AE144+SUM(AE146:AE148)</f>
        <v>5507.0081767440306</v>
      </c>
      <c r="AF149" s="39">
        <f>AF144+SUM(AF146:AF148)</f>
        <v>6967.3197741621125</v>
      </c>
      <c r="AG149" s="39">
        <f>AF149</f>
        <v>6967.3197741621125</v>
      </c>
      <c r="AH149" s="39">
        <f>AH144+SUM(AH146:AH148)</f>
        <v>6700.928448297519</v>
      </c>
      <c r="AI149" s="39">
        <f>AI144+SUM(AI146:AI148)</f>
        <v>7628.5805474434037</v>
      </c>
      <c r="AJ149" s="39">
        <f>AJ144+SUM(AJ146:AJ148)</f>
        <v>8280.1105320422012</v>
      </c>
      <c r="AK149" s="39">
        <f>AK144+SUM(AK146:AK148)</f>
        <v>8774.9575626580299</v>
      </c>
      <c r="AL149" s="39">
        <f>AK149</f>
        <v>8774.9575626580299</v>
      </c>
      <c r="AM149" s="39">
        <f t="shared" ref="AM149:AV149" si="361">AM144+SUM(AM146:AM148)</f>
        <v>8315.5390136712813</v>
      </c>
      <c r="AN149" s="39">
        <f t="shared" si="361"/>
        <v>8541.0431125545601</v>
      </c>
      <c r="AO149" s="39">
        <f t="shared" si="361"/>
        <v>11452.011577830413</v>
      </c>
      <c r="AP149" s="39">
        <f t="shared" ref="AP149" si="362">AP144+SUM(AP146:AP148)</f>
        <v>11709.453128216057</v>
      </c>
      <c r="AQ149" s="39">
        <f>AP149</f>
        <v>11709.453128216057</v>
      </c>
      <c r="AR149" s="39">
        <f t="shared" si="361"/>
        <v>14498.545745606578</v>
      </c>
      <c r="AS149" s="39">
        <f t="shared" si="361"/>
        <v>17615.109373399999</v>
      </c>
      <c r="AT149" s="39">
        <f t="shared" si="361"/>
        <v>18841.747877449998</v>
      </c>
      <c r="AU149" s="39">
        <f t="shared" si="361"/>
        <v>22766.649646149996</v>
      </c>
      <c r="AV149" s="39">
        <f t="shared" si="361"/>
        <v>22766.649646149996</v>
      </c>
      <c r="AW149" s="39">
        <f t="shared" ref="AW149" si="363">AW144+SUM(AW146:AW148)</f>
        <v>15215.537346899999</v>
      </c>
      <c r="AX149" s="39">
        <f t="shared" ref="AX149" si="364">AX144+SUM(AX146:AX148)</f>
        <v>10819.976000000001</v>
      </c>
      <c r="AY149" s="39">
        <f t="shared" ref="AY149" si="365">AY144+SUM(AY146:AY148)</f>
        <v>5786.64</v>
      </c>
      <c r="AZ149" s="39">
        <f t="shared" ref="AZ149" si="366">AZ144+SUM(AZ146:AZ148)</f>
        <v>3457.7600000000011</v>
      </c>
      <c r="BA149" s="39">
        <f t="shared" ref="BA149" si="367">BA144+SUM(BA146:BA148)</f>
        <v>3457.7600000000011</v>
      </c>
      <c r="BB149" s="39">
        <f t="shared" ref="BB149" si="368">BB144+SUM(BB146:BB148)</f>
        <v>0</v>
      </c>
      <c r="BC149" s="39">
        <f t="shared" ref="BC149" si="369">BC144+SUM(BC146:BC148)</f>
        <v>0</v>
      </c>
      <c r="BD149" s="39">
        <f t="shared" ref="BD149" si="370">BD144+SUM(BD146:BD148)</f>
        <v>0</v>
      </c>
      <c r="BE149" s="39">
        <f t="shared" ref="BE149" si="371">BE144+SUM(BE146:BE148)</f>
        <v>0</v>
      </c>
      <c r="BF149" s="39">
        <f t="shared" ref="BF149" si="372">BF144+SUM(BF146:BF148)</f>
        <v>0</v>
      </c>
      <c r="BG149" s="39">
        <f t="shared" ref="BG149" si="373">BG144+SUM(BG146:BG148)</f>
        <v>0</v>
      </c>
      <c r="BH149" s="39">
        <f t="shared" ref="BH149" si="374">BH144+SUM(BH146:BH148)</f>
        <v>0</v>
      </c>
      <c r="BI149" s="39">
        <f t="shared" ref="BI149" si="375">BI144+SUM(BI146:BI148)</f>
        <v>0</v>
      </c>
      <c r="BJ149" s="39">
        <f t="shared" ref="BJ149" si="376">BJ144+SUM(BJ146:BJ148)</f>
        <v>0</v>
      </c>
      <c r="BK149" s="39">
        <f t="shared" ref="BK149" si="377">BK144+SUM(BK146:BK148)</f>
        <v>0</v>
      </c>
      <c r="BL149" s="39">
        <f t="shared" ref="BL149" si="378">BL144+SUM(BL146:BL148)</f>
        <v>0</v>
      </c>
      <c r="BM149" s="39">
        <f t="shared" ref="BM149" si="379">BM144+SUM(BM146:BM148)</f>
        <v>0</v>
      </c>
      <c r="BN149" s="39">
        <f t="shared" ref="BN149" si="380">BN144+SUM(BN146:BN148)</f>
        <v>0</v>
      </c>
      <c r="BO149" s="39">
        <f t="shared" ref="BO149" si="381">BO144+SUM(BO146:BO148)</f>
        <v>0</v>
      </c>
      <c r="BP149" s="39">
        <f t="shared" ref="BP149" si="382">BP144+SUM(BP146:BP148)</f>
        <v>0</v>
      </c>
      <c r="BQ149" s="39">
        <f t="shared" ref="BQ149" si="383">BQ144+SUM(BQ146:BQ148)</f>
        <v>0</v>
      </c>
      <c r="BR149" s="39">
        <f t="shared" ref="BR149" si="384">BR144+SUM(BR146:BR148)</f>
        <v>0</v>
      </c>
      <c r="BS149" s="39">
        <f t="shared" ref="BS149" si="385">BS144+SUM(BS146:BS148)</f>
        <v>0</v>
      </c>
      <c r="BT149" s="39">
        <f t="shared" ref="BT149" si="386">BT144+SUM(BT146:BT148)</f>
        <v>0</v>
      </c>
      <c r="BU149" s="39">
        <f t="shared" ref="BU149" si="387">BU144+SUM(BU146:BU148)</f>
        <v>0</v>
      </c>
      <c r="BV149" s="39">
        <f t="shared" ref="BV149" si="388">BV144+SUM(BV146:BV148)</f>
        <v>0</v>
      </c>
      <c r="BW149" s="39">
        <f t="shared" ref="BW149" si="389">BW144+SUM(BW146:BW148)</f>
        <v>0</v>
      </c>
      <c r="BX149" s="39">
        <f t="shared" ref="BX149" si="390">BX144+SUM(BX146:BX148)</f>
        <v>0</v>
      </c>
      <c r="BY149" s="39">
        <f t="shared" ref="BY149" si="391">BY144+SUM(BY146:BY148)</f>
        <v>0</v>
      </c>
      <c r="BZ149" s="39">
        <f t="shared" ref="BZ149" si="392">BZ144+SUM(BZ146:BZ148)</f>
        <v>0</v>
      </c>
    </row>
    <row r="150" spans="1:78">
      <c r="AE150" s="98" t="s">
        <v>1043</v>
      </c>
      <c r="AF150" s="71"/>
      <c r="AR150" s="522" t="s">
        <v>2553</v>
      </c>
      <c r="AS150" s="71"/>
      <c r="AT150" s="71"/>
      <c r="AU150" s="71"/>
      <c r="AV150" s="71"/>
      <c r="AW150" s="71"/>
      <c r="AX150" s="71"/>
      <c r="AY150" s="71"/>
    </row>
    <row r="151" spans="1:78">
      <c r="A151" s="1" t="s">
        <v>1016</v>
      </c>
      <c r="V151" s="36">
        <f t="shared" ref="V151:AA151" si="393">V152-V149</f>
        <v>3571.5502836257183</v>
      </c>
      <c r="W151" s="36">
        <f t="shared" si="393"/>
        <v>3571.5502836257183</v>
      </c>
      <c r="X151" s="36">
        <f t="shared" si="393"/>
        <v>2196.2672826305698</v>
      </c>
      <c r="Y151" s="36">
        <f t="shared" si="393"/>
        <v>308.19509768975877</v>
      </c>
      <c r="Z151" s="36">
        <f t="shared" si="393"/>
        <v>382.9900973872027</v>
      </c>
      <c r="AA151" s="36">
        <f t="shared" si="393"/>
        <v>310.62427955807834</v>
      </c>
      <c r="AB151" s="36">
        <f>AA151</f>
        <v>310.62427955807834</v>
      </c>
      <c r="AC151" s="36">
        <f>AC152-AC149</f>
        <v>407.75566431386687</v>
      </c>
      <c r="AD151" s="36">
        <f>AD152-AD149</f>
        <v>506.37262320732043</v>
      </c>
      <c r="AE151" s="36">
        <f>AE152-AE149</f>
        <v>926.65553391498543</v>
      </c>
      <c r="AF151" s="36">
        <f>AF152-AF149</f>
        <v>876.45831228285806</v>
      </c>
      <c r="AG151" s="36">
        <f>AF151</f>
        <v>876.45831228285806</v>
      </c>
      <c r="AH151" s="36">
        <f>AH152-AH149</f>
        <v>615.43093127520569</v>
      </c>
      <c r="AI151" s="36">
        <f>AI152-AI149</f>
        <v>312.85996080878886</v>
      </c>
      <c r="AJ151" s="36">
        <f>AJ152-AJ149</f>
        <v>386.0537482893742</v>
      </c>
      <c r="AK151" s="36">
        <f>AK152-AK149</f>
        <v>436.45560292273876</v>
      </c>
      <c r="AL151" s="36">
        <f>AK151</f>
        <v>436.45560292273876</v>
      </c>
      <c r="AM151" s="36">
        <f>AM152-AM149</f>
        <v>-39.106156232837748</v>
      </c>
      <c r="AN151" s="36">
        <f>AN152-AN149</f>
        <v>-50.603214172424487</v>
      </c>
      <c r="AO151" s="36">
        <f>AO152-AO149</f>
        <v>-29.886498510102683</v>
      </c>
      <c r="AP151" s="36">
        <f>AP152-AP149</f>
        <v>-85.386025646874259</v>
      </c>
      <c r="AQ151" s="36">
        <f>AP151</f>
        <v>-85.386025646874259</v>
      </c>
      <c r="AR151" s="36">
        <f>AR152-AR149</f>
        <v>525.97775349319454</v>
      </c>
      <c r="AS151" s="36">
        <f>AS152-AS149</f>
        <v>-29.458143805659347</v>
      </c>
      <c r="AT151" s="36">
        <f>AT152-AT149</f>
        <v>-2.4508740361634409</v>
      </c>
      <c r="AU151" s="36">
        <f>AU152-AU149</f>
        <v>-27.216794357595063</v>
      </c>
      <c r="AV151" s="36">
        <f>AU151</f>
        <v>-27.216794357595063</v>
      </c>
      <c r="AW151" s="36">
        <f>AW152-AW149</f>
        <v>-23.21637459145677</v>
      </c>
      <c r="AX151" s="36">
        <f>AX152-AX149</f>
        <v>-5.8975475550778356</v>
      </c>
    </row>
    <row r="152" spans="1:78">
      <c r="A152" s="9" t="s">
        <v>987</v>
      </c>
      <c r="B152" s="9"/>
      <c r="C152" s="9"/>
      <c r="D152" s="9"/>
      <c r="E152" s="9"/>
      <c r="F152" s="9"/>
      <c r="G152" s="9"/>
      <c r="H152" s="9"/>
      <c r="I152" s="9"/>
      <c r="J152" s="9"/>
      <c r="K152" s="9"/>
      <c r="L152" s="9"/>
      <c r="M152" s="9"/>
      <c r="N152" s="9"/>
      <c r="O152" s="9"/>
      <c r="P152" s="9"/>
      <c r="Q152" s="9"/>
      <c r="R152" s="9"/>
      <c r="S152" s="9"/>
      <c r="T152" s="9"/>
      <c r="U152" s="9"/>
      <c r="V152" s="39">
        <f>1000*'Valuation &amp; SBG NAV'!AK62</f>
        <v>29127.997794725718</v>
      </c>
      <c r="W152" s="39">
        <f>1000*'Valuation &amp; SBG NAV'!AL62</f>
        <v>29127.997794725718</v>
      </c>
      <c r="X152" s="39">
        <f>1000*'Valuation &amp; SBG NAV'!AM62</f>
        <v>12622.981251160201</v>
      </c>
      <c r="Y152" s="39">
        <f>1000*'Valuation &amp; SBG NAV'!AN62</f>
        <v>12003.780718336484</v>
      </c>
      <c r="Z152" s="39">
        <f>1000*'Valuation &amp; SBG NAV'!AO62</f>
        <v>15169.082125603865</v>
      </c>
      <c r="AA152" s="39">
        <f>1000*'Valuation &amp; SBG NAV'!AP62</f>
        <v>13639.237647908953</v>
      </c>
      <c r="AB152" s="39">
        <f>AA152</f>
        <v>13639.237647908953</v>
      </c>
      <c r="AC152" s="39">
        <f>1000*'Valuation &amp; SBG NAV'!AR62</f>
        <v>17001.266051727256</v>
      </c>
      <c r="AD152" s="39">
        <f>1000*'Valuation &amp; SBG NAV'!AS62</f>
        <v>6969.2637598284491</v>
      </c>
      <c r="AE152" s="39">
        <f>1000*'Valuation &amp; SBG NAV'!AT62</f>
        <v>6433.663710659016</v>
      </c>
      <c r="AF152" s="39">
        <f>1000*'Valuation &amp; SBG NAV'!AU62</f>
        <v>7843.7780864449705</v>
      </c>
      <c r="AG152" s="39">
        <f>AF152</f>
        <v>7843.7780864449705</v>
      </c>
      <c r="AH152" s="39">
        <f>1000*'Valuation &amp; SBG NAV'!AW62</f>
        <v>7316.3593795727247</v>
      </c>
      <c r="AI152" s="39">
        <f>1000*'Valuation &amp; SBG NAV'!AX62</f>
        <v>7941.4405082521926</v>
      </c>
      <c r="AJ152" s="39">
        <f>1000*'Valuation &amp; SBG NAV'!AY62</f>
        <v>8666.1642803315754</v>
      </c>
      <c r="AK152" s="39">
        <f>1000*'Valuation &amp; SBG NAV'!AZ62</f>
        <v>9211.4131655807687</v>
      </c>
      <c r="AL152" s="39">
        <f>AK152</f>
        <v>9211.4131655807687</v>
      </c>
      <c r="AM152" s="39">
        <f>1000*'Valuation &amp; SBG NAV'!BB62</f>
        <v>8276.4328574384435</v>
      </c>
      <c r="AN152" s="39">
        <f>1000*'Valuation &amp; SBG NAV'!BC62</f>
        <v>8490.4398983821357</v>
      </c>
      <c r="AO152" s="39">
        <f>1000*'Valuation &amp; SBG NAV'!BD62</f>
        <v>11422.125079320311</v>
      </c>
      <c r="AP152" s="39">
        <f>1000*'Valuation &amp; SBG NAV'!BE62</f>
        <v>11624.067102569183</v>
      </c>
      <c r="AQ152" s="39">
        <f>AP152</f>
        <v>11624.067102569183</v>
      </c>
      <c r="AR152" s="39">
        <f>1000*'Valuation &amp; SBG NAV'!BG62</f>
        <v>15024.523499099772</v>
      </c>
      <c r="AS152" s="39">
        <f>1000*'Valuation &amp; SBG NAV'!BH62</f>
        <v>17585.651229594339</v>
      </c>
      <c r="AT152" s="39">
        <f>1000*'Valuation &amp; SBG NAV'!BI62</f>
        <v>18839.297003413834</v>
      </c>
      <c r="AU152" s="39">
        <f>1000*'Valuation &amp; SBG NAV'!BJ62</f>
        <v>22739.4328517924</v>
      </c>
      <c r="AV152" s="39">
        <f>AU152</f>
        <v>22739.4328517924</v>
      </c>
      <c r="AW152" s="39">
        <f>1000*'Valuation &amp; SBG NAV'!BL62</f>
        <v>15192.320972308542</v>
      </c>
      <c r="AX152" s="39">
        <f>1000*'Valuation &amp; SBG NAV'!BM62</f>
        <v>10814.078452444923</v>
      </c>
      <c r="AY152" s="39">
        <f t="shared" ref="AY152:BA152" si="394">AY149</f>
        <v>5786.64</v>
      </c>
      <c r="AZ152" s="39">
        <f t="shared" si="394"/>
        <v>3457.7600000000011</v>
      </c>
      <c r="BA152" s="39">
        <f t="shared" si="394"/>
        <v>3457.7600000000011</v>
      </c>
      <c r="BB152" s="39">
        <f t="shared" ref="BB152:BU152" si="395">BB149</f>
        <v>0</v>
      </c>
      <c r="BC152" s="39">
        <f t="shared" si="395"/>
        <v>0</v>
      </c>
      <c r="BD152" s="39">
        <f t="shared" si="395"/>
        <v>0</v>
      </c>
      <c r="BE152" s="39">
        <f t="shared" si="395"/>
        <v>0</v>
      </c>
      <c r="BF152" s="39">
        <f t="shared" si="395"/>
        <v>0</v>
      </c>
      <c r="BG152" s="39">
        <f t="shared" si="395"/>
        <v>0</v>
      </c>
      <c r="BH152" s="39">
        <f t="shared" si="395"/>
        <v>0</v>
      </c>
      <c r="BI152" s="39">
        <f t="shared" si="395"/>
        <v>0</v>
      </c>
      <c r="BJ152" s="39">
        <f t="shared" si="395"/>
        <v>0</v>
      </c>
      <c r="BK152" s="39">
        <f t="shared" si="395"/>
        <v>0</v>
      </c>
      <c r="BL152" s="39">
        <f t="shared" si="395"/>
        <v>0</v>
      </c>
      <c r="BM152" s="39">
        <f t="shared" si="395"/>
        <v>0</v>
      </c>
      <c r="BN152" s="39">
        <f t="shared" si="395"/>
        <v>0</v>
      </c>
      <c r="BO152" s="39">
        <f t="shared" si="395"/>
        <v>0</v>
      </c>
      <c r="BP152" s="39">
        <f t="shared" si="395"/>
        <v>0</v>
      </c>
      <c r="BQ152" s="39">
        <f t="shared" si="395"/>
        <v>0</v>
      </c>
      <c r="BR152" s="39">
        <f t="shared" si="395"/>
        <v>0</v>
      </c>
      <c r="BS152" s="39">
        <f t="shared" si="395"/>
        <v>0</v>
      </c>
      <c r="BT152" s="39">
        <f t="shared" si="395"/>
        <v>0</v>
      </c>
      <c r="BU152" s="39">
        <f t="shared" si="395"/>
        <v>0</v>
      </c>
      <c r="BV152" s="39">
        <f t="shared" ref="BV152:BZ152" si="396">BV149</f>
        <v>0</v>
      </c>
      <c r="BW152" s="39">
        <f t="shared" si="396"/>
        <v>0</v>
      </c>
      <c r="BX152" s="39">
        <f t="shared" si="396"/>
        <v>0</v>
      </c>
      <c r="BY152" s="39">
        <f t="shared" si="396"/>
        <v>0</v>
      </c>
      <c r="BZ152" s="39">
        <f t="shared" si="396"/>
        <v>0</v>
      </c>
    </row>
    <row r="153" spans="1:78">
      <c r="AC153" s="22" t="s">
        <v>1042</v>
      </c>
      <c r="AO153" s="98" t="s">
        <v>1046</v>
      </c>
      <c r="AP153" s="71"/>
      <c r="AQ153" s="71"/>
      <c r="AR153" s="71"/>
    </row>
    <row r="154" spans="1:78">
      <c r="A154" s="1" t="s">
        <v>1029</v>
      </c>
      <c r="X154" s="267">
        <v>325.96199999999999</v>
      </c>
      <c r="Y154" s="267">
        <v>373.35</v>
      </c>
      <c r="Z154" s="267">
        <v>520.83100000000002</v>
      </c>
      <c r="AA154" s="267">
        <v>460.709</v>
      </c>
      <c r="AB154" s="269">
        <f>AA154</f>
        <v>460.709</v>
      </c>
      <c r="AC154" s="267">
        <v>658.49199999999996</v>
      </c>
      <c r="AD154" s="267">
        <v>518.68899999999996</v>
      </c>
      <c r="AE154" s="267">
        <v>434.70499999999998</v>
      </c>
      <c r="AF154" s="267">
        <v>591.42899999999997</v>
      </c>
      <c r="AG154" s="269">
        <f>AF154</f>
        <v>591.42899999999997</v>
      </c>
      <c r="AH154" s="267">
        <v>735.899</v>
      </c>
      <c r="AI154" s="267">
        <v>792.01499999999999</v>
      </c>
      <c r="AJ154" s="267">
        <v>786.45899999999995</v>
      </c>
      <c r="AK154" s="267">
        <v>833.77</v>
      </c>
      <c r="AL154" s="269">
        <f>AK154</f>
        <v>833.77</v>
      </c>
      <c r="AM154" s="267">
        <v>794.70100000000002</v>
      </c>
      <c r="AN154" s="267">
        <v>847.5</v>
      </c>
      <c r="AO154" s="280"/>
    </row>
    <row r="155" spans="1:78">
      <c r="A155" s="1" t="s">
        <v>1030</v>
      </c>
      <c r="X155" s="267">
        <v>147.49700000000001</v>
      </c>
      <c r="Y155" s="267">
        <v>178.67</v>
      </c>
      <c r="Z155" s="267">
        <v>235.93</v>
      </c>
      <c r="AA155" s="267">
        <v>204.821</v>
      </c>
      <c r="AB155" s="269">
        <f>AA155</f>
        <v>204.821</v>
      </c>
      <c r="AC155" s="267">
        <v>271.54000000000002</v>
      </c>
      <c r="AD155" s="267">
        <v>91.322000000000003</v>
      </c>
      <c r="AE155" s="267">
        <v>74.228999999999999</v>
      </c>
      <c r="AF155" s="267">
        <v>103.754</v>
      </c>
      <c r="AG155" s="269">
        <f>AF155</f>
        <v>103.754</v>
      </c>
      <c r="AH155" s="267">
        <v>52.277000000000001</v>
      </c>
      <c r="AI155" s="267">
        <v>54.652999999999999</v>
      </c>
      <c r="AJ155" s="267">
        <v>53.869</v>
      </c>
      <c r="AK155" s="267">
        <v>55.055999999999997</v>
      </c>
      <c r="AL155" s="269">
        <f>AK155</f>
        <v>55.055999999999997</v>
      </c>
      <c r="AM155" s="267">
        <v>52.024000000000001</v>
      </c>
      <c r="AN155" s="267">
        <v>53.408999999999999</v>
      </c>
      <c r="AO155" s="267">
        <v>66.346000000000004</v>
      </c>
      <c r="AP155" s="267">
        <v>70.698999999999998</v>
      </c>
      <c r="AQ155" s="269">
        <f>AP155</f>
        <v>70.698999999999998</v>
      </c>
    </row>
    <row r="156" spans="1:78">
      <c r="AD156" s="25" t="s">
        <v>1032</v>
      </c>
    </row>
    <row r="157" spans="1:78">
      <c r="A157" s="1" t="s">
        <v>1024</v>
      </c>
      <c r="X157" s="267">
        <f>4380*X245/1000</f>
        <v>471.90119999999996</v>
      </c>
      <c r="Y157" s="267">
        <v>459.4</v>
      </c>
      <c r="Z157" s="267">
        <v>449.7</v>
      </c>
      <c r="AA157" s="267">
        <v>481.3</v>
      </c>
      <c r="AB157" s="269">
        <f>AA157</f>
        <v>481.3</v>
      </c>
      <c r="AC157" s="267">
        <v>481</v>
      </c>
    </row>
    <row r="158" spans="1:78">
      <c r="A158" s="1" t="s">
        <v>1025</v>
      </c>
      <c r="X158" s="14">
        <f>X157-X159</f>
        <v>224.09919999999997</v>
      </c>
      <c r="Y158" s="14">
        <f>Y157-Y159</f>
        <v>216.05999999999997</v>
      </c>
      <c r="Z158" s="14">
        <f>Z157-Z159</f>
        <v>211.64999999999998</v>
      </c>
      <c r="AA158" s="14">
        <f>AA157-AA159</f>
        <v>226.667</v>
      </c>
      <c r="AB158" s="14">
        <f>AA158</f>
        <v>226.667</v>
      </c>
      <c r="AC158" s="14">
        <f>AC157-AC159</f>
        <v>226.666</v>
      </c>
      <c r="AD158" s="14"/>
    </row>
    <row r="159" spans="1:78">
      <c r="A159" s="9" t="s">
        <v>1026</v>
      </c>
      <c r="B159" s="9"/>
      <c r="C159" s="9"/>
      <c r="D159" s="9"/>
      <c r="E159" s="9"/>
      <c r="F159" s="9"/>
      <c r="G159" s="9"/>
      <c r="H159" s="9"/>
      <c r="I159" s="9"/>
      <c r="J159" s="9"/>
      <c r="K159" s="9"/>
      <c r="L159" s="9"/>
      <c r="M159" s="9"/>
      <c r="N159" s="9"/>
      <c r="O159" s="9"/>
      <c r="P159" s="9"/>
      <c r="Q159" s="9"/>
      <c r="R159" s="9"/>
      <c r="S159" s="9"/>
      <c r="T159" s="9"/>
      <c r="U159" s="9"/>
      <c r="V159" s="9"/>
      <c r="W159" s="9"/>
      <c r="X159" s="275">
        <f>-X148*X245/1000</f>
        <v>247.80199999999999</v>
      </c>
      <c r="Y159" s="275">
        <f>-Y148*Y245/1000</f>
        <v>243.34</v>
      </c>
      <c r="Z159" s="275">
        <f>-Z148*Z245/1000</f>
        <v>238.05</v>
      </c>
      <c r="AA159" s="275">
        <f>-AA148*AA245/1000</f>
        <v>254.63300000000001</v>
      </c>
      <c r="AB159" s="275">
        <f>AA159</f>
        <v>254.63300000000001</v>
      </c>
      <c r="AC159" s="275">
        <f>-AC148*AC245/1000</f>
        <v>254.334</v>
      </c>
      <c r="AD159" s="276">
        <v>435.3</v>
      </c>
      <c r="AE159" s="15">
        <f>SUM(AE161:AE162)</f>
        <v>539.79999999999995</v>
      </c>
      <c r="AF159" s="15">
        <f>SUM(AF161:AF162)</f>
        <v>592</v>
      </c>
      <c r="AG159" s="275">
        <f>AF159</f>
        <v>592</v>
      </c>
      <c r="AH159" s="15">
        <f>SUM(AH161:AH162)</f>
        <v>499.09999999999997</v>
      </c>
      <c r="AI159" s="15">
        <f>SUM(AI161:AI162)</f>
        <v>405.4</v>
      </c>
      <c r="AJ159" s="15">
        <f>SUM(AJ161:AJ162)</f>
        <v>372.7</v>
      </c>
      <c r="AK159" s="15">
        <f>SUM(AK161:AK162)</f>
        <v>376.2</v>
      </c>
      <c r="AL159" s="275">
        <f>AK159</f>
        <v>376.2</v>
      </c>
      <c r="AM159" s="15">
        <f>SUM(AM161:AM162)</f>
        <v>409.8</v>
      </c>
      <c r="AN159" s="15">
        <f>SUM(AN161:AN162)</f>
        <v>424.4</v>
      </c>
      <c r="AO159" s="15">
        <f>SUM(AO161:AO162)</f>
        <v>403.5</v>
      </c>
      <c r="AP159" s="15">
        <f>SUM(AP161:AP162)</f>
        <v>432.2</v>
      </c>
      <c r="AQ159" s="275">
        <f>AP159</f>
        <v>432.2</v>
      </c>
    </row>
    <row r="160" spans="1:78">
      <c r="AD160" s="25" t="s">
        <v>1033</v>
      </c>
    </row>
    <row r="161" spans="1:78">
      <c r="A161" s="1" t="s">
        <v>1040</v>
      </c>
      <c r="AD161" s="25"/>
      <c r="AE161" s="267">
        <v>236.2</v>
      </c>
      <c r="AF161" s="267">
        <v>340.4</v>
      </c>
      <c r="AG161" s="269">
        <f>AF161</f>
        <v>340.4</v>
      </c>
      <c r="AH161" s="267">
        <v>381.4</v>
      </c>
      <c r="AI161" s="267">
        <v>405.4</v>
      </c>
      <c r="AJ161" s="267">
        <v>372.7</v>
      </c>
      <c r="AK161" s="267">
        <v>376.2</v>
      </c>
      <c r="AL161" s="269">
        <f>AK161</f>
        <v>376.2</v>
      </c>
      <c r="AM161" s="267">
        <v>409.8</v>
      </c>
      <c r="AN161" s="267">
        <v>424.4</v>
      </c>
      <c r="AO161" s="267">
        <v>403.5</v>
      </c>
      <c r="AP161" s="267">
        <v>432.2</v>
      </c>
      <c r="AQ161" s="269">
        <f>AP161</f>
        <v>432.2</v>
      </c>
      <c r="AR161" s="267">
        <v>87</v>
      </c>
      <c r="AS161" s="269"/>
      <c r="AT161" s="269"/>
      <c r="AU161" s="269"/>
      <c r="AV161" s="269"/>
      <c r="AW161" s="269"/>
      <c r="AX161" s="269"/>
      <c r="AY161" s="269"/>
      <c r="AZ161" s="269"/>
      <c r="BA161" s="269"/>
      <c r="BB161" s="269"/>
      <c r="BC161" s="269"/>
      <c r="BD161" s="269"/>
      <c r="BE161" s="269"/>
      <c r="BF161" s="269"/>
      <c r="BG161" s="269"/>
      <c r="BH161" s="269"/>
      <c r="BI161" s="269"/>
      <c r="BJ161" s="269"/>
      <c r="BK161" s="269"/>
      <c r="BL161" s="269"/>
      <c r="BM161" s="269"/>
      <c r="BN161" s="269"/>
      <c r="BO161" s="269"/>
      <c r="BP161" s="269"/>
      <c r="BQ161" s="269"/>
      <c r="BR161" s="269"/>
      <c r="BS161" s="269"/>
      <c r="BT161" s="269"/>
      <c r="BU161" s="269"/>
      <c r="BV161" s="269"/>
      <c r="BW161" s="269"/>
      <c r="BX161" s="269"/>
      <c r="BY161" s="269"/>
      <c r="BZ161" s="269"/>
    </row>
    <row r="162" spans="1:78">
      <c r="A162" s="1" t="s">
        <v>1041</v>
      </c>
      <c r="AD162" s="25"/>
      <c r="AE162" s="267">
        <v>303.60000000000002</v>
      </c>
      <c r="AF162" s="267">
        <v>251.6</v>
      </c>
      <c r="AG162" s="269">
        <f>AF162</f>
        <v>251.6</v>
      </c>
      <c r="AH162" s="267">
        <v>117.7</v>
      </c>
    </row>
    <row r="163" spans="1:78">
      <c r="AD163" s="25"/>
    </row>
    <row r="164" spans="1:78">
      <c r="A164" s="3" t="s">
        <v>1971</v>
      </c>
      <c r="AD164" s="25"/>
    </row>
    <row r="165" spans="1:78">
      <c r="AD165" s="25"/>
    </row>
    <row r="166" spans="1:78">
      <c r="A166" s="1" t="s">
        <v>1979</v>
      </c>
      <c r="AD166" s="36"/>
      <c r="AE166" s="36"/>
      <c r="AF166" s="36"/>
      <c r="AG166" s="36"/>
      <c r="AH166" s="36">
        <f t="shared" ref="AH166:AO166" si="397">AH147</f>
        <v>-382.47731928592333</v>
      </c>
      <c r="AI166" s="36">
        <f t="shared" si="397"/>
        <v>-377.41178095435396</v>
      </c>
      <c r="AJ166" s="36">
        <f t="shared" si="397"/>
        <v>-405.94574227581012</v>
      </c>
      <c r="AK166" s="36">
        <f t="shared" si="397"/>
        <v>-412.311840035947</v>
      </c>
      <c r="AL166" s="36">
        <f t="shared" si="397"/>
        <v>-412.311840035947</v>
      </c>
      <c r="AM166" s="36">
        <f t="shared" si="397"/>
        <v>-358.81095247948133</v>
      </c>
      <c r="AN166" s="36">
        <f t="shared" si="397"/>
        <v>-357.05976734857597</v>
      </c>
      <c r="AO166" s="36">
        <f t="shared" si="397"/>
        <v>-467.78537685962061</v>
      </c>
      <c r="AP166" s="36">
        <f t="shared" ref="AP166" si="398">AP147</f>
        <v>-466.93745459348787</v>
      </c>
      <c r="AQ166" s="36">
        <f>AP166</f>
        <v>-466.93745459348787</v>
      </c>
      <c r="AR166" s="613"/>
      <c r="AS166" s="36"/>
      <c r="AT166" s="36"/>
      <c r="AU166" s="36"/>
      <c r="AV166" s="36"/>
      <c r="AW166" s="36"/>
      <c r="AX166" s="36"/>
      <c r="AY166" s="36"/>
      <c r="AZ166" s="36"/>
      <c r="BA166" s="36"/>
      <c r="BB166" s="36"/>
      <c r="BC166" s="36"/>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row>
    <row r="167" spans="1:78">
      <c r="A167" s="1" t="s">
        <v>1294</v>
      </c>
      <c r="AD167" s="25"/>
      <c r="AE167" s="16"/>
      <c r="AF167" s="16"/>
      <c r="AG167" s="16"/>
      <c r="AH167" s="16"/>
      <c r="AI167" s="77">
        <f t="shared" ref="AI167:AP167" si="399">AI166/AH166-1</f>
        <v>-1.3244022785525167E-2</v>
      </c>
      <c r="AJ167" s="77">
        <f t="shared" si="399"/>
        <v>7.5604320695296989E-2</v>
      </c>
      <c r="AK167" s="77">
        <f t="shared" si="399"/>
        <v>1.5682139500829084E-2</v>
      </c>
      <c r="AL167" s="16"/>
      <c r="AM167" s="77">
        <f t="shared" si="399"/>
        <v>-0.12975831000099647</v>
      </c>
      <c r="AN167" s="77">
        <f t="shared" si="399"/>
        <v>-4.8805230687752887E-3</v>
      </c>
      <c r="AO167" s="77">
        <f t="shared" si="399"/>
        <v>0.31010385273384755</v>
      </c>
      <c r="AP167" s="77">
        <f t="shared" si="399"/>
        <v>-1.8126309800984286E-3</v>
      </c>
      <c r="AR167" s="405">
        <f>AR168</f>
        <v>7.9402034064453009E-2</v>
      </c>
      <c r="AS167" s="405">
        <f>AS168</f>
        <v>0.1713020774208196</v>
      </c>
      <c r="AT167" s="405">
        <f>AT168</f>
        <v>6.963558829230454E-2</v>
      </c>
      <c r="AU167" s="405">
        <f>AU168</f>
        <v>0.20830879354867937</v>
      </c>
      <c r="AV167" s="26"/>
      <c r="AW167" s="405">
        <f>AW168</f>
        <v>-0.10667016609800906</v>
      </c>
      <c r="AX167" s="405">
        <f>AX168</f>
        <v>4.7007470830184861E-3</v>
      </c>
      <c r="AY167" s="405">
        <f>AY168</f>
        <v>-0.15180883950204693</v>
      </c>
      <c r="AZ167" s="405">
        <f>AZ168</f>
        <v>6.4371552403467369E-2</v>
      </c>
      <c r="BA167" s="26"/>
      <c r="BB167" s="405">
        <f>BB168</f>
        <v>1.9426546908273501E-2</v>
      </c>
      <c r="BC167" s="405">
        <f>BC168</f>
        <v>1.9426546908273501E-2</v>
      </c>
      <c r="BD167" s="405">
        <f>BD168</f>
        <v>1.9426546908273501E-2</v>
      </c>
      <c r="BE167" s="405">
        <f>BE168</f>
        <v>1.9426546908273501E-2</v>
      </c>
      <c r="BF167" s="26"/>
      <c r="BG167" s="405">
        <f>BG168</f>
        <v>1.9426546908273501E-2</v>
      </c>
      <c r="BH167" s="405">
        <f>BH168</f>
        <v>1.9426546908273501E-2</v>
      </c>
      <c r="BI167" s="405">
        <f>BI168</f>
        <v>1.9426546908273501E-2</v>
      </c>
      <c r="BJ167" s="405">
        <f>BJ168</f>
        <v>1.9426546908273501E-2</v>
      </c>
      <c r="BK167" s="26"/>
      <c r="BL167" s="405">
        <f>BL168</f>
        <v>1.9426546908273501E-2</v>
      </c>
      <c r="BM167" s="405">
        <f>BM168</f>
        <v>1.9426546908273501E-2</v>
      </c>
      <c r="BN167" s="405">
        <f>BN168</f>
        <v>1.9426546908273501E-2</v>
      </c>
      <c r="BO167" s="405">
        <f>BO168</f>
        <v>1.9426546908273501E-2</v>
      </c>
      <c r="BP167" s="26"/>
      <c r="BQ167" s="405">
        <f>BQ168</f>
        <v>1.9426546908273501E-2</v>
      </c>
      <c r="BR167" s="405">
        <f>BR168</f>
        <v>1.9426546908273501E-2</v>
      </c>
      <c r="BS167" s="405">
        <f>BS168</f>
        <v>1.9426546908273501E-2</v>
      </c>
      <c r="BT167" s="405">
        <f>BT168</f>
        <v>1.9426546908273501E-2</v>
      </c>
      <c r="BU167" s="26"/>
      <c r="BV167" s="405">
        <f>BV168</f>
        <v>1.9426546908273501E-2</v>
      </c>
      <c r="BW167" s="405">
        <f>BW168</f>
        <v>1.9426546908273501E-2</v>
      </c>
      <c r="BX167" s="405">
        <f>BX168</f>
        <v>1.9426546908273501E-2</v>
      </c>
      <c r="BY167" s="405">
        <f>BY168</f>
        <v>1.9426546908273501E-2</v>
      </c>
      <c r="BZ167" s="26"/>
    </row>
    <row r="168" spans="1:78" s="26" customFormat="1">
      <c r="A168" s="26" t="s">
        <v>1978</v>
      </c>
      <c r="AD168" s="443"/>
      <c r="AI168" s="444">
        <f>AI140/AH140-1</f>
        <v>-2.7501114910064572E-3</v>
      </c>
      <c r="AJ168" s="444">
        <f>AJ140/AI140-1</f>
        <v>4.3452336587910922E-2</v>
      </c>
      <c r="AK168" s="444">
        <f>AK140/AJ140-1</f>
        <v>3.4571428571428697E-2</v>
      </c>
      <c r="AL168" s="208"/>
      <c r="AM168" s="444">
        <f>AM140/AL140-1</f>
        <v>-4.1010770505385263E-2</v>
      </c>
      <c r="AN168" s="444">
        <f>AN140/AM140-1</f>
        <v>8.2793376529877172E-3</v>
      </c>
      <c r="AO168" s="444">
        <f>AO140/AN140-1</f>
        <v>0.14480542663334517</v>
      </c>
      <c r="AP168" s="444">
        <f>AP140/AO140-1</f>
        <v>1.8025322771783037E-2</v>
      </c>
      <c r="AR168" s="444">
        <f>AR140/AQ140-1</f>
        <v>7.9402034064453009E-2</v>
      </c>
      <c r="AS168" s="444">
        <f>AS140/AR140-1</f>
        <v>0.1713020774208196</v>
      </c>
      <c r="AT168" s="444">
        <f>AT140/AS140-1</f>
        <v>6.963558829230454E-2</v>
      </c>
      <c r="AU168" s="444">
        <f>AU140/AT140-1</f>
        <v>0.20830879354867937</v>
      </c>
      <c r="AW168" s="444">
        <f>AW140/AV140-1</f>
        <v>-0.10667016609800906</v>
      </c>
      <c r="AX168" s="444">
        <f>AX140/AW140-1</f>
        <v>4.7007470830184861E-3</v>
      </c>
      <c r="AY168" s="444">
        <f>AY140/AX140-1</f>
        <v>-0.15180883950204693</v>
      </c>
      <c r="AZ168" s="444">
        <f>AZ140/AY140-1</f>
        <v>6.4371552403467369E-2</v>
      </c>
      <c r="BB168" s="444">
        <f>BB140/BA140-1</f>
        <v>1.9426546908273501E-2</v>
      </c>
      <c r="BC168" s="444">
        <f>BC140/BB140-1</f>
        <v>1.9426546908273501E-2</v>
      </c>
      <c r="BD168" s="444">
        <f>BD140/BC140-1</f>
        <v>1.9426546908273501E-2</v>
      </c>
      <c r="BE168" s="444">
        <f>BE140/BD140-1</f>
        <v>1.9426546908273501E-2</v>
      </c>
      <c r="BG168" s="444">
        <f>BG140/BF140-1</f>
        <v>1.9426546908273501E-2</v>
      </c>
      <c r="BH168" s="444">
        <f>BH140/BG140-1</f>
        <v>1.9426546908273501E-2</v>
      </c>
      <c r="BI168" s="444">
        <f>BI140/BH140-1</f>
        <v>1.9426546908273501E-2</v>
      </c>
      <c r="BJ168" s="444">
        <f>BJ140/BI140-1</f>
        <v>1.9426546908273501E-2</v>
      </c>
      <c r="BL168" s="444">
        <f>BL140/BK140-1</f>
        <v>1.9426546908273501E-2</v>
      </c>
      <c r="BM168" s="444">
        <f>BM140/BL140-1</f>
        <v>1.9426546908273501E-2</v>
      </c>
      <c r="BN168" s="444">
        <f>BN140/BM140-1</f>
        <v>1.9426546908273501E-2</v>
      </c>
      <c r="BO168" s="444">
        <f>BO140/BN140-1</f>
        <v>1.9426546908273501E-2</v>
      </c>
      <c r="BQ168" s="444">
        <f>BQ140/BP140-1</f>
        <v>1.9426546908273501E-2</v>
      </c>
      <c r="BR168" s="444">
        <f>BR140/BQ140-1</f>
        <v>1.9426546908273501E-2</v>
      </c>
      <c r="BS168" s="444">
        <f>BS140/BR140-1</f>
        <v>1.9426546908273501E-2</v>
      </c>
      <c r="BT168" s="444">
        <f>BT140/BS140-1</f>
        <v>1.9426546908273501E-2</v>
      </c>
      <c r="BV168" s="444">
        <f>BV140/BU140-1</f>
        <v>1.9426546908273501E-2</v>
      </c>
      <c r="BW168" s="444">
        <f>BW140/BV140-1</f>
        <v>1.9426546908273501E-2</v>
      </c>
      <c r="BX168" s="444">
        <f>BX140/BW140-1</f>
        <v>1.9426546908273501E-2</v>
      </c>
      <c r="BY168" s="444">
        <f>BY140/BX140-1</f>
        <v>1.9426546908273501E-2</v>
      </c>
    </row>
    <row r="169" spans="1:78">
      <c r="AD169" s="25"/>
      <c r="AO169" s="158" t="s">
        <v>1980</v>
      </c>
      <c r="AR169" s="522" t="s">
        <v>2553</v>
      </c>
      <c r="AS169" s="71"/>
      <c r="AT169" s="71"/>
      <c r="AU169" s="71"/>
      <c r="AV169" s="71"/>
      <c r="AW169" s="71"/>
      <c r="AX169" s="71"/>
      <c r="AY169" s="71"/>
    </row>
    <row r="170" spans="1:78">
      <c r="A170" s="3" t="s">
        <v>1975</v>
      </c>
      <c r="AD170" s="25"/>
    </row>
    <row r="171" spans="1:78">
      <c r="AD171" s="25"/>
      <c r="AH171" s="25" t="s">
        <v>2552</v>
      </c>
    </row>
    <row r="172" spans="1:78">
      <c r="A172" s="1" t="s">
        <v>1976</v>
      </c>
      <c r="AD172" s="25"/>
      <c r="AF172" s="59">
        <f>1000*AF161/AF245</f>
        <v>2781.2729798186128</v>
      </c>
      <c r="AG172" s="59">
        <f>AF172</f>
        <v>2781.2729798186128</v>
      </c>
      <c r="AH172" s="59">
        <f>1000*AH161/AH245</f>
        <v>2790.4594673690372</v>
      </c>
      <c r="AI172" s="59">
        <f>1000*AI161/AI245</f>
        <v>2799.530419169947</v>
      </c>
      <c r="AJ172" s="59">
        <f>1000*AJ161/AJ245</f>
        <v>2808.5908063300681</v>
      </c>
      <c r="AK172" s="59">
        <f>1000*AK161/AK245</f>
        <v>2817.3444169849472</v>
      </c>
      <c r="AL172" s="59">
        <f>AK172</f>
        <v>2817.3444169849472</v>
      </c>
      <c r="AM172" s="59">
        <f>1000*AM161/AM245</f>
        <v>2826.4018208152283</v>
      </c>
      <c r="AN172" s="59">
        <f>1000*AN161/AN245</f>
        <v>2837.27771092392</v>
      </c>
      <c r="AO172" s="59">
        <f>1000*AO161/AO245</f>
        <v>2844.9552280899666</v>
      </c>
      <c r="AP172" s="59">
        <f>1000*AP161/AP245</f>
        <v>2854.5010237104552</v>
      </c>
      <c r="AQ172" s="59">
        <f>AP172</f>
        <v>2854.5010237104552</v>
      </c>
      <c r="AR172" s="59">
        <f>1000*AR161/AR245</f>
        <v>540.13782827342152</v>
      </c>
      <c r="AS172" s="679">
        <v>0</v>
      </c>
      <c r="AT172" s="59"/>
      <c r="AU172" s="59"/>
      <c r="AV172" s="59"/>
      <c r="AW172" s="59"/>
      <c r="AX172" s="59"/>
      <c r="AY172" s="59"/>
      <c r="AZ172" s="59"/>
      <c r="BA172" s="59"/>
      <c r="BB172" s="59"/>
      <c r="BC172" s="59"/>
      <c r="BD172" s="59"/>
      <c r="BE172" s="59"/>
      <c r="BF172" s="59"/>
      <c r="BG172" s="59"/>
      <c r="BH172" s="59"/>
      <c r="BI172" s="59"/>
      <c r="BJ172" s="59"/>
      <c r="BK172" s="59"/>
      <c r="BL172" s="59"/>
      <c r="BM172" s="59"/>
      <c r="BN172" s="59"/>
      <c r="BO172" s="59"/>
      <c r="BP172" s="59"/>
      <c r="BQ172" s="59"/>
      <c r="BR172" s="59"/>
      <c r="BS172" s="59"/>
      <c r="BT172" s="59"/>
      <c r="BU172" s="59"/>
      <c r="BV172" s="59"/>
      <c r="BW172" s="59"/>
      <c r="BX172" s="59"/>
      <c r="BY172" s="59"/>
      <c r="BZ172" s="59"/>
    </row>
    <row r="173" spans="1:78">
      <c r="A173" s="1" t="s">
        <v>1294</v>
      </c>
      <c r="AD173" s="25"/>
      <c r="AF173" s="59"/>
      <c r="AG173" s="59"/>
      <c r="AH173" s="119">
        <f>AH172/AG172-1</f>
        <v>3.3029794691434855E-3</v>
      </c>
      <c r="AI173" s="119">
        <f>AI172/AH172-1</f>
        <v>3.2507018671954491E-3</v>
      </c>
      <c r="AJ173" s="119">
        <f>AJ172/AI172-1</f>
        <v>3.2363953247585009E-3</v>
      </c>
      <c r="AK173" s="119">
        <f>AK172/AJ172-1</f>
        <v>3.1167269490273153E-3</v>
      </c>
      <c r="AL173" s="119">
        <f>AL172/AG172-1</f>
        <v>1.2969398339564231E-2</v>
      </c>
      <c r="AM173" s="119">
        <f>AM172/AL172-1</f>
        <v>3.2148727630447738E-3</v>
      </c>
      <c r="AN173" s="119">
        <f>AN172/AM172-1</f>
        <v>3.8479631694954275E-3</v>
      </c>
      <c r="AO173" s="119">
        <f>AO172/AN172-1</f>
        <v>2.7059449050359508E-3</v>
      </c>
      <c r="AP173" s="119">
        <f>AP172/AO172-1</f>
        <v>3.3553412462301591E-3</v>
      </c>
      <c r="AQ173" s="119">
        <f>AQ172/AL172-1</f>
        <v>1.318852125480352E-2</v>
      </c>
      <c r="AR173" s="119">
        <f>AR172/AQ172-1</f>
        <v>-0.81077679643942913</v>
      </c>
      <c r="AS173" s="119">
        <f>AS172/AR172-1</f>
        <v>-1</v>
      </c>
      <c r="AT173" s="330"/>
      <c r="AU173" s="330"/>
      <c r="AV173" s="119"/>
      <c r="AW173" s="330"/>
      <c r="AX173" s="330"/>
      <c r="AY173" s="330"/>
      <c r="AZ173" s="330"/>
      <c r="BA173" s="119"/>
      <c r="BB173" s="330"/>
      <c r="BC173" s="330"/>
      <c r="BD173" s="330"/>
      <c r="BE173" s="330"/>
      <c r="BF173" s="119"/>
      <c r="BG173" s="330"/>
      <c r="BH173" s="330"/>
      <c r="BI173" s="330"/>
      <c r="BJ173" s="330"/>
      <c r="BK173" s="119"/>
      <c r="BL173" s="330"/>
      <c r="BM173" s="330"/>
      <c r="BN173" s="330"/>
      <c r="BO173" s="330"/>
      <c r="BP173" s="119"/>
      <c r="BQ173" s="330"/>
      <c r="BR173" s="330"/>
      <c r="BS173" s="330"/>
      <c r="BT173" s="330"/>
      <c r="BU173" s="119"/>
      <c r="BV173" s="330"/>
      <c r="BW173" s="330"/>
      <c r="BX173" s="330"/>
      <c r="BY173" s="330"/>
      <c r="BZ173" s="119"/>
    </row>
    <row r="174" spans="1:78">
      <c r="AD174" s="25"/>
      <c r="AF174" s="59"/>
      <c r="AG174" s="59"/>
      <c r="AH174" s="59"/>
      <c r="AI174" s="59"/>
      <c r="AJ174" s="59"/>
      <c r="AK174" s="59"/>
      <c r="AL174" s="59"/>
      <c r="AM174" s="92"/>
      <c r="AN174" s="59"/>
      <c r="AO174" s="59"/>
      <c r="AS174" s="685" t="s">
        <v>2685</v>
      </c>
      <c r="AT174" s="684"/>
      <c r="AU174" s="684"/>
      <c r="AV174" s="684"/>
      <c r="AW174" s="684"/>
      <c r="AX174" s="684"/>
      <c r="AY174" s="684"/>
      <c r="AZ174" s="684"/>
    </row>
    <row r="175" spans="1:78" s="26" customFormat="1">
      <c r="A175" s="26" t="s">
        <v>1972</v>
      </c>
      <c r="AD175" s="443"/>
      <c r="AF175" s="470">
        <f t="shared" ref="AF175:AO175" si="400">AF98</f>
        <v>43.355478999999995</v>
      </c>
      <c r="AG175" s="470">
        <f t="shared" si="400"/>
        <v>43.355478999999995</v>
      </c>
      <c r="AH175" s="470">
        <f t="shared" si="400"/>
        <v>31.529999999999998</v>
      </c>
      <c r="AI175" s="470">
        <f t="shared" si="400"/>
        <v>31.529999999999998</v>
      </c>
      <c r="AJ175" s="470">
        <f t="shared" si="400"/>
        <v>31.529999999999998</v>
      </c>
      <c r="AK175" s="470">
        <f t="shared" si="400"/>
        <v>31.529999999999998</v>
      </c>
      <c r="AL175" s="470">
        <f t="shared" si="400"/>
        <v>31.529999999999998</v>
      </c>
      <c r="AM175" s="470">
        <f t="shared" si="400"/>
        <v>31.529999999999998</v>
      </c>
      <c r="AN175" s="470">
        <f t="shared" si="400"/>
        <v>31.529999999999998</v>
      </c>
      <c r="AO175" s="470">
        <f t="shared" si="400"/>
        <v>31.529999999999998</v>
      </c>
    </row>
    <row r="176" spans="1:78" s="26" customFormat="1">
      <c r="A176" s="443" t="s">
        <v>1973</v>
      </c>
      <c r="AD176" s="443"/>
      <c r="AF176" s="287">
        <f t="shared" ref="AF176:AO176" si="401">AF172/AF175</f>
        <v>64.150438282981796</v>
      </c>
      <c r="AG176" s="287">
        <f t="shared" si="401"/>
        <v>64.150438282981796</v>
      </c>
      <c r="AH176" s="287">
        <f t="shared" si="401"/>
        <v>88.501727477609805</v>
      </c>
      <c r="AI176" s="287">
        <f t="shared" si="401"/>
        <v>88.789420208371297</v>
      </c>
      <c r="AJ176" s="287">
        <f t="shared" si="401"/>
        <v>89.076777872821708</v>
      </c>
      <c r="AK176" s="287">
        <f t="shared" si="401"/>
        <v>89.354405866950444</v>
      </c>
      <c r="AL176" s="287">
        <f t="shared" si="401"/>
        <v>89.354405866950444</v>
      </c>
      <c r="AM176" s="287">
        <f t="shared" si="401"/>
        <v>89.641668912630152</v>
      </c>
      <c r="AN176" s="287">
        <f t="shared" si="401"/>
        <v>89.986606753058055</v>
      </c>
      <c r="AO176" s="287">
        <f t="shared" si="401"/>
        <v>90.230105553122954</v>
      </c>
    </row>
    <row r="177" spans="1:78" s="26" customFormat="1">
      <c r="A177" s="26" t="s">
        <v>1974</v>
      </c>
      <c r="AD177" s="443"/>
      <c r="AF177" s="287">
        <f t="shared" ref="AF177:AO177" si="402">AF140</f>
        <v>128.35</v>
      </c>
      <c r="AG177" s="287">
        <f t="shared" si="402"/>
        <v>128.35</v>
      </c>
      <c r="AH177" s="287">
        <f t="shared" si="402"/>
        <v>134.54</v>
      </c>
      <c r="AI177" s="287">
        <f t="shared" si="402"/>
        <v>134.16999999999999</v>
      </c>
      <c r="AJ177" s="287">
        <f t="shared" si="402"/>
        <v>140</v>
      </c>
      <c r="AK177" s="287">
        <f t="shared" si="402"/>
        <v>144.84</v>
      </c>
      <c r="AL177" s="287">
        <f t="shared" si="402"/>
        <v>144.84</v>
      </c>
      <c r="AM177" s="287">
        <f t="shared" si="402"/>
        <v>138.9</v>
      </c>
      <c r="AN177" s="287">
        <f t="shared" si="402"/>
        <v>140.05000000000001</v>
      </c>
      <c r="AO177" s="287">
        <f t="shared" si="402"/>
        <v>160.33000000000001</v>
      </c>
    </row>
    <row r="178" spans="1:78">
      <c r="AD178" s="25"/>
    </row>
    <row r="179" spans="1:78">
      <c r="A179" s="3" t="s">
        <v>2554</v>
      </c>
      <c r="AD179" s="25"/>
    </row>
    <row r="180" spans="1:78">
      <c r="A180" s="262" t="s">
        <v>2555</v>
      </c>
      <c r="AD180" s="25"/>
      <c r="AP180" s="25" t="s">
        <v>2557</v>
      </c>
      <c r="AT180" s="685" t="s">
        <v>2683</v>
      </c>
      <c r="AU180" s="684"/>
      <c r="AV180" s="684"/>
      <c r="AW180" s="684"/>
    </row>
    <row r="181" spans="1:78">
      <c r="A181" s="1" t="s">
        <v>2556</v>
      </c>
      <c r="AD181" s="25"/>
      <c r="AO181" s="210">
        <v>747</v>
      </c>
      <c r="AP181" s="210">
        <v>769</v>
      </c>
      <c r="AQ181" s="59">
        <f>SUM(AM181:AP181)</f>
        <v>1516</v>
      </c>
      <c r="AR181" s="210">
        <v>759</v>
      </c>
      <c r="AS181" s="210">
        <v>758</v>
      </c>
      <c r="AT181" s="210">
        <v>1014</v>
      </c>
      <c r="AU181" s="210">
        <v>1003</v>
      </c>
      <c r="AV181" s="59">
        <f>SUM(AR181:AU181)</f>
        <v>3534</v>
      </c>
      <c r="AW181" s="210">
        <v>996</v>
      </c>
      <c r="AX181" s="210">
        <v>987</v>
      </c>
      <c r="AY181" s="210">
        <v>1135</v>
      </c>
      <c r="AZ181" s="59">
        <f>AY181*(AZ136/AY136)*(AZ182/AY182)</f>
        <v>1111.6120765862411</v>
      </c>
      <c r="BA181" s="59">
        <f>SUM(AW181:AZ181)</f>
        <v>4229.6120765862415</v>
      </c>
      <c r="BB181" s="59">
        <f>AZ181*(BB136/AZ136)*(BB182/AZ182)</f>
        <v>1105.1701546838128</v>
      </c>
      <c r="BC181" s="59">
        <f>BB181*(BC136/BB136)*(BC182/BB182)</f>
        <v>1098.9457263652841</v>
      </c>
      <c r="BD181" s="59">
        <f>BC181*(BD136/BC136)*(BD182/BC182)</f>
        <v>1267.8016499646474</v>
      </c>
      <c r="BE181" s="59">
        <f>BD181*(BE136/BD136)*(BE182/BD182)</f>
        <v>1257.1597251036469</v>
      </c>
      <c r="BF181" s="59">
        <f>SUM(BB181:BE181)</f>
        <v>4729.0772561173908</v>
      </c>
      <c r="BG181" s="59">
        <f>BE181*(BG136/BE136)*(BG182/BE182)</f>
        <v>1246.8624023763055</v>
      </c>
      <c r="BH181" s="59">
        <f>BG181*(BH136/BG136)*(BH182/BG182)</f>
        <v>1236.8996448272737</v>
      </c>
      <c r="BI181" s="59">
        <f>BH181*(BI136/BH136)*(BI182/BH182)</f>
        <v>1380.6694213196711</v>
      </c>
      <c r="BJ181" s="59">
        <f>BI181*(BJ136/BI136)*(BJ182/BI182)</f>
        <v>1358.3555306326234</v>
      </c>
      <c r="BK181" s="59">
        <f>SUM(BG181:BJ181)</f>
        <v>5222.7869991558737</v>
      </c>
      <c r="BL181" s="59">
        <f>BJ181*(BL136/BJ136)*(BL182/BJ182)</f>
        <v>1336.7305326435662</v>
      </c>
      <c r="BM181" s="59">
        <f>BL181*(BM136/BL136)*(BM182/BL182)</f>
        <v>1315.7743625166354</v>
      </c>
      <c r="BN181" s="59">
        <f>BM181*(BN136/BM136)*(BN182/BM182)</f>
        <v>1457.4009823072452</v>
      </c>
      <c r="BO181" s="59">
        <f>BN181*(BO136/BN136)*(BO182/BN182)</f>
        <v>1435.0332681354505</v>
      </c>
      <c r="BP181" s="59">
        <f>SUM(BL181:BO181)</f>
        <v>5544.939145602897</v>
      </c>
      <c r="BQ181" s="59">
        <f>BO181*(BQ136/BO136)*(BQ182/BO182)</f>
        <v>1413.133653328533</v>
      </c>
      <c r="BR181" s="59">
        <f>BQ181*(BR136/BQ136)*(BR182/BQ182)</f>
        <v>1391.6929594675737</v>
      </c>
      <c r="BS181" s="59">
        <f>BR181*(BS136/BR136)*(BS182/BR182)</f>
        <v>1542.0399616154832</v>
      </c>
      <c r="BT181" s="59">
        <f>BS181*(BT136/BS136)*(BT182/BS182)</f>
        <v>1518.9215818770463</v>
      </c>
      <c r="BU181" s="59">
        <f>SUM(BQ181:BT181)</f>
        <v>5865.7881562886359</v>
      </c>
      <c r="BV181" s="59">
        <f>BT181*(BV136/BT136)*(BV182/BT182)</f>
        <v>1496.2897100279231</v>
      </c>
      <c r="BW181" s="59">
        <f>BV181*(BW136/BV136)*(BW182/BV182)</f>
        <v>1474.134806697735</v>
      </c>
      <c r="BX181" s="59">
        <f>BW181*(BX136/BW136)*(BX182/BW182)</f>
        <v>1634.0034595079042</v>
      </c>
      <c r="BY181" s="59">
        <f>BX181*(BY136/BX136)*(BY182/BX182)</f>
        <v>1619.7143624306198</v>
      </c>
      <c r="BZ181" s="59">
        <f>SUM(BV181:BY181)</f>
        <v>6224.1423386641827</v>
      </c>
    </row>
    <row r="182" spans="1:78">
      <c r="A182" s="1" t="s">
        <v>2156</v>
      </c>
      <c r="AD182" s="25"/>
      <c r="AO182" s="253">
        <v>0.65</v>
      </c>
      <c r="AP182" s="253">
        <v>0.65</v>
      </c>
      <c r="AQ182" s="24">
        <f>SUM(AM182:AP182)</f>
        <v>1.3</v>
      </c>
      <c r="AR182" s="253">
        <v>0.65</v>
      </c>
      <c r="AS182" s="253">
        <v>0.65</v>
      </c>
      <c r="AT182" s="253">
        <v>0.88</v>
      </c>
      <c r="AU182" s="253">
        <v>0.88</v>
      </c>
      <c r="AV182" s="24">
        <f>SUM(AR182:AU182)</f>
        <v>3.06</v>
      </c>
      <c r="AW182" s="253">
        <v>0.88</v>
      </c>
      <c r="AX182" s="253">
        <v>0.88</v>
      </c>
      <c r="AY182" s="253">
        <v>1.02</v>
      </c>
      <c r="AZ182" s="688">
        <v>1.02</v>
      </c>
      <c r="BA182" s="24">
        <f>SUM(AW182:AZ182)</f>
        <v>3.8000000000000003</v>
      </c>
      <c r="BB182" s="688">
        <v>1.02</v>
      </c>
      <c r="BC182" s="688">
        <v>1.02</v>
      </c>
      <c r="BD182" s="688">
        <v>1.1832</v>
      </c>
      <c r="BE182" s="688">
        <v>1.1832</v>
      </c>
      <c r="BF182" s="24">
        <f>SUM(BB182:BE182)</f>
        <v>4.4064000000000005</v>
      </c>
      <c r="BG182" s="688">
        <v>1.1832</v>
      </c>
      <c r="BH182" s="688">
        <v>1.1832</v>
      </c>
      <c r="BI182" s="688">
        <v>1.3310999999999999</v>
      </c>
      <c r="BJ182" s="688">
        <v>1.3310999999999999</v>
      </c>
      <c r="BK182" s="24">
        <f>SUM(BG182:BJ182)</f>
        <v>5.0286</v>
      </c>
      <c r="BL182" s="688">
        <v>1.3310999999999999</v>
      </c>
      <c r="BM182" s="688">
        <v>1.3310999999999999</v>
      </c>
      <c r="BN182" s="688">
        <v>1.4974874999999999</v>
      </c>
      <c r="BO182" s="688">
        <v>1.4974874999999999</v>
      </c>
      <c r="BP182" s="24">
        <f>SUM(BL182:BO182)</f>
        <v>5.6571749999999996</v>
      </c>
      <c r="BQ182" s="688">
        <v>1.4974874999999999</v>
      </c>
      <c r="BR182" s="688">
        <v>1.4974874999999999</v>
      </c>
      <c r="BS182" s="688">
        <v>1.6846734374999999</v>
      </c>
      <c r="BT182" s="688">
        <v>1.6846734374999999</v>
      </c>
      <c r="BU182" s="24">
        <f>SUM(BQ182:BT182)</f>
        <v>6.364321874999999</v>
      </c>
      <c r="BV182" s="688">
        <v>1.6846734374999999</v>
      </c>
      <c r="BW182" s="688">
        <v>1.6846734374999999</v>
      </c>
      <c r="BX182" s="688">
        <v>1.8952576171874997</v>
      </c>
      <c r="BY182" s="221">
        <f>BX182</f>
        <v>1.8952576171874997</v>
      </c>
      <c r="BZ182" s="24">
        <f>SUM(BV182:BY182)</f>
        <v>7.1598621093750001</v>
      </c>
    </row>
    <row r="183" spans="1:78">
      <c r="AD183" s="25"/>
    </row>
    <row r="184" spans="1:78">
      <c r="A184" s="1" t="s">
        <v>2558</v>
      </c>
      <c r="AD184" s="25"/>
      <c r="AO184" s="36">
        <f>AO182*AO96</f>
        <v>59.858347899999998</v>
      </c>
      <c r="AP184" s="36">
        <f>AP182*AP96</f>
        <v>59.858347899999998</v>
      </c>
      <c r="AQ184" s="36">
        <f>SUM(AM184:AP184)</f>
        <v>119.7166958</v>
      </c>
      <c r="AR184" s="36">
        <f>AR182*AR96</f>
        <v>55.483847900000001</v>
      </c>
      <c r="AS184" s="36">
        <f>AS182*AS96</f>
        <v>55.484692250000002</v>
      </c>
      <c r="AT184" s="36">
        <f>AT182*AT96</f>
        <v>75.117737199999993</v>
      </c>
      <c r="AU184" s="36">
        <f>AU182*AU96</f>
        <v>75.117737199999993</v>
      </c>
      <c r="AV184" s="36">
        <f>SUM(AR184:AU184)</f>
        <v>261.20401455000001</v>
      </c>
      <c r="AW184" s="36">
        <f>AW182*AW96</f>
        <v>56.197737199999999</v>
      </c>
      <c r="AX184" s="36">
        <f>AX182*AX96</f>
        <v>39.776000000000003</v>
      </c>
      <c r="AY184" s="36">
        <f>AY182*AY96</f>
        <v>29.070000000000004</v>
      </c>
      <c r="AZ184" s="36">
        <f>AZ182*AZ96</f>
        <v>16.320000000000004</v>
      </c>
      <c r="BA184" s="36">
        <f>SUM(AW184:AZ184)</f>
        <v>141.3637372</v>
      </c>
      <c r="BB184" s="36">
        <f>BB182*BB96</f>
        <v>0</v>
      </c>
      <c r="BC184" s="36">
        <f>BC182*BC96</f>
        <v>0</v>
      </c>
      <c r="BD184" s="36">
        <f>BD182*BD96</f>
        <v>0</v>
      </c>
      <c r="BE184" s="36">
        <f>BE182*BE96</f>
        <v>0</v>
      </c>
      <c r="BF184" s="36">
        <f>SUM(BB184:BE184)</f>
        <v>0</v>
      </c>
      <c r="BG184" s="36">
        <f>BG182*BG96</f>
        <v>0</v>
      </c>
      <c r="BH184" s="36">
        <f>BH182*BH96</f>
        <v>0</v>
      </c>
      <c r="BI184" s="36">
        <f>BI182*BI96</f>
        <v>0</v>
      </c>
      <c r="BJ184" s="36">
        <f>BJ182*BJ96</f>
        <v>0</v>
      </c>
      <c r="BK184" s="36">
        <f>SUM(BG184:BJ184)</f>
        <v>0</v>
      </c>
      <c r="BL184" s="36">
        <f>BL182*BL96</f>
        <v>0</v>
      </c>
      <c r="BM184" s="36">
        <f>BM182*BM96</f>
        <v>0</v>
      </c>
      <c r="BN184" s="36">
        <f>BN182*BN96</f>
        <v>0</v>
      </c>
      <c r="BO184" s="36">
        <f>BO182*BO96</f>
        <v>0</v>
      </c>
      <c r="BP184" s="36">
        <f>SUM(BL184:BO184)</f>
        <v>0</v>
      </c>
      <c r="BQ184" s="36">
        <f>BQ182*BQ96</f>
        <v>0</v>
      </c>
      <c r="BR184" s="36">
        <f>BR182*BR96</f>
        <v>0</v>
      </c>
      <c r="BS184" s="36">
        <f>BS182*BS96</f>
        <v>0</v>
      </c>
      <c r="BT184" s="36">
        <f>BT182*BT96</f>
        <v>0</v>
      </c>
      <c r="BU184" s="36">
        <f>SUM(BQ184:BT184)</f>
        <v>0</v>
      </c>
      <c r="BV184" s="36">
        <f>BV182*BV96</f>
        <v>0</v>
      </c>
      <c r="BW184" s="36">
        <f>BW182*BW96</f>
        <v>0</v>
      </c>
      <c r="BX184" s="36">
        <f>BX182*BX96</f>
        <v>0</v>
      </c>
      <c r="BY184" s="36">
        <f>BY182*BY96</f>
        <v>0</v>
      </c>
      <c r="BZ184" s="36">
        <f>SUM(BV184:BY184)</f>
        <v>0</v>
      </c>
    </row>
    <row r="185" spans="1:78">
      <c r="A185" s="1" t="s">
        <v>2559</v>
      </c>
      <c r="AD185" s="25"/>
      <c r="AO185" s="16">
        <f t="shared" ref="AO185:BZ185" si="403">AO184/AO181</f>
        <v>8.0131657161981257E-2</v>
      </c>
      <c r="AP185" s="16">
        <f t="shared" si="403"/>
        <v>7.7839204031209364E-2</v>
      </c>
      <c r="AQ185" s="16">
        <f t="shared" si="403"/>
        <v>7.8968796701846963E-2</v>
      </c>
      <c r="AR185" s="16">
        <f t="shared" si="403"/>
        <v>7.3101248880105399E-2</v>
      </c>
      <c r="AS185" s="16">
        <f t="shared" si="403"/>
        <v>7.3198802440633245E-2</v>
      </c>
      <c r="AT185" s="16">
        <f t="shared" si="403"/>
        <v>7.4080608678500984E-2</v>
      </c>
      <c r="AU185" s="16">
        <f t="shared" si="403"/>
        <v>7.4893058025922221E-2</v>
      </c>
      <c r="AV185" s="16">
        <f t="shared" si="403"/>
        <v>7.3911718887945677E-2</v>
      </c>
      <c r="AW185" s="16">
        <f t="shared" si="403"/>
        <v>5.6423430923694777E-2</v>
      </c>
      <c r="AX185" s="16">
        <f t="shared" si="403"/>
        <v>4.0299898682877408E-2</v>
      </c>
      <c r="AY185" s="16">
        <f t="shared" si="403"/>
        <v>2.5612334801762119E-2</v>
      </c>
      <c r="AZ185" s="16">
        <f t="shared" si="403"/>
        <v>1.4681380621663178E-2</v>
      </c>
      <c r="BA185" s="16">
        <f t="shared" si="403"/>
        <v>3.3422388304247506E-2</v>
      </c>
      <c r="BB185" s="16">
        <f t="shared" si="403"/>
        <v>0</v>
      </c>
      <c r="BC185" s="16">
        <f t="shared" si="403"/>
        <v>0</v>
      </c>
      <c r="BD185" s="16">
        <f t="shared" si="403"/>
        <v>0</v>
      </c>
      <c r="BE185" s="16">
        <f t="shared" si="403"/>
        <v>0</v>
      </c>
      <c r="BF185" s="16">
        <f t="shared" si="403"/>
        <v>0</v>
      </c>
      <c r="BG185" s="16">
        <f t="shared" si="403"/>
        <v>0</v>
      </c>
      <c r="BH185" s="16">
        <f t="shared" si="403"/>
        <v>0</v>
      </c>
      <c r="BI185" s="16">
        <f t="shared" si="403"/>
        <v>0</v>
      </c>
      <c r="BJ185" s="16">
        <f t="shared" si="403"/>
        <v>0</v>
      </c>
      <c r="BK185" s="16">
        <f t="shared" si="403"/>
        <v>0</v>
      </c>
      <c r="BL185" s="16">
        <f t="shared" si="403"/>
        <v>0</v>
      </c>
      <c r="BM185" s="16">
        <f t="shared" si="403"/>
        <v>0</v>
      </c>
      <c r="BN185" s="16">
        <f t="shared" si="403"/>
        <v>0</v>
      </c>
      <c r="BO185" s="16">
        <f t="shared" si="403"/>
        <v>0</v>
      </c>
      <c r="BP185" s="16">
        <f t="shared" si="403"/>
        <v>0</v>
      </c>
      <c r="BQ185" s="16">
        <f t="shared" si="403"/>
        <v>0</v>
      </c>
      <c r="BR185" s="16">
        <f t="shared" si="403"/>
        <v>0</v>
      </c>
      <c r="BS185" s="16">
        <f t="shared" si="403"/>
        <v>0</v>
      </c>
      <c r="BT185" s="16">
        <f t="shared" si="403"/>
        <v>0</v>
      </c>
      <c r="BU185" s="16">
        <f t="shared" si="403"/>
        <v>0</v>
      </c>
      <c r="BV185" s="16">
        <f t="shared" si="403"/>
        <v>0</v>
      </c>
      <c r="BW185" s="16">
        <f t="shared" si="403"/>
        <v>0</v>
      </c>
      <c r="BX185" s="16">
        <f t="shared" si="403"/>
        <v>0</v>
      </c>
      <c r="BY185" s="16">
        <f t="shared" si="403"/>
        <v>0</v>
      </c>
      <c r="BZ185" s="16">
        <f t="shared" si="403"/>
        <v>0</v>
      </c>
    </row>
    <row r="186" spans="1:78">
      <c r="AD186" s="25"/>
    </row>
    <row r="187" spans="1:78" s="71" customFormat="1">
      <c r="A187" s="217" t="s">
        <v>88</v>
      </c>
      <c r="AL187" s="647"/>
      <c r="AM187" s="647"/>
      <c r="AN187" s="776" t="s">
        <v>1967</v>
      </c>
      <c r="AO187" s="789">
        <v>41</v>
      </c>
      <c r="AP187" s="647"/>
      <c r="AQ187" s="647"/>
      <c r="AR187" s="776" t="s">
        <v>1966</v>
      </c>
      <c r="AS187" s="303">
        <v>0.08</v>
      </c>
      <c r="AT187" s="776" t="s">
        <v>1970</v>
      </c>
      <c r="AU187" s="303">
        <f>(1+AS187)^(1/4)-1</f>
        <v>1.9426546908273501E-2</v>
      </c>
      <c r="AY187" s="1081" t="s">
        <v>3387</v>
      </c>
      <c r="AZ187" s="710"/>
      <c r="BA187" s="710"/>
      <c r="BB187" s="710"/>
      <c r="BC187" s="710"/>
    </row>
    <row r="189" spans="1:78" hidden="1" outlineLevel="1">
      <c r="A189" s="3" t="s">
        <v>977</v>
      </c>
    </row>
    <row r="190" spans="1:78" hidden="1" outlineLevel="1">
      <c r="AD190" s="22" t="s">
        <v>1008</v>
      </c>
      <c r="AU190" s="262" t="s">
        <v>2895</v>
      </c>
    </row>
    <row r="191" spans="1:78" hidden="1" outlineLevel="1">
      <c r="A191" s="1" t="s">
        <v>989</v>
      </c>
      <c r="AD191" s="2">
        <v>225</v>
      </c>
      <c r="AE191" s="26">
        <f>AD191</f>
        <v>225</v>
      </c>
      <c r="AF191" s="26">
        <f>AE191</f>
        <v>225</v>
      </c>
      <c r="AG191" s="26">
        <f>AF191</f>
        <v>225</v>
      </c>
      <c r="AH191" s="26">
        <f t="shared" ref="AH191:AR191" si="404">AG191</f>
        <v>225</v>
      </c>
      <c r="AI191" s="26">
        <f t="shared" si="404"/>
        <v>225</v>
      </c>
      <c r="AJ191" s="26">
        <f t="shared" si="404"/>
        <v>225</v>
      </c>
      <c r="AK191" s="26">
        <f t="shared" si="404"/>
        <v>225</v>
      </c>
      <c r="AL191" s="26">
        <f t="shared" si="404"/>
        <v>225</v>
      </c>
      <c r="AM191" s="26">
        <f t="shared" si="404"/>
        <v>225</v>
      </c>
      <c r="AN191" s="26">
        <f t="shared" si="404"/>
        <v>225</v>
      </c>
      <c r="AO191" s="26">
        <f t="shared" si="404"/>
        <v>225</v>
      </c>
      <c r="AP191" s="26">
        <f t="shared" si="404"/>
        <v>225</v>
      </c>
      <c r="AQ191" s="26">
        <f>AP191</f>
        <v>225</v>
      </c>
      <c r="AR191" s="26">
        <f t="shared" si="404"/>
        <v>225</v>
      </c>
      <c r="AS191" s="26">
        <f t="shared" ref="AS191" si="405">AR191</f>
        <v>225</v>
      </c>
      <c r="AT191" s="26">
        <f t="shared" ref="AT191" si="406">AS191</f>
        <v>225</v>
      </c>
      <c r="AU191" s="676">
        <v>205.5</v>
      </c>
      <c r="AV191" s="1">
        <f>AU191</f>
        <v>205.5</v>
      </c>
      <c r="AW191" s="676">
        <v>166.5</v>
      </c>
      <c r="AX191" s="676">
        <v>10.8</v>
      </c>
      <c r="AY191" s="1087">
        <v>0</v>
      </c>
      <c r="AZ191" s="27">
        <f t="shared" ref="AZ191" si="407">AY191</f>
        <v>0</v>
      </c>
      <c r="BA191" s="26">
        <f>AZ191</f>
        <v>0</v>
      </c>
      <c r="BB191" s="27">
        <f t="shared" ref="BB191" si="408">BA191</f>
        <v>0</v>
      </c>
      <c r="BC191" s="27">
        <f t="shared" ref="BC191" si="409">BB191</f>
        <v>0</v>
      </c>
      <c r="BD191" s="27">
        <f t="shared" ref="BD191" si="410">BC191</f>
        <v>0</v>
      </c>
      <c r="BE191" s="27">
        <f t="shared" ref="BE191" si="411">BD191</f>
        <v>0</v>
      </c>
      <c r="BF191" s="26">
        <f>BE191</f>
        <v>0</v>
      </c>
      <c r="BG191" s="27">
        <f t="shared" ref="BG191" si="412">BF191</f>
        <v>0</v>
      </c>
      <c r="BH191" s="27">
        <f t="shared" ref="BH191" si="413">BG191</f>
        <v>0</v>
      </c>
      <c r="BI191" s="27">
        <f t="shared" ref="BI191" si="414">BH191</f>
        <v>0</v>
      </c>
      <c r="BJ191" s="27">
        <f t="shared" ref="BJ191" si="415">BI191</f>
        <v>0</v>
      </c>
      <c r="BK191" s="26">
        <f>BJ191</f>
        <v>0</v>
      </c>
      <c r="BL191" s="27">
        <f t="shared" ref="BL191" si="416">BK191</f>
        <v>0</v>
      </c>
      <c r="BM191" s="27">
        <f t="shared" ref="BM191" si="417">BL191</f>
        <v>0</v>
      </c>
      <c r="BN191" s="27">
        <f t="shared" ref="BN191" si="418">BM191</f>
        <v>0</v>
      </c>
      <c r="BO191" s="27">
        <f t="shared" ref="BO191" si="419">BN191</f>
        <v>0</v>
      </c>
      <c r="BP191" s="26">
        <f>BO191</f>
        <v>0</v>
      </c>
      <c r="BQ191" s="27">
        <f t="shared" ref="BQ191" si="420">BP191</f>
        <v>0</v>
      </c>
      <c r="BR191" s="27">
        <f t="shared" ref="BR191" si="421">BQ191</f>
        <v>0</v>
      </c>
      <c r="BS191" s="27">
        <f t="shared" ref="BS191" si="422">BR191</f>
        <v>0</v>
      </c>
      <c r="BT191" s="27">
        <f t="shared" ref="BT191" si="423">BS191</f>
        <v>0</v>
      </c>
      <c r="BU191" s="26">
        <f>BT191</f>
        <v>0</v>
      </c>
      <c r="BV191" s="27">
        <f t="shared" ref="BV191" si="424">BU191</f>
        <v>0</v>
      </c>
      <c r="BW191" s="27">
        <f t="shared" ref="BW191" si="425">BV191</f>
        <v>0</v>
      </c>
      <c r="BX191" s="27">
        <f t="shared" ref="BX191" si="426">BW191</f>
        <v>0</v>
      </c>
      <c r="BY191" s="27">
        <f t="shared" ref="BY191" si="427">BX191</f>
        <v>0</v>
      </c>
      <c r="BZ191" s="26">
        <f>BY191</f>
        <v>0</v>
      </c>
    </row>
    <row r="192" spans="1:78" hidden="1" outlineLevel="1">
      <c r="A192" s="1" t="s">
        <v>80</v>
      </c>
      <c r="AD192" s="268">
        <f>AD191/AD194</f>
        <v>4.5122203597657222E-2</v>
      </c>
      <c r="AE192" s="740">
        <f t="shared" ref="AE192:AN192" si="428">AE191/AE194</f>
        <v>4.5122203597657222E-2</v>
      </c>
      <c r="AF192" s="740">
        <f t="shared" si="428"/>
        <v>4.5122203597657222E-2</v>
      </c>
      <c r="AG192" s="740">
        <f t="shared" si="428"/>
        <v>4.5122203597657222E-2</v>
      </c>
      <c r="AH192" s="740">
        <f t="shared" si="428"/>
        <v>4.5122203597657222E-2</v>
      </c>
      <c r="AI192" s="740">
        <f t="shared" si="428"/>
        <v>4.5122203597657222E-2</v>
      </c>
      <c r="AJ192" s="740">
        <f t="shared" si="428"/>
        <v>4.5122203597657222E-2</v>
      </c>
      <c r="AK192" s="740">
        <f t="shared" si="428"/>
        <v>4.5122203597657222E-2</v>
      </c>
      <c r="AL192" s="740">
        <f t="shared" si="428"/>
        <v>4.5122203597657222E-2</v>
      </c>
      <c r="AM192" s="740">
        <f t="shared" si="428"/>
        <v>4.5122203597657222E-2</v>
      </c>
      <c r="AN192" s="740">
        <f t="shared" si="428"/>
        <v>4.5122203597657222E-2</v>
      </c>
      <c r="AO192" s="740">
        <f t="shared" ref="AO192:AW192" si="429">AO191/AO194</f>
        <v>4.5122203597657222E-2</v>
      </c>
      <c r="AP192" s="740">
        <f t="shared" ref="AP192" si="430">AP191/AP194</f>
        <v>4.5312518445971048E-2</v>
      </c>
      <c r="AQ192" s="740">
        <f t="shared" si="429"/>
        <v>4.5312518445971048E-2</v>
      </c>
      <c r="AR192" s="740">
        <f t="shared" si="429"/>
        <v>4.5504867458079738E-2</v>
      </c>
      <c r="AS192" s="740">
        <f t="shared" si="429"/>
        <v>4.5703776967949049E-2</v>
      </c>
      <c r="AT192" s="740">
        <f t="shared" ref="AT192" si="431">AT191/AT194</f>
        <v>4.5862477693675623E-2</v>
      </c>
      <c r="AU192" s="268">
        <f t="shared" si="429"/>
        <v>4.1998564744114016E-2</v>
      </c>
      <c r="AV192" s="268">
        <f t="shared" si="429"/>
        <v>4.1998564744114016E-2</v>
      </c>
      <c r="AW192" s="740">
        <f t="shared" si="429"/>
        <v>3.4127450877258242E-2</v>
      </c>
      <c r="AX192" s="268">
        <f t="shared" ref="AX192" si="432">AX191/AX194</f>
        <v>2.2219002429841039E-3</v>
      </c>
      <c r="AY192" s="740" t="e">
        <f t="shared" ref="AY192" si="433">AY191/AY194</f>
        <v>#DIV/0!</v>
      </c>
      <c r="AZ192" s="740" t="e">
        <f t="shared" ref="AZ192" si="434">AZ191/AZ194</f>
        <v>#DIV/0!</v>
      </c>
      <c r="BA192" s="740" t="e">
        <f t="shared" ref="BA192" si="435">BA191/BA194</f>
        <v>#DIV/0!</v>
      </c>
      <c r="BB192" s="740" t="e">
        <f t="shared" ref="BB192" si="436">BB191/BB194</f>
        <v>#DIV/0!</v>
      </c>
      <c r="BC192" s="740" t="e">
        <f t="shared" ref="BC192" si="437">BC191/BC194</f>
        <v>#DIV/0!</v>
      </c>
      <c r="BD192" s="740" t="e">
        <f t="shared" ref="BD192" si="438">BD191/BD194</f>
        <v>#DIV/0!</v>
      </c>
      <c r="BE192" s="740" t="e">
        <f t="shared" ref="BE192" si="439">BE191/BE194</f>
        <v>#DIV/0!</v>
      </c>
      <c r="BF192" s="740" t="e">
        <f t="shared" ref="BF192" si="440">BF191/BF194</f>
        <v>#DIV/0!</v>
      </c>
      <c r="BG192" s="740" t="e">
        <f t="shared" ref="BG192" si="441">BG191/BG194</f>
        <v>#DIV/0!</v>
      </c>
      <c r="BH192" s="740" t="e">
        <f t="shared" ref="BH192" si="442">BH191/BH194</f>
        <v>#DIV/0!</v>
      </c>
      <c r="BI192" s="740" t="e">
        <f t="shared" ref="BI192" si="443">BI191/BI194</f>
        <v>#DIV/0!</v>
      </c>
      <c r="BJ192" s="740" t="e">
        <f t="shared" ref="BJ192" si="444">BJ191/BJ194</f>
        <v>#DIV/0!</v>
      </c>
      <c r="BK192" s="740" t="e">
        <f t="shared" ref="BK192" si="445">BK191/BK194</f>
        <v>#DIV/0!</v>
      </c>
      <c r="BL192" s="740" t="e">
        <f t="shared" ref="BL192" si="446">BL191/BL194</f>
        <v>#DIV/0!</v>
      </c>
      <c r="BM192" s="740" t="e">
        <f t="shared" ref="BM192" si="447">BM191/BM194</f>
        <v>#DIV/0!</v>
      </c>
      <c r="BN192" s="740" t="e">
        <f t="shared" ref="BN192" si="448">BN191/BN194</f>
        <v>#DIV/0!</v>
      </c>
      <c r="BO192" s="740" t="e">
        <f t="shared" ref="BO192" si="449">BO191/BO194</f>
        <v>#DIV/0!</v>
      </c>
      <c r="BP192" s="740" t="e">
        <f t="shared" ref="BP192" si="450">BP191/BP194</f>
        <v>#DIV/0!</v>
      </c>
      <c r="BQ192" s="740" t="e">
        <f t="shared" ref="BQ192" si="451">BQ191/BQ194</f>
        <v>#DIV/0!</v>
      </c>
      <c r="BR192" s="740" t="e">
        <f t="shared" ref="BR192" si="452">BR191/BR194</f>
        <v>#DIV/0!</v>
      </c>
      <c r="BS192" s="740" t="e">
        <f t="shared" ref="BS192" si="453">BS191/BS194</f>
        <v>#DIV/0!</v>
      </c>
      <c r="BT192" s="740" t="e">
        <f t="shared" ref="BT192" si="454">BT191/BT194</f>
        <v>#DIV/0!</v>
      </c>
      <c r="BU192" s="740" t="e">
        <f t="shared" ref="BU192" si="455">BU191/BU194</f>
        <v>#DIV/0!</v>
      </c>
      <c r="BV192" s="740" t="e">
        <f t="shared" ref="BV192" si="456">BV191/BV194</f>
        <v>#DIV/0!</v>
      </c>
      <c r="BW192" s="740" t="e">
        <f t="shared" ref="BW192" si="457">BW191/BW194</f>
        <v>#DIV/0!</v>
      </c>
      <c r="BX192" s="740" t="e">
        <f t="shared" ref="BX192" si="458">BX191/BX194</f>
        <v>#DIV/0!</v>
      </c>
      <c r="BY192" s="740" t="e">
        <f t="shared" ref="BY192" si="459">BY191/BY194</f>
        <v>#DIV/0!</v>
      </c>
      <c r="BZ192" s="740" t="e">
        <f t="shared" ref="BZ192" si="460">BZ191/BZ194</f>
        <v>#DIV/0!</v>
      </c>
    </row>
    <row r="193" spans="1:78" hidden="1" outlineLevel="1">
      <c r="AD193" s="22" t="s">
        <v>1049</v>
      </c>
      <c r="AU193" s="685" t="s">
        <v>2688</v>
      </c>
      <c r="AV193" s="684"/>
      <c r="AW193" s="684"/>
      <c r="AX193" s="684"/>
      <c r="AY193" s="1088"/>
      <c r="AZ193" s="1088"/>
      <c r="BA193" s="26"/>
      <c r="BB193" s="26"/>
      <c r="BC193" s="26"/>
      <c r="BD193" s="26"/>
      <c r="BE193" s="26"/>
      <c r="BF193" s="26"/>
      <c r="BG193" s="26"/>
      <c r="BH193" s="26"/>
      <c r="BI193" s="26"/>
      <c r="BJ193" s="26"/>
      <c r="BK193" s="26"/>
      <c r="BL193" s="26"/>
      <c r="BM193" s="26"/>
      <c r="BN193" s="26"/>
      <c r="BO193" s="26"/>
      <c r="BP193" s="26"/>
      <c r="BQ193" s="26"/>
      <c r="BR193" s="26"/>
      <c r="BS193" s="26"/>
      <c r="BT193" s="26"/>
      <c r="BU193" s="26"/>
      <c r="BV193" s="26"/>
      <c r="BW193" s="26"/>
      <c r="BX193" s="26"/>
      <c r="BY193" s="26"/>
      <c r="BZ193" s="26"/>
    </row>
    <row r="194" spans="1:78" hidden="1" outlineLevel="1">
      <c r="A194" s="1" t="s">
        <v>991</v>
      </c>
      <c r="AD194" s="7">
        <v>4986.4585960000004</v>
      </c>
      <c r="AE194" s="7">
        <v>4986.4585960000004</v>
      </c>
      <c r="AF194" s="7">
        <v>4986.4585960000004</v>
      </c>
      <c r="AG194" s="7">
        <v>4986.4585960000004</v>
      </c>
      <c r="AH194" s="7">
        <v>4986.4585960000004</v>
      </c>
      <c r="AI194" s="7">
        <v>4986.4585960000004</v>
      </c>
      <c r="AJ194" s="7">
        <v>4986.4585960000004</v>
      </c>
      <c r="AK194" s="7">
        <v>4986.4585960000004</v>
      </c>
      <c r="AL194" s="7">
        <v>4986.4585960000004</v>
      </c>
      <c r="AM194" s="7">
        <v>4986.4585960000004</v>
      </c>
      <c r="AN194" s="7">
        <v>4986.4585960000004</v>
      </c>
      <c r="AO194" s="7">
        <v>4986.4585960000004</v>
      </c>
      <c r="AP194" s="11">
        <f>AO194-AP195</f>
        <v>4965.5152200000002</v>
      </c>
      <c r="AQ194" s="8">
        <f>AP194</f>
        <v>4965.5152200000002</v>
      </c>
      <c r="AR194" s="11">
        <f>AQ194-AR195</f>
        <v>4944.5259940000005</v>
      </c>
      <c r="AS194" s="11">
        <f>AR194-AS195</f>
        <v>4923.0066950000009</v>
      </c>
      <c r="AT194" s="11">
        <f>AS194-AT195</f>
        <v>4905.9713150000007</v>
      </c>
      <c r="AU194" s="11">
        <f>AT194-AU195</f>
        <v>4893.0243510000009</v>
      </c>
      <c r="AV194" s="8">
        <f>AU194</f>
        <v>4893.0243510000009</v>
      </c>
      <c r="AW194" s="11">
        <f>AV194-AW195</f>
        <v>4878.7704830000011</v>
      </c>
      <c r="AX194" s="11">
        <f>AW194-AX195</f>
        <v>4860.7042706360007</v>
      </c>
      <c r="AY194" s="1089" t="e">
        <f>AX194-AY195</f>
        <v>#DIV/0!</v>
      </c>
      <c r="AZ194" s="1089" t="e">
        <f>AY194-AZ195</f>
        <v>#DIV/0!</v>
      </c>
      <c r="BA194" s="470" t="e">
        <f>AZ194</f>
        <v>#DIV/0!</v>
      </c>
      <c r="BB194" s="1089" t="e">
        <f>BA194-BB195</f>
        <v>#DIV/0!</v>
      </c>
      <c r="BC194" s="1089" t="e">
        <f>BB194-BC195</f>
        <v>#DIV/0!</v>
      </c>
      <c r="BD194" s="1089" t="e">
        <f>BC194-BD195</f>
        <v>#DIV/0!</v>
      </c>
      <c r="BE194" s="1089" t="e">
        <f>BD194-BE195</f>
        <v>#DIV/0!</v>
      </c>
      <c r="BF194" s="470" t="e">
        <f>BE194</f>
        <v>#DIV/0!</v>
      </c>
      <c r="BG194" s="1089" t="e">
        <f>BF194-BG195</f>
        <v>#DIV/0!</v>
      </c>
      <c r="BH194" s="1089" t="e">
        <f>BG194-BH195</f>
        <v>#DIV/0!</v>
      </c>
      <c r="BI194" s="1089" t="e">
        <f>BH194-BI195</f>
        <v>#DIV/0!</v>
      </c>
      <c r="BJ194" s="1089" t="e">
        <f>BI194-BJ195</f>
        <v>#DIV/0!</v>
      </c>
      <c r="BK194" s="470" t="e">
        <f>BJ194</f>
        <v>#DIV/0!</v>
      </c>
      <c r="BL194" s="1089" t="e">
        <f>BK194-BL195</f>
        <v>#DIV/0!</v>
      </c>
      <c r="BM194" s="1089" t="e">
        <f>BL194-BM195</f>
        <v>#DIV/0!</v>
      </c>
      <c r="BN194" s="1089" t="e">
        <f>BM194-BN195</f>
        <v>#DIV/0!</v>
      </c>
      <c r="BO194" s="1089" t="e">
        <f>BN194-BO195</f>
        <v>#DIV/0!</v>
      </c>
      <c r="BP194" s="470" t="e">
        <f>BO194</f>
        <v>#DIV/0!</v>
      </c>
      <c r="BQ194" s="1089" t="e">
        <f>BP194-BQ195</f>
        <v>#DIV/0!</v>
      </c>
      <c r="BR194" s="1089" t="e">
        <f>BQ194-BR195</f>
        <v>#DIV/0!</v>
      </c>
      <c r="BS194" s="1089" t="e">
        <f>BR194-BS195</f>
        <v>#DIV/0!</v>
      </c>
      <c r="BT194" s="1089" t="e">
        <f>BS194-BT195</f>
        <v>#DIV/0!</v>
      </c>
      <c r="BU194" s="470" t="e">
        <f>BT194</f>
        <v>#DIV/0!</v>
      </c>
      <c r="BV194" s="1089" t="e">
        <f>BU194-BV195</f>
        <v>#DIV/0!</v>
      </c>
      <c r="BW194" s="1089" t="e">
        <f>BV194-BW195</f>
        <v>#DIV/0!</v>
      </c>
      <c r="BX194" s="1089" t="e">
        <f>BW194-BX195</f>
        <v>#DIV/0!</v>
      </c>
      <c r="BY194" s="1089" t="e">
        <f>BX194-BY195</f>
        <v>#DIV/0!</v>
      </c>
      <c r="BZ194" s="470" t="e">
        <f>BY194</f>
        <v>#DIV/0!</v>
      </c>
    </row>
    <row r="195" spans="1:78" hidden="1" outlineLevel="1">
      <c r="A195" s="1" t="s">
        <v>1963</v>
      </c>
      <c r="AP195" s="7">
        <v>20.943376000000001</v>
      </c>
      <c r="AR195" s="7">
        <v>20.989225999999999</v>
      </c>
      <c r="AS195" s="7">
        <v>21.519299</v>
      </c>
      <c r="AT195" s="7">
        <v>17.03538</v>
      </c>
      <c r="AU195" s="7">
        <v>12.946963999999999</v>
      </c>
      <c r="AW195" s="7">
        <v>14.253868000000001</v>
      </c>
      <c r="AX195" s="7">
        <v>18.066212363999998</v>
      </c>
      <c r="AY195" s="1089" t="e">
        <f>AY196/AY$201</f>
        <v>#DIV/0!</v>
      </c>
      <c r="AZ195" s="1089">
        <f>AZ196/AZ$201</f>
        <v>14.302920806985847</v>
      </c>
      <c r="BA195" s="26"/>
      <c r="BB195" s="1089">
        <f>BB196/BB$201</f>
        <v>11.962727464970373</v>
      </c>
      <c r="BC195" s="1089">
        <f>BC196/BC$201</f>
        <v>14.77710716083053</v>
      </c>
      <c r="BD195" s="1089">
        <f>BD196/BD$201</f>
        <v>12.790155411375508</v>
      </c>
      <c r="BE195" s="1089">
        <f>BE196/BE$201</f>
        <v>11.988803015602173</v>
      </c>
      <c r="BF195" s="26"/>
      <c r="BG195" s="1089">
        <f>BG196/BG$201</f>
        <v>9.9826143683451924</v>
      </c>
      <c r="BH195" s="1089">
        <f>BH196/BH$201</f>
        <v>12.341084411732107</v>
      </c>
      <c r="BI195" s="1089">
        <f>BI196/BI$201</f>
        <v>10.658462842812925</v>
      </c>
      <c r="BJ195" s="1089">
        <f>BJ196/BJ$201</f>
        <v>9.9390378143988745</v>
      </c>
      <c r="BK195" s="26"/>
      <c r="BL195" s="1089">
        <f>BL196/BL$201</f>
        <v>8.3568309019632512</v>
      </c>
      <c r="BM195" s="1089">
        <f>BM196/BM$201</f>
        <v>10.309078161974286</v>
      </c>
      <c r="BN195" s="1089">
        <f>BN196/BN$201</f>
        <v>8.8942362542906217</v>
      </c>
      <c r="BO195" s="1089">
        <f>BO196/BO$201</f>
        <v>8.2466763972285033</v>
      </c>
      <c r="BP195" s="26"/>
      <c r="BQ195" s="1089">
        <f>BQ196/BQ$201</f>
        <v>6.9171299553287282</v>
      </c>
      <c r="BR195" s="1089">
        <f>BR196/BR$201</f>
        <v>8.6254000685862486</v>
      </c>
      <c r="BS195" s="1089">
        <f>BS196/BS$201</f>
        <v>7.4457076710195453</v>
      </c>
      <c r="BT195" s="1089">
        <f>BT196/BT$201</f>
        <v>6.8611639375760491</v>
      </c>
      <c r="BU195" s="26"/>
      <c r="BV195" s="1089">
        <f>BV196/BV$201</f>
        <v>5.7534194543694701</v>
      </c>
      <c r="BW195" s="1089">
        <f>BW196/BW$201</f>
        <v>7.2410766007884559</v>
      </c>
      <c r="BX195" s="1089">
        <f>BX196/BX$201</f>
        <v>6.1629735211862124</v>
      </c>
      <c r="BY195" s="1089">
        <f>BY196/BY$201</f>
        <v>5.7381299358461586</v>
      </c>
      <c r="BZ195" s="26"/>
    </row>
    <row r="196" spans="1:78" hidden="1" outlineLevel="1">
      <c r="A196" s="1" t="s">
        <v>1965</v>
      </c>
      <c r="AP196" s="7">
        <v>460.27729317999996</v>
      </c>
      <c r="AR196" s="7">
        <v>481.53254509000004</v>
      </c>
      <c r="AS196" s="7">
        <v>537.577404</v>
      </c>
      <c r="AT196" s="7">
        <v>478.01765949999998</v>
      </c>
      <c r="AU196" s="7">
        <v>425.11988100000002</v>
      </c>
      <c r="AW196" s="7">
        <v>451.55692001799997</v>
      </c>
      <c r="AX196" s="7">
        <v>569.31766160999996</v>
      </c>
      <c r="AY196" s="1090">
        <v>500</v>
      </c>
      <c r="AZ196" s="1090">
        <v>475</v>
      </c>
      <c r="BA196" s="26"/>
      <c r="BB196" s="1020">
        <f>MROUND(AW196*0.9, 5)</f>
        <v>405</v>
      </c>
      <c r="BC196" s="1020">
        <f>MROUND(AX196*0.9, 5)</f>
        <v>510</v>
      </c>
      <c r="BD196" s="1020">
        <f>MROUND(AY196*0.9, 5)</f>
        <v>450</v>
      </c>
      <c r="BE196" s="1020">
        <f>MROUND(AZ196*0.9, 5)</f>
        <v>430</v>
      </c>
      <c r="BF196" s="26"/>
      <c r="BG196" s="1020">
        <f>MROUND(BB196*0.9, 5)</f>
        <v>365</v>
      </c>
      <c r="BH196" s="1020">
        <f>MROUND(BC196*0.9, 5)</f>
        <v>460</v>
      </c>
      <c r="BI196" s="1020">
        <f>MROUND(BD196*0.9, 5)</f>
        <v>405</v>
      </c>
      <c r="BJ196" s="1020">
        <f>MROUND(BE196*0.9, 5)</f>
        <v>385</v>
      </c>
      <c r="BK196" s="26"/>
      <c r="BL196" s="1020">
        <f>MROUND(BG196*0.9, 5)</f>
        <v>330</v>
      </c>
      <c r="BM196" s="1020">
        <f>MROUND(BH196*0.9, 5)</f>
        <v>415</v>
      </c>
      <c r="BN196" s="1020">
        <f>MROUND(BI196*0.9, 5)</f>
        <v>365</v>
      </c>
      <c r="BO196" s="1020">
        <f>MROUND(BJ196*0.9, 5)</f>
        <v>345</v>
      </c>
      <c r="BP196" s="26"/>
      <c r="BQ196" s="1020">
        <f>MROUND(BL196*0.9, 5)</f>
        <v>295</v>
      </c>
      <c r="BR196" s="1020">
        <f>MROUND(BM196*0.9, 5)</f>
        <v>375</v>
      </c>
      <c r="BS196" s="1020">
        <f>MROUND(BN196*0.9, 5)</f>
        <v>330</v>
      </c>
      <c r="BT196" s="1020">
        <f>MROUND(BO196*0.9, 5)</f>
        <v>310</v>
      </c>
      <c r="BU196" s="26"/>
      <c r="BV196" s="1020">
        <f>MROUND(BQ196*0.9, 5)</f>
        <v>265</v>
      </c>
      <c r="BW196" s="1020">
        <f>MROUND(BR196*0.9, 5)</f>
        <v>340</v>
      </c>
      <c r="BX196" s="1020">
        <f>MROUND(BS196*0.9, 5)</f>
        <v>295</v>
      </c>
      <c r="BY196" s="1020">
        <f>MROUND(BT196*0.9, 5)</f>
        <v>280</v>
      </c>
      <c r="BZ196" s="26"/>
    </row>
    <row r="197" spans="1:78" hidden="1" outlineLevel="1">
      <c r="AP197" s="22" t="s">
        <v>1964</v>
      </c>
      <c r="AY197" s="26"/>
      <c r="AZ197" s="26"/>
      <c r="BA197" s="26"/>
      <c r="BB197" s="26"/>
      <c r="BC197" s="26"/>
      <c r="BD197" s="26"/>
      <c r="BE197" s="26"/>
      <c r="BF197" s="26"/>
      <c r="BG197" s="26"/>
      <c r="BH197" s="26"/>
      <c r="BI197" s="26"/>
      <c r="BJ197" s="26"/>
      <c r="BK197" s="26"/>
      <c r="BL197" s="26"/>
      <c r="BM197" s="26"/>
      <c r="BN197" s="26"/>
      <c r="BO197" s="26"/>
      <c r="BP197" s="26"/>
      <c r="BQ197" s="26"/>
      <c r="BR197" s="26"/>
      <c r="BS197" s="26"/>
      <c r="BT197" s="26"/>
      <c r="BU197" s="26"/>
      <c r="BV197" s="26"/>
      <c r="BW197" s="26"/>
      <c r="BX197" s="26"/>
      <c r="BY197" s="26"/>
      <c r="BZ197" s="26"/>
    </row>
    <row r="198" spans="1:78" hidden="1" outlineLevel="1">
      <c r="A198" s="3" t="s">
        <v>982</v>
      </c>
      <c r="AY198" s="26"/>
      <c r="AZ198" s="26"/>
      <c r="BA198" s="26"/>
      <c r="BB198" s="26"/>
      <c r="BC198" s="26"/>
      <c r="BD198" s="26"/>
      <c r="BE198" s="26"/>
      <c r="BF198" s="26"/>
      <c r="BG198" s="26"/>
      <c r="BH198" s="26"/>
      <c r="BI198" s="26"/>
      <c r="BJ198" s="26"/>
      <c r="BK198" s="26"/>
      <c r="BL198" s="26"/>
      <c r="BM198" s="26"/>
      <c r="BN198" s="26"/>
      <c r="BO198" s="26"/>
      <c r="BP198" s="26"/>
      <c r="BQ198" s="26"/>
      <c r="BR198" s="26"/>
      <c r="BS198" s="26"/>
      <c r="BT198" s="26"/>
      <c r="BU198" s="26"/>
      <c r="BV198" s="26"/>
      <c r="BW198" s="26"/>
      <c r="BX198" s="26"/>
      <c r="BY198" s="26"/>
      <c r="BZ198" s="26"/>
    </row>
    <row r="199" spans="1:78" hidden="1" outlineLevel="1">
      <c r="AY199" s="26"/>
      <c r="AZ199" s="26"/>
      <c r="BA199" s="26"/>
      <c r="BB199" s="26"/>
      <c r="BC199" s="26"/>
      <c r="BD199" s="26"/>
      <c r="BE199" s="26"/>
      <c r="BF199" s="26"/>
      <c r="BG199" s="26"/>
      <c r="BH199" s="26"/>
      <c r="BI199" s="26"/>
      <c r="BJ199" s="26"/>
      <c r="BK199" s="26"/>
      <c r="BL199" s="26"/>
      <c r="BM199" s="26"/>
      <c r="BN199" s="26"/>
      <c r="BO199" s="26"/>
      <c r="BP199" s="26"/>
      <c r="BQ199" s="26"/>
      <c r="BR199" s="26"/>
      <c r="BS199" s="26"/>
      <c r="BT199" s="26"/>
      <c r="BU199" s="26"/>
      <c r="BV199" s="26"/>
      <c r="BW199" s="26"/>
      <c r="BX199" s="26"/>
      <c r="BY199" s="26"/>
      <c r="BZ199" s="26"/>
    </row>
    <row r="200" spans="1:78" hidden="1" outlineLevel="1">
      <c r="A200" s="1" t="s">
        <v>1002</v>
      </c>
      <c r="AD200" s="24">
        <f>VLOOKUP(AD2, 'SBG investee share prices'!$B:$F, 5, FALSE)</f>
        <v>20.162262401483499</v>
      </c>
      <c r="AE200" s="24">
        <f>VLOOKUP(AE2, 'SBG investee share prices'!$B:$F, 5, FALSE)</f>
        <v>18.455615942028999</v>
      </c>
      <c r="AF200" s="24">
        <f>VLOOKUP(AF2, 'SBG investee share prices'!$B:$F, 5, FALSE)</f>
        <v>18.809153521439701</v>
      </c>
      <c r="AG200" s="24">
        <f>AF200</f>
        <v>18.809153521439701</v>
      </c>
      <c r="AH200" s="24">
        <f>VLOOKUP(AH2, 'SBG investee share prices'!$B:$F, 5, FALSE)</f>
        <v>19.8055613631612</v>
      </c>
      <c r="AI200" s="24">
        <f>VLOOKUP(AI2, 'SBG investee share prices'!$B:$F, 5, FALSE)</f>
        <v>17.152382820160799</v>
      </c>
      <c r="AJ200" s="24">
        <f>VLOOKUP(AJ2, 'SBG investee share prices'!$B:$F, 5, FALSE)</f>
        <v>19.9187773859143</v>
      </c>
      <c r="AK200" s="24">
        <f>VLOOKUP(AK2, 'SBG investee share prices'!$B:$F, 5, FALSE)</f>
        <v>24.282920469361098</v>
      </c>
      <c r="AL200" s="24">
        <f>AK200</f>
        <v>24.282920469361098</v>
      </c>
      <c r="AM200" s="24">
        <f>VLOOKUP(AM2, 'SBG investee share prices'!$B:$F, 5, FALSE)</f>
        <v>21.807860262008699</v>
      </c>
      <c r="AN200" s="24">
        <f>VLOOKUP(AN2, 'SBG investee share prices'!$B:$F, 5, FALSE)</f>
        <v>21.0287891617273</v>
      </c>
      <c r="AO200" s="24">
        <f>VLOOKUP(AO2, 'SBG investee share prices'!$B:$F, 5, FALSE)</f>
        <v>24.0411186028518</v>
      </c>
      <c r="AP200" s="24">
        <f>VLOOKUP(AP2, 'SBG investee share prices'!$B:$F, 5, FALSE)</f>
        <v>24.303305249513901</v>
      </c>
      <c r="AQ200" s="24">
        <f>AP200</f>
        <v>24.303305249513901</v>
      </c>
      <c r="AR200" s="24">
        <f>VLOOKUP(AR2, 'SBG investee share prices'!$B:$F, 5, FALSE)</f>
        <v>25.15804135862</v>
      </c>
      <c r="AS200" s="24">
        <f>VLOOKUP(AS2, 'SBG investee share prices'!$B:$F, 5, FALSE)</f>
        <v>29.433415123801002</v>
      </c>
      <c r="AT200" s="24">
        <f>VLOOKUP(AT2, 'SBG investee share prices'!$B:$F, 5, FALSE)</f>
        <v>29.975098568167699</v>
      </c>
      <c r="AU200" s="24">
        <f>VLOOKUP(AU2, 'SBG investee share prices'!$B:$F, 5, FALSE)</f>
        <v>36.9865974924341</v>
      </c>
      <c r="AV200" s="24">
        <f>AU200</f>
        <v>36.9865974924341</v>
      </c>
      <c r="AW200" s="24">
        <f>VLOOKUP(AW2, 'SBG investee share prices'!$B:$F, 5, FALSE)</f>
        <v>36.371109807369997</v>
      </c>
      <c r="AX200" s="224">
        <f>VLOOKUP(AX2, 'SBG investee share prices'!$B:$F, 5, FALSE)</f>
        <v>34.037310809879997</v>
      </c>
      <c r="AY200" s="224">
        <f>VLOOKUP(AY2, 'SBG investee share prices'!$B:$F, 5, FALSE)</f>
        <v>32.537348541359997</v>
      </c>
      <c r="AZ200" s="287">
        <f t="shared" ref="AZ200:BZ200" si="461">AZ201*AZ202</f>
        <v>38.855699999999999</v>
      </c>
      <c r="BA200" s="287">
        <f t="shared" si="461"/>
        <v>38.855699999999999</v>
      </c>
      <c r="BB200" s="287">
        <f t="shared" si="461"/>
        <v>39.610532078703805</v>
      </c>
      <c r="BC200" s="287">
        <f t="shared" si="461"/>
        <v>40.380027938192413</v>
      </c>
      <c r="BD200" s="287">
        <f t="shared" si="461"/>
        <v>41.1644724450911</v>
      </c>
      <c r="BE200" s="287">
        <f t="shared" si="461"/>
        <v>41.964155999999996</v>
      </c>
      <c r="BF200" s="287">
        <f t="shared" si="461"/>
        <v>41.964155999999996</v>
      </c>
      <c r="BG200" s="287">
        <f t="shared" si="461"/>
        <v>42.779374645000097</v>
      </c>
      <c r="BH200" s="287">
        <f t="shared" si="461"/>
        <v>43.610430173247799</v>
      </c>
      <c r="BI200" s="287">
        <f t="shared" si="461"/>
        <v>44.457630240698386</v>
      </c>
      <c r="BJ200" s="287">
        <f t="shared" si="461"/>
        <v>45.321288479999993</v>
      </c>
      <c r="BK200" s="287">
        <f t="shared" si="461"/>
        <v>45.321288479999993</v>
      </c>
      <c r="BL200" s="287">
        <f t="shared" si="461"/>
        <v>46.20172461660011</v>
      </c>
      <c r="BM200" s="287">
        <f t="shared" si="461"/>
        <v>47.099264587107619</v>
      </c>
      <c r="BN200" s="287">
        <f t="shared" si="461"/>
        <v>48.014240659954254</v>
      </c>
      <c r="BO200" s="287">
        <f t="shared" si="461"/>
        <v>48.946991558399986</v>
      </c>
      <c r="BP200" s="287">
        <f t="shared" si="461"/>
        <v>48.946991558399986</v>
      </c>
      <c r="BQ200" s="287">
        <f t="shared" si="461"/>
        <v>49.897862585928117</v>
      </c>
      <c r="BR200" s="287">
        <f t="shared" si="461"/>
        <v>50.867205754076231</v>
      </c>
      <c r="BS200" s="287">
        <f t="shared" si="461"/>
        <v>51.8553799127506</v>
      </c>
      <c r="BT200" s="287">
        <f t="shared" si="461"/>
        <v>52.862750883071989</v>
      </c>
      <c r="BU200" s="287">
        <f t="shared" si="461"/>
        <v>52.862750883071989</v>
      </c>
      <c r="BV200" s="287">
        <f t="shared" si="461"/>
        <v>53.889691592802357</v>
      </c>
      <c r="BW200" s="287">
        <f t="shared" si="461"/>
        <v>54.936582214402328</v>
      </c>
      <c r="BX200" s="287">
        <f t="shared" si="461"/>
        <v>56.003810305770642</v>
      </c>
      <c r="BY200" s="287">
        <f t="shared" si="461"/>
        <v>57.091770953717749</v>
      </c>
      <c r="BZ200" s="287">
        <f t="shared" si="461"/>
        <v>57.091770953717749</v>
      </c>
    </row>
    <row r="201" spans="1:78" s="26" customFormat="1" hidden="1" outlineLevel="1">
      <c r="A201" s="26" t="s">
        <v>1969</v>
      </c>
      <c r="AZ201" s="285">
        <f>FP!$G$9</f>
        <v>33.21</v>
      </c>
      <c r="BA201" s="287">
        <f>AZ201</f>
        <v>33.21</v>
      </c>
      <c r="BB201" s="287">
        <f>BA201*(1+$AU$187)</f>
        <v>33.855155622823766</v>
      </c>
      <c r="BC201" s="287">
        <f>BB201*(1+$AU$187)</f>
        <v>34.512844391617449</v>
      </c>
      <c r="BD201" s="287">
        <f>BC201*(1+$AU$187)</f>
        <v>35.18330978212915</v>
      </c>
      <c r="BE201" s="287">
        <f>BD201*(1+$AU$187)</f>
        <v>35.866799999999998</v>
      </c>
      <c r="BF201" s="287">
        <f>BE201</f>
        <v>35.866799999999998</v>
      </c>
      <c r="BG201" s="287">
        <f>BF201*(1+$AU$187)</f>
        <v>36.563568072649659</v>
      </c>
      <c r="BH201" s="287">
        <f>BG201*(1+$AU$187)</f>
        <v>37.27387194294684</v>
      </c>
      <c r="BI201" s="287">
        <f>BH201*(1+$AU$187)</f>
        <v>37.997974564699476</v>
      </c>
      <c r="BJ201" s="287">
        <f>BI201*(1+$AU$187)</f>
        <v>38.736143999999996</v>
      </c>
      <c r="BK201" s="287">
        <f>BJ201</f>
        <v>38.736143999999996</v>
      </c>
      <c r="BL201" s="287">
        <f>BK201*(1+$AU$187)</f>
        <v>39.488653518461632</v>
      </c>
      <c r="BM201" s="287">
        <f>BL201*(1+$AU$187)</f>
        <v>40.255781698382584</v>
      </c>
      <c r="BN201" s="287">
        <f>BM201*(1+$AU$187)</f>
        <v>41.037812529875431</v>
      </c>
      <c r="BO201" s="287">
        <f>BN201*(1+$AU$187)</f>
        <v>41.835035519999991</v>
      </c>
      <c r="BP201" s="287">
        <f>BO201</f>
        <v>41.835035519999991</v>
      </c>
      <c r="BQ201" s="287">
        <f>BP201*(1+$AU$187)</f>
        <v>42.647745799938562</v>
      </c>
      <c r="BR201" s="287">
        <f>BQ201*(1+$AU$187)</f>
        <v>43.476244234253194</v>
      </c>
      <c r="BS201" s="287">
        <f>BR201*(1+$AU$187)</f>
        <v>44.320837532265472</v>
      </c>
      <c r="BT201" s="287">
        <f>BS201*(1+$AU$187)</f>
        <v>45.181838361599993</v>
      </c>
      <c r="BU201" s="287">
        <f>BT201</f>
        <v>45.181838361599993</v>
      </c>
      <c r="BV201" s="287">
        <f>BU201*(1+$AU$187)</f>
        <v>46.059565463933644</v>
      </c>
      <c r="BW201" s="287">
        <f>BV201*(1+$AU$187)</f>
        <v>46.954343772993447</v>
      </c>
      <c r="BX201" s="287">
        <f>BW201*(1+$AU$187)</f>
        <v>47.866504534846705</v>
      </c>
      <c r="BY201" s="287">
        <f>BX201*(1+$AU$187)</f>
        <v>48.796385430527991</v>
      </c>
      <c r="BZ201" s="287">
        <f>BY201</f>
        <v>48.796385430527991</v>
      </c>
    </row>
    <row r="202" spans="1:78" s="26" customFormat="1" hidden="1" outlineLevel="1">
      <c r="A202" s="26" t="s">
        <v>1968</v>
      </c>
      <c r="AW202" s="287"/>
      <c r="AX202" s="287"/>
      <c r="AY202" s="287"/>
      <c r="AZ202" s="285">
        <v>1.17</v>
      </c>
      <c r="BA202" s="287">
        <f t="shared" ref="BA202:BZ202" si="462">AZ202</f>
        <v>1.17</v>
      </c>
      <c r="BB202" s="287">
        <f t="shared" si="462"/>
        <v>1.17</v>
      </c>
      <c r="BC202" s="287">
        <f t="shared" si="462"/>
        <v>1.17</v>
      </c>
      <c r="BD202" s="287">
        <f t="shared" si="462"/>
        <v>1.17</v>
      </c>
      <c r="BE202" s="287">
        <f t="shared" si="462"/>
        <v>1.17</v>
      </c>
      <c r="BF202" s="287">
        <f t="shared" si="462"/>
        <v>1.17</v>
      </c>
      <c r="BG202" s="287">
        <f t="shared" si="462"/>
        <v>1.17</v>
      </c>
      <c r="BH202" s="287">
        <f t="shared" si="462"/>
        <v>1.17</v>
      </c>
      <c r="BI202" s="287">
        <f t="shared" si="462"/>
        <v>1.17</v>
      </c>
      <c r="BJ202" s="287">
        <f t="shared" si="462"/>
        <v>1.17</v>
      </c>
      <c r="BK202" s="287">
        <f t="shared" si="462"/>
        <v>1.17</v>
      </c>
      <c r="BL202" s="287">
        <f t="shared" si="462"/>
        <v>1.17</v>
      </c>
      <c r="BM202" s="287">
        <f t="shared" si="462"/>
        <v>1.17</v>
      </c>
      <c r="BN202" s="287">
        <f t="shared" si="462"/>
        <v>1.17</v>
      </c>
      <c r="BO202" s="287">
        <f t="shared" si="462"/>
        <v>1.17</v>
      </c>
      <c r="BP202" s="287">
        <f t="shared" si="462"/>
        <v>1.17</v>
      </c>
      <c r="BQ202" s="287">
        <f t="shared" si="462"/>
        <v>1.17</v>
      </c>
      <c r="BR202" s="287">
        <f t="shared" si="462"/>
        <v>1.17</v>
      </c>
      <c r="BS202" s="287">
        <f t="shared" si="462"/>
        <v>1.17</v>
      </c>
      <c r="BT202" s="287">
        <f t="shared" si="462"/>
        <v>1.17</v>
      </c>
      <c r="BU202" s="287">
        <f t="shared" si="462"/>
        <v>1.17</v>
      </c>
      <c r="BV202" s="287">
        <f t="shared" si="462"/>
        <v>1.17</v>
      </c>
      <c r="BW202" s="287">
        <f t="shared" si="462"/>
        <v>1.17</v>
      </c>
      <c r="BX202" s="287">
        <f t="shared" si="462"/>
        <v>1.17</v>
      </c>
      <c r="BY202" s="287">
        <f t="shared" si="462"/>
        <v>1.17</v>
      </c>
      <c r="BZ202" s="287">
        <f t="shared" si="462"/>
        <v>1.17</v>
      </c>
    </row>
    <row r="203" spans="1:78" hidden="1" outlineLevel="1">
      <c r="AY203" s="26"/>
      <c r="AZ203" s="26"/>
      <c r="BA203" s="26"/>
      <c r="BB203" s="26"/>
      <c r="BC203" s="26"/>
      <c r="BD203" s="26"/>
      <c r="BE203" s="26"/>
      <c r="BF203" s="26"/>
      <c r="BG203" s="26"/>
      <c r="BH203" s="26"/>
      <c r="BI203" s="26"/>
      <c r="BJ203" s="26"/>
      <c r="BK203" s="26"/>
      <c r="BL203" s="26"/>
      <c r="BM203" s="26"/>
      <c r="BN203" s="26"/>
      <c r="BO203" s="26"/>
      <c r="BP203" s="26"/>
      <c r="BQ203" s="26"/>
      <c r="BR203" s="26"/>
      <c r="BS203" s="26"/>
      <c r="BT203" s="26"/>
      <c r="BU203" s="26"/>
      <c r="BV203" s="26"/>
      <c r="BW203" s="26"/>
      <c r="BX203" s="26"/>
      <c r="BY203" s="26"/>
      <c r="BZ203" s="26"/>
    </row>
    <row r="204" spans="1:78" hidden="1" outlineLevel="1">
      <c r="A204" s="1" t="s">
        <v>1962</v>
      </c>
      <c r="AD204" s="36">
        <f>AD200*AD191</f>
        <v>4536.5090403337872</v>
      </c>
      <c r="AE204" s="36">
        <f>AE200*AE191</f>
        <v>4152.5135869565247</v>
      </c>
      <c r="AF204" s="36">
        <f>AF200*AF191</f>
        <v>4232.0595423239329</v>
      </c>
      <c r="AG204" s="36">
        <f>AF204</f>
        <v>4232.0595423239329</v>
      </c>
      <c r="AH204" s="36">
        <f t="shared" ref="AH204:AV204" si="463">AH200*AH191</f>
        <v>4456.2513067112695</v>
      </c>
      <c r="AI204" s="36">
        <f t="shared" si="463"/>
        <v>3859.2861345361798</v>
      </c>
      <c r="AJ204" s="36">
        <f t="shared" si="463"/>
        <v>4481.7249118307172</v>
      </c>
      <c r="AK204" s="36">
        <f t="shared" si="463"/>
        <v>5463.6571056062467</v>
      </c>
      <c r="AL204" s="36">
        <f>AK204</f>
        <v>5463.6571056062467</v>
      </c>
      <c r="AM204" s="36">
        <f t="shared" ref="AM204:AN204" si="464">AM200*AM191</f>
        <v>4906.7685589519569</v>
      </c>
      <c r="AN204" s="36">
        <f t="shared" si="464"/>
        <v>4731.4775613886422</v>
      </c>
      <c r="AO204" s="36">
        <f t="shared" si="463"/>
        <v>5409.2516856416551</v>
      </c>
      <c r="AP204" s="36">
        <f t="shared" ref="AP204" si="465">AP200*AP191</f>
        <v>5468.2436811406278</v>
      </c>
      <c r="AQ204" s="36">
        <f>AP204</f>
        <v>5468.2436811406278</v>
      </c>
      <c r="AR204" s="36">
        <f t="shared" ref="AR204:AT204" si="466">AR200*AR191</f>
        <v>5660.5593056895004</v>
      </c>
      <c r="AS204" s="36">
        <f t="shared" si="466"/>
        <v>6622.5184028552258</v>
      </c>
      <c r="AT204" s="36">
        <f t="shared" si="466"/>
        <v>6744.3971778377318</v>
      </c>
      <c r="AU204" s="36">
        <f t="shared" ref="AU204" si="467">AU200*AU191</f>
        <v>7600.7457846952075</v>
      </c>
      <c r="AV204" s="36">
        <f t="shared" si="463"/>
        <v>7600.7457846952075</v>
      </c>
      <c r="AW204" s="36">
        <f>AW200*AW191</f>
        <v>6055.7897829271042</v>
      </c>
      <c r="AX204" s="36">
        <f>AX200*AX191</f>
        <v>367.60295674670402</v>
      </c>
      <c r="AY204" s="61">
        <f t="shared" ref="AY204:BA204" si="468">AY200*AY191</f>
        <v>0</v>
      </c>
      <c r="AZ204" s="61">
        <f t="shared" si="468"/>
        <v>0</v>
      </c>
      <c r="BA204" s="61">
        <f t="shared" si="468"/>
        <v>0</v>
      </c>
      <c r="BB204" s="61">
        <f>BB200*BB191</f>
        <v>0</v>
      </c>
      <c r="BC204" s="61">
        <f t="shared" ref="BC204:BF204" si="469">BC200*BC191</f>
        <v>0</v>
      </c>
      <c r="BD204" s="61">
        <f t="shared" si="469"/>
        <v>0</v>
      </c>
      <c r="BE204" s="61">
        <f t="shared" si="469"/>
        <v>0</v>
      </c>
      <c r="BF204" s="61">
        <f t="shared" si="469"/>
        <v>0</v>
      </c>
      <c r="BG204" s="61">
        <f>BG200*BG191</f>
        <v>0</v>
      </c>
      <c r="BH204" s="61">
        <f t="shared" ref="BH204:BK204" si="470">BH200*BH191</f>
        <v>0</v>
      </c>
      <c r="BI204" s="61">
        <f t="shared" si="470"/>
        <v>0</v>
      </c>
      <c r="BJ204" s="61">
        <f>BJ200*BJ191</f>
        <v>0</v>
      </c>
      <c r="BK204" s="61">
        <f t="shared" si="470"/>
        <v>0</v>
      </c>
      <c r="BL204" s="61">
        <f>BL200*BL191</f>
        <v>0</v>
      </c>
      <c r="BM204" s="61">
        <f t="shared" ref="BM204:BP204" si="471">BM200*BM191</f>
        <v>0</v>
      </c>
      <c r="BN204" s="61">
        <f t="shared" si="471"/>
        <v>0</v>
      </c>
      <c r="BO204" s="61">
        <f t="shared" si="471"/>
        <v>0</v>
      </c>
      <c r="BP204" s="61">
        <f t="shared" si="471"/>
        <v>0</v>
      </c>
      <c r="BQ204" s="61">
        <f>BQ200*BQ191</f>
        <v>0</v>
      </c>
      <c r="BR204" s="61">
        <f t="shared" ref="BR204:BU204" si="472">BR200*BR191</f>
        <v>0</v>
      </c>
      <c r="BS204" s="61">
        <f t="shared" si="472"/>
        <v>0</v>
      </c>
      <c r="BT204" s="61">
        <f t="shared" si="472"/>
        <v>0</v>
      </c>
      <c r="BU204" s="61">
        <f t="shared" si="472"/>
        <v>0</v>
      </c>
      <c r="BV204" s="61">
        <f>BV200*BV191</f>
        <v>0</v>
      </c>
      <c r="BW204" s="61">
        <f t="shared" ref="BW204:BZ204" si="473">BW200*BW191</f>
        <v>0</v>
      </c>
      <c r="BX204" s="61">
        <f t="shared" si="473"/>
        <v>0</v>
      </c>
      <c r="BY204" s="61">
        <f t="shared" si="473"/>
        <v>0</v>
      </c>
      <c r="BZ204" s="61">
        <f t="shared" si="473"/>
        <v>0</v>
      </c>
    </row>
    <row r="205" spans="1:78" s="219" customFormat="1" hidden="1" outlineLevel="1">
      <c r="A205" s="219" t="s">
        <v>2896</v>
      </c>
      <c r="AR205" s="649">
        <f>AR204-AQ204</f>
        <v>192.31562454887262</v>
      </c>
      <c r="AS205" s="649">
        <f>AS204-AR204</f>
        <v>961.95909716572532</v>
      </c>
      <c r="AT205" s="649">
        <f>AT204-AS204</f>
        <v>121.878774982506</v>
      </c>
      <c r="AU205" s="649">
        <f>AU204-AT204</f>
        <v>856.34860685747572</v>
      </c>
      <c r="AV205" s="649">
        <f>SUM(AR205:AU205)</f>
        <v>2132.5021035545797</v>
      </c>
      <c r="AW205" s="649">
        <f>AW204-AV204</f>
        <v>-1544.9560017681033</v>
      </c>
      <c r="AX205" s="649">
        <f>AX204-AW204</f>
        <v>-5688.1868261804002</v>
      </c>
      <c r="AY205" s="61"/>
      <c r="AZ205" s="61"/>
      <c r="BA205" s="61"/>
      <c r="BB205" s="61"/>
      <c r="BC205" s="61"/>
      <c r="BD205" s="61"/>
      <c r="BE205" s="61"/>
      <c r="BF205" s="61"/>
      <c r="BG205" s="61"/>
      <c r="BH205" s="61"/>
      <c r="BI205" s="61"/>
      <c r="BJ205" s="61"/>
      <c r="BK205" s="61"/>
      <c r="BL205" s="61"/>
      <c r="BM205" s="61"/>
      <c r="BN205" s="61"/>
      <c r="BO205" s="61"/>
      <c r="BP205" s="61"/>
      <c r="BQ205" s="61"/>
      <c r="BR205" s="61"/>
      <c r="BS205" s="61"/>
      <c r="BT205" s="61"/>
      <c r="BU205" s="61"/>
      <c r="BV205" s="61"/>
      <c r="BW205" s="61"/>
      <c r="BX205" s="61"/>
      <c r="BY205" s="61"/>
      <c r="BZ205" s="61"/>
    </row>
    <row r="206" spans="1:78" s="706" customFormat="1" hidden="1" outlineLevel="1">
      <c r="A206" s="706" t="s">
        <v>2897</v>
      </c>
      <c r="AR206" s="695">
        <f>AR219-AQ219</f>
        <v>117.62530862650783</v>
      </c>
      <c r="AS206" s="695">
        <f>AS219-AR219</f>
        <v>295.16926300826663</v>
      </c>
      <c r="AT206" s="695">
        <f>AT219-AS219</f>
        <v>-189.98068984392694</v>
      </c>
      <c r="AU206" s="695">
        <f>AU219-AT219</f>
        <v>339.78161566416156</v>
      </c>
      <c r="AV206" s="695">
        <f>SUM(AR206:AU206)</f>
        <v>562.59549745500908</v>
      </c>
      <c r="AW206" s="695">
        <f>AW219-AV219</f>
        <v>-325.14792450128107</v>
      </c>
      <c r="AX206" s="695">
        <f>AX219-AW219</f>
        <v>-2081.1192089573465</v>
      </c>
      <c r="AY206" s="61"/>
      <c r="AZ206" s="61"/>
      <c r="BA206" s="61"/>
      <c r="BB206" s="61"/>
      <c r="BC206" s="61"/>
      <c r="BD206" s="61"/>
      <c r="BE206" s="61"/>
      <c r="BF206" s="61"/>
      <c r="BG206" s="61"/>
      <c r="BH206" s="61"/>
      <c r="BI206" s="61"/>
      <c r="BJ206" s="61"/>
      <c r="BK206" s="61"/>
      <c r="BL206" s="61"/>
      <c r="BM206" s="61"/>
      <c r="BN206" s="61"/>
      <c r="BO206" s="61"/>
      <c r="BP206" s="61"/>
      <c r="BQ206" s="61"/>
      <c r="BR206" s="61"/>
      <c r="BS206" s="61"/>
      <c r="BT206" s="61"/>
      <c r="BU206" s="61"/>
      <c r="BV206" s="61"/>
      <c r="BW206" s="61"/>
      <c r="BX206" s="61"/>
      <c r="BY206" s="61"/>
      <c r="BZ206" s="61"/>
    </row>
    <row r="207" spans="1:78" hidden="1" outlineLevel="1">
      <c r="AY207" s="26"/>
      <c r="AZ207" s="26"/>
      <c r="BA207" s="26"/>
      <c r="BB207" s="26"/>
      <c r="BC207" s="26"/>
      <c r="BD207" s="26"/>
      <c r="BE207" s="26"/>
      <c r="BF207" s="26"/>
      <c r="BG207" s="26"/>
      <c r="BH207" s="26"/>
      <c r="BI207" s="26"/>
      <c r="BJ207" s="26"/>
      <c r="BK207" s="26"/>
      <c r="BL207" s="26"/>
      <c r="BM207" s="26"/>
      <c r="BN207" s="26"/>
      <c r="BO207" s="26"/>
      <c r="BP207" s="26"/>
      <c r="BQ207" s="26"/>
      <c r="BR207" s="26"/>
      <c r="BS207" s="26"/>
      <c r="BT207" s="26"/>
      <c r="BU207" s="26"/>
      <c r="BV207" s="26"/>
      <c r="BW207" s="26"/>
      <c r="BX207" s="26"/>
      <c r="BY207" s="26"/>
      <c r="BZ207" s="26"/>
    </row>
    <row r="208" spans="1:78" hidden="1" outlineLevel="1">
      <c r="A208" s="26" t="s">
        <v>1968</v>
      </c>
      <c r="AP208" s="791">
        <v>1.08</v>
      </c>
      <c r="AR208" s="791">
        <v>1.07</v>
      </c>
      <c r="AS208" s="791">
        <v>1.1100000000000001</v>
      </c>
      <c r="AT208" s="791">
        <v>1.03</v>
      </c>
      <c r="AU208" s="791">
        <v>1.08</v>
      </c>
      <c r="AV208" s="26"/>
      <c r="AW208" s="791">
        <v>1.17</v>
      </c>
      <c r="AX208" s="791">
        <v>1.1100000000000001</v>
      </c>
      <c r="AY208" s="287">
        <f>AY202</f>
        <v>0</v>
      </c>
      <c r="AZ208" s="287">
        <f>AZ202</f>
        <v>1.17</v>
      </c>
      <c r="BA208" s="26"/>
      <c r="BB208" s="287">
        <f t="shared" ref="BB208:BE208" si="474">BB202</f>
        <v>1.17</v>
      </c>
      <c r="BC208" s="287">
        <f t="shared" si="474"/>
        <v>1.17</v>
      </c>
      <c r="BD208" s="287">
        <f t="shared" si="474"/>
        <v>1.17</v>
      </c>
      <c r="BE208" s="287">
        <f t="shared" si="474"/>
        <v>1.17</v>
      </c>
      <c r="BF208" s="26"/>
      <c r="BG208" s="287">
        <f t="shared" ref="BG208:BJ208" si="475">BG202</f>
        <v>1.17</v>
      </c>
      <c r="BH208" s="287">
        <f t="shared" si="475"/>
        <v>1.17</v>
      </c>
      <c r="BI208" s="287">
        <f t="shared" si="475"/>
        <v>1.17</v>
      </c>
      <c r="BJ208" s="287">
        <f t="shared" si="475"/>
        <v>1.17</v>
      </c>
      <c r="BK208" s="26"/>
      <c r="BL208" s="287">
        <f t="shared" ref="BL208:BO208" si="476">BL202</f>
        <v>1.17</v>
      </c>
      <c r="BM208" s="287">
        <f t="shared" si="476"/>
        <v>1.17</v>
      </c>
      <c r="BN208" s="287">
        <f t="shared" si="476"/>
        <v>1.17</v>
      </c>
      <c r="BO208" s="287">
        <f t="shared" si="476"/>
        <v>1.17</v>
      </c>
      <c r="BP208" s="26"/>
      <c r="BQ208" s="287">
        <f t="shared" ref="BQ208:BT208" si="477">BQ202</f>
        <v>1.17</v>
      </c>
      <c r="BR208" s="287">
        <f t="shared" si="477"/>
        <v>1.17</v>
      </c>
      <c r="BS208" s="287">
        <f t="shared" si="477"/>
        <v>1.17</v>
      </c>
      <c r="BT208" s="287">
        <f t="shared" si="477"/>
        <v>1.17</v>
      </c>
      <c r="BU208" s="26"/>
      <c r="BV208" s="287">
        <f t="shared" ref="BV208:BY208" si="478">BV202</f>
        <v>1.17</v>
      </c>
      <c r="BW208" s="287">
        <f t="shared" si="478"/>
        <v>1.17</v>
      </c>
      <c r="BX208" s="287">
        <f t="shared" si="478"/>
        <v>1.17</v>
      </c>
      <c r="BY208" s="287">
        <f t="shared" si="478"/>
        <v>1.17</v>
      </c>
      <c r="BZ208" s="26"/>
    </row>
    <row r="209" spans="1:78" s="26" customFormat="1" hidden="1" outlineLevel="1">
      <c r="A209" s="26" t="s">
        <v>2898</v>
      </c>
      <c r="AD209" s="61"/>
      <c r="AK209" s="61"/>
      <c r="AL209" s="61"/>
      <c r="AM209" s="61"/>
      <c r="AN209" s="61"/>
      <c r="AO209" s="61"/>
      <c r="AP209" s="61">
        <f>AP204/AP208</f>
        <v>5063.1885936487288</v>
      </c>
      <c r="AQ209" s="61">
        <f>AP209</f>
        <v>5063.1885936487288</v>
      </c>
      <c r="AR209" s="61">
        <f>AR204/AR208</f>
        <v>5290.2423417658883</v>
      </c>
      <c r="AS209" s="61">
        <f>AS204/AS208</f>
        <v>5966.2327953650674</v>
      </c>
      <c r="AT209" s="61">
        <f>AT204/AT208</f>
        <v>6547.9584250851767</v>
      </c>
      <c r="AU209" s="61">
        <f>AU204/AU208</f>
        <v>7037.727578421488</v>
      </c>
      <c r="AV209" s="61">
        <f>AU209</f>
        <v>7037.727578421488</v>
      </c>
      <c r="AW209" s="61">
        <f>AW204/AW208</f>
        <v>5175.8887033564997</v>
      </c>
      <c r="AX209" s="61">
        <f>AX204/AX208</f>
        <v>331.17383490694056</v>
      </c>
      <c r="AY209" s="61" t="e">
        <f>AY204/AY208</f>
        <v>#DIV/0!</v>
      </c>
      <c r="AZ209" s="61">
        <f>AZ204/AZ208</f>
        <v>0</v>
      </c>
      <c r="BA209" s="61"/>
      <c r="BB209" s="61">
        <f t="shared" ref="BB209:BE209" si="479">BB204/BB208</f>
        <v>0</v>
      </c>
      <c r="BC209" s="61">
        <f t="shared" si="479"/>
        <v>0</v>
      </c>
      <c r="BD209" s="61">
        <f t="shared" si="479"/>
        <v>0</v>
      </c>
      <c r="BE209" s="61">
        <f t="shared" si="479"/>
        <v>0</v>
      </c>
      <c r="BF209" s="61"/>
      <c r="BG209" s="61">
        <f t="shared" ref="BG209" si="480">BG204/BG208</f>
        <v>0</v>
      </c>
      <c r="BH209" s="61">
        <f t="shared" ref="BH209" si="481">BH204/BH208</f>
        <v>0</v>
      </c>
      <c r="BI209" s="61">
        <f t="shared" ref="BI209" si="482">BI204/BI208</f>
        <v>0</v>
      </c>
      <c r="BJ209" s="61">
        <f t="shared" ref="BJ209" si="483">BJ204/BJ208</f>
        <v>0</v>
      </c>
      <c r="BK209" s="61"/>
      <c r="BL209" s="61">
        <f t="shared" ref="BL209" si="484">BL204/BL208</f>
        <v>0</v>
      </c>
      <c r="BM209" s="61">
        <f t="shared" ref="BM209" si="485">BM204/BM208</f>
        <v>0</v>
      </c>
      <c r="BN209" s="61">
        <f t="shared" ref="BN209" si="486">BN204/BN208</f>
        <v>0</v>
      </c>
      <c r="BO209" s="61">
        <f t="shared" ref="BO209" si="487">BO204/BO208</f>
        <v>0</v>
      </c>
      <c r="BP209" s="61"/>
      <c r="BQ209" s="61">
        <f t="shared" ref="BQ209" si="488">BQ204/BQ208</f>
        <v>0</v>
      </c>
      <c r="BR209" s="61">
        <f t="shared" ref="BR209" si="489">BR204/BR208</f>
        <v>0</v>
      </c>
      <c r="BS209" s="61">
        <f t="shared" ref="BS209" si="490">BS204/BS208</f>
        <v>0</v>
      </c>
      <c r="BT209" s="61">
        <f t="shared" ref="BT209" si="491">BT204/BT208</f>
        <v>0</v>
      </c>
      <c r="BU209" s="61"/>
      <c r="BV209" s="61">
        <f t="shared" ref="BV209" si="492">BV204/BV208</f>
        <v>0</v>
      </c>
      <c r="BW209" s="61">
        <f t="shared" ref="BW209" si="493">BW204/BW208</f>
        <v>0</v>
      </c>
      <c r="BX209" s="61">
        <f t="shared" ref="BX209" si="494">BX204/BX208</f>
        <v>0</v>
      </c>
      <c r="BY209" s="61">
        <f t="shared" ref="BY209" si="495">BY204/BY208</f>
        <v>0</v>
      </c>
      <c r="BZ209" s="61"/>
    </row>
    <row r="210" spans="1:78" hidden="1" outlineLevel="1">
      <c r="A210" s="219" t="s">
        <v>2899</v>
      </c>
      <c r="AR210" s="649">
        <f>AR209-AQ209</f>
        <v>227.05374811715956</v>
      </c>
      <c r="AS210" s="649">
        <f>AS209-AR209</f>
        <v>675.99045359917909</v>
      </c>
      <c r="AT210" s="649">
        <f>AT209-AS209</f>
        <v>581.72562972010928</v>
      </c>
      <c r="AU210" s="649">
        <f>AU209-AT209</f>
        <v>489.76915333631132</v>
      </c>
      <c r="AV210" s="649">
        <f>SUM(AR210:AU210)</f>
        <v>1974.5389847727592</v>
      </c>
      <c r="AW210" s="649">
        <f>AW209-AV209</f>
        <v>-1861.8388750649883</v>
      </c>
      <c r="AX210" s="649">
        <f>AX209-AW209</f>
        <v>-4844.7148684495587</v>
      </c>
      <c r="AY210" s="61"/>
      <c r="AZ210" s="61"/>
      <c r="BA210" s="61"/>
      <c r="BB210" s="61"/>
      <c r="BC210" s="61"/>
      <c r="BD210" s="61"/>
      <c r="BE210" s="61"/>
      <c r="BF210" s="61"/>
      <c r="BG210" s="61"/>
      <c r="BH210" s="61"/>
      <c r="BI210" s="61"/>
      <c r="BJ210" s="61"/>
      <c r="BK210" s="61"/>
      <c r="BL210" s="61"/>
      <c r="BM210" s="61"/>
      <c r="BN210" s="61"/>
      <c r="BO210" s="61"/>
      <c r="BP210" s="61"/>
      <c r="BQ210" s="61"/>
      <c r="BR210" s="61"/>
      <c r="BS210" s="61"/>
      <c r="BT210" s="61"/>
      <c r="BU210" s="61"/>
      <c r="BV210" s="61"/>
      <c r="BW210" s="61"/>
      <c r="BX210" s="61"/>
      <c r="BY210" s="61"/>
      <c r="BZ210" s="61"/>
    </row>
    <row r="211" spans="1:78" s="26" customFormat="1" hidden="1" outlineLevel="1">
      <c r="A211" s="26" t="s">
        <v>2901</v>
      </c>
      <c r="AP211" s="61">
        <f>AP219/AP208</f>
        <v>2018.0672053071496</v>
      </c>
      <c r="AQ211" s="61">
        <f>AP211</f>
        <v>2018.0672053071496</v>
      </c>
      <c r="AR211" s="61">
        <f>AR219/AR208</f>
        <v>2146.857841456289</v>
      </c>
      <c r="AS211" s="61">
        <f>AS219/AS208</f>
        <v>2335.4118498797261</v>
      </c>
      <c r="AT211" s="61">
        <f>AT219/AT208</f>
        <v>2332.3557898277368</v>
      </c>
      <c r="AU211" s="61">
        <f>AU219/AU208</f>
        <v>2538.9889622099358</v>
      </c>
      <c r="AV211" s="61">
        <f>AU211</f>
        <v>2538.9889622099358</v>
      </c>
      <c r="AW211" s="61">
        <f>AW219/AW208</f>
        <v>2065.7779099875638</v>
      </c>
      <c r="AX211" s="61">
        <f>AX219/AX208</f>
        <v>302.55941056585868</v>
      </c>
      <c r="AY211" s="61"/>
      <c r="AZ211" s="61"/>
      <c r="BA211" s="61"/>
      <c r="BB211" s="61"/>
      <c r="BC211" s="61"/>
      <c r="BD211" s="61"/>
      <c r="BE211" s="61"/>
      <c r="BF211" s="61"/>
      <c r="BG211" s="61"/>
      <c r="BH211" s="61"/>
      <c r="BI211" s="61"/>
      <c r="BJ211" s="61"/>
      <c r="BK211" s="61"/>
      <c r="BL211" s="61"/>
      <c r="BM211" s="61"/>
      <c r="BN211" s="61"/>
      <c r="BO211" s="61"/>
      <c r="BP211" s="61"/>
      <c r="BQ211" s="61"/>
      <c r="BR211" s="61"/>
      <c r="BS211" s="61"/>
      <c r="BT211" s="61"/>
      <c r="BU211" s="61"/>
      <c r="BV211" s="61"/>
      <c r="BW211" s="61"/>
      <c r="BX211" s="61"/>
      <c r="BY211" s="61"/>
      <c r="BZ211" s="61"/>
    </row>
    <row r="212" spans="1:78" hidden="1" outlineLevel="1">
      <c r="A212" s="706" t="s">
        <v>2900</v>
      </c>
      <c r="AR212" s="695">
        <f>AR211-AQ211</f>
        <v>128.79063614913935</v>
      </c>
      <c r="AS212" s="695">
        <f>AS211-AR211</f>
        <v>188.55400842343715</v>
      </c>
      <c r="AT212" s="695">
        <f>AT211-AS211</f>
        <v>-3.0560600519893342</v>
      </c>
      <c r="AU212" s="695">
        <f>AU211-AT211</f>
        <v>206.63317238219906</v>
      </c>
      <c r="AV212" s="695">
        <f>SUM(AR212:AU212)</f>
        <v>520.92175690278623</v>
      </c>
      <c r="AW212" s="695">
        <f>AW211-AV211</f>
        <v>-473.21105222237202</v>
      </c>
      <c r="AX212" s="695">
        <f>AX211-AW211</f>
        <v>-1763.218499421705</v>
      </c>
      <c r="AY212" s="61"/>
      <c r="AZ212" s="61"/>
      <c r="BA212" s="61"/>
      <c r="BB212" s="61"/>
      <c r="BC212" s="61"/>
      <c r="BD212" s="61"/>
      <c r="BE212" s="61"/>
      <c r="BF212" s="61"/>
      <c r="BG212" s="61"/>
      <c r="BH212" s="61"/>
      <c r="BI212" s="61"/>
      <c r="BJ212" s="61"/>
      <c r="BK212" s="61"/>
      <c r="BL212" s="61"/>
      <c r="BM212" s="61"/>
      <c r="BN212" s="61"/>
      <c r="BO212" s="61"/>
      <c r="BP212" s="61"/>
      <c r="BQ212" s="61"/>
      <c r="BR212" s="61"/>
      <c r="BS212" s="61"/>
      <c r="BT212" s="61"/>
      <c r="BU212" s="61"/>
      <c r="BV212" s="61"/>
      <c r="BW212" s="61"/>
      <c r="BX212" s="61"/>
      <c r="BY212" s="61"/>
      <c r="BZ212" s="61"/>
    </row>
    <row r="213" spans="1:78" hidden="1" outlineLevel="1">
      <c r="A213" s="706" t="s">
        <v>2902</v>
      </c>
      <c r="AR213" s="792">
        <f t="shared" ref="AR213:AW213" si="496">AR212/AR210</f>
        <v>0.56722532535637105</v>
      </c>
      <c r="AS213" s="792">
        <f t="shared" si="496"/>
        <v>0.2789299869835708</v>
      </c>
      <c r="AT213" s="792">
        <f t="shared" si="496"/>
        <v>-5.2534388994683332E-3</v>
      </c>
      <c r="AU213" s="792">
        <f t="shared" si="496"/>
        <v>0.42189911507209521</v>
      </c>
      <c r="AV213" s="792">
        <f t="shared" si="496"/>
        <v>0.26381943376151512</v>
      </c>
      <c r="AW213" s="792">
        <f t="shared" si="496"/>
        <v>0.25416326759524471</v>
      </c>
      <c r="AX213" s="792">
        <f t="shared" ref="AX213" si="497">AX212/AX210</f>
        <v>0.36394680539496499</v>
      </c>
      <c r="AY213" s="208"/>
      <c r="AZ213" s="208"/>
      <c r="BA213" s="208"/>
      <c r="BB213" s="208"/>
      <c r="BC213" s="208"/>
      <c r="BD213" s="208"/>
      <c r="BE213" s="208"/>
      <c r="BF213" s="26"/>
      <c r="BG213" s="208"/>
      <c r="BH213" s="208"/>
      <c r="BI213" s="208"/>
      <c r="BJ213" s="208"/>
      <c r="BK213" s="26"/>
      <c r="BL213" s="208"/>
      <c r="BM213" s="208"/>
      <c r="BN213" s="208"/>
      <c r="BO213" s="208"/>
      <c r="BP213" s="26"/>
      <c r="BQ213" s="208"/>
      <c r="BR213" s="208"/>
      <c r="BS213" s="208"/>
      <c r="BT213" s="208"/>
      <c r="BU213" s="26"/>
      <c r="BV213" s="208"/>
      <c r="BW213" s="208"/>
      <c r="BX213" s="208"/>
      <c r="BY213" s="208"/>
      <c r="BZ213" s="26"/>
    </row>
    <row r="214" spans="1:78" hidden="1" outlineLevel="1">
      <c r="AE214" s="98" t="s">
        <v>1010</v>
      </c>
      <c r="AF214" s="71"/>
      <c r="AG214" s="71"/>
      <c r="AH214" s="71"/>
      <c r="AI214" s="71"/>
      <c r="AJ214" s="71"/>
      <c r="AY214" s="26"/>
      <c r="AZ214" s="26"/>
      <c r="BA214" s="26"/>
      <c r="BB214" s="26"/>
      <c r="BC214" s="26"/>
      <c r="BD214" s="26"/>
      <c r="BE214" s="26"/>
      <c r="BF214" s="26"/>
      <c r="BG214" s="26"/>
      <c r="BH214" s="26"/>
      <c r="BI214" s="26"/>
      <c r="BJ214" s="26"/>
      <c r="BK214" s="26"/>
      <c r="BL214" s="26"/>
      <c r="BM214" s="26"/>
      <c r="BN214" s="26"/>
      <c r="BO214" s="26"/>
      <c r="BP214" s="26"/>
      <c r="BQ214" s="26"/>
      <c r="BR214" s="26"/>
      <c r="BS214" s="26"/>
      <c r="BT214" s="26"/>
      <c r="BU214" s="26"/>
      <c r="BV214" s="26"/>
      <c r="BW214" s="26"/>
      <c r="BX214" s="26"/>
      <c r="BY214" s="26"/>
      <c r="BZ214" s="26"/>
    </row>
    <row r="215" spans="1:78" hidden="1" outlineLevel="1">
      <c r="A215" s="5" t="s">
        <v>1003</v>
      </c>
      <c r="AD215" s="36"/>
      <c r="AE215" s="107">
        <f>-1000*AE221/AE245</f>
        <v>-3444.6183272474354</v>
      </c>
      <c r="AF215" s="36">
        <f>-1000*AF221/AF245</f>
        <v>-3380.1781191273799</v>
      </c>
      <c r="AG215" s="36">
        <f>AF215</f>
        <v>-3380.1781191273799</v>
      </c>
      <c r="AH215" s="36">
        <f>-1000*AH221/AH245</f>
        <v>-3172.3734269827332</v>
      </c>
      <c r="AI215" s="36">
        <f>-1000*AI221/AI245</f>
        <v>-2980.4571507492574</v>
      </c>
      <c r="AJ215" s="36">
        <f>-1000*AJ221/AJ245</f>
        <v>-3261.4920874152226</v>
      </c>
      <c r="AK215" s="36">
        <f>-1000*AK221/AK245</f>
        <v>-3304.8753089193438</v>
      </c>
      <c r="AL215" s="36">
        <f>AK215</f>
        <v>-3304.8753089193438</v>
      </c>
      <c r="AM215" s="36">
        <f>-1000*AM221/AM245</f>
        <v>-3320.9186840471752</v>
      </c>
      <c r="AN215" s="36">
        <f>-1000*AN221/AN245</f>
        <v>-3219.6817756384539</v>
      </c>
      <c r="AO215" s="36">
        <f>-1000*AO221/AO245</f>
        <v>-3362.4762039060843</v>
      </c>
      <c r="AP215" s="36">
        <f>-1000*AP221/AP245</f>
        <v>-3281.8175814014926</v>
      </c>
      <c r="AQ215" s="36">
        <f>AP215</f>
        <v>-3281.8175814014926</v>
      </c>
      <c r="AR215" s="36">
        <f>-1000*AR221/AR245</f>
        <v>-3259.4524119947851</v>
      </c>
      <c r="AS215" s="36">
        <f>-1000*AS221/AS245</f>
        <v>-3393.1198766902544</v>
      </c>
      <c r="AT215" s="36">
        <f>-1000*AT221/AT245</f>
        <v>-3149.5764319130103</v>
      </c>
      <c r="AU215" s="36">
        <f>-1000*AU221/AU245</f>
        <v>-2738.0952380952381</v>
      </c>
      <c r="AV215" s="36">
        <f>AU215</f>
        <v>-2738.0952380952381</v>
      </c>
      <c r="AW215" s="36">
        <f>-1000*AW221/AW245</f>
        <v>-2357.5719908846072</v>
      </c>
      <c r="AX215" s="36">
        <f>-1000*AX221/AX245</f>
        <v>0</v>
      </c>
      <c r="AY215" s="61"/>
      <c r="AZ215" s="61"/>
      <c r="BA215" s="61"/>
      <c r="BB215" s="61"/>
      <c r="BC215" s="61"/>
      <c r="BD215" s="61"/>
      <c r="BE215" s="61"/>
      <c r="BF215" s="61"/>
      <c r="BG215" s="61"/>
      <c r="BH215" s="61"/>
      <c r="BI215" s="61"/>
      <c r="BJ215" s="61"/>
      <c r="BK215" s="61"/>
      <c r="BL215" s="61"/>
      <c r="BM215" s="61"/>
      <c r="BN215" s="61"/>
      <c r="BO215" s="61"/>
      <c r="BP215" s="61"/>
      <c r="BQ215" s="61"/>
      <c r="BR215" s="61"/>
      <c r="BS215" s="61"/>
      <c r="BT215" s="61"/>
      <c r="BU215" s="61"/>
      <c r="BV215" s="61"/>
      <c r="BW215" s="61"/>
      <c r="BX215" s="61"/>
      <c r="BY215" s="61"/>
      <c r="BZ215" s="61"/>
    </row>
    <row r="216" spans="1:78" hidden="1" outlineLevel="1">
      <c r="A216" s="9" t="s">
        <v>1004</v>
      </c>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39">
        <f t="shared" ref="AD216:AO216" si="498">AD204+AD215</f>
        <v>4536.5090403337872</v>
      </c>
      <c r="AE216" s="39">
        <f t="shared" si="498"/>
        <v>707.89525970908926</v>
      </c>
      <c r="AF216" s="39">
        <f t="shared" si="498"/>
        <v>851.88142319655299</v>
      </c>
      <c r="AG216" s="39">
        <f t="shared" si="498"/>
        <v>851.88142319655299</v>
      </c>
      <c r="AH216" s="39">
        <f t="shared" si="498"/>
        <v>1283.8778797285363</v>
      </c>
      <c r="AI216" s="39">
        <f t="shared" si="498"/>
        <v>878.82898378692244</v>
      </c>
      <c r="AJ216" s="39">
        <f t="shared" si="498"/>
        <v>1220.2328244154946</v>
      </c>
      <c r="AK216" s="39">
        <f t="shared" si="498"/>
        <v>2158.7817966869029</v>
      </c>
      <c r="AL216" s="39">
        <f t="shared" si="498"/>
        <v>2158.7817966869029</v>
      </c>
      <c r="AM216" s="39">
        <f t="shared" si="498"/>
        <v>1585.8498749047817</v>
      </c>
      <c r="AN216" s="39">
        <f t="shared" si="498"/>
        <v>1511.7957857501883</v>
      </c>
      <c r="AO216" s="39">
        <f t="shared" si="498"/>
        <v>2046.7754817355708</v>
      </c>
      <c r="AP216" s="39">
        <f t="shared" ref="AP216:AT216" si="499">AP204+AP215</f>
        <v>2186.4260997391352</v>
      </c>
      <c r="AQ216" s="39">
        <f t="shared" si="499"/>
        <v>2186.4260997391352</v>
      </c>
      <c r="AR216" s="39">
        <f t="shared" si="499"/>
        <v>2401.1068936947154</v>
      </c>
      <c r="AS216" s="39">
        <f t="shared" si="499"/>
        <v>3229.3985261649714</v>
      </c>
      <c r="AT216" s="39">
        <f t="shared" si="499"/>
        <v>3594.8207459247215</v>
      </c>
      <c r="AU216" s="39">
        <f t="shared" ref="AU216" si="500">AU204+AU215</f>
        <v>4862.6505465999689</v>
      </c>
      <c r="AV216" s="39">
        <f t="shared" ref="AV216:AX216" si="501">AV204+AV215</f>
        <v>4862.6505465999689</v>
      </c>
      <c r="AW216" s="39">
        <f t="shared" si="501"/>
        <v>3698.217792042497</v>
      </c>
      <c r="AX216" s="39">
        <f t="shared" si="501"/>
        <v>367.60295674670402</v>
      </c>
      <c r="AY216" s="173">
        <f t="shared" ref="AY216:AZ216" si="502">AY204+AY215</f>
        <v>0</v>
      </c>
      <c r="AZ216" s="173">
        <f t="shared" si="502"/>
        <v>0</v>
      </c>
      <c r="BA216" s="173">
        <f t="shared" ref="BA216:BF216" si="503">BA204+BA215</f>
        <v>0</v>
      </c>
      <c r="BB216" s="173">
        <f t="shared" si="503"/>
        <v>0</v>
      </c>
      <c r="BC216" s="173">
        <f t="shared" ref="BC216:BE216" si="504">BC204+BC215</f>
        <v>0</v>
      </c>
      <c r="BD216" s="173">
        <f t="shared" si="504"/>
        <v>0</v>
      </c>
      <c r="BE216" s="173">
        <f t="shared" si="504"/>
        <v>0</v>
      </c>
      <c r="BF216" s="173">
        <f t="shared" si="503"/>
        <v>0</v>
      </c>
      <c r="BG216" s="173">
        <f t="shared" ref="BG216:BZ216" si="505">BG204+BG215</f>
        <v>0</v>
      </c>
      <c r="BH216" s="173">
        <f t="shared" si="505"/>
        <v>0</v>
      </c>
      <c r="BI216" s="173">
        <f t="shared" si="505"/>
        <v>0</v>
      </c>
      <c r="BJ216" s="173">
        <f t="shared" si="505"/>
        <v>0</v>
      </c>
      <c r="BK216" s="173">
        <f t="shared" si="505"/>
        <v>0</v>
      </c>
      <c r="BL216" s="173">
        <f t="shared" si="505"/>
        <v>0</v>
      </c>
      <c r="BM216" s="173">
        <f t="shared" si="505"/>
        <v>0</v>
      </c>
      <c r="BN216" s="173">
        <f t="shared" si="505"/>
        <v>0</v>
      </c>
      <c r="BO216" s="173">
        <f t="shared" si="505"/>
        <v>0</v>
      </c>
      <c r="BP216" s="173">
        <f t="shared" si="505"/>
        <v>0</v>
      </c>
      <c r="BQ216" s="173">
        <f t="shared" si="505"/>
        <v>0</v>
      </c>
      <c r="BR216" s="173">
        <f t="shared" si="505"/>
        <v>0</v>
      </c>
      <c r="BS216" s="173">
        <f t="shared" si="505"/>
        <v>0</v>
      </c>
      <c r="BT216" s="173">
        <f t="shared" si="505"/>
        <v>0</v>
      </c>
      <c r="BU216" s="173">
        <f t="shared" si="505"/>
        <v>0</v>
      </c>
      <c r="BV216" s="173">
        <f t="shared" si="505"/>
        <v>0</v>
      </c>
      <c r="BW216" s="173">
        <f t="shared" si="505"/>
        <v>0</v>
      </c>
      <c r="BX216" s="173">
        <f t="shared" si="505"/>
        <v>0</v>
      </c>
      <c r="BY216" s="173">
        <f t="shared" si="505"/>
        <v>0</v>
      </c>
      <c r="BZ216" s="173">
        <f t="shared" si="505"/>
        <v>0</v>
      </c>
    </row>
    <row r="217" spans="1:78" hidden="1" outlineLevel="1">
      <c r="AY217" s="26"/>
      <c r="AZ217" s="26"/>
      <c r="BA217" s="26"/>
      <c r="BB217" s="26"/>
      <c r="BC217" s="26"/>
      <c r="BD217" s="26"/>
      <c r="BE217" s="26"/>
      <c r="BF217" s="26"/>
      <c r="BG217" s="26"/>
      <c r="BH217" s="26"/>
      <c r="BI217" s="26"/>
      <c r="BJ217" s="26"/>
      <c r="BK217" s="26"/>
      <c r="BL217" s="26"/>
      <c r="BM217" s="26"/>
      <c r="BN217" s="26"/>
      <c r="BO217" s="26"/>
      <c r="BP217" s="26"/>
      <c r="BQ217" s="26"/>
      <c r="BR217" s="26"/>
      <c r="BS217" s="26"/>
      <c r="BT217" s="26"/>
      <c r="BU217" s="26"/>
      <c r="BV217" s="26"/>
      <c r="BW217" s="26"/>
      <c r="BX217" s="26"/>
      <c r="BY217" s="26"/>
      <c r="BZ217" s="26"/>
    </row>
    <row r="218" spans="1:78" hidden="1" outlineLevel="1">
      <c r="A218" s="1" t="s">
        <v>276</v>
      </c>
      <c r="AD218" s="36">
        <f t="shared" ref="AD218:AO218" si="506">AD219-AD216</f>
        <v>20.317264169429109</v>
      </c>
      <c r="AE218" s="36">
        <f t="shared" si="506"/>
        <v>-12.364047745952462</v>
      </c>
      <c r="AF218" s="36">
        <f t="shared" si="506"/>
        <v>-34.821205858535222</v>
      </c>
      <c r="AG218" s="36">
        <f t="shared" si="506"/>
        <v>-34.821205858535222</v>
      </c>
      <c r="AH218" s="36">
        <f t="shared" si="506"/>
        <v>-40.096785201173134</v>
      </c>
      <c r="AI218" s="36">
        <f t="shared" si="506"/>
        <v>18.899073667673292</v>
      </c>
      <c r="AJ218" s="36">
        <f t="shared" si="506"/>
        <v>-14.50562019544941</v>
      </c>
      <c r="AK218" s="36">
        <f t="shared" si="506"/>
        <v>-61.874734603475645</v>
      </c>
      <c r="AL218" s="36">
        <f t="shared" si="506"/>
        <v>-61.874734603475645</v>
      </c>
      <c r="AM218" s="36">
        <f t="shared" si="506"/>
        <v>0.4664227709199622</v>
      </c>
      <c r="AN218" s="36">
        <f t="shared" si="506"/>
        <v>25.84293600405681</v>
      </c>
      <c r="AO218" s="36">
        <f t="shared" si="506"/>
        <v>-2.0740786473668322</v>
      </c>
      <c r="AP218" s="36">
        <f t="shared" ref="AP218:AT218" si="507">AP219-AP216</f>
        <v>-6.913518007413586</v>
      </c>
      <c r="AQ218" s="36">
        <f t="shared" si="507"/>
        <v>-6.913518007413586</v>
      </c>
      <c r="AR218" s="36">
        <f t="shared" si="507"/>
        <v>-103.96900333648591</v>
      </c>
      <c r="AS218" s="36">
        <f t="shared" si="507"/>
        <v>-637.09137279847528</v>
      </c>
      <c r="AT218" s="36">
        <f t="shared" si="507"/>
        <v>-1192.4942824021523</v>
      </c>
      <c r="AU218" s="36">
        <f t="shared" ref="AU218:AX218" si="508">AU219-AU216</f>
        <v>-2120.5424674132382</v>
      </c>
      <c r="AV218" s="36">
        <f t="shared" si="508"/>
        <v>-2120.5424674132382</v>
      </c>
      <c r="AW218" s="36">
        <f t="shared" si="508"/>
        <v>-1281.2576373570473</v>
      </c>
      <c r="AX218" s="36">
        <f t="shared" si="508"/>
        <v>-31.762011018600845</v>
      </c>
      <c r="AY218" s="61"/>
      <c r="AZ218" s="61"/>
      <c r="BA218" s="61"/>
      <c r="BB218" s="61"/>
      <c r="BC218" s="61"/>
      <c r="BD218" s="61"/>
      <c r="BE218" s="61"/>
      <c r="BF218" s="61"/>
      <c r="BG218" s="61"/>
      <c r="BH218" s="61"/>
      <c r="BI218" s="61"/>
      <c r="BJ218" s="61"/>
      <c r="BK218" s="61"/>
      <c r="BL218" s="61"/>
      <c r="BM218" s="61"/>
      <c r="BN218" s="61"/>
      <c r="BO218" s="61"/>
      <c r="BP218" s="61"/>
      <c r="BQ218" s="61"/>
      <c r="BR218" s="61"/>
      <c r="BS218" s="61"/>
      <c r="BT218" s="61"/>
      <c r="BU218" s="61"/>
      <c r="BV218" s="61"/>
      <c r="BW218" s="61"/>
      <c r="BX218" s="61"/>
      <c r="BY218" s="61"/>
      <c r="BZ218" s="61"/>
    </row>
    <row r="219" spans="1:78" hidden="1" outlineLevel="1">
      <c r="A219" s="9" t="s">
        <v>1005</v>
      </c>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39">
        <f>1000*'Valuation &amp; SBG NAV'!AS63</f>
        <v>4556.8263045032163</v>
      </c>
      <c r="AE219" s="39">
        <f>1000*'Valuation &amp; SBG NAV'!AT63</f>
        <v>695.5312119631368</v>
      </c>
      <c r="AF219" s="39">
        <f>1000*'Valuation &amp; SBG NAV'!AU63</f>
        <v>817.06021733801776</v>
      </c>
      <c r="AG219" s="39">
        <f>1000*'Valuation &amp; SBG NAV'!AV63</f>
        <v>817.06021733801776</v>
      </c>
      <c r="AH219" s="39">
        <f>1000*'Valuation &amp; SBG NAV'!AW63</f>
        <v>1243.7810945273632</v>
      </c>
      <c r="AI219" s="39">
        <f>1000*'Valuation &amp; SBG NAV'!AX63</f>
        <v>897.72805745459573</v>
      </c>
      <c r="AJ219" s="39">
        <f>1000*'Valuation &amp; SBG NAV'!AY63</f>
        <v>1205.7272042200452</v>
      </c>
      <c r="AK219" s="39">
        <f>1000*'Valuation &amp; SBG NAV'!AZ63</f>
        <v>2096.9070620834273</v>
      </c>
      <c r="AL219" s="39">
        <f>1000*'Valuation &amp; SBG NAV'!BA63</f>
        <v>2096.9070620834273</v>
      </c>
      <c r="AM219" s="39">
        <f>1000*'Valuation &amp; SBG NAV'!BB63</f>
        <v>1586.3162976757017</v>
      </c>
      <c r="AN219" s="39">
        <f>1000*'Valuation &amp; SBG NAV'!BC63</f>
        <v>1537.6387217542451</v>
      </c>
      <c r="AO219" s="39">
        <f>1000*'Valuation &amp; SBG NAV'!BD63</f>
        <v>2044.701403088204</v>
      </c>
      <c r="AP219" s="39">
        <f>1000*'Valuation &amp; SBG NAV'!BE63</f>
        <v>2179.5125817317216</v>
      </c>
      <c r="AQ219" s="39">
        <f>1000*'Valuation &amp; SBG NAV'!BF63</f>
        <v>2179.5125817317216</v>
      </c>
      <c r="AR219" s="39">
        <f>1000*'Valuation &amp; SBG NAV'!BG63</f>
        <v>2297.1378903582295</v>
      </c>
      <c r="AS219" s="39">
        <f>1000*'Valuation &amp; SBG NAV'!BH63</f>
        <v>2592.3071533664961</v>
      </c>
      <c r="AT219" s="39">
        <f>1000*'Valuation &amp; SBG NAV'!BI63</f>
        <v>2402.3264635225692</v>
      </c>
      <c r="AU219" s="39">
        <f>1000*'Valuation &amp; SBG NAV'!BJ63</f>
        <v>2742.1080791867307</v>
      </c>
      <c r="AV219" s="39">
        <f>1000*'Valuation &amp; SBG NAV'!BK63</f>
        <v>2742.1080791867307</v>
      </c>
      <c r="AW219" s="39">
        <f>1000*'Valuation &amp; SBG NAV'!BL63</f>
        <v>2416.9601546854497</v>
      </c>
      <c r="AX219" s="39">
        <f>1000*'Valuation &amp; SBG NAV'!BM63</f>
        <v>335.84094572810318</v>
      </c>
      <c r="AY219" s="173">
        <f>AY216</f>
        <v>0</v>
      </c>
      <c r="AZ219" s="173">
        <f>AZ216</f>
        <v>0</v>
      </c>
      <c r="BA219" s="173">
        <f>AZ219</f>
        <v>0</v>
      </c>
      <c r="BB219" s="173">
        <f>BB216</f>
        <v>0</v>
      </c>
      <c r="BC219" s="173">
        <f>BC216</f>
        <v>0</v>
      </c>
      <c r="BD219" s="173">
        <f>BD216</f>
        <v>0</v>
      </c>
      <c r="BE219" s="173">
        <f>BE216</f>
        <v>0</v>
      </c>
      <c r="BF219" s="173">
        <f>BE219</f>
        <v>0</v>
      </c>
      <c r="BG219" s="173">
        <f>BG216</f>
        <v>0</v>
      </c>
      <c r="BH219" s="173">
        <f>BH216</f>
        <v>0</v>
      </c>
      <c r="BI219" s="173">
        <f>BI216</f>
        <v>0</v>
      </c>
      <c r="BJ219" s="173">
        <f>BJ216</f>
        <v>0</v>
      </c>
      <c r="BK219" s="173">
        <f>BJ219</f>
        <v>0</v>
      </c>
      <c r="BL219" s="173">
        <f>BL216</f>
        <v>0</v>
      </c>
      <c r="BM219" s="173">
        <f>BM216</f>
        <v>0</v>
      </c>
      <c r="BN219" s="173">
        <f>BN216</f>
        <v>0</v>
      </c>
      <c r="BO219" s="173">
        <f>BO216</f>
        <v>0</v>
      </c>
      <c r="BP219" s="173">
        <f>BO219</f>
        <v>0</v>
      </c>
      <c r="BQ219" s="173">
        <f>BQ216</f>
        <v>0</v>
      </c>
      <c r="BR219" s="173">
        <f>BR216</f>
        <v>0</v>
      </c>
      <c r="BS219" s="173">
        <f>BS216</f>
        <v>0</v>
      </c>
      <c r="BT219" s="173">
        <f>BT216</f>
        <v>0</v>
      </c>
      <c r="BU219" s="173">
        <f>BT219</f>
        <v>0</v>
      </c>
      <c r="BV219" s="173">
        <f>BV216</f>
        <v>0</v>
      </c>
      <c r="BW219" s="173">
        <f>BW216</f>
        <v>0</v>
      </c>
      <c r="BX219" s="173">
        <f>BX216</f>
        <v>0</v>
      </c>
      <c r="BY219" s="173">
        <f>BY216</f>
        <v>0</v>
      </c>
      <c r="BZ219" s="173">
        <f>BY219</f>
        <v>0</v>
      </c>
    </row>
    <row r="220" spans="1:78" hidden="1" outlineLevel="1"/>
    <row r="221" spans="1:78" hidden="1" outlineLevel="1">
      <c r="A221" s="1" t="s">
        <v>1009</v>
      </c>
      <c r="AE221" s="267">
        <v>396.2</v>
      </c>
      <c r="AF221" s="267">
        <v>413.7</v>
      </c>
      <c r="AG221" s="269">
        <f>AF221</f>
        <v>413.7</v>
      </c>
      <c r="AH221" s="267">
        <v>433.6</v>
      </c>
      <c r="AI221" s="267">
        <v>431.6</v>
      </c>
      <c r="AJ221" s="267">
        <v>432.8</v>
      </c>
      <c r="AK221" s="267">
        <v>441.3</v>
      </c>
      <c r="AL221" s="269">
        <f>AK221</f>
        <v>441.3</v>
      </c>
      <c r="AM221" s="267">
        <v>481.5</v>
      </c>
      <c r="AN221" s="267">
        <v>481.6</v>
      </c>
      <c r="AO221" s="267">
        <v>476.9</v>
      </c>
      <c r="AP221" s="267">
        <v>496.9</v>
      </c>
      <c r="AQ221" s="269">
        <f>AP221</f>
        <v>496.9</v>
      </c>
      <c r="AR221" s="267">
        <v>525</v>
      </c>
      <c r="AS221" s="267">
        <v>484.3</v>
      </c>
      <c r="AT221" s="267">
        <v>498.2</v>
      </c>
      <c r="AU221" s="267">
        <v>409.4</v>
      </c>
      <c r="AV221" s="269">
        <f>AU221</f>
        <v>409.4</v>
      </c>
      <c r="AW221" s="267">
        <v>341.4</v>
      </c>
      <c r="AX221" s="901">
        <v>0</v>
      </c>
      <c r="AY221" s="269">
        <f>-AY215*AY245/1000</f>
        <v>0</v>
      </c>
      <c r="AZ221" s="269">
        <f>-AZ215*AZ245/1000</f>
        <v>0</v>
      </c>
      <c r="BA221" s="269">
        <f>AZ221</f>
        <v>0</v>
      </c>
      <c r="BB221" s="269">
        <f>-BB215*BB245/1000</f>
        <v>0</v>
      </c>
      <c r="BC221" s="269">
        <f>-BC215*BC245/1000</f>
        <v>0</v>
      </c>
      <c r="BD221" s="269">
        <f>-BD215*BD245/1000</f>
        <v>0</v>
      </c>
      <c r="BE221" s="269">
        <f>-BE215*BE245/1000</f>
        <v>0</v>
      </c>
      <c r="BF221" s="269">
        <f>BE221</f>
        <v>0</v>
      </c>
      <c r="BG221" s="269">
        <f>-BG215*BG245/1000</f>
        <v>0</v>
      </c>
      <c r="BH221" s="269">
        <f>-BH215*BH245/1000</f>
        <v>0</v>
      </c>
      <c r="BI221" s="269">
        <f>-BI215*BI245/1000</f>
        <v>0</v>
      </c>
      <c r="BJ221" s="269">
        <f>-BJ215*BJ245/1000</f>
        <v>0</v>
      </c>
      <c r="BK221" s="269">
        <f>BJ221</f>
        <v>0</v>
      </c>
      <c r="BL221" s="269">
        <f>-BL215*BL245/1000</f>
        <v>0</v>
      </c>
      <c r="BM221" s="269">
        <f>-BM215*BM245/1000</f>
        <v>0</v>
      </c>
      <c r="BN221" s="269">
        <f>-BN215*BN245/1000</f>
        <v>0</v>
      </c>
      <c r="BO221" s="269">
        <f>-BO215*BO245/1000</f>
        <v>0</v>
      </c>
      <c r="BP221" s="269">
        <f>BO221</f>
        <v>0</v>
      </c>
      <c r="BQ221" s="269">
        <f>-BQ215*BQ245/1000</f>
        <v>0</v>
      </c>
      <c r="BR221" s="269">
        <f>-BR215*BR245/1000</f>
        <v>0</v>
      </c>
      <c r="BS221" s="269">
        <f>-BS215*BS245/1000</f>
        <v>0</v>
      </c>
      <c r="BT221" s="269">
        <f>-BT215*BT245/1000</f>
        <v>0</v>
      </c>
      <c r="BU221" s="269">
        <f>BT221</f>
        <v>0</v>
      </c>
      <c r="BV221" s="269">
        <f>-BV215*BV245/1000</f>
        <v>0</v>
      </c>
      <c r="BW221" s="269">
        <f>-BW215*BW245/1000</f>
        <v>0</v>
      </c>
      <c r="BX221" s="269">
        <f>-BX215*BX245/1000</f>
        <v>0</v>
      </c>
      <c r="BY221" s="269">
        <f>-BY215*BY245/1000</f>
        <v>0</v>
      </c>
      <c r="BZ221" s="269">
        <f>BY221</f>
        <v>0</v>
      </c>
    </row>
    <row r="222" spans="1:78" hidden="1" outlineLevel="1">
      <c r="AX222" s="318" t="s">
        <v>3133</v>
      </c>
      <c r="AY222" s="44"/>
      <c r="AZ222" s="44"/>
      <c r="BA222" s="44"/>
      <c r="BB222" s="44"/>
    </row>
    <row r="223" spans="1:78" hidden="1" outlineLevel="1">
      <c r="A223" s="3" t="s">
        <v>1971</v>
      </c>
      <c r="AY223" s="26"/>
      <c r="AZ223" s="26"/>
      <c r="BA223" s="26"/>
      <c r="BB223" s="26"/>
      <c r="BC223" s="26"/>
      <c r="BD223" s="26"/>
      <c r="BE223" s="26"/>
      <c r="BF223" s="26"/>
      <c r="BG223" s="26"/>
      <c r="BH223" s="26"/>
      <c r="BI223" s="26"/>
      <c r="BJ223" s="26"/>
      <c r="BK223" s="26"/>
      <c r="BL223" s="26"/>
      <c r="BM223" s="26"/>
      <c r="BN223" s="26"/>
      <c r="BO223" s="26"/>
      <c r="BP223" s="26"/>
      <c r="BQ223" s="26"/>
      <c r="BR223" s="26"/>
      <c r="BS223" s="26"/>
      <c r="BT223" s="26"/>
      <c r="BU223" s="26"/>
      <c r="BV223" s="26"/>
      <c r="BW223" s="26"/>
      <c r="BX223" s="26"/>
      <c r="BY223" s="26"/>
      <c r="BZ223" s="26"/>
    </row>
    <row r="224" spans="1:78" hidden="1" outlineLevel="1">
      <c r="AY224" s="26"/>
      <c r="AZ224" s="26"/>
      <c r="BA224" s="26"/>
      <c r="BB224" s="26"/>
      <c r="BC224" s="26"/>
      <c r="BD224" s="26"/>
      <c r="BE224" s="26"/>
      <c r="BF224" s="26"/>
      <c r="BG224" s="26"/>
      <c r="BH224" s="26"/>
      <c r="BI224" s="26"/>
      <c r="BJ224" s="26"/>
      <c r="BK224" s="26"/>
      <c r="BL224" s="26"/>
      <c r="BM224" s="26"/>
      <c r="BN224" s="26"/>
      <c r="BO224" s="26"/>
      <c r="BP224" s="26"/>
      <c r="BQ224" s="26"/>
      <c r="BR224" s="26"/>
      <c r="BS224" s="26"/>
      <c r="BT224" s="26"/>
      <c r="BU224" s="26"/>
      <c r="BV224" s="26"/>
      <c r="BW224" s="26"/>
      <c r="BX224" s="26"/>
      <c r="BY224" s="26"/>
      <c r="BZ224" s="26"/>
    </row>
    <row r="225" spans="1:78" hidden="1" outlineLevel="1">
      <c r="A225" s="1" t="s">
        <v>1977</v>
      </c>
      <c r="AE225" s="36">
        <f>1000*AE221/AE245</f>
        <v>3444.6183272474354</v>
      </c>
      <c r="AF225" s="36">
        <f>1000*AF221/AF245</f>
        <v>3380.1781191273799</v>
      </c>
      <c r="AG225" s="36">
        <f>AF225</f>
        <v>3380.1781191273799</v>
      </c>
      <c r="AH225" s="36">
        <f>1000*AH221/AH245</f>
        <v>3172.3734269827332</v>
      </c>
      <c r="AI225" s="36">
        <f>1000*AI221/AI245</f>
        <v>2980.4571507492574</v>
      </c>
      <c r="AJ225" s="36">
        <f>1000*AJ221/AJ245</f>
        <v>3261.4920874152226</v>
      </c>
      <c r="AK225" s="36">
        <f>1000*AK221/AK245</f>
        <v>3304.8753089193438</v>
      </c>
      <c r="AL225" s="36">
        <f>AK225</f>
        <v>3304.8753089193438</v>
      </c>
      <c r="AM225" s="36">
        <f>1000*AM221/AM245</f>
        <v>3320.9186840471752</v>
      </c>
      <c r="AN225" s="36">
        <f>1000*AN221/AN245</f>
        <v>3219.6817756384539</v>
      </c>
      <c r="AO225" s="36">
        <f>1000*AO221/AO245</f>
        <v>3362.4762039060843</v>
      </c>
      <c r="AP225" s="36">
        <f>1000*AP221/AP245</f>
        <v>3281.8175814014926</v>
      </c>
      <c r="AQ225" s="36">
        <f>AP225</f>
        <v>3281.8175814014926</v>
      </c>
      <c r="AR225" s="36">
        <f>1000*AR221/AR245</f>
        <v>3259.4524119947851</v>
      </c>
      <c r="AS225" s="36">
        <f>1000*AS221/AS245</f>
        <v>3393.1198766902544</v>
      </c>
      <c r="AT225" s="36">
        <f>1000*AT221/AT245</f>
        <v>3149.5764319130103</v>
      </c>
      <c r="AU225" s="36">
        <f>1000*AU221/AU245</f>
        <v>2738.0952380952381</v>
      </c>
      <c r="AV225" s="36">
        <f>AU225</f>
        <v>2738.0952380952381</v>
      </c>
      <c r="AY225" s="26"/>
      <c r="AZ225" s="26"/>
      <c r="BA225" s="26"/>
      <c r="BB225" s="26"/>
      <c r="BC225" s="26"/>
      <c r="BD225" s="26"/>
      <c r="BE225" s="26"/>
      <c r="BF225" s="26"/>
      <c r="BG225" s="26"/>
      <c r="BH225" s="26"/>
      <c r="BI225" s="26"/>
      <c r="BJ225" s="26"/>
      <c r="BK225" s="26"/>
      <c r="BL225" s="26"/>
      <c r="BM225" s="26"/>
      <c r="BN225" s="26"/>
      <c r="BO225" s="26"/>
      <c r="BP225" s="26"/>
      <c r="BQ225" s="26"/>
      <c r="BR225" s="26"/>
      <c r="BS225" s="26"/>
      <c r="BT225" s="26"/>
      <c r="BU225" s="26"/>
      <c r="BV225" s="26"/>
      <c r="BW225" s="26"/>
      <c r="BX225" s="26"/>
      <c r="BY225" s="26"/>
      <c r="BZ225" s="26"/>
    </row>
    <row r="226" spans="1:78" hidden="1" outlineLevel="1">
      <c r="A226" s="1" t="s">
        <v>1294</v>
      </c>
      <c r="AF226" s="16">
        <f>AF225/AE225-1</f>
        <v>-1.8707503124605784E-2</v>
      </c>
      <c r="AH226" s="16">
        <f>AH225/AG225-1</f>
        <v>-6.1477438413302665E-2</v>
      </c>
      <c r="AI226" s="16">
        <f>AI225/AH225-1</f>
        <v>-6.0496117702009911E-2</v>
      </c>
      <c r="AJ226" s="16">
        <f>AJ225/AI225-1</f>
        <v>9.429256065476932E-2</v>
      </c>
      <c r="AK226" s="16">
        <f>AK225/AJ225-1</f>
        <v>1.3301648552672907E-2</v>
      </c>
      <c r="AL226" s="16">
        <f>AL225/AG225-1</f>
        <v>-2.2277763938509887E-2</v>
      </c>
      <c r="AM226" s="16">
        <f>AM225/AL225-1</f>
        <v>4.8544570152262434E-3</v>
      </c>
      <c r="AN226" s="16">
        <f>AN225/AM225-1</f>
        <v>-3.0484609242327099E-2</v>
      </c>
      <c r="AO226" s="16">
        <f>AO225/AN225-1</f>
        <v>4.4350478779634939E-2</v>
      </c>
      <c r="AP226" s="16">
        <f>AP225/AO225-1</f>
        <v>-2.398786418499943E-2</v>
      </c>
      <c r="AQ226" s="16">
        <f>AQ225/AL225-1</f>
        <v>-6.9768827452043602E-3</v>
      </c>
      <c r="AR226" s="16">
        <f>AR225/AQ225-1</f>
        <v>-6.8148728111684376E-3</v>
      </c>
      <c r="AS226" s="16">
        <f>AS225/AR225-1</f>
        <v>4.1009178168569971E-2</v>
      </c>
      <c r="AT226" s="16">
        <f>AT225/AS225-1</f>
        <v>-7.1775667712277613E-2</v>
      </c>
      <c r="AU226" s="16">
        <f>AU225/AT225-1</f>
        <v>-0.1306465179407772</v>
      </c>
      <c r="AV226" s="16">
        <f>AV225/AQ225-1</f>
        <v>-0.16567719863151542</v>
      </c>
      <c r="AY226" s="26"/>
      <c r="AZ226" s="26"/>
      <c r="BA226" s="26"/>
      <c r="BB226" s="26"/>
      <c r="BC226" s="26"/>
      <c r="BD226" s="26"/>
      <c r="BE226" s="26"/>
      <c r="BF226" s="26"/>
      <c r="BG226" s="26"/>
      <c r="BH226" s="26"/>
      <c r="BI226" s="26"/>
      <c r="BJ226" s="26"/>
      <c r="BK226" s="26"/>
      <c r="BL226" s="26"/>
      <c r="BM226" s="26"/>
      <c r="BN226" s="26"/>
      <c r="BO226" s="26"/>
      <c r="BP226" s="26"/>
      <c r="BQ226" s="26"/>
      <c r="BR226" s="26"/>
      <c r="BS226" s="26"/>
      <c r="BT226" s="26"/>
      <c r="BU226" s="26"/>
      <c r="BV226" s="26"/>
      <c r="BW226" s="26"/>
      <c r="BX226" s="26"/>
      <c r="BY226" s="26"/>
      <c r="BZ226" s="26"/>
    </row>
    <row r="227" spans="1:78" s="26" customFormat="1" hidden="1" outlineLevel="1">
      <c r="A227" s="26" t="s">
        <v>1978</v>
      </c>
      <c r="AF227" s="208">
        <f>AF200/AE200-1</f>
        <v>1.9156097554327012E-2</v>
      </c>
      <c r="AH227" s="208">
        <f>AH200/AG200-1</f>
        <v>5.2974624327763564E-2</v>
      </c>
      <c r="AI227" s="208">
        <f>AI200/AH200-1</f>
        <v>-0.13396128967772525</v>
      </c>
      <c r="AJ227" s="208">
        <f>AJ200/AI200-1</f>
        <v>0.16128339687602455</v>
      </c>
      <c r="AK227" s="208">
        <f>AK200/AJ200-1</f>
        <v>0.21909693546416809</v>
      </c>
      <c r="AL227" s="208">
        <f>AL200/AG200-1</f>
        <v>0.29101612370179764</v>
      </c>
      <c r="AM227" s="208">
        <f>AM200/AL200-1</f>
        <v>-0.10192596934439158</v>
      </c>
      <c r="AN227" s="208">
        <f>AN200/AM200-1</f>
        <v>-3.5724325583588401E-2</v>
      </c>
      <c r="AO227" s="208">
        <f>AO200/AN200-1</f>
        <v>0.14324787879879386</v>
      </c>
      <c r="AP227" s="208">
        <f>AP200/AO200-1</f>
        <v>1.0905759045296781E-2</v>
      </c>
      <c r="AQ227" s="208">
        <f>AQ200/AL200-1</f>
        <v>8.3946987260130612E-4</v>
      </c>
      <c r="AR227" s="208">
        <f>AR200/AQ200-1</f>
        <v>3.5169541769352275E-2</v>
      </c>
      <c r="AS227" s="208">
        <f>AS200/AR200-1</f>
        <v>0.16994064459299074</v>
      </c>
      <c r="AT227" s="208">
        <f>AT200/AS200-1</f>
        <v>1.8403689890836628E-2</v>
      </c>
      <c r="AU227" s="208">
        <f>AU200/AT200-1</f>
        <v>0.23391078792689335</v>
      </c>
      <c r="AV227" s="208">
        <f>AV200/AQ200-1</f>
        <v>0.5218751981553571</v>
      </c>
    </row>
    <row r="228" spans="1:78" hidden="1" outlineLevel="1">
      <c r="AY228" s="26"/>
      <c r="AZ228" s="26"/>
      <c r="BA228" s="26"/>
      <c r="BB228" s="26"/>
      <c r="BC228" s="26"/>
      <c r="BD228" s="26"/>
      <c r="BE228" s="26"/>
      <c r="BF228" s="26"/>
      <c r="BG228" s="26"/>
      <c r="BH228" s="26"/>
      <c r="BI228" s="26"/>
      <c r="BJ228" s="26"/>
      <c r="BK228" s="26"/>
      <c r="BL228" s="26"/>
      <c r="BM228" s="26"/>
      <c r="BN228" s="26"/>
      <c r="BO228" s="26"/>
      <c r="BP228" s="26"/>
      <c r="BQ228" s="26"/>
      <c r="BR228" s="26"/>
      <c r="BS228" s="26"/>
      <c r="BT228" s="26"/>
      <c r="BU228" s="26"/>
      <c r="BV228" s="26"/>
      <c r="BW228" s="26"/>
      <c r="BX228" s="26"/>
      <c r="BY228" s="26"/>
      <c r="BZ228" s="26"/>
    </row>
    <row r="229" spans="1:78" hidden="1" outlineLevel="1">
      <c r="A229" s="3" t="s">
        <v>2562</v>
      </c>
      <c r="AY229" s="26"/>
      <c r="AZ229" s="26"/>
      <c r="BA229" s="26"/>
      <c r="BB229" s="26"/>
      <c r="BC229" s="26"/>
      <c r="BD229" s="26"/>
      <c r="BE229" s="26"/>
      <c r="BF229" s="26"/>
      <c r="BG229" s="26"/>
      <c r="BH229" s="26"/>
      <c r="BI229" s="26"/>
      <c r="BJ229" s="26"/>
      <c r="BK229" s="26"/>
      <c r="BL229" s="26"/>
      <c r="BM229" s="26"/>
      <c r="BN229" s="26"/>
      <c r="BO229" s="26"/>
      <c r="BP229" s="26"/>
      <c r="BQ229" s="26"/>
      <c r="BR229" s="26"/>
      <c r="BS229" s="26"/>
      <c r="BT229" s="26"/>
      <c r="BU229" s="26"/>
      <c r="BV229" s="26"/>
      <c r="BW229" s="26"/>
      <c r="BX229" s="26"/>
      <c r="BY229" s="26"/>
      <c r="BZ229" s="26"/>
    </row>
    <row r="230" spans="1:78" hidden="1" outlineLevel="1">
      <c r="A230" s="262" t="s">
        <v>2567</v>
      </c>
      <c r="AR230" s="219" t="s">
        <v>2903</v>
      </c>
      <c r="AY230" s="26"/>
      <c r="AZ230" s="26"/>
      <c r="BA230" s="26"/>
      <c r="BB230" s="26"/>
      <c r="BC230" s="26"/>
      <c r="BD230" s="26"/>
      <c r="BE230" s="26"/>
      <c r="BF230" s="26"/>
      <c r="BG230" s="26"/>
      <c r="BH230" s="26"/>
      <c r="BI230" s="26"/>
      <c r="BJ230" s="26"/>
      <c r="BK230" s="26"/>
      <c r="BL230" s="26"/>
      <c r="BM230" s="26"/>
      <c r="BN230" s="26"/>
      <c r="BO230" s="26"/>
      <c r="BP230" s="26"/>
      <c r="BQ230" s="26"/>
      <c r="BR230" s="26"/>
      <c r="BS230" s="26"/>
      <c r="BT230" s="26"/>
      <c r="BU230" s="26"/>
      <c r="BV230" s="26"/>
      <c r="BW230" s="26"/>
      <c r="BX230" s="26"/>
      <c r="BY230" s="26"/>
      <c r="BZ230" s="26"/>
    </row>
    <row r="231" spans="1:78" hidden="1" outlineLevel="1">
      <c r="A231" s="1" t="s">
        <v>2556</v>
      </c>
      <c r="AR231" s="8">
        <f>AR232*AR194</f>
        <v>4092.8313915335016</v>
      </c>
      <c r="AW231" s="8">
        <f>AW232*AW194</f>
        <v>4939.7551140375008</v>
      </c>
      <c r="AY231" s="26"/>
      <c r="AZ231" s="26"/>
      <c r="BA231" s="26"/>
      <c r="BB231" s="470" t="e">
        <f>BB232*BB194</f>
        <v>#DIV/0!</v>
      </c>
      <c r="BC231" s="26"/>
      <c r="BD231" s="26"/>
      <c r="BE231" s="26"/>
      <c r="BF231" s="26"/>
      <c r="BG231" s="470" t="e">
        <f>BG232*BG194</f>
        <v>#DIV/0!</v>
      </c>
      <c r="BH231" s="26"/>
      <c r="BI231" s="26"/>
      <c r="BJ231" s="26"/>
      <c r="BK231" s="26"/>
      <c r="BL231" s="470" t="e">
        <f>BL232*BL194</f>
        <v>#DIV/0!</v>
      </c>
      <c r="BM231" s="26"/>
      <c r="BN231" s="26"/>
      <c r="BO231" s="26"/>
      <c r="BP231" s="26"/>
      <c r="BQ231" s="470" t="e">
        <f>BQ232*BQ194</f>
        <v>#DIV/0!</v>
      </c>
      <c r="BR231" s="26"/>
      <c r="BS231" s="26"/>
      <c r="BT231" s="26"/>
      <c r="BU231" s="26"/>
      <c r="BV231" s="26"/>
      <c r="BW231" s="26"/>
      <c r="BX231" s="26"/>
      <c r="BY231" s="26"/>
      <c r="BZ231" s="26"/>
    </row>
    <row r="232" spans="1:78" hidden="1" outlineLevel="1">
      <c r="A232" s="1" t="s">
        <v>2156</v>
      </c>
      <c r="AR232" s="224">
        <f>AR233*AVERAGE(AP208, AR208)</f>
        <v>0.82775000000000021</v>
      </c>
      <c r="AW232" s="224">
        <f>AW233*AVERAGE(AU208, AW208)</f>
        <v>1.0125</v>
      </c>
      <c r="AY232" s="26"/>
      <c r="AZ232" s="26"/>
      <c r="BA232" s="26"/>
      <c r="BB232" s="287">
        <f>BB233*FP!$G$5/FP!$G$4</f>
        <v>1.1814958091553838</v>
      </c>
      <c r="BC232" s="26"/>
      <c r="BD232" s="26"/>
      <c r="BE232" s="26"/>
      <c r="BF232" s="26"/>
      <c r="BG232" s="287">
        <f>BG233*FP!$G$5/FP!$G$4</f>
        <v>1.2996453900709222</v>
      </c>
      <c r="BH232" s="26"/>
      <c r="BI232" s="26"/>
      <c r="BJ232" s="26"/>
      <c r="BK232" s="26"/>
      <c r="BL232" s="287">
        <f>BL233*FP!$G$5/FP!$G$4</f>
        <v>1.4768697614442297</v>
      </c>
      <c r="BM232" s="26"/>
      <c r="BN232" s="26"/>
      <c r="BO232" s="26"/>
      <c r="BP232" s="26"/>
      <c r="BQ232" s="287">
        <f>BQ233*FP!$G$5/FP!$G$4</f>
        <v>1.5950193423597681</v>
      </c>
      <c r="BR232" s="26"/>
      <c r="BS232" s="26"/>
      <c r="BT232" s="26"/>
      <c r="BU232" s="26"/>
      <c r="BV232" s="26"/>
      <c r="BW232" s="26"/>
      <c r="BX232" s="26"/>
      <c r="BY232" s="26"/>
      <c r="BZ232" s="26"/>
    </row>
    <row r="233" spans="1:78" hidden="1" outlineLevel="1">
      <c r="A233" s="1" t="s">
        <v>2564</v>
      </c>
      <c r="AR233" s="608">
        <v>0.77</v>
      </c>
      <c r="AW233" s="608">
        <v>0.9</v>
      </c>
      <c r="AY233" s="26"/>
      <c r="AZ233" s="26"/>
      <c r="BA233" s="26"/>
      <c r="BB233" s="611">
        <v>1</v>
      </c>
      <c r="BC233" s="26"/>
      <c r="BD233" s="26"/>
      <c r="BE233" s="26"/>
      <c r="BF233" s="26"/>
      <c r="BG233" s="611">
        <v>1.1000000000000001</v>
      </c>
      <c r="BH233" s="26"/>
      <c r="BI233" s="26"/>
      <c r="BJ233" s="26"/>
      <c r="BK233" s="26"/>
      <c r="BL233" s="611">
        <v>1.25</v>
      </c>
      <c r="BM233" s="26"/>
      <c r="BN233" s="26"/>
      <c r="BO233" s="26"/>
      <c r="BP233" s="26"/>
      <c r="BQ233" s="611">
        <v>1.35</v>
      </c>
      <c r="BR233" s="26"/>
      <c r="BS233" s="26"/>
      <c r="BT233" s="26"/>
      <c r="BU233" s="26"/>
      <c r="BV233" s="26"/>
      <c r="BW233" s="26"/>
      <c r="BX233" s="26"/>
      <c r="BY233" s="26"/>
      <c r="BZ233" s="26"/>
    </row>
    <row r="234" spans="1:78" hidden="1" outlineLevel="1">
      <c r="AR234" s="522" t="s">
        <v>2565</v>
      </c>
      <c r="AS234" s="71"/>
      <c r="AT234" s="71"/>
      <c r="AW234" s="522" t="s">
        <v>2566</v>
      </c>
      <c r="AX234" s="71"/>
      <c r="AY234" s="192"/>
      <c r="AZ234" s="26"/>
      <c r="BA234" s="26"/>
      <c r="BB234" s="26"/>
      <c r="BC234" s="26"/>
      <c r="BD234" s="26"/>
      <c r="BE234" s="26"/>
      <c r="BF234" s="26"/>
      <c r="BG234" s="26"/>
      <c r="BH234" s="26"/>
      <c r="BI234" s="26"/>
      <c r="BJ234" s="26"/>
      <c r="BK234" s="26"/>
      <c r="BL234" s="26"/>
      <c r="BM234" s="26"/>
      <c r="BN234" s="26"/>
      <c r="BO234" s="26"/>
      <c r="BP234" s="26"/>
      <c r="BQ234" s="26"/>
      <c r="BR234" s="26"/>
      <c r="BS234" s="26"/>
      <c r="BT234" s="26"/>
      <c r="BU234" s="26"/>
      <c r="BV234" s="26"/>
      <c r="BW234" s="26"/>
      <c r="BX234" s="26"/>
      <c r="BY234" s="26"/>
      <c r="BZ234" s="26"/>
    </row>
    <row r="235" spans="1:78" hidden="1" outlineLevel="1">
      <c r="A235" s="1" t="s">
        <v>2563</v>
      </c>
      <c r="AR235" s="36">
        <f>AR232*AR191</f>
        <v>186.24375000000003</v>
      </c>
      <c r="AW235" s="36">
        <f>AW232*AW191</f>
        <v>168.58124999999998</v>
      </c>
      <c r="AY235" s="26"/>
      <c r="AZ235" s="26"/>
      <c r="BA235" s="26"/>
      <c r="BB235" s="61">
        <f>BB232*BB191</f>
        <v>0</v>
      </c>
      <c r="BC235" s="26"/>
      <c r="BD235" s="26"/>
      <c r="BE235" s="26"/>
      <c r="BF235" s="26"/>
      <c r="BG235" s="61">
        <f>BG232*BG191</f>
        <v>0</v>
      </c>
      <c r="BH235" s="26"/>
      <c r="BI235" s="26"/>
      <c r="BJ235" s="26"/>
      <c r="BK235" s="26"/>
      <c r="BL235" s="61">
        <f>BL232*BL191</f>
        <v>0</v>
      </c>
      <c r="BM235" s="26"/>
      <c r="BN235" s="26"/>
      <c r="BO235" s="26"/>
      <c r="BP235" s="26"/>
      <c r="BQ235" s="61">
        <f>BQ232*BQ191</f>
        <v>0</v>
      </c>
      <c r="BR235" s="26"/>
      <c r="BS235" s="26"/>
      <c r="BT235" s="26"/>
      <c r="BU235" s="26"/>
      <c r="BV235" s="26"/>
      <c r="BW235" s="26"/>
      <c r="BX235" s="26"/>
      <c r="BY235" s="26"/>
      <c r="BZ235" s="26"/>
    </row>
    <row r="236" spans="1:78" hidden="1" outlineLevel="1">
      <c r="A236" s="1" t="s">
        <v>2559</v>
      </c>
      <c r="AR236" s="16">
        <f>AR235/AR231</f>
        <v>4.5504867458079738E-2</v>
      </c>
      <c r="AW236" s="16">
        <f>AW235/AW231</f>
        <v>3.4127450877258242E-2</v>
      </c>
      <c r="AY236" s="26"/>
      <c r="AZ236" s="26"/>
      <c r="BA236" s="26"/>
      <c r="BB236" s="208" t="e">
        <f>BB235/BB231</f>
        <v>#DIV/0!</v>
      </c>
      <c r="BC236" s="26"/>
      <c r="BD236" s="26"/>
      <c r="BE236" s="26"/>
      <c r="BF236" s="26"/>
      <c r="BG236" s="208" t="e">
        <f>BG235/BG231</f>
        <v>#DIV/0!</v>
      </c>
      <c r="BH236" s="26"/>
      <c r="BI236" s="26"/>
      <c r="BJ236" s="26"/>
      <c r="BK236" s="26"/>
      <c r="BL236" s="208" t="e">
        <f>BL235/BL231</f>
        <v>#DIV/0!</v>
      </c>
      <c r="BM236" s="26"/>
      <c r="BN236" s="26"/>
      <c r="BO236" s="26"/>
      <c r="BP236" s="26"/>
      <c r="BQ236" s="208" t="e">
        <f>BQ235/BQ231</f>
        <v>#DIV/0!</v>
      </c>
      <c r="BR236" s="26"/>
      <c r="BS236" s="26"/>
      <c r="BT236" s="26"/>
      <c r="BU236" s="26"/>
      <c r="BV236" s="26"/>
      <c r="BW236" s="26"/>
      <c r="BX236" s="26"/>
      <c r="BY236" s="26"/>
      <c r="BZ236" s="26"/>
    </row>
    <row r="237" spans="1:78" hidden="1" outlineLevel="1">
      <c r="AX237" s="714">
        <f>AX192</f>
        <v>2.2219002429841039E-3</v>
      </c>
      <c r="AY237" s="443" t="s">
        <v>2730</v>
      </c>
      <c r="AZ237" s="26"/>
      <c r="BA237" s="26"/>
      <c r="BB237" s="26"/>
      <c r="BC237" s="26"/>
      <c r="BD237" s="26"/>
      <c r="BE237" s="26"/>
      <c r="BF237" s="26"/>
      <c r="BG237" s="26"/>
      <c r="BH237" s="26"/>
      <c r="BI237" s="26"/>
      <c r="BJ237" s="26"/>
      <c r="BK237" s="26"/>
      <c r="BL237" s="26"/>
      <c r="BM237" s="26"/>
      <c r="BN237" s="26"/>
      <c r="BO237" s="26"/>
      <c r="BP237" s="26"/>
      <c r="BQ237" s="26"/>
      <c r="BR237" s="26"/>
      <c r="BS237" s="26"/>
      <c r="BT237" s="26"/>
      <c r="BU237" s="26"/>
      <c r="BV237" s="26"/>
      <c r="BW237" s="26"/>
      <c r="BX237" s="26"/>
      <c r="BY237" s="26"/>
      <c r="BZ237" s="26"/>
    </row>
    <row r="238" spans="1:78" hidden="1" outlineLevel="1">
      <c r="A238" s="1" t="s">
        <v>2729</v>
      </c>
      <c r="AX238" s="269">
        <f t="shared" ref="AX238:BZ238" si="509">AX191-$AX$237*AX194</f>
        <v>0</v>
      </c>
      <c r="AY238" s="1091" t="e">
        <f t="shared" si="509"/>
        <v>#DIV/0!</v>
      </c>
      <c r="AZ238" s="1091" t="e">
        <f t="shared" si="509"/>
        <v>#DIV/0!</v>
      </c>
      <c r="BA238" s="1091" t="e">
        <f t="shared" si="509"/>
        <v>#DIV/0!</v>
      </c>
      <c r="BB238" s="1091" t="e">
        <f t="shared" si="509"/>
        <v>#DIV/0!</v>
      </c>
      <c r="BC238" s="1091" t="e">
        <f t="shared" si="509"/>
        <v>#DIV/0!</v>
      </c>
      <c r="BD238" s="1091" t="e">
        <f t="shared" si="509"/>
        <v>#DIV/0!</v>
      </c>
      <c r="BE238" s="1091" t="e">
        <f t="shared" si="509"/>
        <v>#DIV/0!</v>
      </c>
      <c r="BF238" s="1091" t="e">
        <f t="shared" si="509"/>
        <v>#DIV/0!</v>
      </c>
      <c r="BG238" s="1091" t="e">
        <f t="shared" si="509"/>
        <v>#DIV/0!</v>
      </c>
      <c r="BH238" s="1091" t="e">
        <f t="shared" si="509"/>
        <v>#DIV/0!</v>
      </c>
      <c r="BI238" s="1091" t="e">
        <f t="shared" si="509"/>
        <v>#DIV/0!</v>
      </c>
      <c r="BJ238" s="1091" t="e">
        <f t="shared" si="509"/>
        <v>#DIV/0!</v>
      </c>
      <c r="BK238" s="1091" t="e">
        <f t="shared" si="509"/>
        <v>#DIV/0!</v>
      </c>
      <c r="BL238" s="1091" t="e">
        <f t="shared" si="509"/>
        <v>#DIV/0!</v>
      </c>
      <c r="BM238" s="1091" t="e">
        <f t="shared" si="509"/>
        <v>#DIV/0!</v>
      </c>
      <c r="BN238" s="1091" t="e">
        <f t="shared" si="509"/>
        <v>#DIV/0!</v>
      </c>
      <c r="BO238" s="1091" t="e">
        <f t="shared" si="509"/>
        <v>#DIV/0!</v>
      </c>
      <c r="BP238" s="1091" t="e">
        <f t="shared" si="509"/>
        <v>#DIV/0!</v>
      </c>
      <c r="BQ238" s="1091" t="e">
        <f t="shared" si="509"/>
        <v>#DIV/0!</v>
      </c>
      <c r="BR238" s="1091" t="e">
        <f t="shared" si="509"/>
        <v>#DIV/0!</v>
      </c>
      <c r="BS238" s="1091" t="e">
        <f t="shared" si="509"/>
        <v>#DIV/0!</v>
      </c>
      <c r="BT238" s="1091" t="e">
        <f t="shared" si="509"/>
        <v>#DIV/0!</v>
      </c>
      <c r="BU238" s="1091" t="e">
        <f t="shared" si="509"/>
        <v>#DIV/0!</v>
      </c>
      <c r="BV238" s="1091" t="e">
        <f t="shared" si="509"/>
        <v>#DIV/0!</v>
      </c>
      <c r="BW238" s="1091" t="e">
        <f t="shared" si="509"/>
        <v>#DIV/0!</v>
      </c>
      <c r="BX238" s="1091" t="e">
        <f t="shared" si="509"/>
        <v>#DIV/0!</v>
      </c>
      <c r="BY238" s="1091" t="e">
        <f t="shared" si="509"/>
        <v>#DIV/0!</v>
      </c>
      <c r="BZ238" s="1091" t="e">
        <f t="shared" si="509"/>
        <v>#DIV/0!</v>
      </c>
    </row>
    <row r="239" spans="1:78" hidden="1" outlineLevel="1">
      <c r="A239" s="135" t="s">
        <v>2722</v>
      </c>
      <c r="AX239" s="715">
        <f>AX238-AW238</f>
        <v>0</v>
      </c>
      <c r="AY239" s="1092" t="e">
        <f>AY238-AX238</f>
        <v>#DIV/0!</v>
      </c>
      <c r="AZ239" s="1092" t="e">
        <f>AZ238-AY238</f>
        <v>#DIV/0!</v>
      </c>
      <c r="BA239" s="1091" t="e">
        <f>SUM(AW239:AZ239)</f>
        <v>#DIV/0!</v>
      </c>
      <c r="BB239" s="1092" t="e">
        <f>BB238-BA238</f>
        <v>#DIV/0!</v>
      </c>
      <c r="BC239" s="1092" t="e">
        <f>BC238-BB238</f>
        <v>#DIV/0!</v>
      </c>
      <c r="BD239" s="1092" t="e">
        <f>BD238-BC238</f>
        <v>#DIV/0!</v>
      </c>
      <c r="BE239" s="1092" t="e">
        <f>BE238-BD238</f>
        <v>#DIV/0!</v>
      </c>
      <c r="BF239" s="1091" t="e">
        <f>SUM(BB239:BE239)</f>
        <v>#DIV/0!</v>
      </c>
      <c r="BG239" s="1092" t="e">
        <f>BG238-BF238</f>
        <v>#DIV/0!</v>
      </c>
      <c r="BH239" s="1092" t="e">
        <f>BH238-BG238</f>
        <v>#DIV/0!</v>
      </c>
      <c r="BI239" s="1092" t="e">
        <f>BI238-BH238</f>
        <v>#DIV/0!</v>
      </c>
      <c r="BJ239" s="1092" t="e">
        <f>BJ238-BI238</f>
        <v>#DIV/0!</v>
      </c>
      <c r="BK239" s="1091" t="e">
        <f>SUM(BG239:BJ239)</f>
        <v>#DIV/0!</v>
      </c>
      <c r="BL239" s="1092" t="e">
        <f>BL238-BK238</f>
        <v>#DIV/0!</v>
      </c>
      <c r="BM239" s="1092" t="e">
        <f>BM238-BL238</f>
        <v>#DIV/0!</v>
      </c>
      <c r="BN239" s="1092" t="e">
        <f>BN238-BM238</f>
        <v>#DIV/0!</v>
      </c>
      <c r="BO239" s="1092" t="e">
        <f>BO238-BN238</f>
        <v>#DIV/0!</v>
      </c>
      <c r="BP239" s="1091" t="e">
        <f>SUM(BL239:BO239)</f>
        <v>#DIV/0!</v>
      </c>
      <c r="BQ239" s="1092" t="e">
        <f>BQ238-BP238</f>
        <v>#DIV/0!</v>
      </c>
      <c r="BR239" s="1092" t="e">
        <f>BR238-BQ238</f>
        <v>#DIV/0!</v>
      </c>
      <c r="BS239" s="1092" t="e">
        <f>BS238-BR238</f>
        <v>#DIV/0!</v>
      </c>
      <c r="BT239" s="1092" t="e">
        <f>BT238-BS238</f>
        <v>#DIV/0!</v>
      </c>
      <c r="BU239" s="1091" t="e">
        <f>SUM(BQ239:BT239)</f>
        <v>#DIV/0!</v>
      </c>
      <c r="BV239" s="1092" t="e">
        <f>BV238-BU238</f>
        <v>#DIV/0!</v>
      </c>
      <c r="BW239" s="1092" t="e">
        <f>BW238-BV238</f>
        <v>#DIV/0!</v>
      </c>
      <c r="BX239" s="1092" t="e">
        <f>BX238-BW238</f>
        <v>#DIV/0!</v>
      </c>
      <c r="BY239" s="1092" t="e">
        <f>BY238-BX238</f>
        <v>#DIV/0!</v>
      </c>
      <c r="BZ239" s="1091" t="e">
        <f>SUM(BV239:BY239)</f>
        <v>#DIV/0!</v>
      </c>
    </row>
    <row r="240" spans="1:78" hidden="1" outlineLevel="1">
      <c r="A240" s="135" t="s">
        <v>2723</v>
      </c>
      <c r="AX240" s="103">
        <f>MROUND(AX239*AX200, 0.5)</f>
        <v>0</v>
      </c>
      <c r="AY240" s="198" t="e">
        <f>MROUND(AY239*AY200, 0.5)</f>
        <v>#DIV/0!</v>
      </c>
      <c r="AZ240" s="198" t="e">
        <f>MROUND(AZ239*AZ200, 0.5)</f>
        <v>#DIV/0!</v>
      </c>
      <c r="BA240" s="198" t="e">
        <f>SUM(AW240:AZ240)</f>
        <v>#DIV/0!</v>
      </c>
      <c r="BB240" s="198" t="e">
        <f t="shared" ref="BB240:BE240" si="510">MROUND(BB239*BB200, 0.5)</f>
        <v>#DIV/0!</v>
      </c>
      <c r="BC240" s="198" t="e">
        <f t="shared" si="510"/>
        <v>#DIV/0!</v>
      </c>
      <c r="BD240" s="198" t="e">
        <f t="shared" si="510"/>
        <v>#DIV/0!</v>
      </c>
      <c r="BE240" s="198" t="e">
        <f t="shared" si="510"/>
        <v>#DIV/0!</v>
      </c>
      <c r="BF240" s="198" t="e">
        <f>SUM(BB240:BE240)</f>
        <v>#DIV/0!</v>
      </c>
      <c r="BG240" s="198" t="e">
        <f t="shared" ref="BG240" si="511">MROUND(BG239*BG200, 0.5)</f>
        <v>#DIV/0!</v>
      </c>
      <c r="BH240" s="198" t="e">
        <f t="shared" ref="BH240" si="512">MROUND(BH239*BH200, 0.5)</f>
        <v>#DIV/0!</v>
      </c>
      <c r="BI240" s="198" t="e">
        <f t="shared" ref="BI240" si="513">MROUND(BI239*BI200, 0.5)</f>
        <v>#DIV/0!</v>
      </c>
      <c r="BJ240" s="198" t="e">
        <f t="shared" ref="BJ240" si="514">MROUND(BJ239*BJ200, 0.5)</f>
        <v>#DIV/0!</v>
      </c>
      <c r="BK240" s="198" t="e">
        <f>SUM(BG240:BJ240)</f>
        <v>#DIV/0!</v>
      </c>
      <c r="BL240" s="198" t="e">
        <f t="shared" ref="BL240" si="515">MROUND(BL239*BL200, 0.5)</f>
        <v>#DIV/0!</v>
      </c>
      <c r="BM240" s="198" t="e">
        <f t="shared" ref="BM240" si="516">MROUND(BM239*BM200, 0.5)</f>
        <v>#DIV/0!</v>
      </c>
      <c r="BN240" s="198" t="e">
        <f t="shared" ref="BN240" si="517">MROUND(BN239*BN200, 0.5)</f>
        <v>#DIV/0!</v>
      </c>
      <c r="BO240" s="198" t="e">
        <f t="shared" ref="BO240" si="518">MROUND(BO239*BO200, 0.5)</f>
        <v>#DIV/0!</v>
      </c>
      <c r="BP240" s="198" t="e">
        <f>SUM(BL240:BO240)</f>
        <v>#DIV/0!</v>
      </c>
      <c r="BQ240" s="198" t="e">
        <f t="shared" ref="BQ240" si="519">MROUND(BQ239*BQ200, 0.5)</f>
        <v>#DIV/0!</v>
      </c>
      <c r="BR240" s="198" t="e">
        <f t="shared" ref="BR240" si="520">MROUND(BR239*BR200, 0.5)</f>
        <v>#DIV/0!</v>
      </c>
      <c r="BS240" s="198" t="e">
        <f t="shared" ref="BS240" si="521">MROUND(BS239*BS200, 0.5)</f>
        <v>#DIV/0!</v>
      </c>
      <c r="BT240" s="198" t="e">
        <f t="shared" ref="BT240" si="522">MROUND(BT239*BT200, 0.5)</f>
        <v>#DIV/0!</v>
      </c>
      <c r="BU240" s="198" t="e">
        <f>SUM(BQ240:BT240)</f>
        <v>#DIV/0!</v>
      </c>
      <c r="BV240" s="198" t="e">
        <f t="shared" ref="BV240" si="523">MROUND(BV239*BV200, 0.5)</f>
        <v>#DIV/0!</v>
      </c>
      <c r="BW240" s="198" t="e">
        <f t="shared" ref="BW240" si="524">MROUND(BW239*BW200, 0.5)</f>
        <v>#DIV/0!</v>
      </c>
      <c r="BX240" s="198" t="e">
        <f t="shared" ref="BX240" si="525">MROUND(BX239*BX200, 0.5)</f>
        <v>#DIV/0!</v>
      </c>
      <c r="BY240" s="198" t="e">
        <f t="shared" ref="BY240" si="526">MROUND(BY239*BY200, 0.5)</f>
        <v>#DIV/0!</v>
      </c>
      <c r="BZ240" s="198" t="e">
        <f>SUM(BV240:BY240)</f>
        <v>#DIV/0!</v>
      </c>
    </row>
    <row r="241" spans="1:78" hidden="1" outlineLevel="1"/>
    <row r="242" spans="1:78" s="2" customFormat="1" collapsed="1">
      <c r="A242" s="4" t="s">
        <v>1006</v>
      </c>
    </row>
    <row r="244" spans="1:78">
      <c r="A244" s="1" t="s">
        <v>114</v>
      </c>
      <c r="S244" s="45">
        <f>FX!S5</f>
        <v>110</v>
      </c>
      <c r="T244" s="45">
        <f>FX!T5</f>
        <v>107.7</v>
      </c>
      <c r="U244" s="45">
        <f>FX!U5</f>
        <v>108.98</v>
      </c>
      <c r="V244" s="45">
        <f>FX!V5</f>
        <v>109.22</v>
      </c>
      <c r="X244" s="45">
        <f>FX!X5</f>
        <v>107.74</v>
      </c>
      <c r="Y244" s="45">
        <f>FX!Y5</f>
        <v>105.88</v>
      </c>
      <c r="Z244" s="45">
        <f>FX!Z5</f>
        <v>104.45</v>
      </c>
      <c r="AA244" s="45">
        <f>FX!AA5</f>
        <v>106.24</v>
      </c>
      <c r="AC244" s="45">
        <f>FX!AC5</f>
        <v>110</v>
      </c>
      <c r="AD244" s="45">
        <f>FX!AD5</f>
        <v>110.47</v>
      </c>
      <c r="AE244" s="45">
        <f>FX!AE5</f>
        <v>113.6</v>
      </c>
      <c r="AF244" s="45">
        <f>FX!AF5</f>
        <v>117.1</v>
      </c>
      <c r="AH244" s="45">
        <f>FX!AH5</f>
        <v>129.04</v>
      </c>
      <c r="AI244" s="45">
        <f>FX!AI5</f>
        <v>138.68</v>
      </c>
      <c r="AJ244" s="45">
        <f>FX!AJ5</f>
        <v>141.16</v>
      </c>
      <c r="AK244" s="45">
        <f>FX!AK5</f>
        <v>133.26</v>
      </c>
      <c r="AM244" s="45">
        <f>FX!AM5</f>
        <v>138.11000000000001</v>
      </c>
      <c r="AN244" s="45">
        <f>FX!AN5</f>
        <v>145.44</v>
      </c>
      <c r="AO244" s="45">
        <f>FX!AO5</f>
        <v>147</v>
      </c>
      <c r="AP244" s="45">
        <f>FX!AP5</f>
        <v>147.87</v>
      </c>
      <c r="AR244" s="45">
        <f>FX!AR5</f>
        <v>156.53</v>
      </c>
      <c r="AS244" s="45">
        <f>FX!AS5</f>
        <v>150.26</v>
      </c>
      <c r="AT244" s="45">
        <f>FX!AT5</f>
        <v>151.32</v>
      </c>
      <c r="AU244" s="45">
        <f>FX!AU5</f>
        <v>152.94999999999999</v>
      </c>
      <c r="AW244" s="45">
        <f>FX!AW5</f>
        <v>145.19</v>
      </c>
      <c r="AX244" s="45">
        <f>FX!AX5</f>
        <v>147.5</v>
      </c>
      <c r="AY244" s="45">
        <f>FX!AY5</f>
        <v>154.04</v>
      </c>
      <c r="AZ244" s="45">
        <f>FX!AZ5</f>
        <v>155.1</v>
      </c>
      <c r="BB244" s="45">
        <f>FX!BB5</f>
        <v>154.70000000000002</v>
      </c>
      <c r="BC244" s="45">
        <f>FX!BC5</f>
        <v>154.30000000000001</v>
      </c>
      <c r="BD244" s="45">
        <f>FX!BD5</f>
        <v>153.9</v>
      </c>
      <c r="BE244" s="45">
        <f>FX!BE5</f>
        <v>153.5</v>
      </c>
      <c r="BG244" s="45">
        <f>FX!BG5</f>
        <v>153.1</v>
      </c>
      <c r="BH244" s="45">
        <f>FX!BH5</f>
        <v>152.70000000000002</v>
      </c>
      <c r="BI244" s="45">
        <f>FX!BI5</f>
        <v>152.30000000000001</v>
      </c>
      <c r="BJ244" s="45">
        <f>FX!BJ5</f>
        <v>151.9</v>
      </c>
      <c r="BL244" s="45">
        <f>FX!BL5</f>
        <v>151.5</v>
      </c>
      <c r="BM244" s="45">
        <f>FX!BM5</f>
        <v>151.1</v>
      </c>
      <c r="BN244" s="45">
        <f>FX!BN5</f>
        <v>150.70000000000002</v>
      </c>
      <c r="BO244" s="45">
        <f>FX!BO5</f>
        <v>150.30000000000001</v>
      </c>
      <c r="BQ244" s="45">
        <f>FX!BQ5</f>
        <v>149.9</v>
      </c>
      <c r="BR244" s="45">
        <f>FX!BR5</f>
        <v>149.5</v>
      </c>
      <c r="BS244" s="45">
        <f>FX!BS5</f>
        <v>149.1</v>
      </c>
      <c r="BT244" s="45">
        <f>FX!BT5</f>
        <v>148.70000000000002</v>
      </c>
      <c r="BV244" s="45">
        <f>FX!BV5</f>
        <v>148.30000000000001</v>
      </c>
      <c r="BW244" s="45">
        <f>FX!BW5</f>
        <v>147.9</v>
      </c>
      <c r="BX244" s="45">
        <f>FX!BX5</f>
        <v>147.5</v>
      </c>
      <c r="BY244" s="45">
        <f>FX!BY5</f>
        <v>147.1</v>
      </c>
    </row>
    <row r="245" spans="1:78">
      <c r="A245" s="1" t="s">
        <v>1007</v>
      </c>
      <c r="S245" s="45">
        <f>FX!S6</f>
        <v>107.79</v>
      </c>
      <c r="T245" s="45">
        <f>FX!T6</f>
        <v>107.92</v>
      </c>
      <c r="U245" s="45">
        <f>FX!U6</f>
        <v>109.56</v>
      </c>
      <c r="V245" s="45">
        <f>FX!V6</f>
        <v>108.83</v>
      </c>
      <c r="W245" s="41">
        <f>V245</f>
        <v>108.83</v>
      </c>
      <c r="X245" s="45">
        <f>FX!X6</f>
        <v>107.74</v>
      </c>
      <c r="Y245" s="45">
        <f>FX!Y6</f>
        <v>105.8</v>
      </c>
      <c r="Z245" s="45">
        <f>FX!Z6</f>
        <v>103.5</v>
      </c>
      <c r="AA245" s="45">
        <f>FX!AA6</f>
        <v>110.71</v>
      </c>
      <c r="AB245" s="41">
        <f>AA245</f>
        <v>110.71</v>
      </c>
      <c r="AC245" s="45">
        <f>FX!AC6</f>
        <v>110.58</v>
      </c>
      <c r="AD245" s="45">
        <f>FX!AD6</f>
        <v>111.92</v>
      </c>
      <c r="AE245" s="45">
        <f>FX!AE6</f>
        <v>115.02</v>
      </c>
      <c r="AF245" s="45">
        <f>FX!AF6</f>
        <v>122.39</v>
      </c>
      <c r="AG245" s="41">
        <f>AF245</f>
        <v>122.39</v>
      </c>
      <c r="AH245" s="45">
        <f>FX!AH6</f>
        <v>136.68</v>
      </c>
      <c r="AI245" s="45">
        <f>FX!AI6</f>
        <v>144.81</v>
      </c>
      <c r="AJ245" s="45">
        <f>FX!AJ6</f>
        <v>132.69999999999999</v>
      </c>
      <c r="AK245" s="45">
        <f>FX!AK6</f>
        <v>133.53</v>
      </c>
      <c r="AL245" s="41">
        <f>AK245</f>
        <v>133.53</v>
      </c>
      <c r="AM245" s="45">
        <f>FX!AM6</f>
        <v>144.99</v>
      </c>
      <c r="AN245" s="45">
        <f>FX!AN6</f>
        <v>149.58000000000001</v>
      </c>
      <c r="AO245" s="45">
        <f>FX!AO6</f>
        <v>141.83000000000001</v>
      </c>
      <c r="AP245" s="45">
        <f>FX!AP6</f>
        <v>151.41</v>
      </c>
      <c r="AQ245" s="41">
        <f>AP245</f>
        <v>151.41</v>
      </c>
      <c r="AR245" s="45">
        <f>FX!AR6</f>
        <v>161.07</v>
      </c>
      <c r="AS245" s="45">
        <f>FX!AS6</f>
        <v>142.72999999999999</v>
      </c>
      <c r="AT245" s="45">
        <f>FX!AT6</f>
        <v>158.18</v>
      </c>
      <c r="AU245" s="45">
        <f>FX!AU6</f>
        <v>149.52000000000001</v>
      </c>
      <c r="AV245" s="41">
        <f>AU245</f>
        <v>149.52000000000001</v>
      </c>
      <c r="AW245" s="45">
        <f>FX!AW6</f>
        <v>144.81</v>
      </c>
      <c r="AX245" s="45">
        <f>FX!AX6</f>
        <v>148.88</v>
      </c>
      <c r="AY245" s="45">
        <f>FX!AY6</f>
        <v>156.56</v>
      </c>
      <c r="AZ245" s="45">
        <f>FX!AZ6</f>
        <v>155.1</v>
      </c>
      <c r="BA245" s="41">
        <f>AZ245</f>
        <v>155.1</v>
      </c>
      <c r="BB245" s="45">
        <f>FX!BB6</f>
        <v>154.70000000000002</v>
      </c>
      <c r="BC245" s="45">
        <f>FX!BC6</f>
        <v>154.30000000000001</v>
      </c>
      <c r="BD245" s="45">
        <f>FX!BD6</f>
        <v>153.9</v>
      </c>
      <c r="BE245" s="45">
        <f>FX!BE6</f>
        <v>153.5</v>
      </c>
      <c r="BF245" s="41">
        <f>BE245</f>
        <v>153.5</v>
      </c>
      <c r="BG245" s="45">
        <f>FX!BG6</f>
        <v>153.1</v>
      </c>
      <c r="BH245" s="45">
        <f>FX!BH6</f>
        <v>152.70000000000002</v>
      </c>
      <c r="BI245" s="45">
        <f>FX!BI6</f>
        <v>152.30000000000001</v>
      </c>
      <c r="BJ245" s="45">
        <f>FX!BJ6</f>
        <v>151.9</v>
      </c>
      <c r="BK245" s="41">
        <f>BJ245</f>
        <v>151.9</v>
      </c>
      <c r="BL245" s="45">
        <f>FX!BL6</f>
        <v>151.5</v>
      </c>
      <c r="BM245" s="45">
        <f>FX!BM6</f>
        <v>151.1</v>
      </c>
      <c r="BN245" s="45">
        <f>FX!BN6</f>
        <v>150.70000000000002</v>
      </c>
      <c r="BO245" s="45">
        <f>FX!BO6</f>
        <v>150.30000000000001</v>
      </c>
      <c r="BP245" s="41">
        <f>BO245</f>
        <v>150.30000000000001</v>
      </c>
      <c r="BQ245" s="45">
        <f>FX!BQ6</f>
        <v>149.9</v>
      </c>
      <c r="BR245" s="45">
        <f>FX!BR6</f>
        <v>149.5</v>
      </c>
      <c r="BS245" s="45">
        <f>FX!BS6</f>
        <v>149.1</v>
      </c>
      <c r="BT245" s="45">
        <f>FX!BT6</f>
        <v>148.70000000000002</v>
      </c>
      <c r="BU245" s="41">
        <f>BT245</f>
        <v>148.70000000000002</v>
      </c>
      <c r="BV245" s="45">
        <f>FX!BV6</f>
        <v>148.30000000000001</v>
      </c>
      <c r="BW245" s="45">
        <f>FX!BW6</f>
        <v>147.9</v>
      </c>
      <c r="BX245" s="45">
        <f>FX!BX6</f>
        <v>147.5</v>
      </c>
      <c r="BY245" s="45">
        <f>FX!BY6</f>
        <v>147.1</v>
      </c>
      <c r="BZ245" s="41">
        <f>BY245</f>
        <v>147.1</v>
      </c>
    </row>
    <row r="246" spans="1:78">
      <c r="A246" s="1" t="s">
        <v>2146</v>
      </c>
      <c r="X246" s="16">
        <f>-(X245/V245-1)</f>
        <v>1.001562069282369E-2</v>
      </c>
      <c r="Y246" s="16">
        <f>-(Y245/X245-1)</f>
        <v>1.8006311490625593E-2</v>
      </c>
      <c r="Z246" s="16">
        <f>-(Z245/Y245-1)</f>
        <v>2.1739130434782594E-2</v>
      </c>
      <c r="AA246" s="16">
        <f>-(AA245/Z245-1)</f>
        <v>-6.9661835748792145E-2</v>
      </c>
      <c r="AC246" s="16">
        <f>-(AC245/AA245-1)</f>
        <v>1.1742390028001148E-3</v>
      </c>
      <c r="AD246" s="16">
        <f>-(AD245/AC245-1)</f>
        <v>-1.2117923675167397E-2</v>
      </c>
      <c r="AE246" s="16">
        <f>-(AE245/AD245-1)</f>
        <v>-2.769835596854886E-2</v>
      </c>
      <c r="AF246" s="16">
        <f>-(AF245/AE245-1)</f>
        <v>-6.4075812902103957E-2</v>
      </c>
      <c r="AH246" s="16">
        <f>-(AH245/AF245-1)</f>
        <v>-0.11675790505760286</v>
      </c>
      <c r="AI246" s="16">
        <f>-(AI245/AH245-1)</f>
        <v>-5.9482001755926106E-2</v>
      </c>
      <c r="AJ246" s="16">
        <f>-(AJ245/AI245-1)</f>
        <v>8.3626821352116631E-2</v>
      </c>
      <c r="AK246" s="16">
        <f>-(AK245/AJ245-1)</f>
        <v>-6.2547098718914729E-3</v>
      </c>
      <c r="AM246" s="16">
        <f>-(AM245/AK245-1)</f>
        <v>-8.5823410469557437E-2</v>
      </c>
      <c r="AN246" s="16">
        <f>-(AN245/AM245-1)</f>
        <v>-3.165735567970196E-2</v>
      </c>
      <c r="AO246" s="16">
        <f>-(AO245/AN245-1)</f>
        <v>5.1811739537371282E-2</v>
      </c>
      <c r="AP246" s="16">
        <f>-(AP245/AO245-1)</f>
        <v>-6.7545653246844806E-2</v>
      </c>
      <c r="AR246" s="16">
        <f>-(AR245/AP245-1)</f>
        <v>-6.3800277392510374E-2</v>
      </c>
      <c r="AS246" s="16">
        <f>-(AS245/AR245-1)</f>
        <v>0.11386353759235113</v>
      </c>
      <c r="AT246" s="16">
        <f>-(AT245/AS245-1)</f>
        <v>-0.1082463392419255</v>
      </c>
      <c r="AU246" s="16">
        <f>-(AU245/AT245-1)</f>
        <v>5.474775572133006E-2</v>
      </c>
      <c r="AW246" s="16">
        <f>-(AW245/AU245-1)</f>
        <v>3.15008025682183E-2</v>
      </c>
      <c r="AX246" s="16">
        <f>-(AX245/AW245-1)</f>
        <v>-2.8105793798770762E-2</v>
      </c>
      <c r="AY246" s="16">
        <f>-(AY245/AX245-1)</f>
        <v>-5.1585169263836717E-2</v>
      </c>
      <c r="AZ246" s="16">
        <f>-(AZ245/AY245-1)</f>
        <v>9.3254982115483775E-3</v>
      </c>
      <c r="BB246" s="16">
        <f>-(BB245/AZ245-1)</f>
        <v>2.5789813023854302E-3</v>
      </c>
      <c r="BC246" s="16">
        <f>-(BC245/BB245-1)</f>
        <v>2.5856496444731647E-3</v>
      </c>
      <c r="BD246" s="16">
        <f>-(BD245/BC245-1)</f>
        <v>2.5923525599481634E-3</v>
      </c>
      <c r="BE246" s="16">
        <f>-(BE245/BD245-1)</f>
        <v>2.5990903183885639E-3</v>
      </c>
      <c r="BG246" s="16">
        <f>-(BG245/BE245-1)</f>
        <v>2.6058631921824782E-3</v>
      </c>
      <c r="BH246" s="16">
        <f>-(BH245/BG245-1)</f>
        <v>2.6126714565641862E-3</v>
      </c>
      <c r="BI246" s="16">
        <f>-(BI245/BH245-1)</f>
        <v>2.6195153896529932E-3</v>
      </c>
      <c r="BJ246" s="16">
        <f>-(BJ245/BI245-1)</f>
        <v>2.6263952724885353E-3</v>
      </c>
      <c r="BL246" s="16">
        <f>-(BL245/BJ245-1)</f>
        <v>2.6333113890717463E-3</v>
      </c>
      <c r="BM246" s="16">
        <f>-(BM245/BL245-1)</f>
        <v>2.6402640264027166E-3</v>
      </c>
      <c r="BN246" s="16">
        <f>-(BN245/BM245-1)</f>
        <v>2.6472534745199949E-3</v>
      </c>
      <c r="BO246" s="16">
        <f>-(BO245/BN245-1)</f>
        <v>2.6542800265428879E-3</v>
      </c>
      <c r="BQ246" s="16">
        <f>-(BQ245/BO245-1)</f>
        <v>2.6613439787093185E-3</v>
      </c>
      <c r="BR246" s="16">
        <f>-(BR245/BQ245-1)</f>
        <v>2.6684456304203463E-3</v>
      </c>
      <c r="BS246" s="16">
        <f>-(BS245/BR245-1)</f>
        <v>2.6755852842810235E-3</v>
      </c>
      <c r="BT246" s="16">
        <f>-(BT245/BS245-1)</f>
        <v>2.6827632461433604E-3</v>
      </c>
      <c r="BV246" s="16">
        <f>-(BV245/BT245-1)</f>
        <v>2.6899798251514007E-3</v>
      </c>
      <c r="BW246" s="16">
        <f>-(BW245/BV245-1)</f>
        <v>2.6972353337829658E-3</v>
      </c>
      <c r="BX246" s="16">
        <f>-(BX245/BW245-1)</f>
        <v>2.7045300878972833E-3</v>
      </c>
      <c r="BY246" s="16">
        <f>-(BY245/BX245-1)</f>
        <v>2.7118644067797293E-3</v>
      </c>
    </row>
    <row r="248" spans="1:78" s="46" customFormat="1">
      <c r="A248" s="47" t="s">
        <v>2140</v>
      </c>
    </row>
    <row r="250" spans="1:78">
      <c r="A250" s="1" t="s">
        <v>2033</v>
      </c>
    </row>
    <row r="251" spans="1:78">
      <c r="A251" s="5" t="s">
        <v>2045</v>
      </c>
      <c r="AF251" s="38">
        <f>'Net debt &amp; LTV'!AF17</f>
        <v>1255116</v>
      </c>
      <c r="AG251" s="38">
        <f>'Net debt &amp; LTV'!AG17</f>
        <v>1255116</v>
      </c>
      <c r="AK251" s="38">
        <f>'Net debt &amp; LTV'!AK17</f>
        <v>381851</v>
      </c>
      <c r="AL251" s="38">
        <f>'Net debt &amp; LTV'!AL17</f>
        <v>381851</v>
      </c>
      <c r="AM251" s="38">
        <f>'Net debt &amp; LTV'!AM17</f>
        <v>429046</v>
      </c>
      <c r="AN251" s="38">
        <f>'Net debt &amp; LTV'!AN17</f>
        <v>459947</v>
      </c>
      <c r="AO251" s="38">
        <f>'Net debt &amp; LTV'!AO17</f>
        <v>446377</v>
      </c>
      <c r="AP251" s="38">
        <f>'Net debt &amp; LTV'!AP17</f>
        <v>462977</v>
      </c>
      <c r="AQ251" s="38">
        <f>'Net debt &amp; LTV'!AQ17</f>
        <v>462977</v>
      </c>
      <c r="AR251" s="38">
        <f>'Net debt &amp; LTV'!AR17</f>
        <v>465640</v>
      </c>
      <c r="AS251" s="38">
        <f>'Net debt &amp; LTV'!AS17</f>
        <v>891376</v>
      </c>
      <c r="AT251" s="38">
        <f>'Net debt &amp; LTV'!AT17</f>
        <v>1001304</v>
      </c>
      <c r="AU251" s="38">
        <f>'Net debt &amp; LTV'!AU17</f>
        <v>1775411</v>
      </c>
      <c r="AV251" s="38">
        <f>'Net debt &amp; LTV'!AV17</f>
        <v>1775411</v>
      </c>
      <c r="AW251" s="38">
        <f>'Net debt &amp; LTV'!AW17</f>
        <v>3040938</v>
      </c>
      <c r="AX251" s="38">
        <f>'Net debt &amp; LTV'!AX17</f>
        <v>3076150</v>
      </c>
    </row>
    <row r="252" spans="1:78">
      <c r="A252" s="5" t="s">
        <v>2046</v>
      </c>
      <c r="AF252" s="38">
        <f>'Net debt &amp; LTV'!AF18</f>
        <v>5918265</v>
      </c>
      <c r="AG252" s="38">
        <f>'Net debt &amp; LTV'!AG18</f>
        <v>5918265</v>
      </c>
      <c r="AK252" s="38">
        <f>'Net debt &amp; LTV'!AK18</f>
        <v>5753022</v>
      </c>
      <c r="AL252" s="38">
        <f>'Net debt &amp; LTV'!AL18</f>
        <v>5753022</v>
      </c>
      <c r="AM252" s="38">
        <f>'Net debt &amp; LTV'!AM18</f>
        <v>5950350</v>
      </c>
      <c r="AN252" s="38">
        <f>'Net debt &amp; LTV'!AN18</f>
        <v>5958396</v>
      </c>
      <c r="AO252" s="38">
        <f>'Net debt &amp; LTV'!AO18</f>
        <v>5902048</v>
      </c>
      <c r="AP252" s="38">
        <f>'Net debt &amp; LTV'!AP18</f>
        <v>6147578</v>
      </c>
      <c r="AQ252" s="38">
        <f>'Net debt &amp; LTV'!AQ18</f>
        <v>6147578</v>
      </c>
      <c r="AR252" s="38">
        <f>'Net debt &amp; LTV'!AR18</f>
        <v>6457911</v>
      </c>
      <c r="AS252" s="38">
        <f>'Net debt &amp; LTV'!AS18</f>
        <v>6321123</v>
      </c>
      <c r="AT252" s="38">
        <f>'Net debt &amp; LTV'!AT18</f>
        <v>6810533</v>
      </c>
      <c r="AU252" s="38">
        <f>'Net debt &amp; LTV'!AU18</f>
        <v>6668470</v>
      </c>
      <c r="AV252" s="38">
        <f>'Net debt &amp; LTV'!AV18</f>
        <v>6668470</v>
      </c>
      <c r="AW252" s="38">
        <f>'Net debt &amp; LTV'!AW18</f>
        <v>6700937</v>
      </c>
      <c r="AX252" s="38">
        <f>'Net debt &amp; LTV'!AX18</f>
        <v>7253007</v>
      </c>
    </row>
    <row r="253" spans="1:78">
      <c r="A253" s="5" t="s">
        <v>30</v>
      </c>
      <c r="AF253" s="38">
        <f>'Net debt &amp; LTV'!AF19</f>
        <v>12056</v>
      </c>
      <c r="AG253" s="38">
        <f>'Net debt &amp; LTV'!AG19</f>
        <v>12056</v>
      </c>
      <c r="AK253" s="38">
        <f>'Net debt &amp; LTV'!AK19</f>
        <v>10717</v>
      </c>
      <c r="AL253" s="38">
        <f>'Net debt &amp; LTV'!AL19</f>
        <v>10717</v>
      </c>
      <c r="AM253" s="38">
        <f>'Net debt &amp; LTV'!AM19</f>
        <v>10379</v>
      </c>
      <c r="AN253" s="38">
        <f>'Net debt &amp; LTV'!AN19</f>
        <v>10038</v>
      </c>
      <c r="AO253" s="38">
        <f>'Net debt &amp; LTV'!AO19</f>
        <v>9696</v>
      </c>
      <c r="AP253" s="38">
        <f>'Net debt &amp; LTV'!AP19</f>
        <v>9351</v>
      </c>
      <c r="AQ253" s="38">
        <f>'Net debt &amp; LTV'!AQ19</f>
        <v>9351</v>
      </c>
      <c r="AR253" s="38">
        <f>'Net debt &amp; LTV'!AR19</f>
        <v>9005</v>
      </c>
      <c r="AS253" s="38">
        <f>'Net debt &amp; LTV'!AS19</f>
        <v>8657</v>
      </c>
      <c r="AT253" s="38">
        <f>'Net debt &amp; LTV'!AT19</f>
        <v>8308</v>
      </c>
      <c r="AU253" s="38">
        <f>'Net debt &amp; LTV'!AU19</f>
        <v>7956</v>
      </c>
      <c r="AV253" s="38">
        <f>'Net debt &amp; LTV'!AV19</f>
        <v>7956</v>
      </c>
      <c r="AW253" s="38">
        <f>'Net debt &amp; LTV'!AW19</f>
        <v>7603</v>
      </c>
      <c r="AX253" s="38">
        <f>'Net debt &amp; LTV'!AX19</f>
        <v>7247</v>
      </c>
    </row>
    <row r="254" spans="1:78">
      <c r="A254" s="5" t="s">
        <v>238</v>
      </c>
      <c r="AF254" s="38">
        <f>'Net debt &amp; LTV'!AF20</f>
        <v>256800</v>
      </c>
      <c r="AG254" s="38">
        <f>'Net debt &amp; LTV'!AG20</f>
        <v>256800</v>
      </c>
      <c r="AK254" s="38">
        <f>'Net debt &amp; LTV'!AK20</f>
        <v>161000</v>
      </c>
      <c r="AL254" s="38">
        <f>'Net debt &amp; LTV'!AL20</f>
        <v>161000</v>
      </c>
      <c r="AM254" s="38">
        <f>'Net debt &amp; LTV'!AM20</f>
        <v>189000</v>
      </c>
      <c r="AN254" s="38">
        <f>'Net debt &amp; LTV'!AN20</f>
        <v>183500</v>
      </c>
      <c r="AO254" s="38">
        <f>'Net debt &amp; LTV'!AO20</f>
        <v>183000</v>
      </c>
      <c r="AP254" s="38">
        <f>'Net debt &amp; LTV'!AP20</f>
        <v>176500</v>
      </c>
      <c r="AQ254" s="38">
        <f>'Net debt &amp; LTV'!AQ20</f>
        <v>176500</v>
      </c>
      <c r="AR254" s="38">
        <f>'Net debt &amp; LTV'!AR20</f>
        <v>168000</v>
      </c>
      <c r="AS254" s="38">
        <f>'Net debt &amp; LTV'!AS20</f>
        <v>198000</v>
      </c>
      <c r="AT254" s="38">
        <f>'Net debt &amp; LTV'!AT20</f>
        <v>134000</v>
      </c>
      <c r="AU254" s="38">
        <f>'Net debt &amp; LTV'!AU20</f>
        <v>141500</v>
      </c>
      <c r="AV254" s="38">
        <f>'Net debt &amp; LTV'!AV20</f>
        <v>141500</v>
      </c>
      <c r="AW254" s="38">
        <f>'Net debt &amp; LTV'!AW20</f>
        <v>167500</v>
      </c>
      <c r="AX254" s="38">
        <f>'Net debt &amp; LTV'!AX20</f>
        <v>190500</v>
      </c>
    </row>
    <row r="255" spans="1:78">
      <c r="A255" s="9" t="s">
        <v>2033</v>
      </c>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48">
        <f>'Net debt &amp; LTV'!AF21</f>
        <v>7442237</v>
      </c>
      <c r="AG255" s="48">
        <f>'Net debt &amp; LTV'!AG21</f>
        <v>7442237</v>
      </c>
      <c r="AH255" s="9"/>
      <c r="AI255" s="9"/>
      <c r="AJ255" s="9"/>
      <c r="AK255" s="48">
        <f>'Net debt &amp; LTV'!AK21</f>
        <v>6306590</v>
      </c>
      <c r="AL255" s="48">
        <f>'Net debt &amp; LTV'!AL21</f>
        <v>6306590</v>
      </c>
      <c r="AM255" s="48">
        <f>'Net debt &amp; LTV'!AM21</f>
        <v>6578775</v>
      </c>
      <c r="AN255" s="48">
        <f>'Net debt &amp; LTV'!AN21</f>
        <v>6611881</v>
      </c>
      <c r="AO255" s="48">
        <f>'Net debt &amp; LTV'!AO21</f>
        <v>6541121</v>
      </c>
      <c r="AP255" s="48">
        <f>'Net debt &amp; LTV'!AP21</f>
        <v>6796406</v>
      </c>
      <c r="AQ255" s="48">
        <f>'Net debt &amp; LTV'!AQ21</f>
        <v>6796406</v>
      </c>
      <c r="AR255" s="48">
        <f>'Net debt &amp; LTV'!AR21</f>
        <v>7100556</v>
      </c>
      <c r="AS255" s="48">
        <f>'Net debt &amp; LTV'!AS21</f>
        <v>7419156</v>
      </c>
      <c r="AT255" s="48">
        <f>'Net debt &amp; LTV'!AT21</f>
        <v>7954145</v>
      </c>
      <c r="AU255" s="48">
        <f>'Net debt &amp; LTV'!AU21</f>
        <v>8593337</v>
      </c>
      <c r="AV255" s="48">
        <f>'Net debt &amp; LTV'!AV21</f>
        <v>8593337</v>
      </c>
      <c r="AW255" s="48">
        <f>'Net debt &amp; LTV'!AW21</f>
        <v>9916978</v>
      </c>
      <c r="AX255" s="48">
        <f>'Net debt &amp; LTV'!AX21</f>
        <v>10526904</v>
      </c>
      <c r="AY255" s="48">
        <f>AX255*(1+SUM(AY259:AY260)*(AY245/AX245-1))</f>
        <v>10689813.637399249</v>
      </c>
      <c r="AZ255" s="48">
        <f>AY255*(1+SUM(AZ259:AZ260)*(AZ245/AY245-1))</f>
        <v>10659907.286012044</v>
      </c>
      <c r="BA255" s="39">
        <f>AZ255</f>
        <v>10659907.286012044</v>
      </c>
      <c r="BB255" s="48">
        <f>BA255*(1+SUM(BB259:BB260)*(BB245/BA245-1))</f>
        <v>10651659.775539309</v>
      </c>
      <c r="BC255" s="48">
        <f>BB255*(1+SUM(BC259:BC260)*(BC245/BB245-1))</f>
        <v>10643397.337445807</v>
      </c>
      <c r="BD255" s="48">
        <f>BC255*(1+SUM(BD259:BD260)*(BD245/BC245-1))</f>
        <v>10635119.905945525</v>
      </c>
      <c r="BE255" s="48">
        <f>BD255*(1+SUM(BE259:BE260)*(BE245/BD245-1))</f>
        <v>10626827.414790791</v>
      </c>
      <c r="BF255" s="39">
        <f>BE255</f>
        <v>10626827.414790791</v>
      </c>
      <c r="BG255" s="48">
        <f>BF255*(1+SUM(BG259:BG260)*(BG245/BF245-1))</f>
        <v>10618519.797267826</v>
      </c>
      <c r="BH255" s="48">
        <f>BG255*(1+SUM(BH259:BH260)*(BH245/BG245-1))</f>
        <v>10610196.986192241</v>
      </c>
      <c r="BI255" s="48">
        <f>BH255*(1+SUM(BI259:BI260)*(BI245/BH245-1))</f>
        <v>10601858.913904466</v>
      </c>
      <c r="BJ255" s="48">
        <f>BI255*(1+SUM(BJ259:BJ260)*(BJ245/BI245-1))</f>
        <v>10593505.512265146</v>
      </c>
      <c r="BK255" s="39">
        <f>BJ255</f>
        <v>10593505.512265146</v>
      </c>
      <c r="BL255" s="48">
        <f>BK255*(1+SUM(BL259:BL260)*(BL245/BK245-1))</f>
        <v>10585136.712650454</v>
      </c>
      <c r="BM255" s="48">
        <f>BL255*(1+SUM(BM259:BM260)*(BM245/BL245-1))</f>
        <v>10576752.445947364</v>
      </c>
      <c r="BN255" s="48">
        <f>BM255*(1+SUM(BN259:BN260)*(BN245/BM245-1))</f>
        <v>10568352.642548863</v>
      </c>
      <c r="BO255" s="48">
        <f>BN255*(1+SUM(BO259:BO260)*(BO245/BN245-1))</f>
        <v>10559937.23234909</v>
      </c>
      <c r="BP255" s="39">
        <f>BO255</f>
        <v>10559937.23234909</v>
      </c>
      <c r="BQ255" s="48">
        <f>BP255*(1+SUM(BQ259:BQ260)*(BQ245/BP245-1))</f>
        <v>10551506.144738432</v>
      </c>
      <c r="BR255" s="48">
        <f>BQ255*(1+SUM(BR259:BR260)*(BR245/BQ245-1))</f>
        <v>10543059.308598548</v>
      </c>
      <c r="BS255" s="48">
        <f>BR255*(1+SUM(BS259:BS260)*(BS245/BR245-1))</f>
        <v>10534596.652297331</v>
      </c>
      <c r="BT255" s="48">
        <f>BS255*(1+SUM(BT259:BT260)*(BT245/BS245-1))</f>
        <v>10526118.103683813</v>
      </c>
      <c r="BU255" s="39">
        <f>BT255</f>
        <v>10526118.103683813</v>
      </c>
      <c r="BV255" s="48">
        <f>BU255*(1+SUM(BV259:BV260)*(BV245/BU245-1))</f>
        <v>10517623.590082992</v>
      </c>
      <c r="BW255" s="48">
        <f>BV255*(1+SUM(BW259:BW260)*(BW245/BV245-1))</f>
        <v>10509113.038290612</v>
      </c>
      <c r="BX255" s="48">
        <f>BW255*(1+SUM(BX259:BX260)*(BX245/BW245-1))</f>
        <v>10500586.374567861</v>
      </c>
      <c r="BY255" s="48">
        <f>BX255*(1+SUM(BY259:BY260)*(BY245/BX245-1))</f>
        <v>10492043.524636008</v>
      </c>
      <c r="BZ255" s="39">
        <f>BY255</f>
        <v>10492043.524636008</v>
      </c>
    </row>
    <row r="256" spans="1:78">
      <c r="AP256" s="349" t="s">
        <v>2147</v>
      </c>
      <c r="AQ256" s="71"/>
    </row>
    <row r="257" spans="1:78">
      <c r="A257" s="1" t="s">
        <v>2141</v>
      </c>
    </row>
    <row r="258" spans="1:78">
      <c r="A258" s="5" t="s">
        <v>2142</v>
      </c>
      <c r="AO258" s="725">
        <v>0.7</v>
      </c>
      <c r="AP258" s="725">
        <v>0.7</v>
      </c>
      <c r="AQ258" s="725">
        <v>0.7</v>
      </c>
      <c r="AR258" s="725">
        <v>0.7</v>
      </c>
      <c r="AS258" s="725">
        <v>0.7</v>
      </c>
      <c r="AT258" s="725">
        <v>0.7</v>
      </c>
      <c r="AU258" s="725">
        <v>0.7</v>
      </c>
      <c r="AV258" s="725">
        <v>0.7</v>
      </c>
      <c r="AW258" s="725">
        <v>0.7</v>
      </c>
      <c r="AX258" s="805">
        <f t="shared" ref="AX258:AZ258" si="527">AW258</f>
        <v>0.7</v>
      </c>
      <c r="AY258" s="805">
        <f t="shared" si="527"/>
        <v>0.7</v>
      </c>
      <c r="AZ258" s="805">
        <f t="shared" si="527"/>
        <v>0.7</v>
      </c>
      <c r="BA258" s="104">
        <f t="shared" ref="BA258:BB260" si="528">AZ258</f>
        <v>0.7</v>
      </c>
      <c r="BB258" s="805">
        <f t="shared" si="528"/>
        <v>0.7</v>
      </c>
      <c r="BC258" s="805">
        <f t="shared" ref="BC258:BE258" si="529">BB258</f>
        <v>0.7</v>
      </c>
      <c r="BD258" s="805">
        <f t="shared" si="529"/>
        <v>0.7</v>
      </c>
      <c r="BE258" s="805">
        <f t="shared" si="529"/>
        <v>0.7</v>
      </c>
      <c r="BF258" s="104">
        <f t="shared" ref="BF258:BG260" si="530">BE258</f>
        <v>0.7</v>
      </c>
      <c r="BG258" s="805">
        <f t="shared" si="530"/>
        <v>0.7</v>
      </c>
      <c r="BH258" s="805">
        <f t="shared" ref="BH258:BJ258" si="531">BG258</f>
        <v>0.7</v>
      </c>
      <c r="BI258" s="805">
        <f t="shared" si="531"/>
        <v>0.7</v>
      </c>
      <c r="BJ258" s="805">
        <f t="shared" si="531"/>
        <v>0.7</v>
      </c>
      <c r="BK258" s="104">
        <f t="shared" ref="BK258:BL260" si="532">BJ258</f>
        <v>0.7</v>
      </c>
      <c r="BL258" s="805">
        <f t="shared" si="532"/>
        <v>0.7</v>
      </c>
      <c r="BM258" s="805">
        <f t="shared" ref="BM258:BO258" si="533">BL258</f>
        <v>0.7</v>
      </c>
      <c r="BN258" s="805">
        <f t="shared" si="533"/>
        <v>0.7</v>
      </c>
      <c r="BO258" s="805">
        <f t="shared" si="533"/>
        <v>0.7</v>
      </c>
      <c r="BP258" s="104">
        <f t="shared" ref="BP258:BQ260" si="534">BO258</f>
        <v>0.7</v>
      </c>
      <c r="BQ258" s="805">
        <f t="shared" si="534"/>
        <v>0.7</v>
      </c>
      <c r="BR258" s="805">
        <f t="shared" ref="BR258:BT258" si="535">BQ258</f>
        <v>0.7</v>
      </c>
      <c r="BS258" s="805">
        <f t="shared" si="535"/>
        <v>0.7</v>
      </c>
      <c r="BT258" s="805">
        <f t="shared" si="535"/>
        <v>0.7</v>
      </c>
      <c r="BU258" s="104">
        <f t="shared" ref="BU258:BV260" si="536">BT258</f>
        <v>0.7</v>
      </c>
      <c r="BV258" s="805">
        <f t="shared" si="536"/>
        <v>0.7</v>
      </c>
      <c r="BW258" s="805">
        <f t="shared" ref="BW258:BY258" si="537">BV258</f>
        <v>0.7</v>
      </c>
      <c r="BX258" s="805">
        <f t="shared" si="537"/>
        <v>0.7</v>
      </c>
      <c r="BY258" s="805">
        <f t="shared" si="537"/>
        <v>0.7</v>
      </c>
      <c r="BZ258" s="104">
        <f>BY258</f>
        <v>0.7</v>
      </c>
    </row>
    <row r="259" spans="1:78">
      <c r="A259" s="5" t="s">
        <v>2143</v>
      </c>
      <c r="AO259" s="725">
        <v>0.15</v>
      </c>
      <c r="AP259" s="725">
        <v>0.15</v>
      </c>
      <c r="AQ259" s="725">
        <v>0.15</v>
      </c>
      <c r="AR259" s="725">
        <v>0.15</v>
      </c>
      <c r="AS259" s="725">
        <v>0.15</v>
      </c>
      <c r="AT259" s="725">
        <v>0.15</v>
      </c>
      <c r="AU259" s="725">
        <v>0.15</v>
      </c>
      <c r="AV259" s="725">
        <v>0.15</v>
      </c>
      <c r="AW259" s="725">
        <v>0.15</v>
      </c>
      <c r="AX259" s="805">
        <f t="shared" ref="AX259:AZ259" si="538">AW259</f>
        <v>0.15</v>
      </c>
      <c r="AY259" s="805">
        <f t="shared" si="538"/>
        <v>0.15</v>
      </c>
      <c r="AZ259" s="805">
        <f t="shared" si="538"/>
        <v>0.15</v>
      </c>
      <c r="BA259" s="104">
        <f t="shared" si="528"/>
        <v>0.15</v>
      </c>
      <c r="BB259" s="805">
        <f t="shared" si="528"/>
        <v>0.15</v>
      </c>
      <c r="BC259" s="805">
        <f t="shared" ref="BC259:BE259" si="539">BB259</f>
        <v>0.15</v>
      </c>
      <c r="BD259" s="805">
        <f t="shared" si="539"/>
        <v>0.15</v>
      </c>
      <c r="BE259" s="805">
        <f t="shared" si="539"/>
        <v>0.15</v>
      </c>
      <c r="BF259" s="104">
        <f t="shared" si="530"/>
        <v>0.15</v>
      </c>
      <c r="BG259" s="805">
        <f t="shared" si="530"/>
        <v>0.15</v>
      </c>
      <c r="BH259" s="805">
        <f t="shared" ref="BH259:BJ259" si="540">BG259</f>
        <v>0.15</v>
      </c>
      <c r="BI259" s="805">
        <f t="shared" si="540"/>
        <v>0.15</v>
      </c>
      <c r="BJ259" s="805">
        <f t="shared" si="540"/>
        <v>0.15</v>
      </c>
      <c r="BK259" s="104">
        <f t="shared" si="532"/>
        <v>0.15</v>
      </c>
      <c r="BL259" s="805">
        <f t="shared" si="532"/>
        <v>0.15</v>
      </c>
      <c r="BM259" s="805">
        <f t="shared" ref="BM259:BO259" si="541">BL259</f>
        <v>0.15</v>
      </c>
      <c r="BN259" s="805">
        <f t="shared" si="541"/>
        <v>0.15</v>
      </c>
      <c r="BO259" s="805">
        <f t="shared" si="541"/>
        <v>0.15</v>
      </c>
      <c r="BP259" s="104">
        <f t="shared" si="534"/>
        <v>0.15</v>
      </c>
      <c r="BQ259" s="805">
        <f t="shared" si="534"/>
        <v>0.15</v>
      </c>
      <c r="BR259" s="805">
        <f t="shared" ref="BR259:BT259" si="542">BQ259</f>
        <v>0.15</v>
      </c>
      <c r="BS259" s="805">
        <f t="shared" si="542"/>
        <v>0.15</v>
      </c>
      <c r="BT259" s="805">
        <f t="shared" si="542"/>
        <v>0.15</v>
      </c>
      <c r="BU259" s="104">
        <f t="shared" si="536"/>
        <v>0.15</v>
      </c>
      <c r="BV259" s="805">
        <f t="shared" si="536"/>
        <v>0.15</v>
      </c>
      <c r="BW259" s="805">
        <f t="shared" ref="BW259:BY259" si="543">BV259</f>
        <v>0.15</v>
      </c>
      <c r="BX259" s="805">
        <f t="shared" si="543"/>
        <v>0.15</v>
      </c>
      <c r="BY259" s="805">
        <f t="shared" si="543"/>
        <v>0.15</v>
      </c>
      <c r="BZ259" s="104">
        <f>BY259</f>
        <v>0.15</v>
      </c>
    </row>
    <row r="260" spans="1:78">
      <c r="A260" s="5" t="s">
        <v>2144</v>
      </c>
      <c r="AO260" s="725">
        <v>0.15</v>
      </c>
      <c r="AP260" s="725">
        <v>0.15</v>
      </c>
      <c r="AQ260" s="725">
        <v>0.15</v>
      </c>
      <c r="AR260" s="725">
        <v>0.15</v>
      </c>
      <c r="AS260" s="725">
        <v>0.15</v>
      </c>
      <c r="AT260" s="725">
        <v>0.15</v>
      </c>
      <c r="AU260" s="725">
        <v>0.15</v>
      </c>
      <c r="AV260" s="725">
        <v>0.15</v>
      </c>
      <c r="AW260" s="725">
        <v>0.15</v>
      </c>
      <c r="AX260" s="805">
        <f t="shared" ref="AX260:AZ260" si="544">AW260</f>
        <v>0.15</v>
      </c>
      <c r="AY260" s="805">
        <f t="shared" si="544"/>
        <v>0.15</v>
      </c>
      <c r="AZ260" s="805">
        <f t="shared" si="544"/>
        <v>0.15</v>
      </c>
      <c r="BA260" s="104">
        <f t="shared" si="528"/>
        <v>0.15</v>
      </c>
      <c r="BB260" s="805">
        <f t="shared" si="528"/>
        <v>0.15</v>
      </c>
      <c r="BC260" s="805">
        <f t="shared" ref="BC260:BE260" si="545">BB260</f>
        <v>0.15</v>
      </c>
      <c r="BD260" s="805">
        <f t="shared" si="545"/>
        <v>0.15</v>
      </c>
      <c r="BE260" s="805">
        <f t="shared" si="545"/>
        <v>0.15</v>
      </c>
      <c r="BF260" s="104">
        <f t="shared" si="530"/>
        <v>0.15</v>
      </c>
      <c r="BG260" s="805">
        <f t="shared" si="530"/>
        <v>0.15</v>
      </c>
      <c r="BH260" s="805">
        <f t="shared" ref="BH260:BJ260" si="546">BG260</f>
        <v>0.15</v>
      </c>
      <c r="BI260" s="805">
        <f t="shared" si="546"/>
        <v>0.15</v>
      </c>
      <c r="BJ260" s="805">
        <f t="shared" si="546"/>
        <v>0.15</v>
      </c>
      <c r="BK260" s="104">
        <f t="shared" si="532"/>
        <v>0.15</v>
      </c>
      <c r="BL260" s="805">
        <f t="shared" si="532"/>
        <v>0.15</v>
      </c>
      <c r="BM260" s="805">
        <f t="shared" ref="BM260:BO260" si="547">BL260</f>
        <v>0.15</v>
      </c>
      <c r="BN260" s="805">
        <f t="shared" si="547"/>
        <v>0.15</v>
      </c>
      <c r="BO260" s="805">
        <f t="shared" si="547"/>
        <v>0.15</v>
      </c>
      <c r="BP260" s="104">
        <f t="shared" si="534"/>
        <v>0.15</v>
      </c>
      <c r="BQ260" s="805">
        <f t="shared" si="534"/>
        <v>0.15</v>
      </c>
      <c r="BR260" s="805">
        <f t="shared" ref="BR260:BT260" si="548">BQ260</f>
        <v>0.15</v>
      </c>
      <c r="BS260" s="805">
        <f t="shared" si="548"/>
        <v>0.15</v>
      </c>
      <c r="BT260" s="805">
        <f t="shared" si="548"/>
        <v>0.15</v>
      </c>
      <c r="BU260" s="104">
        <f t="shared" si="536"/>
        <v>0.15</v>
      </c>
      <c r="BV260" s="805">
        <f t="shared" si="536"/>
        <v>0.15</v>
      </c>
      <c r="BW260" s="805">
        <f t="shared" ref="BW260:BY260" si="549">BV260</f>
        <v>0.15</v>
      </c>
      <c r="BX260" s="805">
        <f t="shared" si="549"/>
        <v>0.15</v>
      </c>
      <c r="BY260" s="805">
        <f t="shared" si="549"/>
        <v>0.15</v>
      </c>
      <c r="BZ260" s="104">
        <f>BY260</f>
        <v>0.15</v>
      </c>
    </row>
    <row r="262" spans="1:78">
      <c r="A262" s="1" t="s">
        <v>2047</v>
      </c>
    </row>
    <row r="263" spans="1:78">
      <c r="A263" s="5" t="s">
        <v>2045</v>
      </c>
      <c r="AF263" s="38">
        <f>'Net debt &amp; LTV'!AF24</f>
        <v>2857000</v>
      </c>
      <c r="AG263" s="38">
        <f>'Net debt &amp; LTV'!AG24</f>
        <v>2857000</v>
      </c>
      <c r="AK263" s="38">
        <f>'Net debt &amp; LTV'!AK24</f>
        <v>2065361</v>
      </c>
      <c r="AL263" s="38">
        <f>'Net debt &amp; LTV'!AL24</f>
        <v>2065361</v>
      </c>
      <c r="AM263" s="38">
        <f>'Net debt &amp; LTV'!AM24</f>
        <v>2204581</v>
      </c>
      <c r="AN263" s="38">
        <f>'Net debt &amp; LTV'!AN24</f>
        <v>2239479</v>
      </c>
      <c r="AO263" s="38">
        <f>'Net debt &amp; LTV'!AO24</f>
        <v>2169431</v>
      </c>
      <c r="AP263" s="38">
        <f>'Net debt &amp; LTV'!AP24</f>
        <v>2270601</v>
      </c>
      <c r="AQ263" s="38">
        <f>'Net debt &amp; LTV'!AQ24</f>
        <v>2270601</v>
      </c>
      <c r="AR263" s="38">
        <f>'Net debt &amp; LTV'!AR24</f>
        <v>2381090</v>
      </c>
      <c r="AS263" s="38">
        <f>'Net debt &amp; LTV'!AS24</f>
        <v>2187359</v>
      </c>
      <c r="AT263" s="38">
        <f>'Net debt &amp; LTV'!AT24</f>
        <v>2328547</v>
      </c>
      <c r="AU263" s="38">
        <f>'Net debt &amp; LTV'!AU24</f>
        <v>2463823</v>
      </c>
      <c r="AV263" s="38">
        <f>'Net debt &amp; LTV'!AV24</f>
        <v>2463823</v>
      </c>
      <c r="AW263" s="38">
        <f>'Net debt &amp; LTV'!AW24</f>
        <v>2358159</v>
      </c>
      <c r="AX263" s="38">
        <f>'Net debt &amp; LTV'!AX24</f>
        <v>2053274</v>
      </c>
      <c r="AY263" s="38">
        <f>'Net debt &amp; LTV'!AY24</f>
        <v>4296973</v>
      </c>
    </row>
    <row r="264" spans="1:78">
      <c r="A264" s="5" t="s">
        <v>2048</v>
      </c>
      <c r="AF264" s="38">
        <f>'Net debt &amp; LTV'!AF25</f>
        <v>4536573</v>
      </c>
      <c r="AG264" s="38">
        <f>'Net debt &amp; LTV'!AG25</f>
        <v>4536573</v>
      </c>
      <c r="AK264" s="38">
        <f>'Net debt &amp; LTV'!AK25</f>
        <v>4263603</v>
      </c>
      <c r="AL264" s="38">
        <f>'Net debt &amp; LTV'!AL25</f>
        <v>4263603</v>
      </c>
      <c r="AM264" s="38">
        <f>'Net debt &amp; LTV'!AM25</f>
        <v>5238201</v>
      </c>
      <c r="AN264" s="38">
        <f>'Net debt &amp; LTV'!AN25</f>
        <v>5428301</v>
      </c>
      <c r="AO264" s="38">
        <f>'Net debt &amp; LTV'!AO25</f>
        <v>5000436</v>
      </c>
      <c r="AP264" s="38">
        <f>'Net debt &amp; LTV'!AP25</f>
        <v>5172511</v>
      </c>
      <c r="AQ264" s="38">
        <f>'Net debt &amp; LTV'!AQ25</f>
        <v>5172511</v>
      </c>
      <c r="AR264" s="38">
        <f>'Net debt &amp; LTV'!AR25</f>
        <v>4785867</v>
      </c>
      <c r="AS264" s="38">
        <f>'Net debt &amp; LTV'!AS25</f>
        <v>3589758</v>
      </c>
      <c r="AT264" s="38">
        <f>'Net debt &amp; LTV'!AT25</f>
        <v>2611963</v>
      </c>
      <c r="AU264" s="38">
        <f>'Net debt &amp; LTV'!AU25</f>
        <v>997843</v>
      </c>
      <c r="AV264" s="38">
        <f>'Net debt &amp; LTV'!AV25</f>
        <v>997843</v>
      </c>
      <c r="AW264" s="38">
        <f>'Net debt &amp; LTV'!AW25</f>
        <v>0</v>
      </c>
      <c r="AX264" s="38">
        <f>'Net debt &amp; LTV'!AX25</f>
        <v>0</v>
      </c>
      <c r="AY264" s="38">
        <f>'Net debt &amp; LTV'!AY25</f>
        <v>0</v>
      </c>
    </row>
    <row r="265" spans="1:78">
      <c r="A265" s="9" t="s">
        <v>2047</v>
      </c>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48">
        <f>'Net debt &amp; LTV'!AF26</f>
        <v>7393573</v>
      </c>
      <c r="AG265" s="48">
        <f>'Net debt &amp; LTV'!AG26</f>
        <v>7393573</v>
      </c>
      <c r="AH265" s="9"/>
      <c r="AI265" s="9"/>
      <c r="AJ265" s="9"/>
      <c r="AK265" s="48">
        <f>'Net debt &amp; LTV'!AK26</f>
        <v>6328964</v>
      </c>
      <c r="AL265" s="48">
        <f>'Net debt &amp; LTV'!AL26</f>
        <v>6328964</v>
      </c>
      <c r="AM265" s="48">
        <f>'Net debt &amp; LTV'!AM26</f>
        <v>7442782</v>
      </c>
      <c r="AN265" s="48">
        <f>'Net debt &amp; LTV'!AN26</f>
        <v>7667780</v>
      </c>
      <c r="AO265" s="48">
        <f>'Net debt &amp; LTV'!AO26</f>
        <v>7169867</v>
      </c>
      <c r="AP265" s="48">
        <f>'Net debt &amp; LTV'!AP26</f>
        <v>7443112</v>
      </c>
      <c r="AQ265" s="48">
        <f>'Net debt &amp; LTV'!AQ26</f>
        <v>7443112</v>
      </c>
      <c r="AR265" s="48">
        <f>'Net debt &amp; LTV'!AR26</f>
        <v>7166957</v>
      </c>
      <c r="AS265" s="48">
        <f>'Net debt &amp; LTV'!AS26</f>
        <v>5777117</v>
      </c>
      <c r="AT265" s="48">
        <f>'Net debt &amp; LTV'!AT26</f>
        <v>4940510</v>
      </c>
      <c r="AU265" s="48">
        <f>'Net debt &amp; LTV'!AU26</f>
        <v>3461666</v>
      </c>
      <c r="AV265" s="48">
        <f>'Net debt &amp; LTV'!AV26</f>
        <v>3461666</v>
      </c>
      <c r="AW265" s="48">
        <f>'Net debt &amp; LTV'!AW26</f>
        <v>2358159</v>
      </c>
      <c r="AX265" s="48">
        <f>'Net debt &amp; LTV'!AX26</f>
        <v>2053274</v>
      </c>
      <c r="AY265" s="48">
        <f>'Net debt &amp; LTV'!AY26</f>
        <v>4296973</v>
      </c>
    </row>
    <row r="267" spans="1:78">
      <c r="A267" s="3" t="s">
        <v>2057</v>
      </c>
    </row>
    <row r="268" spans="1:78">
      <c r="AM268" s="349" t="s">
        <v>2148</v>
      </c>
      <c r="AN268" s="71"/>
      <c r="AO268" s="71"/>
      <c r="AP268" s="71"/>
      <c r="AQ268" s="71"/>
      <c r="AR268" s="71"/>
      <c r="AS268" s="71"/>
      <c r="AT268" s="71"/>
    </row>
    <row r="269" spans="1:78">
      <c r="A269" s="5" t="s">
        <v>2421</v>
      </c>
      <c r="AM269" s="37">
        <v>1225300</v>
      </c>
      <c r="AN269" s="37">
        <v>1259800</v>
      </c>
      <c r="AO269" s="37">
        <v>1194100</v>
      </c>
      <c r="AP269" s="37">
        <v>1274900</v>
      </c>
      <c r="AQ269" s="36">
        <f>AP269</f>
        <v>1274900</v>
      </c>
      <c r="AR269" s="37">
        <v>1357000</v>
      </c>
      <c r="AS269" s="37">
        <v>1203600</v>
      </c>
      <c r="AT269" s="37">
        <v>1330600</v>
      </c>
      <c r="AU269" s="37">
        <v>1258500</v>
      </c>
      <c r="AV269" s="36">
        <f>AU269</f>
        <v>1258500</v>
      </c>
      <c r="AW269" s="37">
        <v>1220200</v>
      </c>
      <c r="AX269" s="37">
        <v>1256200</v>
      </c>
      <c r="AY269" s="37">
        <v>3100900</v>
      </c>
      <c r="AZ269" s="83">
        <f>AZ245*AZ313</f>
        <v>3071982.5625958098</v>
      </c>
      <c r="BA269" s="59">
        <f>AZ269</f>
        <v>3071982.5625958098</v>
      </c>
      <c r="BB269" s="83"/>
      <c r="BC269" s="83"/>
      <c r="BD269" s="83"/>
      <c r="BE269" s="83"/>
      <c r="BF269" s="59"/>
      <c r="BG269" s="83"/>
      <c r="BH269" s="83"/>
      <c r="BI269" s="83"/>
      <c r="BJ269" s="83"/>
      <c r="BK269" s="59"/>
      <c r="BL269" s="83"/>
      <c r="BM269" s="83"/>
      <c r="BN269" s="83"/>
      <c r="BO269" s="83"/>
      <c r="BP269" s="59"/>
      <c r="BQ269" s="83"/>
      <c r="BR269" s="83"/>
      <c r="BS269" s="83"/>
      <c r="BT269" s="83"/>
      <c r="BU269" s="59"/>
      <c r="BV269" s="83"/>
      <c r="BW269" s="83"/>
      <c r="BX269" s="83"/>
      <c r="BY269" s="83"/>
      <c r="BZ269" s="59"/>
    </row>
    <row r="270" spans="1:78">
      <c r="A270" s="5" t="s">
        <v>2058</v>
      </c>
      <c r="AM270" s="37">
        <v>4764700</v>
      </c>
      <c r="AN270" s="37">
        <v>4940400</v>
      </c>
      <c r="AO270" s="37">
        <v>4533200</v>
      </c>
      <c r="AP270" s="37">
        <v>4676600</v>
      </c>
      <c r="AQ270" s="36">
        <f>AP270</f>
        <v>4676600</v>
      </c>
      <c r="AR270" s="37">
        <v>4645500</v>
      </c>
      <c r="AS270" s="37">
        <v>3566200</v>
      </c>
      <c r="AT270" s="37">
        <v>2612000</v>
      </c>
      <c r="AU270" s="37">
        <v>997800</v>
      </c>
      <c r="AV270" s="36">
        <f>AU270</f>
        <v>997800</v>
      </c>
      <c r="AW270" s="37">
        <v>0</v>
      </c>
      <c r="AX270" s="37">
        <v>0</v>
      </c>
      <c r="AY270" s="37">
        <v>0</v>
      </c>
      <c r="AZ270" s="83"/>
      <c r="BA270" s="59"/>
      <c r="BB270" s="83"/>
      <c r="BC270" s="83"/>
      <c r="BD270" s="83"/>
      <c r="BE270" s="83"/>
      <c r="BF270" s="59"/>
      <c r="BG270" s="83"/>
      <c r="BH270" s="83"/>
      <c r="BI270" s="83"/>
      <c r="BJ270" s="83"/>
      <c r="BK270" s="59"/>
      <c r="BL270" s="83"/>
      <c r="BM270" s="83"/>
      <c r="BN270" s="83"/>
      <c r="BO270" s="83"/>
      <c r="BP270" s="59"/>
      <c r="BQ270" s="83"/>
      <c r="BR270" s="83"/>
      <c r="BS270" s="83"/>
      <c r="BT270" s="83"/>
      <c r="BU270" s="59"/>
      <c r="BV270" s="83"/>
      <c r="BW270" s="83"/>
      <c r="BX270" s="83"/>
      <c r="BY270" s="83"/>
      <c r="BZ270" s="59"/>
    </row>
    <row r="271" spans="1:78">
      <c r="A271" s="5" t="s">
        <v>2422</v>
      </c>
      <c r="AM271" s="37">
        <v>497800</v>
      </c>
      <c r="AN271" s="37">
        <v>498100</v>
      </c>
      <c r="AO271" s="37">
        <v>498400</v>
      </c>
      <c r="AP271" s="37">
        <v>498800</v>
      </c>
      <c r="AQ271" s="36">
        <f>AP271</f>
        <v>498800</v>
      </c>
      <c r="AR271" s="37">
        <v>499100</v>
      </c>
      <c r="AS271" s="37">
        <v>499500</v>
      </c>
      <c r="AT271" s="37">
        <v>499800</v>
      </c>
      <c r="AU271" s="37">
        <v>796000</v>
      </c>
      <c r="AV271" s="36">
        <f>AU271</f>
        <v>796000</v>
      </c>
      <c r="AW271" s="37">
        <v>796500</v>
      </c>
      <c r="AX271" s="37">
        <v>797000</v>
      </c>
      <c r="AY271" s="37">
        <v>1196000</v>
      </c>
      <c r="AZ271" s="83">
        <f t="shared" ref="AZ271:BZ271" si="550">AY271</f>
        <v>1196000</v>
      </c>
      <c r="BA271" s="36">
        <f t="shared" si="550"/>
        <v>1196000</v>
      </c>
      <c r="BB271" s="83">
        <f t="shared" si="550"/>
        <v>1196000</v>
      </c>
      <c r="BC271" s="83">
        <f t="shared" si="550"/>
        <v>1196000</v>
      </c>
      <c r="BD271" s="83">
        <f t="shared" si="550"/>
        <v>1196000</v>
      </c>
      <c r="BE271" s="83">
        <f t="shared" si="550"/>
        <v>1196000</v>
      </c>
      <c r="BF271" s="36">
        <f t="shared" si="550"/>
        <v>1196000</v>
      </c>
      <c r="BG271" s="83">
        <f t="shared" si="550"/>
        <v>1196000</v>
      </c>
      <c r="BH271" s="83">
        <f t="shared" si="550"/>
        <v>1196000</v>
      </c>
      <c r="BI271" s="83">
        <f t="shared" si="550"/>
        <v>1196000</v>
      </c>
      <c r="BJ271" s="83">
        <f t="shared" si="550"/>
        <v>1196000</v>
      </c>
      <c r="BK271" s="36">
        <f t="shared" si="550"/>
        <v>1196000</v>
      </c>
      <c r="BL271" s="83">
        <f t="shared" si="550"/>
        <v>1196000</v>
      </c>
      <c r="BM271" s="83">
        <f t="shared" si="550"/>
        <v>1196000</v>
      </c>
      <c r="BN271" s="83">
        <f t="shared" si="550"/>
        <v>1196000</v>
      </c>
      <c r="BO271" s="83">
        <f t="shared" si="550"/>
        <v>1196000</v>
      </c>
      <c r="BP271" s="36">
        <f t="shared" si="550"/>
        <v>1196000</v>
      </c>
      <c r="BQ271" s="83">
        <f t="shared" si="550"/>
        <v>1196000</v>
      </c>
      <c r="BR271" s="83">
        <f t="shared" si="550"/>
        <v>1196000</v>
      </c>
      <c r="BS271" s="83">
        <f t="shared" si="550"/>
        <v>1196000</v>
      </c>
      <c r="BT271" s="83">
        <f t="shared" si="550"/>
        <v>1196000</v>
      </c>
      <c r="BU271" s="36">
        <f t="shared" si="550"/>
        <v>1196000</v>
      </c>
      <c r="BV271" s="83">
        <f t="shared" si="550"/>
        <v>1196000</v>
      </c>
      <c r="BW271" s="83">
        <f t="shared" si="550"/>
        <v>1196000</v>
      </c>
      <c r="BX271" s="83">
        <f t="shared" si="550"/>
        <v>1196000</v>
      </c>
      <c r="BY271" s="83">
        <f t="shared" si="550"/>
        <v>1196000</v>
      </c>
      <c r="BZ271" s="36">
        <f t="shared" si="550"/>
        <v>1196000</v>
      </c>
    </row>
    <row r="272" spans="1:78">
      <c r="A272" s="5" t="s">
        <v>2423</v>
      </c>
      <c r="AM272" s="37">
        <v>409800</v>
      </c>
      <c r="AN272" s="37">
        <v>424200</v>
      </c>
      <c r="AO272" s="37">
        <v>403500</v>
      </c>
      <c r="AP272" s="37">
        <v>432200</v>
      </c>
      <c r="AQ272" s="36">
        <f>AP272</f>
        <v>432200</v>
      </c>
      <c r="AR272" s="37">
        <v>87000</v>
      </c>
      <c r="AS272" s="37">
        <v>0</v>
      </c>
      <c r="AT272" s="37">
        <v>0</v>
      </c>
      <c r="AU272" s="37">
        <v>0</v>
      </c>
      <c r="AV272" s="36">
        <f>AU272</f>
        <v>0</v>
      </c>
      <c r="AW272" s="37">
        <v>0</v>
      </c>
      <c r="AX272" s="37">
        <v>0</v>
      </c>
      <c r="AY272" s="37">
        <v>0</v>
      </c>
      <c r="AZ272" s="83"/>
      <c r="BA272" s="59"/>
      <c r="BB272" s="83"/>
      <c r="BC272" s="83"/>
      <c r="BD272" s="83"/>
      <c r="BE272" s="83"/>
      <c r="BF272" s="59"/>
      <c r="BG272" s="83"/>
      <c r="BH272" s="83"/>
      <c r="BI272" s="83"/>
      <c r="BJ272" s="83"/>
      <c r="BK272" s="59"/>
      <c r="BL272" s="83"/>
      <c r="BM272" s="83"/>
      <c r="BN272" s="83"/>
      <c r="BO272" s="83"/>
      <c r="BP272" s="59"/>
      <c r="BQ272" s="83"/>
      <c r="BR272" s="83"/>
      <c r="BS272" s="83"/>
      <c r="BT272" s="83"/>
      <c r="BU272" s="59"/>
      <c r="BV272" s="83"/>
      <c r="BW272" s="83"/>
      <c r="BX272" s="83"/>
      <c r="BY272" s="83"/>
      <c r="BZ272" s="59"/>
    </row>
    <row r="273" spans="1:78">
      <c r="A273" s="5" t="s">
        <v>2424</v>
      </c>
      <c r="AM273" s="37">
        <v>481500</v>
      </c>
      <c r="AN273" s="37">
        <v>481600</v>
      </c>
      <c r="AO273" s="37">
        <v>476900</v>
      </c>
      <c r="AP273" s="37">
        <v>496900</v>
      </c>
      <c r="AQ273" s="36">
        <f>AP273</f>
        <v>496900</v>
      </c>
      <c r="AR273" s="37">
        <v>525000</v>
      </c>
      <c r="AS273" s="37">
        <v>484300</v>
      </c>
      <c r="AT273" s="37">
        <v>498200</v>
      </c>
      <c r="AU273" s="37">
        <v>409400</v>
      </c>
      <c r="AV273" s="36">
        <f>AU273</f>
        <v>409400</v>
      </c>
      <c r="AW273" s="37">
        <v>341400</v>
      </c>
      <c r="AX273" s="37">
        <v>0</v>
      </c>
      <c r="AY273" s="37">
        <v>0</v>
      </c>
      <c r="AZ273" s="83"/>
      <c r="BA273" s="59"/>
      <c r="BB273" s="83"/>
      <c r="BC273" s="83"/>
      <c r="BD273" s="83"/>
      <c r="BE273" s="83"/>
      <c r="BF273" s="59"/>
      <c r="BG273" s="83"/>
      <c r="BH273" s="83"/>
      <c r="BI273" s="83"/>
      <c r="BJ273" s="83"/>
      <c r="BK273" s="59"/>
      <c r="BL273" s="83"/>
      <c r="BM273" s="83"/>
      <c r="BN273" s="83"/>
      <c r="BO273" s="83"/>
      <c r="BP273" s="59"/>
      <c r="BQ273" s="83"/>
      <c r="BR273" s="83"/>
      <c r="BS273" s="83"/>
      <c r="BT273" s="83"/>
      <c r="BU273" s="59"/>
      <c r="BV273" s="83"/>
      <c r="BW273" s="83"/>
      <c r="BX273" s="83"/>
      <c r="BY273" s="83"/>
      <c r="BZ273" s="59"/>
    </row>
    <row r="274" spans="1:78">
      <c r="A274" s="9" t="s">
        <v>2047</v>
      </c>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48"/>
      <c r="AG274" s="48"/>
      <c r="AH274" s="9"/>
      <c r="AI274" s="9"/>
      <c r="AJ274" s="9"/>
      <c r="AK274" s="48"/>
      <c r="AL274" s="48"/>
      <c r="AM274" s="48">
        <f t="shared" ref="AM274:BZ274" si="551">SUM(AM269:AM273)</f>
        <v>7379100</v>
      </c>
      <c r="AN274" s="48">
        <f t="shared" si="551"/>
        <v>7604100</v>
      </c>
      <c r="AO274" s="48">
        <f t="shared" si="551"/>
        <v>7106100</v>
      </c>
      <c r="AP274" s="48">
        <f t="shared" si="551"/>
        <v>7379400</v>
      </c>
      <c r="AQ274" s="48">
        <f t="shared" ref="AQ274" si="552">SUM(AQ269:AQ273)</f>
        <v>7379400</v>
      </c>
      <c r="AR274" s="48">
        <f t="shared" si="551"/>
        <v>7113600</v>
      </c>
      <c r="AS274" s="48">
        <f t="shared" si="551"/>
        <v>5753600</v>
      </c>
      <c r="AT274" s="48">
        <f t="shared" si="551"/>
        <v>4940600</v>
      </c>
      <c r="AU274" s="48">
        <f t="shared" si="551"/>
        <v>3461700</v>
      </c>
      <c r="AV274" s="48">
        <f t="shared" si="551"/>
        <v>3461700</v>
      </c>
      <c r="AW274" s="48">
        <f t="shared" si="551"/>
        <v>2358100</v>
      </c>
      <c r="AX274" s="48">
        <f t="shared" si="551"/>
        <v>2053200</v>
      </c>
      <c r="AY274" s="48">
        <f t="shared" si="551"/>
        <v>4296900</v>
      </c>
      <c r="AZ274" s="48">
        <f t="shared" si="551"/>
        <v>4267982.5625958098</v>
      </c>
      <c r="BA274" s="48">
        <f t="shared" si="551"/>
        <v>4267982.5625958098</v>
      </c>
      <c r="BB274" s="48">
        <f t="shared" si="551"/>
        <v>1196000</v>
      </c>
      <c r="BC274" s="48">
        <f t="shared" si="551"/>
        <v>1196000</v>
      </c>
      <c r="BD274" s="48">
        <f t="shared" si="551"/>
        <v>1196000</v>
      </c>
      <c r="BE274" s="48">
        <f t="shared" si="551"/>
        <v>1196000</v>
      </c>
      <c r="BF274" s="48">
        <f t="shared" si="551"/>
        <v>1196000</v>
      </c>
      <c r="BG274" s="48">
        <f t="shared" si="551"/>
        <v>1196000</v>
      </c>
      <c r="BH274" s="48">
        <f t="shared" si="551"/>
        <v>1196000</v>
      </c>
      <c r="BI274" s="48">
        <f t="shared" si="551"/>
        <v>1196000</v>
      </c>
      <c r="BJ274" s="48">
        <f t="shared" si="551"/>
        <v>1196000</v>
      </c>
      <c r="BK274" s="48">
        <f t="shared" si="551"/>
        <v>1196000</v>
      </c>
      <c r="BL274" s="48">
        <f t="shared" si="551"/>
        <v>1196000</v>
      </c>
      <c r="BM274" s="48">
        <f t="shared" si="551"/>
        <v>1196000</v>
      </c>
      <c r="BN274" s="48">
        <f t="shared" si="551"/>
        <v>1196000</v>
      </c>
      <c r="BO274" s="48">
        <f t="shared" si="551"/>
        <v>1196000</v>
      </c>
      <c r="BP274" s="48">
        <f t="shared" si="551"/>
        <v>1196000</v>
      </c>
      <c r="BQ274" s="48">
        <f t="shared" si="551"/>
        <v>1196000</v>
      </c>
      <c r="BR274" s="48">
        <f t="shared" si="551"/>
        <v>1196000</v>
      </c>
      <c r="BS274" s="48">
        <f t="shared" si="551"/>
        <v>1196000</v>
      </c>
      <c r="BT274" s="48">
        <f t="shared" si="551"/>
        <v>1196000</v>
      </c>
      <c r="BU274" s="48">
        <f t="shared" si="551"/>
        <v>1196000</v>
      </c>
      <c r="BV274" s="48">
        <f t="shared" si="551"/>
        <v>1196000</v>
      </c>
      <c r="BW274" s="48">
        <f t="shared" si="551"/>
        <v>1196000</v>
      </c>
      <c r="BX274" s="48">
        <f t="shared" si="551"/>
        <v>1196000</v>
      </c>
      <c r="BY274" s="48">
        <f t="shared" si="551"/>
        <v>1196000</v>
      </c>
      <c r="BZ274" s="48">
        <f t="shared" si="551"/>
        <v>1196000</v>
      </c>
    </row>
    <row r="275" spans="1:78">
      <c r="AP275" s="349" t="s">
        <v>2147</v>
      </c>
      <c r="AQ275" s="71"/>
    </row>
    <row r="276" spans="1:78">
      <c r="A276" s="1" t="s">
        <v>276</v>
      </c>
      <c r="AM276" s="36">
        <f t="shared" ref="AM276:AR276" si="553">AM277-AM274</f>
        <v>63682</v>
      </c>
      <c r="AN276" s="36">
        <f t="shared" si="553"/>
        <v>63680</v>
      </c>
      <c r="AO276" s="36">
        <f t="shared" si="553"/>
        <v>63767</v>
      </c>
      <c r="AP276" s="36">
        <f t="shared" si="553"/>
        <v>63712</v>
      </c>
      <c r="AQ276" s="36">
        <f t="shared" si="553"/>
        <v>63712</v>
      </c>
      <c r="AR276" s="36">
        <f t="shared" si="553"/>
        <v>53357</v>
      </c>
      <c r="AS276" s="36">
        <f t="shared" ref="AS276:AW276" si="554">AS277-AS274</f>
        <v>23517</v>
      </c>
      <c r="AT276" s="36">
        <f t="shared" si="554"/>
        <v>-90</v>
      </c>
      <c r="AU276" s="36">
        <f t="shared" si="554"/>
        <v>-34</v>
      </c>
      <c r="AV276" s="36">
        <f t="shared" si="554"/>
        <v>-34</v>
      </c>
      <c r="AW276" s="36">
        <f t="shared" si="554"/>
        <v>59</v>
      </c>
      <c r="AX276" s="36">
        <f t="shared" ref="AX276:AY276" si="555">AX277-AX274</f>
        <v>74</v>
      </c>
      <c r="AY276" s="36">
        <f t="shared" si="555"/>
        <v>73</v>
      </c>
    </row>
    <row r="277" spans="1:78">
      <c r="A277" s="9" t="s">
        <v>2047</v>
      </c>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48">
        <f>AF265</f>
        <v>7393573</v>
      </c>
      <c r="AG277" s="48">
        <f>AG265</f>
        <v>7393573</v>
      </c>
      <c r="AH277" s="9"/>
      <c r="AI277" s="9"/>
      <c r="AJ277" s="9"/>
      <c r="AK277" s="48">
        <f t="shared" ref="AK277:AQ277" si="556">AK265</f>
        <v>6328964</v>
      </c>
      <c r="AL277" s="48">
        <f t="shared" si="556"/>
        <v>6328964</v>
      </c>
      <c r="AM277" s="48">
        <f t="shared" si="556"/>
        <v>7442782</v>
      </c>
      <c r="AN277" s="48">
        <f t="shared" si="556"/>
        <v>7667780</v>
      </c>
      <c r="AO277" s="48">
        <f t="shared" si="556"/>
        <v>7169867</v>
      </c>
      <c r="AP277" s="48">
        <f t="shared" si="556"/>
        <v>7443112</v>
      </c>
      <c r="AQ277" s="48">
        <f t="shared" si="556"/>
        <v>7443112</v>
      </c>
      <c r="AR277" s="48">
        <f t="shared" ref="AR277:AV277" si="557">AR265</f>
        <v>7166957</v>
      </c>
      <c r="AS277" s="48">
        <f t="shared" si="557"/>
        <v>5777117</v>
      </c>
      <c r="AT277" s="48">
        <f t="shared" si="557"/>
        <v>4940510</v>
      </c>
      <c r="AU277" s="48">
        <f t="shared" si="557"/>
        <v>3461666</v>
      </c>
      <c r="AV277" s="48">
        <f t="shared" si="557"/>
        <v>3461666</v>
      </c>
      <c r="AW277" s="48">
        <f t="shared" ref="AW277:AY277" si="558">AW265</f>
        <v>2358159</v>
      </c>
      <c r="AX277" s="48">
        <f t="shared" si="558"/>
        <v>2053274</v>
      </c>
      <c r="AY277" s="48">
        <f t="shared" si="558"/>
        <v>4296973</v>
      </c>
    </row>
    <row r="279" spans="1:78">
      <c r="A279" s="1" t="s">
        <v>2063</v>
      </c>
    </row>
    <row r="280" spans="1:78">
      <c r="A280" s="5" t="s">
        <v>2062</v>
      </c>
      <c r="AM280" s="36">
        <f t="shared" ref="AM280:AR280" si="559">AM269</f>
        <v>1225300</v>
      </c>
      <c r="AN280" s="36">
        <f t="shared" si="559"/>
        <v>1259800</v>
      </c>
      <c r="AO280" s="36">
        <f t="shared" si="559"/>
        <v>1194100</v>
      </c>
      <c r="AP280" s="36">
        <f t="shared" si="559"/>
        <v>1274900</v>
      </c>
      <c r="AQ280" s="36">
        <f t="shared" si="559"/>
        <v>1274900</v>
      </c>
      <c r="AR280" s="36">
        <f t="shared" si="559"/>
        <v>1357000</v>
      </c>
      <c r="AS280" s="36">
        <f t="shared" ref="AS280:AW280" si="560">AS269</f>
        <v>1203600</v>
      </c>
      <c r="AT280" s="36">
        <f t="shared" si="560"/>
        <v>1330600</v>
      </c>
      <c r="AU280" s="36">
        <f t="shared" si="560"/>
        <v>1258500</v>
      </c>
      <c r="AV280" s="36">
        <f t="shared" si="560"/>
        <v>1258500</v>
      </c>
      <c r="AW280" s="36">
        <f t="shared" si="560"/>
        <v>1220200</v>
      </c>
      <c r="AX280" s="36">
        <f t="shared" ref="AX280:AY280" si="561">AX269</f>
        <v>1256200</v>
      </c>
      <c r="AY280" s="36">
        <f t="shared" si="561"/>
        <v>3100900</v>
      </c>
    </row>
    <row r="281" spans="1:78">
      <c r="A281" s="5" t="s">
        <v>2059</v>
      </c>
      <c r="AM281" s="36">
        <f t="shared" ref="AM281:AR281" si="562">AM271</f>
        <v>497800</v>
      </c>
      <c r="AN281" s="36">
        <f t="shared" si="562"/>
        <v>498100</v>
      </c>
      <c r="AO281" s="36">
        <f t="shared" si="562"/>
        <v>498400</v>
      </c>
      <c r="AP281" s="36">
        <f t="shared" si="562"/>
        <v>498800</v>
      </c>
      <c r="AQ281" s="36">
        <f t="shared" si="562"/>
        <v>498800</v>
      </c>
      <c r="AR281" s="36">
        <f t="shared" si="562"/>
        <v>499100</v>
      </c>
      <c r="AS281" s="36">
        <f t="shared" ref="AS281:AW281" si="563">AS271</f>
        <v>499500</v>
      </c>
      <c r="AT281" s="36">
        <f t="shared" si="563"/>
        <v>499800</v>
      </c>
      <c r="AU281" s="36">
        <f t="shared" si="563"/>
        <v>796000</v>
      </c>
      <c r="AV281" s="36">
        <f t="shared" si="563"/>
        <v>796000</v>
      </c>
      <c r="AW281" s="36">
        <f t="shared" si="563"/>
        <v>796500</v>
      </c>
      <c r="AX281" s="36">
        <f t="shared" ref="AX281:AY281" si="564">AX271</f>
        <v>797000</v>
      </c>
      <c r="AY281" s="36">
        <f t="shared" si="564"/>
        <v>1196000</v>
      </c>
    </row>
    <row r="282" spans="1:78">
      <c r="A282" s="9" t="s">
        <v>2063</v>
      </c>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48"/>
      <c r="AG282" s="48"/>
      <c r="AH282" s="9"/>
      <c r="AI282" s="9"/>
      <c r="AJ282" s="9"/>
      <c r="AK282" s="48"/>
      <c r="AL282" s="48"/>
      <c r="AM282" s="48">
        <f t="shared" ref="AM282:AR282" si="565">SUM(AM280:AM281)</f>
        <v>1723100</v>
      </c>
      <c r="AN282" s="48">
        <f t="shared" si="565"/>
        <v>1757900</v>
      </c>
      <c r="AO282" s="48">
        <f t="shared" si="565"/>
        <v>1692500</v>
      </c>
      <c r="AP282" s="48">
        <f t="shared" si="565"/>
        <v>1773700</v>
      </c>
      <c r="AQ282" s="48">
        <f t="shared" si="565"/>
        <v>1773700</v>
      </c>
      <c r="AR282" s="48">
        <f t="shared" si="565"/>
        <v>1856100</v>
      </c>
      <c r="AS282" s="48">
        <f t="shared" ref="AS282:AW282" si="566">SUM(AS280:AS281)</f>
        <v>1703100</v>
      </c>
      <c r="AT282" s="48">
        <f t="shared" si="566"/>
        <v>1830400</v>
      </c>
      <c r="AU282" s="48">
        <f t="shared" si="566"/>
        <v>2054500</v>
      </c>
      <c r="AV282" s="48">
        <f t="shared" si="566"/>
        <v>2054500</v>
      </c>
      <c r="AW282" s="48">
        <f t="shared" si="566"/>
        <v>2016700</v>
      </c>
      <c r="AX282" s="48">
        <f t="shared" ref="AX282:AY282" si="567">SUM(AX280:AX281)</f>
        <v>2053200</v>
      </c>
      <c r="AY282" s="48">
        <f t="shared" si="567"/>
        <v>4296900</v>
      </c>
    </row>
    <row r="284" spans="1:78">
      <c r="A284" s="1" t="s">
        <v>276</v>
      </c>
      <c r="AM284" s="36">
        <f t="shared" ref="AM284:AR284" si="568">AM285-AM282</f>
        <v>481481</v>
      </c>
      <c r="AN284" s="36">
        <f t="shared" si="568"/>
        <v>481579</v>
      </c>
      <c r="AO284" s="36">
        <f t="shared" si="568"/>
        <v>476931</v>
      </c>
      <c r="AP284" s="36">
        <f t="shared" si="568"/>
        <v>496901</v>
      </c>
      <c r="AQ284" s="36">
        <f t="shared" si="568"/>
        <v>496901</v>
      </c>
      <c r="AR284" s="36">
        <f t="shared" si="568"/>
        <v>524990</v>
      </c>
      <c r="AS284" s="36">
        <f t="shared" ref="AS284:AW284" si="569">AS285-AS282</f>
        <v>484259</v>
      </c>
      <c r="AT284" s="36">
        <f t="shared" si="569"/>
        <v>498147</v>
      </c>
      <c r="AU284" s="36">
        <f t="shared" si="569"/>
        <v>409323</v>
      </c>
      <c r="AV284" s="36">
        <f t="shared" si="569"/>
        <v>409323</v>
      </c>
      <c r="AW284" s="36">
        <f t="shared" si="569"/>
        <v>341459</v>
      </c>
      <c r="AX284" s="36">
        <f t="shared" ref="AX284:AY284" si="570">AX285-AX282</f>
        <v>74</v>
      </c>
      <c r="AY284" s="36">
        <f t="shared" si="570"/>
        <v>73</v>
      </c>
    </row>
    <row r="285" spans="1:78">
      <c r="A285" s="9" t="s">
        <v>2045</v>
      </c>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48">
        <f>AF263</f>
        <v>2857000</v>
      </c>
      <c r="AG285" s="48">
        <f>AG263</f>
        <v>2857000</v>
      </c>
      <c r="AH285" s="9"/>
      <c r="AI285" s="9"/>
      <c r="AJ285" s="9"/>
      <c r="AK285" s="48">
        <f t="shared" ref="AK285:AQ285" si="571">AK263</f>
        <v>2065361</v>
      </c>
      <c r="AL285" s="48">
        <f t="shared" si="571"/>
        <v>2065361</v>
      </c>
      <c r="AM285" s="48">
        <f t="shared" si="571"/>
        <v>2204581</v>
      </c>
      <c r="AN285" s="48">
        <f t="shared" si="571"/>
        <v>2239479</v>
      </c>
      <c r="AO285" s="48">
        <f t="shared" si="571"/>
        <v>2169431</v>
      </c>
      <c r="AP285" s="48">
        <f t="shared" si="571"/>
        <v>2270601</v>
      </c>
      <c r="AQ285" s="48">
        <f t="shared" si="571"/>
        <v>2270601</v>
      </c>
      <c r="AR285" s="48">
        <f t="shared" ref="AR285:AV285" si="572">AR263</f>
        <v>2381090</v>
      </c>
      <c r="AS285" s="48">
        <f t="shared" si="572"/>
        <v>2187359</v>
      </c>
      <c r="AT285" s="48">
        <f t="shared" si="572"/>
        <v>2328547</v>
      </c>
      <c r="AU285" s="48">
        <f t="shared" si="572"/>
        <v>2463823</v>
      </c>
      <c r="AV285" s="48">
        <f t="shared" si="572"/>
        <v>2463823</v>
      </c>
      <c r="AW285" s="48">
        <f t="shared" ref="AW285:AY285" si="573">AW263</f>
        <v>2358159</v>
      </c>
      <c r="AX285" s="48">
        <f t="shared" si="573"/>
        <v>2053274</v>
      </c>
      <c r="AY285" s="48">
        <f t="shared" si="573"/>
        <v>4296973</v>
      </c>
    </row>
    <row r="287" spans="1:78">
      <c r="A287" s="1" t="s">
        <v>2064</v>
      </c>
    </row>
    <row r="288" spans="1:78">
      <c r="A288" s="5" t="s">
        <v>2058</v>
      </c>
      <c r="AM288" s="36">
        <f>AM270</f>
        <v>4764700</v>
      </c>
      <c r="AN288" s="36">
        <f>AN270</f>
        <v>4940400</v>
      </c>
      <c r="AO288" s="36">
        <f>AO270</f>
        <v>4533200</v>
      </c>
      <c r="AP288" s="36">
        <f>AP270</f>
        <v>4676600</v>
      </c>
      <c r="AQ288" s="36">
        <f>AP288</f>
        <v>4676600</v>
      </c>
      <c r="AR288" s="36">
        <f>AR270</f>
        <v>4645500</v>
      </c>
      <c r="AS288" s="36">
        <f>AS270</f>
        <v>3566200</v>
      </c>
      <c r="AT288" s="36">
        <f>AT270</f>
        <v>2612000</v>
      </c>
      <c r="AU288" s="36">
        <f>AU270</f>
        <v>997800</v>
      </c>
      <c r="AV288" s="36">
        <f>AU288</f>
        <v>997800</v>
      </c>
      <c r="AW288" s="36">
        <f>AW270</f>
        <v>0</v>
      </c>
      <c r="AX288" s="36"/>
      <c r="AY288" s="36"/>
      <c r="AZ288" s="59"/>
      <c r="BA288" s="59"/>
      <c r="BB288" s="59"/>
      <c r="BC288" s="59"/>
      <c r="BD288" s="59"/>
      <c r="BE288" s="59"/>
      <c r="BF288" s="59"/>
      <c r="BG288" s="59"/>
      <c r="BH288" s="59"/>
      <c r="BI288" s="59"/>
      <c r="BJ288" s="59"/>
      <c r="BK288" s="59"/>
      <c r="BL288" s="59"/>
      <c r="BM288" s="59"/>
      <c r="BN288" s="59"/>
      <c r="BO288" s="59"/>
      <c r="BP288" s="59"/>
      <c r="BQ288" s="59"/>
      <c r="BR288" s="59"/>
      <c r="BS288" s="59"/>
      <c r="BT288" s="59"/>
      <c r="BU288" s="59"/>
      <c r="BV288" s="59"/>
      <c r="BW288" s="59"/>
      <c r="BX288" s="59"/>
      <c r="BY288" s="59"/>
      <c r="BZ288" s="59"/>
    </row>
    <row r="289" spans="1:78">
      <c r="A289" s="5" t="s">
        <v>2060</v>
      </c>
      <c r="AM289" s="36">
        <f t="shared" ref="AM289:AO290" si="574">AM272</f>
        <v>409800</v>
      </c>
      <c r="AN289" s="36">
        <f t="shared" si="574"/>
        <v>424200</v>
      </c>
      <c r="AO289" s="36">
        <f t="shared" si="574"/>
        <v>403500</v>
      </c>
      <c r="AP289" s="36">
        <f t="shared" ref="AP289" si="575">AP272</f>
        <v>432200</v>
      </c>
      <c r="AQ289" s="36">
        <f>AP289</f>
        <v>432200</v>
      </c>
      <c r="AR289" s="36">
        <f t="shared" ref="AR289:AU290" si="576">AR272</f>
        <v>87000</v>
      </c>
      <c r="AS289" s="36">
        <f t="shared" si="576"/>
        <v>0</v>
      </c>
      <c r="AT289" s="36">
        <f t="shared" si="576"/>
        <v>0</v>
      </c>
      <c r="AU289" s="36">
        <f t="shared" si="576"/>
        <v>0</v>
      </c>
      <c r="AV289" s="36">
        <f>AU289</f>
        <v>0</v>
      </c>
      <c r="AW289" s="36">
        <f t="shared" ref="AW289" si="577">AW272</f>
        <v>0</v>
      </c>
      <c r="AX289" s="36"/>
      <c r="AY289" s="36"/>
      <c r="AZ289" s="59"/>
      <c r="BA289" s="59"/>
      <c r="BB289" s="59"/>
      <c r="BC289" s="59"/>
      <c r="BD289" s="59"/>
      <c r="BE289" s="59"/>
      <c r="BF289" s="59"/>
      <c r="BG289" s="59"/>
      <c r="BH289" s="59"/>
      <c r="BI289" s="59"/>
      <c r="BJ289" s="59"/>
      <c r="BK289" s="59"/>
      <c r="BL289" s="59"/>
      <c r="BM289" s="59"/>
      <c r="BN289" s="59"/>
      <c r="BO289" s="59"/>
      <c r="BP289" s="59"/>
      <c r="BQ289" s="59"/>
      <c r="BR289" s="59"/>
      <c r="BS289" s="59"/>
      <c r="BT289" s="59"/>
      <c r="BU289" s="59"/>
      <c r="BV289" s="59"/>
      <c r="BW289" s="59"/>
      <c r="BX289" s="59"/>
      <c r="BY289" s="59"/>
      <c r="BZ289" s="59"/>
    </row>
    <row r="290" spans="1:78">
      <c r="A290" s="5" t="s">
        <v>2061</v>
      </c>
      <c r="AM290" s="36">
        <f t="shared" si="574"/>
        <v>481500</v>
      </c>
      <c r="AN290" s="36">
        <f t="shared" si="574"/>
        <v>481600</v>
      </c>
      <c r="AO290" s="36">
        <f t="shared" si="574"/>
        <v>476900</v>
      </c>
      <c r="AP290" s="36">
        <f t="shared" ref="AP290" si="578">AP273</f>
        <v>496900</v>
      </c>
      <c r="AQ290" s="36">
        <f>AP290</f>
        <v>496900</v>
      </c>
      <c r="AR290" s="36">
        <f t="shared" ref="AR290:AT290" si="579">AR273</f>
        <v>525000</v>
      </c>
      <c r="AS290" s="36">
        <f t="shared" si="579"/>
        <v>484300</v>
      </c>
      <c r="AT290" s="36">
        <f t="shared" si="579"/>
        <v>498200</v>
      </c>
      <c r="AU290" s="36">
        <f t="shared" si="576"/>
        <v>409400</v>
      </c>
      <c r="AV290" s="36">
        <f>AU290</f>
        <v>409400</v>
      </c>
      <c r="AW290" s="36">
        <f t="shared" ref="AW290" si="580">AW273</f>
        <v>341400</v>
      </c>
      <c r="AX290" s="36"/>
      <c r="AY290" s="36"/>
      <c r="AZ290" s="59"/>
      <c r="BA290" s="59"/>
      <c r="BB290" s="59"/>
      <c r="BC290" s="59"/>
      <c r="BD290" s="59"/>
      <c r="BE290" s="59"/>
      <c r="BF290" s="59"/>
      <c r="BG290" s="59"/>
      <c r="BH290" s="59"/>
      <c r="BI290" s="59"/>
      <c r="BJ290" s="59"/>
      <c r="BK290" s="59"/>
      <c r="BL290" s="59"/>
      <c r="BM290" s="59"/>
      <c r="BN290" s="59"/>
      <c r="BO290" s="59"/>
      <c r="BP290" s="59"/>
      <c r="BQ290" s="59"/>
      <c r="BR290" s="59"/>
      <c r="BS290" s="59"/>
      <c r="BT290" s="59"/>
      <c r="BU290" s="59"/>
      <c r="BV290" s="59"/>
      <c r="BW290" s="59"/>
      <c r="BX290" s="59"/>
      <c r="BY290" s="59"/>
      <c r="BZ290" s="59"/>
    </row>
    <row r="291" spans="1:78">
      <c r="A291" s="9" t="s">
        <v>2064</v>
      </c>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48"/>
      <c r="AG291" s="48"/>
      <c r="AH291" s="9"/>
      <c r="AI291" s="9"/>
      <c r="AJ291" s="9"/>
      <c r="AK291" s="48"/>
      <c r="AL291" s="48"/>
      <c r="AM291" s="48">
        <f>SUM(AM288:AM290)</f>
        <v>5656000</v>
      </c>
      <c r="AN291" s="48">
        <f>SUM(AN288:AN290)</f>
        <v>5846200</v>
      </c>
      <c r="AO291" s="48">
        <f>SUM(AO288:AO290)</f>
        <v>5413600</v>
      </c>
      <c r="AP291" s="48">
        <f>SUM(AP288:AP290)</f>
        <v>5605700</v>
      </c>
      <c r="AQ291" s="39">
        <f>AP291</f>
        <v>5605700</v>
      </c>
      <c r="AR291" s="48">
        <f>SUM(AR288:AR290)</f>
        <v>5257500</v>
      </c>
      <c r="AS291" s="48">
        <f>SUM(AS288:AS290)</f>
        <v>4050500</v>
      </c>
      <c r="AT291" s="48">
        <f>SUM(AT288:AT290)</f>
        <v>3110200</v>
      </c>
      <c r="AU291" s="48">
        <f>SUM(AU288:AU290)</f>
        <v>1407200</v>
      </c>
      <c r="AV291" s="39">
        <f>AU291</f>
        <v>1407200</v>
      </c>
      <c r="AW291" s="48">
        <f>SUM(AW288:AW290)</f>
        <v>341400</v>
      </c>
      <c r="AX291" s="48"/>
      <c r="AY291" s="48"/>
      <c r="AZ291" s="127"/>
      <c r="BA291" s="81"/>
      <c r="BB291" s="127"/>
      <c r="BC291" s="127"/>
      <c r="BD291" s="127"/>
      <c r="BE291" s="127"/>
      <c r="BF291" s="81"/>
      <c r="BG291" s="127"/>
      <c r="BH291" s="127"/>
      <c r="BI291" s="127"/>
      <c r="BJ291" s="127"/>
      <c r="BK291" s="81"/>
      <c r="BL291" s="127"/>
      <c r="BM291" s="127"/>
      <c r="BN291" s="127"/>
      <c r="BO291" s="127"/>
      <c r="BP291" s="81"/>
      <c r="BQ291" s="127"/>
      <c r="BR291" s="127"/>
      <c r="BS291" s="127"/>
      <c r="BT291" s="127"/>
      <c r="BU291" s="81"/>
      <c r="BV291" s="127"/>
      <c r="BW291" s="127"/>
      <c r="BX291" s="127"/>
      <c r="BY291" s="127"/>
      <c r="BZ291" s="81"/>
    </row>
    <row r="292" spans="1:78">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row>
    <row r="293" spans="1:78">
      <c r="A293" s="1" t="s">
        <v>276</v>
      </c>
      <c r="AM293" s="36">
        <f>AM294-AM291</f>
        <v>-417799</v>
      </c>
      <c r="AN293" s="36">
        <f>AN294-AN291</f>
        <v>-417899</v>
      </c>
      <c r="AO293" s="36">
        <f>AO294-AO291</f>
        <v>-413164</v>
      </c>
      <c r="AP293" s="36">
        <f>AP294-AP291</f>
        <v>-433189</v>
      </c>
      <c r="AQ293" s="36">
        <f>AP293</f>
        <v>-433189</v>
      </c>
      <c r="AR293" s="36">
        <f>AR294-AR291</f>
        <v>-471633</v>
      </c>
      <c r="AS293" s="36">
        <f>AS294-AS291</f>
        <v>-460742</v>
      </c>
      <c r="AT293" s="36">
        <f>AT294-AT291</f>
        <v>-498237</v>
      </c>
      <c r="AU293" s="36">
        <f>AU294-AU291</f>
        <v>-409357</v>
      </c>
      <c r="AV293" s="36">
        <f>AU293</f>
        <v>-409357</v>
      </c>
      <c r="AW293" s="36">
        <f>AW294-AW291</f>
        <v>-341400</v>
      </c>
      <c r="AX293" s="36"/>
      <c r="AY293" s="36"/>
      <c r="AZ293" s="59"/>
      <c r="BA293" s="59"/>
      <c r="BB293" s="59"/>
      <c r="BC293" s="59"/>
      <c r="BD293" s="59"/>
      <c r="BE293" s="59"/>
      <c r="BF293" s="59"/>
      <c r="BG293" s="59"/>
      <c r="BH293" s="59"/>
      <c r="BI293" s="59"/>
      <c r="BJ293" s="59"/>
      <c r="BK293" s="59"/>
      <c r="BL293" s="59"/>
      <c r="BM293" s="59"/>
      <c r="BN293" s="59"/>
      <c r="BO293" s="59"/>
      <c r="BP293" s="59"/>
      <c r="BQ293" s="59"/>
      <c r="BR293" s="59"/>
      <c r="BS293" s="59"/>
      <c r="BT293" s="59"/>
      <c r="BU293" s="59"/>
      <c r="BV293" s="59"/>
      <c r="BW293" s="59"/>
      <c r="BX293" s="59"/>
      <c r="BY293" s="59"/>
      <c r="BZ293" s="59"/>
    </row>
    <row r="294" spans="1:78">
      <c r="A294" s="9" t="s">
        <v>2048</v>
      </c>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48">
        <f>AF264</f>
        <v>4536573</v>
      </c>
      <c r="AG294" s="48">
        <f>AG264</f>
        <v>4536573</v>
      </c>
      <c r="AH294" s="9"/>
      <c r="AI294" s="9"/>
      <c r="AJ294" s="9"/>
      <c r="AK294" s="48">
        <f t="shared" ref="AK294:AP294" si="581">AK264</f>
        <v>4263603</v>
      </c>
      <c r="AL294" s="48">
        <f t="shared" si="581"/>
        <v>4263603</v>
      </c>
      <c r="AM294" s="48">
        <f t="shared" si="581"/>
        <v>5238201</v>
      </c>
      <c r="AN294" s="48">
        <f t="shared" si="581"/>
        <v>5428301</v>
      </c>
      <c r="AO294" s="48">
        <f t="shared" si="581"/>
        <v>5000436</v>
      </c>
      <c r="AP294" s="48">
        <f t="shared" si="581"/>
        <v>5172511</v>
      </c>
      <c r="AQ294" s="39">
        <f t="shared" ref="AQ294" si="582">AQ291+AQ293</f>
        <v>5172511</v>
      </c>
      <c r="AR294" s="48">
        <f t="shared" ref="AR294:AU294" si="583">AR264</f>
        <v>4785867</v>
      </c>
      <c r="AS294" s="48">
        <f t="shared" si="583"/>
        <v>3589758</v>
      </c>
      <c r="AT294" s="48">
        <f t="shared" si="583"/>
        <v>2611963</v>
      </c>
      <c r="AU294" s="48">
        <f t="shared" si="583"/>
        <v>997843</v>
      </c>
      <c r="AV294" s="39">
        <f t="shared" ref="AV294" si="584">AV291+AV293</f>
        <v>997843</v>
      </c>
      <c r="AW294" s="48">
        <f t="shared" ref="AW294" si="585">AW264</f>
        <v>0</v>
      </c>
      <c r="AX294" s="48"/>
      <c r="AY294" s="48"/>
      <c r="AZ294" s="81"/>
      <c r="BA294" s="81"/>
      <c r="BB294" s="81"/>
      <c r="BC294" s="81"/>
      <c r="BD294" s="81"/>
      <c r="BE294" s="81"/>
      <c r="BF294" s="81"/>
      <c r="BG294" s="81"/>
      <c r="BH294" s="81"/>
      <c r="BI294" s="81"/>
      <c r="BJ294" s="81"/>
      <c r="BK294" s="81"/>
      <c r="BL294" s="81"/>
      <c r="BM294" s="81"/>
      <c r="BN294" s="81"/>
      <c r="BO294" s="81"/>
      <c r="BP294" s="81"/>
      <c r="BQ294" s="81"/>
      <c r="BR294" s="81"/>
      <c r="BS294" s="81"/>
      <c r="BT294" s="81"/>
      <c r="BU294" s="81"/>
      <c r="BV294" s="81"/>
      <c r="BW294" s="81"/>
      <c r="BX294" s="81"/>
      <c r="BY294" s="81"/>
      <c r="BZ294" s="81"/>
    </row>
    <row r="296" spans="1:78">
      <c r="A296" s="1" t="s">
        <v>958</v>
      </c>
    </row>
    <row r="297" spans="1:78">
      <c r="A297" s="5" t="s">
        <v>2045</v>
      </c>
      <c r="AF297" s="38">
        <f>'Net debt &amp; LTV'!AF29</f>
        <v>33515</v>
      </c>
      <c r="AG297" s="38">
        <f>'Net debt &amp; LTV'!AG29</f>
        <v>33515</v>
      </c>
      <c r="AK297" s="38">
        <f>'Net debt &amp; LTV'!AK29</f>
        <v>0</v>
      </c>
      <c r="AL297" s="38">
        <f>'Net debt &amp; LTV'!AL29</f>
        <v>0</v>
      </c>
      <c r="AM297" s="38">
        <f>'Net debt &amp; LTV'!AM29</f>
        <v>5014</v>
      </c>
      <c r="AN297" s="38">
        <f>'Net debt &amp; LTV'!AN29</f>
        <v>21</v>
      </c>
      <c r="AO297" s="38">
        <f>'Net debt &amp; LTV'!AO29</f>
        <v>0</v>
      </c>
      <c r="AP297" s="38">
        <f>'Net debt &amp; LTV'!AP29</f>
        <v>0</v>
      </c>
      <c r="AQ297" s="38">
        <f>'Net debt &amp; LTV'!AQ29</f>
        <v>0</v>
      </c>
      <c r="AR297" s="38">
        <f>'Net debt &amp; LTV'!AR29</f>
        <v>0</v>
      </c>
      <c r="AS297" s="38">
        <f>'Net debt &amp; LTV'!AS29</f>
        <v>0</v>
      </c>
      <c r="AT297" s="38">
        <f>'Net debt &amp; LTV'!AT29</f>
        <v>0</v>
      </c>
      <c r="AU297" s="38">
        <f>'Net debt &amp; LTV'!AU29</f>
        <v>29796</v>
      </c>
      <c r="AV297" s="38">
        <f>'Net debt &amp; LTV'!AV29</f>
        <v>29796</v>
      </c>
      <c r="AW297" s="38">
        <f>'Net debt &amp; LTV'!AW29</f>
        <v>5</v>
      </c>
      <c r="AX297" s="38">
        <f>'Net debt &amp; LTV'!AX29</f>
        <v>0</v>
      </c>
      <c r="AY297" s="38">
        <f>'Net debt &amp; LTV'!AY29</f>
        <v>469827</v>
      </c>
    </row>
    <row r="298" spans="1:78">
      <c r="A298" s="9" t="s">
        <v>958</v>
      </c>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48">
        <f>'Net debt &amp; LTV'!AF30</f>
        <v>33515</v>
      </c>
      <c r="AG298" s="48">
        <f>'Net debt &amp; LTV'!AG30</f>
        <v>33515</v>
      </c>
      <c r="AH298" s="9"/>
      <c r="AI298" s="9"/>
      <c r="AJ298" s="9"/>
      <c r="AK298" s="48">
        <f>'Net debt &amp; LTV'!AK30</f>
        <v>0</v>
      </c>
      <c r="AL298" s="48">
        <f>'Net debt &amp; LTV'!AL30</f>
        <v>0</v>
      </c>
      <c r="AM298" s="48">
        <f>'Net debt &amp; LTV'!AM30</f>
        <v>5014</v>
      </c>
      <c r="AN298" s="48">
        <f>'Net debt &amp; LTV'!AN30</f>
        <v>21</v>
      </c>
      <c r="AO298" s="48">
        <f>'Net debt &amp; LTV'!AO30</f>
        <v>0</v>
      </c>
      <c r="AP298" s="48">
        <f>'Net debt &amp; LTV'!AP30</f>
        <v>0</v>
      </c>
      <c r="AQ298" s="48">
        <f>'Net debt &amp; LTV'!AQ30</f>
        <v>0</v>
      </c>
      <c r="AR298" s="48">
        <f>'Net debt &amp; LTV'!AR30</f>
        <v>0</v>
      </c>
      <c r="AS298" s="48">
        <f>'Net debt &amp; LTV'!AS30</f>
        <v>0</v>
      </c>
      <c r="AT298" s="48">
        <f>'Net debt &amp; LTV'!AT30</f>
        <v>0</v>
      </c>
      <c r="AU298" s="48">
        <f>'Net debt &amp; LTV'!AU30</f>
        <v>29796</v>
      </c>
      <c r="AV298" s="48">
        <f>'Net debt &amp; LTV'!AV30</f>
        <v>29796</v>
      </c>
      <c r="AW298" s="48">
        <f>'Net debt &amp; LTV'!AW30</f>
        <v>5</v>
      </c>
      <c r="AX298" s="48">
        <f>'Net debt &amp; LTV'!AX30</f>
        <v>0</v>
      </c>
      <c r="AY298" s="48">
        <f>'Net debt &amp; LTV'!AY30</f>
        <v>469827</v>
      </c>
    </row>
    <row r="300" spans="1:78">
      <c r="A300" s="9" t="s">
        <v>2053</v>
      </c>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48">
        <f>'Net debt &amp; LTV'!AF33</f>
        <v>14869325</v>
      </c>
      <c r="AG300" s="48">
        <f>'Net debt &amp; LTV'!AG33</f>
        <v>14869325</v>
      </c>
      <c r="AH300" s="9"/>
      <c r="AI300" s="9"/>
      <c r="AJ300" s="9"/>
      <c r="AK300" s="48">
        <f>'Net debt &amp; LTV'!AK33</f>
        <v>12635554</v>
      </c>
      <c r="AL300" s="48">
        <f>'Net debt &amp; LTV'!AL33</f>
        <v>12635554</v>
      </c>
      <c r="AM300" s="48">
        <f>'Net debt &amp; LTV'!AM33</f>
        <v>14026571</v>
      </c>
      <c r="AN300" s="48">
        <f>'Net debt &amp; LTV'!AN33</f>
        <v>14279682</v>
      </c>
      <c r="AO300" s="48">
        <f>'Net debt &amp; LTV'!AO33</f>
        <v>13710988</v>
      </c>
      <c r="AP300" s="48">
        <f>'Net debt &amp; LTV'!AP33</f>
        <v>14239518</v>
      </c>
      <c r="AQ300" s="39">
        <f>AP300</f>
        <v>14239518</v>
      </c>
      <c r="AR300" s="48">
        <f>'Net debt &amp; LTV'!AR33</f>
        <v>14294701</v>
      </c>
      <c r="AS300" s="48">
        <f>'Net debt &amp; LTV'!AS33</f>
        <v>13220335</v>
      </c>
      <c r="AT300" s="48">
        <f>'Net debt &amp; LTV'!AT33</f>
        <v>12921288</v>
      </c>
      <c r="AU300" s="39">
        <f>AT300+(AU255-AT255)+(AU274-AT274)</f>
        <v>12081580</v>
      </c>
      <c r="AV300" s="39">
        <f>AU300</f>
        <v>12081580</v>
      </c>
      <c r="AW300" s="48">
        <f>'Net debt &amp; LTV'!AW33</f>
        <v>12299455</v>
      </c>
      <c r="AX300" s="48">
        <f>'Net debt &amp; LTV'!AX33</f>
        <v>12580939</v>
      </c>
      <c r="AY300" s="48">
        <f>'Net debt &amp; LTV'!AY33</f>
        <v>16309331</v>
      </c>
      <c r="AZ300" s="39">
        <f>AY300+(AZ255-AY255)+(AZ274-AY274)</f>
        <v>16250507.211208604</v>
      </c>
      <c r="BA300" s="39">
        <f>AZ300</f>
        <v>16250507.211208604</v>
      </c>
      <c r="BB300" s="39">
        <f>BA300+(BB255-BA255)+(BB274-BA274)</f>
        <v>13170277.13814006</v>
      </c>
      <c r="BC300" s="39">
        <f>BB300+(BC255-BB255)+(BC274-BB274)</f>
        <v>13162014.700046558</v>
      </c>
      <c r="BD300" s="39">
        <f>BC300+(BD255-BC255)+(BD274-BC274)</f>
        <v>13153737.268546276</v>
      </c>
      <c r="BE300" s="39">
        <f>BD300+(BE255-BD255)+(BE274-BD274)</f>
        <v>13145444.777391542</v>
      </c>
      <c r="BF300" s="39">
        <f>BE300</f>
        <v>13145444.777391542</v>
      </c>
      <c r="BG300" s="39">
        <f>BF300+(BG255-BF255)+(BG274-BF274)</f>
        <v>13137137.159868577</v>
      </c>
      <c r="BH300" s="39">
        <f>BG300+(BH255-BG255)+(BH274-BG274)</f>
        <v>13128814.348792993</v>
      </c>
      <c r="BI300" s="39">
        <f>BH300+(BI255-BH255)+(BI274-BH274)</f>
        <v>13120476.276505217</v>
      </c>
      <c r="BJ300" s="39">
        <f>BI300+(BJ255-BI255)+(BJ274-BI274)</f>
        <v>13112122.874865897</v>
      </c>
      <c r="BK300" s="39">
        <f>BJ300</f>
        <v>13112122.874865897</v>
      </c>
      <c r="BL300" s="39">
        <f>BK300+(BL255-BK255)+(BL274-BK274)</f>
        <v>13103754.075251205</v>
      </c>
      <c r="BM300" s="39">
        <f>BL300+(BM255-BL255)+(BM274-BL274)</f>
        <v>13095369.808548115</v>
      </c>
      <c r="BN300" s="39">
        <f>BM300+(BN255-BM255)+(BN274-BM274)</f>
        <v>13086970.005149614</v>
      </c>
      <c r="BO300" s="39">
        <f>BN300+(BO255-BN255)+(BO274-BN274)</f>
        <v>13078554.594949841</v>
      </c>
      <c r="BP300" s="39">
        <f>BO300</f>
        <v>13078554.594949841</v>
      </c>
      <c r="BQ300" s="39">
        <f>BP300+(BQ255-BP255)+(BQ274-BP274)</f>
        <v>13070123.507339183</v>
      </c>
      <c r="BR300" s="39">
        <f>BQ300+(BR255-BQ255)+(BR274-BQ274)</f>
        <v>13061676.671199299</v>
      </c>
      <c r="BS300" s="39">
        <f>BR300+(BS255-BR255)+(BS274-BR274)</f>
        <v>13053214.014898082</v>
      </c>
      <c r="BT300" s="39">
        <f>BS300+(BT255-BS255)+(BT274-BS274)</f>
        <v>13044735.466284564</v>
      </c>
      <c r="BU300" s="39">
        <f>BT300</f>
        <v>13044735.466284564</v>
      </c>
      <c r="BV300" s="39">
        <f>BU300+(BV255-BU255)+(BV274-BU274)</f>
        <v>13036240.952683743</v>
      </c>
      <c r="BW300" s="39">
        <f>BV300+(BW255-BV255)+(BW274-BV274)</f>
        <v>13027730.400891364</v>
      </c>
      <c r="BX300" s="39">
        <f>BW300+(BX255-BW255)+(BX274-BW274)</f>
        <v>13019203.737168612</v>
      </c>
      <c r="BY300" s="39">
        <f>BX300+(BY255-BX255)+(BY274-BX274)</f>
        <v>13010660.887236759</v>
      </c>
      <c r="BZ300" s="39">
        <f>BY300</f>
        <v>13010660.887236759</v>
      </c>
    </row>
    <row r="302" spans="1:78">
      <c r="A302" s="1" t="s">
        <v>2065</v>
      </c>
      <c r="AF302" s="36">
        <f>-AF294</f>
        <v>-4536573</v>
      </c>
      <c r="AG302" s="36">
        <f>-AG294</f>
        <v>-4536573</v>
      </c>
      <c r="AK302" s="36">
        <f t="shared" ref="AK302:AO302" si="586">-AK294</f>
        <v>-4263603</v>
      </c>
      <c r="AL302" s="36">
        <f t="shared" si="586"/>
        <v>-4263603</v>
      </c>
      <c r="AM302" s="36">
        <f t="shared" si="586"/>
        <v>-5238201</v>
      </c>
      <c r="AN302" s="36">
        <f t="shared" si="586"/>
        <v>-5428301</v>
      </c>
      <c r="AO302" s="36">
        <f t="shared" si="586"/>
        <v>-5000436</v>
      </c>
      <c r="AP302" s="36">
        <f t="shared" ref="AP302" si="587">-AP294</f>
        <v>-5172511</v>
      </c>
      <c r="AQ302" s="36">
        <f>AP302</f>
        <v>-5172511</v>
      </c>
      <c r="AR302" s="36">
        <f t="shared" ref="AR302:AT302" si="588">-AR294</f>
        <v>-4785867</v>
      </c>
      <c r="AS302" s="36">
        <f t="shared" si="588"/>
        <v>-3589758</v>
      </c>
      <c r="AT302" s="36">
        <f t="shared" si="588"/>
        <v>-2611963</v>
      </c>
      <c r="AU302" s="36">
        <f>-AU294</f>
        <v>-997843</v>
      </c>
      <c r="AV302" s="36">
        <f>AU302</f>
        <v>-997843</v>
      </c>
      <c r="AW302" s="36">
        <f t="shared" ref="AW302:AY302" si="589">-AW294</f>
        <v>0</v>
      </c>
      <c r="AX302" s="36">
        <f t="shared" si="589"/>
        <v>0</v>
      </c>
      <c r="AY302" s="36">
        <f t="shared" si="589"/>
        <v>0</v>
      </c>
      <c r="AZ302" s="36">
        <f>-AZ294</f>
        <v>0</v>
      </c>
      <c r="BA302" s="36">
        <f>AZ302</f>
        <v>0</v>
      </c>
      <c r="BB302" s="36">
        <f>-BB294</f>
        <v>0</v>
      </c>
      <c r="BC302" s="36">
        <f>-BC294</f>
        <v>0</v>
      </c>
      <c r="BD302" s="36">
        <f>-BD294</f>
        <v>0</v>
      </c>
      <c r="BE302" s="36">
        <f>-BE294</f>
        <v>0</v>
      </c>
      <c r="BF302" s="36">
        <f>BE302</f>
        <v>0</v>
      </c>
      <c r="BG302" s="36">
        <f>-BG294</f>
        <v>0</v>
      </c>
      <c r="BH302" s="36">
        <f>-BH294</f>
        <v>0</v>
      </c>
      <c r="BI302" s="36">
        <f>-BI294</f>
        <v>0</v>
      </c>
      <c r="BJ302" s="36">
        <f>-BJ294</f>
        <v>0</v>
      </c>
      <c r="BK302" s="36">
        <f>BJ302</f>
        <v>0</v>
      </c>
      <c r="BL302" s="36">
        <f>-BL294</f>
        <v>0</v>
      </c>
      <c r="BM302" s="36">
        <f>-BM294</f>
        <v>0</v>
      </c>
      <c r="BN302" s="36">
        <f>-BN294</f>
        <v>0</v>
      </c>
      <c r="BO302" s="36">
        <f>-BO294</f>
        <v>0</v>
      </c>
      <c r="BP302" s="36">
        <f>BO302</f>
        <v>0</v>
      </c>
      <c r="BQ302" s="36">
        <f>-BQ294</f>
        <v>0</v>
      </c>
      <c r="BR302" s="36">
        <f>-BR294</f>
        <v>0</v>
      </c>
      <c r="BS302" s="36">
        <f>-BS294</f>
        <v>0</v>
      </c>
      <c r="BT302" s="36">
        <f>-BT294</f>
        <v>0</v>
      </c>
      <c r="BU302" s="36">
        <f>BT302</f>
        <v>0</v>
      </c>
      <c r="BV302" s="36">
        <f>-BV294</f>
        <v>0</v>
      </c>
      <c r="BW302" s="36">
        <f>-BW294</f>
        <v>0</v>
      </c>
      <c r="BX302" s="36">
        <f>-BX294</f>
        <v>0</v>
      </c>
      <c r="BY302" s="36">
        <f>-BY294</f>
        <v>0</v>
      </c>
      <c r="BZ302" s="36">
        <f>BY302</f>
        <v>0</v>
      </c>
    </row>
    <row r="303" spans="1:78">
      <c r="A303" s="9" t="s">
        <v>2066</v>
      </c>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39">
        <f>AF300+AF302</f>
        <v>10332752</v>
      </c>
      <c r="AG303" s="39">
        <f>AG300+AG302</f>
        <v>10332752</v>
      </c>
      <c r="AH303" s="9"/>
      <c r="AI303" s="9"/>
      <c r="AJ303" s="9"/>
      <c r="AK303" s="39">
        <f t="shared" ref="AK303:BZ303" si="590">AK300+AK302</f>
        <v>8371951</v>
      </c>
      <c r="AL303" s="39">
        <f t="shared" si="590"/>
        <v>8371951</v>
      </c>
      <c r="AM303" s="39">
        <f t="shared" si="590"/>
        <v>8788370</v>
      </c>
      <c r="AN303" s="39">
        <f t="shared" si="590"/>
        <v>8851381</v>
      </c>
      <c r="AO303" s="39">
        <f t="shared" si="590"/>
        <v>8710552</v>
      </c>
      <c r="AP303" s="39">
        <f t="shared" ref="AP303" si="591">AP300+AP302</f>
        <v>9067007</v>
      </c>
      <c r="AQ303" s="39">
        <f t="shared" si="590"/>
        <v>9067007</v>
      </c>
      <c r="AR303" s="39">
        <f t="shared" ref="AR303:AT303" si="592">AR300+AR302</f>
        <v>9508834</v>
      </c>
      <c r="AS303" s="39">
        <f t="shared" si="592"/>
        <v>9630577</v>
      </c>
      <c r="AT303" s="39">
        <f t="shared" si="592"/>
        <v>10309325</v>
      </c>
      <c r="AU303" s="39">
        <f t="shared" si="590"/>
        <v>11083737</v>
      </c>
      <c r="AV303" s="39">
        <f t="shared" si="590"/>
        <v>11083737</v>
      </c>
      <c r="AW303" s="39">
        <f t="shared" si="590"/>
        <v>12299455</v>
      </c>
      <c r="AX303" s="39">
        <f t="shared" si="590"/>
        <v>12580939</v>
      </c>
      <c r="AY303" s="39">
        <f t="shared" si="590"/>
        <v>16309331</v>
      </c>
      <c r="AZ303" s="39">
        <f t="shared" si="590"/>
        <v>16250507.211208604</v>
      </c>
      <c r="BA303" s="39">
        <f t="shared" si="590"/>
        <v>16250507.211208604</v>
      </c>
      <c r="BB303" s="39">
        <f t="shared" si="590"/>
        <v>13170277.13814006</v>
      </c>
      <c r="BC303" s="39">
        <f t="shared" si="590"/>
        <v>13162014.700046558</v>
      </c>
      <c r="BD303" s="39">
        <f t="shared" si="590"/>
        <v>13153737.268546276</v>
      </c>
      <c r="BE303" s="39">
        <f t="shared" si="590"/>
        <v>13145444.777391542</v>
      </c>
      <c r="BF303" s="39">
        <f t="shared" si="590"/>
        <v>13145444.777391542</v>
      </c>
      <c r="BG303" s="39">
        <f t="shared" si="590"/>
        <v>13137137.159868577</v>
      </c>
      <c r="BH303" s="39">
        <f t="shared" si="590"/>
        <v>13128814.348792993</v>
      </c>
      <c r="BI303" s="39">
        <f t="shared" si="590"/>
        <v>13120476.276505217</v>
      </c>
      <c r="BJ303" s="39">
        <f t="shared" si="590"/>
        <v>13112122.874865897</v>
      </c>
      <c r="BK303" s="39">
        <f t="shared" si="590"/>
        <v>13112122.874865897</v>
      </c>
      <c r="BL303" s="39">
        <f t="shared" si="590"/>
        <v>13103754.075251205</v>
      </c>
      <c r="BM303" s="39">
        <f t="shared" si="590"/>
        <v>13095369.808548115</v>
      </c>
      <c r="BN303" s="39">
        <f t="shared" si="590"/>
        <v>13086970.005149614</v>
      </c>
      <c r="BO303" s="39">
        <f t="shared" si="590"/>
        <v>13078554.594949841</v>
      </c>
      <c r="BP303" s="39">
        <f t="shared" si="590"/>
        <v>13078554.594949841</v>
      </c>
      <c r="BQ303" s="39">
        <f t="shared" si="590"/>
        <v>13070123.507339183</v>
      </c>
      <c r="BR303" s="39">
        <f t="shared" si="590"/>
        <v>13061676.671199299</v>
      </c>
      <c r="BS303" s="39">
        <f t="shared" si="590"/>
        <v>13053214.014898082</v>
      </c>
      <c r="BT303" s="39">
        <f t="shared" si="590"/>
        <v>13044735.466284564</v>
      </c>
      <c r="BU303" s="39">
        <f t="shared" si="590"/>
        <v>13044735.466284564</v>
      </c>
      <c r="BV303" s="39">
        <f t="shared" si="590"/>
        <v>13036240.952683743</v>
      </c>
      <c r="BW303" s="39">
        <f t="shared" si="590"/>
        <v>13027730.400891364</v>
      </c>
      <c r="BX303" s="39">
        <f t="shared" si="590"/>
        <v>13019203.737168612</v>
      </c>
      <c r="BY303" s="39">
        <f t="shared" si="590"/>
        <v>13010660.887236759</v>
      </c>
      <c r="BZ303" s="39">
        <f t="shared" si="590"/>
        <v>13010660.887236759</v>
      </c>
    </row>
    <row r="305" spans="1:78">
      <c r="A305" s="1" t="s">
        <v>2067</v>
      </c>
      <c r="AF305" s="36">
        <f>-'Net debt &amp; LTV'!AF138</f>
        <v>-2569355</v>
      </c>
      <c r="AG305" s="36">
        <f>-'Net debt &amp; LTV'!AG138</f>
        <v>-2569355</v>
      </c>
      <c r="AK305" s="36">
        <f>-'Net debt &amp; LTV'!AK138</f>
        <v>-4016085</v>
      </c>
      <c r="AL305" s="36">
        <f>-'Net debt &amp; LTV'!AL138</f>
        <v>-4016085</v>
      </c>
      <c r="AM305" s="36">
        <f>-'Net debt &amp; LTV'!AM138</f>
        <v>-4793506</v>
      </c>
      <c r="AN305" s="36">
        <f>-'Net debt &amp; LTV'!AN138</f>
        <v>-3908360</v>
      </c>
      <c r="AO305" s="36">
        <f>-'Net debt &amp; LTV'!AO138</f>
        <v>-3354462</v>
      </c>
      <c r="AP305" s="36">
        <f>-'Net debt &amp; LTV'!AP138</f>
        <v>-3023961</v>
      </c>
      <c r="AQ305" s="36">
        <f>AP305</f>
        <v>-3023961</v>
      </c>
      <c r="AR305" s="36">
        <f>-'Net debt &amp; LTV'!AR138</f>
        <v>-3088587</v>
      </c>
      <c r="AS305" s="36">
        <f>-'Net debt &amp; LTV'!AS138</f>
        <v>-2254452</v>
      </c>
      <c r="AT305" s="36">
        <f>-'Net debt &amp; LTV'!AT138</f>
        <v>-1960652</v>
      </c>
      <c r="AU305" s="36">
        <f t="shared" ref="AU305:BY305" si="593">AT305*(1+50%*(AU245/AT245-1))</f>
        <v>-1906981.3516247314</v>
      </c>
      <c r="AV305" s="36">
        <f>AU305</f>
        <v>-1906981.3516247314</v>
      </c>
      <c r="AW305" s="36">
        <f>-'Net debt &amp; LTV'!AW138</f>
        <v>-1957189</v>
      </c>
      <c r="AX305" s="36">
        <f>-'Net debt &amp; LTV'!AX138</f>
        <v>-2492280</v>
      </c>
      <c r="AY305" s="36">
        <f>-'Net debt &amp; LTV'!AY138</f>
        <v>-1644130</v>
      </c>
      <c r="AZ305" s="36">
        <f t="shared" si="593"/>
        <v>-1636463.8343127235</v>
      </c>
      <c r="BA305" s="36">
        <f>AZ305</f>
        <v>-1636463.8343127235</v>
      </c>
      <c r="BB305" s="36">
        <f t="shared" si="593"/>
        <v>-1634353.6294973623</v>
      </c>
      <c r="BC305" s="36">
        <f t="shared" si="593"/>
        <v>-1632240.6965568357</v>
      </c>
      <c r="BD305" s="36">
        <f t="shared" si="593"/>
        <v>-1630125.0248827501</v>
      </c>
      <c r="BE305" s="36">
        <f t="shared" si="593"/>
        <v>-1628006.6037977822</v>
      </c>
      <c r="BF305" s="36">
        <f>BE305</f>
        <v>-1628006.6037977822</v>
      </c>
      <c r="BG305" s="36">
        <f t="shared" si="593"/>
        <v>-1625885.4225550487</v>
      </c>
      <c r="BH305" s="36">
        <f t="shared" si="593"/>
        <v>-1623761.4703374719</v>
      </c>
      <c r="BI305" s="36">
        <f t="shared" si="593"/>
        <v>-1621634.7362571347</v>
      </c>
      <c r="BJ305" s="36">
        <f t="shared" si="593"/>
        <v>-1619505.2093546302</v>
      </c>
      <c r="BK305" s="36">
        <f>BJ305</f>
        <v>-1619505.2093546302</v>
      </c>
      <c r="BL305" s="36">
        <f t="shared" si="593"/>
        <v>-1617372.878598403</v>
      </c>
      <c r="BM305" s="36">
        <f t="shared" si="593"/>
        <v>-1615237.7328840815</v>
      </c>
      <c r="BN305" s="36">
        <f t="shared" si="593"/>
        <v>-1613099.7610338049</v>
      </c>
      <c r="BO305" s="36">
        <f t="shared" si="593"/>
        <v>-1610958.9517955382</v>
      </c>
      <c r="BP305" s="36">
        <f>BO305</f>
        <v>-1610958.9517955382</v>
      </c>
      <c r="BQ305" s="36">
        <f t="shared" si="593"/>
        <v>-1608815.2938423837</v>
      </c>
      <c r="BR305" s="36">
        <f t="shared" si="593"/>
        <v>-1606668.7757718801</v>
      </c>
      <c r="BS305" s="36">
        <f t="shared" si="593"/>
        <v>-1604519.3861052955</v>
      </c>
      <c r="BT305" s="36">
        <f t="shared" si="593"/>
        <v>-1602367.1132869117</v>
      </c>
      <c r="BU305" s="36">
        <f>BT305</f>
        <v>-1602367.1132869117</v>
      </c>
      <c r="BV305" s="36">
        <f t="shared" si="593"/>
        <v>-1600211.9456832977</v>
      </c>
      <c r="BW305" s="36">
        <f t="shared" si="593"/>
        <v>-1598053.8715825784</v>
      </c>
      <c r="BX305" s="36">
        <f t="shared" si="593"/>
        <v>-1595892.8791936906</v>
      </c>
      <c r="BY305" s="36">
        <f t="shared" si="593"/>
        <v>-1593728.9566456315</v>
      </c>
      <c r="BZ305" s="36">
        <f>BY305</f>
        <v>-1593728.9566456315</v>
      </c>
    </row>
    <row r="306" spans="1:78">
      <c r="A306" s="9" t="s">
        <v>2068</v>
      </c>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39">
        <f>AF303+AF305</f>
        <v>7763397</v>
      </c>
      <c r="AG306" s="39">
        <f>AG303+AG305</f>
        <v>7763397</v>
      </c>
      <c r="AH306" s="9"/>
      <c r="AI306" s="9"/>
      <c r="AJ306" s="9"/>
      <c r="AK306" s="39">
        <f t="shared" ref="AK306:AO306" si="594">AK303+AK305</f>
        <v>4355866</v>
      </c>
      <c r="AL306" s="39">
        <f t="shared" si="594"/>
        <v>4355866</v>
      </c>
      <c r="AM306" s="39">
        <f t="shared" si="594"/>
        <v>3994864</v>
      </c>
      <c r="AN306" s="39">
        <f t="shared" si="594"/>
        <v>4943021</v>
      </c>
      <c r="AO306" s="39">
        <f t="shared" si="594"/>
        <v>5356090</v>
      </c>
      <c r="AP306" s="39">
        <f t="shared" ref="AP306" si="595">AP303+AP305</f>
        <v>6043046</v>
      </c>
      <c r="AQ306" s="39">
        <f>AP306</f>
        <v>6043046</v>
      </c>
      <c r="AR306" s="39">
        <f t="shared" ref="AR306:AT306" si="596">AR303+AR305</f>
        <v>6420247</v>
      </c>
      <c r="AS306" s="39">
        <f t="shared" si="596"/>
        <v>7376125</v>
      </c>
      <c r="AT306" s="39">
        <f t="shared" si="596"/>
        <v>8348673</v>
      </c>
      <c r="AU306" s="39">
        <f t="shared" ref="AU306" si="597">AU303+AU305</f>
        <v>9176755.648375269</v>
      </c>
      <c r="AV306" s="39">
        <f>AU306</f>
        <v>9176755.648375269</v>
      </c>
      <c r="AW306" s="39">
        <f t="shared" ref="AW306:AY306" si="598">AW303+AW305</f>
        <v>10342266</v>
      </c>
      <c r="AX306" s="39">
        <f t="shared" si="598"/>
        <v>10088659</v>
      </c>
      <c r="AY306" s="39">
        <f t="shared" si="598"/>
        <v>14665201</v>
      </c>
      <c r="AZ306" s="39">
        <f t="shared" ref="AZ306" si="599">AZ303+AZ305</f>
        <v>14614043.37689588</v>
      </c>
      <c r="BA306" s="39">
        <f>AZ306</f>
        <v>14614043.37689588</v>
      </c>
      <c r="BB306" s="39">
        <f>BB303+BB305</f>
        <v>11535923.508642698</v>
      </c>
      <c r="BC306" s="39">
        <f t="shared" ref="BC306:BE306" si="600">BC303+BC305</f>
        <v>11529774.003489722</v>
      </c>
      <c r="BD306" s="39">
        <f t="shared" si="600"/>
        <v>11523612.243663525</v>
      </c>
      <c r="BE306" s="39">
        <f t="shared" si="600"/>
        <v>11517438.17359376</v>
      </c>
      <c r="BF306" s="39">
        <f>BE306</f>
        <v>11517438.17359376</v>
      </c>
      <c r="BG306" s="39">
        <f>BG303+BG305</f>
        <v>11511251.737313529</v>
      </c>
      <c r="BH306" s="39">
        <f t="shared" ref="BH306" si="601">BH303+BH305</f>
        <v>11505052.87845552</v>
      </c>
      <c r="BI306" s="39">
        <f t="shared" ref="BI306" si="602">BI303+BI305</f>
        <v>11498841.540248083</v>
      </c>
      <c r="BJ306" s="39">
        <f t="shared" ref="BJ306" si="603">BJ303+BJ305</f>
        <v>11492617.665511267</v>
      </c>
      <c r="BK306" s="39">
        <f>BJ306</f>
        <v>11492617.665511267</v>
      </c>
      <c r="BL306" s="39">
        <f>BL303+BL305</f>
        <v>11486381.196652802</v>
      </c>
      <c r="BM306" s="39">
        <f t="shared" ref="BM306" si="604">BM303+BM305</f>
        <v>11480132.075664034</v>
      </c>
      <c r="BN306" s="39">
        <f t="shared" ref="BN306" si="605">BN303+BN305</f>
        <v>11473870.244115809</v>
      </c>
      <c r="BO306" s="39">
        <f t="shared" ref="BO306" si="606">BO303+BO305</f>
        <v>11467595.643154303</v>
      </c>
      <c r="BP306" s="39">
        <f>BO306</f>
        <v>11467595.643154303</v>
      </c>
      <c r="BQ306" s="39">
        <f>BQ303+BQ305</f>
        <v>11461308.213496801</v>
      </c>
      <c r="BR306" s="39">
        <f t="shared" ref="BR306" si="607">BR303+BR305</f>
        <v>11455007.895427419</v>
      </c>
      <c r="BS306" s="39">
        <f t="shared" ref="BS306" si="608">BS303+BS305</f>
        <v>11448694.628792787</v>
      </c>
      <c r="BT306" s="39">
        <f t="shared" ref="BT306" si="609">BT303+BT305</f>
        <v>11442368.352997651</v>
      </c>
      <c r="BU306" s="39">
        <f>BT306</f>
        <v>11442368.352997651</v>
      </c>
      <c r="BV306" s="39">
        <f>BV303+BV305</f>
        <v>11436029.007000446</v>
      </c>
      <c r="BW306" s="39">
        <f t="shared" ref="BW306" si="610">BW303+BW305</f>
        <v>11429676.529308785</v>
      </c>
      <c r="BX306" s="39">
        <f t="shared" ref="BX306" si="611">BX303+BX305</f>
        <v>11423310.85797492</v>
      </c>
      <c r="BY306" s="39">
        <f t="shared" ref="BY306" si="612">BY303+BY305</f>
        <v>11416931.930591127</v>
      </c>
      <c r="BZ306" s="39">
        <f>BY306</f>
        <v>11416931.930591127</v>
      </c>
    </row>
    <row r="308" spans="1:78">
      <c r="A308" s="1" t="s">
        <v>2069</v>
      </c>
      <c r="AC308" s="36">
        <f>AC23</f>
        <v>-59594</v>
      </c>
      <c r="AD308" s="36">
        <f>AD23</f>
        <v>-78818</v>
      </c>
      <c r="AE308" s="36">
        <f>AE23</f>
        <v>-70772</v>
      </c>
      <c r="AF308" s="36">
        <f>AF23</f>
        <v>-67924</v>
      </c>
      <c r="AG308" s="36">
        <f>SUM(AC308:AF308)</f>
        <v>-277108</v>
      </c>
      <c r="AH308" s="36">
        <f>AH23</f>
        <v>-80029</v>
      </c>
      <c r="AI308" s="36">
        <f>AI23</f>
        <v>-160610</v>
      </c>
      <c r="AJ308" s="36">
        <f>AJ23</f>
        <v>-76563</v>
      </c>
      <c r="AK308" s="36">
        <f>AK23</f>
        <v>-81339</v>
      </c>
      <c r="AL308" s="36">
        <f>SUM(AH308:AK308)</f>
        <v>-398541</v>
      </c>
      <c r="AM308" s="36">
        <f>AM23</f>
        <v>-97256</v>
      </c>
      <c r="AN308" s="36">
        <f>AN23</f>
        <v>-112386</v>
      </c>
      <c r="AO308" s="36">
        <f>AO23</f>
        <v>-136361</v>
      </c>
      <c r="AP308" s="36">
        <f>AP23</f>
        <v>-127808</v>
      </c>
      <c r="AQ308" s="36">
        <f>SUM(AM308:AP308)</f>
        <v>-473811</v>
      </c>
      <c r="AR308" s="36">
        <f>AR23</f>
        <v>-136075</v>
      </c>
      <c r="AS308" s="36">
        <f>AS23</f>
        <v>-134333</v>
      </c>
      <c r="AT308" s="36">
        <f>AT23</f>
        <v>-132479</v>
      </c>
      <c r="AU308" s="36">
        <f>AU23</f>
        <v>-128365</v>
      </c>
      <c r="AV308" s="36">
        <f>SUM(AR308:AU308)</f>
        <v>-531252</v>
      </c>
      <c r="AW308" s="36">
        <f>AW23</f>
        <v>-146581</v>
      </c>
      <c r="AX308" s="36">
        <f>AX23</f>
        <v>-149752</v>
      </c>
      <c r="AY308" s="36">
        <f>AY23</f>
        <v>-155264</v>
      </c>
      <c r="AZ308" s="36">
        <f>-MROUND(AZ309*AY306/4, 5)</f>
        <v>-256640</v>
      </c>
      <c r="BA308" s="36">
        <f>SUM(AW308:AZ308)</f>
        <v>-708237</v>
      </c>
      <c r="BB308" s="36">
        <f>-MROUND(BB309*BA306/4, 5)</f>
        <v>-255745</v>
      </c>
      <c r="BC308" s="36">
        <f>-MROUND(BC309*BB306/4, 5)</f>
        <v>-201880</v>
      </c>
      <c r="BD308" s="36">
        <f>-MROUND(BD309*BC306/4, 5)</f>
        <v>-201770</v>
      </c>
      <c r="BE308" s="36">
        <f>-MROUND(BE309*BD306/4, 5)</f>
        <v>-201665</v>
      </c>
      <c r="BF308" s="36">
        <f>SUM(BB308:BE308)</f>
        <v>-861060</v>
      </c>
      <c r="BG308" s="36">
        <f>-MROUND(BG309*BF306/4, 5)</f>
        <v>-201555</v>
      </c>
      <c r="BH308" s="36">
        <f>-MROUND(BH309*BG306/4, 5)</f>
        <v>-201445</v>
      </c>
      <c r="BI308" s="36">
        <f>-MROUND(BI309*BH306/4, 5)</f>
        <v>-201340</v>
      </c>
      <c r="BJ308" s="36">
        <f>-MROUND(BJ309*BI306/4, 5)</f>
        <v>-201230</v>
      </c>
      <c r="BK308" s="36">
        <f>SUM(BG308:BJ308)</f>
        <v>-805570</v>
      </c>
      <c r="BL308" s="36">
        <f>-MROUND(BL309*BK306/4, 5)</f>
        <v>-201120</v>
      </c>
      <c r="BM308" s="36">
        <f>-MROUND(BM309*BL306/4, 5)</f>
        <v>-201010</v>
      </c>
      <c r="BN308" s="36">
        <f>-MROUND(BN309*BM306/4, 5)</f>
        <v>-200900</v>
      </c>
      <c r="BO308" s="36">
        <f>-MROUND(BO309*BN306/4, 5)</f>
        <v>-200795</v>
      </c>
      <c r="BP308" s="36">
        <f>SUM(BL308:BO308)</f>
        <v>-803825</v>
      </c>
      <c r="BQ308" s="36">
        <f>-MROUND(BQ309*BP306/4, 5)</f>
        <v>-200685</v>
      </c>
      <c r="BR308" s="36">
        <f>-MROUND(BR309*BQ306/4, 5)</f>
        <v>-200575</v>
      </c>
      <c r="BS308" s="36">
        <f>-MROUND(BS309*BR306/4, 5)</f>
        <v>-200465</v>
      </c>
      <c r="BT308" s="36">
        <f>-MROUND(BT309*BS306/4, 5)</f>
        <v>-200350</v>
      </c>
      <c r="BU308" s="36">
        <f>SUM(BQ308:BT308)</f>
        <v>-802075</v>
      </c>
      <c r="BV308" s="36">
        <f>-MROUND(BV309*BU306/4, 5)</f>
        <v>-200240</v>
      </c>
      <c r="BW308" s="36">
        <f>-MROUND(BW309*BV306/4, 5)</f>
        <v>-200130</v>
      </c>
      <c r="BX308" s="36">
        <f>-MROUND(BX309*BW306/4, 5)</f>
        <v>-200020</v>
      </c>
      <c r="BY308" s="36">
        <f>-MROUND(BY309*BX306/4, 5)</f>
        <v>-199910</v>
      </c>
      <c r="BZ308" s="36">
        <f>SUM(BV308:BY308)</f>
        <v>-800300</v>
      </c>
    </row>
    <row r="309" spans="1:78">
      <c r="A309" s="1" t="s">
        <v>1639</v>
      </c>
      <c r="AF309" s="16">
        <f>-4*AF308/AVERAGE(AE306:AF306)</f>
        <v>3.4997050904391466E-2</v>
      </c>
      <c r="AK309" s="16">
        <f>-4*AK308/AVERAGE(AJ306:AK306)</f>
        <v>7.4693757796957028E-2</v>
      </c>
      <c r="AL309" s="16">
        <f>-AL308/AVERAGE(AG306, AL306)</f>
        <v>6.5769840954850139E-2</v>
      </c>
      <c r="AM309" s="16">
        <f>-4*AM308/AVERAGE(AL306:AM306)</f>
        <v>9.3171255686628596E-2</v>
      </c>
      <c r="AN309" s="16">
        <f>-4*AN308/AVERAGE(AM306:AN306)</f>
        <v>0.10059292550754458</v>
      </c>
      <c r="AO309" s="16">
        <f>-4*AO308/AVERAGE(AN306:AO306)</f>
        <v>0.10592059838951148</v>
      </c>
      <c r="AP309" s="16">
        <f>-4*AP308/AVERAGE(AO306:AP306)</f>
        <v>8.9696622621223229E-2</v>
      </c>
      <c r="AQ309" s="16">
        <f>-AQ308/AVERAGE(AL306, AQ306)</f>
        <v>9.112703328963645E-2</v>
      </c>
      <c r="AR309" s="16">
        <f>-4*AR308/AVERAGE(AQ306:AR306)</f>
        <v>8.7344492342433092E-2</v>
      </c>
      <c r="AS309" s="16">
        <f>-4*AS308/AVERAGE(AR306:AS306)</f>
        <v>7.7894681297372967E-2</v>
      </c>
      <c r="AT309" s="16">
        <f>-4*AT308/AVERAGE(AS306:AT306)</f>
        <v>6.7398767221047928E-2</v>
      </c>
      <c r="AU309" s="16">
        <f>-4*AU308/AVERAGE(AT306:AU306)</f>
        <v>5.8595999025404875E-2</v>
      </c>
      <c r="AV309" s="16">
        <f>-AV308/AVERAGE(AQ306, AV306)</f>
        <v>6.9810633840515487E-2</v>
      </c>
      <c r="AW309" s="16">
        <f>-4*AW308/AVERAGE(AV306:AW306)</f>
        <v>6.007719142509426E-2</v>
      </c>
      <c r="AX309" s="16">
        <f>-4*AX308/AVERAGE(AW306:AX306)</f>
        <v>5.8637384259400883E-2</v>
      </c>
      <c r="AY309" s="16">
        <f>-4*AY308/AVERAGE(AX306:AY306)</f>
        <v>5.0178517613010655E-2</v>
      </c>
      <c r="AZ309" s="303">
        <v>7.0000000000000007E-2</v>
      </c>
      <c r="BB309" s="303">
        <v>7.0000000000000007E-2</v>
      </c>
      <c r="BC309" s="303">
        <v>7.0000000000000007E-2</v>
      </c>
      <c r="BD309" s="303">
        <v>7.0000000000000007E-2</v>
      </c>
      <c r="BE309" s="303">
        <v>7.0000000000000007E-2</v>
      </c>
      <c r="BG309" s="303">
        <v>7.0000000000000007E-2</v>
      </c>
      <c r="BH309" s="303">
        <v>7.0000000000000007E-2</v>
      </c>
      <c r="BI309" s="303">
        <v>7.0000000000000007E-2</v>
      </c>
      <c r="BJ309" s="303">
        <v>7.0000000000000007E-2</v>
      </c>
      <c r="BL309" s="303">
        <v>7.0000000000000007E-2</v>
      </c>
      <c r="BM309" s="303">
        <v>7.0000000000000007E-2</v>
      </c>
      <c r="BN309" s="303">
        <v>7.0000000000000007E-2</v>
      </c>
      <c r="BO309" s="303">
        <v>7.0000000000000007E-2</v>
      </c>
      <c r="BQ309" s="303">
        <v>7.0000000000000007E-2</v>
      </c>
      <c r="BR309" s="303">
        <v>7.0000000000000007E-2</v>
      </c>
      <c r="BS309" s="303">
        <v>7.0000000000000007E-2</v>
      </c>
      <c r="BT309" s="303">
        <v>7.0000000000000007E-2</v>
      </c>
      <c r="BV309" s="303">
        <v>7.0000000000000007E-2</v>
      </c>
      <c r="BW309" s="303">
        <v>7.0000000000000007E-2</v>
      </c>
      <c r="BX309" s="303">
        <v>7.0000000000000007E-2</v>
      </c>
      <c r="BY309" s="303">
        <v>7.0000000000000007E-2</v>
      </c>
    </row>
    <row r="311" spans="1:78" s="12" customFormat="1">
      <c r="A311" s="13" t="s">
        <v>2179</v>
      </c>
    </row>
    <row r="312" spans="1:78">
      <c r="AY312" s="522" t="s">
        <v>3240</v>
      </c>
      <c r="AZ312" s="71"/>
      <c r="BA312" s="71"/>
      <c r="BB312" s="71"/>
      <c r="BC312" s="71"/>
      <c r="BD312" s="71"/>
      <c r="BE312" s="71"/>
      <c r="BF312" s="71"/>
      <c r="BG312" s="71"/>
      <c r="BH312" s="71"/>
    </row>
    <row r="313" spans="1:78">
      <c r="A313" s="5" t="s">
        <v>2421</v>
      </c>
      <c r="AM313" s="38">
        <f t="shared" ref="AM313:BF315" si="613">AM269/AM$245</f>
        <v>8450.9276501827699</v>
      </c>
      <c r="AN313" s="38">
        <f t="shared" si="613"/>
        <v>8422.2489637652088</v>
      </c>
      <c r="AO313" s="38">
        <f t="shared" si="613"/>
        <v>8419.2342945780147</v>
      </c>
      <c r="AP313" s="38">
        <f t="shared" si="613"/>
        <v>8420.1836074235525</v>
      </c>
      <c r="AQ313" s="38">
        <f t="shared" si="613"/>
        <v>8420.1836074235525</v>
      </c>
      <c r="AR313" s="38">
        <f t="shared" si="613"/>
        <v>8424.9084249084244</v>
      </c>
      <c r="AS313" s="38">
        <f t="shared" ref="AS313" si="614">AS269/AS$245</f>
        <v>8432.7051075457166</v>
      </c>
      <c r="AT313" s="38">
        <f t="shared" si="613"/>
        <v>8411.9357693766597</v>
      </c>
      <c r="AU313" s="38">
        <f t="shared" si="613"/>
        <v>8416.9341894060981</v>
      </c>
      <c r="AV313" s="38">
        <f t="shared" si="613"/>
        <v>8416.9341894060981</v>
      </c>
      <c r="AW313" s="38">
        <f t="shared" ref="AW313:AY315" si="615">AW269/AW$245</f>
        <v>8426.2136592776733</v>
      </c>
      <c r="AX313" s="38">
        <f t="shared" si="615"/>
        <v>8437.6679204728644</v>
      </c>
      <c r="AY313" s="38">
        <f t="shared" si="615"/>
        <v>19806.463975472663</v>
      </c>
      <c r="AZ313" s="612">
        <f>AY313+'TopCo Net debt waterfall'!AZ61</f>
        <v>19806.463975472663</v>
      </c>
      <c r="BA313" s="80">
        <f>AZ313</f>
        <v>19806.463975472663</v>
      </c>
      <c r="BB313" s="612">
        <f>BA313+'TopCo Net debt waterfall'!BB61</f>
        <v>19806.463975472663</v>
      </c>
      <c r="BC313" s="612">
        <f>BB313+'TopCo Net debt waterfall'!BC61</f>
        <v>22306.463975472663</v>
      </c>
      <c r="BD313" s="612">
        <f>BC313+'TopCo Net debt waterfall'!BD61</f>
        <v>24806.463975472663</v>
      </c>
      <c r="BE313" s="612">
        <f>BD313+'TopCo Net debt waterfall'!BE61</f>
        <v>24806.463975472663</v>
      </c>
      <c r="BF313" s="80">
        <f>BE313</f>
        <v>24806.463975472663</v>
      </c>
      <c r="BG313" s="612">
        <f>BF313</f>
        <v>24806.463975472663</v>
      </c>
      <c r="BH313" s="612">
        <f t="shared" ref="BH313:BJ313" si="616">BG313</f>
        <v>24806.463975472663</v>
      </c>
      <c r="BI313" s="612">
        <f t="shared" si="616"/>
        <v>24806.463975472663</v>
      </c>
      <c r="BJ313" s="612">
        <f t="shared" si="616"/>
        <v>24806.463975472663</v>
      </c>
      <c r="BK313" s="80">
        <f>BJ313</f>
        <v>24806.463975472663</v>
      </c>
      <c r="BL313" s="612">
        <f>BK313</f>
        <v>24806.463975472663</v>
      </c>
      <c r="BM313" s="612">
        <f t="shared" ref="BM313:BO313" si="617">BL313</f>
        <v>24806.463975472663</v>
      </c>
      <c r="BN313" s="612">
        <f t="shared" si="617"/>
        <v>24806.463975472663</v>
      </c>
      <c r="BO313" s="612">
        <f t="shared" si="617"/>
        <v>24806.463975472663</v>
      </c>
      <c r="BP313" s="80">
        <f>BO313</f>
        <v>24806.463975472663</v>
      </c>
      <c r="BQ313" s="612">
        <f>BP313</f>
        <v>24806.463975472663</v>
      </c>
      <c r="BR313" s="612">
        <f t="shared" ref="BR313:BT313" si="618">BQ313</f>
        <v>24806.463975472663</v>
      </c>
      <c r="BS313" s="612">
        <f t="shared" si="618"/>
        <v>24806.463975472663</v>
      </c>
      <c r="BT313" s="612">
        <f t="shared" si="618"/>
        <v>24806.463975472663</v>
      </c>
      <c r="BU313" s="80">
        <f>BT313</f>
        <v>24806.463975472663</v>
      </c>
      <c r="BV313" s="612">
        <f>BU313</f>
        <v>24806.463975472663</v>
      </c>
      <c r="BW313" s="612">
        <f t="shared" ref="BW313:BY313" si="619">BV313</f>
        <v>24806.463975472663</v>
      </c>
      <c r="BX313" s="612">
        <f t="shared" si="619"/>
        <v>24806.463975472663</v>
      </c>
      <c r="BY313" s="612">
        <f t="shared" si="619"/>
        <v>24806.463975472663</v>
      </c>
      <c r="BZ313" s="80">
        <f>BY313</f>
        <v>24806.463975472663</v>
      </c>
    </row>
    <row r="314" spans="1:78">
      <c r="A314" s="5" t="s">
        <v>2058</v>
      </c>
      <c r="AM314" s="38">
        <f t="shared" ref="AM314:AV314" si="620">AM270/AM$245</f>
        <v>32862.266363197457</v>
      </c>
      <c r="AN314" s="38">
        <f t="shared" si="620"/>
        <v>33028.479743281183</v>
      </c>
      <c r="AO314" s="38">
        <f t="shared" si="620"/>
        <v>31962.208277515332</v>
      </c>
      <c r="AP314" s="38">
        <f t="shared" si="620"/>
        <v>30886.995574929002</v>
      </c>
      <c r="AQ314" s="38">
        <f t="shared" si="620"/>
        <v>30886.995574929002</v>
      </c>
      <c r="AR314" s="38">
        <f t="shared" si="620"/>
        <v>28841.497485565284</v>
      </c>
      <c r="AS314" s="38">
        <f t="shared" ref="AS314" si="621">AS270/AS$245</f>
        <v>24985.63721712324</v>
      </c>
      <c r="AT314" s="38">
        <f t="shared" si="620"/>
        <v>16512.833480844605</v>
      </c>
      <c r="AU314" s="38">
        <f t="shared" si="620"/>
        <v>6673.3547351524876</v>
      </c>
      <c r="AV314" s="38">
        <f t="shared" si="620"/>
        <v>6673.3547351524876</v>
      </c>
      <c r="AW314" s="91"/>
      <c r="AX314" s="91"/>
      <c r="AY314" s="91"/>
      <c r="AZ314" s="91"/>
      <c r="BA314" s="91"/>
      <c r="BB314" s="91"/>
      <c r="BC314" s="91"/>
      <c r="BD314" s="91"/>
      <c r="BE314" s="91"/>
      <c r="BF314" s="36"/>
      <c r="BG314" s="91"/>
      <c r="BH314" s="91"/>
      <c r="BI314" s="91"/>
      <c r="BJ314" s="91"/>
      <c r="BK314" s="36"/>
      <c r="BL314" s="91"/>
      <c r="BM314" s="91"/>
      <c r="BN314" s="91"/>
      <c r="BO314" s="91"/>
      <c r="BP314" s="36"/>
      <c r="BQ314" s="91"/>
      <c r="BR314" s="91"/>
      <c r="BS314" s="91"/>
      <c r="BT314" s="91"/>
      <c r="BU314" s="36"/>
      <c r="BV314" s="91"/>
      <c r="BW314" s="91"/>
      <c r="BX314" s="91"/>
      <c r="BY314" s="91"/>
      <c r="BZ314" s="36"/>
    </row>
    <row r="315" spans="1:78">
      <c r="A315" s="5" t="s">
        <v>2422</v>
      </c>
      <c r="AM315" s="38">
        <f t="shared" ref="AM315:AV315" si="622">AM271/AM$245</f>
        <v>3433.3402303607145</v>
      </c>
      <c r="AN315" s="38">
        <f t="shared" si="622"/>
        <v>3329.9906404599542</v>
      </c>
      <c r="AO315" s="38">
        <f t="shared" si="622"/>
        <v>3514.0661355143479</v>
      </c>
      <c r="AP315" s="38">
        <f t="shared" si="622"/>
        <v>3294.3662902054025</v>
      </c>
      <c r="AQ315" s="38">
        <f t="shared" si="622"/>
        <v>3294.3662902054025</v>
      </c>
      <c r="AR315" s="38">
        <f t="shared" si="622"/>
        <v>3098.6527596697088</v>
      </c>
      <c r="AS315" s="38">
        <f t="shared" ref="AS315" si="623">AS271/AS$245</f>
        <v>3499.61465704477</v>
      </c>
      <c r="AT315" s="38">
        <f t="shared" si="622"/>
        <v>3159.6914907067894</v>
      </c>
      <c r="AU315" s="38">
        <f t="shared" si="622"/>
        <v>5323.7025147137501</v>
      </c>
      <c r="AV315" s="38">
        <f t="shared" si="622"/>
        <v>5323.7025147137501</v>
      </c>
      <c r="AW315" s="38">
        <f t="shared" ref="AW315" si="624">AW271/AW$245</f>
        <v>5500.3107520198882</v>
      </c>
      <c r="AX315" s="38">
        <f t="shared" si="615"/>
        <v>5353.3046749059649</v>
      </c>
      <c r="AY315" s="38">
        <f t="shared" si="615"/>
        <v>7639.2437404190086</v>
      </c>
      <c r="AZ315" s="38">
        <f t="shared" si="613"/>
        <v>7711.1540941328176</v>
      </c>
      <c r="BA315" s="38">
        <f t="shared" si="613"/>
        <v>7711.1540941328176</v>
      </c>
      <c r="BB315" s="38">
        <f t="shared" si="613"/>
        <v>7731.0924369747891</v>
      </c>
      <c r="BC315" s="38">
        <f t="shared" si="613"/>
        <v>7751.1341542449763</v>
      </c>
      <c r="BD315" s="38">
        <f t="shared" si="613"/>
        <v>7771.2800519818056</v>
      </c>
      <c r="BE315" s="38">
        <f t="shared" si="613"/>
        <v>7791.5309446254068</v>
      </c>
      <c r="BF315" s="38">
        <f t="shared" si="613"/>
        <v>7791.5309446254068</v>
      </c>
      <c r="BG315" s="38">
        <f t="shared" ref="BG315:BZ315" si="625">BG271/BG$245</f>
        <v>7811.8876551273679</v>
      </c>
      <c r="BH315" s="38">
        <f t="shared" si="625"/>
        <v>7832.3510150622124</v>
      </c>
      <c r="BI315" s="38">
        <f t="shared" si="625"/>
        <v>7852.9218647406433</v>
      </c>
      <c r="BJ315" s="38">
        <f t="shared" si="625"/>
        <v>7873.6010533245553</v>
      </c>
      <c r="BK315" s="38">
        <f t="shared" si="625"/>
        <v>7873.6010533245553</v>
      </c>
      <c r="BL315" s="38">
        <f t="shared" si="625"/>
        <v>7894.3894389438947</v>
      </c>
      <c r="BM315" s="38">
        <f t="shared" si="625"/>
        <v>7915.2878888153546</v>
      </c>
      <c r="BN315" s="38">
        <f t="shared" si="625"/>
        <v>7936.2972793629715</v>
      </c>
      <c r="BO315" s="38">
        <f t="shared" si="625"/>
        <v>7957.4184963406515</v>
      </c>
      <c r="BP315" s="38">
        <f t="shared" si="625"/>
        <v>7957.4184963406515</v>
      </c>
      <c r="BQ315" s="38">
        <f t="shared" si="625"/>
        <v>7978.6524349566371</v>
      </c>
      <c r="BR315" s="38">
        <f t="shared" si="625"/>
        <v>8000</v>
      </c>
      <c r="BS315" s="38">
        <f t="shared" si="625"/>
        <v>8021.462105969149</v>
      </c>
      <c r="BT315" s="38">
        <f t="shared" si="625"/>
        <v>8043.0396772024196</v>
      </c>
      <c r="BU315" s="38">
        <f t="shared" si="625"/>
        <v>8043.0396772024196</v>
      </c>
      <c r="BV315" s="38">
        <f t="shared" si="625"/>
        <v>8064.7336480107879</v>
      </c>
      <c r="BW315" s="38">
        <f t="shared" si="625"/>
        <v>8086.5449628127108</v>
      </c>
      <c r="BX315" s="38">
        <f t="shared" si="625"/>
        <v>8108.4745762711864</v>
      </c>
      <c r="BY315" s="38">
        <f t="shared" si="625"/>
        <v>8130.5234534330393</v>
      </c>
      <c r="BZ315" s="38">
        <f t="shared" si="625"/>
        <v>8130.5234534330393</v>
      </c>
    </row>
    <row r="316" spans="1:78">
      <c r="A316" s="5" t="s">
        <v>2423</v>
      </c>
      <c r="AM316" s="38">
        <f t="shared" ref="AM316:AR316" si="626">AM272/AM$245</f>
        <v>2826.4018208152283</v>
      </c>
      <c r="AN316" s="38">
        <f t="shared" si="626"/>
        <v>2835.9406337745686</v>
      </c>
      <c r="AO316" s="38">
        <f t="shared" si="626"/>
        <v>2844.9552280899666</v>
      </c>
      <c r="AP316" s="38">
        <f t="shared" si="626"/>
        <v>2854.5010237104552</v>
      </c>
      <c r="AQ316" s="38">
        <f t="shared" si="626"/>
        <v>2854.5010237104552</v>
      </c>
      <c r="AR316" s="681">
        <f t="shared" si="626"/>
        <v>540.13782827342152</v>
      </c>
      <c r="AS316" s="38"/>
      <c r="AT316" s="38"/>
      <c r="AU316" s="38"/>
      <c r="AV316" s="38"/>
      <c r="AW316" s="38"/>
      <c r="AX316" s="38"/>
      <c r="AY316" s="38"/>
      <c r="AZ316" s="38"/>
      <c r="BA316" s="38"/>
      <c r="BB316" s="91"/>
      <c r="BC316" s="91"/>
      <c r="BD316" s="91"/>
      <c r="BE316" s="91"/>
      <c r="BF316" s="36"/>
      <c r="BG316" s="91"/>
      <c r="BH316" s="91"/>
      <c r="BI316" s="91"/>
      <c r="BJ316" s="91"/>
      <c r="BK316" s="36"/>
      <c r="BL316" s="91"/>
      <c r="BM316" s="91"/>
      <c r="BN316" s="91"/>
      <c r="BO316" s="91"/>
      <c r="BP316" s="36"/>
      <c r="BQ316" s="91"/>
      <c r="BR316" s="91"/>
      <c r="BS316" s="91"/>
      <c r="BT316" s="91"/>
      <c r="BU316" s="36"/>
      <c r="BV316" s="91"/>
      <c r="BW316" s="91"/>
      <c r="BX316" s="91"/>
      <c r="BY316" s="91"/>
      <c r="BZ316" s="36"/>
    </row>
    <row r="317" spans="1:78">
      <c r="A317" s="5" t="s">
        <v>2424</v>
      </c>
      <c r="AM317" s="38">
        <f t="shared" ref="AM317:AV317" si="627">AM273/AM$245</f>
        <v>3320.9186840471752</v>
      </c>
      <c r="AN317" s="38">
        <f t="shared" si="627"/>
        <v>3219.6817756384539</v>
      </c>
      <c r="AO317" s="38">
        <f t="shared" si="627"/>
        <v>3362.4762039060843</v>
      </c>
      <c r="AP317" s="38">
        <f t="shared" si="627"/>
        <v>3281.8175814014926</v>
      </c>
      <c r="AQ317" s="38">
        <f t="shared" si="627"/>
        <v>3281.8175814014926</v>
      </c>
      <c r="AR317" s="38">
        <f t="shared" si="627"/>
        <v>3259.4524119947851</v>
      </c>
      <c r="AS317" s="38">
        <f t="shared" ref="AS317" si="628">AS273/AS$245</f>
        <v>3393.1198766902544</v>
      </c>
      <c r="AT317" s="38">
        <f t="shared" si="627"/>
        <v>3149.5764319130103</v>
      </c>
      <c r="AU317" s="38">
        <f t="shared" si="627"/>
        <v>2738.0952380952381</v>
      </c>
      <c r="AV317" s="38">
        <f t="shared" si="627"/>
        <v>2738.0952380952381</v>
      </c>
      <c r="AW317" s="38">
        <f t="shared" ref="AW317:AY318" si="629">AW273/AW$245</f>
        <v>2357.5719908846072</v>
      </c>
      <c r="AX317" s="38"/>
      <c r="AY317" s="38"/>
      <c r="AZ317" s="91"/>
      <c r="BA317" s="91"/>
      <c r="BB317" s="91"/>
      <c r="BC317" s="91"/>
      <c r="BD317" s="91"/>
      <c r="BE317" s="91"/>
      <c r="BF317" s="36"/>
      <c r="BG317" s="91"/>
      <c r="BH317" s="91"/>
      <c r="BI317" s="91"/>
      <c r="BJ317" s="91"/>
      <c r="BK317" s="36"/>
      <c r="BL317" s="91"/>
      <c r="BM317" s="91"/>
      <c r="BN317" s="91"/>
      <c r="BO317" s="91"/>
      <c r="BP317" s="36"/>
      <c r="BQ317" s="91"/>
      <c r="BR317" s="91"/>
      <c r="BS317" s="91"/>
      <c r="BT317" s="91"/>
      <c r="BU317" s="36"/>
      <c r="BV317" s="91"/>
      <c r="BW317" s="91"/>
      <c r="BX317" s="91"/>
      <c r="BY317" s="91"/>
      <c r="BZ317" s="36"/>
    </row>
    <row r="318" spans="1:78">
      <c r="A318" s="9" t="s">
        <v>2047</v>
      </c>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48"/>
      <c r="AG318" s="48"/>
      <c r="AH318" s="9"/>
      <c r="AI318" s="9"/>
      <c r="AJ318" s="9"/>
      <c r="AK318" s="48"/>
      <c r="AL318" s="48"/>
      <c r="AM318" s="48">
        <f t="shared" ref="AM318:AV318" si="630">AM274/AM$245</f>
        <v>50893.854748603349</v>
      </c>
      <c r="AN318" s="48">
        <f t="shared" si="630"/>
        <v>50836.34175691937</v>
      </c>
      <c r="AO318" s="48">
        <f t="shared" si="630"/>
        <v>50102.94013960375</v>
      </c>
      <c r="AP318" s="48">
        <f t="shared" si="630"/>
        <v>48737.864077669903</v>
      </c>
      <c r="AQ318" s="48">
        <f t="shared" si="630"/>
        <v>48737.864077669903</v>
      </c>
      <c r="AR318" s="48">
        <f t="shared" si="630"/>
        <v>44164.648910411626</v>
      </c>
      <c r="AS318" s="48">
        <f t="shared" ref="AS318" si="631">AS274/AS$245</f>
        <v>40311.076858403983</v>
      </c>
      <c r="AT318" s="48">
        <f t="shared" si="630"/>
        <v>31234.037172841065</v>
      </c>
      <c r="AU318" s="48">
        <f t="shared" si="630"/>
        <v>23152.086677367573</v>
      </c>
      <c r="AV318" s="48">
        <f t="shared" si="630"/>
        <v>23152.086677367573</v>
      </c>
      <c r="AW318" s="48">
        <f t="shared" ref="AW318" si="632">AW274/AW$245</f>
        <v>16284.096402182169</v>
      </c>
      <c r="AX318" s="48">
        <f t="shared" si="629"/>
        <v>13790.972595378829</v>
      </c>
      <c r="AY318" s="48">
        <f t="shared" si="629"/>
        <v>27445.707715891669</v>
      </c>
      <c r="AZ318" s="48">
        <f t="shared" ref="AZ318:BZ318" si="633">SUM(AZ313:AZ317)</f>
        <v>27517.61806960548</v>
      </c>
      <c r="BA318" s="48">
        <f t="shared" si="633"/>
        <v>27517.61806960548</v>
      </c>
      <c r="BB318" s="48">
        <f t="shared" si="633"/>
        <v>27537.556412447451</v>
      </c>
      <c r="BC318" s="48">
        <f t="shared" si="633"/>
        <v>30057.59812971764</v>
      </c>
      <c r="BD318" s="48">
        <f t="shared" si="633"/>
        <v>32577.744027454468</v>
      </c>
      <c r="BE318" s="48">
        <f t="shared" si="633"/>
        <v>32597.99492009807</v>
      </c>
      <c r="BF318" s="48">
        <f t="shared" si="633"/>
        <v>32597.99492009807</v>
      </c>
      <c r="BG318" s="48">
        <f t="shared" si="633"/>
        <v>32618.351630600031</v>
      </c>
      <c r="BH318" s="48">
        <f t="shared" si="633"/>
        <v>32638.814990534876</v>
      </c>
      <c r="BI318" s="48">
        <f t="shared" si="633"/>
        <v>32659.385840213305</v>
      </c>
      <c r="BJ318" s="48">
        <f t="shared" si="633"/>
        <v>32680.065028797217</v>
      </c>
      <c r="BK318" s="48">
        <f t="shared" si="633"/>
        <v>32680.065028797217</v>
      </c>
      <c r="BL318" s="48">
        <f t="shared" si="633"/>
        <v>32700.853414416557</v>
      </c>
      <c r="BM318" s="48">
        <f t="shared" si="633"/>
        <v>32721.751864288017</v>
      </c>
      <c r="BN318" s="48">
        <f t="shared" si="633"/>
        <v>32742.761254835634</v>
      </c>
      <c r="BO318" s="48">
        <f t="shared" si="633"/>
        <v>32763.882471813315</v>
      </c>
      <c r="BP318" s="48">
        <f t="shared" si="633"/>
        <v>32763.882471813315</v>
      </c>
      <c r="BQ318" s="48">
        <f t="shared" si="633"/>
        <v>32785.116410429298</v>
      </c>
      <c r="BR318" s="48">
        <f t="shared" si="633"/>
        <v>32806.463975472667</v>
      </c>
      <c r="BS318" s="48">
        <f t="shared" si="633"/>
        <v>32827.926081441808</v>
      </c>
      <c r="BT318" s="48">
        <f t="shared" si="633"/>
        <v>32849.503652675085</v>
      </c>
      <c r="BU318" s="48">
        <f t="shared" si="633"/>
        <v>32849.503652675085</v>
      </c>
      <c r="BV318" s="48">
        <f t="shared" si="633"/>
        <v>32871.197623483451</v>
      </c>
      <c r="BW318" s="48">
        <f t="shared" si="633"/>
        <v>32893.008938285377</v>
      </c>
      <c r="BX318" s="48">
        <f t="shared" si="633"/>
        <v>32914.93855174385</v>
      </c>
      <c r="BY318" s="48">
        <f t="shared" si="633"/>
        <v>32936.987428905704</v>
      </c>
      <c r="BZ318" s="48">
        <f t="shared" si="633"/>
        <v>32936.987428905704</v>
      </c>
    </row>
    <row r="319" spans="1:78">
      <c r="AR319" s="685" t="s">
        <v>2691</v>
      </c>
      <c r="AS319" s="684"/>
      <c r="AT319" s="684"/>
      <c r="AU319" s="684"/>
      <c r="AV319" s="684"/>
      <c r="AW319" s="684"/>
      <c r="AX319" s="684"/>
    </row>
    <row r="320" spans="1:78">
      <c r="AX320" s="263" t="s">
        <v>3241</v>
      </c>
      <c r="AY320" s="612">
        <f>20000-AY313</f>
        <v>193.53602452733685</v>
      </c>
      <c r="AZ320" s="612">
        <f>20000-AZ313</f>
        <v>193.53602452733685</v>
      </c>
      <c r="BA320" s="80">
        <f>AZ320</f>
        <v>193.53602452733685</v>
      </c>
      <c r="BB320" s="612">
        <f>20000-BB313</f>
        <v>193.53602452733685</v>
      </c>
      <c r="BC320" s="612">
        <f>20000-BC313</f>
        <v>-2306.4639754726632</v>
      </c>
      <c r="BD320" s="612">
        <f>20000-BD313</f>
        <v>-4806.4639754726632</v>
      </c>
      <c r="BE320" s="612">
        <f>20000-BE313</f>
        <v>-4806.4639754726632</v>
      </c>
      <c r="BF320" s="80">
        <f>BE320</f>
        <v>-4806.4639754726632</v>
      </c>
      <c r="BG320" s="612">
        <f>20000-BG313</f>
        <v>-4806.4639754726632</v>
      </c>
      <c r="BH320" s="612">
        <f>20000-BH313</f>
        <v>-4806.4639754726632</v>
      </c>
      <c r="BI320" s="612">
        <f>20000-BI313</f>
        <v>-4806.4639754726632</v>
      </c>
      <c r="BJ320" s="612">
        <f>20000-BJ313</f>
        <v>-4806.4639754726632</v>
      </c>
      <c r="BK320" s="80">
        <f>BJ320</f>
        <v>-4806.4639754726632</v>
      </c>
      <c r="BL320" s="612">
        <f>20000-BL313</f>
        <v>-4806.4639754726632</v>
      </c>
      <c r="BM320" s="612">
        <f>20000-BM313</f>
        <v>-4806.4639754726632</v>
      </c>
      <c r="BN320" s="612">
        <f>20000-BN313</f>
        <v>-4806.4639754726632</v>
      </c>
      <c r="BO320" s="612">
        <f>20000-BO313</f>
        <v>-4806.4639754726632</v>
      </c>
      <c r="BP320" s="80">
        <f>BO320</f>
        <v>-4806.4639754726632</v>
      </c>
      <c r="BQ320" s="612">
        <f>20000-BQ313</f>
        <v>-4806.4639754726632</v>
      </c>
      <c r="BR320" s="612">
        <f>20000-BR313</f>
        <v>-4806.4639754726632</v>
      </c>
      <c r="BS320" s="612">
        <f>20000-BS313</f>
        <v>-4806.4639754726632</v>
      </c>
      <c r="BT320" s="612">
        <f>20000-BT313</f>
        <v>-4806.4639754726632</v>
      </c>
      <c r="BU320" s="80">
        <f>BT320</f>
        <v>-4806.4639754726632</v>
      </c>
      <c r="BV320" s="612">
        <f>20000-BV313</f>
        <v>-4806.4639754726632</v>
      </c>
      <c r="BW320" s="612">
        <f>20000-BW313</f>
        <v>-4806.4639754726632</v>
      </c>
      <c r="BX320" s="612">
        <f>20000-BX313</f>
        <v>-4806.4639754726632</v>
      </c>
      <c r="BY320" s="612">
        <f>20000-BY313</f>
        <v>-4806.4639754726632</v>
      </c>
      <c r="BZ320" s="80">
        <f>BY320</f>
        <v>-4806.4639754726632</v>
      </c>
    </row>
    <row r="321" spans="51:51">
      <c r="AY321" s="25" t="s">
        <v>3242</v>
      </c>
    </row>
  </sheetData>
  <pageMargins left="0.7" right="0.7" top="0.75" bottom="0.75" header="0.3" footer="0.3"/>
  <pageSetup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A9AB0-2F05-472B-990D-CE41DA5465E1}">
  <sheetPr codeName="Sheet10"/>
  <dimension ref="A1:CE1100"/>
  <sheetViews>
    <sheetView zoomScale="90" zoomScaleNormal="90" workbookViewId="0">
      <pane xSplit="8" ySplit="2" topLeftCell="AV905" activePane="bottomRight" state="frozen"/>
      <selection pane="topRight" activeCell="I1" sqref="I1"/>
      <selection pane="bottomLeft" activeCell="A3" sqref="A3"/>
      <selection pane="bottomRight"/>
    </sheetView>
  </sheetViews>
  <sheetFormatPr defaultColWidth="9.140625" defaultRowHeight="12" outlineLevelRow="1" outlineLevelCol="1"/>
  <cols>
    <col min="1" max="1" width="9.140625" style="1"/>
    <col min="2" max="2" width="25.7109375" style="1" customWidth="1"/>
    <col min="3" max="8" width="9.140625" style="1"/>
    <col min="9" max="12" width="11.42578125" style="1" customWidth="1" outlineLevel="1"/>
    <col min="13" max="13" width="11.42578125" style="1" customWidth="1"/>
    <col min="14" max="17" width="11.42578125" style="1" customWidth="1" outlineLevel="1"/>
    <col min="18" max="18" width="11.42578125" style="1" customWidth="1"/>
    <col min="19" max="22" width="11.42578125" style="1" customWidth="1" outlineLevel="1"/>
    <col min="23" max="23" width="11.42578125" style="1" customWidth="1"/>
    <col min="24" max="27" width="11.42578125" style="1" customWidth="1" outlineLevel="1"/>
    <col min="28" max="28" width="11.42578125" style="1" customWidth="1"/>
    <col min="29" max="32" width="11.42578125" style="1" customWidth="1" outlineLevel="1"/>
    <col min="33" max="33" width="11.42578125" style="1" customWidth="1"/>
    <col min="34" max="37" width="11.42578125" style="1" customWidth="1" outlineLevel="1"/>
    <col min="38" max="38" width="11.42578125" style="1" customWidth="1"/>
    <col min="39" max="42" width="11.42578125" style="1" customWidth="1" outlineLevel="1"/>
    <col min="43" max="43" width="11.42578125" style="1" customWidth="1"/>
    <col min="44" max="47" width="11.42578125" style="1" customWidth="1" outlineLevel="1"/>
    <col min="48" max="48" width="11.42578125" style="1" customWidth="1"/>
    <col min="49" max="52" width="11.42578125" style="1" customWidth="1" outlineLevel="1"/>
    <col min="53" max="53" width="11.42578125" style="1" customWidth="1"/>
    <col min="54" max="57" width="11.42578125" style="1" customWidth="1" outlineLevel="1"/>
    <col min="58" max="58" width="11.42578125" style="1" customWidth="1"/>
    <col min="59" max="62" width="11.42578125" style="1" customWidth="1" outlineLevel="1"/>
    <col min="63" max="63" width="11.42578125" style="1" customWidth="1"/>
    <col min="64" max="67" width="11.42578125" style="1" customWidth="1" outlineLevel="1"/>
    <col min="68" max="68" width="11.42578125" style="1" customWidth="1"/>
    <col min="69" max="72" width="11.42578125" style="1" customWidth="1" outlineLevel="1"/>
    <col min="73" max="73" width="11.42578125" style="1" customWidth="1"/>
    <col min="74" max="77" width="11.42578125" style="1" customWidth="1" outlineLevel="1"/>
    <col min="78" max="78" width="11.42578125" style="1" customWidth="1"/>
    <col min="79" max="16384" width="9.140625" style="1"/>
  </cols>
  <sheetData>
    <row r="1" spans="1:78" s="2" customFormat="1">
      <c r="A1" s="2" t="s">
        <v>0</v>
      </c>
      <c r="I1" s="43" t="s">
        <v>160</v>
      </c>
      <c r="J1" s="43" t="s">
        <v>161</v>
      </c>
      <c r="K1" s="43" t="s">
        <v>162</v>
      </c>
      <c r="M1" s="18" t="s">
        <v>159</v>
      </c>
      <c r="N1" s="43" t="s">
        <v>150</v>
      </c>
      <c r="O1" s="43" t="s">
        <v>151</v>
      </c>
      <c r="P1" s="43" t="s">
        <v>152</v>
      </c>
      <c r="R1" s="18" t="s">
        <v>153</v>
      </c>
      <c r="S1" s="43" t="s">
        <v>146</v>
      </c>
      <c r="T1" s="43" t="s">
        <v>147</v>
      </c>
      <c r="U1" s="43" t="s">
        <v>148</v>
      </c>
      <c r="W1" s="18" t="s">
        <v>149</v>
      </c>
      <c r="X1" s="43" t="s">
        <v>142</v>
      </c>
      <c r="Y1" s="43" t="s">
        <v>143</v>
      </c>
      <c r="Z1" s="43" t="s">
        <v>144</v>
      </c>
      <c r="AB1" s="18" t="s">
        <v>145</v>
      </c>
      <c r="AC1" s="43" t="s">
        <v>138</v>
      </c>
      <c r="AD1" s="43" t="s">
        <v>139</v>
      </c>
      <c r="AE1" s="43" t="s">
        <v>140</v>
      </c>
      <c r="AG1" s="18" t="s">
        <v>141</v>
      </c>
      <c r="AH1" s="43" t="s">
        <v>126</v>
      </c>
      <c r="AI1" s="43" t="s">
        <v>127</v>
      </c>
      <c r="AJ1" s="43" t="s">
        <v>128</v>
      </c>
      <c r="AL1" s="18" t="s">
        <v>79</v>
      </c>
      <c r="AM1" s="43" t="s">
        <v>129</v>
      </c>
      <c r="AN1" s="43" t="s">
        <v>130</v>
      </c>
      <c r="AO1" s="43" t="s">
        <v>131</v>
      </c>
      <c r="AQ1" s="18" t="s">
        <v>90</v>
      </c>
      <c r="AR1" s="43" t="s">
        <v>700</v>
      </c>
      <c r="AS1" s="43" t="s">
        <v>701</v>
      </c>
      <c r="AT1" s="43" t="s">
        <v>702</v>
      </c>
      <c r="AV1" s="18" t="s">
        <v>699</v>
      </c>
      <c r="AW1" s="43" t="s">
        <v>1177</v>
      </c>
      <c r="AX1" s="43" t="s">
        <v>1178</v>
      </c>
      <c r="AY1" s="43" t="s">
        <v>1179</v>
      </c>
      <c r="BA1" s="18" t="s">
        <v>1180</v>
      </c>
      <c r="BB1" s="43" t="s">
        <v>1189</v>
      </c>
      <c r="BC1" s="43" t="s">
        <v>1190</v>
      </c>
      <c r="BD1" s="43" t="s">
        <v>1191</v>
      </c>
      <c r="BF1" s="18" t="s">
        <v>1198</v>
      </c>
      <c r="BG1" s="43" t="s">
        <v>1192</v>
      </c>
      <c r="BH1" s="43" t="s">
        <v>1199</v>
      </c>
      <c r="BI1" s="43" t="s">
        <v>1200</v>
      </c>
      <c r="BK1" s="18" t="s">
        <v>1209</v>
      </c>
      <c r="BL1" s="43" t="s">
        <v>1201</v>
      </c>
      <c r="BM1" s="43" t="s">
        <v>1203</v>
      </c>
      <c r="BN1" s="43" t="s">
        <v>1205</v>
      </c>
      <c r="BP1" s="18" t="s">
        <v>1210</v>
      </c>
      <c r="BQ1" s="43" t="s">
        <v>1211</v>
      </c>
      <c r="BR1" s="43" t="s">
        <v>1213</v>
      </c>
      <c r="BS1" s="43" t="s">
        <v>1215</v>
      </c>
      <c r="BU1" s="18" t="s">
        <v>1219</v>
      </c>
      <c r="BV1" s="43" t="s">
        <v>1211</v>
      </c>
      <c r="BW1" s="43" t="s">
        <v>1213</v>
      </c>
      <c r="BX1" s="43" t="s">
        <v>1215</v>
      </c>
      <c r="BZ1" s="18" t="s">
        <v>1220</v>
      </c>
    </row>
    <row r="2" spans="1:78" s="2" customFormat="1">
      <c r="A2" s="2" t="s">
        <v>2</v>
      </c>
      <c r="I2" s="6" t="s">
        <v>194</v>
      </c>
      <c r="J2" s="6" t="s">
        <v>195</v>
      </c>
      <c r="K2" s="6" t="s">
        <v>196</v>
      </c>
      <c r="L2" s="6" t="s">
        <v>197</v>
      </c>
      <c r="M2" s="6" t="s">
        <v>198</v>
      </c>
      <c r="N2" s="6" t="s">
        <v>163</v>
      </c>
      <c r="O2" s="6" t="s">
        <v>164</v>
      </c>
      <c r="P2" s="6" t="s">
        <v>165</v>
      </c>
      <c r="Q2" s="6" t="s">
        <v>166</v>
      </c>
      <c r="R2" s="6" t="s">
        <v>167</v>
      </c>
      <c r="S2" s="6" t="s">
        <v>154</v>
      </c>
      <c r="T2" s="6" t="s">
        <v>155</v>
      </c>
      <c r="U2" s="6" t="s">
        <v>156</v>
      </c>
      <c r="V2" s="6" t="s">
        <v>157</v>
      </c>
      <c r="W2" s="6" t="s">
        <v>158</v>
      </c>
      <c r="X2" s="6" t="s">
        <v>133</v>
      </c>
      <c r="Y2" s="6" t="s">
        <v>134</v>
      </c>
      <c r="Z2" s="6" t="s">
        <v>135</v>
      </c>
      <c r="AA2" s="6" t="s">
        <v>136</v>
      </c>
      <c r="AB2" s="6" t="s">
        <v>137</v>
      </c>
      <c r="AC2" s="6" t="s">
        <v>74</v>
      </c>
      <c r="AD2" s="6" t="s">
        <v>75</v>
      </c>
      <c r="AE2" s="6" t="s">
        <v>76</v>
      </c>
      <c r="AF2" s="6" t="s">
        <v>77</v>
      </c>
      <c r="AG2" s="6" t="s">
        <v>78</v>
      </c>
      <c r="AH2" s="6" t="s">
        <v>10</v>
      </c>
      <c r="AI2" s="6" t="s">
        <v>11</v>
      </c>
      <c r="AJ2" s="6" t="s">
        <v>12</v>
      </c>
      <c r="AK2" s="6" t="s">
        <v>13</v>
      </c>
      <c r="AL2" s="6" t="s">
        <v>14</v>
      </c>
      <c r="AM2" s="6" t="s">
        <v>91</v>
      </c>
      <c r="AN2" s="6" t="s">
        <v>92</v>
      </c>
      <c r="AO2" s="6" t="s">
        <v>93</v>
      </c>
      <c r="AP2" s="6" t="s">
        <v>94</v>
      </c>
      <c r="AQ2" s="6" t="s">
        <v>95</v>
      </c>
      <c r="AR2" s="6" t="s">
        <v>686</v>
      </c>
      <c r="AS2" s="6" t="s">
        <v>695</v>
      </c>
      <c r="AT2" s="6" t="s">
        <v>696</v>
      </c>
      <c r="AU2" s="6" t="s">
        <v>697</v>
      </c>
      <c r="AV2" s="6" t="s">
        <v>698</v>
      </c>
      <c r="AW2" s="6" t="s">
        <v>1172</v>
      </c>
      <c r="AX2" s="6" t="s">
        <v>1173</v>
      </c>
      <c r="AY2" s="6" t="s">
        <v>1174</v>
      </c>
      <c r="AZ2" s="6" t="s">
        <v>1175</v>
      </c>
      <c r="BA2" s="6" t="s">
        <v>1176</v>
      </c>
      <c r="BB2" s="6" t="s">
        <v>1184</v>
      </c>
      <c r="BC2" s="6" t="s">
        <v>1185</v>
      </c>
      <c r="BD2" s="6" t="s">
        <v>1186</v>
      </c>
      <c r="BE2" s="6" t="s">
        <v>1187</v>
      </c>
      <c r="BF2" s="6" t="s">
        <v>1188</v>
      </c>
      <c r="BG2" s="6" t="s">
        <v>1193</v>
      </c>
      <c r="BH2" s="6" t="s">
        <v>1194</v>
      </c>
      <c r="BI2" s="6" t="s">
        <v>1195</v>
      </c>
      <c r="BJ2" s="6" t="s">
        <v>1196</v>
      </c>
      <c r="BK2" s="6" t="s">
        <v>1197</v>
      </c>
      <c r="BL2" s="6" t="s">
        <v>1202</v>
      </c>
      <c r="BM2" s="6" t="s">
        <v>1204</v>
      </c>
      <c r="BN2" s="6" t="s">
        <v>1206</v>
      </c>
      <c r="BO2" s="6" t="s">
        <v>1207</v>
      </c>
      <c r="BP2" s="6" t="s">
        <v>1208</v>
      </c>
      <c r="BQ2" s="6" t="s">
        <v>1212</v>
      </c>
      <c r="BR2" s="6" t="s">
        <v>1214</v>
      </c>
      <c r="BS2" s="6" t="s">
        <v>1216</v>
      </c>
      <c r="BT2" s="6" t="s">
        <v>1217</v>
      </c>
      <c r="BU2" s="6" t="s">
        <v>1218</v>
      </c>
      <c r="BV2" s="6" t="s">
        <v>1221</v>
      </c>
      <c r="BW2" s="6" t="s">
        <v>1222</v>
      </c>
      <c r="BX2" s="6" t="s">
        <v>1223</v>
      </c>
      <c r="BY2" s="6" t="s">
        <v>1224</v>
      </c>
      <c r="BZ2" s="6" t="s">
        <v>1225</v>
      </c>
    </row>
    <row r="4" spans="1:78" s="2" customFormat="1">
      <c r="A4" s="4" t="s">
        <v>241</v>
      </c>
      <c r="I4" s="68" t="s">
        <v>244</v>
      </c>
      <c r="Q4" s="113" t="s">
        <v>383</v>
      </c>
    </row>
    <row r="5" spans="1:78">
      <c r="O5" s="22" t="s">
        <v>374</v>
      </c>
      <c r="S5" s="25" t="s">
        <v>440</v>
      </c>
      <c r="Y5" s="66" t="s">
        <v>484</v>
      </c>
      <c r="Z5" s="46"/>
      <c r="AA5" s="46"/>
      <c r="AB5" s="46"/>
      <c r="AC5" s="46"/>
      <c r="AH5" s="66" t="s">
        <v>626</v>
      </c>
      <c r="AI5" s="46"/>
      <c r="AJ5" s="46"/>
      <c r="AK5" s="46"/>
      <c r="AL5" s="46"/>
      <c r="AM5" s="46"/>
      <c r="AN5" s="160" t="s">
        <v>132</v>
      </c>
      <c r="AO5" s="163"/>
    </row>
    <row r="6" spans="1:78">
      <c r="A6" s="34" t="s">
        <v>103</v>
      </c>
      <c r="O6" s="37">
        <v>146682</v>
      </c>
      <c r="P6" s="37">
        <f>146682-O6</f>
        <v>0</v>
      </c>
      <c r="Q6" s="36">
        <f>R6-SUM(N6:P6)</f>
        <v>149849</v>
      </c>
      <c r="R6" s="37">
        <v>296531</v>
      </c>
      <c r="T6" s="37">
        <v>34805</v>
      </c>
      <c r="U6" s="37">
        <f>14643-T6</f>
        <v>-20162</v>
      </c>
      <c r="V6" s="36">
        <f t="shared" ref="V6:V12" si="0">W6-SUM(S6:U6)</f>
        <v>43697</v>
      </c>
      <c r="W6" s="37">
        <v>58340</v>
      </c>
      <c r="X6" s="37">
        <v>111425</v>
      </c>
      <c r="Y6" s="37">
        <f>141385-X6</f>
        <v>29960</v>
      </c>
      <c r="Z6" s="37">
        <f>205274-Y6-X6</f>
        <v>63889</v>
      </c>
      <c r="AA6" s="36">
        <f t="shared" ref="AA6:AA12" si="1">AB6-SUM(X6:Z6)</f>
        <v>214366</v>
      </c>
      <c r="AB6" s="37">
        <v>419640</v>
      </c>
      <c r="AC6" s="37">
        <v>406642</v>
      </c>
      <c r="AD6" s="37">
        <f>862522-AC6</f>
        <v>455880</v>
      </c>
      <c r="AE6" s="37">
        <f>1127624-AD6-AC6</f>
        <v>265102</v>
      </c>
      <c r="AF6" s="36">
        <f t="shared" ref="AF6:AF12" si="2">AG6-SUM(AC6:AE6)</f>
        <v>227050</v>
      </c>
      <c r="AG6" s="37">
        <v>1354674</v>
      </c>
      <c r="AH6" s="37">
        <v>-26722</v>
      </c>
      <c r="AI6" s="37">
        <f>5398-AH6</f>
        <v>32120</v>
      </c>
      <c r="AJ6" s="37">
        <f>47040-AI6-AH6</f>
        <v>41642</v>
      </c>
      <c r="AK6" s="36">
        <f t="shared" ref="AK6:AK14" si="3">AL6-SUM(AH6:AJ6)</f>
        <v>31576</v>
      </c>
      <c r="AL6" s="37">
        <v>78616</v>
      </c>
      <c r="AM6" s="37">
        <v>-68179</v>
      </c>
      <c r="AN6" s="159">
        <f>855769-AM6</f>
        <v>923948</v>
      </c>
      <c r="AO6" s="37">
        <f>934995-AN6-AM6</f>
        <v>79226</v>
      </c>
      <c r="AP6" s="36">
        <f t="shared" ref="AP6:AP14" si="4">AQ6-SUM(AM6:AO6)</f>
        <v>49414</v>
      </c>
      <c r="AQ6" s="37">
        <v>984409</v>
      </c>
      <c r="AR6" s="37">
        <v>-1259047</v>
      </c>
      <c r="AS6" s="37">
        <f>-1298092-AR6</f>
        <v>-39045</v>
      </c>
      <c r="AT6" s="37">
        <f>-1313173-AS6-AR6</f>
        <v>-15081</v>
      </c>
      <c r="AU6" s="36">
        <f t="shared" ref="AU6:AU8" si="5">AV6-SUM(AR6:AT6)</f>
        <v>-53360</v>
      </c>
      <c r="AV6" s="37">
        <v>-1366533</v>
      </c>
      <c r="AW6" s="37">
        <v>-279540</v>
      </c>
      <c r="AX6" s="37">
        <f>-211236-AW6</f>
        <v>68304</v>
      </c>
    </row>
    <row r="7" spans="1:78">
      <c r="A7" s="35" t="s">
        <v>104</v>
      </c>
      <c r="R7" s="37">
        <v>1378553</v>
      </c>
      <c r="S7" s="56">
        <f>S9</f>
        <v>408514</v>
      </c>
      <c r="T7" s="37">
        <f>-537932-S7</f>
        <v>-946446</v>
      </c>
      <c r="U7" s="37">
        <f>-727327-T7-S7</f>
        <v>-189395</v>
      </c>
      <c r="V7" s="36">
        <f t="shared" si="0"/>
        <v>-1150355</v>
      </c>
      <c r="W7" s="37">
        <v>-1877682</v>
      </c>
      <c r="X7" s="37">
        <v>258056</v>
      </c>
      <c r="Y7" s="37">
        <f>1342001-X7</f>
        <v>1083945</v>
      </c>
      <c r="Z7" s="37">
        <f>2652701-Y7-X7</f>
        <v>1310700</v>
      </c>
      <c r="AA7" s="36">
        <f t="shared" si="1"/>
        <v>3360703</v>
      </c>
      <c r="AB7" s="37">
        <v>6013404</v>
      </c>
      <c r="AC7" s="37">
        <v>429989</v>
      </c>
      <c r="AD7" s="37">
        <f>-529840-AC7</f>
        <v>-959829</v>
      </c>
      <c r="AE7" s="37">
        <f>-537819-AD7-AC7</f>
        <v>-7979</v>
      </c>
      <c r="AF7" s="36">
        <f t="shared" si="2"/>
        <v>-2502039</v>
      </c>
      <c r="AG7" s="37">
        <v>-3039858</v>
      </c>
      <c r="AH7" s="37">
        <v>-2881472</v>
      </c>
      <c r="AI7" s="37">
        <f>-4200240-AH7</f>
        <v>-1318768</v>
      </c>
      <c r="AJ7" s="37">
        <f>-4855290-AI7-AH7</f>
        <v>-655050</v>
      </c>
      <c r="AK7" s="36">
        <f t="shared" si="3"/>
        <v>-123301</v>
      </c>
      <c r="AL7" s="37">
        <v>-4978591</v>
      </c>
      <c r="AM7" s="37">
        <v>120887</v>
      </c>
      <c r="AN7" s="37">
        <f>-633520-AM7</f>
        <v>-754407</v>
      </c>
      <c r="AO7" s="37">
        <f>-125539-AN7-AM7</f>
        <v>507981</v>
      </c>
      <c r="AP7" s="36">
        <f t="shared" si="4"/>
        <v>-64065</v>
      </c>
      <c r="AQ7" s="37">
        <v>-189604</v>
      </c>
      <c r="AR7" s="37">
        <v>-22679</v>
      </c>
      <c r="AS7" s="37">
        <f>583014-AR7</f>
        <v>605693</v>
      </c>
      <c r="AT7" s="37">
        <f>195918-AS7-AR7</f>
        <v>-387096</v>
      </c>
      <c r="AU7" s="36">
        <f t="shared" si="5"/>
        <v>118806</v>
      </c>
      <c r="AV7" s="37">
        <v>314724</v>
      </c>
      <c r="AW7" s="37">
        <v>699977</v>
      </c>
      <c r="AX7" s="37">
        <f>2526256-AW7</f>
        <v>1826279</v>
      </c>
    </row>
    <row r="8" spans="1:78">
      <c r="A8" s="35" t="s">
        <v>105</v>
      </c>
      <c r="R8" s="37">
        <v>-365325</v>
      </c>
      <c r="T8" s="37">
        <f>-35788</f>
        <v>-35788</v>
      </c>
      <c r="U8" s="37">
        <f>-27501-T8</f>
        <v>8287</v>
      </c>
      <c r="V8" s="36">
        <f t="shared" si="0"/>
        <v>-12511</v>
      </c>
      <c r="W8" s="37">
        <v>-40012</v>
      </c>
      <c r="X8" s="37">
        <v>-79942</v>
      </c>
      <c r="Y8" s="37">
        <f>-81409-X8</f>
        <v>-1467</v>
      </c>
      <c r="Z8" s="37">
        <f>-107151-Y8-X8</f>
        <v>-25742</v>
      </c>
      <c r="AA8" s="36">
        <f t="shared" si="1"/>
        <v>-9194</v>
      </c>
      <c r="AB8" s="37">
        <v>-116345</v>
      </c>
      <c r="AC8" s="37">
        <v>-453153</v>
      </c>
      <c r="AD8" s="37">
        <f>-1023896-AC8</f>
        <v>-570743</v>
      </c>
      <c r="AE8" s="37">
        <f>-1199022-AD8-AC8</f>
        <v>-175126</v>
      </c>
      <c r="AF8" s="36">
        <f t="shared" si="2"/>
        <v>-578884</v>
      </c>
      <c r="AG8" s="37">
        <v>-1777906</v>
      </c>
      <c r="AH8" s="37">
        <v>-34423</v>
      </c>
      <c r="AI8" s="37">
        <f>-102840-AH8</f>
        <v>-68417</v>
      </c>
      <c r="AJ8" s="37">
        <f>-165228-AI8-AH8</f>
        <v>-62388</v>
      </c>
      <c r="AK8" s="36">
        <f t="shared" si="3"/>
        <v>-123451</v>
      </c>
      <c r="AL8" s="37">
        <v>-288679</v>
      </c>
      <c r="AM8" s="37">
        <v>91350</v>
      </c>
      <c r="AN8" s="37">
        <f>-662-AM8</f>
        <v>-92012</v>
      </c>
      <c r="AO8" s="37">
        <f>16902-AN8-AM8</f>
        <v>17564</v>
      </c>
      <c r="AP8" s="36">
        <f t="shared" si="4"/>
        <v>27867</v>
      </c>
      <c r="AQ8" s="37">
        <v>44769</v>
      </c>
      <c r="AR8" s="37">
        <v>1048485</v>
      </c>
      <c r="AS8" s="37">
        <f>1089291-AR8</f>
        <v>40806</v>
      </c>
      <c r="AT8" s="37">
        <f>1152463-AS8-AR8</f>
        <v>63172</v>
      </c>
      <c r="AU8" s="36">
        <f t="shared" si="5"/>
        <v>85500</v>
      </c>
      <c r="AV8" s="37">
        <v>1237963</v>
      </c>
      <c r="AW8" s="37">
        <v>327182</v>
      </c>
      <c r="AX8" s="37">
        <f>316228-AW8</f>
        <v>-10954</v>
      </c>
    </row>
    <row r="9" spans="1:78">
      <c r="A9" s="34" t="s">
        <v>102</v>
      </c>
      <c r="I9" s="37">
        <v>106871</v>
      </c>
      <c r="J9" s="37">
        <f>194336-I9</f>
        <v>87465</v>
      </c>
      <c r="K9" s="37">
        <f>251108-J9-I9</f>
        <v>56772</v>
      </c>
      <c r="L9" s="36">
        <f>M9-SUM(I9:K9)</f>
        <v>94867</v>
      </c>
      <c r="M9" s="37">
        <v>345975</v>
      </c>
      <c r="N9" s="37">
        <f>244902+900</f>
        <v>245802</v>
      </c>
      <c r="O9" s="37">
        <f>503769+590-N9</f>
        <v>258557</v>
      </c>
      <c r="P9" s="37">
        <f>693201+95-O9-N9</f>
        <v>188937</v>
      </c>
      <c r="Q9" s="36">
        <f>R9-SUM(N9:P9)</f>
        <v>319932</v>
      </c>
      <c r="R9" s="36">
        <f>SUM(R7:R8)</f>
        <v>1013228</v>
      </c>
      <c r="S9" s="37">
        <v>408514</v>
      </c>
      <c r="T9" s="36">
        <f>SUM(T7:T8)</f>
        <v>-982234</v>
      </c>
      <c r="U9" s="36">
        <f>SUM(U7:U8)</f>
        <v>-181108</v>
      </c>
      <c r="V9" s="36">
        <f t="shared" si="0"/>
        <v>-1162866</v>
      </c>
      <c r="W9" s="36">
        <f>SUM(W7:W8)</f>
        <v>-1917694</v>
      </c>
      <c r="X9" s="36">
        <f>SUM(X7:X8)</f>
        <v>178114</v>
      </c>
      <c r="Y9" s="36">
        <f>SUM(Y7:Y8)</f>
        <v>1082478</v>
      </c>
      <c r="Z9" s="36">
        <f>SUM(Z7:Z8)</f>
        <v>1284958</v>
      </c>
      <c r="AA9" s="36">
        <f t="shared" si="1"/>
        <v>3351509</v>
      </c>
      <c r="AB9" s="36">
        <f>SUM(AB7:AB8)</f>
        <v>5897059</v>
      </c>
      <c r="AC9" s="36">
        <f>SUM(AC7:AC8)</f>
        <v>-23164</v>
      </c>
      <c r="AD9" s="36">
        <f>SUM(AD7:AD8)</f>
        <v>-1530572</v>
      </c>
      <c r="AE9" s="36">
        <f>SUM(AE7:AE8)</f>
        <v>-183105</v>
      </c>
      <c r="AF9" s="36">
        <f t="shared" si="2"/>
        <v>-3080923</v>
      </c>
      <c r="AG9" s="36">
        <f>SUM(AG7:AG8)</f>
        <v>-4817764</v>
      </c>
      <c r="AH9" s="36">
        <f t="shared" ref="AH9:AX9" si="6">SUM(AH7:AH8)</f>
        <v>-2915895</v>
      </c>
      <c r="AI9" s="36">
        <f t="shared" si="6"/>
        <v>-1387185</v>
      </c>
      <c r="AJ9" s="36">
        <f t="shared" si="6"/>
        <v>-717438</v>
      </c>
      <c r="AK9" s="36">
        <f t="shared" si="3"/>
        <v>-246752</v>
      </c>
      <c r="AL9" s="36">
        <f>SUM(AL7:AL8)</f>
        <v>-5267270</v>
      </c>
      <c r="AM9" s="36">
        <f t="shared" si="6"/>
        <v>212237</v>
      </c>
      <c r="AN9" s="36">
        <f t="shared" si="6"/>
        <v>-846419</v>
      </c>
      <c r="AO9" s="36">
        <f t="shared" si="6"/>
        <v>525545</v>
      </c>
      <c r="AP9" s="36">
        <f t="shared" si="4"/>
        <v>-36198</v>
      </c>
      <c r="AQ9" s="36">
        <f t="shared" si="6"/>
        <v>-144835</v>
      </c>
      <c r="AR9" s="36">
        <f t="shared" si="6"/>
        <v>1025806</v>
      </c>
      <c r="AS9" s="36">
        <f t="shared" si="6"/>
        <v>646499</v>
      </c>
      <c r="AT9" s="36">
        <f t="shared" si="6"/>
        <v>-323924</v>
      </c>
      <c r="AU9" s="36">
        <f t="shared" si="6"/>
        <v>204306</v>
      </c>
      <c r="AV9" s="36">
        <f t="shared" si="6"/>
        <v>1552687</v>
      </c>
      <c r="AW9" s="36">
        <f t="shared" si="6"/>
        <v>1027159</v>
      </c>
      <c r="AX9" s="36">
        <f t="shared" si="6"/>
        <v>1815325</v>
      </c>
    </row>
    <row r="10" spans="1:78">
      <c r="A10" s="34" t="s">
        <v>101</v>
      </c>
      <c r="K10" s="37">
        <v>3744</v>
      </c>
      <c r="L10" s="36">
        <f>M10-SUM(I10:K10)</f>
        <v>2376</v>
      </c>
      <c r="M10" s="37">
        <v>6120</v>
      </c>
      <c r="N10" s="37">
        <v>1409</v>
      </c>
      <c r="O10" s="37">
        <f>2607-N10</f>
        <v>1198</v>
      </c>
      <c r="P10" s="37">
        <f>3092-O10-N10</f>
        <v>485</v>
      </c>
      <c r="Q10" s="36">
        <f>R10-SUM(N10:P10)</f>
        <v>1430</v>
      </c>
      <c r="R10" s="37">
        <v>4522</v>
      </c>
      <c r="S10" s="37">
        <v>5905</v>
      </c>
      <c r="T10" s="37">
        <f>8337-S10</f>
        <v>2432</v>
      </c>
      <c r="U10" s="37">
        <f>10067-T10-S10</f>
        <v>1730</v>
      </c>
      <c r="V10" s="36">
        <f t="shared" si="0"/>
        <v>2781</v>
      </c>
      <c r="W10" s="37">
        <v>12848</v>
      </c>
      <c r="X10" s="37">
        <v>2888</v>
      </c>
      <c r="Y10" s="37">
        <f>4623-X10</f>
        <v>1735</v>
      </c>
      <c r="Z10" s="37">
        <f>8219-Y10-X10</f>
        <v>3596</v>
      </c>
      <c r="AA10" s="36">
        <f t="shared" si="1"/>
        <v>21630</v>
      </c>
      <c r="AB10" s="37">
        <v>29849</v>
      </c>
      <c r="AC10" s="37">
        <v>20812</v>
      </c>
      <c r="AD10" s="37">
        <f>22635-AC10</f>
        <v>1823</v>
      </c>
      <c r="AE10" s="37">
        <f>24555-AD10-AC10</f>
        <v>1920</v>
      </c>
      <c r="AF10" s="36">
        <f t="shared" si="2"/>
        <v>26094</v>
      </c>
      <c r="AG10" s="37">
        <v>50649</v>
      </c>
      <c r="AH10" s="37">
        <v>415</v>
      </c>
      <c r="AI10" s="37">
        <f>759-AH10</f>
        <v>344</v>
      </c>
      <c r="AJ10" s="37">
        <f>1190-AI10-AH10</f>
        <v>431</v>
      </c>
      <c r="AK10" s="36">
        <f t="shared" si="3"/>
        <v>322</v>
      </c>
      <c r="AL10" s="37">
        <v>1512</v>
      </c>
      <c r="AM10" s="37">
        <v>1491</v>
      </c>
      <c r="AN10" s="37">
        <f>20812-AM10</f>
        <v>19321</v>
      </c>
      <c r="AO10" s="37">
        <f>21271-AN10-AM10</f>
        <v>459</v>
      </c>
      <c r="AP10" s="36">
        <f t="shared" si="4"/>
        <v>397</v>
      </c>
      <c r="AQ10" s="37">
        <v>21668</v>
      </c>
      <c r="AR10" s="37">
        <v>5579</v>
      </c>
      <c r="AS10" s="37">
        <f>6937-AR10</f>
        <v>1358</v>
      </c>
      <c r="AT10" s="37">
        <f>7292-AS10-AR10</f>
        <v>355</v>
      </c>
      <c r="AU10" s="36">
        <f t="shared" ref="AU10:AU12" si="7">AV10-SUM(AR10:AT10)</f>
        <v>1159</v>
      </c>
      <c r="AV10" s="37">
        <v>8451</v>
      </c>
      <c r="AW10" s="37">
        <v>5036</v>
      </c>
      <c r="AX10" s="37">
        <f>7219-AW10</f>
        <v>2183</v>
      </c>
    </row>
    <row r="11" spans="1:78">
      <c r="A11" s="34" t="s">
        <v>100</v>
      </c>
      <c r="V11" s="36">
        <f t="shared" si="0"/>
        <v>145</v>
      </c>
      <c r="W11" s="37">
        <v>145</v>
      </c>
      <c r="X11" s="37">
        <v>815</v>
      </c>
      <c r="Y11" s="37">
        <f>1091-X11</f>
        <v>276</v>
      </c>
      <c r="Z11" s="37">
        <f>1091-Y11-X11</f>
        <v>0</v>
      </c>
      <c r="AA11" s="36">
        <f t="shared" si="1"/>
        <v>0</v>
      </c>
      <c r="AB11" s="37">
        <v>1091</v>
      </c>
      <c r="AC11" s="37">
        <v>-3434</v>
      </c>
      <c r="AD11" s="37">
        <f>-42370-AC11</f>
        <v>-38936</v>
      </c>
      <c r="AE11" s="37">
        <f>51450-AD11-AC11</f>
        <v>93820</v>
      </c>
      <c r="AF11" s="36">
        <f t="shared" si="2"/>
        <v>-101037</v>
      </c>
      <c r="AG11" s="37">
        <v>-49587</v>
      </c>
      <c r="AH11" s="37">
        <v>37650</v>
      </c>
      <c r="AI11" s="37">
        <f>36365-AH11</f>
        <v>-1285</v>
      </c>
      <c r="AJ11" s="37">
        <f>16191-AI11-AH11</f>
        <v>-20174</v>
      </c>
      <c r="AK11" s="36">
        <f t="shared" si="3"/>
        <v>-1654</v>
      </c>
      <c r="AL11" s="37">
        <v>14537</v>
      </c>
      <c r="AM11" s="37">
        <v>2453</v>
      </c>
      <c r="AN11" s="37">
        <f>4427-AM11</f>
        <v>1974</v>
      </c>
      <c r="AO11" s="37">
        <f>2869-AN11-AM11</f>
        <v>-1558</v>
      </c>
      <c r="AP11" s="36">
        <f t="shared" si="4"/>
        <v>-10206</v>
      </c>
      <c r="AQ11" s="37">
        <v>-7337</v>
      </c>
      <c r="AR11" s="37">
        <v>1767</v>
      </c>
      <c r="AS11" s="37">
        <f>13418-AR11</f>
        <v>11651</v>
      </c>
      <c r="AT11" s="37">
        <f>-3430-AS11-AR11</f>
        <v>-16848</v>
      </c>
      <c r="AU11" s="36">
        <f t="shared" si="7"/>
        <v>11581</v>
      </c>
      <c r="AV11" s="37">
        <v>8151</v>
      </c>
      <c r="AW11" s="37">
        <v>9341</v>
      </c>
      <c r="AX11" s="37">
        <f>920379-AW11</f>
        <v>911038</v>
      </c>
    </row>
    <row r="12" spans="1:78">
      <c r="A12" s="34" t="s">
        <v>99</v>
      </c>
      <c r="O12" s="37">
        <v>-4291</v>
      </c>
      <c r="P12" s="37">
        <f>-4291-O12</f>
        <v>0</v>
      </c>
      <c r="Q12" s="36">
        <f>R12-SUM(N12:P12)</f>
        <v>-7152</v>
      </c>
      <c r="R12" s="37">
        <v>-11443</v>
      </c>
      <c r="T12" s="37">
        <v>1250</v>
      </c>
      <c r="U12" s="37">
        <f>1111-T12</f>
        <v>-139</v>
      </c>
      <c r="V12" s="36">
        <f t="shared" si="0"/>
        <v>383</v>
      </c>
      <c r="W12" s="37">
        <v>1494</v>
      </c>
      <c r="X12" s="37">
        <v>3335</v>
      </c>
      <c r="Y12" s="37">
        <f>3876-X12</f>
        <v>541</v>
      </c>
      <c r="Z12" s="37">
        <f>7123-Y12-X12</f>
        <v>3247</v>
      </c>
      <c r="AA12" s="36">
        <f t="shared" si="1"/>
        <v>2700</v>
      </c>
      <c r="AB12" s="37">
        <v>9823</v>
      </c>
      <c r="AC12" s="37">
        <v>-9294</v>
      </c>
      <c r="AD12" s="37">
        <f>-32215-AC12</f>
        <v>-22921</v>
      </c>
      <c r="AE12" s="37">
        <f>-46528-AD12-AC12</f>
        <v>-14313</v>
      </c>
      <c r="AF12" s="36">
        <f t="shared" si="2"/>
        <v>-38798</v>
      </c>
      <c r="AG12" s="37">
        <v>-85326</v>
      </c>
      <c r="AH12" s="37">
        <v>-30478</v>
      </c>
      <c r="AI12" s="37">
        <f>-55645-AH12</f>
        <v>-25167</v>
      </c>
      <c r="AJ12" s="37">
        <f>-92044-AI12-AH12</f>
        <v>-36399</v>
      </c>
      <c r="AK12" s="36">
        <f t="shared" si="3"/>
        <v>-33809</v>
      </c>
      <c r="AL12" s="37">
        <v>-125853</v>
      </c>
      <c r="AM12" s="37">
        <v>-13299</v>
      </c>
      <c r="AN12" s="37">
        <f>-78360-AM12</f>
        <v>-65061</v>
      </c>
      <c r="AO12" s="37">
        <f>-105218-AN12-AM12</f>
        <v>-26858</v>
      </c>
      <c r="AP12" s="36">
        <f t="shared" si="4"/>
        <v>-52426</v>
      </c>
      <c r="AQ12" s="37">
        <v>-157644</v>
      </c>
      <c r="AR12" s="37">
        <v>241807</v>
      </c>
      <c r="AS12" s="37">
        <f>244532-AR12</f>
        <v>2725</v>
      </c>
      <c r="AT12" s="37">
        <f>248217-AS12-AR12</f>
        <v>3685</v>
      </c>
      <c r="AU12" s="36">
        <f t="shared" si="7"/>
        <v>18443</v>
      </c>
      <c r="AV12" s="37">
        <v>266660</v>
      </c>
      <c r="AW12" s="37">
        <v>-59760</v>
      </c>
      <c r="AX12" s="37">
        <f>-67458-AW12</f>
        <v>-7698</v>
      </c>
    </row>
    <row r="13" spans="1:78">
      <c r="A13" s="33" t="s">
        <v>96</v>
      </c>
      <c r="B13" s="9"/>
      <c r="C13" s="9"/>
      <c r="D13" s="9"/>
      <c r="E13" s="9"/>
      <c r="F13" s="9"/>
      <c r="G13" s="9"/>
      <c r="H13" s="9"/>
      <c r="I13" s="39">
        <f t="shared" ref="I13:V13" si="8">I6+SUM(I9:I12)</f>
        <v>106871</v>
      </c>
      <c r="J13" s="39">
        <f t="shared" si="8"/>
        <v>87465</v>
      </c>
      <c r="K13" s="39">
        <f t="shared" si="8"/>
        <v>60516</v>
      </c>
      <c r="L13" s="39">
        <f t="shared" si="8"/>
        <v>97243</v>
      </c>
      <c r="M13" s="39">
        <f t="shared" si="8"/>
        <v>352095</v>
      </c>
      <c r="N13" s="39">
        <f t="shared" si="8"/>
        <v>247211</v>
      </c>
      <c r="O13" s="39">
        <f t="shared" si="8"/>
        <v>402146</v>
      </c>
      <c r="P13" s="39">
        <f t="shared" si="8"/>
        <v>189422</v>
      </c>
      <c r="Q13" s="39">
        <f t="shared" si="8"/>
        <v>464059</v>
      </c>
      <c r="R13" s="39">
        <f t="shared" si="8"/>
        <v>1302838</v>
      </c>
      <c r="S13" s="39">
        <f t="shared" si="8"/>
        <v>414419</v>
      </c>
      <c r="T13" s="39">
        <f t="shared" si="8"/>
        <v>-943747</v>
      </c>
      <c r="U13" s="39">
        <f t="shared" si="8"/>
        <v>-199679</v>
      </c>
      <c r="V13" s="39">
        <f t="shared" si="8"/>
        <v>-1115860</v>
      </c>
      <c r="W13" s="39">
        <f>W6+SUM(W9:W12)</f>
        <v>-1844867</v>
      </c>
      <c r="X13" s="39">
        <f>X6+SUM(X9:X12)</f>
        <v>296577</v>
      </c>
      <c r="Y13" s="39">
        <f>Y6+SUM(Y9:Y12)</f>
        <v>1114990</v>
      </c>
      <c r="Z13" s="39">
        <f>Z6+SUM(Z9:Z12)</f>
        <v>1355690</v>
      </c>
      <c r="AA13" s="39">
        <f t="shared" ref="AA13:AG13" si="9">AA6+SUM(AA9:AA12)</f>
        <v>3590205</v>
      </c>
      <c r="AB13" s="39">
        <f t="shared" si="9"/>
        <v>6357462</v>
      </c>
      <c r="AC13" s="39">
        <f t="shared" si="9"/>
        <v>391562</v>
      </c>
      <c r="AD13" s="39">
        <f t="shared" si="9"/>
        <v>-1134726</v>
      </c>
      <c r="AE13" s="39">
        <f t="shared" si="9"/>
        <v>163424</v>
      </c>
      <c r="AF13" s="39">
        <f t="shared" ref="AF13" si="10">AF6+SUM(AF9:AF12)</f>
        <v>-2967614</v>
      </c>
      <c r="AG13" s="39">
        <f t="shared" si="9"/>
        <v>-3547354</v>
      </c>
      <c r="AH13" s="39">
        <f t="shared" ref="AH13:AX13" si="11">AH6+SUM(AH9:AH12)</f>
        <v>-2935030</v>
      </c>
      <c r="AI13" s="39">
        <f t="shared" si="11"/>
        <v>-1381173</v>
      </c>
      <c r="AJ13" s="39">
        <f t="shared" si="11"/>
        <v>-731938</v>
      </c>
      <c r="AK13" s="39">
        <f t="shared" si="11"/>
        <v>-250317</v>
      </c>
      <c r="AL13" s="39">
        <f t="shared" si="11"/>
        <v>-5298458</v>
      </c>
      <c r="AM13" s="39">
        <f t="shared" si="11"/>
        <v>134703</v>
      </c>
      <c r="AN13" s="39">
        <f t="shared" si="11"/>
        <v>33763</v>
      </c>
      <c r="AO13" s="39">
        <f t="shared" si="11"/>
        <v>576814</v>
      </c>
      <c r="AP13" s="39">
        <f t="shared" ref="AP13" si="12">AP6+SUM(AP9:AP12)</f>
        <v>-49019</v>
      </c>
      <c r="AQ13" s="39">
        <f t="shared" si="11"/>
        <v>696261</v>
      </c>
      <c r="AR13" s="39">
        <f t="shared" si="11"/>
        <v>15912</v>
      </c>
      <c r="AS13" s="39">
        <f t="shared" si="11"/>
        <v>623188</v>
      </c>
      <c r="AT13" s="39">
        <f t="shared" si="11"/>
        <v>-351813</v>
      </c>
      <c r="AU13" s="39">
        <f t="shared" si="11"/>
        <v>182129</v>
      </c>
      <c r="AV13" s="39">
        <f t="shared" si="11"/>
        <v>469416</v>
      </c>
      <c r="AW13" s="39">
        <f t="shared" si="11"/>
        <v>702236</v>
      </c>
      <c r="AX13" s="39">
        <f t="shared" si="11"/>
        <v>2789152</v>
      </c>
      <c r="AY13" s="359">
        <f>AY15-AY14</f>
        <v>369542</v>
      </c>
      <c r="AZ13" s="39">
        <f>SUM(AZ70:AZ72)</f>
        <v>-246609</v>
      </c>
      <c r="BA13" s="39">
        <f>SUM(AW13:AZ13)</f>
        <v>3614321</v>
      </c>
      <c r="BB13" s="39">
        <f>SUM(BB70:BB72)</f>
        <v>4885426.0000000009</v>
      </c>
      <c r="BC13" s="39">
        <f>SUM(BC70:BC72)</f>
        <v>1914091.5000000002</v>
      </c>
      <c r="BD13" s="39">
        <f>SUM(BD70:BD72)</f>
        <v>1906821</v>
      </c>
      <c r="BE13" s="39">
        <f>SUM(BE70:BE72)</f>
        <v>57562.5</v>
      </c>
      <c r="BF13" s="39">
        <f>SUM(BB13:BE13)</f>
        <v>8763901</v>
      </c>
      <c r="BG13" s="39">
        <f>SUM(BG70:BG72)</f>
        <v>318448</v>
      </c>
      <c r="BH13" s="39">
        <f>SUM(BH70:BH72)</f>
        <v>311508.00000000006</v>
      </c>
      <c r="BI13" s="39">
        <f>SUM(BI70:BI72)</f>
        <v>304600</v>
      </c>
      <c r="BJ13" s="39">
        <f>SUM(BJ70:BJ72)</f>
        <v>296964.5</v>
      </c>
      <c r="BK13" s="39">
        <f>SUM(BG13:BJ13)</f>
        <v>1231520.5</v>
      </c>
      <c r="BL13" s="39">
        <f>SUM(BL70:BL72)</f>
        <v>288607.5</v>
      </c>
      <c r="BM13" s="39">
        <f>SUM(BM70:BM72)</f>
        <v>277268.5</v>
      </c>
      <c r="BN13" s="39">
        <f>SUM(BN70:BN72)</f>
        <v>265232.00000000006</v>
      </c>
      <c r="BO13" s="39">
        <f>SUM(BO70:BO72)</f>
        <v>253255.50000000003</v>
      </c>
      <c r="BP13" s="39">
        <f>SUM(BL13:BO13)</f>
        <v>1084363.5</v>
      </c>
      <c r="BQ13" s="39">
        <f>SUM(BQ70:BQ72)</f>
        <v>240589.5</v>
      </c>
      <c r="BR13" s="39">
        <f>SUM(BR70:BR72)</f>
        <v>223502.5</v>
      </c>
      <c r="BS13" s="39">
        <f>SUM(BS70:BS72)</f>
        <v>206503.5</v>
      </c>
      <c r="BT13" s="39">
        <f>SUM(BT70:BT72)</f>
        <v>188105.50000000003</v>
      </c>
      <c r="BU13" s="39">
        <f>SUM(BQ13:BT13)</f>
        <v>858701</v>
      </c>
      <c r="BV13" s="39">
        <f>SUM(BV70:BV72)</f>
        <v>174252.5</v>
      </c>
      <c r="BW13" s="39">
        <f>SUM(BW70:BW72)</f>
        <v>160471.5</v>
      </c>
      <c r="BX13" s="39">
        <f>SUM(BX70:BX72)</f>
        <v>146025</v>
      </c>
      <c r="BY13" s="39">
        <f>SUM(BY70:BY72)</f>
        <v>130919</v>
      </c>
      <c r="BZ13" s="39">
        <f>SUM(BV13:BY13)</f>
        <v>611668</v>
      </c>
    </row>
    <row r="14" spans="1:78">
      <c r="A14" s="5" t="s">
        <v>97</v>
      </c>
      <c r="AH14" s="37">
        <v>1185</v>
      </c>
      <c r="AI14" s="37">
        <f>3861-AH14</f>
        <v>2676</v>
      </c>
      <c r="AJ14" s="37">
        <f>5442-AI14-AH14</f>
        <v>1581</v>
      </c>
      <c r="AK14" s="36">
        <f t="shared" si="3"/>
        <v>13522</v>
      </c>
      <c r="AL14" s="37">
        <v>18964</v>
      </c>
      <c r="AM14" s="37">
        <v>25070</v>
      </c>
      <c r="AN14" s="37">
        <f>12670-AM14</f>
        <v>-12400</v>
      </c>
      <c r="AO14" s="37">
        <f>36588-AN14-AM14</f>
        <v>23918</v>
      </c>
      <c r="AP14" s="36">
        <f t="shared" si="4"/>
        <v>-8508</v>
      </c>
      <c r="AQ14" s="37">
        <v>28080</v>
      </c>
      <c r="AR14" s="37">
        <v>-14001</v>
      </c>
      <c r="AS14" s="37">
        <f>-28712-AR14</f>
        <v>-14711</v>
      </c>
      <c r="AT14" s="37">
        <f>-29647-AS14-AR14</f>
        <v>-935</v>
      </c>
      <c r="AU14" s="36">
        <f t="shared" ref="AU14" si="13">AV14-SUM(AR14:AT14)</f>
        <v>-4866</v>
      </c>
      <c r="AV14" s="37">
        <v>-34513</v>
      </c>
      <c r="AW14" s="37">
        <v>24601</v>
      </c>
      <c r="AX14" s="37">
        <f>44780-AW14</f>
        <v>20179</v>
      </c>
      <c r="AY14" s="323">
        <f>AY20-SUM(AW14:AX14)</f>
        <v>5446</v>
      </c>
    </row>
    <row r="15" spans="1:78">
      <c r="A15" s="9" t="s">
        <v>98</v>
      </c>
      <c r="B15" s="9"/>
      <c r="C15" s="9"/>
      <c r="D15" s="9"/>
      <c r="E15" s="9"/>
      <c r="F15" s="9"/>
      <c r="G15" s="9"/>
      <c r="H15" s="9"/>
      <c r="I15" s="39">
        <f t="shared" ref="I15:V15" si="14">SUM(I13:I14)</f>
        <v>106871</v>
      </c>
      <c r="J15" s="39">
        <f t="shared" si="14"/>
        <v>87465</v>
      </c>
      <c r="K15" s="39">
        <f t="shared" si="14"/>
        <v>60516</v>
      </c>
      <c r="L15" s="39">
        <f t="shared" si="14"/>
        <v>97243</v>
      </c>
      <c r="M15" s="39">
        <f t="shared" si="14"/>
        <v>352095</v>
      </c>
      <c r="N15" s="39">
        <f t="shared" si="14"/>
        <v>247211</v>
      </c>
      <c r="O15" s="39">
        <f t="shared" si="14"/>
        <v>402146</v>
      </c>
      <c r="P15" s="39">
        <f t="shared" si="14"/>
        <v>189422</v>
      </c>
      <c r="Q15" s="39">
        <f t="shared" si="14"/>
        <v>464059</v>
      </c>
      <c r="R15" s="39">
        <f t="shared" si="14"/>
        <v>1302838</v>
      </c>
      <c r="S15" s="39">
        <f t="shared" si="14"/>
        <v>414419</v>
      </c>
      <c r="T15" s="39">
        <f t="shared" si="14"/>
        <v>-943747</v>
      </c>
      <c r="U15" s="39">
        <f t="shared" si="14"/>
        <v>-199679</v>
      </c>
      <c r="V15" s="39">
        <f t="shared" si="14"/>
        <v>-1115860</v>
      </c>
      <c r="W15" s="39">
        <f t="shared" ref="W15:AG15" si="15">SUM(W13:W14)</f>
        <v>-1844867</v>
      </c>
      <c r="X15" s="39">
        <f t="shared" si="15"/>
        <v>296577</v>
      </c>
      <c r="Y15" s="39">
        <f t="shared" si="15"/>
        <v>1114990</v>
      </c>
      <c r="Z15" s="39">
        <f t="shared" si="15"/>
        <v>1355690</v>
      </c>
      <c r="AA15" s="39">
        <f t="shared" si="15"/>
        <v>3590205</v>
      </c>
      <c r="AB15" s="39">
        <f t="shared" si="15"/>
        <v>6357462</v>
      </c>
      <c r="AC15" s="39">
        <f t="shared" si="15"/>
        <v>391562</v>
      </c>
      <c r="AD15" s="39">
        <f t="shared" si="15"/>
        <v>-1134726</v>
      </c>
      <c r="AE15" s="39">
        <f t="shared" si="15"/>
        <v>163424</v>
      </c>
      <c r="AF15" s="39">
        <f t="shared" si="15"/>
        <v>-2967614</v>
      </c>
      <c r="AG15" s="39">
        <f t="shared" si="15"/>
        <v>-3547354</v>
      </c>
      <c r="AH15" s="39">
        <f t="shared" ref="AH15:AV15" si="16">SUM(AH13:AH14)</f>
        <v>-2933845</v>
      </c>
      <c r="AI15" s="39">
        <f t="shared" si="16"/>
        <v>-1378497</v>
      </c>
      <c r="AJ15" s="39">
        <f t="shared" si="16"/>
        <v>-730357</v>
      </c>
      <c r="AK15" s="39">
        <f t="shared" si="16"/>
        <v>-236795</v>
      </c>
      <c r="AL15" s="39">
        <f t="shared" si="16"/>
        <v>-5279494</v>
      </c>
      <c r="AM15" s="39">
        <f t="shared" si="16"/>
        <v>159773</v>
      </c>
      <c r="AN15" s="39">
        <f t="shared" si="16"/>
        <v>21363</v>
      </c>
      <c r="AO15" s="39">
        <f t="shared" si="16"/>
        <v>600732</v>
      </c>
      <c r="AP15" s="39">
        <f t="shared" si="16"/>
        <v>-57527</v>
      </c>
      <c r="AQ15" s="39">
        <f t="shared" si="16"/>
        <v>724341</v>
      </c>
      <c r="AR15" s="39">
        <f t="shared" si="16"/>
        <v>1911</v>
      </c>
      <c r="AS15" s="39">
        <f t="shared" si="16"/>
        <v>608477</v>
      </c>
      <c r="AT15" s="39">
        <f t="shared" si="16"/>
        <v>-352748</v>
      </c>
      <c r="AU15" s="39">
        <f t="shared" si="16"/>
        <v>177263</v>
      </c>
      <c r="AV15" s="39">
        <f t="shared" si="16"/>
        <v>434903</v>
      </c>
      <c r="AW15" s="39">
        <f t="shared" ref="AW15:AZ15" si="17">SUM(AW13:AW14)</f>
        <v>726837</v>
      </c>
      <c r="AX15" s="39">
        <f t="shared" si="17"/>
        <v>2809331</v>
      </c>
      <c r="AY15" s="359">
        <f>AY21</f>
        <v>374988</v>
      </c>
      <c r="AZ15" s="39">
        <f t="shared" si="17"/>
        <v>-246609</v>
      </c>
      <c r="BA15" s="39">
        <f>SUM(AW15:AZ15)</f>
        <v>3664547</v>
      </c>
      <c r="BB15" s="39">
        <f t="shared" ref="BB15:BE15" si="18">SUM(BB13:BB14)</f>
        <v>4885426.0000000009</v>
      </c>
      <c r="BC15" s="39">
        <f t="shared" si="18"/>
        <v>1914091.5000000002</v>
      </c>
      <c r="BD15" s="39">
        <f t="shared" si="18"/>
        <v>1906821</v>
      </c>
      <c r="BE15" s="39">
        <f t="shared" si="18"/>
        <v>57562.5</v>
      </c>
      <c r="BF15" s="39">
        <f>SUM(BB15:BE15)</f>
        <v>8763901</v>
      </c>
      <c r="BG15" s="39">
        <f t="shared" ref="BG15:BJ15" si="19">SUM(BG13:BG14)</f>
        <v>318448</v>
      </c>
      <c r="BH15" s="39">
        <f t="shared" si="19"/>
        <v>311508.00000000006</v>
      </c>
      <c r="BI15" s="39">
        <f t="shared" si="19"/>
        <v>304600</v>
      </c>
      <c r="BJ15" s="39">
        <f t="shared" si="19"/>
        <v>296964.5</v>
      </c>
      <c r="BK15" s="39">
        <f>SUM(BG15:BJ15)</f>
        <v>1231520.5</v>
      </c>
      <c r="BL15" s="39">
        <f t="shared" ref="BL15:BO15" si="20">SUM(BL13:BL14)</f>
        <v>288607.5</v>
      </c>
      <c r="BM15" s="39">
        <f t="shared" si="20"/>
        <v>277268.5</v>
      </c>
      <c r="BN15" s="39">
        <f t="shared" si="20"/>
        <v>265232.00000000006</v>
      </c>
      <c r="BO15" s="39">
        <f t="shared" si="20"/>
        <v>253255.50000000003</v>
      </c>
      <c r="BP15" s="39">
        <f>SUM(BL15:BO15)</f>
        <v>1084363.5</v>
      </c>
      <c r="BQ15" s="39">
        <f t="shared" ref="BQ15:BT15" si="21">SUM(BQ13:BQ14)</f>
        <v>240589.5</v>
      </c>
      <c r="BR15" s="39">
        <f t="shared" si="21"/>
        <v>223502.5</v>
      </c>
      <c r="BS15" s="39">
        <f t="shared" si="21"/>
        <v>206503.5</v>
      </c>
      <c r="BT15" s="39">
        <f t="shared" si="21"/>
        <v>188105.50000000003</v>
      </c>
      <c r="BU15" s="39">
        <f>SUM(BQ15:BT15)</f>
        <v>858701</v>
      </c>
      <c r="BV15" s="39">
        <f t="shared" ref="BV15:BY15" si="22">SUM(BV13:BV14)</f>
        <v>174252.5</v>
      </c>
      <c r="BW15" s="39">
        <f t="shared" si="22"/>
        <v>160471.5</v>
      </c>
      <c r="BX15" s="39">
        <f t="shared" si="22"/>
        <v>146025</v>
      </c>
      <c r="BY15" s="39">
        <f t="shared" si="22"/>
        <v>130919</v>
      </c>
      <c r="BZ15" s="39">
        <f>SUM(BV15:BY15)</f>
        <v>611668</v>
      </c>
    </row>
    <row r="16" spans="1:78">
      <c r="AT16" s="678" t="s">
        <v>3378</v>
      </c>
      <c r="AY16" s="678" t="s">
        <v>3376</v>
      </c>
    </row>
    <row r="17" spans="1:78">
      <c r="A17" s="5" t="s">
        <v>176</v>
      </c>
      <c r="AT17" s="143">
        <v>740302</v>
      </c>
      <c r="AY17" s="143">
        <v>745971</v>
      </c>
    </row>
    <row r="18" spans="1:78">
      <c r="A18" s="5" t="s">
        <v>177</v>
      </c>
      <c r="AT18" s="143">
        <v>-453382</v>
      </c>
      <c r="AY18" s="143">
        <v>3042209</v>
      </c>
    </row>
    <row r="19" spans="1:78">
      <c r="A19" s="5" t="s">
        <v>3373</v>
      </c>
      <c r="AT19" s="143">
        <v>419</v>
      </c>
      <c r="AY19" s="143">
        <v>72750</v>
      </c>
    </row>
    <row r="20" spans="1:78">
      <c r="A20" s="5" t="s">
        <v>3374</v>
      </c>
      <c r="AT20" s="143">
        <v>-29699</v>
      </c>
      <c r="AY20" s="143">
        <v>50226</v>
      </c>
    </row>
    <row r="21" spans="1:78">
      <c r="A21" s="9" t="s">
        <v>3375</v>
      </c>
      <c r="B21" s="9"/>
      <c r="C21" s="9"/>
      <c r="D21" s="9"/>
      <c r="E21" s="9"/>
      <c r="F21" s="9"/>
      <c r="G21" s="9"/>
      <c r="H21" s="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f>AR15</f>
        <v>1911</v>
      </c>
      <c r="AS21" s="39">
        <f>AS15</f>
        <v>608477</v>
      </c>
      <c r="AT21" s="39">
        <f>AT15</f>
        <v>-352748</v>
      </c>
      <c r="AU21" s="39"/>
      <c r="AV21" s="39"/>
      <c r="AW21" s="39">
        <f>AW15</f>
        <v>726837</v>
      </c>
      <c r="AX21" s="39">
        <f>AX15</f>
        <v>2809331</v>
      </c>
      <c r="AY21" s="39">
        <f>AY22-SUM(AW21:AX21)</f>
        <v>374988</v>
      </c>
      <c r="AZ21" s="39"/>
      <c r="BA21" s="39"/>
      <c r="BB21" s="39"/>
      <c r="BC21" s="39"/>
      <c r="BD21" s="39"/>
      <c r="BE21" s="39"/>
      <c r="BF21" s="39"/>
      <c r="BG21" s="39"/>
      <c r="BH21" s="39"/>
      <c r="BI21" s="39"/>
      <c r="BJ21" s="39"/>
      <c r="BK21" s="39"/>
      <c r="BL21" s="39"/>
      <c r="BM21" s="39"/>
      <c r="BN21" s="39"/>
      <c r="BO21" s="39"/>
      <c r="BP21" s="39"/>
      <c r="BQ21" s="39"/>
      <c r="BR21" s="39"/>
      <c r="BS21" s="39"/>
      <c r="BT21" s="39"/>
      <c r="BU21" s="39"/>
      <c r="BV21" s="39"/>
      <c r="BW21" s="39"/>
      <c r="BX21" s="39"/>
      <c r="BY21" s="39"/>
      <c r="BZ21" s="39"/>
    </row>
    <row r="22" spans="1:78">
      <c r="A22" s="1" t="s">
        <v>3377</v>
      </c>
      <c r="AR22" s="36">
        <f>AR21</f>
        <v>1911</v>
      </c>
      <c r="AS22" s="36">
        <f>AR22+AS21</f>
        <v>610388</v>
      </c>
      <c r="AT22" s="323">
        <f>SUM(AT17:AT20)</f>
        <v>257640</v>
      </c>
      <c r="AW22" s="36">
        <f>AW21</f>
        <v>726837</v>
      </c>
      <c r="AX22" s="36">
        <f>AW22+AX21</f>
        <v>3536168</v>
      </c>
      <c r="AY22" s="323">
        <f>SUM(AY17:AY20)</f>
        <v>3911156</v>
      </c>
    </row>
    <row r="24" spans="1:78">
      <c r="A24" s="1" t="s">
        <v>62</v>
      </c>
      <c r="I24" s="37">
        <v>-1642</v>
      </c>
      <c r="J24" s="37">
        <f>-8098-I24</f>
        <v>-6456</v>
      </c>
      <c r="K24" s="37">
        <f>-18425-J24-I24</f>
        <v>-10327</v>
      </c>
      <c r="L24" s="36">
        <f>M24-SUM(I24:K24)</f>
        <v>-30689</v>
      </c>
      <c r="M24" s="37">
        <v>-49114</v>
      </c>
      <c r="N24" s="37">
        <v>-7267</v>
      </c>
      <c r="O24" s="37">
        <f>-16923-N24</f>
        <v>-9656</v>
      </c>
      <c r="P24" s="37">
        <f>-29987-O24-N24</f>
        <v>-13064</v>
      </c>
      <c r="Q24" s="36">
        <f>R24-SUM(N24:P24)</f>
        <v>-16210</v>
      </c>
      <c r="R24" s="37">
        <v>-46197</v>
      </c>
      <c r="S24" s="37">
        <v>-16789</v>
      </c>
      <c r="T24" s="37">
        <f>-43311-S24</f>
        <v>-26522</v>
      </c>
      <c r="U24" s="37">
        <f>-68756-T24-S24</f>
        <v>-25445</v>
      </c>
      <c r="V24" s="36">
        <f>W24-SUM(S24:U24)</f>
        <v>-17722</v>
      </c>
      <c r="W24" s="37">
        <v>-86478</v>
      </c>
      <c r="X24" s="37">
        <v>-14342</v>
      </c>
      <c r="Y24" s="37">
        <f>-34430-X24</f>
        <v>-20088</v>
      </c>
      <c r="Z24" s="37">
        <f>-45199-Y24-X24</f>
        <v>-10769</v>
      </c>
      <c r="AA24" s="36">
        <f>AB24-SUM(X24:Z24)</f>
        <v>-28995</v>
      </c>
      <c r="AB24" s="37">
        <v>-74194</v>
      </c>
      <c r="AC24" s="37">
        <v>-16449</v>
      </c>
      <c r="AD24" s="37">
        <f>-30051-AC24</f>
        <v>-13602</v>
      </c>
      <c r="AE24" s="37">
        <f>-53920-AD24-AC24</f>
        <v>-23869</v>
      </c>
      <c r="AF24" s="36">
        <f>AG24-SUM(AC24:AE24)</f>
        <v>-15834</v>
      </c>
      <c r="AG24" s="37">
        <v>-69754</v>
      </c>
      <c r="AH24" s="37">
        <v>-18904</v>
      </c>
      <c r="AI24" s="37">
        <f>-30983-AH24</f>
        <v>-12079</v>
      </c>
      <c r="AJ24" s="37">
        <f>-53184-AI24-AH24</f>
        <v>-22201</v>
      </c>
      <c r="AK24" s="36">
        <f>AL24-SUM(AH24:AJ24)</f>
        <v>-12815</v>
      </c>
      <c r="AL24" s="37">
        <v>-65999</v>
      </c>
      <c r="AM24" s="37">
        <v>-18299</v>
      </c>
      <c r="AN24" s="37">
        <f>-44688-AM24</f>
        <v>-26389</v>
      </c>
      <c r="AO24" s="37">
        <f>-64041-AN24-AM24</f>
        <v>-19353</v>
      </c>
      <c r="AP24" s="36">
        <f>AQ24-SUM(AM24:AO24)</f>
        <v>-20945</v>
      </c>
      <c r="AQ24" s="37">
        <v>-84986</v>
      </c>
      <c r="AR24" s="37">
        <v>-19190</v>
      </c>
      <c r="AS24" s="37">
        <f>-36065-AR24</f>
        <v>-16875</v>
      </c>
      <c r="AT24" s="37">
        <f>-51214-AS24-AR24</f>
        <v>-15149</v>
      </c>
      <c r="AU24" s="36">
        <f>AV24-SUM(AR24:AT24)</f>
        <v>-10955</v>
      </c>
      <c r="AV24" s="37">
        <v>-62169</v>
      </c>
      <c r="AW24" s="37">
        <v>-13521</v>
      </c>
      <c r="AX24" s="37">
        <f>-30602-AW24</f>
        <v>-17081</v>
      </c>
      <c r="AY24" s="37">
        <f>-43303-AX24-AW24</f>
        <v>-12701</v>
      </c>
      <c r="AZ24" s="36">
        <f>AZ92*AZ102</f>
        <v>-16319.275278340321</v>
      </c>
      <c r="BA24" s="36">
        <f>SUM(AW24:AZ24)</f>
        <v>-59622.275278340319</v>
      </c>
      <c r="BB24" s="36">
        <f>BB92*BB102</f>
        <v>-16765.50381770487</v>
      </c>
      <c r="BC24" s="36">
        <f>BC92*BC102</f>
        <v>-16722.154098719209</v>
      </c>
      <c r="BD24" s="36">
        <f>BD92*BD102</f>
        <v>-16678.804379733545</v>
      </c>
      <c r="BE24" s="36">
        <f>BE92*BE102</f>
        <v>-16635.454660747884</v>
      </c>
      <c r="BF24" s="36">
        <f>SUM(BB24:BE24)</f>
        <v>-66801.916956905508</v>
      </c>
      <c r="BG24" s="36">
        <f>BG92*BG102</f>
        <v>-17006.907565306276</v>
      </c>
      <c r="BH24" s="36">
        <f>BH92*BH102</f>
        <v>-16962.474103345972</v>
      </c>
      <c r="BI24" s="36">
        <f>BI92*BI102</f>
        <v>-16918.040641385669</v>
      </c>
      <c r="BJ24" s="36">
        <f>BJ92*BJ102</f>
        <v>-16873.607179425366</v>
      </c>
      <c r="BK24" s="36">
        <f>SUM(BG24:BJ24)</f>
        <v>-67761.029489463283</v>
      </c>
      <c r="BL24" s="36">
        <f>BL92*BL102</f>
        <v>-17165.757191814362</v>
      </c>
      <c r="BM24" s="36">
        <f>BM92*BM102</f>
        <v>-17120.435060614851</v>
      </c>
      <c r="BN24" s="36">
        <f>BN92*BN102</f>
        <v>-17075.112929415343</v>
      </c>
      <c r="BO24" s="36">
        <f>BO92*BO102</f>
        <v>-17029.790798215832</v>
      </c>
      <c r="BP24" s="36">
        <f>SUM(BL24:BO24)</f>
        <v>-68391.095980060389</v>
      </c>
      <c r="BQ24" s="36">
        <f>BQ92*BQ102</f>
        <v>-16984.468667016321</v>
      </c>
      <c r="BR24" s="36">
        <f>BR92*BR102</f>
        <v>-16939.14653581681</v>
      </c>
      <c r="BS24" s="36">
        <f>BS92*BS102</f>
        <v>-22244.925595382698</v>
      </c>
      <c r="BT24" s="36">
        <f>BT92*BT102</f>
        <v>-22185.247726582213</v>
      </c>
      <c r="BU24" s="36">
        <f>SUM(BQ24:BT24)</f>
        <v>-78353.78852479803</v>
      </c>
      <c r="BV24" s="36">
        <f>BV92*BV102</f>
        <v>-17054.5</v>
      </c>
      <c r="BW24" s="36">
        <f>BW92*BW102</f>
        <v>-17008.5</v>
      </c>
      <c r="BX24" s="36">
        <f>BX92*BX102</f>
        <v>-14381.25</v>
      </c>
      <c r="BY24" s="36">
        <f>BY92*BY102</f>
        <v>-14342.25</v>
      </c>
      <c r="BZ24" s="36">
        <f>SUM(BV24:BY24)</f>
        <v>-62786.5</v>
      </c>
    </row>
    <row r="25" spans="1:78">
      <c r="A25" s="9" t="s">
        <v>247</v>
      </c>
      <c r="B25" s="9"/>
      <c r="C25" s="9"/>
      <c r="D25" s="9"/>
      <c r="E25" s="9"/>
      <c r="F25" s="9"/>
      <c r="G25" s="9"/>
      <c r="H25" s="9"/>
      <c r="I25" s="39">
        <f t="shared" ref="I25:U25" si="23">I15+I24</f>
        <v>105229</v>
      </c>
      <c r="J25" s="39">
        <f t="shared" si="23"/>
        <v>81009</v>
      </c>
      <c r="K25" s="39">
        <f t="shared" si="23"/>
        <v>50189</v>
      </c>
      <c r="L25" s="39">
        <f t="shared" si="23"/>
        <v>66554</v>
      </c>
      <c r="M25" s="39">
        <f t="shared" si="23"/>
        <v>302981</v>
      </c>
      <c r="N25" s="39">
        <f t="shared" si="23"/>
        <v>239944</v>
      </c>
      <c r="O25" s="39">
        <f t="shared" si="23"/>
        <v>392490</v>
      </c>
      <c r="P25" s="39">
        <f t="shared" si="23"/>
        <v>176358</v>
      </c>
      <c r="Q25" s="39">
        <f t="shared" si="23"/>
        <v>447849</v>
      </c>
      <c r="R25" s="39">
        <f t="shared" si="23"/>
        <v>1256641</v>
      </c>
      <c r="S25" s="39">
        <f t="shared" si="23"/>
        <v>397630</v>
      </c>
      <c r="T25" s="39">
        <f t="shared" si="23"/>
        <v>-970269</v>
      </c>
      <c r="U25" s="39">
        <f t="shared" si="23"/>
        <v>-225124</v>
      </c>
      <c r="V25" s="39">
        <f t="shared" ref="V25" si="24">V15+V24</f>
        <v>-1133582</v>
      </c>
      <c r="W25" s="39">
        <f t="shared" ref="W25:AG25" si="25">W15+W24</f>
        <v>-1931345</v>
      </c>
      <c r="X25" s="39">
        <f t="shared" si="25"/>
        <v>282235</v>
      </c>
      <c r="Y25" s="39">
        <f t="shared" si="25"/>
        <v>1094902</v>
      </c>
      <c r="Z25" s="39">
        <f t="shared" si="25"/>
        <v>1344921</v>
      </c>
      <c r="AA25" s="39">
        <f t="shared" si="25"/>
        <v>3561210</v>
      </c>
      <c r="AB25" s="39">
        <f t="shared" si="25"/>
        <v>6283268</v>
      </c>
      <c r="AC25" s="39">
        <f t="shared" si="25"/>
        <v>375113</v>
      </c>
      <c r="AD25" s="39">
        <f t="shared" si="25"/>
        <v>-1148328</v>
      </c>
      <c r="AE25" s="39">
        <f t="shared" si="25"/>
        <v>139555</v>
      </c>
      <c r="AF25" s="39">
        <f t="shared" si="25"/>
        <v>-2983448</v>
      </c>
      <c r="AG25" s="39">
        <f t="shared" si="25"/>
        <v>-3617108</v>
      </c>
      <c r="AH25" s="39">
        <f t="shared" ref="AH25:AQ25" si="26">AH15+AH24</f>
        <v>-2952749</v>
      </c>
      <c r="AI25" s="39">
        <f t="shared" si="26"/>
        <v>-1390576</v>
      </c>
      <c r="AJ25" s="39">
        <f t="shared" si="26"/>
        <v>-752558</v>
      </c>
      <c r="AK25" s="39">
        <f t="shared" si="26"/>
        <v>-249610</v>
      </c>
      <c r="AL25" s="39">
        <f t="shared" si="26"/>
        <v>-5345493</v>
      </c>
      <c r="AM25" s="39">
        <f t="shared" si="26"/>
        <v>141474</v>
      </c>
      <c r="AN25" s="39">
        <f t="shared" si="26"/>
        <v>-5026</v>
      </c>
      <c r="AO25" s="39">
        <f t="shared" si="26"/>
        <v>581379</v>
      </c>
      <c r="AP25" s="39">
        <f t="shared" ref="AP25" si="27">AP15+AP24</f>
        <v>-78472</v>
      </c>
      <c r="AQ25" s="39">
        <f t="shared" si="26"/>
        <v>639355</v>
      </c>
      <c r="AR25" s="39">
        <f t="shared" ref="AR25:AV25" si="28">AR15+AR24</f>
        <v>-17279</v>
      </c>
      <c r="AS25" s="39">
        <f t="shared" si="28"/>
        <v>591602</v>
      </c>
      <c r="AT25" s="39">
        <f t="shared" si="28"/>
        <v>-367897</v>
      </c>
      <c r="AU25" s="39">
        <f t="shared" si="28"/>
        <v>166308</v>
      </c>
      <c r="AV25" s="39">
        <f t="shared" si="28"/>
        <v>372734</v>
      </c>
      <c r="AW25" s="39">
        <f t="shared" ref="AW25:BZ25" si="29">AW15+AW24</f>
        <v>713316</v>
      </c>
      <c r="AX25" s="39">
        <f t="shared" si="29"/>
        <v>2792250</v>
      </c>
      <c r="AY25" s="39">
        <f t="shared" si="29"/>
        <v>362287</v>
      </c>
      <c r="AZ25" s="39">
        <f t="shared" si="29"/>
        <v>-262928.27527834033</v>
      </c>
      <c r="BA25" s="39">
        <f t="shared" si="29"/>
        <v>3604924.7247216599</v>
      </c>
      <c r="BB25" s="39">
        <f t="shared" si="29"/>
        <v>4868660.4961822964</v>
      </c>
      <c r="BC25" s="39">
        <f t="shared" si="29"/>
        <v>1897369.3459012811</v>
      </c>
      <c r="BD25" s="39">
        <f t="shared" si="29"/>
        <v>1890142.1956202665</v>
      </c>
      <c r="BE25" s="39">
        <f t="shared" si="29"/>
        <v>40927.045339252116</v>
      </c>
      <c r="BF25" s="39">
        <f t="shared" si="29"/>
        <v>8697099.0830430947</v>
      </c>
      <c r="BG25" s="39">
        <f t="shared" si="29"/>
        <v>301441.09243469371</v>
      </c>
      <c r="BH25" s="39">
        <f t="shared" si="29"/>
        <v>294545.52589665412</v>
      </c>
      <c r="BI25" s="39">
        <f t="shared" si="29"/>
        <v>287681.95935861435</v>
      </c>
      <c r="BJ25" s="39">
        <f t="shared" si="29"/>
        <v>280090.89282057463</v>
      </c>
      <c r="BK25" s="39">
        <f t="shared" si="29"/>
        <v>1163759.4705105368</v>
      </c>
      <c r="BL25" s="39">
        <f t="shared" si="29"/>
        <v>271441.74280818563</v>
      </c>
      <c r="BM25" s="39">
        <f t="shared" si="29"/>
        <v>260148.06493938516</v>
      </c>
      <c r="BN25" s="39">
        <f t="shared" si="29"/>
        <v>248156.88707058472</v>
      </c>
      <c r="BO25" s="39">
        <f t="shared" si="29"/>
        <v>236225.70920178419</v>
      </c>
      <c r="BP25" s="39">
        <f t="shared" si="29"/>
        <v>1015972.4040199396</v>
      </c>
      <c r="BQ25" s="39">
        <f t="shared" si="29"/>
        <v>223605.03133298369</v>
      </c>
      <c r="BR25" s="39">
        <f t="shared" si="29"/>
        <v>206563.35346418319</v>
      </c>
      <c r="BS25" s="39">
        <f t="shared" si="29"/>
        <v>184258.57440461731</v>
      </c>
      <c r="BT25" s="39">
        <f t="shared" si="29"/>
        <v>165920.25227341781</v>
      </c>
      <c r="BU25" s="39">
        <f t="shared" si="29"/>
        <v>780347.211475202</v>
      </c>
      <c r="BV25" s="39">
        <f t="shared" si="29"/>
        <v>157198</v>
      </c>
      <c r="BW25" s="39">
        <f t="shared" si="29"/>
        <v>143463</v>
      </c>
      <c r="BX25" s="39">
        <f t="shared" si="29"/>
        <v>131643.75</v>
      </c>
      <c r="BY25" s="39">
        <f t="shared" si="29"/>
        <v>116576.75</v>
      </c>
      <c r="BZ25" s="39">
        <f t="shared" si="29"/>
        <v>548881.5</v>
      </c>
    </row>
    <row r="26" spans="1:78">
      <c r="A26" s="1" t="s">
        <v>390</v>
      </c>
      <c r="J26" s="37">
        <v>186238</v>
      </c>
      <c r="K26" s="37">
        <v>236427</v>
      </c>
      <c r="L26" s="37">
        <v>302981</v>
      </c>
      <c r="O26" s="37">
        <v>632434</v>
      </c>
      <c r="P26" s="37">
        <v>808792</v>
      </c>
      <c r="Q26" s="37">
        <v>1256641</v>
      </c>
      <c r="T26" s="37">
        <v>-572639</v>
      </c>
      <c r="U26" s="37">
        <v>-797763</v>
      </c>
      <c r="V26" s="37">
        <v>-1931345</v>
      </c>
    </row>
    <row r="27" spans="1:78">
      <c r="A27" s="1" t="s">
        <v>240</v>
      </c>
      <c r="J27" s="36">
        <f>J26-SUM(I25:J25)</f>
        <v>0</v>
      </c>
      <c r="K27" s="36">
        <f>K26-SUM(I25:K25)</f>
        <v>0</v>
      </c>
      <c r="L27" s="36">
        <f>L26-SUM(I25:L25)</f>
        <v>0</v>
      </c>
      <c r="O27" s="36">
        <f>O26-SUM(N25:O25)</f>
        <v>0</v>
      </c>
      <c r="P27" s="36">
        <f>P26-SUM(N25:P25)</f>
        <v>0</v>
      </c>
      <c r="Q27" s="36">
        <f>Q26-SUM(N25:Q25)</f>
        <v>0</v>
      </c>
      <c r="T27" s="36">
        <f>T26-SUM(S25:T25)</f>
        <v>0</v>
      </c>
      <c r="U27" s="36">
        <f>U26-SUM(S25:U25)</f>
        <v>0</v>
      </c>
      <c r="V27" s="36">
        <f>V26-SUM(S25:V25)</f>
        <v>0</v>
      </c>
    </row>
    <row r="28" spans="1:78">
      <c r="I28" s="38"/>
      <c r="J28" s="38"/>
      <c r="M28" s="38"/>
      <c r="R28" s="38"/>
      <c r="W28" s="38"/>
      <c r="AH28" s="38"/>
      <c r="AI28" s="38"/>
      <c r="AJ28" s="38"/>
      <c r="AM28" s="38"/>
      <c r="AN28" s="38"/>
      <c r="AO28" s="38"/>
      <c r="AR28" s="38"/>
      <c r="AS28" s="38"/>
      <c r="AW28" s="38"/>
      <c r="AX28" s="38"/>
    </row>
    <row r="29" spans="1:78">
      <c r="A29" s="1" t="s">
        <v>381</v>
      </c>
      <c r="M29" s="37">
        <v>-7801</v>
      </c>
      <c r="N29" s="37">
        <v>-5031</v>
      </c>
      <c r="O29" s="37">
        <f>-11711-N29</f>
        <v>-6680</v>
      </c>
      <c r="P29" s="37">
        <f>-18919-O29-N29</f>
        <v>-7208</v>
      </c>
      <c r="Q29" s="36">
        <f t="shared" ref="Q29:Q30" si="30">R29-SUM(N29:P29)</f>
        <v>-14222</v>
      </c>
      <c r="R29" s="37">
        <v>-33141</v>
      </c>
      <c r="S29" s="37">
        <v>-1668</v>
      </c>
      <c r="T29" s="37">
        <f>-8688-S29</f>
        <v>-7020</v>
      </c>
      <c r="U29" s="37">
        <f>-16221-T29-S29</f>
        <v>-7533</v>
      </c>
      <c r="V29" s="36">
        <f t="shared" ref="V29:V30" si="31">W29-SUM(S29:U29)</f>
        <v>-6238</v>
      </c>
      <c r="W29" s="37">
        <v>-22459</v>
      </c>
      <c r="X29" s="37">
        <v>-4600</v>
      </c>
      <c r="Y29" s="37">
        <f>-6228-X29</f>
        <v>-1628</v>
      </c>
      <c r="Z29" s="37">
        <f>-7634-Y29-X29</f>
        <v>-1406</v>
      </c>
      <c r="AA29" s="36">
        <f t="shared" ref="AA29" si="32">AB29-SUM(X29:Z29)</f>
        <v>-2785</v>
      </c>
      <c r="AB29" s="37">
        <v>-10419</v>
      </c>
      <c r="AC29" s="37">
        <v>-4101</v>
      </c>
      <c r="AD29" s="37">
        <f>-9679-AC29</f>
        <v>-5578</v>
      </c>
      <c r="AE29" s="37">
        <f>-18657-AD29-AC29</f>
        <v>-8978</v>
      </c>
      <c r="AF29" s="36">
        <f t="shared" ref="AF29" si="33">AG29-SUM(AC29:AE29)</f>
        <v>-12959</v>
      </c>
      <c r="AG29" s="37">
        <v>-31616</v>
      </c>
      <c r="AH29" s="37">
        <v>-15401</v>
      </c>
      <c r="AI29" s="37">
        <f>-35795-AH29</f>
        <v>-20394</v>
      </c>
      <c r="AJ29" s="37">
        <f>-59074-AI29-AH29</f>
        <v>-23279</v>
      </c>
      <c r="AK29" s="36">
        <f t="shared" ref="AK29" si="34">AL29-SUM(AH29:AJ29)</f>
        <v>-22107</v>
      </c>
      <c r="AL29" s="37">
        <v>-81181</v>
      </c>
      <c r="AM29" s="37">
        <v>-23628</v>
      </c>
      <c r="AN29" s="37">
        <f>-52532-AM29</f>
        <v>-28904</v>
      </c>
      <c r="AO29" s="37">
        <f>-64523-AN29-AM29</f>
        <v>-11991</v>
      </c>
      <c r="AP29" s="36">
        <f t="shared" ref="AP29" si="35">AQ29-SUM(AM29:AO29)</f>
        <v>-9799</v>
      </c>
      <c r="AQ29" s="37">
        <v>-74322</v>
      </c>
      <c r="AR29" s="37">
        <v>-10524</v>
      </c>
      <c r="AS29" s="37">
        <f>-20671-AR29</f>
        <v>-10147</v>
      </c>
      <c r="AT29" s="37">
        <f>-30670-AS29-AR29</f>
        <v>-9999</v>
      </c>
      <c r="AU29" s="36">
        <f t="shared" ref="AU29" si="36">AV29-SUM(AR29:AT29)</f>
        <v>-9574</v>
      </c>
      <c r="AV29" s="37">
        <v>-40244</v>
      </c>
      <c r="AW29" s="37">
        <v>-40183</v>
      </c>
      <c r="AX29" s="37">
        <f>-83771-AW29</f>
        <v>-43588</v>
      </c>
      <c r="AY29" s="37">
        <f>-143751-AX29-AW29</f>
        <v>-59980</v>
      </c>
      <c r="AZ29" s="36">
        <f>AZ756+AZ928+AZ1010</f>
        <v>-15502.592850584439</v>
      </c>
      <c r="BA29" s="36">
        <f>SUM(AW29:AZ29)</f>
        <v>-159253.59285058445</v>
      </c>
      <c r="BB29" s="36">
        <f>BB756+BB928+BB1010</f>
        <v>-17635.800000000003</v>
      </c>
      <c r="BC29" s="36">
        <f>BC756+BC928+BC1010</f>
        <v>-21568.246875000001</v>
      </c>
      <c r="BD29" s="36">
        <f>BD756+BD928+BD1010</f>
        <v>-24758.662500000002</v>
      </c>
      <c r="BE29" s="36">
        <f>BE756+BE928+BE1010</f>
        <v>-28291.96875</v>
      </c>
      <c r="BF29" s="36">
        <f>SUM(BB29:BE29)</f>
        <v>-92254.678125000006</v>
      </c>
      <c r="BG29" s="36">
        <f>BG756+BG928+BG1010</f>
        <v>-30371.212499999998</v>
      </c>
      <c r="BH29" s="36">
        <f>BH756+BH928+BH1010</f>
        <v>-30291.862500000003</v>
      </c>
      <c r="BI29" s="36">
        <f>BI756+BI928+BI1010</f>
        <v>-30212.512500000001</v>
      </c>
      <c r="BJ29" s="36">
        <f>BJ756+BJ928+BJ1010</f>
        <v>-30133.162500000002</v>
      </c>
      <c r="BK29" s="36">
        <f>SUM(BG29:BJ29)</f>
        <v>-121008.75</v>
      </c>
      <c r="BL29" s="36">
        <f>BL756+BL928+BL1010</f>
        <v>-30053.8125</v>
      </c>
      <c r="BM29" s="36">
        <f>BM756+BM928+BM1010</f>
        <v>-29974.462499999998</v>
      </c>
      <c r="BN29" s="36">
        <f>BN756+BN928+BN1010</f>
        <v>-29895.112500000003</v>
      </c>
      <c r="BO29" s="36">
        <f>BO756+BO928+BO1010</f>
        <v>-29815.762500000001</v>
      </c>
      <c r="BP29" s="36">
        <f>SUM(BL29:BO29)</f>
        <v>-119739.15</v>
      </c>
      <c r="BQ29" s="36">
        <f>BQ756+BQ928+BQ1010</f>
        <v>-29736.412500000002</v>
      </c>
      <c r="BR29" s="36">
        <f>BR756+BR928+BR1010</f>
        <v>-29657.0625</v>
      </c>
      <c r="BS29" s="36">
        <f>BS756+BS928+BS1010</f>
        <v>-29577.712499999998</v>
      </c>
      <c r="BT29" s="36">
        <f>BT756+BT928+BT1010</f>
        <v>-29498.362500000003</v>
      </c>
      <c r="BU29" s="36">
        <f>SUM(BQ29:BT29)</f>
        <v>-118469.55</v>
      </c>
      <c r="BV29" s="36">
        <f>BV756+BV928+BV1010</f>
        <v>-29419.012500000001</v>
      </c>
      <c r="BW29" s="36">
        <f>BW756+BW928+BW1010</f>
        <v>-29339.662500000002</v>
      </c>
      <c r="BX29" s="36">
        <f>BX756+BX928+BX1010</f>
        <v>-29260.3125</v>
      </c>
      <c r="BY29" s="36">
        <f>BY756+BY928+BY1010</f>
        <v>-29180.962499999998</v>
      </c>
      <c r="BZ29" s="36">
        <f>SUM(BV29:BY29)</f>
        <v>-117199.95</v>
      </c>
    </row>
    <row r="30" spans="1:78">
      <c r="A30" s="1" t="s">
        <v>382</v>
      </c>
      <c r="M30" s="37">
        <v>-33</v>
      </c>
      <c r="N30" s="37">
        <v>-40</v>
      </c>
      <c r="O30" s="37">
        <f>-22-N30</f>
        <v>18</v>
      </c>
      <c r="P30" s="37">
        <f>66-O30-N30</f>
        <v>88</v>
      </c>
      <c r="Q30" s="36">
        <f t="shared" si="30"/>
        <v>2</v>
      </c>
      <c r="R30" s="37">
        <v>68</v>
      </c>
      <c r="S30" s="37">
        <v>232</v>
      </c>
      <c r="T30" s="37">
        <f>37-S30</f>
        <v>-195</v>
      </c>
      <c r="U30" s="37">
        <f>547-T30-S30</f>
        <v>510</v>
      </c>
      <c r="V30" s="36">
        <f t="shared" si="31"/>
        <v>-226</v>
      </c>
      <c r="W30" s="37">
        <v>321</v>
      </c>
      <c r="X30" s="37"/>
      <c r="Y30" s="37"/>
      <c r="Z30" s="37"/>
      <c r="AA30" s="36"/>
      <c r="AB30" s="37"/>
      <c r="AC30" s="37"/>
      <c r="AD30" s="37"/>
      <c r="AE30" s="37"/>
      <c r="AF30" s="36"/>
      <c r="AG30" s="37"/>
      <c r="AH30" s="37"/>
      <c r="AI30" s="37"/>
      <c r="AJ30" s="37"/>
      <c r="AK30" s="36"/>
      <c r="AL30" s="37"/>
      <c r="AM30" s="37"/>
      <c r="AN30" s="37"/>
      <c r="AO30" s="37"/>
      <c r="AP30" s="36"/>
      <c r="AQ30" s="37"/>
      <c r="AR30" s="37"/>
      <c r="AS30" s="37"/>
      <c r="AT30" s="37"/>
      <c r="AU30" s="36"/>
      <c r="AV30" s="37"/>
      <c r="AW30" s="37"/>
      <c r="AX30" s="37"/>
      <c r="AY30" s="37"/>
    </row>
    <row r="31" spans="1:78">
      <c r="A31" s="1" t="s">
        <v>107</v>
      </c>
      <c r="M31" s="37">
        <v>-8902</v>
      </c>
      <c r="N31" s="37">
        <v>1197</v>
      </c>
      <c r="O31" s="37">
        <f>-80953-N31</f>
        <v>-82150</v>
      </c>
      <c r="P31" s="70">
        <f>249439-O31-N31</f>
        <v>330392</v>
      </c>
      <c r="Q31" s="36">
        <f>R31-SUM(N31:P31)</f>
        <v>-72066</v>
      </c>
      <c r="R31" s="37">
        <v>177373</v>
      </c>
      <c r="S31" s="37">
        <v>0</v>
      </c>
      <c r="T31" s="37">
        <v>0</v>
      </c>
      <c r="U31" s="37">
        <v>0</v>
      </c>
      <c r="V31" s="36">
        <f>W31-SUM(S31:U31)</f>
        <v>0</v>
      </c>
      <c r="W31" s="37">
        <v>0</v>
      </c>
      <c r="X31" s="37"/>
      <c r="Y31" s="37"/>
      <c r="Z31" s="37"/>
      <c r="AA31" s="36"/>
      <c r="AB31" s="37"/>
      <c r="AC31" s="37"/>
      <c r="AD31" s="37">
        <v>1424</v>
      </c>
      <c r="AE31" s="37">
        <f>1013-AD31</f>
        <v>-411</v>
      </c>
      <c r="AF31" s="36">
        <f>AG31-SUM(AC31:AE31)</f>
        <v>1043</v>
      </c>
      <c r="AG31" s="37">
        <v>2056</v>
      </c>
      <c r="AH31" s="37">
        <v>499</v>
      </c>
      <c r="AI31" s="37">
        <f>620-AH31</f>
        <v>121</v>
      </c>
      <c r="AJ31" s="37">
        <f>865-AI31-AH31</f>
        <v>245</v>
      </c>
      <c r="AK31" s="36">
        <f>AL31-SUM(AH31:AJ31)</f>
        <v>42</v>
      </c>
      <c r="AL31" s="37">
        <v>907</v>
      </c>
      <c r="AM31" s="37"/>
      <c r="AN31" s="37"/>
      <c r="AO31" s="37"/>
      <c r="AP31" s="36"/>
      <c r="AQ31" s="37"/>
      <c r="AR31" s="37"/>
      <c r="AS31" s="37"/>
      <c r="AT31" s="37"/>
      <c r="AU31" s="36"/>
      <c r="AV31" s="37"/>
      <c r="AW31" s="37"/>
      <c r="AX31" s="37"/>
      <c r="AY31" s="37"/>
    </row>
    <row r="32" spans="1:78">
      <c r="A32" s="1" t="s">
        <v>109</v>
      </c>
      <c r="I32" s="37">
        <v>-43589</v>
      </c>
      <c r="J32" s="37">
        <f>-77157-I32</f>
        <v>-33568</v>
      </c>
      <c r="K32" s="37">
        <f>-108163-J32-I32</f>
        <v>-31006</v>
      </c>
      <c r="L32" s="36">
        <f>M32-SUM(I32:K32)</f>
        <v>-52219</v>
      </c>
      <c r="M32" s="37">
        <v>-160382</v>
      </c>
      <c r="N32" s="37">
        <v>-72889</v>
      </c>
      <c r="O32" s="37">
        <f>-199757-N32</f>
        <v>-126868</v>
      </c>
      <c r="P32" s="37">
        <f>-453529-O32-N32</f>
        <v>-253772</v>
      </c>
      <c r="Q32" s="36">
        <f t="shared" ref="Q32:Q33" si="37">R32-SUM(N32:P32)</f>
        <v>-132623</v>
      </c>
      <c r="R32" s="37">
        <v>-586152</v>
      </c>
      <c r="S32" s="37">
        <v>-184488</v>
      </c>
      <c r="T32" s="37">
        <f>180775-S32</f>
        <v>365263</v>
      </c>
      <c r="U32" s="37">
        <f>190005-T32-S32</f>
        <v>9230</v>
      </c>
      <c r="V32" s="36">
        <f t="shared" ref="V32:V33" si="38">W32-SUM(S32:U32)</f>
        <v>350925</v>
      </c>
      <c r="W32" s="37">
        <v>540930</v>
      </c>
      <c r="X32" s="37">
        <v>-147643</v>
      </c>
      <c r="Y32" s="37">
        <f>-457537-X32</f>
        <v>-309894</v>
      </c>
      <c r="Z32" s="37">
        <f>-956736-Y32-X32</f>
        <v>-499199</v>
      </c>
      <c r="AA32" s="36">
        <f t="shared" ref="AA32:AA33" si="39">AB32-SUM(X32:Z32)</f>
        <v>-1289681</v>
      </c>
      <c r="AB32" s="37">
        <v>-2246417</v>
      </c>
      <c r="AC32" s="37">
        <v>-134093</v>
      </c>
      <c r="AD32" s="37">
        <f>195179-AC32</f>
        <v>329272</v>
      </c>
      <c r="AE32" s="37">
        <f>172451-AD32-AC32</f>
        <v>-22728</v>
      </c>
      <c r="AF32" s="36">
        <f t="shared" ref="AF32:AF33" si="40">AG32-SUM(AC32:AE32)</f>
        <v>800223</v>
      </c>
      <c r="AG32" s="37">
        <v>972674</v>
      </c>
      <c r="AH32" s="37">
        <v>631367</v>
      </c>
      <c r="AI32" s="37">
        <f>1018741-AH32</f>
        <v>387374</v>
      </c>
      <c r="AJ32" s="37">
        <f>1145779-AI32-AH32</f>
        <v>127038</v>
      </c>
      <c r="AK32" s="36">
        <f t="shared" ref="AK32:AK33" si="41">AL32-SUM(AH32:AJ32)</f>
        <v>-17830</v>
      </c>
      <c r="AL32" s="37">
        <v>1127949</v>
      </c>
      <c r="AM32" s="37">
        <v>-58081</v>
      </c>
      <c r="AN32" s="37">
        <f>-226265-AM32</f>
        <v>-168184</v>
      </c>
      <c r="AO32" s="37">
        <f>-378397-AN32-AM32</f>
        <v>-152132</v>
      </c>
      <c r="AP32" s="36">
        <f t="shared" ref="AP32:AP33" si="42">AQ32-SUM(AM32:AO32)</f>
        <v>-11740</v>
      </c>
      <c r="AQ32" s="37">
        <v>-390137</v>
      </c>
      <c r="AR32" s="37">
        <v>-205254</v>
      </c>
      <c r="AS32" s="37">
        <f>-421217-AR32</f>
        <v>-215963</v>
      </c>
      <c r="AT32" s="37">
        <f>-359910-AS32-AR32</f>
        <v>61307</v>
      </c>
      <c r="AU32" s="36">
        <f t="shared" ref="AU32:AU33" si="43">AV32-SUM(AR32:AT32)</f>
        <v>-131988</v>
      </c>
      <c r="AV32" s="37">
        <v>-491898</v>
      </c>
      <c r="AW32" s="37">
        <v>-234079</v>
      </c>
      <c r="AX32" s="37">
        <f>-618693-AW32</f>
        <v>-384614</v>
      </c>
      <c r="AY32" s="37">
        <f>-351246-AX32-AW32</f>
        <v>267447</v>
      </c>
      <c r="AZ32" s="36">
        <f>AZ52+AZ59+AZ66</f>
        <v>133531.56772994378</v>
      </c>
      <c r="BA32" s="36">
        <f>SUM(AW32:AZ32)</f>
        <v>-217714.43227005622</v>
      </c>
      <c r="BB32" s="36" t="e">
        <f>BB52+BB59+BB66</f>
        <v>#VALUE!</v>
      </c>
      <c r="BC32" s="36" t="e">
        <f>BC52+BC59+BC66</f>
        <v>#VALUE!</v>
      </c>
      <c r="BD32" s="36" t="e">
        <f>BD52+BD59+BD66</f>
        <v>#VALUE!</v>
      </c>
      <c r="BE32" s="36" t="e">
        <f>BE52+BE59+BE66</f>
        <v>#VALUE!</v>
      </c>
      <c r="BF32" s="36" t="e">
        <f>SUM(BB32:BE32)</f>
        <v>#VALUE!</v>
      </c>
      <c r="BG32" s="36" t="e">
        <f>BG52+BG59+BG66</f>
        <v>#VALUE!</v>
      </c>
      <c r="BH32" s="36" t="e">
        <f>BH52+BH59+BH66</f>
        <v>#VALUE!</v>
      </c>
      <c r="BI32" s="36" t="e">
        <f>BI52+BI59+BI66</f>
        <v>#VALUE!</v>
      </c>
      <c r="BJ32" s="36" t="e">
        <f>BJ52+BJ59+BJ66</f>
        <v>#VALUE!</v>
      </c>
      <c r="BK32" s="36" t="e">
        <f>SUM(BG32:BJ32)</f>
        <v>#VALUE!</v>
      </c>
      <c r="BL32" s="36" t="e">
        <f>BL52+BL59+BL66</f>
        <v>#VALUE!</v>
      </c>
      <c r="BM32" s="36" t="e">
        <f>BM52+BM59+BM66</f>
        <v>#VALUE!</v>
      </c>
      <c r="BN32" s="36" t="e">
        <f>BN52+BN59+BN66</f>
        <v>#VALUE!</v>
      </c>
      <c r="BO32" s="36" t="e">
        <f>BO52+BO59+BO66</f>
        <v>#VALUE!</v>
      </c>
      <c r="BP32" s="36" t="e">
        <f>SUM(BL32:BO32)</f>
        <v>#VALUE!</v>
      </c>
      <c r="BQ32" s="36" t="e">
        <f>BQ52+BQ59+BQ66</f>
        <v>#VALUE!</v>
      </c>
      <c r="BR32" s="36" t="e">
        <f>BR52+BR59+BR66</f>
        <v>#VALUE!</v>
      </c>
      <c r="BS32" s="36" t="e">
        <f>BS52+BS59+BS66</f>
        <v>#VALUE!</v>
      </c>
      <c r="BT32" s="36" t="e">
        <f>BT52+BT59+BT66</f>
        <v>#VALUE!</v>
      </c>
      <c r="BU32" s="36" t="e">
        <f>SUM(BQ32:BT32)</f>
        <v>#VALUE!</v>
      </c>
      <c r="BV32" s="36" t="e">
        <f>BV52+BV59+BV66</f>
        <v>#VALUE!</v>
      </c>
      <c r="BW32" s="36" t="e">
        <f>BW52+BW59+BW66</f>
        <v>#VALUE!</v>
      </c>
      <c r="BX32" s="36" t="e">
        <f>BX52+BX59+BX66</f>
        <v>#VALUE!</v>
      </c>
      <c r="BY32" s="36" t="e">
        <f>BY52+BY59+BY66</f>
        <v>#VALUE!</v>
      </c>
      <c r="BZ32" s="36" t="e">
        <f>SUM(BV32:BY32)</f>
        <v>#VALUE!</v>
      </c>
    </row>
    <row r="33" spans="1:78">
      <c r="A33" s="1" t="s">
        <v>125</v>
      </c>
      <c r="M33" s="37">
        <v>-248</v>
      </c>
      <c r="N33" s="37">
        <v>-276</v>
      </c>
      <c r="O33" s="37">
        <f>-535-N33</f>
        <v>-259</v>
      </c>
      <c r="P33" s="37">
        <f>-910-O33-N33</f>
        <v>-375</v>
      </c>
      <c r="Q33" s="36">
        <f t="shared" si="37"/>
        <v>678</v>
      </c>
      <c r="R33" s="37">
        <v>-232</v>
      </c>
      <c r="S33" s="37">
        <v>591</v>
      </c>
      <c r="T33" s="37">
        <f>1016-S33</f>
        <v>425</v>
      </c>
      <c r="U33" s="37">
        <f>340-T33-S33</f>
        <v>-676</v>
      </c>
      <c r="V33" s="36">
        <f t="shared" si="38"/>
        <v>727</v>
      </c>
      <c r="W33" s="37">
        <v>1067</v>
      </c>
      <c r="X33" s="37">
        <v>-362</v>
      </c>
      <c r="Y33" s="37">
        <f>617-X33</f>
        <v>979</v>
      </c>
      <c r="Z33" s="37">
        <f>429-Y33-X33</f>
        <v>-188</v>
      </c>
      <c r="AA33" s="36">
        <f t="shared" si="39"/>
        <v>-38</v>
      </c>
      <c r="AB33" s="37">
        <v>391</v>
      </c>
      <c r="AC33" s="37">
        <v>-1369</v>
      </c>
      <c r="AD33" s="37">
        <f>-3245-AC33</f>
        <v>-1876</v>
      </c>
      <c r="AE33" s="37">
        <f>-1726-AD33-AC33</f>
        <v>1519</v>
      </c>
      <c r="AF33" s="36">
        <f t="shared" si="40"/>
        <v>36317</v>
      </c>
      <c r="AG33" s="37">
        <v>34591</v>
      </c>
      <c r="AH33" s="37">
        <v>5534</v>
      </c>
      <c r="AI33" s="37">
        <f>9105-AH33</f>
        <v>3571</v>
      </c>
      <c r="AJ33" s="37">
        <f>-2437-AI33-AH33</f>
        <v>-11542</v>
      </c>
      <c r="AK33" s="36">
        <f t="shared" si="41"/>
        <v>-8036</v>
      </c>
      <c r="AL33" s="37">
        <v>-10473</v>
      </c>
      <c r="AM33" s="37">
        <v>1276</v>
      </c>
      <c r="AN33" s="37">
        <f>-55474-AM33</f>
        <v>-56750</v>
      </c>
      <c r="AO33" s="37">
        <f>-49987-AN33-AM33</f>
        <v>5487</v>
      </c>
      <c r="AP33" s="36">
        <f t="shared" si="42"/>
        <v>3270</v>
      </c>
      <c r="AQ33" s="37">
        <v>-46717</v>
      </c>
      <c r="AR33" s="37">
        <v>28756</v>
      </c>
      <c r="AS33" s="37">
        <f>36406-AR33</f>
        <v>7650</v>
      </c>
      <c r="AT33" s="37">
        <f>43063-AS33-AR33</f>
        <v>6657</v>
      </c>
      <c r="AU33" s="36">
        <f t="shared" si="43"/>
        <v>1327</v>
      </c>
      <c r="AV33" s="37">
        <v>44390</v>
      </c>
      <c r="AW33" s="37">
        <v>12340</v>
      </c>
      <c r="AX33" s="37">
        <f>25193-AW33</f>
        <v>12853</v>
      </c>
      <c r="AY33" s="37">
        <f>190933-AX33-AW33</f>
        <v>165740</v>
      </c>
    </row>
    <row r="34" spans="1:78">
      <c r="A34" s="9" t="s">
        <v>110</v>
      </c>
      <c r="B34" s="9"/>
      <c r="C34" s="9"/>
      <c r="D34" s="9"/>
      <c r="E34" s="9"/>
      <c r="F34" s="9"/>
      <c r="G34" s="9"/>
      <c r="H34" s="9"/>
      <c r="I34" s="39">
        <f>I25+SUM(I29:I33)</f>
        <v>61640</v>
      </c>
      <c r="J34" s="39">
        <f t="shared" ref="J34:M34" si="44">J25+SUM(J29:J33)</f>
        <v>47441</v>
      </c>
      <c r="K34" s="39">
        <f t="shared" si="44"/>
        <v>19183</v>
      </c>
      <c r="L34" s="39">
        <f t="shared" si="44"/>
        <v>14335</v>
      </c>
      <c r="M34" s="39">
        <f t="shared" si="44"/>
        <v>125615</v>
      </c>
      <c r="N34" s="39">
        <f>N25+SUM(N29:N33)</f>
        <v>162905</v>
      </c>
      <c r="O34" s="39">
        <f t="shared" ref="O34" si="45">O25+SUM(O29:O33)</f>
        <v>176551</v>
      </c>
      <c r="P34" s="39">
        <f t="shared" ref="P34" si="46">P25+SUM(P29:P33)</f>
        <v>245483</v>
      </c>
      <c r="Q34" s="39">
        <f t="shared" ref="Q34" si="47">Q25+SUM(Q29:Q33)</f>
        <v>229618</v>
      </c>
      <c r="R34" s="39">
        <f t="shared" ref="R34:V34" si="48">R25+SUM(R29:R33)</f>
        <v>814557</v>
      </c>
      <c r="S34" s="39">
        <f t="shared" si="48"/>
        <v>212297</v>
      </c>
      <c r="T34" s="39">
        <f t="shared" si="48"/>
        <v>-611796</v>
      </c>
      <c r="U34" s="39">
        <f t="shared" si="48"/>
        <v>-223593</v>
      </c>
      <c r="V34" s="39">
        <f t="shared" si="48"/>
        <v>-788394</v>
      </c>
      <c r="W34" s="39">
        <f t="shared" ref="W34:AG34" si="49">W25+SUM(W29:W33)</f>
        <v>-1411486</v>
      </c>
      <c r="X34" s="39">
        <f t="shared" si="49"/>
        <v>129630</v>
      </c>
      <c r="Y34" s="39">
        <f t="shared" si="49"/>
        <v>784359</v>
      </c>
      <c r="Z34" s="39">
        <f t="shared" si="49"/>
        <v>844128</v>
      </c>
      <c r="AA34" s="39">
        <f t="shared" si="49"/>
        <v>2268706</v>
      </c>
      <c r="AB34" s="39">
        <f t="shared" si="49"/>
        <v>4026823</v>
      </c>
      <c r="AC34" s="39">
        <f t="shared" si="49"/>
        <v>235550</v>
      </c>
      <c r="AD34" s="39">
        <f t="shared" si="49"/>
        <v>-825086</v>
      </c>
      <c r="AE34" s="39">
        <f t="shared" si="49"/>
        <v>108957</v>
      </c>
      <c r="AF34" s="39">
        <f t="shared" ref="AF34" si="50">AF25+SUM(AF29:AF33)</f>
        <v>-2158824</v>
      </c>
      <c r="AG34" s="39">
        <f t="shared" si="49"/>
        <v>-2639403</v>
      </c>
      <c r="AH34" s="39">
        <f t="shared" ref="AH34" si="51">AH25+SUM(AH29:AH33)</f>
        <v>-2330750</v>
      </c>
      <c r="AI34" s="39">
        <f t="shared" ref="AI34" si="52">AI25+SUM(AI29:AI33)</f>
        <v>-1019904</v>
      </c>
      <c r="AJ34" s="39">
        <f t="shared" ref="AJ34:AK34" si="53">AJ25+SUM(AJ29:AJ33)</f>
        <v>-660096</v>
      </c>
      <c r="AK34" s="39">
        <f t="shared" si="53"/>
        <v>-297541</v>
      </c>
      <c r="AL34" s="39">
        <f t="shared" ref="AL34" si="54">AL25+SUM(AL29:AL33)</f>
        <v>-4308291</v>
      </c>
      <c r="AM34" s="39">
        <f t="shared" ref="AM34" si="55">AM25+SUM(AM29:AM33)</f>
        <v>61041</v>
      </c>
      <c r="AN34" s="39">
        <f t="shared" ref="AN34" si="56">AN25+SUM(AN29:AN33)</f>
        <v>-258864</v>
      </c>
      <c r="AO34" s="39">
        <f t="shared" ref="AO34:AQ34" si="57">AO25+SUM(AO29:AO33)</f>
        <v>422743</v>
      </c>
      <c r="AP34" s="39">
        <f t="shared" si="57"/>
        <v>-96741</v>
      </c>
      <c r="AQ34" s="39">
        <f t="shared" si="57"/>
        <v>128179</v>
      </c>
      <c r="AR34" s="39">
        <f t="shared" ref="AR34:AV34" si="58">AR25+SUM(AR29:AR33)</f>
        <v>-204301</v>
      </c>
      <c r="AS34" s="39">
        <f t="shared" si="58"/>
        <v>373142</v>
      </c>
      <c r="AT34" s="39">
        <f t="shared" si="58"/>
        <v>-309932</v>
      </c>
      <c r="AU34" s="39">
        <f t="shared" si="58"/>
        <v>26073</v>
      </c>
      <c r="AV34" s="39">
        <f t="shared" si="58"/>
        <v>-115018</v>
      </c>
      <c r="AW34" s="39">
        <f t="shared" ref="AW34:BZ34" si="59">AW25+SUM(AW29:AW33)</f>
        <v>451394</v>
      </c>
      <c r="AX34" s="39">
        <f t="shared" si="59"/>
        <v>2376901</v>
      </c>
      <c r="AY34" s="39">
        <f t="shared" si="59"/>
        <v>735494</v>
      </c>
      <c r="AZ34" s="39">
        <f t="shared" si="59"/>
        <v>-144899.30039898097</v>
      </c>
      <c r="BA34" s="39">
        <f t="shared" si="59"/>
        <v>3227956.6996010193</v>
      </c>
      <c r="BB34" s="39" t="e">
        <f t="shared" si="59"/>
        <v>#VALUE!</v>
      </c>
      <c r="BC34" s="39" t="e">
        <f t="shared" si="59"/>
        <v>#VALUE!</v>
      </c>
      <c r="BD34" s="39" t="e">
        <f t="shared" si="59"/>
        <v>#VALUE!</v>
      </c>
      <c r="BE34" s="39" t="e">
        <f t="shared" si="59"/>
        <v>#VALUE!</v>
      </c>
      <c r="BF34" s="39" t="e">
        <f t="shared" si="59"/>
        <v>#VALUE!</v>
      </c>
      <c r="BG34" s="39" t="e">
        <f t="shared" si="59"/>
        <v>#VALUE!</v>
      </c>
      <c r="BH34" s="39" t="e">
        <f t="shared" si="59"/>
        <v>#VALUE!</v>
      </c>
      <c r="BI34" s="39" t="e">
        <f t="shared" si="59"/>
        <v>#VALUE!</v>
      </c>
      <c r="BJ34" s="39" t="e">
        <f t="shared" si="59"/>
        <v>#VALUE!</v>
      </c>
      <c r="BK34" s="39" t="e">
        <f t="shared" si="59"/>
        <v>#VALUE!</v>
      </c>
      <c r="BL34" s="39" t="e">
        <f t="shared" si="59"/>
        <v>#VALUE!</v>
      </c>
      <c r="BM34" s="39" t="e">
        <f t="shared" si="59"/>
        <v>#VALUE!</v>
      </c>
      <c r="BN34" s="39" t="e">
        <f t="shared" si="59"/>
        <v>#VALUE!</v>
      </c>
      <c r="BO34" s="39" t="e">
        <f t="shared" si="59"/>
        <v>#VALUE!</v>
      </c>
      <c r="BP34" s="39" t="e">
        <f t="shared" si="59"/>
        <v>#VALUE!</v>
      </c>
      <c r="BQ34" s="39" t="e">
        <f t="shared" si="59"/>
        <v>#VALUE!</v>
      </c>
      <c r="BR34" s="39" t="e">
        <f t="shared" si="59"/>
        <v>#VALUE!</v>
      </c>
      <c r="BS34" s="39" t="e">
        <f t="shared" si="59"/>
        <v>#VALUE!</v>
      </c>
      <c r="BT34" s="39" t="e">
        <f t="shared" si="59"/>
        <v>#VALUE!</v>
      </c>
      <c r="BU34" s="39" t="e">
        <f t="shared" si="59"/>
        <v>#VALUE!</v>
      </c>
      <c r="BV34" s="39" t="e">
        <f t="shared" si="59"/>
        <v>#VALUE!</v>
      </c>
      <c r="BW34" s="39" t="e">
        <f t="shared" si="59"/>
        <v>#VALUE!</v>
      </c>
      <c r="BX34" s="39" t="e">
        <f t="shared" si="59"/>
        <v>#VALUE!</v>
      </c>
      <c r="BY34" s="39" t="e">
        <f t="shared" si="59"/>
        <v>#VALUE!</v>
      </c>
      <c r="BZ34" s="39" t="e">
        <f t="shared" si="59"/>
        <v>#VALUE!</v>
      </c>
    </row>
    <row r="35" spans="1:78">
      <c r="A35" s="1" t="s">
        <v>239</v>
      </c>
      <c r="I35" s="36"/>
      <c r="J35" s="36"/>
      <c r="K35" s="36"/>
      <c r="L35" s="36"/>
      <c r="M35" s="36"/>
      <c r="N35" s="36"/>
      <c r="O35" s="37">
        <v>339456</v>
      </c>
      <c r="P35" s="37">
        <v>584939</v>
      </c>
      <c r="Q35" s="37">
        <v>814557</v>
      </c>
      <c r="R35" s="36"/>
      <c r="S35" s="36"/>
      <c r="T35" s="37">
        <f>-399499</f>
        <v>-399499</v>
      </c>
      <c r="U35" s="37">
        <v>-623092</v>
      </c>
      <c r="V35" s="37">
        <v>-1411486</v>
      </c>
      <c r="W35" s="36"/>
      <c r="Y35" s="37">
        <v>913989</v>
      </c>
      <c r="Z35" s="37">
        <v>1758117</v>
      </c>
      <c r="AA35" s="37">
        <v>4026823</v>
      </c>
      <c r="AB35" s="36"/>
      <c r="AD35" s="37">
        <v>-589536</v>
      </c>
      <c r="AE35" s="37">
        <v>-480579</v>
      </c>
      <c r="AF35" s="37">
        <v>-2639403</v>
      </c>
      <c r="AG35" s="36"/>
      <c r="AH35" s="36"/>
      <c r="AI35" s="37">
        <v>-3350654</v>
      </c>
      <c r="AJ35" s="37">
        <v>-4010750</v>
      </c>
      <c r="AK35" s="37">
        <v>-4308291</v>
      </c>
      <c r="AL35" s="36"/>
      <c r="AM35" s="36"/>
      <c r="AN35" s="37">
        <v>-197823</v>
      </c>
      <c r="AO35" s="37">
        <v>224920</v>
      </c>
      <c r="AP35" s="37">
        <v>128179</v>
      </c>
      <c r="AQ35" s="36"/>
      <c r="AS35" s="37">
        <v>168841</v>
      </c>
      <c r="AT35" s="37">
        <v>-141091</v>
      </c>
      <c r="AU35" s="37">
        <v>-115018</v>
      </c>
      <c r="AV35" s="36"/>
      <c r="AX35" s="37">
        <v>2828295</v>
      </c>
      <c r="AY35" s="37">
        <v>3563789</v>
      </c>
    </row>
    <row r="36" spans="1:78">
      <c r="A36" s="1" t="s">
        <v>240</v>
      </c>
      <c r="I36" s="36"/>
      <c r="J36" s="36"/>
      <c r="K36" s="36"/>
      <c r="L36" s="36"/>
      <c r="M36" s="36"/>
      <c r="N36" s="36"/>
      <c r="O36" s="36">
        <f>O35-SUM(N34:O34)</f>
        <v>0</v>
      </c>
      <c r="P36" s="36">
        <f>P35-SUM(N34:P34)</f>
        <v>0</v>
      </c>
      <c r="Q36" s="36">
        <f>Q35-SUM(N34:Q34)</f>
        <v>0</v>
      </c>
      <c r="R36" s="36"/>
      <c r="S36" s="36"/>
      <c r="T36" s="36">
        <f>T35-SUM(S34:T34)</f>
        <v>0</v>
      </c>
      <c r="U36" s="36">
        <f>U35-SUM(S34:U34)</f>
        <v>0</v>
      </c>
      <c r="V36" s="36">
        <f>V35-SUM(S34:V34)</f>
        <v>0</v>
      </c>
      <c r="W36" s="36"/>
      <c r="Y36" s="36">
        <f>Y35-SUM(X34:Y34)</f>
        <v>0</v>
      </c>
      <c r="Z36" s="36">
        <f>Z35-SUM(X34:Z34)</f>
        <v>0</v>
      </c>
      <c r="AA36" s="36">
        <f>AA35-SUM(X34:AA34)</f>
        <v>0</v>
      </c>
      <c r="AB36" s="36"/>
      <c r="AD36" s="36">
        <f>AD35-SUM(AC34:AD34)</f>
        <v>0</v>
      </c>
      <c r="AE36" s="36">
        <f>AE35-SUM(AC34:AE34)</f>
        <v>0</v>
      </c>
      <c r="AF36" s="36">
        <f>AF35-SUM(AC34:AF34)</f>
        <v>0</v>
      </c>
      <c r="AG36" s="36"/>
      <c r="AH36" s="36"/>
      <c r="AI36" s="36">
        <f>AI35-SUM(AH34:AI34)</f>
        <v>0</v>
      </c>
      <c r="AJ36" s="36">
        <f>AJ35-SUM(AH34:AJ34)</f>
        <v>0</v>
      </c>
      <c r="AK36" s="36">
        <f>AK35-SUM(AH34:AK34)</f>
        <v>0</v>
      </c>
      <c r="AL36" s="36"/>
      <c r="AM36" s="36"/>
      <c r="AN36" s="36">
        <f>AN35-SUM(AM34:AN34)</f>
        <v>0</v>
      </c>
      <c r="AO36" s="36">
        <f>AO35-SUM(AM34:AO34)</f>
        <v>0</v>
      </c>
      <c r="AP36" s="36">
        <f>AP35-SUM(AM34:AP34)</f>
        <v>0</v>
      </c>
      <c r="AQ36" s="36"/>
      <c r="AS36" s="36">
        <f>AS35-SUM(AR34:AS34)</f>
        <v>0</v>
      </c>
      <c r="AT36" s="36">
        <f>AT35-SUM(AR34:AT34)</f>
        <v>0</v>
      </c>
      <c r="AU36" s="36">
        <f>AU35-SUM(AR34:AU34)</f>
        <v>0</v>
      </c>
      <c r="AV36" s="36"/>
      <c r="AX36" s="36">
        <f>AX35-SUM(AW34:AX34)</f>
        <v>0</v>
      </c>
      <c r="AY36" s="36">
        <f>AY35-SUM(AW34:AY34)</f>
        <v>0</v>
      </c>
    </row>
    <row r="37" spans="1:78">
      <c r="I37" s="42" t="s">
        <v>339</v>
      </c>
    </row>
    <row r="38" spans="1:78" s="2" customFormat="1">
      <c r="A38" s="4" t="s">
        <v>486</v>
      </c>
    </row>
    <row r="39" spans="1:78">
      <c r="A39" s="22" t="s">
        <v>485</v>
      </c>
    </row>
    <row r="40" spans="1:78">
      <c r="A40" s="3" t="s">
        <v>491</v>
      </c>
    </row>
    <row r="42" spans="1:78">
      <c r="A42" s="28" t="s">
        <v>103</v>
      </c>
      <c r="Y42" s="36">
        <f t="shared" ref="Y42:AG42" si="60">Y49+Y56-Y6</f>
        <v>0</v>
      </c>
      <c r="Z42" s="36">
        <f t="shared" si="60"/>
        <v>4575</v>
      </c>
      <c r="AA42" s="36">
        <f t="shared" si="60"/>
        <v>0</v>
      </c>
      <c r="AB42" s="36">
        <f t="shared" si="60"/>
        <v>4575</v>
      </c>
      <c r="AC42" s="36">
        <f t="shared" si="60"/>
        <v>0</v>
      </c>
      <c r="AD42" s="36">
        <f t="shared" si="60"/>
        <v>0</v>
      </c>
      <c r="AE42" s="36">
        <f t="shared" si="60"/>
        <v>0</v>
      </c>
      <c r="AF42" s="36">
        <f t="shared" si="60"/>
        <v>0</v>
      </c>
      <c r="AG42" s="36">
        <f t="shared" si="60"/>
        <v>0</v>
      </c>
      <c r="AH42" s="36">
        <f>AH49+AH56+AH63-AH6</f>
        <v>0</v>
      </c>
    </row>
    <row r="43" spans="1:78">
      <c r="A43" s="28" t="s">
        <v>492</v>
      </c>
      <c r="Y43" s="36">
        <f t="shared" ref="Y43:AG43" si="61">Y50+Y57-Y7</f>
        <v>0</v>
      </c>
      <c r="Z43" s="36">
        <f t="shared" si="61"/>
        <v>-1</v>
      </c>
      <c r="AA43" s="36">
        <f t="shared" si="61"/>
        <v>1</v>
      </c>
      <c r="AB43" s="36">
        <f t="shared" si="61"/>
        <v>0</v>
      </c>
      <c r="AC43" s="36">
        <f t="shared" si="61"/>
        <v>0</v>
      </c>
      <c r="AD43" s="36">
        <f t="shared" si="61"/>
        <v>0</v>
      </c>
      <c r="AE43" s="36">
        <f t="shared" si="61"/>
        <v>1</v>
      </c>
      <c r="AF43" s="36">
        <f t="shared" si="61"/>
        <v>-1</v>
      </c>
      <c r="AG43" s="36">
        <f t="shared" si="61"/>
        <v>0</v>
      </c>
      <c r="AH43" s="36">
        <f>AH50+AH57+AH64-AH7</f>
        <v>0</v>
      </c>
    </row>
    <row r="44" spans="1:78">
      <c r="A44" s="28" t="s">
        <v>660</v>
      </c>
      <c r="Y44" s="36"/>
      <c r="Z44" s="36"/>
      <c r="AA44" s="36"/>
      <c r="AB44" s="36"/>
      <c r="AC44" s="36"/>
      <c r="AD44" s="36"/>
      <c r="AE44" s="36"/>
      <c r="AF44" s="36"/>
      <c r="AG44" s="36"/>
      <c r="AH44" s="36">
        <f t="shared" ref="AH44:AO44" si="62">AH51+AH58+AH65-AH13</f>
        <v>0</v>
      </c>
      <c r="AI44" s="36">
        <f t="shared" si="62"/>
        <v>0</v>
      </c>
      <c r="AJ44" s="36">
        <f t="shared" si="62"/>
        <v>0</v>
      </c>
      <c r="AK44" s="36">
        <f t="shared" si="62"/>
        <v>0</v>
      </c>
      <c r="AL44" s="36">
        <f t="shared" si="62"/>
        <v>0</v>
      </c>
      <c r="AM44" s="36">
        <f t="shared" si="62"/>
        <v>0</v>
      </c>
      <c r="AN44" s="36">
        <f t="shared" si="62"/>
        <v>0</v>
      </c>
      <c r="AO44" s="36">
        <f t="shared" si="62"/>
        <v>0</v>
      </c>
      <c r="AP44" s="36">
        <f t="shared" ref="AP44:AT44" si="63">AP51+AP58+AP65-AP13</f>
        <v>20</v>
      </c>
      <c r="AQ44" s="36">
        <f t="shared" si="63"/>
        <v>20</v>
      </c>
      <c r="AR44" s="36">
        <f t="shared" si="63"/>
        <v>-10</v>
      </c>
      <c r="AS44" s="36">
        <f t="shared" si="63"/>
        <v>90</v>
      </c>
      <c r="AT44" s="36">
        <f t="shared" si="63"/>
        <v>-28</v>
      </c>
      <c r="AU44" s="36">
        <f t="shared" ref="AU44:AW44" si="64">AU51+AU58+AU65-AU13</f>
        <v>-43</v>
      </c>
      <c r="AV44" s="36">
        <f t="shared" si="64"/>
        <v>9</v>
      </c>
      <c r="AW44" s="36">
        <f t="shared" si="64"/>
        <v>-21</v>
      </c>
    </row>
    <row r="45" spans="1:78">
      <c r="A45" s="1" t="s">
        <v>488</v>
      </c>
      <c r="Y45" s="36">
        <f t="shared" ref="Y45:AG45" si="65">Y52+Y59-Y32</f>
        <v>0</v>
      </c>
      <c r="Z45" s="36">
        <f t="shared" si="65"/>
        <v>0</v>
      </c>
      <c r="AA45" s="36">
        <f t="shared" si="65"/>
        <v>0</v>
      </c>
      <c r="AB45" s="36">
        <f t="shared" si="65"/>
        <v>0</v>
      </c>
      <c r="AC45" s="36">
        <f t="shared" si="65"/>
        <v>0</v>
      </c>
      <c r="AD45" s="36">
        <f t="shared" si="65"/>
        <v>0</v>
      </c>
      <c r="AE45" s="36">
        <f t="shared" si="65"/>
        <v>0</v>
      </c>
      <c r="AF45" s="36">
        <f t="shared" si="65"/>
        <v>0</v>
      </c>
      <c r="AG45" s="36">
        <f t="shared" si="65"/>
        <v>0</v>
      </c>
      <c r="AH45" s="36">
        <f t="shared" ref="AH45:AO45" si="66">AH52+AH59+AH66-AH32</f>
        <v>0</v>
      </c>
      <c r="AI45" s="36">
        <f t="shared" si="66"/>
        <v>0</v>
      </c>
      <c r="AJ45" s="36">
        <f t="shared" si="66"/>
        <v>0</v>
      </c>
      <c r="AK45" s="36">
        <f t="shared" si="66"/>
        <v>0</v>
      </c>
      <c r="AL45" s="36">
        <f t="shared" si="66"/>
        <v>0</v>
      </c>
      <c r="AM45" s="36">
        <f t="shared" si="66"/>
        <v>0</v>
      </c>
      <c r="AN45" s="36">
        <f t="shared" si="66"/>
        <v>0</v>
      </c>
      <c r="AO45" s="36">
        <f t="shared" si="66"/>
        <v>0</v>
      </c>
      <c r="AP45" s="36">
        <f t="shared" ref="AP45:AT45" si="67">AP52+AP59+AP66-AP32</f>
        <v>0</v>
      </c>
      <c r="AQ45" s="36">
        <f t="shared" si="67"/>
        <v>0</v>
      </c>
      <c r="AR45" s="36">
        <f t="shared" si="67"/>
        <v>0</v>
      </c>
      <c r="AS45" s="36">
        <f t="shared" si="67"/>
        <v>0</v>
      </c>
      <c r="AT45" s="36">
        <f t="shared" si="67"/>
        <v>0</v>
      </c>
      <c r="AU45" s="36">
        <f t="shared" ref="AU45:AW45" si="68">AU52+AU59+AU66-AU32</f>
        <v>0</v>
      </c>
      <c r="AV45" s="36">
        <f t="shared" si="68"/>
        <v>0</v>
      </c>
      <c r="AW45" s="36">
        <f t="shared" si="68"/>
        <v>0</v>
      </c>
    </row>
    <row r="47" spans="1:78" s="44" customFormat="1">
      <c r="A47" s="49" t="s">
        <v>487</v>
      </c>
      <c r="AE47" s="53" t="s">
        <v>608</v>
      </c>
      <c r="AF47" s="52"/>
      <c r="AG47" s="52"/>
      <c r="AH47" s="52"/>
      <c r="AI47" s="52"/>
      <c r="AJ47" s="52"/>
      <c r="AK47" s="52"/>
      <c r="AL47" s="52"/>
      <c r="AM47" s="52"/>
      <c r="AN47" s="52"/>
    </row>
    <row r="48" spans="1:78">
      <c r="S48" s="152"/>
      <c r="T48" s="152"/>
      <c r="U48" s="152"/>
      <c r="V48" s="152"/>
      <c r="W48" s="152"/>
      <c r="X48" s="152"/>
      <c r="Y48" s="152"/>
      <c r="Z48" s="152"/>
      <c r="AA48" s="152"/>
      <c r="AB48" s="153" t="s">
        <v>538</v>
      </c>
      <c r="AD48" s="116" t="s">
        <v>580</v>
      </c>
      <c r="AE48" s="115"/>
      <c r="AF48" s="115"/>
      <c r="AG48" s="115"/>
    </row>
    <row r="49" spans="1:78">
      <c r="A49" s="28" t="s">
        <v>103</v>
      </c>
      <c r="X49" s="36">
        <f>X6</f>
        <v>111425</v>
      </c>
      <c r="Y49" s="143">
        <f>141385-X49</f>
        <v>29960</v>
      </c>
      <c r="Z49" s="143">
        <f>209849-Y49-X49</f>
        <v>68464</v>
      </c>
      <c r="AA49" s="36">
        <f>AB49-SUM(X49:Z49)</f>
        <v>214366</v>
      </c>
      <c r="AB49" s="143">
        <v>424215</v>
      </c>
      <c r="AC49" s="143">
        <v>309680</v>
      </c>
      <c r="AD49" s="143">
        <f>757217-AC49</f>
        <v>447537</v>
      </c>
      <c r="AE49" s="143">
        <f>1016664-AD49-AC49</f>
        <v>259447</v>
      </c>
      <c r="AF49" s="36">
        <f>AG49-SUM(AC49:AE49)</f>
        <v>209433</v>
      </c>
      <c r="AG49" s="143">
        <v>1226097</v>
      </c>
      <c r="AH49" s="143">
        <v>-30466</v>
      </c>
      <c r="AI49" s="38"/>
    </row>
    <row r="50" spans="1:78">
      <c r="A50" s="28" t="s">
        <v>492</v>
      </c>
      <c r="X50" s="36">
        <f>X7</f>
        <v>258056</v>
      </c>
      <c r="Y50" s="143">
        <f>804781-X50</f>
        <v>546725</v>
      </c>
      <c r="Z50" s="143">
        <f>2109989-Y50-X50</f>
        <v>1305208</v>
      </c>
      <c r="AA50" s="36">
        <f>AB50-SUM(X50:Z50)</f>
        <v>3413160</v>
      </c>
      <c r="AB50" s="151">
        <v>5523149</v>
      </c>
      <c r="AC50" s="143">
        <v>380874</v>
      </c>
      <c r="AD50" s="143">
        <f>-542405-AC50</f>
        <v>-923279</v>
      </c>
      <c r="AE50" s="143">
        <f>-658781-AD50-AC50</f>
        <v>-116376</v>
      </c>
      <c r="AF50" s="36">
        <f>AG50-SUM(AC50:AE50)</f>
        <v>-2109219</v>
      </c>
      <c r="AG50" s="143">
        <v>-2768000</v>
      </c>
      <c r="AH50" s="143">
        <v>-1215309</v>
      </c>
      <c r="AI50" s="38"/>
    </row>
    <row r="51" spans="1:78">
      <c r="A51" s="28" t="s">
        <v>657</v>
      </c>
      <c r="X51" s="36"/>
      <c r="Y51" s="38"/>
      <c r="Z51" s="38"/>
      <c r="AA51" s="36"/>
      <c r="AB51" s="38"/>
      <c r="AC51" s="38"/>
      <c r="AD51" s="38"/>
      <c r="AE51" s="38"/>
      <c r="AF51" s="36"/>
      <c r="AG51" s="38"/>
      <c r="AH51" s="38">
        <f t="shared" ref="AH51:AY51" si="69">AH70</f>
        <v>-1313041</v>
      </c>
      <c r="AI51" s="38">
        <f t="shared" si="69"/>
        <v>-695210</v>
      </c>
      <c r="AJ51" s="38">
        <f t="shared" si="69"/>
        <v>-357170</v>
      </c>
      <c r="AK51" s="38">
        <f t="shared" si="69"/>
        <v>54208</v>
      </c>
      <c r="AL51" s="38">
        <f t="shared" si="69"/>
        <v>-2311213</v>
      </c>
      <c r="AM51" s="38">
        <f t="shared" si="69"/>
        <v>131175</v>
      </c>
      <c r="AN51" s="38">
        <f t="shared" si="69"/>
        <v>350999</v>
      </c>
      <c r="AO51" s="38">
        <f t="shared" si="69"/>
        <v>285223</v>
      </c>
      <c r="AP51" s="38">
        <f t="shared" si="69"/>
        <v>1494</v>
      </c>
      <c r="AQ51" s="38">
        <f t="shared" si="69"/>
        <v>768891</v>
      </c>
      <c r="AR51" s="38">
        <f t="shared" si="69"/>
        <v>442542</v>
      </c>
      <c r="AS51" s="38">
        <f t="shared" si="69"/>
        <v>453902</v>
      </c>
      <c r="AT51" s="38">
        <f t="shared" si="69"/>
        <v>-156142</v>
      </c>
      <c r="AU51" s="38">
        <f t="shared" ref="AU51" si="70">AU70</f>
        <v>282669</v>
      </c>
      <c r="AV51" s="38">
        <f t="shared" si="69"/>
        <v>1022971</v>
      </c>
      <c r="AW51" s="38">
        <f t="shared" si="69"/>
        <v>517379</v>
      </c>
      <c r="AX51" s="38">
        <f t="shared" si="69"/>
        <v>852568</v>
      </c>
      <c r="AY51" s="38">
        <f t="shared" si="69"/>
        <v>-623976</v>
      </c>
      <c r="AZ51" s="38">
        <f>AZ111*AZ102</f>
        <v>-293139</v>
      </c>
      <c r="BA51" s="36">
        <f>SUM(AW51:AZ51)</f>
        <v>452832</v>
      </c>
      <c r="BB51" s="38">
        <f>BB111*BB102</f>
        <v>58012.500000000007</v>
      </c>
      <c r="BC51" s="38">
        <f>BC111*BC102</f>
        <v>53233.500000000007</v>
      </c>
      <c r="BD51" s="38">
        <f>BD111*BD102</f>
        <v>49248</v>
      </c>
      <c r="BE51" s="38">
        <f>BE111*BE102</f>
        <v>44515</v>
      </c>
      <c r="BF51" s="36">
        <f>SUM(BB51:BE51)</f>
        <v>205009</v>
      </c>
      <c r="BG51" s="38">
        <f>BG111*BG102</f>
        <v>39806</v>
      </c>
      <c r="BH51" s="38">
        <f>BH111*BH102</f>
        <v>36648.000000000007</v>
      </c>
      <c r="BI51" s="38">
        <f>BI111*BI102</f>
        <v>33506</v>
      </c>
      <c r="BJ51" s="38">
        <f>BJ111*BJ102</f>
        <v>29620.5</v>
      </c>
      <c r="BK51" s="36">
        <f>SUM(BG51:BJ51)</f>
        <v>139580.5</v>
      </c>
      <c r="BL51" s="38">
        <f>BL111*BL102</f>
        <v>25755</v>
      </c>
      <c r="BM51" s="38">
        <f>BM111*BM102</f>
        <v>22665</v>
      </c>
      <c r="BN51" s="38">
        <f>BN111*BN102</f>
        <v>18837.500000000004</v>
      </c>
      <c r="BO51" s="38">
        <f>BO111*BO102</f>
        <v>15030.000000000002</v>
      </c>
      <c r="BP51" s="36">
        <f>SUM(BL51:BO51)</f>
        <v>82287.5</v>
      </c>
      <c r="BQ51" s="38">
        <f>BQ111*BQ102</f>
        <v>11242.5</v>
      </c>
      <c r="BR51" s="38">
        <f>BR111*BR102</f>
        <v>7475</v>
      </c>
      <c r="BS51" s="38">
        <f>BS111*BS102</f>
        <v>3727.5</v>
      </c>
      <c r="BT51" s="38"/>
      <c r="BU51" s="36">
        <f>SUM(BQ51:BT51)</f>
        <v>22445</v>
      </c>
    </row>
    <row r="52" spans="1:78">
      <c r="A52" s="1" t="s">
        <v>488</v>
      </c>
      <c r="X52" s="36">
        <f t="shared" ref="X52:AC52" si="71">X32</f>
        <v>-147643</v>
      </c>
      <c r="Y52" s="107">
        <f t="shared" si="71"/>
        <v>-309894</v>
      </c>
      <c r="Z52" s="107">
        <f t="shared" si="71"/>
        <v>-499199</v>
      </c>
      <c r="AA52" s="107">
        <f t="shared" si="71"/>
        <v>-1289681</v>
      </c>
      <c r="AB52" s="107">
        <f t="shared" si="71"/>
        <v>-2246417</v>
      </c>
      <c r="AC52" s="107">
        <f t="shared" si="71"/>
        <v>-134093</v>
      </c>
      <c r="AD52" s="56">
        <f>-78179+274462-AC52</f>
        <v>330376</v>
      </c>
      <c r="AE52" s="143">
        <f>-115158+292059-AD52-AC52</f>
        <v>-19382</v>
      </c>
      <c r="AF52" s="36">
        <f>AG52-SUM(AC52:AE52)</f>
        <v>733681</v>
      </c>
      <c r="AG52" s="143">
        <f>-153509+1064091</f>
        <v>910582</v>
      </c>
      <c r="AH52" s="143">
        <f>-40697+449515</f>
        <v>408818</v>
      </c>
      <c r="AI52" s="143">
        <f>-84306+780100-AH52</f>
        <v>286976</v>
      </c>
      <c r="AJ52" s="143">
        <f>-127957+938516-AI52-AH52</f>
        <v>114765</v>
      </c>
      <c r="AK52" s="36">
        <f>AL52-SUM(AH52:AJ52)</f>
        <v>-33244</v>
      </c>
      <c r="AL52" s="143">
        <f>-167430+944745</f>
        <v>777315</v>
      </c>
      <c r="AM52" s="143">
        <f>-40718-20568</f>
        <v>-61286</v>
      </c>
      <c r="AN52" s="143">
        <f>-83189-151819-AM52</f>
        <v>-173722</v>
      </c>
      <c r="AO52" s="143">
        <f>-124670-264820-AN52-AM52</f>
        <v>-154482</v>
      </c>
      <c r="AP52" s="36">
        <f>AQ52-SUM(AM52:AO52)</f>
        <v>-17904</v>
      </c>
      <c r="AQ52" s="143">
        <f>-161899-245495</f>
        <v>-407394</v>
      </c>
      <c r="AR52" s="143">
        <f>-34953-175592</f>
        <v>-210545</v>
      </c>
      <c r="AS52" s="143">
        <f>-61852-363129-AR52</f>
        <v>-214436</v>
      </c>
      <c r="AT52" s="143">
        <f>-82346-283511-AS52-AR52</f>
        <v>59124</v>
      </c>
      <c r="AU52" s="36">
        <f>AV52-SUM(AR52:AT52)</f>
        <v>-135127</v>
      </c>
      <c r="AV52" s="143">
        <f>-98201-402783</f>
        <v>-500984</v>
      </c>
      <c r="AW52" s="143">
        <f>-11935-218418</f>
        <v>-230353</v>
      </c>
      <c r="AX52" s="143">
        <f>-21794-593416-AW52</f>
        <v>-384857</v>
      </c>
      <c r="AY52" s="143">
        <f>-32157-317215-AX52-AW52</f>
        <v>265838</v>
      </c>
      <c r="AZ52" s="36">
        <f>-AZ373</f>
        <v>131059.5</v>
      </c>
      <c r="BA52" s="36">
        <f>SUM(AW52:AZ52)</f>
        <v>-218312.5</v>
      </c>
      <c r="BB52" s="36">
        <f>-BB373</f>
        <v>-30940.000000000007</v>
      </c>
      <c r="BC52" s="36">
        <f>-BC373</f>
        <v>-28545.5</v>
      </c>
      <c r="BD52" s="36">
        <f>-BD373</f>
        <v>-26163</v>
      </c>
      <c r="BE52" s="36">
        <f>-BE373</f>
        <v>-23792.5</v>
      </c>
      <c r="BF52" s="36">
        <f>SUM(BB52:BE52)</f>
        <v>-109441</v>
      </c>
      <c r="BG52" s="36">
        <f>-BG373</f>
        <v>-21434</v>
      </c>
      <c r="BH52" s="36">
        <f>-BH373</f>
        <v>-19851.000000000004</v>
      </c>
      <c r="BI52" s="36">
        <f>-BI373</f>
        <v>-17514.5</v>
      </c>
      <c r="BJ52" s="36">
        <f>-BJ373</f>
        <v>-15949.5</v>
      </c>
      <c r="BK52" s="36">
        <f>SUM(BG52:BJ52)</f>
        <v>-74749</v>
      </c>
      <c r="BL52" s="36">
        <f>-BL373</f>
        <v>-11362.5</v>
      </c>
      <c r="BM52" s="36">
        <f>-BM373</f>
        <v>-9821.5</v>
      </c>
      <c r="BN52" s="36">
        <f>-BN373</f>
        <v>-8288.5000000000018</v>
      </c>
      <c r="BO52" s="36">
        <f>-BO373</f>
        <v>-6763.5000000000009</v>
      </c>
      <c r="BP52" s="36">
        <f>SUM(BL52:BO52)</f>
        <v>-36236</v>
      </c>
      <c r="BQ52" s="36">
        <f>-BQ373</f>
        <v>-5246.5</v>
      </c>
      <c r="BR52" s="36">
        <f>-BR373</f>
        <v>-2990</v>
      </c>
      <c r="BS52" s="36">
        <f>-BS373</f>
        <v>-1491</v>
      </c>
      <c r="BT52" s="36"/>
      <c r="BU52" s="36">
        <f>SUM(BQ52:BT52)</f>
        <v>-9727.5</v>
      </c>
    </row>
    <row r="53" spans="1:78">
      <c r="Y53" s="98" t="s">
        <v>531</v>
      </c>
      <c r="Z53" s="72"/>
      <c r="AA53" s="72"/>
      <c r="AB53" s="72"/>
      <c r="AD53" s="116" t="s">
        <v>579</v>
      </c>
      <c r="AE53" s="115"/>
      <c r="AF53" s="115"/>
      <c r="AG53" s="115"/>
      <c r="AH53" s="115"/>
      <c r="AI53" s="115"/>
      <c r="AJ53" s="115"/>
      <c r="AK53" s="115"/>
    </row>
    <row r="54" spans="1:78" s="46" customFormat="1">
      <c r="A54" s="47" t="s">
        <v>490</v>
      </c>
    </row>
    <row r="55" spans="1:78">
      <c r="Y55" s="25"/>
      <c r="AD55" s="116" t="s">
        <v>580</v>
      </c>
      <c r="AE55" s="115"/>
      <c r="AF55" s="115"/>
      <c r="AG55" s="115"/>
    </row>
    <row r="56" spans="1:78">
      <c r="A56" s="28" t="s">
        <v>103</v>
      </c>
      <c r="AC56" s="120">
        <v>96962</v>
      </c>
      <c r="AD56" s="120">
        <f>105305-AC56</f>
        <v>8343</v>
      </c>
      <c r="AE56" s="120">
        <f>110960-AD56-AC56</f>
        <v>5655</v>
      </c>
      <c r="AF56" s="36">
        <f>AG56-SUM(AC56:AE56)</f>
        <v>17617</v>
      </c>
      <c r="AG56" s="120">
        <v>128577</v>
      </c>
      <c r="AH56" s="120">
        <v>3257</v>
      </c>
      <c r="AI56" s="38"/>
    </row>
    <row r="57" spans="1:78">
      <c r="A57" s="28" t="s">
        <v>492</v>
      </c>
      <c r="Y57" s="120">
        <v>537220</v>
      </c>
      <c r="Z57" s="120">
        <f>542711-Y57</f>
        <v>5491</v>
      </c>
      <c r="AA57" s="36">
        <f>AB57-SUM(X57:Z57)</f>
        <v>-52456</v>
      </c>
      <c r="AB57" s="120">
        <v>490255</v>
      </c>
      <c r="AC57" s="120">
        <v>49115</v>
      </c>
      <c r="AD57" s="120">
        <f>12565-AC57</f>
        <v>-36550</v>
      </c>
      <c r="AE57" s="120">
        <f>120963-AD57-AC57</f>
        <v>108398</v>
      </c>
      <c r="AF57" s="36">
        <f>AG57-SUM(AC57:AE57)</f>
        <v>-392821</v>
      </c>
      <c r="AG57" s="120">
        <v>-271858</v>
      </c>
      <c r="AH57" s="120">
        <v>-1341008</v>
      </c>
      <c r="AI57" s="38"/>
    </row>
    <row r="58" spans="1:78">
      <c r="A58" s="28" t="s">
        <v>658</v>
      </c>
      <c r="X58" s="36"/>
      <c r="Y58" s="38"/>
      <c r="Z58" s="38"/>
      <c r="AA58" s="36"/>
      <c r="AB58" s="38"/>
      <c r="AC58" s="38"/>
      <c r="AD58" s="38"/>
      <c r="AE58" s="38"/>
      <c r="AF58" s="36"/>
      <c r="AG58" s="38"/>
      <c r="AH58" s="38">
        <f t="shared" ref="AH58:AT58" si="72">AH71</f>
        <v>-1297053</v>
      </c>
      <c r="AI58" s="38">
        <f t="shared" si="72"/>
        <v>-637308</v>
      </c>
      <c r="AJ58" s="38">
        <f t="shared" si="72"/>
        <v>-305638</v>
      </c>
      <c r="AK58" s="38">
        <f t="shared" si="72"/>
        <v>-205428</v>
      </c>
      <c r="AL58" s="38">
        <f t="shared" si="72"/>
        <v>-2445427</v>
      </c>
      <c r="AM58" s="38">
        <f t="shared" si="72"/>
        <v>-43968</v>
      </c>
      <c r="AN58" s="38">
        <f t="shared" si="72"/>
        <v>-303134</v>
      </c>
      <c r="AO58" s="38">
        <f t="shared" si="72"/>
        <v>250344</v>
      </c>
      <c r="AP58" s="38">
        <f t="shared" si="72"/>
        <v>-49714</v>
      </c>
      <c r="AQ58" s="38">
        <f t="shared" si="72"/>
        <v>-146472</v>
      </c>
      <c r="AR58" s="38">
        <f t="shared" si="72"/>
        <v>-413649</v>
      </c>
      <c r="AS58" s="38">
        <f t="shared" si="72"/>
        <v>137174</v>
      </c>
      <c r="AT58" s="38">
        <f t="shared" si="72"/>
        <v>-176907</v>
      </c>
      <c r="AU58" s="38">
        <f t="shared" ref="AU58:AY58" si="73">AU71</f>
        <v>-108274</v>
      </c>
      <c r="AV58" s="38">
        <f t="shared" si="73"/>
        <v>-561656</v>
      </c>
      <c r="AW58" s="38">
        <f t="shared" si="73"/>
        <v>114453</v>
      </c>
      <c r="AX58" s="38">
        <f t="shared" si="73"/>
        <v>1917772</v>
      </c>
      <c r="AY58" s="38">
        <f t="shared" si="73"/>
        <v>1009984</v>
      </c>
      <c r="AZ58" s="38">
        <f t="shared" ref="AZ58" si="74">AZ118*AZ102</f>
        <v>26367</v>
      </c>
      <c r="BA58" s="36">
        <f>SUM(AW58:AZ58)</f>
        <v>3068576</v>
      </c>
      <c r="BB58" s="38">
        <f t="shared" ref="BB58:BE58" si="75">BB118*BB102</f>
        <v>4807302.5000000009</v>
      </c>
      <c r="BC58" s="38">
        <f t="shared" si="75"/>
        <v>1840799.0000000002</v>
      </c>
      <c r="BD58" s="38">
        <f t="shared" si="75"/>
        <v>1836796.5</v>
      </c>
      <c r="BE58" s="38">
        <f t="shared" si="75"/>
        <v>-7675</v>
      </c>
      <c r="BF58" s="36">
        <f>SUM(BB58:BE58)</f>
        <v>8477223</v>
      </c>
      <c r="BG58" s="38">
        <f t="shared" ref="BG58:BJ58" si="76">BG118*BG102</f>
        <v>257973.5</v>
      </c>
      <c r="BH58" s="38">
        <f t="shared" si="76"/>
        <v>255009.00000000003</v>
      </c>
      <c r="BI58" s="38">
        <f t="shared" si="76"/>
        <v>251295.00000000003</v>
      </c>
      <c r="BJ58" s="38">
        <f t="shared" si="76"/>
        <v>247597</v>
      </c>
      <c r="BK58" s="36">
        <f>SUM(BG58:BJ58)</f>
        <v>1011874.5</v>
      </c>
      <c r="BL58" s="38">
        <f t="shared" ref="BL58:BO58" si="77">BL118*BL102</f>
        <v>243915</v>
      </c>
      <c r="BM58" s="38">
        <f t="shared" si="77"/>
        <v>236471.5</v>
      </c>
      <c r="BN58" s="38">
        <f t="shared" si="77"/>
        <v>229064.00000000003</v>
      </c>
      <c r="BO58" s="38">
        <f t="shared" si="77"/>
        <v>220941.00000000003</v>
      </c>
      <c r="BP58" s="36">
        <f>SUM(BL58:BO58)</f>
        <v>930391.5</v>
      </c>
      <c r="BQ58" s="38">
        <f t="shared" ref="BQ58:BT58" si="78">BQ118*BQ102</f>
        <v>212858</v>
      </c>
      <c r="BR58" s="38">
        <f t="shared" si="78"/>
        <v>200330</v>
      </c>
      <c r="BS58" s="38">
        <f t="shared" si="78"/>
        <v>187866</v>
      </c>
      <c r="BT58" s="38">
        <f t="shared" si="78"/>
        <v>174722.50000000003</v>
      </c>
      <c r="BU58" s="36">
        <f>SUM(BQ58:BT58)</f>
        <v>775776.5</v>
      </c>
      <c r="BV58" s="38">
        <f t="shared" ref="BV58:BY58" si="79">BV118*BV102</f>
        <v>161647</v>
      </c>
      <c r="BW58" s="38">
        <f t="shared" si="79"/>
        <v>148639.5</v>
      </c>
      <c r="BX58" s="38">
        <f t="shared" si="79"/>
        <v>134962.5</v>
      </c>
      <c r="BY58" s="38">
        <f t="shared" si="79"/>
        <v>121357.5</v>
      </c>
      <c r="BZ58" s="36">
        <f>SUM(BV58:BY58)</f>
        <v>566606.5</v>
      </c>
    </row>
    <row r="59" spans="1:78">
      <c r="A59" s="1" t="s">
        <v>489</v>
      </c>
      <c r="Y59" s="71"/>
      <c r="Z59" s="71"/>
      <c r="AA59" s="71"/>
      <c r="AB59" s="71"/>
      <c r="AC59" s="71"/>
      <c r="AD59" s="56">
        <v>-1104</v>
      </c>
      <c r="AE59" s="120">
        <f>-4450-AD59</f>
        <v>-3346</v>
      </c>
      <c r="AF59" s="36">
        <f>AG59-SUM(AC59:AE59)</f>
        <v>66542</v>
      </c>
      <c r="AG59" s="120">
        <v>62092</v>
      </c>
      <c r="AH59" s="120">
        <v>196724</v>
      </c>
      <c r="AI59" s="120">
        <f>291332-AH59</f>
        <v>94608</v>
      </c>
      <c r="AJ59" s="120">
        <f>291332-AI59-AH59</f>
        <v>0</v>
      </c>
      <c r="AK59" s="36">
        <f>AL59-SUM(AH59:AJ59)</f>
        <v>0</v>
      </c>
      <c r="AL59" s="120">
        <v>291332</v>
      </c>
      <c r="AM59" s="120">
        <v>0</v>
      </c>
      <c r="AN59" s="120">
        <v>0</v>
      </c>
      <c r="AO59" s="120">
        <v>0</v>
      </c>
      <c r="AP59" s="36">
        <f>AQ59-SUM(AM59:AO59)</f>
        <v>0</v>
      </c>
      <c r="AQ59" s="120">
        <v>0</v>
      </c>
      <c r="AR59" s="120">
        <v>0</v>
      </c>
      <c r="AS59" s="120">
        <v>0</v>
      </c>
      <c r="AT59" s="120">
        <v>0</v>
      </c>
      <c r="AU59" s="36">
        <f>AV59-SUM(AR59:AT59)</f>
        <v>0</v>
      </c>
      <c r="AV59" s="120">
        <v>0</v>
      </c>
      <c r="AW59" s="120">
        <v>0</v>
      </c>
      <c r="AX59" s="120">
        <v>0</v>
      </c>
      <c r="AY59" s="120">
        <v>0</v>
      </c>
      <c r="AZ59" s="36">
        <f t="shared" ref="AZ59" si="80">AZ119*AZ102</f>
        <v>0</v>
      </c>
      <c r="BA59" s="36">
        <f>SUM(AW59:AZ59)</f>
        <v>0</v>
      </c>
      <c r="BB59" s="36" t="e">
        <f t="shared" ref="BB59:BE59" si="81">BB119*BB102</f>
        <v>#VALUE!</v>
      </c>
      <c r="BC59" s="36" t="e">
        <f t="shared" si="81"/>
        <v>#VALUE!</v>
      </c>
      <c r="BD59" s="36" t="e">
        <f t="shared" si="81"/>
        <v>#VALUE!</v>
      </c>
      <c r="BE59" s="36" t="e">
        <f t="shared" si="81"/>
        <v>#VALUE!</v>
      </c>
      <c r="BF59" s="36" t="e">
        <f>SUM(BB59:BE59)</f>
        <v>#VALUE!</v>
      </c>
      <c r="BG59" s="36" t="e">
        <f t="shared" ref="BG59:BJ59" si="82">BG119*BG102</f>
        <v>#VALUE!</v>
      </c>
      <c r="BH59" s="36" t="e">
        <f t="shared" si="82"/>
        <v>#VALUE!</v>
      </c>
      <c r="BI59" s="36" t="e">
        <f t="shared" si="82"/>
        <v>#VALUE!</v>
      </c>
      <c r="BJ59" s="36" t="e">
        <f t="shared" si="82"/>
        <v>#VALUE!</v>
      </c>
      <c r="BK59" s="36" t="e">
        <f>SUM(BG59:BJ59)</f>
        <v>#VALUE!</v>
      </c>
      <c r="BL59" s="36" t="e">
        <f t="shared" ref="BL59:BO59" si="83">BL119*BL102</f>
        <v>#VALUE!</v>
      </c>
      <c r="BM59" s="36" t="e">
        <f t="shared" si="83"/>
        <v>#VALUE!</v>
      </c>
      <c r="BN59" s="36" t="e">
        <f t="shared" si="83"/>
        <v>#VALUE!</v>
      </c>
      <c r="BO59" s="36" t="e">
        <f t="shared" si="83"/>
        <v>#VALUE!</v>
      </c>
      <c r="BP59" s="36" t="e">
        <f>SUM(BL59:BO59)</f>
        <v>#VALUE!</v>
      </c>
      <c r="BQ59" s="36" t="e">
        <f t="shared" ref="BQ59:BT59" si="84">BQ119*BQ102</f>
        <v>#VALUE!</v>
      </c>
      <c r="BR59" s="36" t="e">
        <f t="shared" si="84"/>
        <v>#VALUE!</v>
      </c>
      <c r="BS59" s="36" t="e">
        <f t="shared" si="84"/>
        <v>#VALUE!</v>
      </c>
      <c r="BT59" s="36" t="e">
        <f t="shared" si="84"/>
        <v>#VALUE!</v>
      </c>
      <c r="BU59" s="36" t="e">
        <f>SUM(BQ59:BT59)</f>
        <v>#VALUE!</v>
      </c>
      <c r="BV59" s="36" t="e">
        <f t="shared" ref="BV59:BY59" si="85">BV119*BV102</f>
        <v>#VALUE!</v>
      </c>
      <c r="BW59" s="36" t="e">
        <f t="shared" si="85"/>
        <v>#VALUE!</v>
      </c>
      <c r="BX59" s="36" t="e">
        <f t="shared" si="85"/>
        <v>#VALUE!</v>
      </c>
      <c r="BY59" s="36" t="e">
        <f t="shared" si="85"/>
        <v>#VALUE!</v>
      </c>
      <c r="BZ59" s="36" t="e">
        <f>SUM(BV59:BY59)</f>
        <v>#VALUE!</v>
      </c>
    </row>
    <row r="60" spans="1:78">
      <c r="Y60" s="98" t="s">
        <v>531</v>
      </c>
      <c r="Z60" s="72"/>
      <c r="AA60" s="72"/>
      <c r="AB60" s="72"/>
      <c r="AD60" s="116" t="s">
        <v>579</v>
      </c>
      <c r="AE60" s="115"/>
      <c r="AF60" s="115"/>
      <c r="AG60" s="115"/>
      <c r="AH60" s="115"/>
      <c r="AI60" s="115"/>
      <c r="AJ60" s="115"/>
      <c r="AK60" s="115"/>
      <c r="AP60" s="25" t="s">
        <v>1326</v>
      </c>
    </row>
    <row r="61" spans="1:78" s="179" customFormat="1">
      <c r="A61" s="178" t="s">
        <v>627</v>
      </c>
    </row>
    <row r="62" spans="1:78">
      <c r="Y62" s="22"/>
      <c r="Z62" s="42"/>
      <c r="AA62" s="42"/>
      <c r="AB62" s="42"/>
      <c r="AD62" s="22"/>
    </row>
    <row r="63" spans="1:78">
      <c r="A63" s="28" t="s">
        <v>103</v>
      </c>
      <c r="Y63" s="22"/>
      <c r="Z63" s="42"/>
      <c r="AA63" s="42"/>
      <c r="AB63" s="42"/>
      <c r="AD63" s="22"/>
      <c r="AH63" s="180">
        <v>487</v>
      </c>
      <c r="AI63" s="38"/>
    </row>
    <row r="64" spans="1:78">
      <c r="A64" s="28" t="s">
        <v>492</v>
      </c>
      <c r="Y64" s="22"/>
      <c r="Z64" s="42"/>
      <c r="AA64" s="42"/>
      <c r="AB64" s="42"/>
      <c r="AD64" s="22"/>
      <c r="AH64" s="180">
        <v>-325155</v>
      </c>
      <c r="AI64" s="38"/>
    </row>
    <row r="65" spans="1:78">
      <c r="A65" s="28" t="s">
        <v>659</v>
      </c>
      <c r="X65" s="36"/>
      <c r="Y65" s="38"/>
      <c r="Z65" s="38"/>
      <c r="AA65" s="36"/>
      <c r="AB65" s="38"/>
      <c r="AC65" s="38"/>
      <c r="AD65" s="38"/>
      <c r="AE65" s="38"/>
      <c r="AF65" s="36"/>
      <c r="AG65" s="38"/>
      <c r="AH65" s="38">
        <f t="shared" ref="AH65:AY65" si="86">AH72</f>
        <v>-324936</v>
      </c>
      <c r="AI65" s="38">
        <f t="shared" si="86"/>
        <v>-48655</v>
      </c>
      <c r="AJ65" s="38">
        <f t="shared" si="86"/>
        <v>-69130</v>
      </c>
      <c r="AK65" s="38">
        <f t="shared" si="86"/>
        <v>-99097</v>
      </c>
      <c r="AL65" s="38">
        <f t="shared" si="86"/>
        <v>-541818</v>
      </c>
      <c r="AM65" s="38">
        <f t="shared" si="86"/>
        <v>47496</v>
      </c>
      <c r="AN65" s="38">
        <f t="shared" si="86"/>
        <v>-14102</v>
      </c>
      <c r="AO65" s="38">
        <f t="shared" si="86"/>
        <v>41247</v>
      </c>
      <c r="AP65" s="38">
        <f t="shared" si="86"/>
        <v>-779</v>
      </c>
      <c r="AQ65" s="38">
        <f t="shared" si="86"/>
        <v>73862</v>
      </c>
      <c r="AR65" s="38">
        <f t="shared" si="86"/>
        <v>-12991</v>
      </c>
      <c r="AS65" s="38">
        <f t="shared" si="86"/>
        <v>32202</v>
      </c>
      <c r="AT65" s="38">
        <f t="shared" si="86"/>
        <v>-18792</v>
      </c>
      <c r="AU65" s="38">
        <f t="shared" si="86"/>
        <v>7691</v>
      </c>
      <c r="AV65" s="38">
        <f t="shared" si="86"/>
        <v>8110</v>
      </c>
      <c r="AW65" s="38">
        <f t="shared" si="86"/>
        <v>70383</v>
      </c>
      <c r="AX65" s="38">
        <f t="shared" si="86"/>
        <v>18802</v>
      </c>
      <c r="AY65" s="38">
        <f t="shared" si="86"/>
        <v>-16435</v>
      </c>
      <c r="AZ65" s="38">
        <f>AZ127*AZ102</f>
        <v>20163</v>
      </c>
      <c r="BA65" s="36">
        <f>SUM(AW65:AZ65)</f>
        <v>92913</v>
      </c>
      <c r="BB65" s="38">
        <f>BB127*BB102</f>
        <v>20111.000000000004</v>
      </c>
      <c r="BC65" s="38">
        <f>BC127*BC102</f>
        <v>20059</v>
      </c>
      <c r="BD65" s="38">
        <f>BD127*BD102</f>
        <v>20776.5</v>
      </c>
      <c r="BE65" s="38">
        <f>BE127*BE102</f>
        <v>20722.5</v>
      </c>
      <c r="BF65" s="36">
        <f>SUM(BB65:BE65)</f>
        <v>81669</v>
      </c>
      <c r="BG65" s="38">
        <f>BG127*BG102</f>
        <v>20668.5</v>
      </c>
      <c r="BH65" s="38">
        <f>BH127*BH102</f>
        <v>19851.000000000004</v>
      </c>
      <c r="BI65" s="38">
        <f>BI127*BI102</f>
        <v>19799</v>
      </c>
      <c r="BJ65" s="38">
        <f>BJ127*BJ102</f>
        <v>19747</v>
      </c>
      <c r="BK65" s="36">
        <f>SUM(BG65:BJ65)</f>
        <v>80065.5</v>
      </c>
      <c r="BL65" s="38">
        <f>BL127*BL102</f>
        <v>18937.5</v>
      </c>
      <c r="BM65" s="38">
        <f>BM127*BM102</f>
        <v>18132</v>
      </c>
      <c r="BN65" s="38">
        <f>BN127*BN102</f>
        <v>17330.500000000004</v>
      </c>
      <c r="BO65" s="38">
        <f>BO127*BO102</f>
        <v>17284.5</v>
      </c>
      <c r="BP65" s="36">
        <f>SUM(BL65:BO65)</f>
        <v>71684.5</v>
      </c>
      <c r="BQ65" s="38">
        <f>BQ127*BQ102</f>
        <v>16489</v>
      </c>
      <c r="BR65" s="38">
        <f>BR127*BR102</f>
        <v>15697.5</v>
      </c>
      <c r="BS65" s="38">
        <f>BS127*BS102</f>
        <v>14910</v>
      </c>
      <c r="BT65" s="38">
        <f>BT127*BT102</f>
        <v>13383.000000000002</v>
      </c>
      <c r="BU65" s="36">
        <f>SUM(BQ65:BT65)</f>
        <v>60479.5</v>
      </c>
      <c r="BV65" s="38">
        <f>BV127*BV102</f>
        <v>12605.500000000002</v>
      </c>
      <c r="BW65" s="38">
        <f>BW127*BW102</f>
        <v>11832</v>
      </c>
      <c r="BX65" s="38">
        <f>BX127*BX102</f>
        <v>11062.5</v>
      </c>
      <c r="BY65" s="38">
        <f>BY127*BY102</f>
        <v>9561.5</v>
      </c>
      <c r="BZ65" s="36">
        <f>SUM(BV65:BY65)</f>
        <v>45061.5</v>
      </c>
    </row>
    <row r="66" spans="1:78">
      <c r="A66" s="1" t="s">
        <v>2668</v>
      </c>
      <c r="Y66" s="22"/>
      <c r="Z66" s="42"/>
      <c r="AA66" s="42"/>
      <c r="AB66" s="42"/>
      <c r="AD66" s="22"/>
      <c r="AH66" s="180">
        <v>25825</v>
      </c>
      <c r="AI66" s="180">
        <f>31615-AH66</f>
        <v>5790</v>
      </c>
      <c r="AJ66" s="180">
        <f>43888-AI66-AH66</f>
        <v>12273</v>
      </c>
      <c r="AK66" s="36">
        <f>AL66-SUM(AH66:AJ66)</f>
        <v>15414</v>
      </c>
      <c r="AL66" s="180">
        <v>59302</v>
      </c>
      <c r="AM66" s="180">
        <v>3205</v>
      </c>
      <c r="AN66" s="180">
        <f>8743-AM66</f>
        <v>5538</v>
      </c>
      <c r="AO66" s="180">
        <f>11093-AN66-AM66</f>
        <v>2350</v>
      </c>
      <c r="AP66" s="36">
        <f>AQ66-SUM(AM66:AO66)</f>
        <v>6164</v>
      </c>
      <c r="AQ66" s="180">
        <v>17257</v>
      </c>
      <c r="AR66" s="180">
        <v>5291</v>
      </c>
      <c r="AS66" s="180">
        <f>3764-AR66</f>
        <v>-1527</v>
      </c>
      <c r="AT66" s="180">
        <f>5947-AS66-AR66</f>
        <v>2183</v>
      </c>
      <c r="AU66" s="36">
        <f>AV66-SUM(AR66:AT66)</f>
        <v>3139</v>
      </c>
      <c r="AV66" s="180">
        <v>9086</v>
      </c>
      <c r="AW66" s="180">
        <v>-3726</v>
      </c>
      <c r="AX66" s="180">
        <f>-3483-AW66</f>
        <v>243</v>
      </c>
      <c r="AY66" s="180">
        <f>-1874-AX66-AW66</f>
        <v>1609</v>
      </c>
      <c r="AZ66" s="36">
        <f>-AZ1020</f>
        <v>2472.0677299437907</v>
      </c>
      <c r="BA66" s="36">
        <f>SUM(AW66:AZ66)</f>
        <v>598.06772994379071</v>
      </c>
      <c r="BB66" s="36">
        <f>-BB1020</f>
        <v>25.138750000000222</v>
      </c>
      <c r="BC66" s="36">
        <f>-BC1020</f>
        <v>-3194.01</v>
      </c>
      <c r="BD66" s="36">
        <f>-BD1020</f>
        <v>-3318.46875</v>
      </c>
      <c r="BE66" s="36">
        <f>-BE1020</f>
        <v>-10349.737499999999</v>
      </c>
      <c r="BF66" s="36">
        <f>SUM(BB66:BE66)</f>
        <v>-16837.077499999999</v>
      </c>
      <c r="BG66" s="36">
        <f>-BG1020</f>
        <v>-12303.498749999999</v>
      </c>
      <c r="BH66" s="36">
        <f>-BH1020</f>
        <v>-12403.057500000001</v>
      </c>
      <c r="BI66" s="36">
        <f>-BI1020</f>
        <v>-11740.426250000002</v>
      </c>
      <c r="BJ66" s="36">
        <f>-BJ1020</f>
        <v>-11971.61875</v>
      </c>
      <c r="BK66" s="36">
        <f>SUM(BG66:BJ66)</f>
        <v>-48418.601250000007</v>
      </c>
      <c r="BL66" s="36">
        <f>-BL1020</f>
        <v>-13403.9625</v>
      </c>
      <c r="BM66" s="36">
        <f>-BM1020</f>
        <v>-13498.89625</v>
      </c>
      <c r="BN66" s="36">
        <f>-BN1020</f>
        <v>-12216.118750000001</v>
      </c>
      <c r="BO66" s="36">
        <f>-BO1020</f>
        <v>-12313.327500000003</v>
      </c>
      <c r="BP66" s="36">
        <f>SUM(BL66:BO66)</f>
        <v>-51432.305000000008</v>
      </c>
      <c r="BQ66" s="36">
        <f>-BQ1020</f>
        <v>-11789.634999999997</v>
      </c>
      <c r="BR66" s="36">
        <f>-BR1020</f>
        <v>-11139.618749999998</v>
      </c>
      <c r="BS66" s="36">
        <f>-BS1020</f>
        <v>-10621.511250000001</v>
      </c>
      <c r="BT66" s="36">
        <f>-BT1020</f>
        <v>-9977.7700000000041</v>
      </c>
      <c r="BU66" s="36">
        <f>SUM(BQ66:BT66)</f>
        <v>-43528.535000000003</v>
      </c>
      <c r="BV66" s="36">
        <f>-BV1020</f>
        <v>-9465.2474999999995</v>
      </c>
      <c r="BW66" s="36">
        <f>-BW1020</f>
        <v>-8827.78125</v>
      </c>
      <c r="BX66" s="36">
        <f>-BX1020</f>
        <v>-8320.8437500000036</v>
      </c>
      <c r="BY66" s="36">
        <f>-BY1020</f>
        <v>-7081.0262499999981</v>
      </c>
      <c r="BZ66" s="36">
        <f>SUM(BV66:BY66)</f>
        <v>-33694.89875</v>
      </c>
    </row>
    <row r="67" spans="1:78">
      <c r="Y67" s="22"/>
      <c r="Z67" s="42"/>
      <c r="AA67" s="42"/>
      <c r="AB67" s="42"/>
      <c r="AD67" s="22"/>
    </row>
    <row r="68" spans="1:78" s="2" customFormat="1">
      <c r="A68" s="4" t="s">
        <v>242</v>
      </c>
      <c r="I68" s="68" t="s">
        <v>244</v>
      </c>
    </row>
    <row r="69" spans="1:78">
      <c r="A69" s="42" t="s">
        <v>118</v>
      </c>
    </row>
    <row r="70" spans="1:78">
      <c r="A70" s="5" t="s">
        <v>119</v>
      </c>
      <c r="AH70" s="37">
        <v>-1313041</v>
      </c>
      <c r="AI70" s="37">
        <f>-2008251-AH70</f>
        <v>-695210</v>
      </c>
      <c r="AJ70" s="37">
        <f>-2365421-AI70-AH70</f>
        <v>-357170</v>
      </c>
      <c r="AK70" s="37">
        <f>-2311213-AJ70-AI70-AH70</f>
        <v>54208</v>
      </c>
      <c r="AL70" s="36">
        <f>SUM(AH70:AK70)</f>
        <v>-2311213</v>
      </c>
      <c r="AM70" s="37">
        <v>131175</v>
      </c>
      <c r="AN70" s="37">
        <f>482174-AM70</f>
        <v>350999</v>
      </c>
      <c r="AO70" s="37">
        <f>767397-AN70-AM70</f>
        <v>285223</v>
      </c>
      <c r="AP70" s="37">
        <f>768891-AO70-AN70-AM70</f>
        <v>1494</v>
      </c>
      <c r="AQ70" s="36">
        <f>SUM(AM70:AP70)</f>
        <v>768891</v>
      </c>
      <c r="AR70" s="37">
        <v>442542</v>
      </c>
      <c r="AS70" s="37">
        <f>896444-AR70</f>
        <v>453902</v>
      </c>
      <c r="AT70" s="37">
        <f>740302-AS70-AR70</f>
        <v>-156142</v>
      </c>
      <c r="AU70" s="37">
        <f>1022971-AT70-AS70-AR70</f>
        <v>282669</v>
      </c>
      <c r="AV70" s="36">
        <f>SUM(AR70:AU70)</f>
        <v>1022971</v>
      </c>
      <c r="AW70" s="37">
        <v>517379</v>
      </c>
      <c r="AX70" s="37">
        <f>1369947-AW70</f>
        <v>852568</v>
      </c>
      <c r="AY70" s="37">
        <f>745971-AX70-AW70</f>
        <v>-623976</v>
      </c>
      <c r="AZ70" s="36">
        <f>AZ51</f>
        <v>-293139</v>
      </c>
      <c r="BA70" s="36">
        <f>SUM(AW70:AZ70)</f>
        <v>452832</v>
      </c>
      <c r="BB70" s="36">
        <f>BB51</f>
        <v>58012.500000000007</v>
      </c>
      <c r="BC70" s="36">
        <f>BC51</f>
        <v>53233.500000000007</v>
      </c>
      <c r="BD70" s="36">
        <f>BD51</f>
        <v>49248</v>
      </c>
      <c r="BE70" s="36">
        <f>BE51</f>
        <v>44515</v>
      </c>
      <c r="BF70" s="36">
        <f>SUM(BB70:BE70)</f>
        <v>205009</v>
      </c>
      <c r="BG70" s="36">
        <f>BG51</f>
        <v>39806</v>
      </c>
      <c r="BH70" s="36">
        <f>BH51</f>
        <v>36648.000000000007</v>
      </c>
      <c r="BI70" s="36">
        <f>BI51</f>
        <v>33506</v>
      </c>
      <c r="BJ70" s="36">
        <f>BJ51</f>
        <v>29620.5</v>
      </c>
      <c r="BK70" s="36">
        <f>SUM(BG70:BJ70)</f>
        <v>139580.5</v>
      </c>
      <c r="BL70" s="36">
        <f>BL51</f>
        <v>25755</v>
      </c>
      <c r="BM70" s="36">
        <f>BM51</f>
        <v>22665</v>
      </c>
      <c r="BN70" s="36">
        <f>BN51</f>
        <v>18837.500000000004</v>
      </c>
      <c r="BO70" s="36">
        <f>BO51</f>
        <v>15030.000000000002</v>
      </c>
      <c r="BP70" s="36">
        <f>SUM(BL70:BO70)</f>
        <v>82287.5</v>
      </c>
      <c r="BQ70" s="36">
        <f>BQ51</f>
        <v>11242.5</v>
      </c>
      <c r="BR70" s="36">
        <f>BR51</f>
        <v>7475</v>
      </c>
      <c r="BS70" s="36">
        <f>BS51</f>
        <v>3727.5</v>
      </c>
      <c r="BT70" s="36">
        <f>BT51</f>
        <v>0</v>
      </c>
      <c r="BU70" s="36">
        <f>SUM(BQ70:BT70)</f>
        <v>22445</v>
      </c>
      <c r="BV70" s="36">
        <f>BV51</f>
        <v>0</v>
      </c>
      <c r="BW70" s="36">
        <f>BW51</f>
        <v>0</v>
      </c>
      <c r="BX70" s="36">
        <f>BX51</f>
        <v>0</v>
      </c>
      <c r="BY70" s="36">
        <f>BY51</f>
        <v>0</v>
      </c>
      <c r="BZ70" s="36">
        <f>SUM(BV70:BY70)</f>
        <v>0</v>
      </c>
    </row>
    <row r="71" spans="1:78">
      <c r="A71" s="5" t="s">
        <v>120</v>
      </c>
      <c r="AH71" s="37">
        <v>-1297053</v>
      </c>
      <c r="AI71" s="37">
        <f>-1934361-AH71</f>
        <v>-637308</v>
      </c>
      <c r="AJ71" s="37">
        <f>-2239999-AI71-AH71</f>
        <v>-305638</v>
      </c>
      <c r="AK71" s="37">
        <f>-2445427-AJ71-AI71-AH71</f>
        <v>-205428</v>
      </c>
      <c r="AL71" s="36">
        <f>SUM(AH71:AK71)</f>
        <v>-2445427</v>
      </c>
      <c r="AM71" s="37">
        <v>-43968</v>
      </c>
      <c r="AN71" s="37">
        <f>-347102-AM71</f>
        <v>-303134</v>
      </c>
      <c r="AO71" s="37">
        <f>-96758-AN71-AM71</f>
        <v>250344</v>
      </c>
      <c r="AP71" s="37">
        <f>-146472-AO71-AN71-AM71</f>
        <v>-49714</v>
      </c>
      <c r="AQ71" s="36">
        <f>SUM(AM71:AP71)</f>
        <v>-146472</v>
      </c>
      <c r="AR71" s="37">
        <v>-413649</v>
      </c>
      <c r="AS71" s="37">
        <f>-276475-AR71</f>
        <v>137174</v>
      </c>
      <c r="AT71" s="37">
        <f>-453382-AS71-AR71</f>
        <v>-176907</v>
      </c>
      <c r="AU71" s="37">
        <f>-561656-AT71-AS71-AR71</f>
        <v>-108274</v>
      </c>
      <c r="AV71" s="36">
        <f>SUM(AR71:AU71)</f>
        <v>-561656</v>
      </c>
      <c r="AW71" s="37">
        <v>114453</v>
      </c>
      <c r="AX71" s="37">
        <f>2032225-AW71</f>
        <v>1917772</v>
      </c>
      <c r="AY71" s="37">
        <f>3042209-AX71-AW71</f>
        <v>1009984</v>
      </c>
      <c r="AZ71" s="36">
        <f>AZ58</f>
        <v>26367</v>
      </c>
      <c r="BA71" s="36">
        <f>SUM(AW71:AZ71)</f>
        <v>3068576</v>
      </c>
      <c r="BB71" s="36">
        <f>BB58</f>
        <v>4807302.5000000009</v>
      </c>
      <c r="BC71" s="36">
        <f>BC58</f>
        <v>1840799.0000000002</v>
      </c>
      <c r="BD71" s="36">
        <f>BD58</f>
        <v>1836796.5</v>
      </c>
      <c r="BE71" s="36">
        <f>BE58</f>
        <v>-7675</v>
      </c>
      <c r="BF71" s="36">
        <f>SUM(BB71:BE71)</f>
        <v>8477223</v>
      </c>
      <c r="BG71" s="36">
        <f>BG58</f>
        <v>257973.5</v>
      </c>
      <c r="BH71" s="36">
        <f>BH58</f>
        <v>255009.00000000003</v>
      </c>
      <c r="BI71" s="36">
        <f>BI58</f>
        <v>251295.00000000003</v>
      </c>
      <c r="BJ71" s="36">
        <f>BJ58</f>
        <v>247597</v>
      </c>
      <c r="BK71" s="36">
        <f>SUM(BG71:BJ71)</f>
        <v>1011874.5</v>
      </c>
      <c r="BL71" s="36">
        <f>BL58</f>
        <v>243915</v>
      </c>
      <c r="BM71" s="36">
        <f>BM58</f>
        <v>236471.5</v>
      </c>
      <c r="BN71" s="36">
        <f>BN58</f>
        <v>229064.00000000003</v>
      </c>
      <c r="BO71" s="36">
        <f>BO58</f>
        <v>220941.00000000003</v>
      </c>
      <c r="BP71" s="36">
        <f>SUM(BL71:BO71)</f>
        <v>930391.5</v>
      </c>
      <c r="BQ71" s="36">
        <f>BQ58</f>
        <v>212858</v>
      </c>
      <c r="BR71" s="36">
        <f>BR58</f>
        <v>200330</v>
      </c>
      <c r="BS71" s="36">
        <f>BS58</f>
        <v>187866</v>
      </c>
      <c r="BT71" s="36">
        <f>BT58</f>
        <v>174722.50000000003</v>
      </c>
      <c r="BU71" s="36">
        <f>SUM(BQ71:BT71)</f>
        <v>775776.5</v>
      </c>
      <c r="BV71" s="36">
        <f>BV58</f>
        <v>161647</v>
      </c>
      <c r="BW71" s="36">
        <f>BW58</f>
        <v>148639.5</v>
      </c>
      <c r="BX71" s="36">
        <f>BX58</f>
        <v>134962.5</v>
      </c>
      <c r="BY71" s="36">
        <f>BY58</f>
        <v>121357.5</v>
      </c>
      <c r="BZ71" s="36">
        <f>SUM(BV71:BY71)</f>
        <v>566606.5</v>
      </c>
    </row>
    <row r="72" spans="1:78">
      <c r="A72" s="5" t="s">
        <v>121</v>
      </c>
      <c r="AH72" s="37">
        <v>-324936</v>
      </c>
      <c r="AI72" s="37">
        <f>-373591-AH72</f>
        <v>-48655</v>
      </c>
      <c r="AJ72" s="37">
        <f>-442721-AI72-AH72</f>
        <v>-69130</v>
      </c>
      <c r="AK72" s="37">
        <f>-541818-AJ72-AI72-AH72</f>
        <v>-99097</v>
      </c>
      <c r="AL72" s="36">
        <f>SUM(AH72:AK72)</f>
        <v>-541818</v>
      </c>
      <c r="AM72" s="37">
        <v>47496</v>
      </c>
      <c r="AN72" s="37">
        <f>33394-AM72</f>
        <v>-14102</v>
      </c>
      <c r="AO72" s="37">
        <f>74641-AN72-AM72</f>
        <v>41247</v>
      </c>
      <c r="AP72" s="37">
        <f>73862-AO72-AN72-AM72</f>
        <v>-779</v>
      </c>
      <c r="AQ72" s="36">
        <f>SUM(AM72:AP72)</f>
        <v>73862</v>
      </c>
      <c r="AR72" s="37">
        <v>-12991</v>
      </c>
      <c r="AS72" s="37">
        <f>19211-AR72</f>
        <v>32202</v>
      </c>
      <c r="AT72" s="37">
        <f>419-AS72-AR72</f>
        <v>-18792</v>
      </c>
      <c r="AU72" s="37">
        <f>8110-AT72-AS72-AR72</f>
        <v>7691</v>
      </c>
      <c r="AV72" s="36">
        <f>SUM(AR72:AU72)</f>
        <v>8110</v>
      </c>
      <c r="AW72" s="37">
        <v>70383</v>
      </c>
      <c r="AX72" s="37">
        <f>89185-AW72</f>
        <v>18802</v>
      </c>
      <c r="AY72" s="37">
        <f>72750-AX72-AW72</f>
        <v>-16435</v>
      </c>
      <c r="AZ72" s="36">
        <f>AZ65</f>
        <v>20163</v>
      </c>
      <c r="BA72" s="36">
        <f>SUM(AW72:AZ72)</f>
        <v>92913</v>
      </c>
      <c r="BB72" s="36">
        <f>BB65</f>
        <v>20111.000000000004</v>
      </c>
      <c r="BC72" s="36">
        <f>BC65</f>
        <v>20059</v>
      </c>
      <c r="BD72" s="36">
        <f>BD65</f>
        <v>20776.5</v>
      </c>
      <c r="BE72" s="36">
        <f>BE65</f>
        <v>20722.5</v>
      </c>
      <c r="BF72" s="36">
        <f>SUM(BB72:BE72)</f>
        <v>81669</v>
      </c>
      <c r="BG72" s="36">
        <f>BG65</f>
        <v>20668.5</v>
      </c>
      <c r="BH72" s="36">
        <f>BH65</f>
        <v>19851.000000000004</v>
      </c>
      <c r="BI72" s="36">
        <f>BI65</f>
        <v>19799</v>
      </c>
      <c r="BJ72" s="36">
        <f>BJ65</f>
        <v>19747</v>
      </c>
      <c r="BK72" s="36">
        <f>SUM(BG72:BJ72)</f>
        <v>80065.5</v>
      </c>
      <c r="BL72" s="36">
        <f>BL65</f>
        <v>18937.5</v>
      </c>
      <c r="BM72" s="36">
        <f>BM65</f>
        <v>18132</v>
      </c>
      <c r="BN72" s="36">
        <f>BN65</f>
        <v>17330.500000000004</v>
      </c>
      <c r="BO72" s="36">
        <f>BO65</f>
        <v>17284.5</v>
      </c>
      <c r="BP72" s="36">
        <f>SUM(BL72:BO72)</f>
        <v>71684.5</v>
      </c>
      <c r="BQ72" s="36">
        <f>BQ65</f>
        <v>16489</v>
      </c>
      <c r="BR72" s="36">
        <f>BR65</f>
        <v>15697.5</v>
      </c>
      <c r="BS72" s="36">
        <f>BS65</f>
        <v>14910</v>
      </c>
      <c r="BT72" s="36">
        <f>BT65</f>
        <v>13383.000000000002</v>
      </c>
      <c r="BU72" s="36">
        <f>SUM(BQ72:BT72)</f>
        <v>60479.5</v>
      </c>
      <c r="BV72" s="36">
        <f>BV65</f>
        <v>12605.500000000002</v>
      </c>
      <c r="BW72" s="36">
        <f>BW65</f>
        <v>11832</v>
      </c>
      <c r="BX72" s="36">
        <f>BX65</f>
        <v>11062.5</v>
      </c>
      <c r="BY72" s="36">
        <f>BY65</f>
        <v>9561.5</v>
      </c>
      <c r="BZ72" s="36">
        <f>SUM(BV72:BY72)</f>
        <v>45061.5</v>
      </c>
    </row>
    <row r="73" spans="1:78">
      <c r="A73" s="5" t="s">
        <v>122</v>
      </c>
      <c r="AC73" s="150" t="s">
        <v>578</v>
      </c>
      <c r="AH73" s="37">
        <v>1185</v>
      </c>
      <c r="AI73" s="37">
        <f>3861-AH73</f>
        <v>2676</v>
      </c>
      <c r="AJ73" s="37">
        <f>5442-AI73-AH73</f>
        <v>1581</v>
      </c>
      <c r="AK73" s="37">
        <f>18964-AJ73-AI73-AH73</f>
        <v>13522</v>
      </c>
      <c r="AL73" s="36">
        <f>SUM(AH73:AK73)</f>
        <v>18964</v>
      </c>
      <c r="AM73" s="37">
        <v>25070</v>
      </c>
      <c r="AN73" s="37">
        <f>12670-AM73</f>
        <v>-12400</v>
      </c>
      <c r="AO73" s="37">
        <f>36588-AN73-AM73</f>
        <v>23918</v>
      </c>
      <c r="AP73" s="37">
        <f>28060-AO73-AN73-AM73</f>
        <v>-8528</v>
      </c>
      <c r="AQ73" s="36">
        <f>SUM(AM73:AP73)</f>
        <v>28060</v>
      </c>
      <c r="AR73" s="37">
        <v>-13991</v>
      </c>
      <c r="AS73" s="37">
        <f>-28792-AR73</f>
        <v>-14801</v>
      </c>
      <c r="AT73" s="37">
        <f>-29699-AS73-AR73</f>
        <v>-907</v>
      </c>
      <c r="AU73" s="37">
        <f>-34522-AT73-AS73-AR73</f>
        <v>-4823</v>
      </c>
      <c r="AV73" s="36">
        <f>SUM(AR73:AU73)</f>
        <v>-34522</v>
      </c>
      <c r="AW73" s="37">
        <v>24622</v>
      </c>
      <c r="AX73" s="37">
        <f>44811-AW73</f>
        <v>20189</v>
      </c>
      <c r="AY73" s="37">
        <f>50226-AX73-AW73</f>
        <v>5415</v>
      </c>
      <c r="BA73" s="36">
        <f>SUM(AW73:AZ73)</f>
        <v>50226</v>
      </c>
      <c r="BF73" s="36">
        <f>SUM(BB73:BE73)</f>
        <v>0</v>
      </c>
      <c r="BK73" s="36">
        <f>SUM(BG73:BJ73)</f>
        <v>0</v>
      </c>
      <c r="BP73" s="36">
        <f>SUM(BL73:BO73)</f>
        <v>0</v>
      </c>
      <c r="BU73" s="36">
        <f>SUM(BQ73:BT73)</f>
        <v>0</v>
      </c>
      <c r="BZ73" s="36">
        <f>SUM(BV73:BY73)</f>
        <v>0</v>
      </c>
    </row>
    <row r="74" spans="1:78">
      <c r="A74" s="9" t="s">
        <v>98</v>
      </c>
      <c r="B74" s="9"/>
      <c r="C74" s="9"/>
      <c r="D74" s="9"/>
      <c r="E74" s="9"/>
      <c r="F74" s="9"/>
      <c r="G74" s="9"/>
      <c r="H74" s="9"/>
      <c r="I74" s="39">
        <f t="shared" ref="I74:W74" si="87">I25</f>
        <v>105229</v>
      </c>
      <c r="J74" s="39">
        <f t="shared" si="87"/>
        <v>81009</v>
      </c>
      <c r="K74" s="39">
        <f t="shared" si="87"/>
        <v>50189</v>
      </c>
      <c r="L74" s="39">
        <f t="shared" si="87"/>
        <v>66554</v>
      </c>
      <c r="M74" s="39">
        <f t="shared" si="87"/>
        <v>302981</v>
      </c>
      <c r="N74" s="39">
        <f t="shared" si="87"/>
        <v>239944</v>
      </c>
      <c r="O74" s="39">
        <f t="shared" si="87"/>
        <v>392490</v>
      </c>
      <c r="P74" s="39">
        <f t="shared" si="87"/>
        <v>176358</v>
      </c>
      <c r="Q74" s="39">
        <f t="shared" si="87"/>
        <v>447849</v>
      </c>
      <c r="R74" s="39">
        <f t="shared" si="87"/>
        <v>1256641</v>
      </c>
      <c r="S74" s="39">
        <f t="shared" si="87"/>
        <v>397630</v>
      </c>
      <c r="T74" s="39">
        <f t="shared" si="87"/>
        <v>-970269</v>
      </c>
      <c r="U74" s="39">
        <f t="shared" si="87"/>
        <v>-225124</v>
      </c>
      <c r="V74" s="39">
        <f t="shared" si="87"/>
        <v>-1133582</v>
      </c>
      <c r="W74" s="39">
        <f t="shared" si="87"/>
        <v>-1931345</v>
      </c>
      <c r="X74" s="97">
        <f t="shared" ref="X74:AG74" si="88">X15</f>
        <v>296577</v>
      </c>
      <c r="Y74" s="39">
        <f t="shared" si="88"/>
        <v>1114990</v>
      </c>
      <c r="Z74" s="39">
        <f t="shared" si="88"/>
        <v>1355690</v>
      </c>
      <c r="AA74" s="39">
        <f t="shared" si="88"/>
        <v>3590205</v>
      </c>
      <c r="AB74" s="39">
        <f t="shared" si="88"/>
        <v>6357462</v>
      </c>
      <c r="AC74" s="39">
        <f t="shared" si="88"/>
        <v>391562</v>
      </c>
      <c r="AD74" s="39">
        <f t="shared" si="88"/>
        <v>-1134726</v>
      </c>
      <c r="AE74" s="39">
        <f t="shared" si="88"/>
        <v>163424</v>
      </c>
      <c r="AF74" s="39">
        <f t="shared" si="88"/>
        <v>-2967614</v>
      </c>
      <c r="AG74" s="39">
        <f t="shared" si="88"/>
        <v>-3547354</v>
      </c>
      <c r="AH74" s="39">
        <f t="shared" ref="AH74:AU74" si="89">SUM(AH70:AH73)</f>
        <v>-2933845</v>
      </c>
      <c r="AI74" s="39">
        <f t="shared" si="89"/>
        <v>-1378497</v>
      </c>
      <c r="AJ74" s="39">
        <f t="shared" si="89"/>
        <v>-730357</v>
      </c>
      <c r="AK74" s="39">
        <f t="shared" si="89"/>
        <v>-236795</v>
      </c>
      <c r="AL74" s="39">
        <f t="shared" si="89"/>
        <v>-5279494</v>
      </c>
      <c r="AM74" s="39">
        <f t="shared" si="89"/>
        <v>159773</v>
      </c>
      <c r="AN74" s="39">
        <f t="shared" si="89"/>
        <v>21363</v>
      </c>
      <c r="AO74" s="39">
        <f t="shared" si="89"/>
        <v>600732</v>
      </c>
      <c r="AP74" s="39">
        <f t="shared" si="89"/>
        <v>-57527</v>
      </c>
      <c r="AQ74" s="39">
        <f t="shared" ref="AQ74" si="90">SUM(AQ70:AQ73)</f>
        <v>724341</v>
      </c>
      <c r="AR74" s="39">
        <f t="shared" si="89"/>
        <v>1911</v>
      </c>
      <c r="AS74" s="39">
        <f t="shared" si="89"/>
        <v>608477</v>
      </c>
      <c r="AT74" s="39">
        <f t="shared" si="89"/>
        <v>-352748</v>
      </c>
      <c r="AU74" s="39">
        <f t="shared" si="89"/>
        <v>177263</v>
      </c>
      <c r="AV74" s="39">
        <f t="shared" ref="AV74:AZ74" si="91">SUM(AV70:AV73)</f>
        <v>434903</v>
      </c>
      <c r="AW74" s="39">
        <f t="shared" si="91"/>
        <v>726837</v>
      </c>
      <c r="AX74" s="39">
        <f t="shared" si="91"/>
        <v>2809331</v>
      </c>
      <c r="AY74" s="39">
        <f t="shared" si="91"/>
        <v>374988</v>
      </c>
      <c r="AZ74" s="39">
        <f t="shared" si="91"/>
        <v>-246609</v>
      </c>
      <c r="BA74" s="39">
        <f t="shared" ref="BA74:BZ74" si="92">SUM(BA70:BA73)</f>
        <v>3664547</v>
      </c>
      <c r="BB74" s="39">
        <f t="shared" si="92"/>
        <v>4885426.0000000009</v>
      </c>
      <c r="BC74" s="39">
        <f t="shared" si="92"/>
        <v>1914091.5000000002</v>
      </c>
      <c r="BD74" s="39">
        <f t="shared" si="92"/>
        <v>1906821</v>
      </c>
      <c r="BE74" s="39">
        <f t="shared" si="92"/>
        <v>57562.5</v>
      </c>
      <c r="BF74" s="39">
        <f t="shared" si="92"/>
        <v>8763901</v>
      </c>
      <c r="BG74" s="39">
        <f t="shared" si="92"/>
        <v>318448</v>
      </c>
      <c r="BH74" s="39">
        <f t="shared" si="92"/>
        <v>311508.00000000006</v>
      </c>
      <c r="BI74" s="39">
        <f t="shared" si="92"/>
        <v>304600</v>
      </c>
      <c r="BJ74" s="39">
        <f t="shared" si="92"/>
        <v>296964.5</v>
      </c>
      <c r="BK74" s="39">
        <f t="shared" si="92"/>
        <v>1231520.5</v>
      </c>
      <c r="BL74" s="39">
        <f t="shared" si="92"/>
        <v>288607.5</v>
      </c>
      <c r="BM74" s="39">
        <f t="shared" si="92"/>
        <v>277268.5</v>
      </c>
      <c r="BN74" s="39">
        <f t="shared" si="92"/>
        <v>265232.00000000006</v>
      </c>
      <c r="BO74" s="39">
        <f t="shared" si="92"/>
        <v>253255.50000000003</v>
      </c>
      <c r="BP74" s="39">
        <f t="shared" si="92"/>
        <v>1084363.5</v>
      </c>
      <c r="BQ74" s="39">
        <f t="shared" si="92"/>
        <v>240589.5</v>
      </c>
      <c r="BR74" s="39">
        <f t="shared" si="92"/>
        <v>223502.5</v>
      </c>
      <c r="BS74" s="39">
        <f t="shared" si="92"/>
        <v>206503.5</v>
      </c>
      <c r="BT74" s="39">
        <f t="shared" si="92"/>
        <v>188105.50000000003</v>
      </c>
      <c r="BU74" s="39">
        <f t="shared" si="92"/>
        <v>858701</v>
      </c>
      <c r="BV74" s="39">
        <f t="shared" si="92"/>
        <v>174252.5</v>
      </c>
      <c r="BW74" s="39">
        <f t="shared" si="92"/>
        <v>160471.5</v>
      </c>
      <c r="BX74" s="39">
        <f t="shared" si="92"/>
        <v>146025</v>
      </c>
      <c r="BY74" s="39">
        <f t="shared" si="92"/>
        <v>130919</v>
      </c>
      <c r="BZ74" s="39">
        <f t="shared" si="92"/>
        <v>611668</v>
      </c>
    </row>
    <row r="75" spans="1:78">
      <c r="I75" s="25" t="s">
        <v>250</v>
      </c>
      <c r="X75" s="98" t="s">
        <v>483</v>
      </c>
      <c r="Y75" s="72"/>
      <c r="Z75" s="72"/>
      <c r="AA75" s="72"/>
      <c r="AB75" s="72"/>
      <c r="AC75" s="72"/>
      <c r="AD75" s="72"/>
      <c r="AN75" s="937" t="s">
        <v>132</v>
      </c>
      <c r="AO75" s="163"/>
    </row>
    <row r="76" spans="1:78">
      <c r="A76" s="5" t="s">
        <v>3379</v>
      </c>
      <c r="I76" s="36">
        <f t="shared" ref="I76:AY76" si="93">I77-I74</f>
        <v>0</v>
      </c>
      <c r="J76" s="36">
        <f t="shared" si="93"/>
        <v>0</v>
      </c>
      <c r="K76" s="36">
        <f t="shared" si="93"/>
        <v>0</v>
      </c>
      <c r="L76" s="36">
        <f t="shared" si="93"/>
        <v>0</v>
      </c>
      <c r="M76" s="36">
        <f t="shared" si="93"/>
        <v>0</v>
      </c>
      <c r="N76" s="36">
        <f t="shared" si="93"/>
        <v>0</v>
      </c>
      <c r="O76" s="36">
        <f t="shared" si="93"/>
        <v>0</v>
      </c>
      <c r="P76" s="36">
        <f t="shared" si="93"/>
        <v>0</v>
      </c>
      <c r="Q76" s="36">
        <f t="shared" si="93"/>
        <v>0</v>
      </c>
      <c r="R76" s="36">
        <f t="shared" si="93"/>
        <v>0</v>
      </c>
      <c r="S76" s="36">
        <f t="shared" si="93"/>
        <v>0</v>
      </c>
      <c r="T76" s="36">
        <f t="shared" si="93"/>
        <v>0</v>
      </c>
      <c r="U76" s="36">
        <f t="shared" si="93"/>
        <v>0</v>
      </c>
      <c r="V76" s="36">
        <f t="shared" si="93"/>
        <v>0</v>
      </c>
      <c r="W76" s="36">
        <f t="shared" si="93"/>
        <v>0</v>
      </c>
      <c r="X76" s="36">
        <f t="shared" si="93"/>
        <v>0</v>
      </c>
      <c r="Y76" s="36">
        <f t="shared" si="93"/>
        <v>-74929</v>
      </c>
      <c r="Z76" s="36">
        <f t="shared" si="93"/>
        <v>36450</v>
      </c>
      <c r="AA76" s="36">
        <f t="shared" si="93"/>
        <v>-26959</v>
      </c>
      <c r="AB76" s="36">
        <f t="shared" si="93"/>
        <v>-65438</v>
      </c>
      <c r="AC76" s="36">
        <f t="shared" si="93"/>
        <v>-103681</v>
      </c>
      <c r="AD76" s="36">
        <f t="shared" si="93"/>
        <v>-32341</v>
      </c>
      <c r="AE76" s="36">
        <f t="shared" si="93"/>
        <v>-51974</v>
      </c>
      <c r="AF76" s="36">
        <f t="shared" si="93"/>
        <v>-3475</v>
      </c>
      <c r="AG76" s="36">
        <f t="shared" si="93"/>
        <v>-191471</v>
      </c>
      <c r="AH76" s="36">
        <f t="shared" si="93"/>
        <v>14715</v>
      </c>
      <c r="AI76" s="36">
        <f t="shared" si="93"/>
        <v>-55915</v>
      </c>
      <c r="AJ76" s="36">
        <f t="shared" si="93"/>
        <v>77144</v>
      </c>
      <c r="AK76" s="36">
        <f t="shared" si="93"/>
        <v>-78715</v>
      </c>
      <c r="AL76" s="36">
        <f t="shared" si="93"/>
        <v>-42771</v>
      </c>
      <c r="AM76" s="36">
        <f t="shared" si="93"/>
        <v>-172816</v>
      </c>
      <c r="AN76" s="716">
        <f t="shared" si="93"/>
        <v>-591602</v>
      </c>
      <c r="AO76" s="36">
        <f t="shared" si="93"/>
        <v>-69444</v>
      </c>
      <c r="AP76" s="36">
        <f t="shared" si="93"/>
        <v>-57769</v>
      </c>
      <c r="AQ76" s="36">
        <f t="shared" si="93"/>
        <v>-891631</v>
      </c>
      <c r="AR76" s="36">
        <f t="shared" si="93"/>
        <v>30475</v>
      </c>
      <c r="AS76" s="36">
        <f t="shared" si="93"/>
        <v>-41085</v>
      </c>
      <c r="AT76" s="36">
        <f t="shared" si="93"/>
        <v>13724</v>
      </c>
      <c r="AU76" s="36">
        <f t="shared" ref="AU76" si="94">AU77-AU74</f>
        <v>-50433</v>
      </c>
      <c r="AV76" s="36">
        <f t="shared" si="93"/>
        <v>-47319</v>
      </c>
      <c r="AW76" s="36">
        <f t="shared" si="93"/>
        <v>-66662</v>
      </c>
      <c r="AX76" s="36">
        <f t="shared" si="93"/>
        <v>-54024</v>
      </c>
      <c r="AY76" s="36">
        <f t="shared" si="93"/>
        <v>-195251</v>
      </c>
      <c r="AZ76" s="36">
        <f t="shared" ref="AZ76:BY76" si="95">AZ139*AZ102</f>
        <v>-138039</v>
      </c>
      <c r="BA76" s="36">
        <f>SUM(AW76:AZ76)</f>
        <v>-453976</v>
      </c>
      <c r="BB76" s="36">
        <f t="shared" si="95"/>
        <v>-10055.500000000002</v>
      </c>
      <c r="BC76" s="36">
        <f t="shared" si="95"/>
        <v>-10029.5</v>
      </c>
      <c r="BD76" s="36">
        <f t="shared" si="95"/>
        <v>-10003.5</v>
      </c>
      <c r="BE76" s="36">
        <f t="shared" si="95"/>
        <v>-9977.5</v>
      </c>
      <c r="BF76" s="36">
        <f>SUM(BB76:BE76)</f>
        <v>-40066</v>
      </c>
      <c r="BG76" s="36">
        <f t="shared" si="95"/>
        <v>-10717</v>
      </c>
      <c r="BH76" s="36">
        <f t="shared" si="95"/>
        <v>-10689.000000000002</v>
      </c>
      <c r="BI76" s="36">
        <f t="shared" si="95"/>
        <v>-10661</v>
      </c>
      <c r="BJ76" s="36">
        <f t="shared" si="95"/>
        <v>-10633</v>
      </c>
      <c r="BK76" s="36">
        <f>SUM(BG76:BJ76)</f>
        <v>-42700</v>
      </c>
      <c r="BL76" s="36">
        <f t="shared" si="95"/>
        <v>-10605</v>
      </c>
      <c r="BM76" s="36">
        <f t="shared" si="95"/>
        <v>-11332.5</v>
      </c>
      <c r="BN76" s="36">
        <f t="shared" si="95"/>
        <v>-11302.500000000002</v>
      </c>
      <c r="BO76" s="36">
        <f t="shared" si="95"/>
        <v>-11272.5</v>
      </c>
      <c r="BP76" s="36">
        <f>SUM(BL76:BO76)</f>
        <v>-44512.5</v>
      </c>
      <c r="BQ76" s="36">
        <f t="shared" si="95"/>
        <v>-11242.5</v>
      </c>
      <c r="BR76" s="36">
        <f t="shared" si="95"/>
        <v>-11960</v>
      </c>
      <c r="BS76" s="36">
        <f t="shared" si="95"/>
        <v>-11928</v>
      </c>
      <c r="BT76" s="36">
        <f t="shared" si="95"/>
        <v>-11896.000000000002</v>
      </c>
      <c r="BU76" s="36">
        <f>SUM(BQ76:BT76)</f>
        <v>-47026.5</v>
      </c>
      <c r="BV76" s="36">
        <f t="shared" si="95"/>
        <v>-11864</v>
      </c>
      <c r="BW76" s="36">
        <f t="shared" si="95"/>
        <v>-11832</v>
      </c>
      <c r="BX76" s="36">
        <f t="shared" si="95"/>
        <v>-12537.5</v>
      </c>
      <c r="BY76" s="36">
        <f t="shared" si="95"/>
        <v>-12503.5</v>
      </c>
      <c r="BZ76" s="36">
        <f>SUM(BV76:BY76)</f>
        <v>-48737</v>
      </c>
    </row>
    <row r="77" spans="1:78">
      <c r="A77" s="9" t="s">
        <v>124</v>
      </c>
      <c r="B77" s="9"/>
      <c r="C77" s="9"/>
      <c r="D77" s="9"/>
      <c r="E77" s="9"/>
      <c r="F77" s="9"/>
      <c r="G77" s="9"/>
      <c r="H77" s="9"/>
      <c r="I77" s="67">
        <v>105229</v>
      </c>
      <c r="J77" s="67">
        <f>186238-I77</f>
        <v>81009</v>
      </c>
      <c r="K77" s="67">
        <f>236427-J77-I77</f>
        <v>50189</v>
      </c>
      <c r="L77" s="39">
        <f>M77-SUM(I77:K77)</f>
        <v>66554</v>
      </c>
      <c r="M77" s="67">
        <v>302981</v>
      </c>
      <c r="N77" s="67">
        <v>239944</v>
      </c>
      <c r="O77" s="67">
        <f>632434-N77</f>
        <v>392490</v>
      </c>
      <c r="P77" s="67">
        <f>808792-O77-N77</f>
        <v>176358</v>
      </c>
      <c r="Q77" s="39">
        <f>R77-SUM(N77:P77)</f>
        <v>447849</v>
      </c>
      <c r="R77" s="67">
        <v>1256641</v>
      </c>
      <c r="S77" s="67">
        <v>397630</v>
      </c>
      <c r="T77" s="67">
        <f>-572639-S77</f>
        <v>-970269</v>
      </c>
      <c r="U77" s="67">
        <f>-797763-T77-S77</f>
        <v>-225124</v>
      </c>
      <c r="V77" s="39">
        <f>W77-SUM(S77:U77)</f>
        <v>-1133582</v>
      </c>
      <c r="W77" s="67">
        <v>-1931345</v>
      </c>
      <c r="X77" s="97">
        <v>296577</v>
      </c>
      <c r="Y77" s="67">
        <f>1336638-X77</f>
        <v>1040061</v>
      </c>
      <c r="Z77" s="67">
        <f>2728778-Y77-X77</f>
        <v>1392140</v>
      </c>
      <c r="AA77" s="39">
        <f>AB77-SUM(X77:Z77)</f>
        <v>3563246</v>
      </c>
      <c r="AB77" s="67">
        <v>6292024</v>
      </c>
      <c r="AC77" s="67">
        <v>287881</v>
      </c>
      <c r="AD77" s="67">
        <f>-879186-AC77</f>
        <v>-1167067</v>
      </c>
      <c r="AE77" s="67">
        <f>-767736-AD77-AC77</f>
        <v>111450</v>
      </c>
      <c r="AF77" s="39">
        <f>AG77-SUM(AC77:AE77)</f>
        <v>-2971089</v>
      </c>
      <c r="AG77" s="67">
        <v>-3738825</v>
      </c>
      <c r="AH77" s="67">
        <v>-2919130</v>
      </c>
      <c r="AI77" s="67">
        <f>-4353542-AH77</f>
        <v>-1434412</v>
      </c>
      <c r="AJ77" s="67">
        <f>-5006755-AI77-AH77</f>
        <v>-653213</v>
      </c>
      <c r="AK77" s="39">
        <f>AL77-SUM(AH77:AJ77)</f>
        <v>-315510</v>
      </c>
      <c r="AL77" s="67">
        <v>-5322265</v>
      </c>
      <c r="AM77" s="67">
        <v>-13043</v>
      </c>
      <c r="AN77" s="67">
        <f>-583282-AM77</f>
        <v>-570239</v>
      </c>
      <c r="AO77" s="67">
        <f>-51994-AN77-AM77</f>
        <v>531288</v>
      </c>
      <c r="AP77" s="39">
        <f>AQ77-SUM(AM77:AO77)</f>
        <v>-115296</v>
      </c>
      <c r="AQ77" s="67">
        <v>-167290</v>
      </c>
      <c r="AR77" s="67">
        <v>32386</v>
      </c>
      <c r="AS77" s="67">
        <f>599778-AR77</f>
        <v>567392</v>
      </c>
      <c r="AT77" s="67">
        <f>260754-AS77-AR77</f>
        <v>-339024</v>
      </c>
      <c r="AU77" s="39">
        <f>AV77-SUM(AR77:AT77)</f>
        <v>126830</v>
      </c>
      <c r="AV77" s="67">
        <v>387584</v>
      </c>
      <c r="AW77" s="67">
        <v>660175</v>
      </c>
      <c r="AX77" s="67">
        <f>3415482-AW77</f>
        <v>2755307</v>
      </c>
      <c r="AY77" s="67">
        <f>3595219-AX77-AW77</f>
        <v>179737</v>
      </c>
      <c r="AZ77" s="39">
        <f t="shared" ref="AZ77" si="96">AZ74+AZ76</f>
        <v>-384648</v>
      </c>
      <c r="BA77" s="39">
        <f>BA74+BA76</f>
        <v>3210571</v>
      </c>
      <c r="BB77" s="39">
        <f t="shared" ref="BB77" si="97">BB74+BB76</f>
        <v>4875370.5000000009</v>
      </c>
      <c r="BC77" s="39">
        <f t="shared" ref="BC77" si="98">BC74+BC76</f>
        <v>1904062.0000000002</v>
      </c>
      <c r="BD77" s="39">
        <f t="shared" ref="BD77" si="99">BD74+BD76</f>
        <v>1896817.5</v>
      </c>
      <c r="BE77" s="39">
        <f t="shared" ref="BE77" si="100">BE74+BE76</f>
        <v>47585</v>
      </c>
      <c r="BF77" s="39">
        <f>BF74+BF76</f>
        <v>8723835</v>
      </c>
      <c r="BG77" s="39">
        <f t="shared" ref="BG77" si="101">BG74+BG76</f>
        <v>307731</v>
      </c>
      <c r="BH77" s="39">
        <f t="shared" ref="BH77" si="102">BH74+BH76</f>
        <v>300819.00000000006</v>
      </c>
      <c r="BI77" s="39">
        <f t="shared" ref="BI77" si="103">BI74+BI76</f>
        <v>293939</v>
      </c>
      <c r="BJ77" s="39">
        <f t="shared" ref="BJ77" si="104">BJ74+BJ76</f>
        <v>286331.5</v>
      </c>
      <c r="BK77" s="39">
        <f>BK74+BK76</f>
        <v>1188820.5</v>
      </c>
      <c r="BL77" s="39">
        <f t="shared" ref="BL77" si="105">BL74+BL76</f>
        <v>278002.5</v>
      </c>
      <c r="BM77" s="39">
        <f t="shared" ref="BM77" si="106">BM74+BM76</f>
        <v>265936</v>
      </c>
      <c r="BN77" s="39">
        <f t="shared" ref="BN77" si="107">BN74+BN76</f>
        <v>253929.50000000006</v>
      </c>
      <c r="BO77" s="39">
        <f t="shared" ref="BO77" si="108">BO74+BO76</f>
        <v>241983.00000000003</v>
      </c>
      <c r="BP77" s="39">
        <f>BP74+BP76</f>
        <v>1039851</v>
      </c>
      <c r="BQ77" s="39">
        <f t="shared" ref="BQ77" si="109">BQ74+BQ76</f>
        <v>229347</v>
      </c>
      <c r="BR77" s="39">
        <f t="shared" ref="BR77" si="110">BR74+BR76</f>
        <v>211542.5</v>
      </c>
      <c r="BS77" s="39">
        <f t="shared" ref="BS77" si="111">BS74+BS76</f>
        <v>194575.5</v>
      </c>
      <c r="BT77" s="39">
        <f t="shared" ref="BT77" si="112">BT74+BT76</f>
        <v>176209.50000000003</v>
      </c>
      <c r="BU77" s="39">
        <f>BU74+BU76</f>
        <v>811674.5</v>
      </c>
      <c r="BV77" s="39">
        <f t="shared" ref="BV77" si="113">BV74+BV76</f>
        <v>162388.5</v>
      </c>
      <c r="BW77" s="39">
        <f t="shared" ref="BW77" si="114">BW74+BW76</f>
        <v>148639.5</v>
      </c>
      <c r="BX77" s="39">
        <f t="shared" ref="BX77" si="115">BX74+BX76</f>
        <v>133487.5</v>
      </c>
      <c r="BY77" s="39">
        <f t="shared" ref="BY77" si="116">BY74+BY76</f>
        <v>118415.5</v>
      </c>
      <c r="BZ77" s="39">
        <f>BZ74+BZ76</f>
        <v>562931</v>
      </c>
    </row>
    <row r="78" spans="1:78">
      <c r="A78" s="25" t="s">
        <v>613</v>
      </c>
      <c r="I78" s="42" t="s">
        <v>249</v>
      </c>
      <c r="X78" s="98" t="s">
        <v>483</v>
      </c>
      <c r="Y78" s="71"/>
      <c r="Z78" s="71"/>
      <c r="AA78" s="71"/>
      <c r="AB78" s="71"/>
      <c r="AC78" s="71"/>
      <c r="AD78" s="71"/>
      <c r="AE78" s="25" t="s">
        <v>607</v>
      </c>
    </row>
    <row r="79" spans="1:78" s="12" customFormat="1">
      <c r="A79" s="13" t="s">
        <v>117</v>
      </c>
      <c r="U79" s="172" t="s">
        <v>603</v>
      </c>
      <c r="X79" s="69"/>
      <c r="AC79" s="69"/>
      <c r="AD79" s="69"/>
    </row>
    <row r="80" spans="1:78">
      <c r="O80" s="22" t="s">
        <v>374</v>
      </c>
      <c r="T80" s="22" t="s">
        <v>391</v>
      </c>
      <c r="AN80" s="937" t="s">
        <v>132</v>
      </c>
      <c r="AO80" s="44"/>
    </row>
    <row r="81" spans="1:78">
      <c r="A81" s="34" t="s">
        <v>103</v>
      </c>
      <c r="M81" s="38"/>
      <c r="O81" s="36">
        <f>O6/O$102</f>
        <v>1314.9439713133124</v>
      </c>
      <c r="P81" s="36">
        <f>P6/P$102</f>
        <v>0</v>
      </c>
      <c r="Q81" s="36">
        <f>Q6/Q$102</f>
        <v>1356.5906210392902</v>
      </c>
      <c r="R81" s="36">
        <f>SUM(N81:Q81)</f>
        <v>2671.5345923526029</v>
      </c>
      <c r="S81" s="36"/>
      <c r="T81" s="36">
        <f t="shared" ref="T81:V85" si="117">T6/T$102</f>
        <v>323.16620241411329</v>
      </c>
      <c r="U81" s="36">
        <f t="shared" si="117"/>
        <v>-185.00642319691687</v>
      </c>
      <c r="V81" s="36">
        <f t="shared" si="117"/>
        <v>400.08240249038636</v>
      </c>
      <c r="W81" s="36">
        <f t="shared" ref="W81:W88" si="118">SUM(S81:V81)</f>
        <v>538.24218170758274</v>
      </c>
      <c r="X81" s="36">
        <f t="shared" ref="X81:AA88" si="119">X6/X$102</f>
        <v>1034.2027102283275</v>
      </c>
      <c r="Y81" s="36">
        <f t="shared" si="119"/>
        <v>282.96184359652437</v>
      </c>
      <c r="Z81" s="36">
        <f t="shared" si="119"/>
        <v>611.67065581617999</v>
      </c>
      <c r="AA81" s="36">
        <f t="shared" si="119"/>
        <v>2017.7522590361448</v>
      </c>
      <c r="AB81" s="36">
        <f t="shared" ref="AB81:AB88" si="120">SUM(X81:AA81)</f>
        <v>3946.5874686771767</v>
      </c>
      <c r="AC81" s="36">
        <f t="shared" ref="AC81:AF88" si="121">AC6/AC$102</f>
        <v>3696.7454545454543</v>
      </c>
      <c r="AD81" s="36">
        <f t="shared" si="121"/>
        <v>4126.7312392504755</v>
      </c>
      <c r="AE81" s="36">
        <f t="shared" si="121"/>
        <v>2333.644366197183</v>
      </c>
      <c r="AF81" s="36">
        <f t="shared" si="121"/>
        <v>1938.9410760034159</v>
      </c>
      <c r="AG81" s="36">
        <f t="shared" ref="AG81:AG88" si="122">SUM(AC81:AF81)</f>
        <v>12096.062135996528</v>
      </c>
      <c r="AH81" s="38">
        <f t="shared" ref="AH81:AK90" si="123">AH6/AH$102</f>
        <v>-207.08307501549908</v>
      </c>
      <c r="AI81" s="38">
        <f t="shared" si="123"/>
        <v>231.61234496683011</v>
      </c>
      <c r="AJ81" s="38">
        <f t="shared" si="123"/>
        <v>294.9985831680363</v>
      </c>
      <c r="AK81" s="38">
        <f t="shared" si="123"/>
        <v>236.95032267747263</v>
      </c>
      <c r="AL81" s="36">
        <f t="shared" ref="AL81:AL88" si="124">SUM(AH81:AK81)</f>
        <v>556.47817579683999</v>
      </c>
      <c r="AM81" s="38">
        <f t="shared" ref="AM81:AP90" si="125">AM6/AM$102</f>
        <v>-493.65722974440661</v>
      </c>
      <c r="AN81" s="938">
        <f t="shared" si="125"/>
        <v>6352.7777777777783</v>
      </c>
      <c r="AO81" s="38">
        <f t="shared" si="125"/>
        <v>538.95238095238096</v>
      </c>
      <c r="AP81" s="38">
        <f t="shared" si="125"/>
        <v>334.17190775681343</v>
      </c>
      <c r="AQ81" s="36">
        <f t="shared" ref="AQ81:AQ90" si="126">SUM(AM81:AP81)</f>
        <v>6732.2448367425659</v>
      </c>
      <c r="AR81" s="38">
        <f>AR6/AR$102</f>
        <v>-8043.4868715262246</v>
      </c>
      <c r="AS81" s="38">
        <f t="shared" ref="AS81:AU81" si="127">AS6/AS$102</f>
        <v>-259.84959403700253</v>
      </c>
      <c r="AT81" s="38">
        <f t="shared" si="127"/>
        <v>-99.6629659000793</v>
      </c>
      <c r="AU81" s="38">
        <f t="shared" si="127"/>
        <v>-348.87218045112786</v>
      </c>
      <c r="AV81" s="36">
        <f t="shared" ref="AV81:AV90" si="128">SUM(AR81:AU81)</f>
        <v>-8751.8716119144337</v>
      </c>
      <c r="AW81" s="38">
        <f>AW6/AW$102</f>
        <v>-1925.3392106894414</v>
      </c>
      <c r="AX81" s="38">
        <f t="shared" ref="AX81" si="129">AX6/AX$102</f>
        <v>463.07796610169493</v>
      </c>
    </row>
    <row r="82" spans="1:78">
      <c r="A82" s="35" t="s">
        <v>104</v>
      </c>
      <c r="M82" s="38"/>
      <c r="R82" s="38"/>
      <c r="S82" s="36">
        <f>S7/S$102</f>
        <v>3713.7636363636366</v>
      </c>
      <c r="T82" s="36">
        <f t="shared" si="117"/>
        <v>-8787.7994428969359</v>
      </c>
      <c r="U82" s="36">
        <f t="shared" si="117"/>
        <v>-1737.8876858139108</v>
      </c>
      <c r="V82" s="36">
        <f t="shared" si="117"/>
        <v>-10532.457425379967</v>
      </c>
      <c r="W82" s="107">
        <f t="shared" si="118"/>
        <v>-17344.380917727176</v>
      </c>
      <c r="X82" s="36">
        <f t="shared" si="119"/>
        <v>2395.1735659922037</v>
      </c>
      <c r="Y82" s="36">
        <f t="shared" si="119"/>
        <v>10237.485833018512</v>
      </c>
      <c r="Z82" s="36">
        <f t="shared" si="119"/>
        <v>12548.587841072283</v>
      </c>
      <c r="AA82" s="36">
        <f t="shared" si="119"/>
        <v>31633.123117469881</v>
      </c>
      <c r="AB82" s="107">
        <f t="shared" si="120"/>
        <v>56814.370357552878</v>
      </c>
      <c r="AC82" s="36">
        <f t="shared" si="121"/>
        <v>3908.9909090909091</v>
      </c>
      <c r="AD82" s="36">
        <f t="shared" si="121"/>
        <v>-8688.5941884674576</v>
      </c>
      <c r="AE82" s="36">
        <f t="shared" si="121"/>
        <v>-70.237676056338032</v>
      </c>
      <c r="AF82" s="36">
        <f t="shared" si="121"/>
        <v>-21366.686592655849</v>
      </c>
      <c r="AG82" s="107">
        <f t="shared" si="122"/>
        <v>-26216.527548088736</v>
      </c>
      <c r="AH82" s="38">
        <f t="shared" si="123"/>
        <v>-22330.068195908247</v>
      </c>
      <c r="AI82" s="38">
        <f t="shared" si="123"/>
        <v>-9509.4317854052497</v>
      </c>
      <c r="AJ82" s="38">
        <f t="shared" si="123"/>
        <v>-4640.4788892037404</v>
      </c>
      <c r="AK82" s="38">
        <f t="shared" si="123"/>
        <v>-925.266396518085</v>
      </c>
      <c r="AL82" s="36">
        <f t="shared" si="124"/>
        <v>-37405.245267035323</v>
      </c>
      <c r="AM82" s="38">
        <f t="shared" si="125"/>
        <v>875.29505466657008</v>
      </c>
      <c r="AN82" s="38">
        <f t="shared" si="125"/>
        <v>-5187.0668316831679</v>
      </c>
      <c r="AO82" s="38">
        <f t="shared" si="125"/>
        <v>3455.6530612244896</v>
      </c>
      <c r="AP82" s="38">
        <f t="shared" si="125"/>
        <v>-433.25218096977073</v>
      </c>
      <c r="AQ82" s="36">
        <f t="shared" si="126"/>
        <v>-1289.3708967618793</v>
      </c>
      <c r="AR82" s="38">
        <f t="shared" ref="AR82:AU82" si="130">AR7/AR$102</f>
        <v>-144.88596435188143</v>
      </c>
      <c r="AS82" s="38">
        <f t="shared" si="130"/>
        <v>4030.9663250366034</v>
      </c>
      <c r="AT82" s="38">
        <f t="shared" si="130"/>
        <v>-2558.1284694686756</v>
      </c>
      <c r="AU82" s="38">
        <f t="shared" si="130"/>
        <v>776.76364825106248</v>
      </c>
      <c r="AV82" s="36">
        <f t="shared" si="128"/>
        <v>2104.715539467109</v>
      </c>
      <c r="AW82" s="38">
        <f t="shared" ref="AW82:AX82" si="131">AW7/AW$102</f>
        <v>4821.110269302294</v>
      </c>
      <c r="AX82" s="38">
        <f t="shared" si="131"/>
        <v>12381.552542372881</v>
      </c>
    </row>
    <row r="83" spans="1:78">
      <c r="A83" s="35" t="s">
        <v>105</v>
      </c>
      <c r="M83" s="38"/>
      <c r="R83" s="38"/>
      <c r="T83" s="36">
        <f t="shared" si="117"/>
        <v>-332.29340761374186</v>
      </c>
      <c r="U83" s="36">
        <f t="shared" si="117"/>
        <v>76.041475500091764</v>
      </c>
      <c r="V83" s="36">
        <f t="shared" si="117"/>
        <v>-114.54861746932797</v>
      </c>
      <c r="W83" s="36">
        <f t="shared" si="118"/>
        <v>-370.80054958297808</v>
      </c>
      <c r="X83" s="36">
        <f t="shared" si="119"/>
        <v>-741.98997586783003</v>
      </c>
      <c r="Y83" s="36">
        <f t="shared" si="119"/>
        <v>-13.855307895731016</v>
      </c>
      <c r="Z83" s="36">
        <f t="shared" si="119"/>
        <v>-246.45284825275252</v>
      </c>
      <c r="AA83" s="36">
        <f t="shared" si="119"/>
        <v>-86.539909638554221</v>
      </c>
      <c r="AB83" s="36">
        <f t="shared" si="120"/>
        <v>-1088.8380416548678</v>
      </c>
      <c r="AC83" s="36">
        <f t="shared" si="121"/>
        <v>-4119.5727272727272</v>
      </c>
      <c r="AD83" s="36">
        <f t="shared" si="121"/>
        <v>-5166.4976916809992</v>
      </c>
      <c r="AE83" s="36">
        <f t="shared" si="121"/>
        <v>-1541.6021126760563</v>
      </c>
      <c r="AF83" s="36">
        <f t="shared" si="121"/>
        <v>-4943.5012809564478</v>
      </c>
      <c r="AG83" s="36">
        <f t="shared" si="122"/>
        <v>-15771.173812586232</v>
      </c>
      <c r="AH83" s="38">
        <f t="shared" si="123"/>
        <v>-266.76224426534412</v>
      </c>
      <c r="AI83" s="38">
        <f t="shared" si="123"/>
        <v>-493.34438996250356</v>
      </c>
      <c r="AJ83" s="38">
        <f t="shared" si="123"/>
        <v>-441.96656276565602</v>
      </c>
      <c r="AK83" s="38">
        <f t="shared" si="123"/>
        <v>-926.39201560858476</v>
      </c>
      <c r="AL83" s="36">
        <f t="shared" si="124"/>
        <v>-2128.4652126020883</v>
      </c>
      <c r="AM83" s="38">
        <f t="shared" si="125"/>
        <v>661.42929548910286</v>
      </c>
      <c r="AN83" s="38">
        <f t="shared" si="125"/>
        <v>-632.64576457645762</v>
      </c>
      <c r="AO83" s="38">
        <f t="shared" si="125"/>
        <v>119.48299319727892</v>
      </c>
      <c r="AP83" s="38">
        <f t="shared" si="125"/>
        <v>188.45607628322173</v>
      </c>
      <c r="AQ83" s="36">
        <f t="shared" si="126"/>
        <v>336.72260039314585</v>
      </c>
      <c r="AR83" s="38">
        <f t="shared" ref="AR83:AU83" si="132">AR8/AR$102</f>
        <v>6698.300645243723</v>
      </c>
      <c r="AS83" s="38">
        <f t="shared" si="132"/>
        <v>271.56927991481433</v>
      </c>
      <c r="AT83" s="38">
        <f t="shared" si="132"/>
        <v>417.47290510177112</v>
      </c>
      <c r="AU83" s="38">
        <f t="shared" si="132"/>
        <v>559.0062111801243</v>
      </c>
      <c r="AV83" s="36">
        <f t="shared" si="128"/>
        <v>7946.3490414404332</v>
      </c>
      <c r="AW83" s="38">
        <f t="shared" ref="AW83:AX83" si="133">AW8/AW$102</f>
        <v>2253.4747572146844</v>
      </c>
      <c r="AX83" s="38">
        <f t="shared" si="133"/>
        <v>-74.264406779661016</v>
      </c>
    </row>
    <row r="84" spans="1:78">
      <c r="A84" s="34" t="s">
        <v>102</v>
      </c>
      <c r="I84" s="36">
        <f>I9/I$102</f>
        <v>957.53964698503717</v>
      </c>
      <c r="J84" s="36">
        <f>J9/J$102</f>
        <v>785.28461124079729</v>
      </c>
      <c r="K84" s="36">
        <f>K9/K$102</f>
        <v>503.56572645023954</v>
      </c>
      <c r="L84" s="36">
        <f>L9/L$102</f>
        <v>871.5388148828664</v>
      </c>
      <c r="M84" s="36">
        <f>SUM(I84:L84)</f>
        <v>3117.9287995589407</v>
      </c>
      <c r="N84" s="36">
        <f t="shared" ref="N84:Q85" si="134">N9/N$102</f>
        <v>2261.0799374482572</v>
      </c>
      <c r="O84" s="36">
        <f t="shared" si="134"/>
        <v>2317.8574630210669</v>
      </c>
      <c r="P84" s="36">
        <f t="shared" si="134"/>
        <v>1674.5280510502525</v>
      </c>
      <c r="Q84" s="36">
        <f t="shared" si="134"/>
        <v>2896.3606735469857</v>
      </c>
      <c r="R84" s="36">
        <f>SUM(N84:Q84)</f>
        <v>9149.8261250665619</v>
      </c>
      <c r="S84" s="36">
        <f>S9/S$102</f>
        <v>3713.7636363636366</v>
      </c>
      <c r="T84" s="36">
        <f t="shared" si="117"/>
        <v>-9120.0928505106767</v>
      </c>
      <c r="U84" s="36">
        <f t="shared" si="117"/>
        <v>-1661.846210313819</v>
      </c>
      <c r="V84" s="36">
        <f t="shared" si="117"/>
        <v>-10647.006042849294</v>
      </c>
      <c r="W84" s="36">
        <f t="shared" si="118"/>
        <v>-17715.181467310154</v>
      </c>
      <c r="X84" s="36">
        <f t="shared" si="119"/>
        <v>1653.1835901243735</v>
      </c>
      <c r="Y84" s="36">
        <f t="shared" si="119"/>
        <v>10223.63052512278</v>
      </c>
      <c r="Z84" s="36">
        <f t="shared" si="119"/>
        <v>12302.13499281953</v>
      </c>
      <c r="AA84" s="36">
        <f t="shared" si="119"/>
        <v>31546.583207831325</v>
      </c>
      <c r="AB84" s="36">
        <f t="shared" si="120"/>
        <v>55725.53231589801</v>
      </c>
      <c r="AC84" s="36">
        <f t="shared" si="121"/>
        <v>-210.58181818181819</v>
      </c>
      <c r="AD84" s="36">
        <f t="shared" si="121"/>
        <v>-13855.091880148457</v>
      </c>
      <c r="AE84" s="36">
        <f t="shared" si="121"/>
        <v>-1611.8397887323945</v>
      </c>
      <c r="AF84" s="36">
        <f t="shared" si="121"/>
        <v>-26310.1878736123</v>
      </c>
      <c r="AG84" s="36">
        <f t="shared" si="122"/>
        <v>-41987.701360674968</v>
      </c>
      <c r="AH84" s="36">
        <f t="shared" si="123"/>
        <v>-22596.830440173591</v>
      </c>
      <c r="AI84" s="36">
        <f t="shared" si="123"/>
        <v>-10002.776175367753</v>
      </c>
      <c r="AJ84" s="36">
        <f t="shared" si="123"/>
        <v>-5082.4454519693963</v>
      </c>
      <c r="AK84" s="36">
        <f t="shared" si="123"/>
        <v>-1851.6584121266699</v>
      </c>
      <c r="AL84" s="36">
        <f t="shared" si="124"/>
        <v>-39533.710479637411</v>
      </c>
      <c r="AM84" s="36">
        <f t="shared" si="125"/>
        <v>1536.7243501556729</v>
      </c>
      <c r="AN84" s="36">
        <f t="shared" si="125"/>
        <v>-5819.7125962596265</v>
      </c>
      <c r="AO84" s="36">
        <f t="shared" si="125"/>
        <v>3575.1360544217687</v>
      </c>
      <c r="AP84" s="36">
        <f t="shared" si="125"/>
        <v>-244.796104686549</v>
      </c>
      <c r="AQ84" s="36">
        <f t="shared" si="126"/>
        <v>-952.64829636873367</v>
      </c>
      <c r="AR84" s="36">
        <f t="shared" ref="AR84:AU84" si="135">AR9/AR$102</f>
        <v>6553.4146808918422</v>
      </c>
      <c r="AS84" s="36">
        <f t="shared" si="135"/>
        <v>4302.5356049514176</v>
      </c>
      <c r="AT84" s="36">
        <f t="shared" si="135"/>
        <v>-2140.6555643669049</v>
      </c>
      <c r="AU84" s="36">
        <f t="shared" si="135"/>
        <v>1335.7698594311867</v>
      </c>
      <c r="AV84" s="36">
        <f t="shared" si="128"/>
        <v>10051.064580907541</v>
      </c>
      <c r="AW84" s="36">
        <f t="shared" ref="AW84:AX84" si="136">AW9/AW$102</f>
        <v>7074.5850265169775</v>
      </c>
      <c r="AX84" s="36">
        <f t="shared" si="136"/>
        <v>12307.28813559322</v>
      </c>
    </row>
    <row r="85" spans="1:78">
      <c r="A85" s="34" t="s">
        <v>101</v>
      </c>
      <c r="I85" s="36"/>
      <c r="J85" s="36"/>
      <c r="K85" s="36">
        <f>K10/K$102</f>
        <v>33.209153805215543</v>
      </c>
      <c r="L85" s="36">
        <f>L10/L$102</f>
        <v>21.828203950390446</v>
      </c>
      <c r="M85" s="36">
        <f>SUM(I85:L85)</f>
        <v>55.037357755605989</v>
      </c>
      <c r="N85" s="36">
        <f t="shared" si="134"/>
        <v>12.961089136234017</v>
      </c>
      <c r="O85" s="36">
        <f t="shared" si="134"/>
        <v>10.73957866427611</v>
      </c>
      <c r="P85" s="36">
        <f t="shared" si="134"/>
        <v>4.2985021714083134</v>
      </c>
      <c r="Q85" s="36">
        <f t="shared" si="134"/>
        <v>12.945862755748688</v>
      </c>
      <c r="R85" s="36">
        <f>SUM(N85:Q85)</f>
        <v>40.945032727667126</v>
      </c>
      <c r="S85" s="36">
        <f>S10/S$102</f>
        <v>53.68181818181818</v>
      </c>
      <c r="T85" s="36">
        <f t="shared" si="117"/>
        <v>22.58124419684308</v>
      </c>
      <c r="U85" s="36">
        <f t="shared" si="117"/>
        <v>15.874472380253257</v>
      </c>
      <c r="V85" s="36">
        <f t="shared" si="117"/>
        <v>25.462369529390223</v>
      </c>
      <c r="W85" s="36">
        <f t="shared" si="118"/>
        <v>117.59990428830474</v>
      </c>
      <c r="X85" s="36">
        <f t="shared" si="119"/>
        <v>26.805271950993134</v>
      </c>
      <c r="Y85" s="36">
        <f t="shared" si="119"/>
        <v>16.386475255005667</v>
      </c>
      <c r="Z85" s="36">
        <f t="shared" si="119"/>
        <v>34.427955959789372</v>
      </c>
      <c r="AA85" s="36">
        <f t="shared" si="119"/>
        <v>203.5956325301205</v>
      </c>
      <c r="AB85" s="36">
        <f t="shared" si="120"/>
        <v>281.21533569590866</v>
      </c>
      <c r="AC85" s="36">
        <f t="shared" si="121"/>
        <v>189.2</v>
      </c>
      <c r="AD85" s="36">
        <f t="shared" si="121"/>
        <v>16.502217796686882</v>
      </c>
      <c r="AE85" s="36">
        <f t="shared" si="121"/>
        <v>16.901408450704228</v>
      </c>
      <c r="AF85" s="36">
        <f t="shared" si="121"/>
        <v>222.83518360375749</v>
      </c>
      <c r="AG85" s="36">
        <f t="shared" si="122"/>
        <v>445.43880985114856</v>
      </c>
      <c r="AH85" s="38">
        <f t="shared" si="123"/>
        <v>3.2160570365778054</v>
      </c>
      <c r="AI85" s="38">
        <f t="shared" si="123"/>
        <v>2.480530718200173</v>
      </c>
      <c r="AJ85" s="38">
        <f t="shared" si="123"/>
        <v>3.0532728818362145</v>
      </c>
      <c r="AK85" s="38">
        <f t="shared" si="123"/>
        <v>2.4163289809395168</v>
      </c>
      <c r="AL85" s="36">
        <f t="shared" si="124"/>
        <v>11.166189617553709</v>
      </c>
      <c r="AM85" s="38">
        <f t="shared" si="125"/>
        <v>10.795742524075012</v>
      </c>
      <c r="AN85" s="38">
        <f t="shared" si="125"/>
        <v>132.84515951595159</v>
      </c>
      <c r="AO85" s="38">
        <f t="shared" si="125"/>
        <v>3.1224489795918369</v>
      </c>
      <c r="AP85" s="38">
        <f t="shared" si="125"/>
        <v>2.6847906945289779</v>
      </c>
      <c r="AQ85" s="36">
        <f t="shared" si="126"/>
        <v>149.44814171414743</v>
      </c>
      <c r="AR85" s="38">
        <f t="shared" ref="AR85:AU85" si="137">AR10/AR$102</f>
        <v>35.641730019804513</v>
      </c>
      <c r="AS85" s="38">
        <f t="shared" si="137"/>
        <v>9.0376680420604298</v>
      </c>
      <c r="AT85" s="38">
        <f t="shared" si="137"/>
        <v>2.3460216759185832</v>
      </c>
      <c r="AU85" s="38">
        <f t="shared" si="137"/>
        <v>7.5776397515527956</v>
      </c>
      <c r="AV85" s="36">
        <f t="shared" si="128"/>
        <v>54.603059489336324</v>
      </c>
      <c r="AW85" s="38">
        <f t="shared" ref="AW85:AX85" si="138">AW10/AW$102</f>
        <v>34.685584406639578</v>
      </c>
      <c r="AX85" s="38">
        <f t="shared" si="138"/>
        <v>14.8</v>
      </c>
    </row>
    <row r="86" spans="1:78">
      <c r="A86" s="34" t="s">
        <v>100</v>
      </c>
      <c r="M86" s="38"/>
      <c r="R86" s="38"/>
      <c r="T86" s="36"/>
      <c r="V86" s="36">
        <f>V11/V$102</f>
        <v>1.327595678447171</v>
      </c>
      <c r="W86" s="36">
        <f t="shared" si="118"/>
        <v>1.327595678447171</v>
      </c>
      <c r="X86" s="36">
        <f t="shared" si="119"/>
        <v>7.5645071468349734</v>
      </c>
      <c r="Y86" s="36">
        <f t="shared" si="119"/>
        <v>2.6067245938798642</v>
      </c>
      <c r="Z86" s="36">
        <f t="shared" si="119"/>
        <v>0</v>
      </c>
      <c r="AA86" s="36">
        <f t="shared" si="119"/>
        <v>0</v>
      </c>
      <c r="AB86" s="36">
        <f t="shared" si="120"/>
        <v>10.171231740714838</v>
      </c>
      <c r="AC86" s="36">
        <f t="shared" si="121"/>
        <v>-31.218181818181819</v>
      </c>
      <c r="AD86" s="36">
        <f t="shared" si="121"/>
        <v>-352.45768081832171</v>
      </c>
      <c r="AE86" s="36">
        <f t="shared" si="121"/>
        <v>825.88028169014092</v>
      </c>
      <c r="AF86" s="36">
        <f t="shared" si="121"/>
        <v>-862.82664389410763</v>
      </c>
      <c r="AG86" s="36">
        <f t="shared" si="122"/>
        <v>-420.62222484047027</v>
      </c>
      <c r="AH86" s="38">
        <f t="shared" si="123"/>
        <v>291.76999380037199</v>
      </c>
      <c r="AI86" s="38">
        <f t="shared" si="123"/>
        <v>-9.2659359676954143</v>
      </c>
      <c r="AJ86" s="38">
        <f t="shared" si="123"/>
        <v>-142.9158401813545</v>
      </c>
      <c r="AK86" s="38">
        <f t="shared" si="123"/>
        <v>-12.411826504577519</v>
      </c>
      <c r="AL86" s="36">
        <f t="shared" si="124"/>
        <v>127.17639114674454</v>
      </c>
      <c r="AM86" s="38">
        <f t="shared" si="125"/>
        <v>17.76120483672435</v>
      </c>
      <c r="AN86" s="38">
        <f t="shared" si="125"/>
        <v>13.572607260726073</v>
      </c>
      <c r="AO86" s="38">
        <f t="shared" si="125"/>
        <v>-10.598639455782314</v>
      </c>
      <c r="AP86" s="38">
        <f t="shared" si="125"/>
        <v>-69.020085209981744</v>
      </c>
      <c r="AQ86" s="36">
        <f t="shared" si="126"/>
        <v>-48.284912568313636</v>
      </c>
      <c r="AR86" s="38">
        <f t="shared" ref="AR86:AU86" si="139">AR11/AR$102</f>
        <v>11.288570880981281</v>
      </c>
      <c r="AS86" s="38">
        <f t="shared" si="139"/>
        <v>77.53893251697059</v>
      </c>
      <c r="AT86" s="38">
        <f t="shared" si="139"/>
        <v>-111.34020618556701</v>
      </c>
      <c r="AU86" s="38">
        <f t="shared" si="139"/>
        <v>75.717554756456366</v>
      </c>
      <c r="AV86" s="36">
        <f t="shared" si="128"/>
        <v>53.204851968841226</v>
      </c>
      <c r="AW86" s="38">
        <f t="shared" ref="AW86:AX86" si="140">AW11/AW$102</f>
        <v>64.336386803498868</v>
      </c>
      <c r="AX86" s="38">
        <f t="shared" si="140"/>
        <v>6176.5288135593219</v>
      </c>
    </row>
    <row r="87" spans="1:78">
      <c r="A87" s="34" t="s">
        <v>99</v>
      </c>
      <c r="M87" s="38"/>
      <c r="R87" s="38"/>
      <c r="T87" s="36">
        <f>T12/T$102</f>
        <v>11.606313834726091</v>
      </c>
      <c r="U87" s="36">
        <f>U12/U$102</f>
        <v>-1.2754633877775738</v>
      </c>
      <c r="V87" s="36">
        <f>V12/V$102</f>
        <v>3.5066837575535619</v>
      </c>
      <c r="W87" s="36">
        <f t="shared" si="118"/>
        <v>13.837534204502079</v>
      </c>
      <c r="X87" s="36">
        <f t="shared" si="119"/>
        <v>30.954148876925935</v>
      </c>
      <c r="Y87" s="36">
        <f t="shared" si="119"/>
        <v>5.1095579901775601</v>
      </c>
      <c r="Z87" s="36">
        <f t="shared" si="119"/>
        <v>31.08664432742939</v>
      </c>
      <c r="AA87" s="36">
        <f t="shared" si="119"/>
        <v>25.414156626506024</v>
      </c>
      <c r="AB87" s="36">
        <f t="shared" si="120"/>
        <v>92.564507821038902</v>
      </c>
      <c r="AC87" s="36">
        <f t="shared" si="121"/>
        <v>-84.490909090909085</v>
      </c>
      <c r="AD87" s="36">
        <f t="shared" si="121"/>
        <v>-207.48619534715309</v>
      </c>
      <c r="AE87" s="36">
        <f t="shared" si="121"/>
        <v>-125.99471830985917</v>
      </c>
      <c r="AF87" s="36">
        <f t="shared" si="121"/>
        <v>-331.32365499573018</v>
      </c>
      <c r="AG87" s="36">
        <f t="shared" si="122"/>
        <v>-749.29547774365153</v>
      </c>
      <c r="AH87" s="38">
        <f t="shared" si="123"/>
        <v>-236.19032858028521</v>
      </c>
      <c r="AI87" s="38">
        <f t="shared" si="123"/>
        <v>-181.47533890972022</v>
      </c>
      <c r="AJ87" s="38">
        <f t="shared" si="123"/>
        <v>-257.85633323887788</v>
      </c>
      <c r="AK87" s="38">
        <f t="shared" si="123"/>
        <v>-253.70703887137927</v>
      </c>
      <c r="AL87" s="36">
        <f t="shared" si="124"/>
        <v>-929.22903960026258</v>
      </c>
      <c r="AM87" s="38">
        <f t="shared" si="125"/>
        <v>-96.292810078922585</v>
      </c>
      <c r="AN87" s="38">
        <f t="shared" si="125"/>
        <v>-447.33910891089107</v>
      </c>
      <c r="AO87" s="38">
        <f t="shared" si="125"/>
        <v>-182.70748299319729</v>
      </c>
      <c r="AP87" s="38">
        <f t="shared" si="125"/>
        <v>-354.5411510110232</v>
      </c>
      <c r="AQ87" s="36">
        <f t="shared" si="126"/>
        <v>-1080.8805529940341</v>
      </c>
      <c r="AR87" s="38">
        <f t="shared" ref="AR87:AU87" si="141">AR12/AR$102</f>
        <v>1544.7965246278668</v>
      </c>
      <c r="AS87" s="38">
        <f t="shared" si="141"/>
        <v>18.135232264075604</v>
      </c>
      <c r="AT87" s="38">
        <f t="shared" si="141"/>
        <v>24.35236584721121</v>
      </c>
      <c r="AU87" s="38">
        <f t="shared" si="141"/>
        <v>120.58188950637464</v>
      </c>
      <c r="AV87" s="36">
        <f t="shared" si="128"/>
        <v>1707.8660122455281</v>
      </c>
      <c r="AW87" s="38">
        <f t="shared" ref="AW87:AX87" si="142">AW12/AW$102</f>
        <v>-411.59859494455543</v>
      </c>
      <c r="AX87" s="38">
        <f t="shared" si="142"/>
        <v>-52.189830508474579</v>
      </c>
    </row>
    <row r="88" spans="1:78">
      <c r="A88" s="33" t="s">
        <v>96</v>
      </c>
      <c r="B88" s="9"/>
      <c r="C88" s="9"/>
      <c r="D88" s="9"/>
      <c r="E88" s="9"/>
      <c r="F88" s="9"/>
      <c r="G88" s="9"/>
      <c r="H88" s="9"/>
      <c r="I88" s="39">
        <f>I13/I$102</f>
        <v>957.53964698503717</v>
      </c>
      <c r="J88" s="39">
        <f>J13/J$102</f>
        <v>785.28461124079729</v>
      </c>
      <c r="K88" s="39">
        <f>K13/K$102</f>
        <v>536.77488025545506</v>
      </c>
      <c r="L88" s="39">
        <f>L13/L$102</f>
        <v>893.36701883325679</v>
      </c>
      <c r="M88" s="39">
        <f>SUM(I88:L88)</f>
        <v>3172.9661573145463</v>
      </c>
      <c r="N88" s="39">
        <f>N13/N$102</f>
        <v>2274.0410265844912</v>
      </c>
      <c r="O88" s="39">
        <f>O13/O$102</f>
        <v>3605.0739578664279</v>
      </c>
      <c r="P88" s="39">
        <f>P13/P$102</f>
        <v>1678.826553221661</v>
      </c>
      <c r="Q88" s="39">
        <f>Q13/Q$102</f>
        <v>4201.1497374615246</v>
      </c>
      <c r="R88" s="39">
        <f>SUM(N88:Q88)</f>
        <v>11759.091275134106</v>
      </c>
      <c r="S88" s="39">
        <f>S13/S$102</f>
        <v>3767.4454545454546</v>
      </c>
      <c r="T88" s="39">
        <f>T13/T$102</f>
        <v>-8762.7390900649953</v>
      </c>
      <c r="U88" s="39">
        <f>U13/U$102</f>
        <v>-1832.2536245182603</v>
      </c>
      <c r="V88" s="39">
        <f>V13/V$102</f>
        <v>-10216.626991393518</v>
      </c>
      <c r="W88" s="39">
        <f t="shared" si="118"/>
        <v>-17044.174251431319</v>
      </c>
      <c r="X88" s="39">
        <f t="shared" si="119"/>
        <v>2752.7102283274553</v>
      </c>
      <c r="Y88" s="39">
        <f t="shared" si="119"/>
        <v>10530.695126558368</v>
      </c>
      <c r="Z88" s="39">
        <f t="shared" si="119"/>
        <v>12979.32024892293</v>
      </c>
      <c r="AA88" s="39">
        <f t="shared" si="119"/>
        <v>33793.345256024098</v>
      </c>
      <c r="AB88" s="39">
        <f t="shared" si="120"/>
        <v>60056.070859832849</v>
      </c>
      <c r="AC88" s="39">
        <f t="shared" si="121"/>
        <v>3559.6545454545453</v>
      </c>
      <c r="AD88" s="39">
        <f t="shared" si="121"/>
        <v>-10271.80229926677</v>
      </c>
      <c r="AE88" s="39">
        <f t="shared" si="121"/>
        <v>1438.5915492957747</v>
      </c>
      <c r="AF88" s="39">
        <f t="shared" si="121"/>
        <v>-25342.561912894962</v>
      </c>
      <c r="AG88" s="39">
        <f t="shared" si="122"/>
        <v>-30616.118117411414</v>
      </c>
      <c r="AH88" s="39">
        <f t="shared" si="123"/>
        <v>-22745.117792932426</v>
      </c>
      <c r="AI88" s="39">
        <f t="shared" si="123"/>
        <v>-9959.4245745601384</v>
      </c>
      <c r="AJ88" s="39">
        <f t="shared" si="123"/>
        <v>-5185.1657693397565</v>
      </c>
      <c r="AK88" s="39">
        <f t="shared" si="123"/>
        <v>-1878.4106258442143</v>
      </c>
      <c r="AL88" s="39">
        <f t="shared" si="124"/>
        <v>-39768.118762676531</v>
      </c>
      <c r="AM88" s="39">
        <f t="shared" si="125"/>
        <v>975.33125769314302</v>
      </c>
      <c r="AN88" s="39">
        <f t="shared" si="125"/>
        <v>232.1438393839384</v>
      </c>
      <c r="AO88" s="39">
        <f t="shared" si="125"/>
        <v>3923.9047619047619</v>
      </c>
      <c r="AP88" s="39">
        <f t="shared" si="125"/>
        <v>-331.50064245621155</v>
      </c>
      <c r="AQ88" s="39">
        <f t="shared" si="126"/>
        <v>4799.8792165256318</v>
      </c>
      <c r="AR88" s="39">
        <f t="shared" ref="AR88:AU88" si="143">AR13/AR$102</f>
        <v>101.65463489426946</v>
      </c>
      <c r="AS88" s="39">
        <f t="shared" si="143"/>
        <v>4147.3978437375217</v>
      </c>
      <c r="AT88" s="39">
        <f t="shared" si="143"/>
        <v>-2324.9603489294213</v>
      </c>
      <c r="AU88" s="39">
        <f t="shared" si="143"/>
        <v>1190.7747629944427</v>
      </c>
      <c r="AV88" s="39">
        <f t="shared" si="128"/>
        <v>3114.8668926968121</v>
      </c>
      <c r="AW88" s="39">
        <f t="shared" ref="AW88:AY88" si="144">AW13/AW$102</f>
        <v>4836.6691920931198</v>
      </c>
      <c r="AX88" s="39">
        <f t="shared" si="144"/>
        <v>18909.505084745764</v>
      </c>
      <c r="AY88" s="39">
        <f t="shared" si="144"/>
        <v>2399.0002596728123</v>
      </c>
      <c r="AZ88" s="39">
        <f t="shared" ref="AZ88" si="145">AZ13/AZ$102</f>
        <v>-1590</v>
      </c>
      <c r="BA88" s="39">
        <f t="shared" ref="BA88" si="146">SUM(AW88:AZ88)</f>
        <v>24555.174536511695</v>
      </c>
      <c r="BB88" s="39">
        <f t="shared" ref="BB88:BE88" si="147">BB13/BB$102</f>
        <v>31580.000000000004</v>
      </c>
      <c r="BC88" s="39">
        <f t="shared" si="147"/>
        <v>12405</v>
      </c>
      <c r="BD88" s="39">
        <f t="shared" si="147"/>
        <v>12390</v>
      </c>
      <c r="BE88" s="39">
        <f t="shared" si="147"/>
        <v>375</v>
      </c>
      <c r="BF88" s="39">
        <f t="shared" ref="BF88" si="148">SUM(BB88:BE88)</f>
        <v>56750</v>
      </c>
      <c r="BG88" s="39">
        <f t="shared" ref="BG88:BJ88" si="149">BG13/BG$102</f>
        <v>2080</v>
      </c>
      <c r="BH88" s="39">
        <f t="shared" si="149"/>
        <v>2040.0000000000002</v>
      </c>
      <c r="BI88" s="39">
        <f t="shared" si="149"/>
        <v>1999.9999999999998</v>
      </c>
      <c r="BJ88" s="39">
        <f t="shared" si="149"/>
        <v>1955</v>
      </c>
      <c r="BK88" s="39">
        <f t="shared" ref="BK88" si="150">SUM(BG88:BJ88)</f>
        <v>8075</v>
      </c>
      <c r="BL88" s="39">
        <f t="shared" ref="BL88:BO88" si="151">BL13/BL$102</f>
        <v>1905</v>
      </c>
      <c r="BM88" s="39">
        <f t="shared" si="151"/>
        <v>1835</v>
      </c>
      <c r="BN88" s="39">
        <f t="shared" si="151"/>
        <v>1760.0000000000002</v>
      </c>
      <c r="BO88" s="39">
        <f t="shared" si="151"/>
        <v>1685</v>
      </c>
      <c r="BP88" s="39">
        <f t="shared" ref="BP88" si="152">SUM(BL88:BO88)</f>
        <v>7185</v>
      </c>
      <c r="BQ88" s="39">
        <f t="shared" ref="BQ88:BT88" si="153">BQ13/BQ$102</f>
        <v>1605</v>
      </c>
      <c r="BR88" s="39">
        <f t="shared" si="153"/>
        <v>1495</v>
      </c>
      <c r="BS88" s="39">
        <f t="shared" si="153"/>
        <v>1385</v>
      </c>
      <c r="BT88" s="39">
        <f t="shared" si="153"/>
        <v>1265</v>
      </c>
      <c r="BU88" s="39">
        <f t="shared" ref="BU88" si="154">SUM(BQ88:BT88)</f>
        <v>5750</v>
      </c>
      <c r="BV88" s="39">
        <f t="shared" ref="BV88:BY88" si="155">BV13/BV$102</f>
        <v>1175</v>
      </c>
      <c r="BW88" s="39">
        <f t="shared" si="155"/>
        <v>1085</v>
      </c>
      <c r="BX88" s="39">
        <f t="shared" si="155"/>
        <v>990</v>
      </c>
      <c r="BY88" s="39">
        <f t="shared" si="155"/>
        <v>890</v>
      </c>
      <c r="BZ88" s="39">
        <f t="shared" ref="BZ88" si="156">SUM(BV88:BY88)</f>
        <v>4140</v>
      </c>
    </row>
    <row r="89" spans="1:78">
      <c r="A89" s="5" t="s">
        <v>97</v>
      </c>
      <c r="M89" s="38"/>
      <c r="R89" s="38"/>
      <c r="W89" s="38"/>
      <c r="AH89" s="38">
        <f t="shared" si="123"/>
        <v>9.1831990080595176</v>
      </c>
      <c r="AI89" s="38">
        <f t="shared" si="123"/>
        <v>19.296221517161811</v>
      </c>
      <c r="AJ89" s="38">
        <f t="shared" si="123"/>
        <v>11.200056673278549</v>
      </c>
      <c r="AK89" s="38">
        <f t="shared" si="123"/>
        <v>101.47080894491971</v>
      </c>
      <c r="AL89" s="36">
        <f t="shared" ref="AL89:AL100" si="157">SUM(AH89:AK89)</f>
        <v>141.15028614341958</v>
      </c>
      <c r="AM89" s="38">
        <f t="shared" si="125"/>
        <v>181.52197523712979</v>
      </c>
      <c r="AN89" s="38">
        <f t="shared" si="125"/>
        <v>-85.258525852585265</v>
      </c>
      <c r="AO89" s="38">
        <f t="shared" si="125"/>
        <v>162.70748299319729</v>
      </c>
      <c r="AP89" s="38">
        <f t="shared" si="125"/>
        <v>-57.537025765875427</v>
      </c>
      <c r="AQ89" s="36">
        <f t="shared" si="126"/>
        <v>201.43390661186638</v>
      </c>
      <c r="AR89" s="38">
        <f t="shared" ref="AR89:AU89" si="158">AR14/AR$102</f>
        <v>-89.446112566281229</v>
      </c>
      <c r="AS89" s="38">
        <f t="shared" si="158"/>
        <v>-97.903633701583928</v>
      </c>
      <c r="AT89" s="38">
        <f t="shared" si="158"/>
        <v>-6.1789584985461277</v>
      </c>
      <c r="AU89" s="38">
        <f t="shared" si="158"/>
        <v>-31.814318404707421</v>
      </c>
      <c r="AV89" s="36">
        <f t="shared" si="128"/>
        <v>-225.34302317111872</v>
      </c>
      <c r="AW89" s="38">
        <f t="shared" ref="AW89:AY89" si="159">AW14/AW$102</f>
        <v>169.44004408017082</v>
      </c>
      <c r="AX89" s="38">
        <f t="shared" si="159"/>
        <v>136.80677966101695</v>
      </c>
      <c r="AY89" s="38">
        <f t="shared" si="159"/>
        <v>35.354453388730199</v>
      </c>
      <c r="BA89" s="36">
        <f>SUM(AW89:AZ89)</f>
        <v>341.60127712991795</v>
      </c>
      <c r="BF89" s="36">
        <f>SUM(BB89:BE89)</f>
        <v>0</v>
      </c>
      <c r="BK89" s="36">
        <f>SUM(BG89:BJ89)</f>
        <v>0</v>
      </c>
      <c r="BP89" s="36">
        <f>SUM(BL89:BO89)</f>
        <v>0</v>
      </c>
      <c r="BU89" s="36">
        <f>SUM(BQ89:BT89)</f>
        <v>0</v>
      </c>
      <c r="BZ89" s="36">
        <f>SUM(BV89:BY89)</f>
        <v>0</v>
      </c>
    </row>
    <row r="90" spans="1:78">
      <c r="A90" s="9" t="s">
        <v>98</v>
      </c>
      <c r="B90" s="9"/>
      <c r="C90" s="9"/>
      <c r="D90" s="9"/>
      <c r="E90" s="9"/>
      <c r="F90" s="9"/>
      <c r="G90" s="9"/>
      <c r="H90" s="9"/>
      <c r="I90" s="39">
        <f>I15/I$102</f>
        <v>957.53964698503717</v>
      </c>
      <c r="J90" s="39">
        <f>J15/J$102</f>
        <v>785.28461124079729</v>
      </c>
      <c r="K90" s="39">
        <f>K15/K$102</f>
        <v>536.77488025545506</v>
      </c>
      <c r="L90" s="39">
        <f>L15/L$102</f>
        <v>893.36701883325679</v>
      </c>
      <c r="M90" s="39">
        <f>SUM(I90:L90)</f>
        <v>3172.9661573145463</v>
      </c>
      <c r="N90" s="39">
        <f>N15/N$102</f>
        <v>2274.0410265844912</v>
      </c>
      <c r="O90" s="39">
        <f>O15/O$102</f>
        <v>3605.0739578664279</v>
      </c>
      <c r="P90" s="39">
        <f>P15/P$102</f>
        <v>1678.826553221661</v>
      </c>
      <c r="Q90" s="39">
        <f>Q15/Q$102</f>
        <v>4201.1497374615246</v>
      </c>
      <c r="R90" s="39">
        <f>SUM(N90:Q90)</f>
        <v>11759.091275134106</v>
      </c>
      <c r="S90" s="39">
        <f>S15/S$102</f>
        <v>3767.4454545454546</v>
      </c>
      <c r="T90" s="39">
        <f>T15/T$102</f>
        <v>-8762.7390900649953</v>
      </c>
      <c r="U90" s="39">
        <f>U15/U$102</f>
        <v>-1832.2536245182603</v>
      </c>
      <c r="V90" s="39">
        <f>V15/V$102</f>
        <v>-10216.626991393518</v>
      </c>
      <c r="W90" s="39">
        <f>SUM(S90:V90)</f>
        <v>-17044.174251431319</v>
      </c>
      <c r="X90" s="39">
        <f>X15/X$102</f>
        <v>2752.7102283274553</v>
      </c>
      <c r="Y90" s="39">
        <f>Y15/Y$102</f>
        <v>10530.695126558368</v>
      </c>
      <c r="Z90" s="39">
        <f>Z15/Z$102</f>
        <v>12979.32024892293</v>
      </c>
      <c r="AA90" s="39">
        <f>AA15/AA$102</f>
        <v>33793.345256024098</v>
      </c>
      <c r="AB90" s="39">
        <f>SUM(X90:AA90)</f>
        <v>60056.070859832849</v>
      </c>
      <c r="AC90" s="39">
        <f>AC15/AC$102</f>
        <v>3559.6545454545453</v>
      </c>
      <c r="AD90" s="39">
        <f>AD15/AD$102</f>
        <v>-10271.80229926677</v>
      </c>
      <c r="AE90" s="39">
        <f>AE15/AE$102</f>
        <v>1438.5915492957747</v>
      </c>
      <c r="AF90" s="39">
        <f>AF15/AF$102</f>
        <v>-25342.561912894962</v>
      </c>
      <c r="AG90" s="39">
        <f>SUM(AC90:AF90)</f>
        <v>-30616.118117411414</v>
      </c>
      <c r="AH90" s="39">
        <f t="shared" si="123"/>
        <v>-22735.934593924365</v>
      </c>
      <c r="AI90" s="39">
        <f t="shared" si="123"/>
        <v>-9940.1283530429755</v>
      </c>
      <c r="AJ90" s="39">
        <f t="shared" si="123"/>
        <v>-5173.9657126664779</v>
      </c>
      <c r="AK90" s="39">
        <f t="shared" si="123"/>
        <v>-1776.9398168992948</v>
      </c>
      <c r="AL90" s="39">
        <f t="shared" si="157"/>
        <v>-39626.968476533111</v>
      </c>
      <c r="AM90" s="39">
        <f t="shared" si="125"/>
        <v>1156.853232930273</v>
      </c>
      <c r="AN90" s="39">
        <f t="shared" si="125"/>
        <v>146.88531353135315</v>
      </c>
      <c r="AO90" s="39">
        <f t="shared" si="125"/>
        <v>4086.612244897959</v>
      </c>
      <c r="AP90" s="39">
        <f t="shared" si="125"/>
        <v>-389.03766822208695</v>
      </c>
      <c r="AQ90" s="39">
        <f t="shared" si="126"/>
        <v>5001.3131231374982</v>
      </c>
      <c r="AR90" s="39">
        <f t="shared" ref="AR90:AU90" si="160">AR15/AR$102</f>
        <v>12.208522327988245</v>
      </c>
      <c r="AS90" s="39">
        <f t="shared" si="160"/>
        <v>4049.4942100359381</v>
      </c>
      <c r="AT90" s="39">
        <f t="shared" si="160"/>
        <v>-2331.1393074279672</v>
      </c>
      <c r="AU90" s="39">
        <f t="shared" si="160"/>
        <v>1158.9604445897353</v>
      </c>
      <c r="AV90" s="39">
        <f t="shared" si="128"/>
        <v>2889.5238695256944</v>
      </c>
      <c r="AW90" s="39">
        <f t="shared" ref="AW90:AY90" si="161">AW15/AW$102</f>
        <v>5006.1092361732899</v>
      </c>
      <c r="AX90" s="39">
        <f t="shared" si="161"/>
        <v>19046.31186440678</v>
      </c>
      <c r="AY90" s="39">
        <f t="shared" si="161"/>
        <v>2434.3547130615425</v>
      </c>
      <c r="AZ90" s="39">
        <f t="shared" ref="AZ90" si="162">AZ15/AZ$102</f>
        <v>-1590</v>
      </c>
      <c r="BA90" s="39">
        <f t="shared" ref="BA90" si="163">SUM(AW90:AZ90)</f>
        <v>24896.775813641609</v>
      </c>
      <c r="BB90" s="39">
        <f t="shared" ref="BB90:BE90" si="164">BB15/BB$102</f>
        <v>31580.000000000004</v>
      </c>
      <c r="BC90" s="39">
        <f t="shared" si="164"/>
        <v>12405</v>
      </c>
      <c r="BD90" s="39">
        <f t="shared" si="164"/>
        <v>12390</v>
      </c>
      <c r="BE90" s="39">
        <f t="shared" si="164"/>
        <v>375</v>
      </c>
      <c r="BF90" s="39">
        <f t="shared" ref="BF90" si="165">SUM(BB90:BE90)</f>
        <v>56750</v>
      </c>
      <c r="BG90" s="39">
        <f t="shared" ref="BG90:BJ90" si="166">BG15/BG$102</f>
        <v>2080</v>
      </c>
      <c r="BH90" s="39">
        <f t="shared" si="166"/>
        <v>2040.0000000000002</v>
      </c>
      <c r="BI90" s="39">
        <f t="shared" si="166"/>
        <v>1999.9999999999998</v>
      </c>
      <c r="BJ90" s="39">
        <f t="shared" si="166"/>
        <v>1955</v>
      </c>
      <c r="BK90" s="39">
        <f t="shared" ref="BK90" si="167">SUM(BG90:BJ90)</f>
        <v>8075</v>
      </c>
      <c r="BL90" s="39">
        <f t="shared" ref="BL90:BO90" si="168">BL15/BL$102</f>
        <v>1905</v>
      </c>
      <c r="BM90" s="39">
        <f t="shared" si="168"/>
        <v>1835</v>
      </c>
      <c r="BN90" s="39">
        <f t="shared" si="168"/>
        <v>1760.0000000000002</v>
      </c>
      <c r="BO90" s="39">
        <f t="shared" si="168"/>
        <v>1685</v>
      </c>
      <c r="BP90" s="39">
        <f t="shared" ref="BP90" si="169">SUM(BL90:BO90)</f>
        <v>7185</v>
      </c>
      <c r="BQ90" s="39">
        <f t="shared" ref="BQ90:BT90" si="170">BQ15/BQ$102</f>
        <v>1605</v>
      </c>
      <c r="BR90" s="39">
        <f t="shared" si="170"/>
        <v>1495</v>
      </c>
      <c r="BS90" s="39">
        <f t="shared" si="170"/>
        <v>1385</v>
      </c>
      <c r="BT90" s="39">
        <f t="shared" si="170"/>
        <v>1265</v>
      </c>
      <c r="BU90" s="39">
        <f t="shared" ref="BU90" si="171">SUM(BQ90:BT90)</f>
        <v>5750</v>
      </c>
      <c r="BV90" s="39">
        <f t="shared" ref="BV90:BY90" si="172">BV15/BV$102</f>
        <v>1175</v>
      </c>
      <c r="BW90" s="39">
        <f t="shared" si="172"/>
        <v>1085</v>
      </c>
      <c r="BX90" s="39">
        <f t="shared" si="172"/>
        <v>990</v>
      </c>
      <c r="BY90" s="39">
        <f t="shared" si="172"/>
        <v>890</v>
      </c>
      <c r="BZ90" s="39">
        <f t="shared" ref="BZ90" si="173">SUM(BV90:BY90)</f>
        <v>4140</v>
      </c>
    </row>
    <row r="92" spans="1:78">
      <c r="A92" s="1" t="s">
        <v>62</v>
      </c>
      <c r="I92" s="38">
        <f>I24/I$102</f>
        <v>-14.71194337424962</v>
      </c>
      <c r="J92" s="38">
        <f>J24/J$102</f>
        <v>-57.963727778775365</v>
      </c>
      <c r="K92" s="38">
        <f>K24/K$102</f>
        <v>-91.600141919460711</v>
      </c>
      <c r="L92" s="38">
        <f>L24/L$102</f>
        <v>-281.93844740468535</v>
      </c>
      <c r="M92" s="38">
        <f>SUM(I92:L92)</f>
        <v>-446.21426047717102</v>
      </c>
      <c r="N92" s="38">
        <f>N24/N$102</f>
        <v>-66.847576119952166</v>
      </c>
      <c r="O92" s="38">
        <f>O24/O$102</f>
        <v>-86.562079784849843</v>
      </c>
      <c r="P92" s="38">
        <f>P24/P$102</f>
        <v>-115.78480900469734</v>
      </c>
      <c r="Q92" s="38">
        <f>Q24/Q$102</f>
        <v>-146.74995473474561</v>
      </c>
      <c r="R92" s="38">
        <f>SUM(N92:Q92)</f>
        <v>-415.94441964424493</v>
      </c>
      <c r="S92" s="38">
        <f>S24/S$102</f>
        <v>-152.62727272727273</v>
      </c>
      <c r="T92" s="38">
        <f>T24/T$102</f>
        <v>-246.25812441968429</v>
      </c>
      <c r="U92" s="38">
        <f>U24/U$102</f>
        <v>-233.48320792806018</v>
      </c>
      <c r="V92" s="38">
        <f>V24/V$102</f>
        <v>-162.25965940303973</v>
      </c>
      <c r="W92" s="38">
        <f>SUM(S92:V92)</f>
        <v>-794.62826447805696</v>
      </c>
      <c r="X92" s="38">
        <f>X24/X$102</f>
        <v>-133.11676257657325</v>
      </c>
      <c r="Y92" s="38">
        <f>Y24/Y$102</f>
        <v>-189.72421609369098</v>
      </c>
      <c r="Z92" s="38">
        <f>Z24/Z$102</f>
        <v>-103.10196266156055</v>
      </c>
      <c r="AA92" s="38">
        <f>AA24/AA$102</f>
        <v>-272.91980421686748</v>
      </c>
      <c r="AB92" s="38">
        <f>SUM(X92:AA92)</f>
        <v>-698.86274554869226</v>
      </c>
      <c r="AC92" s="38">
        <f>AC24/AC$102</f>
        <v>-149.53636363636363</v>
      </c>
      <c r="AD92" s="38">
        <f>AD24/AD$102</f>
        <v>-123.12845116321174</v>
      </c>
      <c r="AE92" s="38">
        <f>AE24/AE$102</f>
        <v>-210.11443661971833</v>
      </c>
      <c r="AF92" s="38">
        <f>AF24/AF$102</f>
        <v>-135.21776259607174</v>
      </c>
      <c r="AG92" s="38">
        <f>SUM(AC92:AF92)</f>
        <v>-617.99701401536549</v>
      </c>
      <c r="AH92" s="38">
        <f>AH24/AH$102</f>
        <v>-146.49721016738997</v>
      </c>
      <c r="AI92" s="38">
        <f>AI24/AI$102</f>
        <v>-87.099798096336883</v>
      </c>
      <c r="AJ92" s="38">
        <f>AJ24/AJ$102</f>
        <v>-157.27543213374895</v>
      </c>
      <c r="AK92" s="38">
        <f>AK24/AK$102</f>
        <v>-96.165390965030767</v>
      </c>
      <c r="AL92" s="36">
        <f t="shared" si="157"/>
        <v>-487.03783136250655</v>
      </c>
      <c r="AM92" s="38">
        <f>AM24/AM$102</f>
        <v>-132.4958366519441</v>
      </c>
      <c r="AN92" s="38">
        <f>AN24/AN$102</f>
        <v>-181.44251925192521</v>
      </c>
      <c r="AO92" s="38">
        <f>AO24/AO$102</f>
        <v>-131.65306122448979</v>
      </c>
      <c r="AP92" s="38">
        <f>AP24/AP$102</f>
        <v>-141.64468790153512</v>
      </c>
      <c r="AQ92" s="36">
        <f t="shared" ref="AQ92" si="174">SUM(AM92:AP92)</f>
        <v>-587.23610502989425</v>
      </c>
      <c r="AR92" s="38">
        <f>AR24/AR$102</f>
        <v>-122.59630741710853</v>
      </c>
      <c r="AS92" s="38">
        <f>AS24/AS$102</f>
        <v>-112.30533741514708</v>
      </c>
      <c r="AT92" s="38">
        <f>AT24/AT$102</f>
        <v>-100.11234469997358</v>
      </c>
      <c r="AU92" s="38">
        <f>AU24/AU$102</f>
        <v>-71.624713958810077</v>
      </c>
      <c r="AV92" s="36">
        <f t="shared" ref="AV92" si="175">SUM(AR92:AU92)</f>
        <v>-406.63870349103922</v>
      </c>
      <c r="AW92" s="38">
        <f>AW24/AW$102</f>
        <v>-93.126248364212415</v>
      </c>
      <c r="AX92" s="38">
        <f>AX24/AX$102</f>
        <v>-115.80338983050848</v>
      </c>
      <c r="AY92" s="38">
        <f>AY24/AY$102</f>
        <v>-82.452609711763188</v>
      </c>
      <c r="AZ92" s="36">
        <f>-AZ104</f>
        <v>-105.21776452830639</v>
      </c>
      <c r="BA92" s="36">
        <f t="shared" ref="BA92" si="176">SUM(AW92:AZ92)</f>
        <v>-396.60001243479041</v>
      </c>
      <c r="BB92" s="36">
        <f>-BB104</f>
        <v>-108.37429746415559</v>
      </c>
      <c r="BC92" s="36">
        <f>-BC104</f>
        <v>-108.37429746415559</v>
      </c>
      <c r="BD92" s="36">
        <f>-BD104</f>
        <v>-108.37429746415559</v>
      </c>
      <c r="BE92" s="36">
        <f>-BE104</f>
        <v>-108.37429746415559</v>
      </c>
      <c r="BF92" s="36">
        <f t="shared" ref="BF92" si="177">SUM(BB92:BE92)</f>
        <v>-433.49718985662236</v>
      </c>
      <c r="BG92" s="36">
        <f>-BG104</f>
        <v>-111.08365490075947</v>
      </c>
      <c r="BH92" s="36">
        <f>-BH104</f>
        <v>-111.08365490075947</v>
      </c>
      <c r="BI92" s="36">
        <f>-BI104</f>
        <v>-111.08365490075947</v>
      </c>
      <c r="BJ92" s="36">
        <f>-BJ104</f>
        <v>-111.08365490075947</v>
      </c>
      <c r="BK92" s="36">
        <f t="shared" ref="BK92" si="178">SUM(BG92:BJ92)</f>
        <v>-444.33461960303788</v>
      </c>
      <c r="BL92" s="36">
        <f>-BL104</f>
        <v>-113.30532799877466</v>
      </c>
      <c r="BM92" s="36">
        <f>-BM104</f>
        <v>-113.30532799877466</v>
      </c>
      <c r="BN92" s="36">
        <f>-BN104</f>
        <v>-113.30532799877466</v>
      </c>
      <c r="BO92" s="36">
        <f>-BO104</f>
        <v>-113.30532799877466</v>
      </c>
      <c r="BP92" s="36">
        <f t="shared" ref="BP92" si="179">SUM(BL92:BO92)</f>
        <v>-453.22131199509863</v>
      </c>
      <c r="BQ92" s="36">
        <f>-BQ104</f>
        <v>-113.30532799877466</v>
      </c>
      <c r="BR92" s="36">
        <f>-BR104</f>
        <v>-113.30532799877466</v>
      </c>
      <c r="BS92" s="36">
        <f>-BS104</f>
        <v>-149.19467200122534</v>
      </c>
      <c r="BT92" s="36">
        <f>-BT104</f>
        <v>-149.19467200122534</v>
      </c>
      <c r="BU92" s="36">
        <f t="shared" ref="BU92" si="180">SUM(BQ92:BT92)</f>
        <v>-525</v>
      </c>
      <c r="BV92" s="36">
        <f>-BV104</f>
        <v>-115</v>
      </c>
      <c r="BW92" s="36">
        <f>-BW104</f>
        <v>-115</v>
      </c>
      <c r="BX92" s="36">
        <f>-BX104</f>
        <v>-97.5</v>
      </c>
      <c r="BY92" s="36">
        <f>-BY104</f>
        <v>-97.5</v>
      </c>
      <c r="BZ92" s="36">
        <f t="shared" ref="BZ92" si="181">SUM(BV92:BY92)</f>
        <v>-425</v>
      </c>
    </row>
    <row r="93" spans="1:78">
      <c r="A93" s="9" t="s">
        <v>247</v>
      </c>
      <c r="B93" s="9"/>
      <c r="C93" s="9"/>
      <c r="D93" s="9"/>
      <c r="E93" s="9"/>
      <c r="F93" s="9"/>
      <c r="G93" s="9"/>
      <c r="H93" s="9"/>
      <c r="I93" s="39">
        <f t="shared" ref="I93:T93" si="182">I90+I92</f>
        <v>942.82770361078758</v>
      </c>
      <c r="J93" s="39">
        <f t="shared" si="182"/>
        <v>727.32088346202192</v>
      </c>
      <c r="K93" s="39">
        <f t="shared" si="182"/>
        <v>445.17473833599433</v>
      </c>
      <c r="L93" s="39">
        <f t="shared" si="182"/>
        <v>611.42857142857144</v>
      </c>
      <c r="M93" s="39">
        <f t="shared" si="182"/>
        <v>2726.7518968373752</v>
      </c>
      <c r="N93" s="39">
        <f t="shared" si="182"/>
        <v>2207.1934504645392</v>
      </c>
      <c r="O93" s="39">
        <f t="shared" si="182"/>
        <v>3518.5118780815783</v>
      </c>
      <c r="P93" s="39">
        <f t="shared" si="182"/>
        <v>1563.0417442169637</v>
      </c>
      <c r="Q93" s="39">
        <f t="shared" si="182"/>
        <v>4054.399782726779</v>
      </c>
      <c r="R93" s="39">
        <f t="shared" si="182"/>
        <v>11343.14685548986</v>
      </c>
      <c r="S93" s="39">
        <f t="shared" si="182"/>
        <v>3614.818181818182</v>
      </c>
      <c r="T93" s="39">
        <f t="shared" si="182"/>
        <v>-9008.9972144846797</v>
      </c>
      <c r="U93" s="39">
        <f t="shared" ref="U93:W93" si="183">U90+U92</f>
        <v>-2065.7368324463205</v>
      </c>
      <c r="V93" s="39">
        <f t="shared" si="183"/>
        <v>-10378.886650796558</v>
      </c>
      <c r="W93" s="39">
        <f t="shared" si="183"/>
        <v>-17838.802515909378</v>
      </c>
      <c r="X93" s="39">
        <f t="shared" ref="X93:Y93" si="184">X90+X92</f>
        <v>2619.5934657508819</v>
      </c>
      <c r="Y93" s="39">
        <f t="shared" si="184"/>
        <v>10340.970910464677</v>
      </c>
      <c r="Z93" s="39">
        <f t="shared" ref="Z93:AC93" si="185">Z90+Z92</f>
        <v>12876.21828626137</v>
      </c>
      <c r="AA93" s="39">
        <f t="shared" si="185"/>
        <v>33520.425451807234</v>
      </c>
      <c r="AB93" s="39">
        <f t="shared" si="185"/>
        <v>59357.208114284156</v>
      </c>
      <c r="AC93" s="39">
        <f t="shared" si="185"/>
        <v>3410.1181818181817</v>
      </c>
      <c r="AD93" s="39">
        <f t="shared" ref="AD93:AE93" si="186">AD90+AD92</f>
        <v>-10394.930750429981</v>
      </c>
      <c r="AE93" s="39">
        <f t="shared" si="186"/>
        <v>1228.4771126760563</v>
      </c>
      <c r="AF93" s="39">
        <f t="shared" ref="AF93:AO93" si="187">AF90+AF92</f>
        <v>-25477.779675491034</v>
      </c>
      <c r="AG93" s="39">
        <f t="shared" si="187"/>
        <v>-31234.115131426777</v>
      </c>
      <c r="AH93" s="39">
        <f t="shared" si="187"/>
        <v>-22882.431804091753</v>
      </c>
      <c r="AI93" s="39">
        <f t="shared" si="187"/>
        <v>-10027.228151139312</v>
      </c>
      <c r="AJ93" s="39">
        <f t="shared" si="187"/>
        <v>-5331.2411448002267</v>
      </c>
      <c r="AK93" s="39">
        <f t="shared" si="187"/>
        <v>-1873.1052078643256</v>
      </c>
      <c r="AL93" s="39">
        <f t="shared" si="187"/>
        <v>-40114.006307895615</v>
      </c>
      <c r="AM93" s="39">
        <f t="shared" si="187"/>
        <v>1024.3573962783289</v>
      </c>
      <c r="AN93" s="39">
        <f t="shared" si="187"/>
        <v>-34.557205720572057</v>
      </c>
      <c r="AO93" s="39">
        <f t="shared" si="187"/>
        <v>3954.9591836734694</v>
      </c>
      <c r="AP93" s="39">
        <f t="shared" ref="AP93:AT93" si="188">AP90+AP92</f>
        <v>-530.68235612362207</v>
      </c>
      <c r="AQ93" s="39">
        <f t="shared" si="188"/>
        <v>4414.0770181076041</v>
      </c>
      <c r="AR93" s="39">
        <f t="shared" si="188"/>
        <v>-110.38778508912029</v>
      </c>
      <c r="AS93" s="39">
        <f t="shared" si="188"/>
        <v>3937.1888726207908</v>
      </c>
      <c r="AT93" s="39">
        <f t="shared" si="188"/>
        <v>-2431.2516521279408</v>
      </c>
      <c r="AU93" s="39">
        <f t="shared" ref="AU93:AY93" si="189">AU90+AU92</f>
        <v>1087.3357306309251</v>
      </c>
      <c r="AV93" s="39">
        <f t="shared" si="189"/>
        <v>2482.8851660346554</v>
      </c>
      <c r="AW93" s="39">
        <f t="shared" si="189"/>
        <v>4912.9829878090777</v>
      </c>
      <c r="AX93" s="39">
        <f t="shared" si="189"/>
        <v>18930.508474576272</v>
      </c>
      <c r="AY93" s="39">
        <f t="shared" si="189"/>
        <v>2351.9021033497793</v>
      </c>
      <c r="AZ93" s="39">
        <f t="shared" ref="AZ93" si="190">AZ90+AZ92</f>
        <v>-1695.2177645283064</v>
      </c>
      <c r="BA93" s="39">
        <f t="shared" ref="BA93:BF93" si="191">BA90+BA92</f>
        <v>24500.175801206817</v>
      </c>
      <c r="BB93" s="39">
        <f t="shared" si="191"/>
        <v>31471.625702535846</v>
      </c>
      <c r="BC93" s="39">
        <f t="shared" si="191"/>
        <v>12296.625702535845</v>
      </c>
      <c r="BD93" s="39">
        <f t="shared" si="191"/>
        <v>12281.625702535845</v>
      </c>
      <c r="BE93" s="39">
        <f t="shared" si="191"/>
        <v>266.62570253584443</v>
      </c>
      <c r="BF93" s="39">
        <f t="shared" si="191"/>
        <v>56316.502810143378</v>
      </c>
      <c r="BG93" s="39">
        <f t="shared" ref="BG93:BZ93" si="192">BG90+BG92</f>
        <v>1968.9163450992405</v>
      </c>
      <c r="BH93" s="39">
        <f t="shared" si="192"/>
        <v>1928.9163450992407</v>
      </c>
      <c r="BI93" s="39">
        <f t="shared" si="192"/>
        <v>1888.9163450992403</v>
      </c>
      <c r="BJ93" s="39">
        <f t="shared" si="192"/>
        <v>1843.9163450992405</v>
      </c>
      <c r="BK93" s="39">
        <f t="shared" si="192"/>
        <v>7630.6653803969621</v>
      </c>
      <c r="BL93" s="39">
        <f t="shared" si="192"/>
        <v>1791.6946720012254</v>
      </c>
      <c r="BM93" s="39">
        <f t="shared" si="192"/>
        <v>1721.6946720012254</v>
      </c>
      <c r="BN93" s="39">
        <f t="shared" si="192"/>
        <v>1646.6946720012256</v>
      </c>
      <c r="BO93" s="39">
        <f t="shared" si="192"/>
        <v>1571.6946720012254</v>
      </c>
      <c r="BP93" s="39">
        <f t="shared" si="192"/>
        <v>6731.7786880049016</v>
      </c>
      <c r="BQ93" s="39">
        <f t="shared" si="192"/>
        <v>1491.6946720012254</v>
      </c>
      <c r="BR93" s="39">
        <f t="shared" si="192"/>
        <v>1381.6946720012254</v>
      </c>
      <c r="BS93" s="39">
        <f t="shared" si="192"/>
        <v>1235.8053279987746</v>
      </c>
      <c r="BT93" s="39">
        <f t="shared" si="192"/>
        <v>1115.8053279987746</v>
      </c>
      <c r="BU93" s="39">
        <f t="shared" si="192"/>
        <v>5225</v>
      </c>
      <c r="BV93" s="39">
        <f t="shared" si="192"/>
        <v>1060</v>
      </c>
      <c r="BW93" s="39">
        <f t="shared" si="192"/>
        <v>970</v>
      </c>
      <c r="BX93" s="39">
        <f t="shared" si="192"/>
        <v>892.5</v>
      </c>
      <c r="BY93" s="39">
        <f t="shared" si="192"/>
        <v>792.5</v>
      </c>
      <c r="BZ93" s="39">
        <f t="shared" si="192"/>
        <v>3715</v>
      </c>
    </row>
    <row r="94" spans="1:78">
      <c r="M94" s="38"/>
      <c r="R94" s="38"/>
      <c r="W94" s="38"/>
      <c r="AB94" s="38"/>
      <c r="AG94" s="38"/>
      <c r="AH94" s="38"/>
      <c r="AI94" s="38"/>
      <c r="AJ94" s="38"/>
      <c r="AK94" s="38"/>
      <c r="AL94" s="36"/>
      <c r="AM94" s="38"/>
      <c r="AN94" s="38"/>
      <c r="AO94" s="38"/>
      <c r="AP94" s="38"/>
      <c r="AQ94" s="36"/>
      <c r="AR94" s="38"/>
      <c r="AS94" s="38"/>
      <c r="AT94" s="38"/>
      <c r="AU94" s="38"/>
      <c r="AV94" s="36"/>
      <c r="AW94" s="38"/>
      <c r="AX94" s="38"/>
    </row>
    <row r="95" spans="1:78">
      <c r="A95" s="1" t="s">
        <v>106</v>
      </c>
      <c r="M95" s="38">
        <f t="shared" ref="M95:Q97" si="193">M29/M$102</f>
        <v>-70.187592784200817</v>
      </c>
      <c r="N95" s="38">
        <f t="shared" si="193"/>
        <v>-46.279091159966889</v>
      </c>
      <c r="O95" s="38">
        <f t="shared" si="193"/>
        <v>-59.883460331689825</v>
      </c>
      <c r="P95" s="38">
        <f t="shared" si="193"/>
        <v>-63.883718869095098</v>
      </c>
      <c r="Q95" s="38">
        <f t="shared" si="193"/>
        <v>-128.75248958899149</v>
      </c>
      <c r="R95" s="38">
        <f>SUM(N95:Q95)</f>
        <v>-298.79875994974327</v>
      </c>
      <c r="S95" s="38">
        <f t="shared" ref="S95:V99" si="194">S29/S$102</f>
        <v>-15.163636363636364</v>
      </c>
      <c r="T95" s="38">
        <f t="shared" si="194"/>
        <v>-65.181058495821731</v>
      </c>
      <c r="U95" s="38">
        <f t="shared" si="194"/>
        <v>-69.122774821068077</v>
      </c>
      <c r="V95" s="38">
        <f t="shared" si="194"/>
        <v>-57.114081670023808</v>
      </c>
      <c r="W95" s="38">
        <f>SUM(S95:V95)</f>
        <v>-206.58155135054997</v>
      </c>
      <c r="X95" s="38">
        <f t="shared" ref="X95:AA99" si="195">X29/X$102</f>
        <v>-42.69537776127715</v>
      </c>
      <c r="Y95" s="38">
        <f t="shared" si="195"/>
        <v>-15.375897242160937</v>
      </c>
      <c r="Z95" s="38">
        <f t="shared" si="195"/>
        <v>-13.460986117759694</v>
      </c>
      <c r="AA95" s="38">
        <f t="shared" si="195"/>
        <v>-26.214231927710845</v>
      </c>
      <c r="AB95" s="38">
        <f>SUM(X95:AA95)</f>
        <v>-97.746493048908619</v>
      </c>
      <c r="AC95" s="38">
        <f t="shared" ref="AC95:AF99" si="196">AC29/AC$102</f>
        <v>-37.281818181818181</v>
      </c>
      <c r="AD95" s="38">
        <f t="shared" si="196"/>
        <v>-50.493346609939351</v>
      </c>
      <c r="AE95" s="38">
        <f t="shared" si="196"/>
        <v>-79.031690140845072</v>
      </c>
      <c r="AF95" s="38">
        <f t="shared" si="196"/>
        <v>-110.66609735269002</v>
      </c>
      <c r="AG95" s="38">
        <f>SUM(AC95:AF95)</f>
        <v>-277.47295228529265</v>
      </c>
      <c r="AH95" s="38">
        <f>AH29/AH$102</f>
        <v>-119.35058896466212</v>
      </c>
      <c r="AI95" s="38">
        <f>AI29/AI$102</f>
        <v>-147.0579751946928</v>
      </c>
      <c r="AJ95" s="38">
        <f>AJ29/AJ$102</f>
        <v>-164.9121564182488</v>
      </c>
      <c r="AK95" s="38">
        <f>AK29/AK$102</f>
        <v>-165.89374155785683</v>
      </c>
      <c r="AL95" s="36">
        <f t="shared" si="157"/>
        <v>-597.21446213546051</v>
      </c>
      <c r="AM95" s="38">
        <f>AM29/AM$102</f>
        <v>-171.0810223734704</v>
      </c>
      <c r="AN95" s="38">
        <f>AN29/AN$102</f>
        <v>-198.73487348734875</v>
      </c>
      <c r="AO95" s="38">
        <f>AO29/AO$102</f>
        <v>-81.571428571428569</v>
      </c>
      <c r="AP95" s="38">
        <f>AP29/AP$102</f>
        <v>-66.267667545817275</v>
      </c>
      <c r="AQ95" s="36">
        <f t="shared" ref="AQ95" si="197">SUM(AM95:AP95)</f>
        <v>-517.65499197806503</v>
      </c>
      <c r="AR95" s="38">
        <f>AR29/AR$102</f>
        <v>-67.233118252092254</v>
      </c>
      <c r="AS95" s="38">
        <f>AS29/AS$102</f>
        <v>-67.529615333422072</v>
      </c>
      <c r="AT95" s="38">
        <f>AT29/AT$102</f>
        <v>-66.078509119746229</v>
      </c>
      <c r="AU95" s="38">
        <f>AU29/AU$102</f>
        <v>-62.59561948349134</v>
      </c>
      <c r="AV95" s="36">
        <f t="shared" ref="AV95" si="198">SUM(AR95:AU95)</f>
        <v>-263.43686218875189</v>
      </c>
      <c r="AW95" s="38">
        <f>AW29/AW$102</f>
        <v>-276.76148495075421</v>
      </c>
      <c r="AX95" s="38">
        <f>AX29/AX$102</f>
        <v>-295.51186440677964</v>
      </c>
      <c r="AY95" s="38">
        <f>AY29/AY$102</f>
        <v>-389.37938197870687</v>
      </c>
      <c r="AZ95" s="38">
        <f>AZ29/AZ$102</f>
        <v>-99.952242750383235</v>
      </c>
      <c r="BA95" s="36">
        <f t="shared" ref="BA95" si="199">SUM(AW95:AZ95)</f>
        <v>-1061.604974086624</v>
      </c>
      <c r="BB95" s="38">
        <f>BB29/BB$102</f>
        <v>-114</v>
      </c>
      <c r="BC95" s="38">
        <f>BC29/BC$102</f>
        <v>-139.78125</v>
      </c>
      <c r="BD95" s="38">
        <f>BD29/BD$102</f>
        <v>-160.875</v>
      </c>
      <c r="BE95" s="38">
        <f>BE29/BE$102</f>
        <v>-184.3125</v>
      </c>
      <c r="BF95" s="36">
        <f t="shared" ref="BF95" si="200">SUM(BB95:BE95)</f>
        <v>-598.96875</v>
      </c>
      <c r="BG95" s="38">
        <f>BG29/BG$102</f>
        <v>-198.375</v>
      </c>
      <c r="BH95" s="38">
        <f>BH29/BH$102</f>
        <v>-198.375</v>
      </c>
      <c r="BI95" s="38">
        <f>BI29/BI$102</f>
        <v>-198.375</v>
      </c>
      <c r="BJ95" s="38">
        <f>BJ29/BJ$102</f>
        <v>-198.375</v>
      </c>
      <c r="BK95" s="36">
        <f t="shared" ref="BK95" si="201">SUM(BG95:BJ95)</f>
        <v>-793.5</v>
      </c>
      <c r="BL95" s="38">
        <f>BL29/BL$102</f>
        <v>-198.375</v>
      </c>
      <c r="BM95" s="38">
        <f>BM29/BM$102</f>
        <v>-198.375</v>
      </c>
      <c r="BN95" s="38">
        <f>BN29/BN$102</f>
        <v>-198.375</v>
      </c>
      <c r="BO95" s="38">
        <f>BO29/BO$102</f>
        <v>-198.375</v>
      </c>
      <c r="BP95" s="36">
        <f t="shared" ref="BP95" si="202">SUM(BL95:BO95)</f>
        <v>-793.5</v>
      </c>
      <c r="BQ95" s="38">
        <f>BQ29/BQ$102</f>
        <v>-198.375</v>
      </c>
      <c r="BR95" s="38">
        <f>BR29/BR$102</f>
        <v>-198.375</v>
      </c>
      <c r="BS95" s="38">
        <f>BS29/BS$102</f>
        <v>-198.375</v>
      </c>
      <c r="BT95" s="38">
        <f>BT29/BT$102</f>
        <v>-198.375</v>
      </c>
      <c r="BU95" s="36">
        <f t="shared" ref="BU95" si="203">SUM(BQ95:BT95)</f>
        <v>-793.5</v>
      </c>
      <c r="BV95" s="38">
        <f>BV29/BV$102</f>
        <v>-198.375</v>
      </c>
      <c r="BW95" s="38">
        <f>BW29/BW$102</f>
        <v>-198.375</v>
      </c>
      <c r="BX95" s="38">
        <f>BX29/BX$102</f>
        <v>-198.375</v>
      </c>
      <c r="BY95" s="38">
        <f>BY29/BY$102</f>
        <v>-198.375</v>
      </c>
      <c r="BZ95" s="36">
        <f t="shared" ref="BZ95" si="204">SUM(BV95:BY95)</f>
        <v>-793.5</v>
      </c>
    </row>
    <row r="96" spans="1:78">
      <c r="A96" s="1" t="s">
        <v>382</v>
      </c>
      <c r="M96" s="38">
        <f t="shared" si="193"/>
        <v>-0.29690944262000085</v>
      </c>
      <c r="N96" s="38">
        <f t="shared" si="193"/>
        <v>-0.36795143041118572</v>
      </c>
      <c r="O96" s="38">
        <f t="shared" si="193"/>
        <v>0.16136261766024204</v>
      </c>
      <c r="P96" s="38">
        <f t="shared" si="193"/>
        <v>0.77993441460604451</v>
      </c>
      <c r="Q96" s="38">
        <f t="shared" si="193"/>
        <v>1.8106101756291872E-2</v>
      </c>
      <c r="R96" s="38">
        <f>SUM(N96:Q96)</f>
        <v>0.59145170361139277</v>
      </c>
      <c r="S96" s="38">
        <f t="shared" si="194"/>
        <v>2.1090909090909089</v>
      </c>
      <c r="T96" s="38">
        <f t="shared" si="194"/>
        <v>-1.8105849582172702</v>
      </c>
      <c r="U96" s="38">
        <f t="shared" si="194"/>
        <v>4.6797577537162782</v>
      </c>
      <c r="V96" s="38">
        <f t="shared" si="194"/>
        <v>-2.0692180919245557</v>
      </c>
      <c r="W96" s="38">
        <f>SUM(S96:V96)</f>
        <v>2.9090456126653614</v>
      </c>
      <c r="X96" s="38">
        <f t="shared" si="195"/>
        <v>0</v>
      </c>
      <c r="Y96" s="38">
        <f t="shared" si="195"/>
        <v>0</v>
      </c>
      <c r="Z96" s="38">
        <f t="shared" si="195"/>
        <v>0</v>
      </c>
      <c r="AA96" s="38">
        <f t="shared" si="195"/>
        <v>0</v>
      </c>
      <c r="AB96" s="38">
        <f>SUM(X96:AA96)</f>
        <v>0</v>
      </c>
      <c r="AC96" s="38">
        <f t="shared" si="196"/>
        <v>0</v>
      </c>
      <c r="AD96" s="38">
        <f t="shared" si="196"/>
        <v>0</v>
      </c>
      <c r="AE96" s="38">
        <f t="shared" si="196"/>
        <v>0</v>
      </c>
      <c r="AF96" s="38">
        <f t="shared" si="196"/>
        <v>0</v>
      </c>
      <c r="AG96" s="38">
        <f>SUM(AC96:AF96)</f>
        <v>0</v>
      </c>
      <c r="AH96" s="38"/>
      <c r="AI96" s="38"/>
      <c r="AJ96" s="38"/>
      <c r="AK96" s="38"/>
      <c r="AL96" s="36"/>
      <c r="AM96" s="38"/>
      <c r="AN96" s="38"/>
      <c r="AO96" s="38"/>
      <c r="AP96" s="38"/>
      <c r="AQ96" s="36"/>
      <c r="AR96" s="38"/>
      <c r="AS96" s="38"/>
      <c r="AT96" s="38"/>
      <c r="AU96" s="38"/>
      <c r="AV96" s="36"/>
      <c r="AW96" s="38"/>
      <c r="AX96" s="38"/>
      <c r="AY96" s="38"/>
      <c r="BA96" s="36"/>
      <c r="BF96" s="36"/>
      <c r="BK96" s="36"/>
      <c r="BP96" s="36"/>
      <c r="BU96" s="36"/>
      <c r="BZ96" s="36"/>
    </row>
    <row r="97" spans="1:78">
      <c r="A97" s="1" t="s">
        <v>107</v>
      </c>
      <c r="M97" s="38">
        <f t="shared" si="193"/>
        <v>-80.093571460704482</v>
      </c>
      <c r="N97" s="38">
        <f t="shared" si="193"/>
        <v>11.010946555054733</v>
      </c>
      <c r="O97" s="38">
        <f t="shared" si="193"/>
        <v>-736.44105782160466</v>
      </c>
      <c r="P97" s="38">
        <f t="shared" si="193"/>
        <v>2928.228308074094</v>
      </c>
      <c r="Q97" s="38">
        <f t="shared" si="193"/>
        <v>-652.41716458446501</v>
      </c>
      <c r="R97" s="38">
        <f>SUM(N97:Q97)</f>
        <v>1550.3810322230793</v>
      </c>
      <c r="S97" s="38">
        <f t="shared" si="194"/>
        <v>0</v>
      </c>
      <c r="T97" s="38">
        <f t="shared" si="194"/>
        <v>0</v>
      </c>
      <c r="U97" s="38">
        <f t="shared" si="194"/>
        <v>0</v>
      </c>
      <c r="V97" s="38">
        <f t="shared" si="194"/>
        <v>0</v>
      </c>
      <c r="W97" s="38">
        <f>SUM(S97:V97)</f>
        <v>0</v>
      </c>
      <c r="X97" s="38">
        <f t="shared" si="195"/>
        <v>0</v>
      </c>
      <c r="Y97" s="38">
        <f t="shared" si="195"/>
        <v>0</v>
      </c>
      <c r="Z97" s="38">
        <f t="shared" si="195"/>
        <v>0</v>
      </c>
      <c r="AA97" s="38">
        <f t="shared" si="195"/>
        <v>0</v>
      </c>
      <c r="AB97" s="38">
        <f>SUM(X97:AA97)</f>
        <v>0</v>
      </c>
      <c r="AC97" s="38">
        <f t="shared" si="196"/>
        <v>0</v>
      </c>
      <c r="AD97" s="38">
        <f t="shared" si="196"/>
        <v>12.89037747804834</v>
      </c>
      <c r="AE97" s="38">
        <f t="shared" si="196"/>
        <v>-3.6179577464788735</v>
      </c>
      <c r="AF97" s="38">
        <f t="shared" si="196"/>
        <v>8.9069171648163969</v>
      </c>
      <c r="AG97" s="38">
        <f>SUM(AC97:AF97)</f>
        <v>18.179336896385863</v>
      </c>
      <c r="AH97" s="38">
        <f t="shared" ref="AH97:AK100" si="205">AH31/AH$102</f>
        <v>3.8670179789212651</v>
      </c>
      <c r="AI97" s="38">
        <f t="shared" si="205"/>
        <v>0.87251225843668878</v>
      </c>
      <c r="AJ97" s="38">
        <f t="shared" si="205"/>
        <v>1.7356191555681497</v>
      </c>
      <c r="AK97" s="38">
        <f t="shared" si="205"/>
        <v>0.31517334533993696</v>
      </c>
      <c r="AL97" s="36">
        <f t="shared" si="157"/>
        <v>6.7903227382660409</v>
      </c>
      <c r="AM97" s="38">
        <f t="shared" ref="AM97:AP100" si="206">AM31/AM$102</f>
        <v>0</v>
      </c>
      <c r="AN97" s="38">
        <f t="shared" si="206"/>
        <v>0</v>
      </c>
      <c r="AO97" s="38">
        <f t="shared" si="206"/>
        <v>0</v>
      </c>
      <c r="AP97" s="38">
        <f t="shared" si="206"/>
        <v>0</v>
      </c>
      <c r="AQ97" s="36">
        <f t="shared" ref="AQ97:AQ100" si="207">SUM(AM97:AP97)</f>
        <v>0</v>
      </c>
      <c r="AR97" s="38">
        <f t="shared" ref="AR97:AU97" si="208">AR31/AR$102</f>
        <v>0</v>
      </c>
      <c r="AS97" s="38">
        <f t="shared" si="208"/>
        <v>0</v>
      </c>
      <c r="AT97" s="38">
        <f t="shared" si="208"/>
        <v>0</v>
      </c>
      <c r="AU97" s="38">
        <f t="shared" si="208"/>
        <v>0</v>
      </c>
      <c r="AV97" s="36">
        <f t="shared" ref="AV97:AV100" si="209">SUM(AR97:AU97)</f>
        <v>0</v>
      </c>
      <c r="AW97" s="38">
        <f t="shared" ref="AW97:AY97" si="210">AW31/AW$102</f>
        <v>0</v>
      </c>
      <c r="AX97" s="38">
        <f t="shared" si="210"/>
        <v>0</v>
      </c>
      <c r="AY97" s="38">
        <f t="shared" si="210"/>
        <v>0</v>
      </c>
      <c r="BA97" s="36">
        <f t="shared" ref="BA97:BA100" si="211">SUM(AW97:AZ97)</f>
        <v>0</v>
      </c>
      <c r="BF97" s="36">
        <f t="shared" ref="BF97:BF100" si="212">SUM(BB97:BE97)</f>
        <v>0</v>
      </c>
      <c r="BK97" s="36">
        <f t="shared" ref="BK97:BK100" si="213">SUM(BG97:BJ97)</f>
        <v>0</v>
      </c>
      <c r="BP97" s="36">
        <f t="shared" ref="BP97:BP100" si="214">SUM(BL97:BO97)</f>
        <v>0</v>
      </c>
      <c r="BU97" s="36">
        <f t="shared" ref="BU97:BU100" si="215">SUM(BQ97:BT97)</f>
        <v>0</v>
      </c>
      <c r="BZ97" s="36">
        <f t="shared" ref="BZ97:BZ100" si="216">SUM(BV97:BY97)</f>
        <v>0</v>
      </c>
    </row>
    <row r="98" spans="1:78">
      <c r="A98" s="1" t="s">
        <v>109</v>
      </c>
      <c r="I98" s="38">
        <f>I32/I$102</f>
        <v>-390.54744198548519</v>
      </c>
      <c r="J98" s="38">
        <f>J32/J$102</f>
        <v>-301.38265397737479</v>
      </c>
      <c r="K98" s="38">
        <f>K32/K$102</f>
        <v>-275.02217491573532</v>
      </c>
      <c r="L98" s="38">
        <f>L32/L$102</f>
        <v>-479.73357831878735</v>
      </c>
      <c r="M98" s="38">
        <f>SUM(I98:L98)</f>
        <v>-1446.6858491973826</v>
      </c>
      <c r="N98" s="38">
        <f t="shared" ref="N98:Q99" si="217">N32/N$102</f>
        <v>-670.4902952810229</v>
      </c>
      <c r="O98" s="38">
        <f t="shared" si="217"/>
        <v>-1137.319587628866</v>
      </c>
      <c r="P98" s="38">
        <f t="shared" si="217"/>
        <v>-2249.1535939023311</v>
      </c>
      <c r="Q98" s="38">
        <f t="shared" si="217"/>
        <v>-1200.6427666123484</v>
      </c>
      <c r="R98" s="38">
        <f>SUM(N98:Q98)</f>
        <v>-5257.6062434245687</v>
      </c>
      <c r="S98" s="38">
        <f t="shared" si="194"/>
        <v>-1677.1636363636364</v>
      </c>
      <c r="T98" s="38">
        <f t="shared" si="194"/>
        <v>3391.4856081708449</v>
      </c>
      <c r="U98" s="38">
        <f t="shared" si="194"/>
        <v>84.694439346669114</v>
      </c>
      <c r="V98" s="38">
        <f t="shared" si="194"/>
        <v>3213.0104376487825</v>
      </c>
      <c r="W98" s="38">
        <f>SUM(S98:V98)</f>
        <v>5012.0268488026595</v>
      </c>
      <c r="X98" s="38">
        <f t="shared" si="195"/>
        <v>-1370.3638388713571</v>
      </c>
      <c r="Y98" s="38">
        <f t="shared" si="195"/>
        <v>-2926.8417075935022</v>
      </c>
      <c r="Z98" s="38">
        <f t="shared" si="195"/>
        <v>-4779.3106749640974</v>
      </c>
      <c r="AA98" s="38">
        <f t="shared" si="195"/>
        <v>-12139.316641566265</v>
      </c>
      <c r="AB98" s="38">
        <f>SUM(X98:AA98)</f>
        <v>-21215.832862995223</v>
      </c>
      <c r="AC98" s="38">
        <f t="shared" si="196"/>
        <v>-1219.0272727272727</v>
      </c>
      <c r="AD98" s="38">
        <f t="shared" si="196"/>
        <v>2980.6463293201773</v>
      </c>
      <c r="AE98" s="38">
        <f t="shared" si="196"/>
        <v>-200.07042253521126</v>
      </c>
      <c r="AF98" s="38">
        <f t="shared" si="196"/>
        <v>6833.6720751494449</v>
      </c>
      <c r="AG98" s="38">
        <f>SUM(AC98:AF98)</f>
        <v>8395.2207092071385</v>
      </c>
      <c r="AH98" s="38">
        <f t="shared" si="205"/>
        <v>4892.8006819590828</v>
      </c>
      <c r="AI98" s="38">
        <f t="shared" si="205"/>
        <v>2793.2939140467261</v>
      </c>
      <c r="AJ98" s="38">
        <f t="shared" si="205"/>
        <v>899.95749504108812</v>
      </c>
      <c r="AK98" s="38">
        <f t="shared" si="205"/>
        <v>-133.79858922407325</v>
      </c>
      <c r="AL98" s="36">
        <f t="shared" si="157"/>
        <v>8452.2535018228227</v>
      </c>
      <c r="AM98" s="38">
        <f t="shared" si="206"/>
        <v>-420.54159727753233</v>
      </c>
      <c r="AN98" s="38">
        <f t="shared" si="206"/>
        <v>-1156.3806380638064</v>
      </c>
      <c r="AO98" s="38">
        <f t="shared" si="206"/>
        <v>-1034.9115646258504</v>
      </c>
      <c r="AP98" s="38">
        <f t="shared" si="206"/>
        <v>-79.394062352066001</v>
      </c>
      <c r="AQ98" s="36">
        <f t="shared" si="207"/>
        <v>-2691.2278623192556</v>
      </c>
      <c r="AR98" s="38">
        <f t="shared" ref="AR98:AU98" si="218">AR32/AR$102</f>
        <v>-1311.2757937775507</v>
      </c>
      <c r="AS98" s="38">
        <f t="shared" si="218"/>
        <v>-1437.2620790629576</v>
      </c>
      <c r="AT98" s="38">
        <f t="shared" si="218"/>
        <v>405.14803066349458</v>
      </c>
      <c r="AU98" s="38">
        <f t="shared" si="218"/>
        <v>-862.9486760379209</v>
      </c>
      <c r="AV98" s="36">
        <f t="shared" si="209"/>
        <v>-3206.338518214935</v>
      </c>
      <c r="AW98" s="38">
        <f t="shared" ref="AW98:AY98" si="219">AW32/AW$102</f>
        <v>-1612.2253598732696</v>
      </c>
      <c r="AX98" s="38">
        <f t="shared" si="219"/>
        <v>-2607.5525423728814</v>
      </c>
      <c r="AY98" s="38">
        <f t="shared" si="219"/>
        <v>1736.2178654894833</v>
      </c>
      <c r="AZ98" s="38">
        <f t="shared" ref="AZ98" si="220">AZ32/AZ$102</f>
        <v>860.93854113438931</v>
      </c>
      <c r="BA98" s="36">
        <f t="shared" si="211"/>
        <v>-1622.6214956222784</v>
      </c>
      <c r="BB98" s="38" t="e">
        <f t="shared" ref="BB98:BE98" si="221">BB32/BB$102</f>
        <v>#VALUE!</v>
      </c>
      <c r="BC98" s="38" t="e">
        <f t="shared" si="221"/>
        <v>#VALUE!</v>
      </c>
      <c r="BD98" s="38" t="e">
        <f t="shared" si="221"/>
        <v>#VALUE!</v>
      </c>
      <c r="BE98" s="38" t="e">
        <f t="shared" si="221"/>
        <v>#VALUE!</v>
      </c>
      <c r="BF98" s="36" t="e">
        <f t="shared" si="212"/>
        <v>#VALUE!</v>
      </c>
      <c r="BG98" s="38" t="e">
        <f t="shared" ref="BG98:BJ98" si="222">BG32/BG$102</f>
        <v>#VALUE!</v>
      </c>
      <c r="BH98" s="38" t="e">
        <f t="shared" si="222"/>
        <v>#VALUE!</v>
      </c>
      <c r="BI98" s="38" t="e">
        <f t="shared" si="222"/>
        <v>#VALUE!</v>
      </c>
      <c r="BJ98" s="38" t="e">
        <f t="shared" si="222"/>
        <v>#VALUE!</v>
      </c>
      <c r="BK98" s="36" t="e">
        <f t="shared" si="213"/>
        <v>#VALUE!</v>
      </c>
      <c r="BL98" s="38" t="e">
        <f t="shared" ref="BL98:BO98" si="223">BL32/BL$102</f>
        <v>#VALUE!</v>
      </c>
      <c r="BM98" s="38" t="e">
        <f t="shared" si="223"/>
        <v>#VALUE!</v>
      </c>
      <c r="BN98" s="38" t="e">
        <f t="shared" si="223"/>
        <v>#VALUE!</v>
      </c>
      <c r="BO98" s="38" t="e">
        <f t="shared" si="223"/>
        <v>#VALUE!</v>
      </c>
      <c r="BP98" s="36" t="e">
        <f t="shared" si="214"/>
        <v>#VALUE!</v>
      </c>
      <c r="BQ98" s="38" t="e">
        <f t="shared" ref="BQ98:BT98" si="224">BQ32/BQ$102</f>
        <v>#VALUE!</v>
      </c>
      <c r="BR98" s="38" t="e">
        <f t="shared" si="224"/>
        <v>#VALUE!</v>
      </c>
      <c r="BS98" s="38" t="e">
        <f t="shared" si="224"/>
        <v>#VALUE!</v>
      </c>
      <c r="BT98" s="38" t="e">
        <f t="shared" si="224"/>
        <v>#VALUE!</v>
      </c>
      <c r="BU98" s="36" t="e">
        <f t="shared" si="215"/>
        <v>#VALUE!</v>
      </c>
      <c r="BV98" s="38" t="e">
        <f t="shared" ref="BV98:BY98" si="225">BV32/BV$102</f>
        <v>#VALUE!</v>
      </c>
      <c r="BW98" s="38" t="e">
        <f t="shared" si="225"/>
        <v>#VALUE!</v>
      </c>
      <c r="BX98" s="38" t="e">
        <f t="shared" si="225"/>
        <v>#VALUE!</v>
      </c>
      <c r="BY98" s="38" t="e">
        <f t="shared" si="225"/>
        <v>#VALUE!</v>
      </c>
      <c r="BZ98" s="36" t="e">
        <f t="shared" si="216"/>
        <v>#VALUE!</v>
      </c>
    </row>
    <row r="99" spans="1:78">
      <c r="A99" s="1" t="s">
        <v>108</v>
      </c>
      <c r="M99" s="38">
        <f>M33/M$102</f>
        <v>-2.2313194475684912</v>
      </c>
      <c r="N99" s="38">
        <f t="shared" si="217"/>
        <v>-2.5388648698371816</v>
      </c>
      <c r="O99" s="38">
        <f t="shared" si="217"/>
        <v>-2.3218287763334828</v>
      </c>
      <c r="P99" s="38">
        <f t="shared" si="217"/>
        <v>-3.3235841531507577</v>
      </c>
      <c r="Q99" s="38">
        <f t="shared" si="217"/>
        <v>6.1379684953829443</v>
      </c>
      <c r="R99" s="38">
        <f>SUM(N99:Q99)</f>
        <v>-2.0463093039384788</v>
      </c>
      <c r="S99" s="38">
        <f t="shared" si="194"/>
        <v>5.372727272727273</v>
      </c>
      <c r="T99" s="38">
        <f t="shared" si="194"/>
        <v>3.9461467038068707</v>
      </c>
      <c r="U99" s="38">
        <f t="shared" si="194"/>
        <v>-6.2029730225729489</v>
      </c>
      <c r="V99" s="38">
        <f t="shared" si="194"/>
        <v>6.65629005676616</v>
      </c>
      <c r="W99" s="38">
        <f>SUM(S99:V99)</f>
        <v>9.7721910107273544</v>
      </c>
      <c r="X99" s="38">
        <f t="shared" si="195"/>
        <v>-3.3599405977352887</v>
      </c>
      <c r="Y99" s="38">
        <f t="shared" si="195"/>
        <v>9.2463165848129965</v>
      </c>
      <c r="Z99" s="38">
        <f t="shared" si="195"/>
        <v>-1.7999042604116802</v>
      </c>
      <c r="AA99" s="38">
        <f t="shared" si="195"/>
        <v>-0.35768072289156627</v>
      </c>
      <c r="AB99" s="38">
        <f>SUM(X99:AA99)</f>
        <v>3.7287910037744609</v>
      </c>
      <c r="AC99" s="38">
        <f t="shared" si="196"/>
        <v>-12.445454545454545</v>
      </c>
      <c r="AD99" s="38">
        <f t="shared" si="196"/>
        <v>-16.981986059563681</v>
      </c>
      <c r="AE99" s="38">
        <f t="shared" si="196"/>
        <v>13.371478873239438</v>
      </c>
      <c r="AF99" s="38">
        <f t="shared" si="196"/>
        <v>310.13663535439798</v>
      </c>
      <c r="AG99" s="38">
        <f>SUM(AC99:AF99)</f>
        <v>294.0806736226192</v>
      </c>
      <c r="AH99" s="38">
        <f t="shared" si="205"/>
        <v>42.885926844389338</v>
      </c>
      <c r="AI99" s="38">
        <f t="shared" si="205"/>
        <v>25.749927891548889</v>
      </c>
      <c r="AJ99" s="38">
        <f t="shared" si="205"/>
        <v>-81.765372626806467</v>
      </c>
      <c r="AK99" s="38">
        <f t="shared" si="205"/>
        <v>-60.30316674170794</v>
      </c>
      <c r="AL99" s="36">
        <f t="shared" si="157"/>
        <v>-73.432684632576184</v>
      </c>
      <c r="AM99" s="38">
        <f t="shared" si="206"/>
        <v>9.2390123814350869</v>
      </c>
      <c r="AN99" s="38">
        <f t="shared" si="206"/>
        <v>-390.1952695269527</v>
      </c>
      <c r="AO99" s="38">
        <f t="shared" si="206"/>
        <v>37.326530612244895</v>
      </c>
      <c r="AP99" s="38">
        <f t="shared" si="206"/>
        <v>22.114019070805437</v>
      </c>
      <c r="AQ99" s="36">
        <f t="shared" si="207"/>
        <v>-321.51570746246728</v>
      </c>
      <c r="AR99" s="38">
        <f t="shared" ref="AR99:AU99" si="226">AR33/AR$102</f>
        <v>183.70919312591835</v>
      </c>
      <c r="AS99" s="38">
        <f t="shared" si="226"/>
        <v>50.911752961533345</v>
      </c>
      <c r="AT99" s="38">
        <f t="shared" si="226"/>
        <v>43.992862807295801</v>
      </c>
      <c r="AU99" s="38">
        <f t="shared" si="226"/>
        <v>8.6760379208891809</v>
      </c>
      <c r="AV99" s="36">
        <f t="shared" si="209"/>
        <v>287.28984681563668</v>
      </c>
      <c r="AW99" s="38">
        <f t="shared" ref="AW99:AY99" si="227">AW33/AW$102</f>
        <v>84.992079344307456</v>
      </c>
      <c r="AX99" s="38">
        <f t="shared" si="227"/>
        <v>87.138983050847457</v>
      </c>
      <c r="AY99" s="38">
        <f t="shared" si="227"/>
        <v>1075.9542975850429</v>
      </c>
      <c r="BA99" s="36">
        <f t="shared" si="211"/>
        <v>1248.0853599801978</v>
      </c>
      <c r="BF99" s="36">
        <f t="shared" si="212"/>
        <v>0</v>
      </c>
      <c r="BK99" s="36">
        <f t="shared" si="213"/>
        <v>0</v>
      </c>
      <c r="BP99" s="36">
        <f t="shared" si="214"/>
        <v>0</v>
      </c>
      <c r="BU99" s="36">
        <f t="shared" si="215"/>
        <v>0</v>
      </c>
      <c r="BZ99" s="36">
        <f t="shared" si="216"/>
        <v>0</v>
      </c>
    </row>
    <row r="100" spans="1:78">
      <c r="A100" s="9" t="s">
        <v>110</v>
      </c>
      <c r="B100" s="9"/>
      <c r="C100" s="9"/>
      <c r="D100" s="9"/>
      <c r="E100" s="9"/>
      <c r="F100" s="9"/>
      <c r="G100" s="9"/>
      <c r="H100" s="9"/>
      <c r="I100" s="39">
        <f>I93+SUM(I95:I99)</f>
        <v>552.28026162530239</v>
      </c>
      <c r="J100" s="39">
        <f t="shared" ref="J100:M100" si="228">J93+SUM(J95:J99)</f>
        <v>425.93822948464714</v>
      </c>
      <c r="K100" s="39">
        <f t="shared" si="228"/>
        <v>170.15256342025901</v>
      </c>
      <c r="L100" s="39">
        <f t="shared" si="228"/>
        <v>131.69499310978409</v>
      </c>
      <c r="M100" s="39">
        <f t="shared" si="228"/>
        <v>1127.2566545048987</v>
      </c>
      <c r="N100" s="39">
        <f t="shared" ref="N100:O100" si="229">N93+SUM(N95:N99)</f>
        <v>1498.5281942783558</v>
      </c>
      <c r="O100" s="39">
        <f t="shared" si="229"/>
        <v>1582.7073061407445</v>
      </c>
      <c r="P100" s="39">
        <f t="shared" ref="P100:Q100" si="230">P93+SUM(P95:P99)</f>
        <v>2175.6890897810872</v>
      </c>
      <c r="Q100" s="39">
        <f t="shared" si="230"/>
        <v>2078.7434365381132</v>
      </c>
      <c r="R100" s="39">
        <f t="shared" ref="R100:T100" si="231">R93+SUM(R95:R99)</f>
        <v>7335.6680267382999</v>
      </c>
      <c r="S100" s="39">
        <f t="shared" si="231"/>
        <v>1929.9727272727273</v>
      </c>
      <c r="T100" s="39">
        <f t="shared" si="231"/>
        <v>-5680.5571030640676</v>
      </c>
      <c r="U100" s="39">
        <f t="shared" ref="U100:W100" si="232">U93+SUM(U95:U99)</f>
        <v>-2051.6883831895761</v>
      </c>
      <c r="V100" s="39">
        <f t="shared" si="232"/>
        <v>-7218.4032228529577</v>
      </c>
      <c r="W100" s="39">
        <f t="shared" si="232"/>
        <v>-13020.675981833876</v>
      </c>
      <c r="X100" s="39">
        <f t="shared" ref="X100:Y100" si="233">X93+SUM(X95:X99)</f>
        <v>1203.1743085205126</v>
      </c>
      <c r="Y100" s="39">
        <f t="shared" si="233"/>
        <v>7407.999622213827</v>
      </c>
      <c r="Z100" s="39">
        <f t="shared" ref="Z100:AC100" si="234">Z93+SUM(Z95:Z99)</f>
        <v>8081.6467209191014</v>
      </c>
      <c r="AA100" s="39">
        <f t="shared" si="234"/>
        <v>21354.536897590369</v>
      </c>
      <c r="AB100" s="39">
        <f t="shared" si="234"/>
        <v>38047.357549243796</v>
      </c>
      <c r="AC100" s="39">
        <f t="shared" si="234"/>
        <v>2141.363636363636</v>
      </c>
      <c r="AD100" s="39">
        <f t="shared" ref="AD100:AE100" si="235">AD93+SUM(AD95:AD99)</f>
        <v>-7468.8693763012579</v>
      </c>
      <c r="AE100" s="39">
        <f t="shared" si="235"/>
        <v>959.12852112676046</v>
      </c>
      <c r="AF100" s="39">
        <f t="shared" ref="AF100:AG100" si="236">AF93+SUM(AF95:AF99)</f>
        <v>-18435.730145175065</v>
      </c>
      <c r="AG100" s="39">
        <f t="shared" si="236"/>
        <v>-22804.107363985924</v>
      </c>
      <c r="AH100" s="39">
        <f t="shared" si="205"/>
        <v>-18062.228766274024</v>
      </c>
      <c r="AI100" s="39">
        <f t="shared" si="205"/>
        <v>-7354.3697721372937</v>
      </c>
      <c r="AJ100" s="39">
        <f t="shared" si="205"/>
        <v>-4676.2255596486257</v>
      </c>
      <c r="AK100" s="39">
        <f t="shared" si="205"/>
        <v>-2232.7855320426238</v>
      </c>
      <c r="AL100" s="39">
        <f t="shared" si="157"/>
        <v>-32325.609630102565</v>
      </c>
      <c r="AM100" s="39">
        <f t="shared" si="206"/>
        <v>441.97378900876112</v>
      </c>
      <c r="AN100" s="39">
        <f t="shared" si="206"/>
        <v>-1779.8679867986798</v>
      </c>
      <c r="AO100" s="39">
        <f t="shared" si="206"/>
        <v>2875.8027210884352</v>
      </c>
      <c r="AP100" s="39">
        <f t="shared" si="206"/>
        <v>-654.23006695069989</v>
      </c>
      <c r="AQ100" s="39">
        <f t="shared" si="207"/>
        <v>883.67845634781656</v>
      </c>
      <c r="AR100" s="39">
        <f t="shared" ref="AR100:AU100" si="237">AR34/AR$102</f>
        <v>-1305.1875039928448</v>
      </c>
      <c r="AS100" s="39">
        <f t="shared" si="237"/>
        <v>2483.3089311859444</v>
      </c>
      <c r="AT100" s="39">
        <f t="shared" si="237"/>
        <v>-2048.1892677768969</v>
      </c>
      <c r="AU100" s="39">
        <f t="shared" si="237"/>
        <v>170.46747303040212</v>
      </c>
      <c r="AV100" s="39">
        <f t="shared" si="209"/>
        <v>-699.60036755339524</v>
      </c>
      <c r="AW100" s="39">
        <f t="shared" ref="AW100:AY100" si="238">AW34/AW$102</f>
        <v>3108.9882223293616</v>
      </c>
      <c r="AX100" s="39">
        <f t="shared" si="238"/>
        <v>16114.583050847457</v>
      </c>
      <c r="AY100" s="39">
        <f t="shared" si="238"/>
        <v>4774.6948844455992</v>
      </c>
      <c r="AZ100" s="39">
        <f t="shared" ref="AZ100" si="239">AZ34/AZ$102</f>
        <v>-934.23146614430027</v>
      </c>
      <c r="BA100" s="39">
        <f t="shared" si="211"/>
        <v>23064.034691478115</v>
      </c>
      <c r="BB100" s="39" t="e">
        <f t="shared" ref="BB100:BE100" si="240">BB34/BB$102</f>
        <v>#VALUE!</v>
      </c>
      <c r="BC100" s="39" t="e">
        <f t="shared" si="240"/>
        <v>#VALUE!</v>
      </c>
      <c r="BD100" s="39" t="e">
        <f t="shared" si="240"/>
        <v>#VALUE!</v>
      </c>
      <c r="BE100" s="39" t="e">
        <f t="shared" si="240"/>
        <v>#VALUE!</v>
      </c>
      <c r="BF100" s="39" t="e">
        <f t="shared" si="212"/>
        <v>#VALUE!</v>
      </c>
      <c r="BG100" s="39" t="e">
        <f t="shared" ref="BG100:BJ100" si="241">BG34/BG$102</f>
        <v>#VALUE!</v>
      </c>
      <c r="BH100" s="39" t="e">
        <f t="shared" si="241"/>
        <v>#VALUE!</v>
      </c>
      <c r="BI100" s="39" t="e">
        <f t="shared" si="241"/>
        <v>#VALUE!</v>
      </c>
      <c r="BJ100" s="39" t="e">
        <f t="shared" si="241"/>
        <v>#VALUE!</v>
      </c>
      <c r="BK100" s="39" t="e">
        <f t="shared" si="213"/>
        <v>#VALUE!</v>
      </c>
      <c r="BL100" s="39" t="e">
        <f t="shared" ref="BL100:BO100" si="242">BL34/BL$102</f>
        <v>#VALUE!</v>
      </c>
      <c r="BM100" s="39" t="e">
        <f t="shared" si="242"/>
        <v>#VALUE!</v>
      </c>
      <c r="BN100" s="39" t="e">
        <f t="shared" si="242"/>
        <v>#VALUE!</v>
      </c>
      <c r="BO100" s="39" t="e">
        <f t="shared" si="242"/>
        <v>#VALUE!</v>
      </c>
      <c r="BP100" s="39" t="e">
        <f t="shared" si="214"/>
        <v>#VALUE!</v>
      </c>
      <c r="BQ100" s="39" t="e">
        <f t="shared" ref="BQ100:BT100" si="243">BQ34/BQ$102</f>
        <v>#VALUE!</v>
      </c>
      <c r="BR100" s="39" t="e">
        <f t="shared" si="243"/>
        <v>#VALUE!</v>
      </c>
      <c r="BS100" s="39" t="e">
        <f t="shared" si="243"/>
        <v>#VALUE!</v>
      </c>
      <c r="BT100" s="39" t="e">
        <f t="shared" si="243"/>
        <v>#VALUE!</v>
      </c>
      <c r="BU100" s="39" t="e">
        <f t="shared" si="215"/>
        <v>#VALUE!</v>
      </c>
      <c r="BV100" s="39" t="e">
        <f t="shared" ref="BV100:BY100" si="244">BV34/BV$102</f>
        <v>#VALUE!</v>
      </c>
      <c r="BW100" s="39" t="e">
        <f t="shared" si="244"/>
        <v>#VALUE!</v>
      </c>
      <c r="BX100" s="39" t="e">
        <f t="shared" si="244"/>
        <v>#VALUE!</v>
      </c>
      <c r="BY100" s="39" t="e">
        <f t="shared" si="244"/>
        <v>#VALUE!</v>
      </c>
      <c r="BZ100" s="39" t="e">
        <f t="shared" si="216"/>
        <v>#VALUE!</v>
      </c>
    </row>
    <row r="102" spans="1:78">
      <c r="A102" s="1" t="s">
        <v>114</v>
      </c>
      <c r="I102" s="45">
        <f>FX!I5</f>
        <v>111.61</v>
      </c>
      <c r="J102" s="45">
        <f>FX!J5</f>
        <v>111.38</v>
      </c>
      <c r="K102" s="45">
        <f>FX!K5</f>
        <v>112.74</v>
      </c>
      <c r="L102" s="45">
        <f>FX!L5</f>
        <v>108.85</v>
      </c>
      <c r="M102" s="719">
        <f>AVERAGE(I102:L102)</f>
        <v>111.14500000000001</v>
      </c>
      <c r="N102" s="45">
        <f>FX!N5</f>
        <v>108.71</v>
      </c>
      <c r="O102" s="45">
        <f>FX!O5</f>
        <v>111.55</v>
      </c>
      <c r="P102" s="45">
        <f>FX!P5</f>
        <v>112.83</v>
      </c>
      <c r="Q102" s="45">
        <f>FX!Q5</f>
        <v>110.46</v>
      </c>
      <c r="R102" s="719">
        <f>AVERAGE(N102:Q102)</f>
        <v>110.88749999999999</v>
      </c>
      <c r="S102" s="45">
        <f>FX!S5</f>
        <v>110</v>
      </c>
      <c r="T102" s="45">
        <f>FX!T5</f>
        <v>107.7</v>
      </c>
      <c r="U102" s="45">
        <f>FX!U5</f>
        <v>108.98</v>
      </c>
      <c r="V102" s="45">
        <f>FX!V5</f>
        <v>109.22</v>
      </c>
      <c r="W102" s="719">
        <f>AVERAGE(S102:V102)</f>
        <v>108.97499999999999</v>
      </c>
      <c r="X102" s="45">
        <f>FX!X5</f>
        <v>107.74</v>
      </c>
      <c r="Y102" s="45">
        <f>FX!Y5</f>
        <v>105.88</v>
      </c>
      <c r="Z102" s="45">
        <f>FX!Z5</f>
        <v>104.45</v>
      </c>
      <c r="AA102" s="45">
        <f>FX!AA5</f>
        <v>106.24</v>
      </c>
      <c r="AB102" s="719">
        <f>AVERAGE(X102:AA102)</f>
        <v>106.0775</v>
      </c>
      <c r="AC102" s="45">
        <f>FX!AC5</f>
        <v>110</v>
      </c>
      <c r="AD102" s="45">
        <f>FX!AD5</f>
        <v>110.47</v>
      </c>
      <c r="AE102" s="45">
        <f>FX!AE5</f>
        <v>113.6</v>
      </c>
      <c r="AF102" s="45">
        <f>FX!AF5</f>
        <v>117.1</v>
      </c>
      <c r="AG102" s="719">
        <f>AVERAGE(AC102:AF102)</f>
        <v>112.79249999999999</v>
      </c>
      <c r="AH102" s="45">
        <f>FX!AH5</f>
        <v>129.04</v>
      </c>
      <c r="AI102" s="45">
        <f>FX!AI5</f>
        <v>138.68</v>
      </c>
      <c r="AJ102" s="45">
        <f>FX!AJ5</f>
        <v>141.16</v>
      </c>
      <c r="AK102" s="45">
        <f>FX!AK5</f>
        <v>133.26</v>
      </c>
      <c r="AL102" s="719">
        <f>AVERAGE(AH102:AK102)</f>
        <v>135.535</v>
      </c>
      <c r="AM102" s="45">
        <f>FX!AM5</f>
        <v>138.11000000000001</v>
      </c>
      <c r="AN102" s="45">
        <f>FX!AN5</f>
        <v>145.44</v>
      </c>
      <c r="AO102" s="45">
        <f>FX!AO5</f>
        <v>147</v>
      </c>
      <c r="AP102" s="45">
        <f>FX!AP5</f>
        <v>147.87</v>
      </c>
      <c r="AQ102" s="719">
        <f>AVERAGE(AM102:AP102)</f>
        <v>144.60500000000002</v>
      </c>
      <c r="AR102" s="45">
        <f>FX!AR5</f>
        <v>156.53</v>
      </c>
      <c r="AS102" s="45">
        <f>FX!AS5</f>
        <v>150.26</v>
      </c>
      <c r="AT102" s="45">
        <f>FX!AT5</f>
        <v>151.32</v>
      </c>
      <c r="AU102" s="45">
        <f>FX!AU5</f>
        <v>152.94999999999999</v>
      </c>
      <c r="AV102" s="719">
        <f>AVERAGE(AR102:AU102)</f>
        <v>152.76499999999999</v>
      </c>
      <c r="AW102" s="45">
        <f>FX!AW5</f>
        <v>145.19</v>
      </c>
      <c r="AX102" s="45">
        <f>FX!AX5</f>
        <v>147.5</v>
      </c>
      <c r="AY102" s="45">
        <f>FX!AY5</f>
        <v>154.04</v>
      </c>
      <c r="AZ102" s="45">
        <f>FX!AZ5</f>
        <v>155.1</v>
      </c>
      <c r="BA102" s="54">
        <f>AVERAGE(AW102:AZ102)</f>
        <v>150.45750000000001</v>
      </c>
      <c r="BB102" s="45">
        <f>FX!BB5</f>
        <v>154.70000000000002</v>
      </c>
      <c r="BC102" s="45">
        <f>FX!BC5</f>
        <v>154.30000000000001</v>
      </c>
      <c r="BD102" s="45">
        <f>FX!BD5</f>
        <v>153.9</v>
      </c>
      <c r="BE102" s="45">
        <f>FX!BE5</f>
        <v>153.5</v>
      </c>
      <c r="BF102" s="54">
        <f>AVERAGE(BB102:BE102)</f>
        <v>154.1</v>
      </c>
      <c r="BG102" s="45">
        <f>FX!BG5</f>
        <v>153.1</v>
      </c>
      <c r="BH102" s="45">
        <f>FX!BH5</f>
        <v>152.70000000000002</v>
      </c>
      <c r="BI102" s="45">
        <f>FX!BI5</f>
        <v>152.30000000000001</v>
      </c>
      <c r="BJ102" s="45">
        <f>FX!BJ5</f>
        <v>151.9</v>
      </c>
      <c r="BK102" s="54">
        <f>AVERAGE(BG102:BJ102)</f>
        <v>152.5</v>
      </c>
      <c r="BL102" s="45">
        <f>FX!BL5</f>
        <v>151.5</v>
      </c>
      <c r="BM102" s="45">
        <f>FX!BM5</f>
        <v>151.1</v>
      </c>
      <c r="BN102" s="45">
        <f>FX!BN5</f>
        <v>150.70000000000002</v>
      </c>
      <c r="BO102" s="45">
        <f>FX!BO5</f>
        <v>150.30000000000001</v>
      </c>
      <c r="BP102" s="54">
        <f>AVERAGE(BL102:BO102)</f>
        <v>150.90000000000003</v>
      </c>
      <c r="BQ102" s="45">
        <f>FX!BQ5</f>
        <v>149.9</v>
      </c>
      <c r="BR102" s="45">
        <f>FX!BR5</f>
        <v>149.5</v>
      </c>
      <c r="BS102" s="45">
        <f>FX!BS5</f>
        <v>149.1</v>
      </c>
      <c r="BT102" s="45">
        <f>FX!BT5</f>
        <v>148.70000000000002</v>
      </c>
      <c r="BU102" s="54">
        <f>AVERAGE(BQ102:BT102)</f>
        <v>149.30000000000001</v>
      </c>
      <c r="BV102" s="45">
        <f>FX!BV5</f>
        <v>148.30000000000001</v>
      </c>
      <c r="BW102" s="45">
        <f>FX!BW5</f>
        <v>147.9</v>
      </c>
      <c r="BX102" s="45">
        <f>FX!BX5</f>
        <v>147.5</v>
      </c>
      <c r="BY102" s="45">
        <f>FX!BY5</f>
        <v>147.1</v>
      </c>
      <c r="BZ102" s="54">
        <f>AVERAGE(BV102:BY102)</f>
        <v>147.70000000000002</v>
      </c>
    </row>
    <row r="103" spans="1:78">
      <c r="BQ103" s="98" t="s">
        <v>1377</v>
      </c>
      <c r="BR103" s="71"/>
      <c r="BS103" s="71"/>
      <c r="BT103" s="71"/>
      <c r="BU103" s="71"/>
      <c r="BV103" s="71"/>
      <c r="BW103" s="71"/>
    </row>
    <row r="104" spans="1:78">
      <c r="A104" s="1" t="s">
        <v>1376</v>
      </c>
      <c r="I104" s="36">
        <f>-I92</f>
        <v>14.71194337424962</v>
      </c>
      <c r="J104" s="36">
        <f>-J92</f>
        <v>57.963727778775365</v>
      </c>
      <c r="K104" s="36">
        <f>-K92</f>
        <v>91.600141919460711</v>
      </c>
      <c r="L104" s="36">
        <f>-L92</f>
        <v>281.93844740468535</v>
      </c>
      <c r="M104" s="36">
        <f>SUM(I104:L104)</f>
        <v>446.21426047717102</v>
      </c>
      <c r="N104" s="36">
        <f>-N92</f>
        <v>66.847576119952166</v>
      </c>
      <c r="O104" s="36">
        <f>-O92</f>
        <v>86.562079784849843</v>
      </c>
      <c r="P104" s="36">
        <f>-P92</f>
        <v>115.78480900469734</v>
      </c>
      <c r="Q104" s="36">
        <f>-Q92</f>
        <v>146.74995473474561</v>
      </c>
      <c r="R104" s="36">
        <f>SUM(N104:Q104)</f>
        <v>415.94441964424493</v>
      </c>
      <c r="S104" s="36">
        <f>-S92</f>
        <v>152.62727272727273</v>
      </c>
      <c r="T104" s="36">
        <f>-T92</f>
        <v>246.25812441968429</v>
      </c>
      <c r="U104" s="36">
        <f>-U92</f>
        <v>233.48320792806018</v>
      </c>
      <c r="V104" s="36">
        <f>-V92</f>
        <v>162.25965940303973</v>
      </c>
      <c r="W104" s="36">
        <f>SUM(S104:V104)</f>
        <v>794.62826447805696</v>
      </c>
      <c r="X104" s="36">
        <f>-X92</f>
        <v>133.11676257657325</v>
      </c>
      <c r="Y104" s="36">
        <f>-Y92</f>
        <v>189.72421609369098</v>
      </c>
      <c r="Z104" s="36">
        <f>-Z92</f>
        <v>103.10196266156055</v>
      </c>
      <c r="AA104" s="36">
        <f>-AA92</f>
        <v>272.91980421686748</v>
      </c>
      <c r="AB104" s="36">
        <f>SUM(X104:AA104)</f>
        <v>698.86274554869226</v>
      </c>
      <c r="AC104" s="36">
        <f>-AC92</f>
        <v>149.53636363636363</v>
      </c>
      <c r="AD104" s="36">
        <f>-AD92</f>
        <v>123.12845116321174</v>
      </c>
      <c r="AE104" s="36">
        <f>-AE92</f>
        <v>210.11443661971833</v>
      </c>
      <c r="AF104" s="36">
        <f>-AF92</f>
        <v>135.21776259607174</v>
      </c>
      <c r="AG104" s="36">
        <f>SUM(AC104:AF104)</f>
        <v>617.99701401536549</v>
      </c>
      <c r="AH104" s="36">
        <f>-AH92</f>
        <v>146.49721016738997</v>
      </c>
      <c r="AI104" s="36">
        <f>-AI92</f>
        <v>87.099798096336883</v>
      </c>
      <c r="AJ104" s="36">
        <f>-AJ92</f>
        <v>157.27543213374895</v>
      </c>
      <c r="AK104" s="36">
        <f>-AK92</f>
        <v>96.165390965030767</v>
      </c>
      <c r="AL104" s="36">
        <f>SUM(AH104:AK104)</f>
        <v>487.03783136250655</v>
      </c>
      <c r="AM104" s="36">
        <f>-AM92</f>
        <v>132.4958366519441</v>
      </c>
      <c r="AN104" s="36">
        <f>-AN92</f>
        <v>181.44251925192521</v>
      </c>
      <c r="AO104" s="36">
        <f>-AO92</f>
        <v>131.65306122448979</v>
      </c>
      <c r="AP104" s="36">
        <f>-AP92</f>
        <v>141.64468790153512</v>
      </c>
      <c r="AQ104" s="36">
        <f>SUM(AM104:AP104)</f>
        <v>587.23610502989425</v>
      </c>
      <c r="AR104" s="36">
        <f>-AR92</f>
        <v>122.59630741710853</v>
      </c>
      <c r="AS104" s="36">
        <f>-AS92</f>
        <v>112.30533741514708</v>
      </c>
      <c r="AT104" s="36">
        <f>-AT92</f>
        <v>100.11234469997358</v>
      </c>
      <c r="AU104" s="36">
        <f>-AU92</f>
        <v>71.624713958810077</v>
      </c>
      <c r="AV104" s="36">
        <f>SUM(AR104:AU104)</f>
        <v>406.63870349103922</v>
      </c>
      <c r="AW104" s="36">
        <f>-AW92</f>
        <v>93.126248364212415</v>
      </c>
      <c r="AX104" s="36">
        <f>-AX92</f>
        <v>115.80338983050848</v>
      </c>
      <c r="AY104" s="36">
        <f>-AY92</f>
        <v>82.452609711763188</v>
      </c>
      <c r="AZ104" s="56">
        <f>BA104/4</f>
        <v>105.21776452830639</v>
      </c>
      <c r="BA104" s="36">
        <f>AV104*(1+BA105)</f>
        <v>420.87105811322556</v>
      </c>
      <c r="BB104" s="56">
        <f>BF104/4</f>
        <v>108.37429746415559</v>
      </c>
      <c r="BC104" s="56">
        <f>BF104/4</f>
        <v>108.37429746415559</v>
      </c>
      <c r="BD104" s="56">
        <f>BF104/4</f>
        <v>108.37429746415559</v>
      </c>
      <c r="BE104" s="56">
        <f>BF104/4</f>
        <v>108.37429746415559</v>
      </c>
      <c r="BF104" s="36">
        <f>BA104*(1+BF105)</f>
        <v>433.49718985662236</v>
      </c>
      <c r="BG104" s="56">
        <f>BK104/4</f>
        <v>111.08365490075947</v>
      </c>
      <c r="BH104" s="56">
        <f>BK104/4</f>
        <v>111.08365490075947</v>
      </c>
      <c r="BI104" s="56">
        <f>BK104/4</f>
        <v>111.08365490075947</v>
      </c>
      <c r="BJ104" s="56">
        <f>BK104/4</f>
        <v>111.08365490075947</v>
      </c>
      <c r="BK104" s="36">
        <f>BF104*(1+BK105)</f>
        <v>444.33461960303788</v>
      </c>
      <c r="BL104" s="56">
        <f>BP104/4</f>
        <v>113.30532799877466</v>
      </c>
      <c r="BM104" s="56">
        <f>BP104/4</f>
        <v>113.30532799877466</v>
      </c>
      <c r="BN104" s="56">
        <f>BP104/4</f>
        <v>113.30532799877466</v>
      </c>
      <c r="BO104" s="56">
        <f>BP104/4</f>
        <v>113.30532799877466</v>
      </c>
      <c r="BP104" s="36">
        <f>BK104*(1+BP105)</f>
        <v>453.22131199509863</v>
      </c>
      <c r="BQ104" s="107">
        <f>BL104</f>
        <v>113.30532799877466</v>
      </c>
      <c r="BR104" s="107">
        <f>BM104</f>
        <v>113.30532799877466</v>
      </c>
      <c r="BS104" s="36">
        <f>0.5*(BU104-SUM(BQ104:BR104))</f>
        <v>149.19467200122534</v>
      </c>
      <c r="BT104" s="36">
        <f>0.5*(BU104-SUM(BQ104:BR104))</f>
        <v>149.19467200122534</v>
      </c>
      <c r="BU104" s="107">
        <v>525</v>
      </c>
      <c r="BV104" s="107">
        <v>115</v>
      </c>
      <c r="BW104" s="107">
        <v>115</v>
      </c>
      <c r="BX104" s="36">
        <f>0.5*(BZ104-SUM(BV104:BW104))</f>
        <v>97.5</v>
      </c>
      <c r="BY104" s="36">
        <f>0.5*(BZ104-SUM(BV104:BW104))</f>
        <v>97.5</v>
      </c>
      <c r="BZ104" s="107">
        <v>425</v>
      </c>
    </row>
    <row r="105" spans="1:78">
      <c r="A105" s="1" t="s">
        <v>28</v>
      </c>
      <c r="N105" s="16">
        <f t="shared" ref="N105:AT105" si="245">N104/I104-1</f>
        <v>3.5437624669597207</v>
      </c>
      <c r="O105" s="16">
        <f t="shared" si="245"/>
        <v>0.49338358835758611</v>
      </c>
      <c r="P105" s="16">
        <f t="shared" si="245"/>
        <v>0.26402434077559578</v>
      </c>
      <c r="Q105" s="16">
        <f t="shared" si="245"/>
        <v>-0.47949647844905141</v>
      </c>
      <c r="R105" s="16">
        <f t="shared" si="245"/>
        <v>-6.7837009065008891E-2</v>
      </c>
      <c r="S105" s="16">
        <f t="shared" si="245"/>
        <v>1.2832132679485095</v>
      </c>
      <c r="T105" s="16">
        <f t="shared" si="245"/>
        <v>1.8448730094258265</v>
      </c>
      <c r="U105" s="16">
        <f t="shared" si="245"/>
        <v>1.0165271241980274</v>
      </c>
      <c r="V105" s="16">
        <f t="shared" si="245"/>
        <v>0.10568796901047306</v>
      </c>
      <c r="W105" s="16">
        <f t="shared" si="245"/>
        <v>0.91041934198251373</v>
      </c>
      <c r="X105" s="16">
        <f t="shared" si="245"/>
        <v>-0.12783108681737698</v>
      </c>
      <c r="Y105" s="16">
        <f t="shared" si="245"/>
        <v>-0.22957174898987553</v>
      </c>
      <c r="Z105" s="16">
        <f t="shared" si="245"/>
        <v>-0.55841808249727376</v>
      </c>
      <c r="AA105" s="16">
        <f t="shared" si="245"/>
        <v>0.68199418894968211</v>
      </c>
      <c r="AB105" s="16">
        <f t="shared" si="245"/>
        <v>-0.12051612459603012</v>
      </c>
      <c r="AC105" s="16">
        <f t="shared" si="245"/>
        <v>0.12334735867952973</v>
      </c>
      <c r="AD105" s="16">
        <f t="shared" si="245"/>
        <v>-0.35101352005372077</v>
      </c>
      <c r="AE105" s="16">
        <f t="shared" si="245"/>
        <v>1.0379285824988003</v>
      </c>
      <c r="AF105" s="16">
        <f t="shared" si="245"/>
        <v>-0.5045512985615912</v>
      </c>
      <c r="AG105" s="16">
        <f t="shared" si="245"/>
        <v>-0.11571046253129047</v>
      </c>
      <c r="AH105" s="16">
        <f t="shared" si="245"/>
        <v>-2.0323842275342119E-2</v>
      </c>
      <c r="AI105" s="16">
        <f t="shared" si="245"/>
        <v>-0.29261030027184709</v>
      </c>
      <c r="AJ105" s="16">
        <f t="shared" si="245"/>
        <v>-0.25147726798802306</v>
      </c>
      <c r="AK105" s="16">
        <f t="shared" si="245"/>
        <v>-0.28881095856984318</v>
      </c>
      <c r="AL105" s="16">
        <f t="shared" si="245"/>
        <v>-0.2119090864241665</v>
      </c>
      <c r="AM105" s="16">
        <f t="shared" si="245"/>
        <v>-9.5574335507465857E-2</v>
      </c>
      <c r="AN105" s="16">
        <f t="shared" si="245"/>
        <v>1.083156599872257</v>
      </c>
      <c r="AO105" s="16">
        <f t="shared" si="245"/>
        <v>-0.16291400736683137</v>
      </c>
      <c r="AP105" s="16">
        <f t="shared" si="245"/>
        <v>0.47292790556055953</v>
      </c>
      <c r="AQ105" s="16">
        <f t="shared" si="245"/>
        <v>0.2057299602108511</v>
      </c>
      <c r="AR105" s="16">
        <f t="shared" si="245"/>
        <v>-7.4715775868798295E-2</v>
      </c>
      <c r="AS105" s="16">
        <f t="shared" si="245"/>
        <v>-0.38104178734855465</v>
      </c>
      <c r="AT105" s="16">
        <f t="shared" si="245"/>
        <v>-0.23957450158135085</v>
      </c>
      <c r="AU105" s="16">
        <f t="shared" ref="AU105" si="246">AU104/AP104-1</f>
        <v>-0.49433533286754605</v>
      </c>
      <c r="AV105" s="16">
        <f t="shared" ref="AV105:AY105" si="247">AV104/AQ104-1</f>
        <v>-0.30753797321379173</v>
      </c>
      <c r="AW105" s="16">
        <f t="shared" si="247"/>
        <v>-0.24038292566700514</v>
      </c>
      <c r="AX105" s="16">
        <f t="shared" si="247"/>
        <v>3.114769516635274E-2</v>
      </c>
      <c r="AY105" s="16">
        <f t="shared" si="247"/>
        <v>-0.17639917475846567</v>
      </c>
      <c r="AZ105" s="16">
        <f>AZ104/AU104-1</f>
        <v>0.46901479549105063</v>
      </c>
      <c r="BA105" s="209">
        <v>3.5000000000000003E-2</v>
      </c>
      <c r="BB105" s="16">
        <f>BB104/AW104-1</f>
        <v>0.16373524508695736</v>
      </c>
      <c r="BC105" s="16">
        <f>BC104/AX104-1</f>
        <v>-6.4152632986186453E-2</v>
      </c>
      <c r="BD105" s="16">
        <f>BD104/AY104-1</f>
        <v>0.31438286602460641</v>
      </c>
      <c r="BE105" s="16">
        <f>BE104/AZ104-1</f>
        <v>3.0000000000000027E-2</v>
      </c>
      <c r="BF105" s="209">
        <f>BA105-0.5%</f>
        <v>3.0000000000000002E-2</v>
      </c>
      <c r="BG105" s="16">
        <f>BG104/BB104-1</f>
        <v>2.4999999999999911E-2</v>
      </c>
      <c r="BH105" s="16">
        <f>BH104/BC104-1</f>
        <v>2.4999999999999911E-2</v>
      </c>
      <c r="BI105" s="16">
        <f>BI104/BD104-1</f>
        <v>2.4999999999999911E-2</v>
      </c>
      <c r="BJ105" s="16">
        <f>BJ104/BE104-1</f>
        <v>2.4999999999999911E-2</v>
      </c>
      <c r="BK105" s="209">
        <f>BF105-0.5%</f>
        <v>2.5000000000000001E-2</v>
      </c>
      <c r="BL105" s="16">
        <f>BL104/BG104-1</f>
        <v>2.0000000000000018E-2</v>
      </c>
      <c r="BM105" s="16">
        <f>BM104/BH104-1</f>
        <v>2.0000000000000018E-2</v>
      </c>
      <c r="BN105" s="16">
        <f>BN104/BI104-1</f>
        <v>2.0000000000000018E-2</v>
      </c>
      <c r="BO105" s="16">
        <f>BO104/BJ104-1</f>
        <v>2.0000000000000018E-2</v>
      </c>
      <c r="BP105" s="209">
        <f>BK105-0.5%</f>
        <v>0.02</v>
      </c>
      <c r="BQ105" s="16">
        <f t="shared" ref="BQ105:BZ105" si="248">BQ104/BL104-1</f>
        <v>0</v>
      </c>
      <c r="BR105" s="16">
        <f t="shared" si="248"/>
        <v>0</v>
      </c>
      <c r="BS105" s="16">
        <f t="shared" si="248"/>
        <v>0.31674895290748206</v>
      </c>
      <c r="BT105" s="16">
        <f t="shared" si="248"/>
        <v>0.31674895290748206</v>
      </c>
      <c r="BU105" s="16">
        <f t="shared" si="248"/>
        <v>0.15837447645374114</v>
      </c>
      <c r="BV105" s="16">
        <f t="shared" si="248"/>
        <v>1.4956684130897013E-2</v>
      </c>
      <c r="BW105" s="16">
        <f t="shared" si="248"/>
        <v>1.4956684130897013E-2</v>
      </c>
      <c r="BX105" s="16">
        <f t="shared" si="248"/>
        <v>-0.34649140822402003</v>
      </c>
      <c r="BY105" s="16">
        <f t="shared" si="248"/>
        <v>-0.34649140822402003</v>
      </c>
      <c r="BZ105" s="16">
        <f t="shared" si="248"/>
        <v>-0.19047619047619047</v>
      </c>
    </row>
    <row r="107" spans="1:78" s="44" customFormat="1">
      <c r="A107" s="49" t="s">
        <v>499</v>
      </c>
    </row>
    <row r="109" spans="1:78">
      <c r="A109" s="28" t="s">
        <v>103</v>
      </c>
      <c r="X109" s="36">
        <f t="shared" ref="X109:AA110" si="249">X49/X$102</f>
        <v>1034.2027102283275</v>
      </c>
      <c r="Y109" s="36">
        <f t="shared" si="249"/>
        <v>282.96184359652437</v>
      </c>
      <c r="Z109" s="36">
        <f t="shared" si="249"/>
        <v>655.47151747247483</v>
      </c>
      <c r="AA109" s="36">
        <f t="shared" si="249"/>
        <v>2017.7522590361448</v>
      </c>
      <c r="AB109" s="36">
        <f>SUM(X109:AA109)</f>
        <v>3990.3883303334715</v>
      </c>
      <c r="AC109" s="36">
        <f t="shared" ref="AC109:AF110" si="250">AC49/AC$102</f>
        <v>2815.2727272727275</v>
      </c>
      <c r="AD109" s="36">
        <f t="shared" si="250"/>
        <v>4051.208472888567</v>
      </c>
      <c r="AE109" s="36">
        <f t="shared" si="250"/>
        <v>2283.8644366197186</v>
      </c>
      <c r="AF109" s="36">
        <f t="shared" si="250"/>
        <v>1788.4970111016225</v>
      </c>
      <c r="AG109" s="36">
        <f>SUM(AC109:AF109)</f>
        <v>10938.842647882637</v>
      </c>
      <c r="AH109" s="36">
        <f>AH49/AH$102</f>
        <v>-236.09733415995041</v>
      </c>
    </row>
    <row r="110" spans="1:78">
      <c r="A110" s="28" t="s">
        <v>492</v>
      </c>
      <c r="X110" s="36">
        <f t="shared" si="249"/>
        <v>2395.1735659922037</v>
      </c>
      <c r="Y110" s="36">
        <f t="shared" si="249"/>
        <v>5163.6286361919156</v>
      </c>
      <c r="Z110" s="36">
        <f t="shared" si="249"/>
        <v>12496.007659167066</v>
      </c>
      <c r="AA110" s="36">
        <f t="shared" si="249"/>
        <v>32126.882530120485</v>
      </c>
      <c r="AB110" s="107">
        <f>SUM(X110:AA110)</f>
        <v>52181.692391471668</v>
      </c>
      <c r="AC110" s="36">
        <f t="shared" si="250"/>
        <v>3462.4909090909091</v>
      </c>
      <c r="AD110" s="36">
        <f t="shared" si="250"/>
        <v>-8357.7351317099674</v>
      </c>
      <c r="AE110" s="36">
        <f t="shared" si="250"/>
        <v>-1024.4366197183099</v>
      </c>
      <c r="AF110" s="36">
        <f t="shared" si="250"/>
        <v>-18012.11784799317</v>
      </c>
      <c r="AG110" s="107">
        <f>SUM(AC110:AF110)</f>
        <v>-23931.798690330535</v>
      </c>
      <c r="AH110" s="36">
        <f>AH50/AH$102</f>
        <v>-9418.0796652200879</v>
      </c>
      <c r="AZ110" s="522" t="s">
        <v>1323</v>
      </c>
      <c r="BA110" s="647"/>
      <c r="BB110" s="647"/>
      <c r="BC110" s="647"/>
    </row>
    <row r="111" spans="1:78">
      <c r="A111" s="28" t="s">
        <v>657</v>
      </c>
      <c r="X111" s="36"/>
      <c r="Y111" s="36"/>
      <c r="Z111" s="36"/>
      <c r="AA111" s="36"/>
      <c r="AB111" s="201"/>
      <c r="AC111" s="36"/>
      <c r="AD111" s="36"/>
      <c r="AE111" s="36"/>
      <c r="AF111" s="36"/>
      <c r="AG111" s="201"/>
      <c r="AH111" s="36">
        <f>AH51/AH$102</f>
        <v>-10175.457222566647</v>
      </c>
      <c r="AI111" s="36">
        <f t="shared" ref="AI111:AK112" si="251">AI51/AI$102</f>
        <v>-5013.051629650995</v>
      </c>
      <c r="AJ111" s="36">
        <f t="shared" si="251"/>
        <v>-2530.2493624256163</v>
      </c>
      <c r="AK111" s="36">
        <f t="shared" si="251"/>
        <v>406.78373105207868</v>
      </c>
      <c r="AL111" s="107">
        <f>SUM(AH111:AK111)</f>
        <v>-17311.974483591181</v>
      </c>
      <c r="AM111" s="36">
        <f t="shared" ref="AM111:AO112" si="252">AM51/AM$102</f>
        <v>949.78640214321911</v>
      </c>
      <c r="AN111" s="36">
        <f t="shared" si="252"/>
        <v>2413.3594609460947</v>
      </c>
      <c r="AO111" s="36">
        <f>AO51/AO$102</f>
        <v>1940.2925170068027</v>
      </c>
      <c r="AP111" s="36">
        <f>AP51/AP$102</f>
        <v>10.1034692635423</v>
      </c>
      <c r="AQ111" s="36">
        <f>SUM(AM111:AP111)</f>
        <v>5313.541849359659</v>
      </c>
      <c r="AR111" s="36">
        <f t="shared" ref="AR111:AS111" si="253">AR51/AR$102</f>
        <v>2827.2024532038586</v>
      </c>
      <c r="AS111" s="36">
        <f t="shared" si="253"/>
        <v>3020.7773193131907</v>
      </c>
      <c r="AT111" s="36">
        <f>AT51/AT$102</f>
        <v>-1031.8662437219139</v>
      </c>
      <c r="AU111" s="36">
        <f>AU51/AU$102</f>
        <v>1848.1137626675386</v>
      </c>
      <c r="AV111" s="36">
        <f>SUM(AR111:AU111)</f>
        <v>6664.2272914626737</v>
      </c>
      <c r="AW111" s="36">
        <f t="shared" ref="AW111" si="254">AW51/AW$102</f>
        <v>3563.461670913975</v>
      </c>
      <c r="AX111" s="36">
        <f>AX51/AX$102</f>
        <v>5780.1220338983048</v>
      </c>
      <c r="AY111" s="36">
        <f>AY51/AY$102</f>
        <v>-4050.7400675149315</v>
      </c>
      <c r="AZ111" s="613">
        <f>AZ731-AY731</f>
        <v>-1890</v>
      </c>
      <c r="BA111" s="36">
        <f>SUM(AW111:AZ111)</f>
        <v>3402.8436372973483</v>
      </c>
      <c r="BB111" s="36">
        <f>BB731-BA731</f>
        <v>375</v>
      </c>
      <c r="BC111" s="36">
        <f>BC731-BB731</f>
        <v>345</v>
      </c>
      <c r="BD111" s="36">
        <f>BD731-BC731</f>
        <v>320</v>
      </c>
      <c r="BE111" s="36">
        <f>BE731-BD731</f>
        <v>290</v>
      </c>
      <c r="BF111" s="36">
        <f>SUM(BB111:BE111)</f>
        <v>1330</v>
      </c>
      <c r="BG111" s="36">
        <f>BG731-BF731</f>
        <v>260</v>
      </c>
      <c r="BH111" s="36">
        <f>BH731-BG731</f>
        <v>240</v>
      </c>
      <c r="BI111" s="36">
        <f>BI731-BH731</f>
        <v>220</v>
      </c>
      <c r="BJ111" s="36">
        <f>BJ731-BI731</f>
        <v>195</v>
      </c>
      <c r="BK111" s="36">
        <f>SUM(BG111:BJ111)</f>
        <v>915</v>
      </c>
      <c r="BL111" s="36">
        <f>BL731-BK731</f>
        <v>170</v>
      </c>
      <c r="BM111" s="36">
        <f>BM731-BL731</f>
        <v>150</v>
      </c>
      <c r="BN111" s="36">
        <f>BN731-BM731</f>
        <v>125</v>
      </c>
      <c r="BO111" s="36">
        <f>BO731-BN731</f>
        <v>100</v>
      </c>
      <c r="BP111" s="36">
        <f>SUM(BL111:BO111)</f>
        <v>545</v>
      </c>
      <c r="BQ111" s="36">
        <f>BQ731-BP731</f>
        <v>75</v>
      </c>
      <c r="BR111" s="36">
        <f>BR731-BQ731</f>
        <v>50</v>
      </c>
      <c r="BS111" s="36">
        <f>BS731-BR731</f>
        <v>25</v>
      </c>
      <c r="BT111" s="36"/>
      <c r="BU111" s="36"/>
      <c r="BV111" s="36"/>
      <c r="BW111" s="36"/>
      <c r="BX111" s="36"/>
      <c r="BY111" s="36"/>
      <c r="BZ111" s="36"/>
    </row>
    <row r="112" spans="1:78">
      <c r="A112" s="1" t="s">
        <v>488</v>
      </c>
      <c r="X112" s="36">
        <f>X52/X$102</f>
        <v>-1370.3638388713571</v>
      </c>
      <c r="Y112" s="36">
        <f>Y52/Y$102</f>
        <v>-2926.8417075935022</v>
      </c>
      <c r="Z112" s="36">
        <f>Z52/Z$102</f>
        <v>-4779.3106749640974</v>
      </c>
      <c r="AA112" s="36">
        <f>AA52/AA$102</f>
        <v>-12139.316641566265</v>
      </c>
      <c r="AB112" s="36">
        <f>SUM(X112:AA112)</f>
        <v>-21215.832862995223</v>
      </c>
      <c r="AC112" s="36">
        <f>AC52/AC$102</f>
        <v>-1219.0272727272727</v>
      </c>
      <c r="AD112" s="36">
        <f>AD52/AD$102</f>
        <v>2990.6399927582152</v>
      </c>
      <c r="AE112" s="36">
        <f>AE52/AE$102</f>
        <v>-170.61619718309859</v>
      </c>
      <c r="AF112" s="36">
        <f>AF52/AF$102</f>
        <v>6265.4227156276693</v>
      </c>
      <c r="AG112" s="36">
        <f>SUM(AC112:AF112)</f>
        <v>7866.4192384755133</v>
      </c>
      <c r="AH112" s="36">
        <f>AH52/AH$102</f>
        <v>3168.1494110353383</v>
      </c>
      <c r="AI112" s="36">
        <f t="shared" si="251"/>
        <v>2069.3394865878281</v>
      </c>
      <c r="AJ112" s="36">
        <f t="shared" si="251"/>
        <v>813.01360158685179</v>
      </c>
      <c r="AK112" s="36">
        <f t="shared" si="251"/>
        <v>-249.46720696383014</v>
      </c>
      <c r="AL112" s="36">
        <f>SUM(AH112:AK112)</f>
        <v>5801.0352922461889</v>
      </c>
      <c r="AM112" s="36">
        <f t="shared" si="252"/>
        <v>-443.74773731083917</v>
      </c>
      <c r="AN112" s="36">
        <f t="shared" si="252"/>
        <v>-1194.458195819582</v>
      </c>
      <c r="AO112" s="36">
        <f t="shared" si="252"/>
        <v>-1050.8979591836735</v>
      </c>
      <c r="AP112" s="36">
        <f t="shared" ref="AP112" si="255">AP52/AP$102</f>
        <v>-121.07932643538243</v>
      </c>
      <c r="AQ112" s="36">
        <f>SUM(AM112:AP112)</f>
        <v>-2810.1832187494774</v>
      </c>
      <c r="AR112" s="36">
        <f t="shared" ref="AR112:AU112" si="256">AR52/AR$102</f>
        <v>-1345.0776209033413</v>
      </c>
      <c r="AS112" s="36">
        <f t="shared" si="256"/>
        <v>-1427.0996938639692</v>
      </c>
      <c r="AT112" s="36">
        <f t="shared" si="256"/>
        <v>390.7216494845361</v>
      </c>
      <c r="AU112" s="36">
        <f t="shared" si="256"/>
        <v>-883.47172278522396</v>
      </c>
      <c r="AV112" s="36">
        <f>SUM(AR112:AU112)</f>
        <v>-3264.927388067998</v>
      </c>
      <c r="AW112" s="36">
        <f t="shared" ref="AW112:AY112" si="257">AW52/AW$102</f>
        <v>-1586.5624354294373</v>
      </c>
      <c r="AX112" s="36">
        <f t="shared" si="257"/>
        <v>-2609.1999999999998</v>
      </c>
      <c r="AY112" s="36">
        <f t="shared" si="257"/>
        <v>1725.7725266164634</v>
      </c>
      <c r="AZ112" s="36">
        <f>-AZ448</f>
        <v>845</v>
      </c>
      <c r="BA112" s="36">
        <f>SUM(AW112:AZ112)</f>
        <v>-1624.9899088129732</v>
      </c>
      <c r="BB112" s="36">
        <f>-BB448</f>
        <v>-200</v>
      </c>
      <c r="BC112" s="36">
        <f>-BC448</f>
        <v>-185</v>
      </c>
      <c r="BD112" s="36">
        <f>-BD448</f>
        <v>-170</v>
      </c>
      <c r="BE112" s="36">
        <f>-BE448</f>
        <v>-155</v>
      </c>
      <c r="BF112" s="36">
        <f>SUM(BB112:BE112)</f>
        <v>-710</v>
      </c>
      <c r="BG112" s="36">
        <f>-BG448</f>
        <v>-140</v>
      </c>
      <c r="BH112" s="36">
        <f>-BH448</f>
        <v>-130</v>
      </c>
      <c r="BI112" s="36">
        <f>-BI448</f>
        <v>-115</v>
      </c>
      <c r="BJ112" s="36">
        <f>-BJ448</f>
        <v>-105</v>
      </c>
      <c r="BK112" s="36">
        <f>SUM(BG112:BJ112)</f>
        <v>-490</v>
      </c>
      <c r="BL112" s="36">
        <f>-BL448</f>
        <v>-75</v>
      </c>
      <c r="BM112" s="36">
        <f>-BM448</f>
        <v>-65</v>
      </c>
      <c r="BN112" s="36">
        <f>-BN448</f>
        <v>-55</v>
      </c>
      <c r="BO112" s="36">
        <f>-BO448</f>
        <v>-45</v>
      </c>
      <c r="BP112" s="36">
        <f>SUM(BL112:BO112)</f>
        <v>-240</v>
      </c>
      <c r="BQ112" s="36">
        <f>-BQ448</f>
        <v>-35</v>
      </c>
      <c r="BR112" s="36">
        <f>-BR448</f>
        <v>-20</v>
      </c>
      <c r="BS112" s="36">
        <f>-BS448</f>
        <v>-10</v>
      </c>
      <c r="BT112" s="36"/>
      <c r="BU112" s="36"/>
      <c r="BV112" s="36"/>
      <c r="BW112" s="36"/>
      <c r="BX112" s="36"/>
      <c r="BY112" s="36"/>
      <c r="BZ112" s="36"/>
    </row>
    <row r="113" spans="1:78">
      <c r="AP113" s="25" t="s">
        <v>1324</v>
      </c>
    </row>
    <row r="114" spans="1:78" s="46" customFormat="1">
      <c r="A114" s="47" t="s">
        <v>500</v>
      </c>
    </row>
    <row r="116" spans="1:78">
      <c r="A116" s="28" t="s">
        <v>103</v>
      </c>
      <c r="X116" s="36"/>
      <c r="Y116" s="36"/>
      <c r="Z116" s="36"/>
      <c r="AA116" s="36"/>
      <c r="AB116" s="36"/>
      <c r="AC116" s="36">
        <f t="shared" ref="AC116:AF117" si="258">AC56/AC$102</f>
        <v>881.4727272727273</v>
      </c>
      <c r="AD116" s="36">
        <f t="shared" si="258"/>
        <v>75.522766361908211</v>
      </c>
      <c r="AE116" s="36">
        <f t="shared" si="258"/>
        <v>49.779929577464792</v>
      </c>
      <c r="AF116" s="36">
        <f t="shared" si="258"/>
        <v>150.44406490179335</v>
      </c>
      <c r="AG116" s="36">
        <f>SUM(AC116:AF116)</f>
        <v>1157.2194881138937</v>
      </c>
      <c r="AH116" s="36">
        <f>AH56/AH$102</f>
        <v>25.240235585864848</v>
      </c>
    </row>
    <row r="117" spans="1:78">
      <c r="A117" s="28" t="s">
        <v>492</v>
      </c>
      <c r="X117" s="36"/>
      <c r="Y117" s="36">
        <f>Y57/Y$102</f>
        <v>5073.857196826596</v>
      </c>
      <c r="Z117" s="36">
        <f>Z57/Z$102</f>
        <v>52.570607946385827</v>
      </c>
      <c r="AA117" s="36">
        <f>AA57/AA$102</f>
        <v>-493.75</v>
      </c>
      <c r="AB117" s="36">
        <f>SUM(X117:AA117)</f>
        <v>4632.6778047729822</v>
      </c>
      <c r="AC117" s="36">
        <f t="shared" si="258"/>
        <v>446.5</v>
      </c>
      <c r="AD117" s="36">
        <f t="shared" si="258"/>
        <v>-330.85905675749075</v>
      </c>
      <c r="AE117" s="36">
        <f t="shared" si="258"/>
        <v>954.20774647887333</v>
      </c>
      <c r="AF117" s="36">
        <f t="shared" si="258"/>
        <v>-3354.5772843723316</v>
      </c>
      <c r="AG117" s="36">
        <f>SUM(AC117:AF117)</f>
        <v>-2284.7285946509492</v>
      </c>
      <c r="AH117" s="36">
        <f>AH57/AH$102</f>
        <v>-10392.188468691878</v>
      </c>
      <c r="AZ117" s="522" t="s">
        <v>1325</v>
      </c>
      <c r="BA117" s="647"/>
      <c r="BB117" s="647"/>
      <c r="BC117" s="647"/>
    </row>
    <row r="118" spans="1:78">
      <c r="A118" s="28" t="s">
        <v>658</v>
      </c>
      <c r="X118" s="36"/>
      <c r="Y118" s="36"/>
      <c r="Z118" s="36"/>
      <c r="AA118" s="36"/>
      <c r="AB118" s="36"/>
      <c r="AC118" s="36"/>
      <c r="AD118" s="36"/>
      <c r="AE118" s="36"/>
      <c r="AF118" s="36"/>
      <c r="AG118" s="36"/>
      <c r="AH118" s="36">
        <f>AH58/AH$102</f>
        <v>-10051.557656540608</v>
      </c>
      <c r="AI118" s="36">
        <f t="shared" ref="AI118:AK119" si="259">AI58/AI$102</f>
        <v>-4595.5292760311504</v>
      </c>
      <c r="AJ118" s="36">
        <f t="shared" si="259"/>
        <v>-2165.1884386511761</v>
      </c>
      <c r="AK118" s="36">
        <f t="shared" si="259"/>
        <v>-1541.5578568212518</v>
      </c>
      <c r="AL118" s="107">
        <f>SUM(AH118:AK118)</f>
        <v>-18353.833228044186</v>
      </c>
      <c r="AM118" s="36">
        <f t="shared" ref="AM118:AO119" si="260">AM58/AM$102</f>
        <v>-318.35493447252185</v>
      </c>
      <c r="AN118" s="36">
        <f t="shared" si="260"/>
        <v>-2084.2546754675468</v>
      </c>
      <c r="AO118" s="36">
        <f t="shared" si="260"/>
        <v>1703.0204081632653</v>
      </c>
      <c r="AP118" s="36">
        <f t="shared" ref="AP118" si="261">AP58/AP$102</f>
        <v>-336.20071684587811</v>
      </c>
      <c r="AQ118" s="36">
        <f>SUM(AM118:AP118)</f>
        <v>-1035.7899186226816</v>
      </c>
      <c r="AR118" s="36">
        <f t="shared" ref="AR118:AU119" si="262">AR58/AR$102</f>
        <v>-2642.6180284929405</v>
      </c>
      <c r="AS118" s="36">
        <f t="shared" si="262"/>
        <v>912.91095434580063</v>
      </c>
      <c r="AT118" s="36">
        <f t="shared" si="262"/>
        <v>-1169.0919904837431</v>
      </c>
      <c r="AU118" s="36">
        <f t="shared" si="262"/>
        <v>-707.9045439686173</v>
      </c>
      <c r="AV118" s="36">
        <f>SUM(AR118:AU118)</f>
        <v>-3606.7036085995001</v>
      </c>
      <c r="AW118" s="36">
        <f t="shared" ref="AW118:AY119" si="263">AW58/AW$102</f>
        <v>788.29809215510716</v>
      </c>
      <c r="AX118" s="36">
        <f t="shared" si="263"/>
        <v>13001.84406779661</v>
      </c>
      <c r="AY118" s="36">
        <f t="shared" si="263"/>
        <v>6556.6346403531552</v>
      </c>
      <c r="AZ118" s="613">
        <f>AZ891-AY891</f>
        <v>170</v>
      </c>
      <c r="BA118" s="36">
        <f>SUM(AW118:AZ118)</f>
        <v>20516.776800304873</v>
      </c>
      <c r="BB118" s="36">
        <f>BB891-BA891</f>
        <v>31075</v>
      </c>
      <c r="BC118" s="36">
        <f>BC891-BB891</f>
        <v>11930</v>
      </c>
      <c r="BD118" s="36">
        <f>BD891-BC891</f>
        <v>11935</v>
      </c>
      <c r="BE118" s="36">
        <f>BE891-BD891</f>
        <v>-50</v>
      </c>
      <c r="BF118" s="36">
        <f>SUM(BB118:BE118)</f>
        <v>54890</v>
      </c>
      <c r="BG118" s="36">
        <f>BG891-BF891</f>
        <v>1685</v>
      </c>
      <c r="BH118" s="36">
        <f>BH891-BG891</f>
        <v>1670</v>
      </c>
      <c r="BI118" s="36">
        <f>BI891-BH891</f>
        <v>1650</v>
      </c>
      <c r="BJ118" s="36">
        <f>BJ891-BI891</f>
        <v>1630</v>
      </c>
      <c r="BK118" s="36">
        <f>SUM(BG118:BJ118)</f>
        <v>6635</v>
      </c>
      <c r="BL118" s="36">
        <f>BL891-BK891</f>
        <v>1610</v>
      </c>
      <c r="BM118" s="36">
        <f>BM891-BL891</f>
        <v>1565</v>
      </c>
      <c r="BN118" s="36">
        <f>BN891-BM891</f>
        <v>1520</v>
      </c>
      <c r="BO118" s="36">
        <f>BO891-BN891</f>
        <v>1470</v>
      </c>
      <c r="BP118" s="36">
        <f>SUM(BL118:BO118)</f>
        <v>6165</v>
      </c>
      <c r="BQ118" s="36">
        <f>BQ891-BP891</f>
        <v>1420</v>
      </c>
      <c r="BR118" s="36">
        <f>BR891-BQ891</f>
        <v>1340</v>
      </c>
      <c r="BS118" s="36">
        <f>BS891-BR891</f>
        <v>1260</v>
      </c>
      <c r="BT118" s="36">
        <f>BT891-BS891</f>
        <v>1175</v>
      </c>
      <c r="BU118" s="36">
        <f>SUM(BQ118:BT118)</f>
        <v>5195</v>
      </c>
      <c r="BV118" s="36">
        <f>BV891-BU891</f>
        <v>1090</v>
      </c>
      <c r="BW118" s="36">
        <f>BW891-BV891</f>
        <v>1005</v>
      </c>
      <c r="BX118" s="36">
        <f>BX891-BW891</f>
        <v>915</v>
      </c>
      <c r="BY118" s="36">
        <f>BY891-BX891</f>
        <v>825</v>
      </c>
      <c r="BZ118" s="36">
        <f>SUM(BV118:BY118)</f>
        <v>3835</v>
      </c>
    </row>
    <row r="119" spans="1:78">
      <c r="A119" s="1" t="s">
        <v>489</v>
      </c>
      <c r="X119" s="36"/>
      <c r="Y119" s="36"/>
      <c r="Z119" s="36"/>
      <c r="AA119" s="36"/>
      <c r="AB119" s="36"/>
      <c r="AC119" s="36">
        <f>AC59/AC$102</f>
        <v>0</v>
      </c>
      <c r="AD119" s="36">
        <f>AD59/AD$102</f>
        <v>-9.9936634380374763</v>
      </c>
      <c r="AE119" s="36">
        <f>AE59/AE$102</f>
        <v>-29.454225352112676</v>
      </c>
      <c r="AF119" s="36">
        <f>AF59/AF$102</f>
        <v>568.24935952177634</v>
      </c>
      <c r="AG119" s="36">
        <f>SUM(AC119:AF119)</f>
        <v>528.80147073162618</v>
      </c>
      <c r="AH119" s="36">
        <f>AH59/AH$102</f>
        <v>1524.5195288282705</v>
      </c>
      <c r="AI119" s="36">
        <f t="shared" si="259"/>
        <v>682.20363426593599</v>
      </c>
      <c r="AJ119" s="36">
        <f t="shared" si="259"/>
        <v>0</v>
      </c>
      <c r="AK119" s="36">
        <f t="shared" si="259"/>
        <v>0</v>
      </c>
      <c r="AL119" s="36">
        <f>SUM(AH119:AK119)</f>
        <v>2206.7231630942065</v>
      </c>
      <c r="AM119" s="36">
        <f t="shared" si="260"/>
        <v>0</v>
      </c>
      <c r="AN119" s="36">
        <f>AN59/AN$102</f>
        <v>0</v>
      </c>
      <c r="AO119" s="36">
        <f t="shared" si="260"/>
        <v>0</v>
      </c>
      <c r="AP119" s="36">
        <f t="shared" ref="AP119" si="264">AP59/AP$102</f>
        <v>0</v>
      </c>
      <c r="AQ119" s="36">
        <f>SUM(AM119:AP119)</f>
        <v>0</v>
      </c>
      <c r="AR119" s="36">
        <f t="shared" ref="AR119" si="265">AR59/AR$102</f>
        <v>0</v>
      </c>
      <c r="AS119" s="36">
        <f>AS59/AS$102</f>
        <v>0</v>
      </c>
      <c r="AT119" s="36">
        <f t="shared" ref="AT119" si="266">AT59/AT$102</f>
        <v>0</v>
      </c>
      <c r="AU119" s="36">
        <f t="shared" si="262"/>
        <v>0</v>
      </c>
      <c r="AV119" s="36">
        <f>SUM(AR119:AU119)</f>
        <v>0</v>
      </c>
      <c r="AW119" s="36">
        <f t="shared" si="263"/>
        <v>0</v>
      </c>
      <c r="AX119" s="36">
        <f>AX59/AX$102</f>
        <v>0</v>
      </c>
      <c r="AY119" s="36">
        <f t="shared" si="263"/>
        <v>0</v>
      </c>
      <c r="AZ119" s="36">
        <f t="shared" ref="AZ119:BY119" si="267">IF(AZ121&lt;100%, 0, "Review")</f>
        <v>0</v>
      </c>
      <c r="BA119" s="36">
        <f>SUM(AW119:AZ119)</f>
        <v>0</v>
      </c>
      <c r="BB119" s="36" t="str">
        <f t="shared" si="267"/>
        <v>Review</v>
      </c>
      <c r="BC119" s="36" t="str">
        <f t="shared" si="267"/>
        <v>Review</v>
      </c>
      <c r="BD119" s="36" t="str">
        <f t="shared" si="267"/>
        <v>Review</v>
      </c>
      <c r="BE119" s="36" t="str">
        <f t="shared" si="267"/>
        <v>Review</v>
      </c>
      <c r="BF119" s="36">
        <f>SUM(BB119:BE119)</f>
        <v>0</v>
      </c>
      <c r="BG119" s="36" t="str">
        <f t="shared" si="267"/>
        <v>Review</v>
      </c>
      <c r="BH119" s="36" t="str">
        <f t="shared" si="267"/>
        <v>Review</v>
      </c>
      <c r="BI119" s="36" t="str">
        <f t="shared" si="267"/>
        <v>Review</v>
      </c>
      <c r="BJ119" s="36" t="str">
        <f t="shared" si="267"/>
        <v>Review</v>
      </c>
      <c r="BK119" s="36">
        <f>SUM(BG119:BJ119)</f>
        <v>0</v>
      </c>
      <c r="BL119" s="36" t="str">
        <f t="shared" si="267"/>
        <v>Review</v>
      </c>
      <c r="BM119" s="36" t="str">
        <f t="shared" si="267"/>
        <v>Review</v>
      </c>
      <c r="BN119" s="36" t="str">
        <f t="shared" si="267"/>
        <v>Review</v>
      </c>
      <c r="BO119" s="36" t="str">
        <f t="shared" si="267"/>
        <v>Review</v>
      </c>
      <c r="BP119" s="36">
        <f>SUM(BL119:BO119)</f>
        <v>0</v>
      </c>
      <c r="BQ119" s="36" t="str">
        <f t="shared" si="267"/>
        <v>Review</v>
      </c>
      <c r="BR119" s="36" t="str">
        <f t="shared" si="267"/>
        <v>Review</v>
      </c>
      <c r="BS119" s="36" t="str">
        <f t="shared" si="267"/>
        <v>Review</v>
      </c>
      <c r="BT119" s="36" t="str">
        <f t="shared" si="267"/>
        <v>Review</v>
      </c>
      <c r="BU119" s="36">
        <f>SUM(BQ119:BT119)</f>
        <v>0</v>
      </c>
      <c r="BV119" s="36" t="str">
        <f t="shared" si="267"/>
        <v>Review</v>
      </c>
      <c r="BW119" s="36" t="str">
        <f t="shared" si="267"/>
        <v>Review</v>
      </c>
      <c r="BX119" s="36" t="str">
        <f t="shared" si="267"/>
        <v>Review</v>
      </c>
      <c r="BY119" s="36" t="str">
        <f t="shared" si="267"/>
        <v>Review</v>
      </c>
      <c r="BZ119" s="36">
        <f>SUM(BV119:BY119)</f>
        <v>0</v>
      </c>
    </row>
    <row r="120" spans="1:78">
      <c r="AP120" s="25" t="s">
        <v>1326</v>
      </c>
    </row>
    <row r="121" spans="1:78">
      <c r="A121" s="26" t="s">
        <v>1303</v>
      </c>
      <c r="AD121" s="260">
        <f t="shared" ref="AD121:BI121" si="268">AD850</f>
        <v>1.1179941002949854</v>
      </c>
      <c r="AE121" s="260">
        <f t="shared" si="268"/>
        <v>1.1136890951276102</v>
      </c>
      <c r="AF121" s="260">
        <f t="shared" si="268"/>
        <v>1.0021052631578948</v>
      </c>
      <c r="AG121" s="260">
        <f t="shared" si="268"/>
        <v>1.0021052631578948</v>
      </c>
      <c r="AH121" s="260">
        <f t="shared" si="268"/>
        <v>0.80040322580645162</v>
      </c>
      <c r="AI121" s="260">
        <f t="shared" si="268"/>
        <v>0.70682730923694781</v>
      </c>
      <c r="AJ121" s="260">
        <f t="shared" si="268"/>
        <v>0.66533066132264529</v>
      </c>
      <c r="AK121" s="260">
        <f t="shared" si="268"/>
        <v>0.63545816733067728</v>
      </c>
      <c r="AL121" s="260">
        <f t="shared" si="268"/>
        <v>0.63545816733067728</v>
      </c>
      <c r="AM121" s="260">
        <f t="shared" si="268"/>
        <v>0.64092664092664098</v>
      </c>
      <c r="AN121" s="260">
        <f t="shared" si="268"/>
        <v>0.60344827586206895</v>
      </c>
      <c r="AO121" s="260">
        <f t="shared" si="268"/>
        <v>0.6367112810707457</v>
      </c>
      <c r="AP121" s="260">
        <f t="shared" si="268"/>
        <v>0.63167938931297707</v>
      </c>
      <c r="AQ121" s="260">
        <f t="shared" si="268"/>
        <v>0.63167938931297707</v>
      </c>
      <c r="AR121" s="260">
        <f t="shared" si="268"/>
        <v>0.58679245283018866</v>
      </c>
      <c r="AS121" s="260">
        <f t="shared" si="268"/>
        <v>0.60820895522388063</v>
      </c>
      <c r="AT121" s="260">
        <f t="shared" si="268"/>
        <v>0.59782608695652173</v>
      </c>
      <c r="AU121" s="260">
        <f t="shared" si="268"/>
        <v>0.62335526315789469</v>
      </c>
      <c r="AV121" s="260">
        <f t="shared" si="268"/>
        <v>0.62335526315789469</v>
      </c>
      <c r="AW121" s="260">
        <f t="shared" si="268"/>
        <v>0.68829337094499299</v>
      </c>
      <c r="AX121" s="260">
        <f t="shared" si="268"/>
        <v>0.87652645861601086</v>
      </c>
      <c r="AY121" s="260">
        <f t="shared" si="268"/>
        <v>0.97373949579831931</v>
      </c>
      <c r="AZ121" s="260">
        <f t="shared" si="268"/>
        <v>0.97042842215256009</v>
      </c>
      <c r="BA121" s="260">
        <f t="shared" si="268"/>
        <v>0.97042842215256009</v>
      </c>
      <c r="BB121" s="260">
        <f t="shared" si="268"/>
        <v>1.1726111636707663</v>
      </c>
      <c r="BC121" s="260">
        <f t="shared" si="268"/>
        <v>1.1743733794295592</v>
      </c>
      <c r="BD121" s="260">
        <f t="shared" si="268"/>
        <v>1.1758949880668257</v>
      </c>
      <c r="BE121" s="260">
        <f t="shared" si="268"/>
        <v>1.1754972155926811</v>
      </c>
      <c r="BF121" s="260">
        <f t="shared" si="268"/>
        <v>1.1754972155926811</v>
      </c>
      <c r="BG121" s="260">
        <f t="shared" si="268"/>
        <v>1.1889021479713604</v>
      </c>
      <c r="BH121" s="260">
        <f t="shared" si="268"/>
        <v>1.2021877486077963</v>
      </c>
      <c r="BI121" s="260">
        <f t="shared" si="268"/>
        <v>1.2153142402545745</v>
      </c>
      <c r="BJ121" s="260">
        <f t="shared" ref="BJ121:BZ121" si="269">BJ850</f>
        <v>1.2282816229116944</v>
      </c>
      <c r="BK121" s="260">
        <f t="shared" si="269"/>
        <v>1.2282816229116944</v>
      </c>
      <c r="BL121" s="260">
        <f t="shared" si="269"/>
        <v>1.2410898965791568</v>
      </c>
      <c r="BM121" s="260">
        <f t="shared" si="269"/>
        <v>1.2535401750198887</v>
      </c>
      <c r="BN121" s="260">
        <f t="shared" si="269"/>
        <v>1.2656324582338903</v>
      </c>
      <c r="BO121" s="260">
        <f t="shared" si="269"/>
        <v>1.277326968973747</v>
      </c>
      <c r="BP121" s="260">
        <f t="shared" si="269"/>
        <v>1.277326968973747</v>
      </c>
      <c r="BQ121" s="260">
        <f t="shared" si="269"/>
        <v>1.2886237072394591</v>
      </c>
      <c r="BR121" s="260">
        <f t="shared" si="269"/>
        <v>1.2992840095465394</v>
      </c>
      <c r="BS121" s="260">
        <f t="shared" si="269"/>
        <v>1.3093078758949881</v>
      </c>
      <c r="BT121" s="260">
        <f t="shared" si="269"/>
        <v>1.3186555290373907</v>
      </c>
      <c r="BU121" s="260">
        <f t="shared" si="269"/>
        <v>1.3186555290373907</v>
      </c>
      <c r="BV121" s="260">
        <f t="shared" si="269"/>
        <v>1.327326968973747</v>
      </c>
      <c r="BW121" s="260">
        <f t="shared" si="269"/>
        <v>1.3353221957040573</v>
      </c>
      <c r="BX121" s="260">
        <f t="shared" si="269"/>
        <v>1.342601431980907</v>
      </c>
      <c r="BY121" s="260">
        <f t="shared" si="269"/>
        <v>1.3491646778042961</v>
      </c>
      <c r="BZ121" s="260">
        <f t="shared" si="269"/>
        <v>1.3491646778042961</v>
      </c>
    </row>
    <row r="122" spans="1:78">
      <c r="AP122" s="25"/>
    </row>
    <row r="123" spans="1:78" s="179" customFormat="1">
      <c r="A123" s="178" t="s">
        <v>628</v>
      </c>
    </row>
    <row r="125" spans="1:78">
      <c r="A125" s="28" t="s">
        <v>103</v>
      </c>
      <c r="AH125" s="36">
        <f>AH63/AH$102</f>
        <v>3.7740235585864852</v>
      </c>
    </row>
    <row r="126" spans="1:78">
      <c r="A126" s="28" t="s">
        <v>492</v>
      </c>
      <c r="AH126" s="36">
        <f>AH64/AH$102</f>
        <v>-2519.8000619962804</v>
      </c>
      <c r="AZ126" s="522" t="s">
        <v>1375</v>
      </c>
      <c r="BA126" s="647"/>
      <c r="BB126" s="647"/>
      <c r="BC126" s="647"/>
      <c r="BD126" s="647"/>
    </row>
    <row r="127" spans="1:78">
      <c r="A127" s="28" t="s">
        <v>659</v>
      </c>
      <c r="AH127" s="36">
        <f>AH65/AH$102</f>
        <v>-2518.1029138251706</v>
      </c>
      <c r="AI127" s="36">
        <f t="shared" ref="AI127:AK128" si="270">AI65/AI$102</f>
        <v>-350.84366887799246</v>
      </c>
      <c r="AJ127" s="36">
        <f t="shared" si="270"/>
        <v>-489.727968262964</v>
      </c>
      <c r="AK127" s="36">
        <f t="shared" si="270"/>
        <v>-743.63650007504134</v>
      </c>
      <c r="AL127" s="36">
        <f>SUM(AH127:AK127)</f>
        <v>-4102.3110510411689</v>
      </c>
      <c r="AM127" s="36">
        <f t="shared" ref="AM127:AO128" si="271">AM65/AM$102</f>
        <v>343.89979002244587</v>
      </c>
      <c r="AN127" s="36">
        <f t="shared" si="271"/>
        <v>-96.960946094609469</v>
      </c>
      <c r="AO127" s="36">
        <f t="shared" si="271"/>
        <v>280.59183673469386</v>
      </c>
      <c r="AP127" s="36">
        <f t="shared" ref="AP127" si="272">AP65/AP$102</f>
        <v>-5.2681409346047205</v>
      </c>
      <c r="AQ127" s="36">
        <f>SUM(AM127:AP127)</f>
        <v>522.26253972792551</v>
      </c>
      <c r="AR127" s="36">
        <f t="shared" ref="AR127:AU128" si="273">AR65/AR$102</f>
        <v>-82.993675333801832</v>
      </c>
      <c r="AS127" s="36">
        <f t="shared" si="273"/>
        <v>214.30853187807801</v>
      </c>
      <c r="AT127" s="36">
        <f t="shared" si="273"/>
        <v>-124.18715305313243</v>
      </c>
      <c r="AU127" s="36">
        <f t="shared" si="273"/>
        <v>50.284406668846032</v>
      </c>
      <c r="AV127" s="36">
        <f>SUM(AR127:AU127)</f>
        <v>57.41211015998978</v>
      </c>
      <c r="AW127" s="36">
        <f t="shared" ref="AW127:AY127" si="274">AW65/AW$102</f>
        <v>484.76479096356502</v>
      </c>
      <c r="AX127" s="36">
        <f t="shared" si="274"/>
        <v>127.47118644067797</v>
      </c>
      <c r="AY127" s="36">
        <f t="shared" si="274"/>
        <v>-106.69306673591275</v>
      </c>
      <c r="AZ127" s="613">
        <f>AZ993-AY993</f>
        <v>130</v>
      </c>
      <c r="BA127" s="36">
        <f>SUM(AW127:AZ127)</f>
        <v>635.54291066833025</v>
      </c>
      <c r="BB127" s="36">
        <f>BB993-BA993</f>
        <v>130</v>
      </c>
      <c r="BC127" s="36">
        <f>BC993-BB993</f>
        <v>130</v>
      </c>
      <c r="BD127" s="36">
        <f>BD993-BC993</f>
        <v>135</v>
      </c>
      <c r="BE127" s="36">
        <f>BE993-BD993</f>
        <v>135</v>
      </c>
      <c r="BF127" s="36">
        <f>SUM(BB127:BE127)</f>
        <v>530</v>
      </c>
      <c r="BG127" s="36">
        <f>BG993-BF993</f>
        <v>135</v>
      </c>
      <c r="BH127" s="36">
        <f>BH993-BG993</f>
        <v>130</v>
      </c>
      <c r="BI127" s="36">
        <f>BI993-BH993</f>
        <v>130</v>
      </c>
      <c r="BJ127" s="36">
        <f>BJ993-BI993</f>
        <v>130</v>
      </c>
      <c r="BK127" s="36">
        <f>SUM(BG127:BJ127)</f>
        <v>525</v>
      </c>
      <c r="BL127" s="36">
        <f>BL993-BK993</f>
        <v>125</v>
      </c>
      <c r="BM127" s="36">
        <f>BM993-BL993</f>
        <v>120</v>
      </c>
      <c r="BN127" s="36">
        <f>BN993-BM993</f>
        <v>115</v>
      </c>
      <c r="BO127" s="36">
        <f>BO993-BN993</f>
        <v>115</v>
      </c>
      <c r="BP127" s="36">
        <f>SUM(BL127:BO127)</f>
        <v>475</v>
      </c>
      <c r="BQ127" s="36">
        <f>BQ993-BP993</f>
        <v>110</v>
      </c>
      <c r="BR127" s="36">
        <f>BR993-BQ993</f>
        <v>105</v>
      </c>
      <c r="BS127" s="36">
        <f>BS993-BR993</f>
        <v>100</v>
      </c>
      <c r="BT127" s="36">
        <f>BT993-BS993</f>
        <v>90</v>
      </c>
      <c r="BU127" s="36">
        <f>SUM(BQ127:BT127)</f>
        <v>405</v>
      </c>
      <c r="BV127" s="36">
        <f>BV993-BU993</f>
        <v>85</v>
      </c>
      <c r="BW127" s="36">
        <f>BW993-BV993</f>
        <v>80</v>
      </c>
      <c r="BX127" s="36">
        <f>BX993-BW993</f>
        <v>75</v>
      </c>
      <c r="BY127" s="36">
        <f>BY993-BX993</f>
        <v>65</v>
      </c>
      <c r="BZ127" s="36">
        <f>SUM(BV127:BY127)</f>
        <v>305</v>
      </c>
    </row>
    <row r="128" spans="1:78">
      <c r="A128" s="1" t="s">
        <v>489</v>
      </c>
      <c r="AH128" s="36">
        <f>AH66/AH$102</f>
        <v>200.13174209547429</v>
      </c>
      <c r="AI128" s="36">
        <f t="shared" si="270"/>
        <v>41.750793192962213</v>
      </c>
      <c r="AJ128" s="36">
        <f t="shared" si="270"/>
        <v>86.943893454236331</v>
      </c>
      <c r="AK128" s="36">
        <f t="shared" si="270"/>
        <v>115.66861773975687</v>
      </c>
      <c r="AL128" s="36">
        <f>SUM(AH128:AK128)</f>
        <v>444.49504648242976</v>
      </c>
      <c r="AM128" s="36">
        <f t="shared" si="271"/>
        <v>23.206140033306781</v>
      </c>
      <c r="AN128" s="36">
        <f t="shared" si="271"/>
        <v>38.07755775577558</v>
      </c>
      <c r="AO128" s="36">
        <f t="shared" si="271"/>
        <v>15.986394557823129</v>
      </c>
      <c r="AP128" s="36">
        <f t="shared" ref="AP128" si="275">AP66/AP$102</f>
        <v>41.685264083316426</v>
      </c>
      <c r="AQ128" s="36">
        <f>SUM(AM128:AP128)</f>
        <v>118.95535643022191</v>
      </c>
      <c r="AR128" s="36">
        <f t="shared" ref="AR128:AT128" si="276">AR66/AR$102</f>
        <v>33.801827125790581</v>
      </c>
      <c r="AS128" s="36">
        <f t="shared" si="276"/>
        <v>-10.162385198988421</v>
      </c>
      <c r="AT128" s="36">
        <f t="shared" si="276"/>
        <v>14.426381178958499</v>
      </c>
      <c r="AU128" s="36">
        <f t="shared" si="273"/>
        <v>20.523046747303042</v>
      </c>
      <c r="AV128" s="36">
        <f>SUM(AR128:AU128)</f>
        <v>58.588869853063699</v>
      </c>
      <c r="AW128" s="36">
        <f t="shared" ref="AW128:AY128" si="277">AW66/AW$102</f>
        <v>-25.662924443832221</v>
      </c>
      <c r="AX128" s="36">
        <f t="shared" si="277"/>
        <v>1.6474576271186441</v>
      </c>
      <c r="AY128" s="36">
        <f t="shared" si="277"/>
        <v>10.445338873019995</v>
      </c>
      <c r="AZ128" s="36">
        <f>AZ66/AZ$102</f>
        <v>15.938541134389366</v>
      </c>
      <c r="BA128" s="36">
        <f>SUM(AW128:AZ128)</f>
        <v>2.3684131906957848</v>
      </c>
      <c r="BB128" s="36">
        <f>BB66/BB$102</f>
        <v>0.16250000000000142</v>
      </c>
      <c r="BC128" s="36">
        <f>BC66/BC$102</f>
        <v>-20.7</v>
      </c>
      <c r="BD128" s="36">
        <f>BD66/BD$102</f>
        <v>-21.5625</v>
      </c>
      <c r="BE128" s="36">
        <f>BE66/BE$102</f>
        <v>-67.424999999999997</v>
      </c>
      <c r="BF128" s="36">
        <f>SUM(BB128:BE128)</f>
        <v>-109.52499999999999</v>
      </c>
      <c r="BG128" s="36">
        <f>BG66/BG$102</f>
        <v>-80.362499999999997</v>
      </c>
      <c r="BH128" s="36">
        <f>BH66/BH$102</f>
        <v>-81.224999999999994</v>
      </c>
      <c r="BI128" s="36">
        <f>BI66/BI$102</f>
        <v>-77.087500000000006</v>
      </c>
      <c r="BJ128" s="36">
        <f>BJ66/BJ$102</f>
        <v>-78.8125</v>
      </c>
      <c r="BK128" s="36">
        <f>SUM(BG128:BJ128)</f>
        <v>-317.48749999999995</v>
      </c>
      <c r="BL128" s="36">
        <f>BL66/BL$102</f>
        <v>-88.474999999999994</v>
      </c>
      <c r="BM128" s="36">
        <f>BM66/BM$102</f>
        <v>-89.337500000000006</v>
      </c>
      <c r="BN128" s="36">
        <f>BN66/BN$102</f>
        <v>-81.0625</v>
      </c>
      <c r="BO128" s="36">
        <f>BO66/BO$102</f>
        <v>-81.925000000000011</v>
      </c>
      <c r="BP128" s="36">
        <f>SUM(BL128:BO128)</f>
        <v>-340.8</v>
      </c>
      <c r="BQ128" s="36">
        <f>BQ66/BQ$102</f>
        <v>-78.649999999999977</v>
      </c>
      <c r="BR128" s="36">
        <f>BR66/BR$102</f>
        <v>-74.512499999999989</v>
      </c>
      <c r="BS128" s="36">
        <f>BS66/BS$102</f>
        <v>-71.237500000000011</v>
      </c>
      <c r="BT128" s="36">
        <f>BT66/BT$102</f>
        <v>-67.100000000000023</v>
      </c>
      <c r="BU128" s="36">
        <f>SUM(BQ128:BT128)</f>
        <v>-291.5</v>
      </c>
      <c r="BV128" s="36">
        <f>BV66/BV$102</f>
        <v>-63.824999999999989</v>
      </c>
      <c r="BW128" s="36">
        <f>BW66/BW$102</f>
        <v>-59.6875</v>
      </c>
      <c r="BX128" s="36">
        <f>BX66/BX$102</f>
        <v>-56.412500000000023</v>
      </c>
      <c r="BY128" s="36">
        <f>BY66/BY$102</f>
        <v>-48.137499999999989</v>
      </c>
      <c r="BZ128" s="36">
        <f>SUM(BV128:BY128)</f>
        <v>-228.0625</v>
      </c>
    </row>
    <row r="130" spans="1:78" s="12" customFormat="1">
      <c r="A130" s="13" t="s">
        <v>117</v>
      </c>
    </row>
    <row r="132" spans="1:78">
      <c r="A132" s="42" t="s">
        <v>118</v>
      </c>
    </row>
    <row r="133" spans="1:78">
      <c r="A133" s="5" t="s">
        <v>119</v>
      </c>
      <c r="AH133" s="38">
        <f t="shared" ref="AH133:AK137" si="278">AH70/AH$102</f>
        <v>-10175.457222566647</v>
      </c>
      <c r="AI133" s="38">
        <f t="shared" si="278"/>
        <v>-5013.051629650995</v>
      </c>
      <c r="AJ133" s="38">
        <f t="shared" si="278"/>
        <v>-2530.2493624256163</v>
      </c>
      <c r="AK133" s="38">
        <f t="shared" si="278"/>
        <v>406.78373105207868</v>
      </c>
      <c r="AL133" s="36">
        <f>SUM(AH133:AK133)</f>
        <v>-17311.974483591181</v>
      </c>
      <c r="AM133" s="38">
        <f t="shared" ref="AM133:AP137" si="279">AM70/AM$102</f>
        <v>949.78640214321911</v>
      </c>
      <c r="AN133" s="38">
        <f t="shared" si="279"/>
        <v>2413.3594609460947</v>
      </c>
      <c r="AO133" s="38">
        <f t="shared" si="279"/>
        <v>1940.2925170068027</v>
      </c>
      <c r="AP133" s="38">
        <f t="shared" si="279"/>
        <v>10.1034692635423</v>
      </c>
      <c r="AQ133" s="36">
        <f>SUM(AM133:AP133)</f>
        <v>5313.541849359659</v>
      </c>
      <c r="AR133" s="38">
        <f t="shared" ref="AR133:AU133" si="280">AR70/AR$102</f>
        <v>2827.2024532038586</v>
      </c>
      <c r="AS133" s="38">
        <f t="shared" si="280"/>
        <v>3020.7773193131907</v>
      </c>
      <c r="AT133" s="38">
        <f t="shared" si="280"/>
        <v>-1031.8662437219139</v>
      </c>
      <c r="AU133" s="38">
        <f t="shared" si="280"/>
        <v>1848.1137626675386</v>
      </c>
      <c r="AV133" s="36">
        <f>SUM(AR133:AU133)</f>
        <v>6664.2272914626737</v>
      </c>
      <c r="AW133" s="38">
        <f t="shared" ref="AW133:AY133" si="281">AW70/AW$102</f>
        <v>3563.461670913975</v>
      </c>
      <c r="AX133" s="38">
        <f t="shared" si="281"/>
        <v>5780.1220338983048</v>
      </c>
      <c r="AY133" s="38">
        <f t="shared" si="281"/>
        <v>-4050.7400675149315</v>
      </c>
      <c r="AZ133" s="36">
        <f>AZ111</f>
        <v>-1890</v>
      </c>
      <c r="BA133" s="36">
        <f>SUM(AW133:AZ133)</f>
        <v>3402.8436372973483</v>
      </c>
      <c r="BB133" s="36">
        <f>BB111</f>
        <v>375</v>
      </c>
      <c r="BC133" s="36">
        <f>BC111</f>
        <v>345</v>
      </c>
      <c r="BD133" s="36">
        <f>BD111</f>
        <v>320</v>
      </c>
      <c r="BE133" s="36">
        <f>BE111</f>
        <v>290</v>
      </c>
      <c r="BF133" s="36">
        <f>SUM(BB133:BE133)</f>
        <v>1330</v>
      </c>
      <c r="BG133" s="36">
        <f>BG111</f>
        <v>260</v>
      </c>
      <c r="BH133" s="36">
        <f>BH111</f>
        <v>240</v>
      </c>
      <c r="BI133" s="36">
        <f>BI111</f>
        <v>220</v>
      </c>
      <c r="BJ133" s="36">
        <f>BJ111</f>
        <v>195</v>
      </c>
      <c r="BK133" s="36">
        <f>SUM(BG133:BJ133)</f>
        <v>915</v>
      </c>
      <c r="BL133" s="36">
        <f>BL111</f>
        <v>170</v>
      </c>
      <c r="BM133" s="36">
        <f>BM111</f>
        <v>150</v>
      </c>
      <c r="BN133" s="36">
        <f>BN111</f>
        <v>125</v>
      </c>
      <c r="BO133" s="36">
        <f>BO111</f>
        <v>100</v>
      </c>
      <c r="BP133" s="36">
        <f>SUM(BL133:BO133)</f>
        <v>545</v>
      </c>
      <c r="BQ133" s="36">
        <f>BQ111</f>
        <v>75</v>
      </c>
      <c r="BR133" s="36">
        <f>BR111</f>
        <v>50</v>
      </c>
      <c r="BS133" s="36">
        <f>BS111</f>
        <v>25</v>
      </c>
      <c r="BT133" s="36">
        <f>BT111</f>
        <v>0</v>
      </c>
      <c r="BU133" s="36">
        <f>SUM(BQ133:BT133)</f>
        <v>150</v>
      </c>
      <c r="BV133" s="36">
        <f>BV111</f>
        <v>0</v>
      </c>
      <c r="BW133" s="36">
        <f>BW111</f>
        <v>0</v>
      </c>
      <c r="BX133" s="36">
        <f>BX111</f>
        <v>0</v>
      </c>
      <c r="BY133" s="36">
        <f>BY111</f>
        <v>0</v>
      </c>
      <c r="BZ133" s="36">
        <f>SUM(BV133:BY133)</f>
        <v>0</v>
      </c>
    </row>
    <row r="134" spans="1:78">
      <c r="A134" s="5" t="s">
        <v>120</v>
      </c>
      <c r="AH134" s="38">
        <f t="shared" si="278"/>
        <v>-10051.557656540608</v>
      </c>
      <c r="AI134" s="38">
        <f t="shared" si="278"/>
        <v>-4595.5292760311504</v>
      </c>
      <c r="AJ134" s="38">
        <f t="shared" si="278"/>
        <v>-2165.1884386511761</v>
      </c>
      <c r="AK134" s="38">
        <f t="shared" si="278"/>
        <v>-1541.5578568212518</v>
      </c>
      <c r="AL134" s="36">
        <f>SUM(AH134:AK134)</f>
        <v>-18353.833228044186</v>
      </c>
      <c r="AM134" s="38">
        <f t="shared" si="279"/>
        <v>-318.35493447252185</v>
      </c>
      <c r="AN134" s="38">
        <f t="shared" si="279"/>
        <v>-2084.2546754675468</v>
      </c>
      <c r="AO134" s="38">
        <f t="shared" si="279"/>
        <v>1703.0204081632653</v>
      </c>
      <c r="AP134" s="38">
        <f t="shared" si="279"/>
        <v>-336.20071684587811</v>
      </c>
      <c r="AQ134" s="36">
        <f>SUM(AM134:AP134)</f>
        <v>-1035.7899186226816</v>
      </c>
      <c r="AR134" s="38">
        <f t="shared" ref="AR134:AU134" si="282">AR71/AR$102</f>
        <v>-2642.6180284929405</v>
      </c>
      <c r="AS134" s="38">
        <f t="shared" si="282"/>
        <v>912.91095434580063</v>
      </c>
      <c r="AT134" s="38">
        <f t="shared" si="282"/>
        <v>-1169.0919904837431</v>
      </c>
      <c r="AU134" s="38">
        <f t="shared" si="282"/>
        <v>-707.9045439686173</v>
      </c>
      <c r="AV134" s="36">
        <f>SUM(AR134:AU134)</f>
        <v>-3606.7036085995001</v>
      </c>
      <c r="AW134" s="38">
        <f t="shared" ref="AW134:AY134" si="283">AW71/AW$102</f>
        <v>788.29809215510716</v>
      </c>
      <c r="AX134" s="38">
        <f t="shared" si="283"/>
        <v>13001.84406779661</v>
      </c>
      <c r="AY134" s="38">
        <f t="shared" si="283"/>
        <v>6556.6346403531552</v>
      </c>
      <c r="AZ134" s="36">
        <f>AZ118</f>
        <v>170</v>
      </c>
      <c r="BA134" s="36">
        <f>SUM(AW134:AZ134)</f>
        <v>20516.776800304873</v>
      </c>
      <c r="BB134" s="36">
        <f>BB118</f>
        <v>31075</v>
      </c>
      <c r="BC134" s="36">
        <f>BC118</f>
        <v>11930</v>
      </c>
      <c r="BD134" s="36">
        <f>BD118</f>
        <v>11935</v>
      </c>
      <c r="BE134" s="36">
        <f>BE118</f>
        <v>-50</v>
      </c>
      <c r="BF134" s="36">
        <f>SUM(BB134:BE134)</f>
        <v>54890</v>
      </c>
      <c r="BG134" s="36">
        <f>BG118</f>
        <v>1685</v>
      </c>
      <c r="BH134" s="36">
        <f>BH118</f>
        <v>1670</v>
      </c>
      <c r="BI134" s="36">
        <f>BI118</f>
        <v>1650</v>
      </c>
      <c r="BJ134" s="36">
        <f>BJ118</f>
        <v>1630</v>
      </c>
      <c r="BK134" s="36">
        <f>SUM(BG134:BJ134)</f>
        <v>6635</v>
      </c>
      <c r="BL134" s="36">
        <f>BL118</f>
        <v>1610</v>
      </c>
      <c r="BM134" s="36">
        <f>BM118</f>
        <v>1565</v>
      </c>
      <c r="BN134" s="36">
        <f>BN118</f>
        <v>1520</v>
      </c>
      <c r="BO134" s="36">
        <f>BO118</f>
        <v>1470</v>
      </c>
      <c r="BP134" s="36">
        <f>SUM(BL134:BO134)</f>
        <v>6165</v>
      </c>
      <c r="BQ134" s="36">
        <f>BQ118</f>
        <v>1420</v>
      </c>
      <c r="BR134" s="36">
        <f>BR118</f>
        <v>1340</v>
      </c>
      <c r="BS134" s="36">
        <f>BS118</f>
        <v>1260</v>
      </c>
      <c r="BT134" s="36">
        <f>BT118</f>
        <v>1175</v>
      </c>
      <c r="BU134" s="36">
        <f>SUM(BQ134:BT134)</f>
        <v>5195</v>
      </c>
      <c r="BV134" s="36">
        <f>BV118</f>
        <v>1090</v>
      </c>
      <c r="BW134" s="36">
        <f>BW118</f>
        <v>1005</v>
      </c>
      <c r="BX134" s="36">
        <f>BX118</f>
        <v>915</v>
      </c>
      <c r="BY134" s="36">
        <f>BY118</f>
        <v>825</v>
      </c>
      <c r="BZ134" s="36">
        <f>SUM(BV134:BY134)</f>
        <v>3835</v>
      </c>
    </row>
    <row r="135" spans="1:78">
      <c r="A135" s="5" t="s">
        <v>121</v>
      </c>
      <c r="AH135" s="38">
        <f t="shared" si="278"/>
        <v>-2518.1029138251706</v>
      </c>
      <c r="AI135" s="38">
        <f t="shared" si="278"/>
        <v>-350.84366887799246</v>
      </c>
      <c r="AJ135" s="38">
        <f t="shared" si="278"/>
        <v>-489.727968262964</v>
      </c>
      <c r="AK135" s="38">
        <f t="shared" si="278"/>
        <v>-743.63650007504134</v>
      </c>
      <c r="AL135" s="36">
        <f>SUM(AH135:AK135)</f>
        <v>-4102.3110510411689</v>
      </c>
      <c r="AM135" s="38">
        <f t="shared" si="279"/>
        <v>343.89979002244587</v>
      </c>
      <c r="AN135" s="38">
        <f t="shared" si="279"/>
        <v>-96.960946094609469</v>
      </c>
      <c r="AO135" s="38">
        <f t="shared" si="279"/>
        <v>280.59183673469386</v>
      </c>
      <c r="AP135" s="38">
        <f t="shared" si="279"/>
        <v>-5.2681409346047205</v>
      </c>
      <c r="AQ135" s="36">
        <f>SUM(AM135:AP135)</f>
        <v>522.26253972792551</v>
      </c>
      <c r="AR135" s="38">
        <f t="shared" ref="AR135:AU135" si="284">AR72/AR$102</f>
        <v>-82.993675333801832</v>
      </c>
      <c r="AS135" s="38">
        <f t="shared" si="284"/>
        <v>214.30853187807801</v>
      </c>
      <c r="AT135" s="38">
        <f t="shared" si="284"/>
        <v>-124.18715305313243</v>
      </c>
      <c r="AU135" s="38">
        <f t="shared" si="284"/>
        <v>50.284406668846032</v>
      </c>
      <c r="AV135" s="36">
        <f>SUM(AR135:AU135)</f>
        <v>57.41211015998978</v>
      </c>
      <c r="AW135" s="38">
        <f t="shared" ref="AW135:AY135" si="285">AW72/AW$102</f>
        <v>484.76479096356502</v>
      </c>
      <c r="AX135" s="38">
        <f t="shared" si="285"/>
        <v>127.47118644067797</v>
      </c>
      <c r="AY135" s="38">
        <f t="shared" si="285"/>
        <v>-106.69306673591275</v>
      </c>
      <c r="AZ135" s="36">
        <f>AZ127</f>
        <v>130</v>
      </c>
      <c r="BA135" s="36">
        <f>SUM(AW135:AZ135)</f>
        <v>635.54291066833025</v>
      </c>
      <c r="BB135" s="36">
        <f>BB127</f>
        <v>130</v>
      </c>
      <c r="BC135" s="36">
        <f>BC127</f>
        <v>130</v>
      </c>
      <c r="BD135" s="36">
        <f>BD127</f>
        <v>135</v>
      </c>
      <c r="BE135" s="36">
        <f>BE127</f>
        <v>135</v>
      </c>
      <c r="BF135" s="36">
        <f>SUM(BB135:BE135)</f>
        <v>530</v>
      </c>
      <c r="BG135" s="36">
        <f>BG127</f>
        <v>135</v>
      </c>
      <c r="BH135" s="36">
        <f>BH127</f>
        <v>130</v>
      </c>
      <c r="BI135" s="36">
        <f>BI127</f>
        <v>130</v>
      </c>
      <c r="BJ135" s="36">
        <f>BJ127</f>
        <v>130</v>
      </c>
      <c r="BK135" s="36">
        <f>SUM(BG135:BJ135)</f>
        <v>525</v>
      </c>
      <c r="BL135" s="36">
        <f>BL127</f>
        <v>125</v>
      </c>
      <c r="BM135" s="36">
        <f>BM127</f>
        <v>120</v>
      </c>
      <c r="BN135" s="36">
        <f>BN127</f>
        <v>115</v>
      </c>
      <c r="BO135" s="36">
        <f>BO127</f>
        <v>115</v>
      </c>
      <c r="BP135" s="36">
        <f>SUM(BL135:BO135)</f>
        <v>475</v>
      </c>
      <c r="BQ135" s="36">
        <f>BQ127</f>
        <v>110</v>
      </c>
      <c r="BR135" s="36">
        <f>BR127</f>
        <v>105</v>
      </c>
      <c r="BS135" s="36">
        <f>BS127</f>
        <v>100</v>
      </c>
      <c r="BT135" s="36">
        <f>BT127</f>
        <v>90</v>
      </c>
      <c r="BU135" s="36">
        <f>SUM(BQ135:BT135)</f>
        <v>405</v>
      </c>
      <c r="BV135" s="36">
        <f>BV127</f>
        <v>85</v>
      </c>
      <c r="BW135" s="36">
        <f>BW127</f>
        <v>80</v>
      </c>
      <c r="BX135" s="36">
        <f>BX127</f>
        <v>75</v>
      </c>
      <c r="BY135" s="36">
        <f>BY127</f>
        <v>65</v>
      </c>
      <c r="BZ135" s="36">
        <f>SUM(BV135:BY135)</f>
        <v>305</v>
      </c>
    </row>
    <row r="136" spans="1:78">
      <c r="A136" s="5" t="s">
        <v>122</v>
      </c>
      <c r="AH136" s="38">
        <f t="shared" si="278"/>
        <v>9.1831990080595176</v>
      </c>
      <c r="AI136" s="38">
        <f t="shared" si="278"/>
        <v>19.296221517161811</v>
      </c>
      <c r="AJ136" s="38">
        <f t="shared" si="278"/>
        <v>11.200056673278549</v>
      </c>
      <c r="AK136" s="38">
        <f t="shared" si="278"/>
        <v>101.47080894491971</v>
      </c>
      <c r="AL136" s="36">
        <f>SUM(AH136:AK136)</f>
        <v>141.15028614341958</v>
      </c>
      <c r="AM136" s="38">
        <f t="shared" si="279"/>
        <v>181.52197523712979</v>
      </c>
      <c r="AN136" s="38">
        <f t="shared" si="279"/>
        <v>-85.258525852585265</v>
      </c>
      <c r="AO136" s="38">
        <f t="shared" si="279"/>
        <v>162.70748299319729</v>
      </c>
      <c r="AP136" s="38">
        <f t="shared" si="279"/>
        <v>-57.672279705146408</v>
      </c>
      <c r="AQ136" s="36">
        <f>SUM(AM136:AP136)</f>
        <v>201.29865267259538</v>
      </c>
      <c r="AR136" s="38">
        <f t="shared" ref="AR136:AU136" si="286">AR73/AR$102</f>
        <v>-89.382227049127962</v>
      </c>
      <c r="AS136" s="38">
        <f t="shared" si="286"/>
        <v>-98.502595501131381</v>
      </c>
      <c r="AT136" s="38">
        <f t="shared" si="286"/>
        <v>-5.9939201691779012</v>
      </c>
      <c r="AU136" s="38">
        <f t="shared" si="286"/>
        <v>-31.53318077803204</v>
      </c>
      <c r="AV136" s="36">
        <f>SUM(AR136:AU136)</f>
        <v>-225.41192349746927</v>
      </c>
      <c r="AW136" s="38">
        <f t="shared" ref="AW136:AY136" si="287">AW73/AW$102</f>
        <v>169.58468214064331</v>
      </c>
      <c r="AX136" s="38">
        <f t="shared" si="287"/>
        <v>136.87457627118644</v>
      </c>
      <c r="AY136" s="38">
        <f t="shared" si="287"/>
        <v>35.153206959231369</v>
      </c>
      <c r="BA136" s="36">
        <f>SUM(AW136:AZ136)</f>
        <v>341.61246537106115</v>
      </c>
      <c r="BF136" s="36">
        <f>SUM(BB136:BE136)</f>
        <v>0</v>
      </c>
      <c r="BK136" s="36">
        <f>SUM(BG136:BJ136)</f>
        <v>0</v>
      </c>
      <c r="BP136" s="36">
        <f>SUM(BL136:BO136)</f>
        <v>0</v>
      </c>
      <c r="BU136" s="36">
        <f>SUM(BQ136:BT136)</f>
        <v>0</v>
      </c>
      <c r="BZ136" s="36">
        <f>SUM(BV136:BY136)</f>
        <v>0</v>
      </c>
    </row>
    <row r="137" spans="1:78">
      <c r="A137" s="9" t="s">
        <v>98</v>
      </c>
      <c r="B137" s="9"/>
      <c r="C137" s="9"/>
      <c r="D137" s="9"/>
      <c r="E137" s="9"/>
      <c r="F137" s="9"/>
      <c r="G137" s="9"/>
      <c r="H137" s="9"/>
      <c r="I137" s="39">
        <f t="shared" ref="I137:L137" si="288">I74/I$102</f>
        <v>942.82770361078758</v>
      </c>
      <c r="J137" s="39">
        <f t="shared" si="288"/>
        <v>727.32088346202192</v>
      </c>
      <c r="K137" s="39">
        <f t="shared" si="288"/>
        <v>445.17473833599433</v>
      </c>
      <c r="L137" s="39">
        <f t="shared" si="288"/>
        <v>611.42857142857144</v>
      </c>
      <c r="M137" s="39">
        <f>SUM(I137:L137)</f>
        <v>2726.7518968373752</v>
      </c>
      <c r="N137" s="39">
        <f t="shared" ref="N137:Q137" si="289">N74/N$102</f>
        <v>2207.1934504645387</v>
      </c>
      <c r="O137" s="39">
        <f t="shared" si="289"/>
        <v>3518.5118780815778</v>
      </c>
      <c r="P137" s="39">
        <f t="shared" si="289"/>
        <v>1563.0417442169637</v>
      </c>
      <c r="Q137" s="39">
        <f t="shared" si="289"/>
        <v>4054.399782726779</v>
      </c>
      <c r="R137" s="39">
        <f>SUM(N137:Q137)</f>
        <v>11343.14685548986</v>
      </c>
      <c r="S137" s="39">
        <f t="shared" ref="S137:V137" si="290">S74/S$102</f>
        <v>3614.818181818182</v>
      </c>
      <c r="T137" s="39">
        <f t="shared" si="290"/>
        <v>-9008.9972144846797</v>
      </c>
      <c r="U137" s="39">
        <f t="shared" si="290"/>
        <v>-2065.7368324463205</v>
      </c>
      <c r="V137" s="39">
        <f t="shared" si="290"/>
        <v>-10378.886650796558</v>
      </c>
      <c r="W137" s="39">
        <f>SUM(S137:V137)</f>
        <v>-17838.802515909374</v>
      </c>
      <c r="X137" s="39">
        <f t="shared" ref="X137:AA137" si="291">X74/X$102</f>
        <v>2752.7102283274553</v>
      </c>
      <c r="Y137" s="39">
        <f t="shared" si="291"/>
        <v>10530.695126558368</v>
      </c>
      <c r="Z137" s="39">
        <f t="shared" si="291"/>
        <v>12979.32024892293</v>
      </c>
      <c r="AA137" s="39">
        <f t="shared" si="291"/>
        <v>33793.345256024098</v>
      </c>
      <c r="AB137" s="39">
        <f>SUM(X137:AA137)</f>
        <v>60056.070859832849</v>
      </c>
      <c r="AC137" s="39">
        <f t="shared" ref="AC137:AF137" si="292">AC74/AC$102</f>
        <v>3559.6545454545453</v>
      </c>
      <c r="AD137" s="39">
        <f t="shared" si="292"/>
        <v>-10271.80229926677</v>
      </c>
      <c r="AE137" s="39">
        <f t="shared" si="292"/>
        <v>1438.5915492957747</v>
      </c>
      <c r="AF137" s="39">
        <f t="shared" si="292"/>
        <v>-25342.561912894962</v>
      </c>
      <c r="AG137" s="39">
        <f>SUM(AC137:AF137)</f>
        <v>-30616.118117411414</v>
      </c>
      <c r="AH137" s="39">
        <f t="shared" si="278"/>
        <v>-22735.934593924365</v>
      </c>
      <c r="AI137" s="39">
        <f t="shared" si="278"/>
        <v>-9940.1283530429755</v>
      </c>
      <c r="AJ137" s="39">
        <f t="shared" si="278"/>
        <v>-5173.9657126664779</v>
      </c>
      <c r="AK137" s="39">
        <f t="shared" si="278"/>
        <v>-1776.9398168992948</v>
      </c>
      <c r="AL137" s="39">
        <f>SUM(AH137:AK137)</f>
        <v>-39626.968476533111</v>
      </c>
      <c r="AM137" s="39">
        <f t="shared" si="279"/>
        <v>1156.853232930273</v>
      </c>
      <c r="AN137" s="39">
        <f t="shared" si="279"/>
        <v>146.88531353135315</v>
      </c>
      <c r="AO137" s="39">
        <f t="shared" si="279"/>
        <v>4086.612244897959</v>
      </c>
      <c r="AP137" s="39">
        <f t="shared" si="279"/>
        <v>-389.03766822208695</v>
      </c>
      <c r="AQ137" s="39">
        <f>SUM(AM137:AP137)</f>
        <v>5001.3131231374982</v>
      </c>
      <c r="AR137" s="39">
        <f t="shared" ref="AR137:AU137" si="293">AR74/AR$102</f>
        <v>12.208522327988245</v>
      </c>
      <c r="AS137" s="39">
        <f t="shared" si="293"/>
        <v>4049.4942100359381</v>
      </c>
      <c r="AT137" s="39">
        <f t="shared" si="293"/>
        <v>-2331.1393074279672</v>
      </c>
      <c r="AU137" s="39">
        <f t="shared" si="293"/>
        <v>1158.9604445897353</v>
      </c>
      <c r="AV137" s="39">
        <f>SUM(AR137:AU137)</f>
        <v>2889.5238695256944</v>
      </c>
      <c r="AW137" s="39">
        <f t="shared" ref="AW137:AY137" si="294">AW74/AW$102</f>
        <v>5006.1092361732899</v>
      </c>
      <c r="AX137" s="39">
        <f t="shared" si="294"/>
        <v>19046.31186440678</v>
      </c>
      <c r="AY137" s="39">
        <f t="shared" si="294"/>
        <v>2434.3547130615425</v>
      </c>
      <c r="AZ137" s="39">
        <f t="shared" ref="AZ137:BZ137" si="295">SUM(AZ133:AZ136)</f>
        <v>-1590</v>
      </c>
      <c r="BA137" s="39">
        <f t="shared" si="295"/>
        <v>24896.775813641612</v>
      </c>
      <c r="BB137" s="39">
        <f t="shared" si="295"/>
        <v>31580</v>
      </c>
      <c r="BC137" s="39">
        <f t="shared" si="295"/>
        <v>12405</v>
      </c>
      <c r="BD137" s="39">
        <f t="shared" si="295"/>
        <v>12390</v>
      </c>
      <c r="BE137" s="39">
        <f t="shared" si="295"/>
        <v>375</v>
      </c>
      <c r="BF137" s="39">
        <f t="shared" si="295"/>
        <v>56750</v>
      </c>
      <c r="BG137" s="39">
        <f t="shared" si="295"/>
        <v>2080</v>
      </c>
      <c r="BH137" s="39">
        <f t="shared" si="295"/>
        <v>2040</v>
      </c>
      <c r="BI137" s="39">
        <f t="shared" si="295"/>
        <v>2000</v>
      </c>
      <c r="BJ137" s="39">
        <f t="shared" si="295"/>
        <v>1955</v>
      </c>
      <c r="BK137" s="39">
        <f t="shared" si="295"/>
        <v>8075</v>
      </c>
      <c r="BL137" s="39">
        <f t="shared" si="295"/>
        <v>1905</v>
      </c>
      <c r="BM137" s="39">
        <f t="shared" si="295"/>
        <v>1835</v>
      </c>
      <c r="BN137" s="39">
        <f t="shared" si="295"/>
        <v>1760</v>
      </c>
      <c r="BO137" s="39">
        <f t="shared" si="295"/>
        <v>1685</v>
      </c>
      <c r="BP137" s="39">
        <f t="shared" si="295"/>
        <v>7185</v>
      </c>
      <c r="BQ137" s="39">
        <f t="shared" si="295"/>
        <v>1605</v>
      </c>
      <c r="BR137" s="39">
        <f t="shared" si="295"/>
        <v>1495</v>
      </c>
      <c r="BS137" s="39">
        <f t="shared" si="295"/>
        <v>1385</v>
      </c>
      <c r="BT137" s="39">
        <f t="shared" si="295"/>
        <v>1265</v>
      </c>
      <c r="BU137" s="39">
        <f t="shared" si="295"/>
        <v>5750</v>
      </c>
      <c r="BV137" s="39">
        <f t="shared" si="295"/>
        <v>1175</v>
      </c>
      <c r="BW137" s="39">
        <f t="shared" si="295"/>
        <v>1085</v>
      </c>
      <c r="BX137" s="39">
        <f t="shared" si="295"/>
        <v>990</v>
      </c>
      <c r="BY137" s="39">
        <f t="shared" si="295"/>
        <v>890</v>
      </c>
      <c r="BZ137" s="39">
        <f t="shared" si="295"/>
        <v>4140</v>
      </c>
    </row>
    <row r="138" spans="1:78">
      <c r="AR138" s="430" t="s">
        <v>1389</v>
      </c>
      <c r="AS138" s="46"/>
    </row>
    <row r="139" spans="1:78">
      <c r="A139" s="5" t="s">
        <v>123</v>
      </c>
      <c r="I139" s="38">
        <f t="shared" ref="I139:L140" si="296">I76/I$102</f>
        <v>0</v>
      </c>
      <c r="J139" s="38">
        <f t="shared" si="296"/>
        <v>0</v>
      </c>
      <c r="K139" s="38">
        <f t="shared" si="296"/>
        <v>0</v>
      </c>
      <c r="L139" s="38">
        <f t="shared" si="296"/>
        <v>0</v>
      </c>
      <c r="M139" s="36">
        <f>SUM(I139:L139)</f>
        <v>0</v>
      </c>
      <c r="N139" s="38">
        <f t="shared" ref="N139:Q140" si="297">N76/N$102</f>
        <v>0</v>
      </c>
      <c r="O139" s="38">
        <f t="shared" si="297"/>
        <v>0</v>
      </c>
      <c r="P139" s="38">
        <f t="shared" si="297"/>
        <v>0</v>
      </c>
      <c r="Q139" s="38">
        <f t="shared" si="297"/>
        <v>0</v>
      </c>
      <c r="R139" s="36">
        <f>SUM(N139:Q139)</f>
        <v>0</v>
      </c>
      <c r="S139" s="38">
        <f t="shared" ref="S139:V140" si="298">S76/S$102</f>
        <v>0</v>
      </c>
      <c r="T139" s="38">
        <f t="shared" si="298"/>
        <v>0</v>
      </c>
      <c r="U139" s="38">
        <f t="shared" si="298"/>
        <v>0</v>
      </c>
      <c r="V139" s="38">
        <f t="shared" si="298"/>
        <v>0</v>
      </c>
      <c r="W139" s="36">
        <f>SUM(S139:V139)</f>
        <v>0</v>
      </c>
      <c r="X139" s="38">
        <f t="shared" ref="X139:AA140" si="299">X76/X$102</f>
        <v>0</v>
      </c>
      <c r="Y139" s="38">
        <f t="shared" si="299"/>
        <v>-707.67850396675487</v>
      </c>
      <c r="Z139" s="38">
        <f t="shared" si="299"/>
        <v>348.97079942556246</v>
      </c>
      <c r="AA139" s="38">
        <f t="shared" si="299"/>
        <v>-253.75564759036146</v>
      </c>
      <c r="AB139" s="36">
        <f>SUM(X139:AA139)</f>
        <v>-612.46335213155385</v>
      </c>
      <c r="AC139" s="38">
        <f t="shared" ref="AC139:AF140" si="300">AC76/AC$102</f>
        <v>-942.5545454545454</v>
      </c>
      <c r="AD139" s="38">
        <f t="shared" si="300"/>
        <v>-292.75821489997287</v>
      </c>
      <c r="AE139" s="38">
        <f t="shared" si="300"/>
        <v>-457.51760563380282</v>
      </c>
      <c r="AF139" s="38">
        <f t="shared" si="300"/>
        <v>-29.675491033304869</v>
      </c>
      <c r="AG139" s="36">
        <f>SUM(AC139:AF139)</f>
        <v>-1722.5058570216261</v>
      </c>
      <c r="AH139" s="38">
        <f t="shared" ref="AH139:AJ140" si="301">AH76/AH$102</f>
        <v>114.03440793552387</v>
      </c>
      <c r="AI139" s="38">
        <f t="shared" si="301"/>
        <v>-403.19440438419383</v>
      </c>
      <c r="AJ139" s="38">
        <f t="shared" si="301"/>
        <v>546.50042504958913</v>
      </c>
      <c r="AK139" s="38">
        <f t="shared" ref="AK139" si="302">AK76/AK$102</f>
        <v>-590.68737805793194</v>
      </c>
      <c r="AL139" s="36">
        <f>SUM(AH139:AK139)</f>
        <v>-333.34694945701278</v>
      </c>
      <c r="AM139" s="938">
        <f t="shared" ref="AM139:AU140" si="303">AM76/AM$102</f>
        <v>-1251.2924480486568</v>
      </c>
      <c r="AN139" s="938">
        <f t="shared" si="303"/>
        <v>-4067.6705170517052</v>
      </c>
      <c r="AO139" s="38">
        <f t="shared" si="303"/>
        <v>-472.40816326530614</v>
      </c>
      <c r="AP139" s="38">
        <f t="shared" si="303"/>
        <v>-390.67424088726585</v>
      </c>
      <c r="AQ139" s="36">
        <f>SUM(AM139:AP139)</f>
        <v>-6182.0453692529336</v>
      </c>
      <c r="AR139" s="940">
        <f t="shared" si="303"/>
        <v>194.69111352456397</v>
      </c>
      <c r="AS139" s="38">
        <f t="shared" si="303"/>
        <v>-273.42606149341145</v>
      </c>
      <c r="AT139" s="38">
        <f t="shared" si="303"/>
        <v>90.695215437483483</v>
      </c>
      <c r="AU139" s="38">
        <f t="shared" si="303"/>
        <v>-329.73520758417789</v>
      </c>
      <c r="AV139" s="36">
        <f>SUM(AR139:AU139)</f>
        <v>-317.77494011554188</v>
      </c>
      <c r="AW139" s="38">
        <f t="shared" ref="AW139:AY139" si="304">AW76/AW$102</f>
        <v>-459.13630415317863</v>
      </c>
      <c r="AX139" s="38">
        <f t="shared" si="304"/>
        <v>-366.26440677966104</v>
      </c>
      <c r="AY139" s="38">
        <f t="shared" si="304"/>
        <v>-1267.5344066476241</v>
      </c>
      <c r="AZ139" s="80">
        <f t="shared" ref="AZ139:BY139" si="305">AZ277-AY277</f>
        <v>-890</v>
      </c>
      <c r="BA139" s="38">
        <f>SUM(AW139:AZ139)</f>
        <v>-2982.9351175804641</v>
      </c>
      <c r="BB139" s="80">
        <f t="shared" si="305"/>
        <v>-65</v>
      </c>
      <c r="BC139" s="80">
        <f t="shared" si="305"/>
        <v>-65</v>
      </c>
      <c r="BD139" s="80">
        <f t="shared" si="305"/>
        <v>-65</v>
      </c>
      <c r="BE139" s="80">
        <f t="shared" si="305"/>
        <v>-65</v>
      </c>
      <c r="BF139" s="38">
        <f>SUM(BB139:BE139)</f>
        <v>-260</v>
      </c>
      <c r="BG139" s="80">
        <f t="shared" si="305"/>
        <v>-70</v>
      </c>
      <c r="BH139" s="80">
        <f t="shared" si="305"/>
        <v>-70</v>
      </c>
      <c r="BI139" s="80">
        <f t="shared" si="305"/>
        <v>-70</v>
      </c>
      <c r="BJ139" s="80">
        <f t="shared" si="305"/>
        <v>-70</v>
      </c>
      <c r="BK139" s="38">
        <f>SUM(BG139:BJ139)</f>
        <v>-280</v>
      </c>
      <c r="BL139" s="80">
        <f t="shared" si="305"/>
        <v>-70</v>
      </c>
      <c r="BM139" s="80">
        <f t="shared" si="305"/>
        <v>-75</v>
      </c>
      <c r="BN139" s="80">
        <f t="shared" si="305"/>
        <v>-75</v>
      </c>
      <c r="BO139" s="80">
        <f t="shared" si="305"/>
        <v>-75</v>
      </c>
      <c r="BP139" s="38">
        <f>SUM(BL139:BO139)</f>
        <v>-295</v>
      </c>
      <c r="BQ139" s="80">
        <f t="shared" si="305"/>
        <v>-75</v>
      </c>
      <c r="BR139" s="80">
        <f t="shared" si="305"/>
        <v>-80</v>
      </c>
      <c r="BS139" s="80">
        <f t="shared" si="305"/>
        <v>-80</v>
      </c>
      <c r="BT139" s="80">
        <f t="shared" si="305"/>
        <v>-80</v>
      </c>
      <c r="BU139" s="38">
        <f>SUM(BQ139:BT139)</f>
        <v>-315</v>
      </c>
      <c r="BV139" s="80">
        <f t="shared" si="305"/>
        <v>-80</v>
      </c>
      <c r="BW139" s="80">
        <f t="shared" si="305"/>
        <v>-80</v>
      </c>
      <c r="BX139" s="80">
        <f t="shared" si="305"/>
        <v>-85</v>
      </c>
      <c r="BY139" s="80">
        <f t="shared" si="305"/>
        <v>-85</v>
      </c>
      <c r="BZ139" s="38">
        <f>SUM(BV139:BY139)</f>
        <v>-330</v>
      </c>
    </row>
    <row r="140" spans="1:78">
      <c r="A140" s="9" t="s">
        <v>124</v>
      </c>
      <c r="B140" s="9"/>
      <c r="C140" s="9"/>
      <c r="D140" s="9"/>
      <c r="E140" s="9"/>
      <c r="F140" s="9"/>
      <c r="G140" s="9"/>
      <c r="H140" s="9"/>
      <c r="I140" s="39">
        <f t="shared" ref="I140:K140" si="306">I77/I$102</f>
        <v>942.82770361078758</v>
      </c>
      <c r="J140" s="39">
        <f t="shared" si="306"/>
        <v>727.32088346202192</v>
      </c>
      <c r="K140" s="39">
        <f t="shared" si="306"/>
        <v>445.17473833599433</v>
      </c>
      <c r="L140" s="39">
        <f t="shared" si="296"/>
        <v>611.42857142857144</v>
      </c>
      <c r="M140" s="39">
        <f>SUM(I140:L140)</f>
        <v>2726.7518968373752</v>
      </c>
      <c r="N140" s="39">
        <f t="shared" ref="N140:P140" si="307">N77/N$102</f>
        <v>2207.1934504645387</v>
      </c>
      <c r="O140" s="39">
        <f t="shared" si="307"/>
        <v>3518.5118780815778</v>
      </c>
      <c r="P140" s="39">
        <f t="shared" si="307"/>
        <v>1563.0417442169637</v>
      </c>
      <c r="Q140" s="39">
        <f t="shared" si="297"/>
        <v>4054.399782726779</v>
      </c>
      <c r="R140" s="39">
        <f>SUM(N140:Q140)</f>
        <v>11343.14685548986</v>
      </c>
      <c r="S140" s="39">
        <f t="shared" ref="S140:U140" si="308">S77/S$102</f>
        <v>3614.818181818182</v>
      </c>
      <c r="T140" s="39">
        <f t="shared" si="308"/>
        <v>-9008.9972144846797</v>
      </c>
      <c r="U140" s="39">
        <f t="shared" si="308"/>
        <v>-2065.7368324463205</v>
      </c>
      <c r="V140" s="39">
        <f t="shared" si="298"/>
        <v>-10378.886650796558</v>
      </c>
      <c r="W140" s="39">
        <f>SUM(S140:V140)</f>
        <v>-17838.802515909374</v>
      </c>
      <c r="X140" s="39">
        <f t="shared" ref="X140:Z140" si="309">X77/X$102</f>
        <v>2752.7102283274553</v>
      </c>
      <c r="Y140" s="39">
        <f t="shared" si="309"/>
        <v>9823.0166225916128</v>
      </c>
      <c r="Z140" s="39">
        <f t="shared" si="309"/>
        <v>13328.291048348492</v>
      </c>
      <c r="AA140" s="39">
        <f t="shared" si="299"/>
        <v>33539.589608433736</v>
      </c>
      <c r="AB140" s="39">
        <f>SUM(X140:AA140)</f>
        <v>59443.607507701294</v>
      </c>
      <c r="AC140" s="39">
        <f t="shared" ref="AC140:AE140" si="310">AC77/AC$102</f>
        <v>2617.1</v>
      </c>
      <c r="AD140" s="39">
        <f t="shared" si="310"/>
        <v>-10564.560514166742</v>
      </c>
      <c r="AE140" s="39">
        <f t="shared" si="310"/>
        <v>981.07394366197184</v>
      </c>
      <c r="AF140" s="39">
        <f t="shared" si="300"/>
        <v>-25372.237403928269</v>
      </c>
      <c r="AG140" s="39">
        <f>SUM(AC140:AF140)</f>
        <v>-32338.623974433038</v>
      </c>
      <c r="AH140" s="39">
        <f t="shared" si="301"/>
        <v>-22621.900185988841</v>
      </c>
      <c r="AI140" s="39">
        <f t="shared" si="301"/>
        <v>-10343.32275742717</v>
      </c>
      <c r="AJ140" s="39">
        <f t="shared" si="301"/>
        <v>-4627.4652876168884</v>
      </c>
      <c r="AK140" s="39">
        <f t="shared" ref="AK140" si="311">AK77/AK$102</f>
        <v>-2367.6271949572265</v>
      </c>
      <c r="AL140" s="39">
        <f>SUM(AH140:AK140)</f>
        <v>-39960.315425990128</v>
      </c>
      <c r="AM140" s="39">
        <f t="shared" si="303"/>
        <v>-94.439215118383885</v>
      </c>
      <c r="AN140" s="39">
        <f t="shared" si="303"/>
        <v>-3920.7852035203523</v>
      </c>
      <c r="AO140" s="39">
        <f t="shared" si="303"/>
        <v>3614.204081632653</v>
      </c>
      <c r="AP140" s="39">
        <f t="shared" si="303"/>
        <v>-779.71190910935275</v>
      </c>
      <c r="AQ140" s="39">
        <f>SUM(AM140:AP140)</f>
        <v>-1180.7322461154358</v>
      </c>
      <c r="AR140" s="39">
        <f t="shared" si="303"/>
        <v>206.89963585255222</v>
      </c>
      <c r="AS140" s="39">
        <f t="shared" si="303"/>
        <v>3776.0681485425266</v>
      </c>
      <c r="AT140" s="39">
        <f t="shared" ref="AT140:AU140" si="312">AT77/AT$102</f>
        <v>-2240.4440919904837</v>
      </c>
      <c r="AU140" s="39">
        <f t="shared" si="312"/>
        <v>829.22523700555746</v>
      </c>
      <c r="AV140" s="39">
        <f>SUM(AR140:AU140)</f>
        <v>2571.7489294101529</v>
      </c>
      <c r="AW140" s="39">
        <f t="shared" ref="AW140:AY140" si="313">AW77/AW$102</f>
        <v>4546.9729320201113</v>
      </c>
      <c r="AX140" s="39">
        <f t="shared" si="313"/>
        <v>18680.047457627119</v>
      </c>
      <c r="AY140" s="39">
        <f t="shared" si="313"/>
        <v>1166.8203064139186</v>
      </c>
      <c r="AZ140" s="39">
        <f t="shared" ref="AZ140:BZ140" si="314">AZ137+AZ139</f>
        <v>-2480</v>
      </c>
      <c r="BA140" s="39">
        <f t="shared" si="314"/>
        <v>21913.840696061146</v>
      </c>
      <c r="BB140" s="39">
        <f t="shared" si="314"/>
        <v>31515</v>
      </c>
      <c r="BC140" s="39">
        <f t="shared" si="314"/>
        <v>12340</v>
      </c>
      <c r="BD140" s="39">
        <f t="shared" si="314"/>
        <v>12325</v>
      </c>
      <c r="BE140" s="39">
        <f t="shared" si="314"/>
        <v>310</v>
      </c>
      <c r="BF140" s="39">
        <f t="shared" si="314"/>
        <v>56490</v>
      </c>
      <c r="BG140" s="39">
        <f t="shared" si="314"/>
        <v>2010</v>
      </c>
      <c r="BH140" s="39">
        <f t="shared" si="314"/>
        <v>1970</v>
      </c>
      <c r="BI140" s="39">
        <f t="shared" si="314"/>
        <v>1930</v>
      </c>
      <c r="BJ140" s="39">
        <f t="shared" si="314"/>
        <v>1885</v>
      </c>
      <c r="BK140" s="39">
        <f t="shared" si="314"/>
        <v>7795</v>
      </c>
      <c r="BL140" s="39">
        <f t="shared" si="314"/>
        <v>1835</v>
      </c>
      <c r="BM140" s="39">
        <f t="shared" si="314"/>
        <v>1760</v>
      </c>
      <c r="BN140" s="39">
        <f t="shared" si="314"/>
        <v>1685</v>
      </c>
      <c r="BO140" s="39">
        <f t="shared" si="314"/>
        <v>1610</v>
      </c>
      <c r="BP140" s="39">
        <f t="shared" si="314"/>
        <v>6890</v>
      </c>
      <c r="BQ140" s="39">
        <f t="shared" si="314"/>
        <v>1530</v>
      </c>
      <c r="BR140" s="39">
        <f t="shared" si="314"/>
        <v>1415</v>
      </c>
      <c r="BS140" s="39">
        <f t="shared" si="314"/>
        <v>1305</v>
      </c>
      <c r="BT140" s="39">
        <f t="shared" si="314"/>
        <v>1185</v>
      </c>
      <c r="BU140" s="39">
        <f t="shared" si="314"/>
        <v>5435</v>
      </c>
      <c r="BV140" s="39">
        <f t="shared" si="314"/>
        <v>1095</v>
      </c>
      <c r="BW140" s="39">
        <f t="shared" si="314"/>
        <v>1005</v>
      </c>
      <c r="BX140" s="39">
        <f t="shared" si="314"/>
        <v>905</v>
      </c>
      <c r="BY140" s="39">
        <f t="shared" si="314"/>
        <v>805</v>
      </c>
      <c r="BZ140" s="39">
        <f t="shared" si="314"/>
        <v>3810</v>
      </c>
    </row>
    <row r="141" spans="1:78">
      <c r="AM141" s="937" t="s">
        <v>678</v>
      </c>
      <c r="AN141" s="939"/>
      <c r="AO141" s="939"/>
    </row>
    <row r="142" spans="1:78" s="44" customFormat="1">
      <c r="A142" s="49" t="s">
        <v>413</v>
      </c>
    </row>
    <row r="143" spans="1:78">
      <c r="N143" s="25" t="s">
        <v>424</v>
      </c>
      <c r="X143" s="335" t="s">
        <v>493</v>
      </c>
      <c r="Y143" s="46"/>
      <c r="Z143" s="46"/>
      <c r="AA143" s="46"/>
      <c r="AB143" s="46"/>
      <c r="AC143" s="46"/>
    </row>
    <row r="144" spans="1:78">
      <c r="A144" s="1" t="s">
        <v>426</v>
      </c>
      <c r="I144" s="38">
        <f t="shared" ref="I144:X144" si="315">I90+SUM(I95:I97, I99)</f>
        <v>957.53964698503717</v>
      </c>
      <c r="J144" s="38">
        <f t="shared" si="315"/>
        <v>785.28461124079729</v>
      </c>
      <c r="K144" s="38">
        <f t="shared" si="315"/>
        <v>536.77488025545506</v>
      </c>
      <c r="L144" s="38">
        <f t="shared" si="315"/>
        <v>893.36701883325679</v>
      </c>
      <c r="M144" s="38">
        <f t="shared" si="315"/>
        <v>3020.1567641794527</v>
      </c>
      <c r="N144" s="38">
        <f t="shared" si="315"/>
        <v>2235.8660656793309</v>
      </c>
      <c r="O144" s="38">
        <f t="shared" si="315"/>
        <v>2806.5889735544602</v>
      </c>
      <c r="P144" s="38">
        <f t="shared" si="315"/>
        <v>4540.6274926881151</v>
      </c>
      <c r="Q144" s="38">
        <f t="shared" si="315"/>
        <v>3426.1361578852075</v>
      </c>
      <c r="R144" s="38">
        <f t="shared" si="315"/>
        <v>13009.218689807114</v>
      </c>
      <c r="S144" s="38">
        <f t="shared" si="315"/>
        <v>3759.7636363636366</v>
      </c>
      <c r="T144" s="38">
        <f t="shared" si="315"/>
        <v>-8825.7845868152272</v>
      </c>
      <c r="U144" s="38">
        <f t="shared" si="315"/>
        <v>-1902.8996146081849</v>
      </c>
      <c r="V144" s="38">
        <f t="shared" si="315"/>
        <v>-10269.154001098699</v>
      </c>
      <c r="W144" s="38">
        <f t="shared" si="315"/>
        <v>-17238.074566158477</v>
      </c>
      <c r="X144" s="336">
        <f t="shared" si="315"/>
        <v>2706.654909968443</v>
      </c>
    </row>
    <row r="145" spans="1:73">
      <c r="A145" s="1" t="s">
        <v>425</v>
      </c>
      <c r="J145" s="36">
        <f t="shared" ref="J145:X145" si="316">J167</f>
        <v>202.125</v>
      </c>
      <c r="K145" s="36">
        <f t="shared" si="316"/>
        <v>213.125</v>
      </c>
      <c r="L145" s="36">
        <f t="shared" si="316"/>
        <v>224.75</v>
      </c>
      <c r="M145" s="36">
        <f t="shared" si="316"/>
        <v>640</v>
      </c>
      <c r="N145" s="36">
        <f t="shared" si="316"/>
        <v>290</v>
      </c>
      <c r="O145" s="36">
        <f t="shared" si="316"/>
        <v>510</v>
      </c>
      <c r="P145" s="36">
        <f t="shared" si="316"/>
        <v>720</v>
      </c>
      <c r="Q145" s="36">
        <f t="shared" si="316"/>
        <v>600</v>
      </c>
      <c r="R145" s="36">
        <f t="shared" si="316"/>
        <v>2120</v>
      </c>
      <c r="S145" s="36">
        <f t="shared" si="316"/>
        <v>680</v>
      </c>
      <c r="T145" s="36">
        <f t="shared" si="316"/>
        <v>-1680</v>
      </c>
      <c r="U145" s="36">
        <f t="shared" si="316"/>
        <v>-990</v>
      </c>
      <c r="V145" s="36">
        <f t="shared" si="316"/>
        <v>-370</v>
      </c>
      <c r="W145" s="36">
        <f t="shared" si="316"/>
        <v>-2360</v>
      </c>
      <c r="X145" s="337">
        <f t="shared" si="316"/>
        <v>60</v>
      </c>
    </row>
    <row r="146" spans="1:73">
      <c r="A146" s="1" t="s">
        <v>414</v>
      </c>
      <c r="J146" s="36">
        <f t="shared" ref="J146:X146" si="317">J144-J145</f>
        <v>583.15961124079729</v>
      </c>
      <c r="K146" s="36">
        <f t="shared" si="317"/>
        <v>323.64988025545506</v>
      </c>
      <c r="L146" s="36">
        <f t="shared" si="317"/>
        <v>668.61701883325679</v>
      </c>
      <c r="M146" s="36">
        <f t="shared" si="317"/>
        <v>2380.1567641794527</v>
      </c>
      <c r="N146" s="36">
        <f t="shared" si="317"/>
        <v>1945.8660656793309</v>
      </c>
      <c r="O146" s="36">
        <f t="shared" si="317"/>
        <v>2296.5889735544602</v>
      </c>
      <c r="P146" s="36">
        <f t="shared" si="317"/>
        <v>3820.6274926881151</v>
      </c>
      <c r="Q146" s="36">
        <f t="shared" si="317"/>
        <v>2826.1361578852075</v>
      </c>
      <c r="R146" s="36">
        <f t="shared" si="317"/>
        <v>10889.218689807114</v>
      </c>
      <c r="S146" s="36">
        <f t="shared" si="317"/>
        <v>3079.7636363636366</v>
      </c>
      <c r="T146" s="36">
        <f t="shared" si="317"/>
        <v>-7145.7845868152272</v>
      </c>
      <c r="U146" s="36">
        <f t="shared" si="317"/>
        <v>-912.89961460818495</v>
      </c>
      <c r="V146" s="36">
        <f t="shared" si="317"/>
        <v>-9899.1540010986992</v>
      </c>
      <c r="W146" s="36">
        <f t="shared" si="317"/>
        <v>-14878.074566158477</v>
      </c>
      <c r="X146" s="337">
        <f t="shared" si="317"/>
        <v>2646.654909968443</v>
      </c>
    </row>
    <row r="147" spans="1:73">
      <c r="AZ147" s="522" t="s">
        <v>1257</v>
      </c>
      <c r="BA147" s="647"/>
      <c r="BB147" s="647"/>
      <c r="BC147" s="647"/>
      <c r="BD147" s="647"/>
      <c r="BE147" s="647"/>
    </row>
    <row r="148" spans="1:73">
      <c r="A148" s="1" t="s">
        <v>1255</v>
      </c>
      <c r="AR148" s="36">
        <f>AR150-AR149</f>
        <v>2775</v>
      </c>
      <c r="AS148" s="36">
        <f>AS731-AR731</f>
        <v>3000</v>
      </c>
      <c r="AT148" s="36">
        <f>AT731-AS731</f>
        <v>-1000</v>
      </c>
      <c r="AU148" s="36">
        <f>AU731-AT731</f>
        <v>1900</v>
      </c>
      <c r="AV148" s="36">
        <f>SUM(AR148:AU148)</f>
        <v>6675</v>
      </c>
      <c r="AW148" s="36">
        <f>AW731-AV731</f>
        <v>3600</v>
      </c>
      <c r="AX148" s="36">
        <f>AX731-AW731</f>
        <v>5700</v>
      </c>
      <c r="AY148" s="36">
        <f>AY731-AX731</f>
        <v>-7900</v>
      </c>
      <c r="AZ148" s="36">
        <f>AZ731-AY731</f>
        <v>-1890</v>
      </c>
      <c r="BA148" s="36">
        <f>SUM(AW148:AZ148)</f>
        <v>-490</v>
      </c>
      <c r="BB148" s="36">
        <f>BB731-BA731</f>
        <v>375</v>
      </c>
      <c r="BC148" s="36">
        <f>BC731-BB731</f>
        <v>345</v>
      </c>
      <c r="BD148" s="36">
        <f>BD731-BC731</f>
        <v>320</v>
      </c>
      <c r="BE148" s="36">
        <f>BE731-BD731</f>
        <v>290</v>
      </c>
      <c r="BF148" s="36">
        <f>SUM(BB148:BE148)</f>
        <v>1330</v>
      </c>
      <c r="BG148" s="36">
        <f>BG731-BF731</f>
        <v>260</v>
      </c>
      <c r="BH148" s="36">
        <f>BH731-BG731</f>
        <v>240</v>
      </c>
      <c r="BI148" s="36">
        <f>BI731-BH731</f>
        <v>220</v>
      </c>
      <c r="BJ148" s="36">
        <f>BJ731-BI731</f>
        <v>195</v>
      </c>
      <c r="BK148" s="36">
        <f>SUM(BG148:BJ148)</f>
        <v>915</v>
      </c>
      <c r="BL148" s="36">
        <f>BL731-BK731</f>
        <v>170</v>
      </c>
      <c r="BM148" s="36">
        <f>BM731-BL731</f>
        <v>150</v>
      </c>
      <c r="BN148" s="36">
        <f>BN731-BM731</f>
        <v>125</v>
      </c>
      <c r="BO148" s="36">
        <f>BO731-BN731</f>
        <v>100</v>
      </c>
      <c r="BP148" s="36">
        <f>SUM(BL148:BO148)</f>
        <v>545</v>
      </c>
      <c r="BQ148" s="36">
        <f>BQ731-BP731</f>
        <v>75</v>
      </c>
      <c r="BR148" s="36">
        <f>BR731-BQ731</f>
        <v>50</v>
      </c>
      <c r="BS148" s="36">
        <f>BS731-BR731</f>
        <v>25</v>
      </c>
    </row>
    <row r="149" spans="1:73">
      <c r="A149" s="1" t="s">
        <v>1256</v>
      </c>
      <c r="AR149" s="56">
        <v>25</v>
      </c>
      <c r="AS149" s="1">
        <f>MROUND(AS152*AS195, 5)</f>
        <v>25</v>
      </c>
      <c r="AT149" s="1">
        <f>MROUND(AT152*AT195, 5)</f>
        <v>30</v>
      </c>
      <c r="AU149" s="1">
        <f>MROUND(AU152*AU195, 5)</f>
        <v>35</v>
      </c>
      <c r="AV149" s="36">
        <f>SUM(AR149:AU149)</f>
        <v>115</v>
      </c>
      <c r="AW149" s="1">
        <f>MROUND(AW152*AW195, 5)</f>
        <v>30</v>
      </c>
      <c r="AX149" s="1">
        <f>MROUND(AX152*AX195, 5)</f>
        <v>30</v>
      </c>
      <c r="AY149" s="1">
        <f>MROUND(AY152*AY195, 5)</f>
        <v>25</v>
      </c>
      <c r="AZ149" s="1">
        <f>MROUND(AZ152*AZ195, 5)</f>
        <v>25</v>
      </c>
      <c r="BA149" s="36">
        <f>SUM(AW149:AZ149)</f>
        <v>110</v>
      </c>
      <c r="BB149" s="1">
        <f>MROUND(BB152*BB195, 5)</f>
        <v>25</v>
      </c>
      <c r="BC149" s="1">
        <f>MROUND(BC152*BC195, 5)</f>
        <v>25</v>
      </c>
      <c r="BD149" s="1">
        <f>MROUND(BD152*BD195, 5)</f>
        <v>20</v>
      </c>
      <c r="BE149" s="1">
        <f>MROUND(BE152*BE195, 5)</f>
        <v>75</v>
      </c>
      <c r="BF149" s="36">
        <f>SUM(BB149:BE149)</f>
        <v>145</v>
      </c>
      <c r="BG149" s="1">
        <f>MROUND(BG152*BG195, 5)</f>
        <v>65</v>
      </c>
      <c r="BH149" s="1">
        <f>MROUND(BH152*BH195, 5)</f>
        <v>55</v>
      </c>
      <c r="BI149" s="1">
        <f>MROUND(BI152*BI195, 5)</f>
        <v>45</v>
      </c>
      <c r="BJ149" s="1">
        <f>MROUND(BJ152*BJ195, 5)</f>
        <v>30</v>
      </c>
      <c r="BK149" s="36">
        <f>SUM(BG149:BJ149)</f>
        <v>195</v>
      </c>
      <c r="BL149" s="1">
        <f>MROUND(BL152*BL195, 5)</f>
        <v>20</v>
      </c>
      <c r="BM149" s="1">
        <f>MROUND(BM152*BM195, 5)</f>
        <v>10</v>
      </c>
      <c r="BN149" s="1" t="e">
        <f>MROUND(BN152*BN195, 5)</f>
        <v>#NUM!</v>
      </c>
      <c r="BO149" s="1" t="e">
        <f>MROUND(BO152*BO195, 5)</f>
        <v>#NUM!</v>
      </c>
      <c r="BP149" s="36" t="e">
        <f>SUM(BL149:BO149)</f>
        <v>#NUM!</v>
      </c>
      <c r="BQ149" s="1" t="e">
        <f>MROUND(BQ152*BQ195, 5)</f>
        <v>#NUM!</v>
      </c>
      <c r="BR149" s="1" t="e">
        <f>MROUND(BR152*BR195, 5)</f>
        <v>#NUM!</v>
      </c>
      <c r="BS149" s="1" t="e">
        <f>MROUND(BS152*BS195, 5)</f>
        <v>#NUM!</v>
      </c>
    </row>
    <row r="150" spans="1:73">
      <c r="A150" s="9" t="s">
        <v>1254</v>
      </c>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58">
        <f>AR731-AQ731</f>
        <v>2800</v>
      </c>
      <c r="AS150" s="39">
        <f t="shared" ref="AS150:BS150" si="318">AS148+AS149</f>
        <v>3025</v>
      </c>
      <c r="AT150" s="39">
        <f t="shared" si="318"/>
        <v>-970</v>
      </c>
      <c r="AU150" s="39">
        <f t="shared" si="318"/>
        <v>1935</v>
      </c>
      <c r="AV150" s="39">
        <f t="shared" si="318"/>
        <v>6790</v>
      </c>
      <c r="AW150" s="39">
        <f t="shared" si="318"/>
        <v>3630</v>
      </c>
      <c r="AX150" s="39">
        <f t="shared" si="318"/>
        <v>5730</v>
      </c>
      <c r="AY150" s="39">
        <f t="shared" ref="AY150" si="319">AY148+AY149</f>
        <v>-7875</v>
      </c>
      <c r="AZ150" s="39">
        <f t="shared" si="318"/>
        <v>-1865</v>
      </c>
      <c r="BA150" s="39">
        <f t="shared" si="318"/>
        <v>-380</v>
      </c>
      <c r="BB150" s="39">
        <f t="shared" si="318"/>
        <v>400</v>
      </c>
      <c r="BC150" s="39">
        <f t="shared" si="318"/>
        <v>370</v>
      </c>
      <c r="BD150" s="39">
        <f t="shared" si="318"/>
        <v>340</v>
      </c>
      <c r="BE150" s="39">
        <f t="shared" si="318"/>
        <v>365</v>
      </c>
      <c r="BF150" s="39">
        <f t="shared" si="318"/>
        <v>1475</v>
      </c>
      <c r="BG150" s="39">
        <f t="shared" si="318"/>
        <v>325</v>
      </c>
      <c r="BH150" s="39">
        <f t="shared" si="318"/>
        <v>295</v>
      </c>
      <c r="BI150" s="39">
        <f t="shared" si="318"/>
        <v>265</v>
      </c>
      <c r="BJ150" s="39">
        <f t="shared" si="318"/>
        <v>225</v>
      </c>
      <c r="BK150" s="39">
        <f t="shared" si="318"/>
        <v>1110</v>
      </c>
      <c r="BL150" s="39">
        <f t="shared" si="318"/>
        <v>190</v>
      </c>
      <c r="BM150" s="39">
        <f t="shared" si="318"/>
        <v>160</v>
      </c>
      <c r="BN150" s="39" t="e">
        <f t="shared" si="318"/>
        <v>#NUM!</v>
      </c>
      <c r="BO150" s="39" t="e">
        <f t="shared" si="318"/>
        <v>#NUM!</v>
      </c>
      <c r="BP150" s="39" t="e">
        <f t="shared" si="318"/>
        <v>#NUM!</v>
      </c>
      <c r="BQ150" s="39" t="e">
        <f t="shared" si="318"/>
        <v>#NUM!</v>
      </c>
      <c r="BR150" s="39" t="e">
        <f t="shared" si="318"/>
        <v>#NUM!</v>
      </c>
      <c r="BS150" s="39" t="e">
        <f t="shared" si="318"/>
        <v>#NUM!</v>
      </c>
    </row>
    <row r="151" spans="1:73">
      <c r="AR151" s="647"/>
      <c r="AS151" s="647"/>
      <c r="AT151" s="647"/>
      <c r="AU151" s="647"/>
      <c r="AV151" s="647"/>
      <c r="AW151" s="647"/>
      <c r="AX151" s="647"/>
      <c r="AY151" s="647"/>
      <c r="AZ151" s="647"/>
      <c r="BA151" s="647"/>
      <c r="BB151" s="647"/>
      <c r="BC151" s="647"/>
      <c r="BD151" s="647"/>
      <c r="BE151" s="776" t="s">
        <v>3105</v>
      </c>
    </row>
    <row r="152" spans="1:73">
      <c r="A152" s="1" t="s">
        <v>1258</v>
      </c>
      <c r="AS152" s="117">
        <v>0.2</v>
      </c>
      <c r="AT152" s="117">
        <v>0.25</v>
      </c>
      <c r="AU152" s="117">
        <v>0.33</v>
      </c>
      <c r="AW152" s="117">
        <v>0.33</v>
      </c>
      <c r="AX152" s="117">
        <v>0.33</v>
      </c>
      <c r="AY152" s="117">
        <v>0.33</v>
      </c>
      <c r="AZ152" s="117">
        <v>0.33</v>
      </c>
      <c r="BB152" s="117">
        <v>0.33</v>
      </c>
      <c r="BC152" s="117">
        <v>0.33</v>
      </c>
      <c r="BD152" s="117">
        <v>0.33</v>
      </c>
      <c r="BE152" s="878">
        <v>1.5</v>
      </c>
      <c r="BG152" s="117">
        <v>1.5</v>
      </c>
      <c r="BH152" s="117">
        <v>1.5</v>
      </c>
      <c r="BI152" s="117">
        <v>1.5</v>
      </c>
      <c r="BJ152" s="117">
        <v>1.5</v>
      </c>
      <c r="BL152" s="117">
        <v>1.5</v>
      </c>
      <c r="BM152" s="117">
        <v>1.5</v>
      </c>
      <c r="BN152" s="117">
        <v>1.5</v>
      </c>
      <c r="BO152" s="117">
        <v>1.5</v>
      </c>
      <c r="BQ152" s="117">
        <v>1.25</v>
      </c>
      <c r="BR152" s="117">
        <v>1.25</v>
      </c>
      <c r="BS152" s="117">
        <v>1.25</v>
      </c>
    </row>
    <row r="153" spans="1:73">
      <c r="AS153" s="25" t="s">
        <v>1259</v>
      </c>
    </row>
    <row r="154" spans="1:73">
      <c r="A154" s="1" t="s">
        <v>1327</v>
      </c>
      <c r="J154" s="104">
        <f t="shared" ref="J154:AN154" si="320">J764</f>
        <v>0.26197717526945047</v>
      </c>
      <c r="K154" s="104">
        <f t="shared" si="320"/>
        <v>0.28958438865285019</v>
      </c>
      <c r="L154" s="104">
        <f t="shared" si="320"/>
        <v>0.28844815239149196</v>
      </c>
      <c r="M154" s="104">
        <f t="shared" si="320"/>
        <v>0.28844815239149196</v>
      </c>
      <c r="N154" s="104">
        <f t="shared" si="320"/>
        <v>0.27144040983936285</v>
      </c>
      <c r="O154" s="104">
        <f t="shared" si="320"/>
        <v>0.25472992628868779</v>
      </c>
      <c r="P154" s="104">
        <f t="shared" si="320"/>
        <v>0.30167231530973754</v>
      </c>
      <c r="Q154" s="104">
        <f t="shared" si="320"/>
        <v>0.28136662420786718</v>
      </c>
      <c r="R154" s="104">
        <f t="shared" si="320"/>
        <v>0.28136662815643632</v>
      </c>
      <c r="S154" s="104">
        <f t="shared" si="320"/>
        <v>0.26233095359178127</v>
      </c>
      <c r="T154" s="104">
        <f t="shared" si="320"/>
        <v>0.29043877231848247</v>
      </c>
      <c r="U154" s="104">
        <f t="shared" si="320"/>
        <v>0.29117939696278777</v>
      </c>
      <c r="V154" s="104">
        <f t="shared" si="320"/>
        <v>0.35333849674189083</v>
      </c>
      <c r="W154" s="104">
        <f t="shared" si="320"/>
        <v>0.35333849998853617</v>
      </c>
      <c r="X154" s="104">
        <f t="shared" si="320"/>
        <v>0.39212820229733858</v>
      </c>
      <c r="Y154" s="104">
        <f t="shared" si="320"/>
        <v>0.35117475194631614</v>
      </c>
      <c r="Z154" s="104">
        <f t="shared" si="320"/>
        <v>0.28336949873132633</v>
      </c>
      <c r="AA154" s="104">
        <f t="shared" si="320"/>
        <v>0.17005996411655486</v>
      </c>
      <c r="AB154" s="104">
        <f t="shared" si="320"/>
        <v>0.17005996351395866</v>
      </c>
      <c r="AC154" s="104">
        <f t="shared" si="320"/>
        <v>0.16195673432118671</v>
      </c>
      <c r="AD154" s="104">
        <f t="shared" si="320"/>
        <v>0.17007017242108172</v>
      </c>
      <c r="AE154" s="104">
        <f t="shared" si="320"/>
        <v>0.17332162103066942</v>
      </c>
      <c r="AF154" s="104">
        <f t="shared" si="320"/>
        <v>0.22689860890531752</v>
      </c>
      <c r="AG154" s="104">
        <f t="shared" si="320"/>
        <v>0.22689860890531752</v>
      </c>
      <c r="AH154" s="104">
        <f t="shared" si="320"/>
        <v>0.25423200160866494</v>
      </c>
      <c r="AI154" s="104">
        <f t="shared" si="320"/>
        <v>0.27305055729000732</v>
      </c>
      <c r="AJ154" s="104">
        <f t="shared" si="320"/>
        <v>0.2865483545380989</v>
      </c>
      <c r="AK154" s="104">
        <f t="shared" si="320"/>
        <v>0.28885177612396046</v>
      </c>
      <c r="AL154" s="104">
        <f t="shared" si="320"/>
        <v>0.28885178444252518</v>
      </c>
      <c r="AM154" s="104">
        <f t="shared" si="320"/>
        <v>0.27970789123453543</v>
      </c>
      <c r="AN154" s="104">
        <f t="shared" si="320"/>
        <v>0.39290138952776044</v>
      </c>
      <c r="AO154" s="104">
        <f>AO764</f>
        <v>0.35435776020927023</v>
      </c>
      <c r="AP154" s="104">
        <f t="shared" ref="AP154:BS154" si="321">AP764</f>
        <v>0.33396218445748949</v>
      </c>
      <c r="AQ154" s="104">
        <f t="shared" si="321"/>
        <v>0.33358476190476188</v>
      </c>
      <c r="AR154" s="104">
        <f t="shared" si="321"/>
        <v>0.29877849502071424</v>
      </c>
      <c r="AS154" s="104">
        <f t="shared" si="321"/>
        <v>0.1813832941343658</v>
      </c>
      <c r="AT154" s="104">
        <f t="shared" si="321"/>
        <v>0.17204334163686075</v>
      </c>
      <c r="AU154" s="104">
        <f t="shared" si="321"/>
        <v>0.11373190034530438</v>
      </c>
      <c r="AV154" s="104">
        <f t="shared" si="321"/>
        <v>0.11373190034530441</v>
      </c>
      <c r="AW154" s="104">
        <f t="shared" si="321"/>
        <v>9.4364700424864875E-2</v>
      </c>
      <c r="AX154" s="104">
        <f t="shared" si="321"/>
        <v>8.4250473363330122E-2</v>
      </c>
      <c r="AY154" s="104">
        <f t="shared" si="321"/>
        <v>8.6371748981565605E-2</v>
      </c>
      <c r="AZ154" s="104">
        <f t="shared" si="321"/>
        <v>9.0679735106288017E-2</v>
      </c>
      <c r="BA154" s="104">
        <f t="shared" si="321"/>
        <v>9.0720298138019476E-2</v>
      </c>
      <c r="BB154" s="104">
        <f t="shared" si="321"/>
        <v>8.8750232337789114E-2</v>
      </c>
      <c r="BC154" s="104">
        <f t="shared" si="321"/>
        <v>8.7531192530202001E-2</v>
      </c>
      <c r="BD154" s="104">
        <f t="shared" si="321"/>
        <v>8.5105205127978686E-2</v>
      </c>
      <c r="BE154" s="104">
        <f t="shared" si="321"/>
        <v>8.3121687205888029E-2</v>
      </c>
      <c r="BF154" s="104">
        <f t="shared" si="321"/>
        <v>8.3121687205888015E-2</v>
      </c>
      <c r="BG154" s="104">
        <f t="shared" si="321"/>
        <v>8.1137618933288871E-2</v>
      </c>
      <c r="BH154" s="104">
        <f t="shared" si="321"/>
        <v>7.7883069777198402E-2</v>
      </c>
      <c r="BI154" s="104">
        <f t="shared" si="321"/>
        <v>7.3137433295015042E-2</v>
      </c>
      <c r="BJ154" s="104">
        <f t="shared" si="321"/>
        <v>0</v>
      </c>
      <c r="BK154" s="104">
        <f t="shared" si="321"/>
        <v>0</v>
      </c>
      <c r="BL154" s="104">
        <f t="shared" si="321"/>
        <v>0</v>
      </c>
      <c r="BM154" s="104">
        <f t="shared" si="321"/>
        <v>0</v>
      </c>
      <c r="BN154" s="104">
        <f t="shared" si="321"/>
        <v>0</v>
      </c>
      <c r="BO154" s="104">
        <f t="shared" si="321"/>
        <v>0</v>
      </c>
      <c r="BP154" s="104">
        <f t="shared" si="321"/>
        <v>0</v>
      </c>
      <c r="BQ154" s="104">
        <f t="shared" si="321"/>
        <v>0</v>
      </c>
      <c r="BR154" s="104">
        <f t="shared" si="321"/>
        <v>0</v>
      </c>
      <c r="BS154" s="104">
        <f t="shared" si="321"/>
        <v>0</v>
      </c>
      <c r="BT154" s="104"/>
      <c r="BU154" s="104"/>
    </row>
    <row r="155" spans="1:73">
      <c r="A155" s="135" t="s">
        <v>1329</v>
      </c>
      <c r="J155" s="16">
        <f>7%*J154</f>
        <v>1.8338402268861534E-2</v>
      </c>
      <c r="K155" s="16">
        <f>7%*K154</f>
        <v>2.0270907205699514E-2</v>
      </c>
      <c r="L155" s="16">
        <f>7%*L154</f>
        <v>2.0191370667404441E-2</v>
      </c>
      <c r="M155" s="16">
        <f>7%*M154</f>
        <v>2.0191370667404441E-2</v>
      </c>
      <c r="N155" s="16">
        <f>7%*N154</f>
        <v>1.9000828688755401E-2</v>
      </c>
      <c r="O155" s="16">
        <f t="shared" ref="O155:R155" si="322">7%*O154</f>
        <v>1.7831094840208148E-2</v>
      </c>
      <c r="P155" s="16">
        <f t="shared" si="322"/>
        <v>2.1117062071681628E-2</v>
      </c>
      <c r="Q155" s="16">
        <f t="shared" si="322"/>
        <v>1.9695663694550704E-2</v>
      </c>
      <c r="R155" s="16">
        <f t="shared" si="322"/>
        <v>1.9695663970950544E-2</v>
      </c>
      <c r="S155" s="16">
        <f>7%*S154</f>
        <v>1.836316675142469E-2</v>
      </c>
      <c r="T155" s="16">
        <f t="shared" ref="T155" si="323">7%*T154</f>
        <v>2.0330714062293774E-2</v>
      </c>
      <c r="U155" s="16">
        <f t="shared" ref="U155" si="324">7%*U154</f>
        <v>2.0382557787395145E-2</v>
      </c>
      <c r="V155" s="16">
        <f t="shared" ref="V155" si="325">7%*V154</f>
        <v>2.4733694771932359E-2</v>
      </c>
      <c r="W155" s="16">
        <f t="shared" ref="W155" si="326">7%*W154</f>
        <v>2.4733694999197534E-2</v>
      </c>
      <c r="X155" s="16">
        <f>7%*X154</f>
        <v>2.7448974160813704E-2</v>
      </c>
      <c r="Y155" s="16">
        <f t="shared" ref="Y155" si="327">7%*Y154</f>
        <v>2.4582232636242131E-2</v>
      </c>
      <c r="Z155" s="16">
        <f t="shared" ref="Z155" si="328">7%*Z154</f>
        <v>1.9835864911192845E-2</v>
      </c>
      <c r="AA155" s="16">
        <f t="shared" ref="AA155" si="329">7%*AA154</f>
        <v>1.1904197488158842E-2</v>
      </c>
      <c r="AB155" s="16">
        <f t="shared" ref="AB155" si="330">7%*AB154</f>
        <v>1.1904197445977108E-2</v>
      </c>
      <c r="AC155" s="16">
        <f>7%*AC154</f>
        <v>1.1336971402483071E-2</v>
      </c>
      <c r="AD155" s="16">
        <f t="shared" ref="AD155" si="331">7%*AD154</f>
        <v>1.190491206947572E-2</v>
      </c>
      <c r="AE155" s="16">
        <f t="shared" ref="AE155" si="332">7%*AE154</f>
        <v>1.2132513472146861E-2</v>
      </c>
      <c r="AF155" s="16">
        <f t="shared" ref="AF155" si="333">7%*AF154</f>
        <v>1.5882902623372226E-2</v>
      </c>
      <c r="AG155" s="16">
        <f t="shared" ref="AG155" si="334">7%*AG154</f>
        <v>1.5882902623372226E-2</v>
      </c>
      <c r="AH155" s="16">
        <f>7%*AH154</f>
        <v>1.7796240112606547E-2</v>
      </c>
      <c r="AI155" s="16">
        <f t="shared" ref="AI155" si="335">7%*AI154</f>
        <v>1.9113539010300513E-2</v>
      </c>
      <c r="AJ155" s="16">
        <f t="shared" ref="AJ155" si="336">7%*AJ154</f>
        <v>2.0058384817666926E-2</v>
      </c>
      <c r="AK155" s="16">
        <f t="shared" ref="AK155" si="337">7%*AK154</f>
        <v>2.0219624328677233E-2</v>
      </c>
      <c r="AL155" s="16">
        <f t="shared" ref="AL155" si="338">7%*AL154</f>
        <v>2.0219624910976765E-2</v>
      </c>
      <c r="AM155" s="16">
        <f>7%*AM154</f>
        <v>1.9579552386417481E-2</v>
      </c>
      <c r="AN155" s="16">
        <f t="shared" ref="AN155" si="339">7%*AN154</f>
        <v>2.7503097266943232E-2</v>
      </c>
      <c r="AO155" s="16">
        <f t="shared" ref="AO155" si="340">7%*AO154</f>
        <v>2.4805043214648919E-2</v>
      </c>
      <c r="AP155" s="16">
        <f t="shared" ref="AP155" si="341">7%*AP154</f>
        <v>2.3377352912024266E-2</v>
      </c>
      <c r="AQ155" s="16">
        <f t="shared" ref="AQ155" si="342">7%*AQ154</f>
        <v>2.3350933333333334E-2</v>
      </c>
      <c r="AR155" s="16">
        <f>7%*AR154</f>
        <v>2.091449465145E-2</v>
      </c>
      <c r="AS155" s="16">
        <f t="shared" ref="AS155" si="343">7%*AS154</f>
        <v>1.2696830589405607E-2</v>
      </c>
      <c r="AT155" s="16">
        <f t="shared" ref="AT155" si="344">7%*AT154</f>
        <v>1.2043033914580253E-2</v>
      </c>
      <c r="AU155" s="16">
        <f t="shared" ref="AU155" si="345">7%*AU154</f>
        <v>7.9612330241713072E-3</v>
      </c>
      <c r="AV155" s="16">
        <f t="shared" ref="AV155" si="346">7%*AV154</f>
        <v>7.9612330241713089E-3</v>
      </c>
      <c r="AW155" s="16">
        <f>7%*AW154</f>
        <v>6.6055290297405422E-3</v>
      </c>
      <c r="AX155" s="16">
        <f t="shared" ref="AX155" si="347">7%*AX154</f>
        <v>5.8975331354331091E-3</v>
      </c>
      <c r="AY155" s="16">
        <f t="shared" ref="AY155" si="348">7%*AY154</f>
        <v>6.0460224287095929E-3</v>
      </c>
      <c r="AZ155" s="16">
        <f t="shared" ref="AZ155" si="349">7%*AZ154</f>
        <v>6.3475814574401618E-3</v>
      </c>
      <c r="BA155" s="16">
        <f t="shared" ref="BA155" si="350">7%*BA154</f>
        <v>6.3504208696613636E-3</v>
      </c>
      <c r="BB155" s="16">
        <f>7%*BB154</f>
        <v>6.2125162636452388E-3</v>
      </c>
      <c r="BC155" s="16">
        <f t="shared" ref="BC155" si="351">7%*BC154</f>
        <v>6.1271834771141403E-3</v>
      </c>
      <c r="BD155" s="16">
        <f t="shared" ref="BD155" si="352">7%*BD154</f>
        <v>5.9573643589585085E-3</v>
      </c>
      <c r="BE155" s="16">
        <f t="shared" ref="BE155" si="353">7%*BE154</f>
        <v>5.8185181044121629E-3</v>
      </c>
      <c r="BF155" s="16">
        <f t="shared" ref="BF155" si="354">7%*BF154</f>
        <v>5.8185181044121612E-3</v>
      </c>
      <c r="BG155" s="16">
        <f>7%*BG154</f>
        <v>5.6796333253302219E-3</v>
      </c>
      <c r="BH155" s="16">
        <f t="shared" ref="BH155" si="355">7%*BH154</f>
        <v>5.4518148844038888E-3</v>
      </c>
      <c r="BI155" s="16">
        <f t="shared" ref="BI155" si="356">7%*BI154</f>
        <v>5.1196203306510535E-3</v>
      </c>
      <c r="BJ155" s="16">
        <f t="shared" ref="BJ155" si="357">7%*BJ154</f>
        <v>0</v>
      </c>
      <c r="BK155" s="16">
        <f t="shared" ref="BK155" si="358">7%*BK154</f>
        <v>0</v>
      </c>
      <c r="BL155" s="16">
        <f>7%*BL154</f>
        <v>0</v>
      </c>
      <c r="BM155" s="16">
        <f t="shared" ref="BM155" si="359">7%*BM154</f>
        <v>0</v>
      </c>
      <c r="BN155" s="16">
        <f t="shared" ref="BN155" si="360">7%*BN154</f>
        <v>0</v>
      </c>
      <c r="BO155" s="16">
        <f t="shared" ref="BO155" si="361">7%*BO154</f>
        <v>0</v>
      </c>
      <c r="BP155" s="16">
        <f t="shared" ref="BP155" si="362">7%*BP154</f>
        <v>0</v>
      </c>
      <c r="BQ155" s="16">
        <f>7%*BQ154</f>
        <v>0</v>
      </c>
      <c r="BR155" s="16">
        <f t="shared" ref="BR155" si="363">7%*BR154</f>
        <v>0</v>
      </c>
      <c r="BS155" s="16">
        <f t="shared" ref="BS155" si="364">7%*BS154</f>
        <v>0</v>
      </c>
      <c r="BT155" s="16"/>
      <c r="BU155" s="16"/>
    </row>
    <row r="156" spans="1:73">
      <c r="A156" s="1" t="s">
        <v>1328</v>
      </c>
      <c r="J156" s="85">
        <f t="shared" ref="J156:AO156" si="365">J749</f>
        <v>0.45256035179351817</v>
      </c>
      <c r="K156" s="85">
        <f t="shared" si="365"/>
        <v>0.24670694936493431</v>
      </c>
      <c r="L156" s="85">
        <f t="shared" si="365"/>
        <v>0.20672099467832594</v>
      </c>
      <c r="M156" s="85">
        <f t="shared" si="365"/>
        <v>0.20672099467832594</v>
      </c>
      <c r="N156" s="85">
        <f t="shared" si="365"/>
        <v>0.21945181212695752</v>
      </c>
      <c r="O156" s="85">
        <f t="shared" si="365"/>
        <v>0.227697189358536</v>
      </c>
      <c r="P156" s="85">
        <f t="shared" si="365"/>
        <v>0.21480229295337905</v>
      </c>
      <c r="Q156" s="85">
        <f t="shared" si="365"/>
        <v>0.2045120740385693</v>
      </c>
      <c r="R156" s="85">
        <f t="shared" si="365"/>
        <v>0.2045120740385693</v>
      </c>
      <c r="S156" s="85">
        <f t="shared" si="365"/>
        <v>0.20423388525372932</v>
      </c>
      <c r="T156" s="85">
        <f t="shared" si="365"/>
        <v>0.12347251349748967</v>
      </c>
      <c r="U156" s="85">
        <f t="shared" si="365"/>
        <v>0.10114451407368663</v>
      </c>
      <c r="V156" s="85">
        <f t="shared" si="365"/>
        <v>4.1679758288825086E-2</v>
      </c>
      <c r="W156" s="85">
        <f t="shared" si="365"/>
        <v>4.1679758288825086E-2</v>
      </c>
      <c r="X156" s="85">
        <f t="shared" si="365"/>
        <v>4.6251877018950172E-2</v>
      </c>
      <c r="Y156" s="85">
        <f t="shared" si="365"/>
        <v>6.5249793201758388E-2</v>
      </c>
      <c r="Z156" s="85">
        <f t="shared" si="365"/>
        <v>0.11002479956051925</v>
      </c>
      <c r="AA156" s="85">
        <f t="shared" si="365"/>
        <v>0.19905180033767644</v>
      </c>
      <c r="AB156" s="85">
        <f t="shared" si="365"/>
        <v>0.19905180033767644</v>
      </c>
      <c r="AC156" s="85">
        <f t="shared" si="365"/>
        <v>0.18887972627037608</v>
      </c>
      <c r="AD156" s="85">
        <f t="shared" si="365"/>
        <v>0.14599493932642194</v>
      </c>
      <c r="AE156" s="85">
        <f t="shared" si="365"/>
        <v>0.13426528751194144</v>
      </c>
      <c r="AF156" s="85">
        <f t="shared" si="365"/>
        <v>7.0172101580014301E-2</v>
      </c>
      <c r="AG156" s="85">
        <f t="shared" si="365"/>
        <v>7.0172101580014301E-2</v>
      </c>
      <c r="AH156" s="85">
        <f t="shared" si="365"/>
        <v>3.376853431332405E-2</v>
      </c>
      <c r="AI156" s="85">
        <f t="shared" si="365"/>
        <v>1.5489138528623103E-2</v>
      </c>
      <c r="AJ156" s="85">
        <f t="shared" si="365"/>
        <v>4.5306299078482493E-3</v>
      </c>
      <c r="AK156" s="85">
        <f t="shared" si="365"/>
        <v>3.8652625659478801E-3</v>
      </c>
      <c r="AL156" s="85">
        <f t="shared" si="365"/>
        <v>3.8652625659478801E-3</v>
      </c>
      <c r="AM156" s="85">
        <f t="shared" si="365"/>
        <v>5.7990415133681861E-3</v>
      </c>
      <c r="AN156" s="85">
        <f t="shared" si="365"/>
        <v>8.6844560064693876E-3</v>
      </c>
      <c r="AO156" s="85">
        <f t="shared" si="365"/>
        <v>1.1698862622065764E-2</v>
      </c>
      <c r="AP156" s="85">
        <f t="shared" ref="AP156:BS156" si="366">AP749</f>
        <v>7.0151178399007197E-3</v>
      </c>
      <c r="AQ156" s="85">
        <f t="shared" si="366"/>
        <v>7.0151178399007197E-3</v>
      </c>
      <c r="AR156" s="85">
        <f t="shared" si="366"/>
        <v>1.5304105298226789E-2</v>
      </c>
      <c r="AS156" s="85">
        <f t="shared" si="366"/>
        <v>2.3183150231758987E-2</v>
      </c>
      <c r="AT156" s="85">
        <f t="shared" si="366"/>
        <v>1.7952028422789645E-2</v>
      </c>
      <c r="AU156" s="85">
        <f t="shared" si="366"/>
        <v>2.2006684116811392E-2</v>
      </c>
      <c r="AV156" s="85">
        <f t="shared" si="366"/>
        <v>2.2006684116811392E-2</v>
      </c>
      <c r="AW156" s="85">
        <f t="shared" si="366"/>
        <v>2.9885711436768103E-2</v>
      </c>
      <c r="AX156" s="85">
        <f t="shared" si="366"/>
        <v>4.2585187923626089E-2</v>
      </c>
      <c r="AY156" s="85">
        <f t="shared" si="366"/>
        <v>2.9744988108550974E-2</v>
      </c>
      <c r="AZ156" s="85">
        <f t="shared" si="366"/>
        <v>2.3872675203449045E-2</v>
      </c>
      <c r="BA156" s="85">
        <f t="shared" si="366"/>
        <v>2.3872675203449045E-2</v>
      </c>
      <c r="BB156" s="85">
        <f t="shared" si="366"/>
        <v>2.4182522508790605E-2</v>
      </c>
      <c r="BC156" s="85">
        <f t="shared" si="366"/>
        <v>2.4470963943223678E-2</v>
      </c>
      <c r="BD156" s="85">
        <f t="shared" si="366"/>
        <v>2.4753270614111145E-2</v>
      </c>
      <c r="BE156" s="85">
        <f t="shared" si="366"/>
        <v>2.501580256538416E-2</v>
      </c>
      <c r="BF156" s="85">
        <f t="shared" si="366"/>
        <v>2.501580256538416E-2</v>
      </c>
      <c r="BG156" s="85">
        <f t="shared" si="366"/>
        <v>2.5258477577696947E-2</v>
      </c>
      <c r="BH156" s="85">
        <f t="shared" si="366"/>
        <v>2.5495166065807373E-2</v>
      </c>
      <c r="BI156" s="85">
        <f t="shared" si="366"/>
        <v>2.5728762545953465E-2</v>
      </c>
      <c r="BJ156" s="85">
        <f t="shared" si="366"/>
        <v>2.5942021452711517E-2</v>
      </c>
      <c r="BK156" s="85">
        <f t="shared" si="366"/>
        <v>2.5942021452711517E-2</v>
      </c>
      <c r="BL156" s="85">
        <f t="shared" si="366"/>
        <v>2.6135864442262013E-2</v>
      </c>
      <c r="BM156" s="85">
        <f t="shared" si="366"/>
        <v>2.633705466477787E-2</v>
      </c>
      <c r="BN156" s="85">
        <f t="shared" si="366"/>
        <v>2.6522860436931861E-2</v>
      </c>
      <c r="BO156" s="85">
        <f t="shared" si="366"/>
        <v>2.6694348870229367E-2</v>
      </c>
      <c r="BP156" s="85">
        <f t="shared" si="366"/>
        <v>2.6694348870229367E-2</v>
      </c>
      <c r="BQ156" s="85">
        <f t="shared" si="366"/>
        <v>2.6852476755875099E-2</v>
      </c>
      <c r="BR156" s="85">
        <f t="shared" si="366"/>
        <v>2.6998064058181281E-2</v>
      </c>
      <c r="BS156" s="85">
        <f t="shared" si="366"/>
        <v>2.7132715727308243E-2</v>
      </c>
    </row>
    <row r="157" spans="1:73">
      <c r="A157" s="135" t="s">
        <v>1330</v>
      </c>
      <c r="J157" s="239"/>
      <c r="K157" s="239"/>
      <c r="L157" s="239"/>
      <c r="M157" s="239"/>
      <c r="N157" s="244" t="str">
        <f>IF(N156&gt;N155, "Yes", "No")</f>
        <v>Yes</v>
      </c>
      <c r="O157" s="244" t="str">
        <f>IF(O156&gt;O155, "Yes", "No")</f>
        <v>Yes</v>
      </c>
      <c r="P157" s="244" t="str">
        <f>IF(P156&gt;P155, "Yes", "No")</f>
        <v>Yes</v>
      </c>
      <c r="Q157" s="244" t="str">
        <f>IF(Q156&gt;Q155, "Yes", "No")</f>
        <v>Yes</v>
      </c>
      <c r="S157" s="244" t="str">
        <f>IF(S156&gt;S155, "Yes", "No")</f>
        <v>Yes</v>
      </c>
      <c r="T157" s="244" t="str">
        <f>IF(T156&gt;T155, "Yes", "No")</f>
        <v>Yes</v>
      </c>
      <c r="U157" s="244" t="str">
        <f>IF(U156&gt;U155, "Yes", "No")</f>
        <v>Yes</v>
      </c>
      <c r="V157" s="244" t="str">
        <f>IF(V156&gt;V155, "Yes", "No")</f>
        <v>Yes</v>
      </c>
      <c r="X157" s="244" t="str">
        <f>IF(X156&gt;X155, "Yes", "No")</f>
        <v>Yes</v>
      </c>
      <c r="Y157" s="244" t="str">
        <f>IF(Y156&gt;Y155, "Yes", "No")</f>
        <v>Yes</v>
      </c>
      <c r="Z157" s="244" t="str">
        <f>IF(Z156&gt;Z155, "Yes", "No")</f>
        <v>Yes</v>
      </c>
      <c r="AA157" s="244" t="str">
        <f>IF(AA156&gt;AA155, "Yes", "No")</f>
        <v>Yes</v>
      </c>
      <c r="AC157" s="244" t="str">
        <f>IF(AC156&gt;AC155, "Yes", "No")</f>
        <v>Yes</v>
      </c>
      <c r="AD157" s="244" t="str">
        <f>IF(AD156&gt;AD155, "Yes", "No")</f>
        <v>Yes</v>
      </c>
      <c r="AE157" s="244" t="str">
        <f>IF(AE156&gt;AE155, "Yes", "No")</f>
        <v>Yes</v>
      </c>
      <c r="AF157" s="244" t="str">
        <f>IF(AF156&gt;AF155, "Yes", "No")</f>
        <v>Yes</v>
      </c>
      <c r="AH157" s="244" t="str">
        <f>IF(AH156&gt;AH155, "Yes", "No")</f>
        <v>Yes</v>
      </c>
      <c r="AI157" s="241" t="str">
        <f>IF(AI156&gt;AI155, "Yes", "No")</f>
        <v>No</v>
      </c>
      <c r="AJ157" s="241" t="str">
        <f>IF(AJ156&gt;AJ155, "Yes", "No")</f>
        <v>No</v>
      </c>
      <c r="AK157" s="241" t="str">
        <f>IF(AK156&gt;AK155, "Yes", "No")</f>
        <v>No</v>
      </c>
      <c r="AM157" s="241" t="str">
        <f>IF(AM156&gt;AM155, "Yes", "No")</f>
        <v>No</v>
      </c>
      <c r="AN157" s="241" t="str">
        <f>IF(AN156&gt;AN155, "Yes", "No")</f>
        <v>No</v>
      </c>
      <c r="AO157" s="241" t="str">
        <f>IF(AO156&gt;AO155, "Yes", "No")</f>
        <v>No</v>
      </c>
      <c r="AP157" s="241" t="str">
        <f>IF(AP156&gt;AP155, "Yes", "No")</f>
        <v>No</v>
      </c>
      <c r="AR157" s="241" t="str">
        <f>IF(AR156&gt;AR155, "Yes", "No")</f>
        <v>No</v>
      </c>
      <c r="AS157" s="241" t="str">
        <f>IF(AS156&gt;AS155, "Yes", "No")</f>
        <v>Yes</v>
      </c>
      <c r="AT157" s="241" t="str">
        <f>IF(AT156&gt;AT155, "Yes", "No")</f>
        <v>Yes</v>
      </c>
      <c r="AU157" s="241" t="str">
        <f>IF(AU156&gt;AU155, "Yes", "No")</f>
        <v>Yes</v>
      </c>
      <c r="AW157" s="241" t="str">
        <f>IF(AW156&gt;AW155, "Yes", "No")</f>
        <v>Yes</v>
      </c>
      <c r="AX157" s="241" t="str">
        <f>IF(AX156&gt;AX155, "Yes", "No")</f>
        <v>Yes</v>
      </c>
      <c r="AY157" s="241" t="str">
        <f>IF(AY156&gt;AY155, "Yes", "No")</f>
        <v>Yes</v>
      </c>
      <c r="AZ157" s="241" t="str">
        <f>IF(AZ156&gt;AZ155, "Yes", "No")</f>
        <v>Yes</v>
      </c>
      <c r="BB157" s="241" t="str">
        <f>IF(BB156&gt;BB155, "Yes", "No")</f>
        <v>Yes</v>
      </c>
      <c r="BC157" s="241" t="str">
        <f>IF(BC156&gt;BC155, "Yes", "No")</f>
        <v>Yes</v>
      </c>
      <c r="BD157" s="241" t="str">
        <f>IF(BD156&gt;BD155, "Yes", "No")</f>
        <v>Yes</v>
      </c>
      <c r="BE157" s="244" t="str">
        <f>IF(BE156&gt;BE155, "Yes", "No")</f>
        <v>Yes</v>
      </c>
      <c r="BG157" s="244" t="str">
        <f t="shared" ref="BG157:BJ157" si="367">IF(BG156&gt;BG155, "Yes", "No")</f>
        <v>Yes</v>
      </c>
      <c r="BH157" s="244" t="str">
        <f t="shared" si="367"/>
        <v>Yes</v>
      </c>
      <c r="BI157" s="244" t="str">
        <f t="shared" si="367"/>
        <v>Yes</v>
      </c>
      <c r="BJ157" s="244" t="str">
        <f t="shared" si="367"/>
        <v>Yes</v>
      </c>
      <c r="BL157" s="244" t="str">
        <f t="shared" ref="BL157" si="368">IF(BL156&gt;BL155, "Yes", "No")</f>
        <v>Yes</v>
      </c>
      <c r="BM157" s="244" t="str">
        <f t="shared" ref="BM157" si="369">IF(BM156&gt;BM155, "Yes", "No")</f>
        <v>Yes</v>
      </c>
      <c r="BN157" s="244" t="str">
        <f t="shared" ref="BN157" si="370">IF(BN156&gt;BN155, "Yes", "No")</f>
        <v>Yes</v>
      </c>
      <c r="BO157" s="244" t="str">
        <f t="shared" ref="BO157" si="371">IF(BO156&gt;BO155, "Yes", "No")</f>
        <v>Yes</v>
      </c>
      <c r="BQ157" s="244" t="str">
        <f t="shared" ref="BQ157" si="372">IF(BQ156&gt;BQ155, "Yes", "No")</f>
        <v>Yes</v>
      </c>
      <c r="BR157" s="244" t="str">
        <f t="shared" ref="BR157" si="373">IF(BR156&gt;BR155, "Yes", "No")</f>
        <v>Yes</v>
      </c>
      <c r="BS157" s="244" t="str">
        <f t="shared" ref="BS157" si="374">IF(BS156&gt;BS155, "Yes", "No")</f>
        <v>Yes</v>
      </c>
    </row>
    <row r="158" spans="1:73">
      <c r="A158" s="135" t="s">
        <v>1331</v>
      </c>
      <c r="N158" s="244" t="str">
        <f>IF(N201&lt;0, "Yes", "No")</f>
        <v>No</v>
      </c>
      <c r="O158" s="244" t="str">
        <f>IF(O201&lt;0, "Yes", "No")</f>
        <v>No</v>
      </c>
      <c r="P158" s="244" t="str">
        <f>IF(P201&lt;0, "Yes", "No")</f>
        <v>No</v>
      </c>
      <c r="Q158" s="244" t="str">
        <f>IF(Q201&lt;0, "Yes", "No")</f>
        <v>No</v>
      </c>
      <c r="S158" s="244" t="str">
        <f>IF(S201&lt;0, "Yes", "No")</f>
        <v>No</v>
      </c>
      <c r="T158" s="244" t="str">
        <f>IF(T201&lt;0, "Yes", "No")</f>
        <v>No</v>
      </c>
      <c r="U158" s="241" t="str">
        <f>IF(U201&lt;0, "Yes", "No")</f>
        <v>Yes</v>
      </c>
      <c r="V158" s="241" t="str">
        <f>IF(V201&lt;0, "Yes", "No")</f>
        <v>Yes</v>
      </c>
      <c r="X158" s="241" t="str">
        <f>IF(X201&lt;0, "Yes", "No")</f>
        <v>Yes</v>
      </c>
      <c r="Y158" s="241" t="str">
        <f>IF(Y201&lt;0, "Yes", "No")</f>
        <v>Yes</v>
      </c>
      <c r="Z158" s="244" t="str">
        <f>IF(Z201&lt;0, "Yes", "No")</f>
        <v>No</v>
      </c>
      <c r="AA158" s="244" t="str">
        <f>IF(AA201&lt;0, "Yes", "No")</f>
        <v>No</v>
      </c>
      <c r="AC158" s="244" t="str">
        <f>IF(AC201&lt;0, "Yes", "No")</f>
        <v>No</v>
      </c>
      <c r="AD158" s="244" t="str">
        <f>IF(AD201&lt;0, "Yes", "No")</f>
        <v>No</v>
      </c>
      <c r="AE158" s="244" t="str">
        <f>IF(AE201&lt;0, "Yes", "No")</f>
        <v>No</v>
      </c>
      <c r="AF158" s="244" t="str">
        <f>IF(AF201&lt;0, "Yes", "No")</f>
        <v>No</v>
      </c>
      <c r="AH158" s="241" t="str">
        <f>IF(AH201&lt;0, "Yes", "No")</f>
        <v>Yes</v>
      </c>
      <c r="AI158" s="241" t="str">
        <f>IF(AI201&lt;0, "Yes", "No")</f>
        <v>Yes</v>
      </c>
      <c r="AJ158" s="241" t="str">
        <f>IF(AJ201&lt;0, "Yes", "No")</f>
        <v>Yes</v>
      </c>
      <c r="AK158" s="241" t="str">
        <f>IF(AK201&lt;0, "Yes", "No")</f>
        <v>Yes</v>
      </c>
      <c r="AM158" s="241" t="str">
        <f>IF(AM201&lt;0, "Yes", "No")</f>
        <v>Yes</v>
      </c>
      <c r="AN158" s="241" t="str">
        <f>IF(AN201&lt;0, "Yes", "No")</f>
        <v>Yes</v>
      </c>
      <c r="AO158" s="241" t="str">
        <f>IF(AO201&lt;0, "Yes", "No")</f>
        <v>Yes</v>
      </c>
      <c r="AP158" s="241" t="str">
        <f>IF(AP201&lt;0, "Yes", "No")</f>
        <v>Yes</v>
      </c>
      <c r="AR158" s="241" t="str">
        <f>IF(AR201&lt;0, "Yes", "No")</f>
        <v>Yes</v>
      </c>
      <c r="AS158" s="241" t="str">
        <f>IF(AS201&lt;0, "Yes", "No")</f>
        <v>Yes</v>
      </c>
      <c r="AT158" s="241" t="str">
        <f>IF(AT201&lt;0, "Yes", "No")</f>
        <v>Yes</v>
      </c>
      <c r="AU158" s="241" t="str">
        <f>IF(AU201&lt;0, "Yes", "No")</f>
        <v>Yes</v>
      </c>
      <c r="AW158" s="241" t="str">
        <f>IF(AW201&lt;0, "Yes", "No")</f>
        <v>Yes</v>
      </c>
      <c r="AX158" s="241" t="str">
        <f>IF(AX201&lt;0, "Yes", "No")</f>
        <v>Yes</v>
      </c>
      <c r="AY158" s="241" t="str">
        <f>IF(AY201&lt;0, "Yes", "No")</f>
        <v>Yes</v>
      </c>
      <c r="AZ158" s="241" t="str">
        <f>IF(AZ201&lt;0, "Yes", "No")</f>
        <v>Yes</v>
      </c>
      <c r="BB158" s="241" t="str">
        <f>IF(BB201&lt;0, "Yes", "No")</f>
        <v>Yes</v>
      </c>
      <c r="BC158" s="241" t="str">
        <f>IF(BC201&lt;0, "Yes", "No")</f>
        <v>Yes</v>
      </c>
      <c r="BD158" s="241" t="str">
        <f>IF(BD201&lt;0, "Yes", "No")</f>
        <v>Yes</v>
      </c>
      <c r="BE158" s="241" t="str">
        <f>IF(BE201&lt;0, "Yes", "No")</f>
        <v>Yes</v>
      </c>
      <c r="BG158" s="241" t="str">
        <f>IF(BG201&lt;0, "Yes", "No")</f>
        <v>Yes</v>
      </c>
      <c r="BH158" s="241" t="str">
        <f>IF(BH201&lt;0, "Yes", "No")</f>
        <v>Yes</v>
      </c>
      <c r="BI158" s="241" t="str">
        <f>IF(BI201&lt;0, "Yes", "No")</f>
        <v>Yes</v>
      </c>
      <c r="BJ158" s="241" t="str">
        <f>IF(BJ201&lt;0, "Yes", "No")</f>
        <v>Yes</v>
      </c>
      <c r="BL158" s="241" t="str">
        <f>IF(BL201&lt;0, "Yes", "No")</f>
        <v>Yes</v>
      </c>
      <c r="BM158" s="241" t="str">
        <f>IF(BM201&lt;0, "Yes", "No")</f>
        <v>Yes</v>
      </c>
      <c r="BN158" s="241" t="e">
        <f>IF(BN201&lt;0, "Yes", "No")</f>
        <v>#NUM!</v>
      </c>
      <c r="BO158" s="241" t="e">
        <f>IF(BO201&lt;0, "Yes", "No")</f>
        <v>#NUM!</v>
      </c>
      <c r="BQ158" s="241" t="e">
        <f>IF(BQ201&lt;0, "Yes", "No")</f>
        <v>#NUM!</v>
      </c>
      <c r="BR158" s="241" t="e">
        <f>IF(BR201&lt;0, "Yes", "No")</f>
        <v>#NUM!</v>
      </c>
      <c r="BS158" s="241" t="e">
        <f>IF(BS201&lt;0, "Yes", "No")</f>
        <v>#NUM!</v>
      </c>
    </row>
    <row r="159" spans="1:73">
      <c r="A159" s="135" t="s">
        <v>1332</v>
      </c>
      <c r="N159" s="239"/>
      <c r="O159" s="239"/>
      <c r="P159" s="239"/>
      <c r="Q159" s="239"/>
      <c r="S159" s="239"/>
      <c r="T159" s="239"/>
      <c r="U159" s="241" t="str">
        <f>IF(U201&lt;T201, "Increasing", "Decreasing")</f>
        <v>Increasing</v>
      </c>
      <c r="V159" s="241" t="str">
        <f>IF(V201&lt;U201, "Increasing", "Decreasing")</f>
        <v>Increasing</v>
      </c>
      <c r="X159" s="241" t="str">
        <f>IF(X201&lt;W201, "Increasing", "Decreasing")</f>
        <v>Increasing</v>
      </c>
      <c r="Y159" s="241" t="str">
        <f>IF(Y201&lt;X201, "Increasing", "Decreasing")</f>
        <v>Increasing</v>
      </c>
      <c r="Z159" s="244" t="str">
        <f>IF(Z201&lt;Y201, "Increasing", "Decreasing")</f>
        <v>Decreasing</v>
      </c>
      <c r="AA159" s="244" t="str">
        <f>IF(AA201&lt;Z201, "Increasing", "Decreasing")</f>
        <v>Decreasing</v>
      </c>
      <c r="AC159" s="244" t="str">
        <f>IF(AC201&lt;AB201, "Increasing", "Decreasing")</f>
        <v>Decreasing</v>
      </c>
      <c r="AD159" s="239"/>
      <c r="AE159" s="239"/>
      <c r="AF159" s="239"/>
      <c r="AH159" s="241" t="str">
        <f>IF(AH201&lt;AG201, "Increasing", "Decreasing")</f>
        <v>Increasing</v>
      </c>
      <c r="AI159" s="241" t="str">
        <f>IF(AI201&lt;AH201, "Increasing", "Decreasing")</f>
        <v>Increasing</v>
      </c>
      <c r="AJ159" s="241" t="str">
        <f>IF(AJ201&lt;AI201, "Increasing", "Decreasing")</f>
        <v>Increasing</v>
      </c>
      <c r="AK159" s="241" t="str">
        <f>IF(AK201&lt;AJ201, "Increasing", "Decreasing")</f>
        <v>Increasing</v>
      </c>
      <c r="AM159" s="241" t="str">
        <f>IF(AM201&lt;AL201, "Increasing", "Decreasing")</f>
        <v>Increasing</v>
      </c>
      <c r="AN159" s="241" t="str">
        <f>IF(AN201&lt;AM201, "Increasing", "Decreasing")</f>
        <v>Increasing</v>
      </c>
      <c r="AO159" s="241" t="str">
        <f>IF(AO201&lt;AN201, "Increasing", "Decreasing")</f>
        <v>Increasing</v>
      </c>
      <c r="AP159" s="241" t="str">
        <f>IF(AP201&lt;AO201, "Increasing", "Decreasing")</f>
        <v>Increasing</v>
      </c>
      <c r="AR159" s="241" t="str">
        <f>IF(AR201&lt;AQ201, "Increasing", "Decreasing")</f>
        <v>Increasing</v>
      </c>
      <c r="AS159" s="241" t="str">
        <f>IF(AS201&lt;AR201, "Increasing", "Decreasing")</f>
        <v>Increasing</v>
      </c>
      <c r="AT159" s="241" t="str">
        <f>IF(AT201&lt;AS201, "Increasing", "Decreasing")</f>
        <v>Increasing</v>
      </c>
      <c r="AU159" s="241" t="str">
        <f>IF(AU201&lt;AT201, "Increasing", "Decreasing")</f>
        <v>Increasing</v>
      </c>
      <c r="AW159" s="241" t="str">
        <f>IF(AW201&lt;AV201, "Increasing", "Decreasing")</f>
        <v>Increasing</v>
      </c>
      <c r="AX159" s="241" t="str">
        <f>IF(AX201&lt;AW201, "Increasing", "Decreasing")</f>
        <v>Increasing</v>
      </c>
      <c r="AY159" s="241" t="str">
        <f>IF(AY201&lt;AX201, "Increasing", "Decreasing")</f>
        <v>Increasing</v>
      </c>
      <c r="AZ159" s="241" t="str">
        <f>IF(AZ201&lt;AY201, "Increasing", "Decreasing")</f>
        <v>Increasing</v>
      </c>
      <c r="BB159" s="241" t="str">
        <f>IF(BB201&lt;BA201, "Increasing", "Decreasing")</f>
        <v>Increasing</v>
      </c>
      <c r="BC159" s="241" t="str">
        <f>IF(BC201&lt;BB201, "Increasing", "Decreasing")</f>
        <v>Increasing</v>
      </c>
      <c r="BD159" s="241" t="str">
        <f>IF(BD201&lt;BC201, "Increasing", "Decreasing")</f>
        <v>Increasing</v>
      </c>
      <c r="BE159" s="244" t="str">
        <f>IF(BE201&lt;BD201, "Increasing", "Decreasing")</f>
        <v>Decreasing</v>
      </c>
      <c r="BG159" s="244" t="str">
        <f>IF(BG201&lt;BF201, "Increasing", "Decreasing")</f>
        <v>Decreasing</v>
      </c>
      <c r="BH159" s="244" t="str">
        <f>IF(BH201&lt;BG201, "Increasing", "Decreasing")</f>
        <v>Decreasing</v>
      </c>
      <c r="BI159" s="244" t="str">
        <f>IF(BI201&lt;BH201, "Increasing", "Decreasing")</f>
        <v>Decreasing</v>
      </c>
      <c r="BJ159" s="244" t="str">
        <f>IF(BJ201&lt;BI201, "Increasing", "Decreasing")</f>
        <v>Decreasing</v>
      </c>
      <c r="BL159" s="244" t="str">
        <f>IF(BL201&lt;BK201, "Increasing", "Decreasing")</f>
        <v>Decreasing</v>
      </c>
      <c r="BM159" s="244" t="str">
        <f>IF(BM201&lt;BL201, "Increasing", "Decreasing")</f>
        <v>Decreasing</v>
      </c>
      <c r="BN159" s="244" t="e">
        <f>IF(BN201&lt;BM201, "Increasing", "Decreasing")</f>
        <v>#NUM!</v>
      </c>
      <c r="BO159" s="244" t="e">
        <f>IF(BO201&lt;BN201, "Increasing", "Decreasing")</f>
        <v>#NUM!</v>
      </c>
      <c r="BQ159" s="244" t="e">
        <f>IF(BQ201&lt;BP201, "Increasing", "Decreasing")</f>
        <v>#NUM!</v>
      </c>
      <c r="BR159" s="244" t="e">
        <f>IF(BR201&lt;BQ201, "Increasing", "Decreasing")</f>
        <v>#NUM!</v>
      </c>
      <c r="BS159" s="244" t="e">
        <f>IF(BS201&lt;BR201, "Increasing", "Decreasing")</f>
        <v>#NUM!</v>
      </c>
    </row>
    <row r="161" spans="1:71">
      <c r="A161" s="28" t="s">
        <v>276</v>
      </c>
      <c r="N161" s="36">
        <f t="shared" ref="N161:X161" si="375">N162-N146</f>
        <v>-1005.8660656793309</v>
      </c>
      <c r="O161" s="36">
        <f t="shared" si="375"/>
        <v>-376.58897355446015</v>
      </c>
      <c r="P161" s="36">
        <f t="shared" si="375"/>
        <v>-190.62749268811513</v>
      </c>
      <c r="Q161" s="36">
        <f t="shared" si="375"/>
        <v>-646.13615788520747</v>
      </c>
      <c r="R161" s="36">
        <f t="shared" si="375"/>
        <v>-2219.2186898071141</v>
      </c>
      <c r="S161" s="36">
        <f t="shared" si="375"/>
        <v>-369.76363636363658</v>
      </c>
      <c r="T161" s="36">
        <f t="shared" si="375"/>
        <v>-464.21541318477284</v>
      </c>
      <c r="U161" s="36">
        <f t="shared" si="375"/>
        <v>-387.10038539181505</v>
      </c>
      <c r="V161" s="36">
        <f t="shared" si="375"/>
        <v>1289.1540010986992</v>
      </c>
      <c r="W161" s="36">
        <f t="shared" si="375"/>
        <v>68.074566158476955</v>
      </c>
      <c r="X161" s="36">
        <f t="shared" si="375"/>
        <v>-296.65490996844301</v>
      </c>
    </row>
    <row r="162" spans="1:71">
      <c r="A162" s="9" t="s">
        <v>415</v>
      </c>
      <c r="B162" s="9"/>
      <c r="C162" s="9"/>
      <c r="D162" s="9"/>
      <c r="E162" s="9"/>
      <c r="F162" s="9"/>
      <c r="G162" s="9"/>
      <c r="H162" s="9"/>
      <c r="I162" s="9"/>
      <c r="J162" s="97">
        <f>I144+(J146*$R$162/$R$146)</f>
        <v>1421.851547910527</v>
      </c>
      <c r="K162" s="39">
        <f>K146*$R$162/$R$146</f>
        <v>257.69015590084547</v>
      </c>
      <c r="L162" s="39">
        <f>L146*$R$162/$R$146</f>
        <v>532.35312086353372</v>
      </c>
      <c r="M162" s="39">
        <f>SUM(I162:L162)</f>
        <v>2211.894824674906</v>
      </c>
      <c r="N162" s="75">
        <v>940</v>
      </c>
      <c r="O162" s="75">
        <f>2860-N162</f>
        <v>1920</v>
      </c>
      <c r="P162" s="126">
        <f>6490-O162-N162</f>
        <v>3630</v>
      </c>
      <c r="Q162" s="39">
        <f>R162-SUM(N162:P162)</f>
        <v>2180</v>
      </c>
      <c r="R162" s="75">
        <v>8670</v>
      </c>
      <c r="S162" s="75">
        <v>2710</v>
      </c>
      <c r="T162" s="75">
        <f>-4900-S162</f>
        <v>-7610</v>
      </c>
      <c r="U162" s="126">
        <f>-6200-T162-S162</f>
        <v>-1300</v>
      </c>
      <c r="V162" s="39">
        <f>W162-SUM(S162:U162)</f>
        <v>-8610</v>
      </c>
      <c r="W162" s="75">
        <v>-14810</v>
      </c>
      <c r="X162" s="75">
        <v>2350</v>
      </c>
      <c r="Y162" s="75">
        <f>7870-X162</f>
        <v>5520</v>
      </c>
      <c r="Z162" s="75">
        <f>17460-Y162-X162</f>
        <v>9590</v>
      </c>
      <c r="AA162" s="39">
        <f>AB162-SUM(X162:Z162)</f>
        <v>27020</v>
      </c>
      <c r="AB162" s="75">
        <v>44480</v>
      </c>
      <c r="AC162" s="75">
        <v>1990</v>
      </c>
      <c r="AD162" s="39">
        <f t="shared" ref="AD162:AR163" si="376">AD176-AC176</f>
        <v>-7660</v>
      </c>
      <c r="AE162" s="39">
        <f t="shared" si="376"/>
        <v>-400</v>
      </c>
      <c r="AF162" s="39">
        <f t="shared" si="376"/>
        <v>-15300</v>
      </c>
      <c r="AG162" s="39">
        <f>SUM(AC162:AF162)</f>
        <v>-21370</v>
      </c>
      <c r="AH162" s="39">
        <f t="shared" si="376"/>
        <v>-8300</v>
      </c>
      <c r="AI162" s="39">
        <f t="shared" si="376"/>
        <v>-5400</v>
      </c>
      <c r="AJ162" s="39">
        <f t="shared" si="376"/>
        <v>-2600</v>
      </c>
      <c r="AK162" s="39">
        <f t="shared" si="376"/>
        <v>-100</v>
      </c>
      <c r="AL162" s="39">
        <f>SUM(AH162:AK162)</f>
        <v>-16400</v>
      </c>
      <c r="AM162" s="39">
        <f t="shared" si="376"/>
        <v>300</v>
      </c>
      <c r="AN162" s="39">
        <f t="shared" si="376"/>
        <v>2100</v>
      </c>
      <c r="AO162" s="39">
        <f t="shared" si="376"/>
        <v>1700</v>
      </c>
      <c r="AP162" s="39">
        <f t="shared" si="376"/>
        <v>-300</v>
      </c>
      <c r="AQ162" s="39">
        <f>SUM(AM162:AP162)</f>
        <v>3800</v>
      </c>
      <c r="AR162" s="39">
        <f t="shared" si="376"/>
        <v>2600</v>
      </c>
      <c r="AS162" s="39">
        <f>AS150</f>
        <v>3025</v>
      </c>
      <c r="AT162" s="39">
        <f>AT150</f>
        <v>-970</v>
      </c>
      <c r="AU162" s="39">
        <f t="shared" ref="AU162:AU163" si="377">AU176-AT176</f>
        <v>1800</v>
      </c>
      <c r="AV162" s="39">
        <f>SUM(AR162:AU162)</f>
        <v>6455</v>
      </c>
      <c r="AW162" s="39">
        <f t="shared" ref="AW162:AW163" si="378">AW176-AV176</f>
        <v>3500</v>
      </c>
      <c r="AX162" s="39">
        <f>AX150</f>
        <v>5730</v>
      </c>
      <c r="AY162" s="39">
        <f>AY150</f>
        <v>-7875</v>
      </c>
      <c r="AZ162" s="39">
        <f>AZ150</f>
        <v>-1865</v>
      </c>
      <c r="BA162" s="39">
        <f>SUM(AW162:AZ162)</f>
        <v>-510</v>
      </c>
      <c r="BB162" s="39">
        <f>BB150</f>
        <v>400</v>
      </c>
      <c r="BC162" s="39">
        <f>BC150</f>
        <v>370</v>
      </c>
      <c r="BD162" s="39">
        <f>BD150</f>
        <v>340</v>
      </c>
      <c r="BE162" s="39">
        <f>BE150</f>
        <v>365</v>
      </c>
      <c r="BF162" s="39">
        <f>SUM(BB162:BE162)</f>
        <v>1475</v>
      </c>
      <c r="BG162" s="39">
        <f>BG150</f>
        <v>325</v>
      </c>
      <c r="BH162" s="39">
        <f>BH150</f>
        <v>295</v>
      </c>
      <c r="BI162" s="39">
        <f>BI150</f>
        <v>265</v>
      </c>
      <c r="BJ162" s="39">
        <f>BJ150</f>
        <v>225</v>
      </c>
      <c r="BK162" s="39">
        <f>SUM(BG162:BJ162)</f>
        <v>1110</v>
      </c>
      <c r="BL162" s="39">
        <f>BL150</f>
        <v>190</v>
      </c>
      <c r="BM162" s="39">
        <f>BM150</f>
        <v>160</v>
      </c>
      <c r="BN162" s="39" t="e">
        <f>BN150</f>
        <v>#NUM!</v>
      </c>
      <c r="BO162" s="39" t="e">
        <f>BO150</f>
        <v>#NUM!</v>
      </c>
      <c r="BP162" s="39" t="e">
        <f>SUM(BL162:BO162)</f>
        <v>#NUM!</v>
      </c>
      <c r="BQ162" s="39" t="e">
        <f>BQ150</f>
        <v>#NUM!</v>
      </c>
      <c r="BR162" s="39" t="e">
        <f>BR150</f>
        <v>#NUM!</v>
      </c>
      <c r="BS162" s="39" t="e">
        <f>BS150</f>
        <v>#NUM!</v>
      </c>
    </row>
    <row r="163" spans="1:71">
      <c r="A163" s="1" t="s">
        <v>416</v>
      </c>
      <c r="J163" s="107">
        <f>I98+(J98*$R$163/$R$98)</f>
        <v>-670.85774095329475</v>
      </c>
      <c r="K163" s="36">
        <f>K98*$R$163/$R$98</f>
        <v>-255.7929165996207</v>
      </c>
      <c r="L163" s="36">
        <f>L98*$R$163/$R$98</f>
        <v>-446.19111614011968</v>
      </c>
      <c r="M163" s="36">
        <f>SUM(I163:L163)</f>
        <v>-1372.8417736930351</v>
      </c>
      <c r="N163" s="76">
        <v>-840</v>
      </c>
      <c r="O163" s="76">
        <f>-1740-N163</f>
        <v>-900</v>
      </c>
      <c r="P163" s="108">
        <f>-4430-O163-N163</f>
        <v>-2690</v>
      </c>
      <c r="Q163" s="36">
        <f>R163-SUM(N163:P163)</f>
        <v>-460</v>
      </c>
      <c r="R163" s="76">
        <v>-4890</v>
      </c>
      <c r="S163" s="76">
        <v>-1350</v>
      </c>
      <c r="T163" s="76">
        <f>2490-S163</f>
        <v>3840</v>
      </c>
      <c r="U163" s="108">
        <f>3280-T163-S163</f>
        <v>790</v>
      </c>
      <c r="V163" s="36">
        <f>W163-SUM(S163:U163)</f>
        <v>4460</v>
      </c>
      <c r="W163" s="76">
        <v>7740</v>
      </c>
      <c r="X163" s="76">
        <v>-1120</v>
      </c>
      <c r="Y163" s="76">
        <f>-4020-X163</f>
        <v>-2900</v>
      </c>
      <c r="Z163" s="76">
        <f>-8490-Y163-X163</f>
        <v>-4470</v>
      </c>
      <c r="AA163" s="36">
        <f>AB163-SUM(X163:Z163)</f>
        <v>-13150</v>
      </c>
      <c r="AB163" s="76">
        <v>-21640</v>
      </c>
      <c r="AC163" s="76">
        <v>-960</v>
      </c>
      <c r="AD163" s="36">
        <f t="shared" si="376"/>
        <v>3750</v>
      </c>
      <c r="AE163" s="36">
        <f t="shared" si="376"/>
        <v>200</v>
      </c>
      <c r="AF163" s="36">
        <f t="shared" si="376"/>
        <v>7400</v>
      </c>
      <c r="AG163" s="36">
        <f t="shared" ref="AG163" si="379">SUM(AC163:AF163)</f>
        <v>10390</v>
      </c>
      <c r="AH163" s="36">
        <f t="shared" si="376"/>
        <v>4000</v>
      </c>
      <c r="AI163" s="36">
        <f t="shared" si="376"/>
        <v>2600</v>
      </c>
      <c r="AJ163" s="36">
        <f t="shared" si="376"/>
        <v>1200</v>
      </c>
      <c r="AK163" s="36">
        <f t="shared" si="376"/>
        <v>100</v>
      </c>
      <c r="AL163" s="36">
        <f t="shared" ref="AL163" si="380">SUM(AH163:AK163)</f>
        <v>7900</v>
      </c>
      <c r="AM163" s="36">
        <f t="shared" si="376"/>
        <v>-200</v>
      </c>
      <c r="AN163" s="36">
        <f t="shared" si="376"/>
        <v>-1000</v>
      </c>
      <c r="AO163" s="36">
        <f t="shared" si="376"/>
        <v>-800</v>
      </c>
      <c r="AP163" s="36">
        <f t="shared" si="376"/>
        <v>200</v>
      </c>
      <c r="AQ163" s="36">
        <f t="shared" ref="AQ163" si="381">SUM(AM163:AP163)</f>
        <v>-1800</v>
      </c>
      <c r="AR163" s="36">
        <f t="shared" si="376"/>
        <v>-1300</v>
      </c>
      <c r="AS163" s="36">
        <f>-SUM('SVF1'!AS29:AS30)</f>
        <v>-1420</v>
      </c>
      <c r="AT163" s="36">
        <f>-SUM('SVF1'!AT29:AT30)</f>
        <v>389.56515992598463</v>
      </c>
      <c r="AU163" s="36">
        <f t="shared" si="377"/>
        <v>-800</v>
      </c>
      <c r="AV163" s="36">
        <f t="shared" ref="AV163" si="382">SUM(AR163:AU163)</f>
        <v>-3130.4348400740155</v>
      </c>
      <c r="AW163" s="36">
        <f t="shared" si="378"/>
        <v>-1700</v>
      </c>
      <c r="AX163" s="36">
        <f>-SUM('SVF1'!AX29:AX30)</f>
        <v>-2545</v>
      </c>
      <c r="AY163" s="36">
        <f>-SUM('SVF1'!AY29:AY30)</f>
        <v>3607.7252661646326</v>
      </c>
      <c r="AZ163" s="36">
        <f>-SUM('SVF1'!AZ29:AZ30)</f>
        <v>845</v>
      </c>
      <c r="BA163" s="36">
        <f t="shared" ref="BA163" si="383">SUM(AW163:AZ163)</f>
        <v>207.72526616463256</v>
      </c>
      <c r="BB163" s="36">
        <f>-SUM('SVF1'!BB29:BB30)</f>
        <v>-200</v>
      </c>
      <c r="BC163" s="36">
        <f>-SUM('SVF1'!BC29:BC30)</f>
        <v>-185</v>
      </c>
      <c r="BD163" s="36">
        <f>-SUM('SVF1'!BD29:BD30)</f>
        <v>-170</v>
      </c>
      <c r="BE163" s="36">
        <f>-SUM('SVF1'!BE29:BE30)</f>
        <v>-155</v>
      </c>
      <c r="BF163" s="36">
        <f t="shared" ref="BF163" si="384">SUM(BB163:BE163)</f>
        <v>-710</v>
      </c>
      <c r="BG163" s="36">
        <f>-SUM('SVF1'!BG29:BG30)</f>
        <v>-140</v>
      </c>
      <c r="BH163" s="36">
        <f>-SUM('SVF1'!BH29:BH30)</f>
        <v>-130</v>
      </c>
      <c r="BI163" s="36">
        <f>-SUM('SVF1'!BI29:BI30)</f>
        <v>-115</v>
      </c>
      <c r="BJ163" s="36">
        <f>-SUM('SVF1'!BJ29:BJ30)</f>
        <v>-105</v>
      </c>
      <c r="BK163" s="36">
        <f t="shared" ref="BK163" si="385">SUM(BG163:BJ163)</f>
        <v>-490</v>
      </c>
      <c r="BL163" s="36">
        <f>-SUM('SVF1'!BL29:BL30)</f>
        <v>-75</v>
      </c>
      <c r="BM163" s="36">
        <f>-SUM('SVF1'!BM29:BM30)</f>
        <v>-65</v>
      </c>
      <c r="BN163" s="36">
        <f>-SUM('SVF1'!BN29:BN30)</f>
        <v>-55</v>
      </c>
      <c r="BO163" s="36">
        <f>-SUM('SVF1'!BO29:BO30)</f>
        <v>-45</v>
      </c>
      <c r="BP163" s="36">
        <f t="shared" ref="BP163" si="386">SUM(BL163:BO163)</f>
        <v>-240</v>
      </c>
      <c r="BQ163" s="36">
        <f>-SUM('SVF1'!BQ29:BQ30)</f>
        <v>-35</v>
      </c>
      <c r="BR163" s="36">
        <f>-SUM('SVF1'!BR29:BR30)</f>
        <v>-20</v>
      </c>
      <c r="BS163" s="36">
        <f>-SUM('SVF1'!BS29:BS30)</f>
        <v>-10</v>
      </c>
    </row>
    <row r="164" spans="1:71">
      <c r="A164" s="1" t="s">
        <v>1108</v>
      </c>
      <c r="N164" s="21">
        <f t="shared" ref="N164:AU164" si="387">N166/N162</f>
        <v>0.10638297872340426</v>
      </c>
      <c r="O164" s="21">
        <f t="shared" si="387"/>
        <v>0.53125</v>
      </c>
      <c r="P164" s="21">
        <f t="shared" si="387"/>
        <v>0.25895316804407714</v>
      </c>
      <c r="Q164" s="21">
        <f t="shared" si="387"/>
        <v>0.78899082568807344</v>
      </c>
      <c r="R164" s="21">
        <f t="shared" si="387"/>
        <v>0.43598615916955019</v>
      </c>
      <c r="S164" s="21">
        <f t="shared" si="387"/>
        <v>0.50184501845018448</v>
      </c>
      <c r="T164" s="21">
        <f t="shared" si="387"/>
        <v>0.49540078843626806</v>
      </c>
      <c r="U164" s="21">
        <f t="shared" si="387"/>
        <v>0.3923076923076923</v>
      </c>
      <c r="V164" s="21">
        <f t="shared" si="387"/>
        <v>0.48199767711962832</v>
      </c>
      <c r="W164" s="21">
        <f t="shared" si="387"/>
        <v>0.4773801485482782</v>
      </c>
      <c r="X164" s="21">
        <f t="shared" si="387"/>
        <v>0.52340425531914891</v>
      </c>
      <c r="Y164" s="21">
        <f t="shared" si="387"/>
        <v>0.47463768115942029</v>
      </c>
      <c r="Z164" s="21">
        <f t="shared" si="387"/>
        <v>0.53388946819603755</v>
      </c>
      <c r="AA164" s="21">
        <f t="shared" si="387"/>
        <v>0.5133234641006662</v>
      </c>
      <c r="AB164" s="21">
        <f t="shared" si="387"/>
        <v>0.51348920863309355</v>
      </c>
      <c r="AC164" s="21">
        <f t="shared" si="387"/>
        <v>0.51758793969849248</v>
      </c>
      <c r="AD164" s="21">
        <f t="shared" si="387"/>
        <v>0.51044386422976507</v>
      </c>
      <c r="AE164" s="21">
        <f t="shared" si="387"/>
        <v>0.5</v>
      </c>
      <c r="AF164" s="21">
        <f t="shared" si="387"/>
        <v>0.5163398692810458</v>
      </c>
      <c r="AG164" s="21">
        <f t="shared" si="387"/>
        <v>0.51380439868975203</v>
      </c>
      <c r="AH164" s="21">
        <f t="shared" si="387"/>
        <v>0.51807228915662651</v>
      </c>
      <c r="AI164" s="21">
        <f t="shared" si="387"/>
        <v>0.51851851851851849</v>
      </c>
      <c r="AJ164" s="21">
        <f t="shared" si="387"/>
        <v>0.53846153846153844</v>
      </c>
      <c r="AK164" s="21">
        <f t="shared" si="387"/>
        <v>0</v>
      </c>
      <c r="AL164" s="21">
        <f t="shared" si="387"/>
        <v>0.51829268292682928</v>
      </c>
      <c r="AM164" s="21">
        <f t="shared" si="387"/>
        <v>0.33333333333333331</v>
      </c>
      <c r="AN164" s="21">
        <f t="shared" si="387"/>
        <v>0.52380952380952384</v>
      </c>
      <c r="AO164" s="21">
        <f t="shared" si="387"/>
        <v>0.52941176470588236</v>
      </c>
      <c r="AP164" s="21">
        <f t="shared" ref="AP164" si="388">AP166/AP162</f>
        <v>0.33333333333333331</v>
      </c>
      <c r="AQ164" s="21">
        <f t="shared" si="387"/>
        <v>0.52631578947368418</v>
      </c>
      <c r="AR164" s="21">
        <f t="shared" ref="AR164" si="389">AR166/AR162</f>
        <v>0.5</v>
      </c>
      <c r="AS164" s="21">
        <f t="shared" si="387"/>
        <v>0.53057851239669418</v>
      </c>
      <c r="AT164" s="21">
        <f t="shared" si="387"/>
        <v>0.59838643306599526</v>
      </c>
      <c r="AU164" s="21">
        <f t="shared" si="387"/>
        <v>0.55555555555555558</v>
      </c>
      <c r="AV164" s="21">
        <f t="shared" ref="AV164:AW164" si="390">AV166/AV162</f>
        <v>0.51503720525576835</v>
      </c>
      <c r="AW164" s="21">
        <f t="shared" si="390"/>
        <v>0.51428571428571423</v>
      </c>
      <c r="AX164" s="21">
        <f t="shared" ref="AX164:BA164" si="391">AX166/AX162</f>
        <v>0.55584642233856896</v>
      </c>
      <c r="AY164" s="21">
        <f t="shared" si="391"/>
        <v>0.54187615667750699</v>
      </c>
      <c r="AZ164" s="21">
        <f t="shared" si="391"/>
        <v>0.54691689008042899</v>
      </c>
      <c r="BA164" s="21">
        <f t="shared" si="391"/>
        <v>0.59269555653993611</v>
      </c>
      <c r="BB164" s="21">
        <f t="shared" ref="BB164:BF164" si="392">BB166/BB162</f>
        <v>0.5</v>
      </c>
      <c r="BC164" s="21">
        <f t="shared" si="392"/>
        <v>0.5</v>
      </c>
      <c r="BD164" s="21">
        <f t="shared" si="392"/>
        <v>0.5</v>
      </c>
      <c r="BE164" s="21">
        <f t="shared" si="392"/>
        <v>0.57534246575342463</v>
      </c>
      <c r="BF164" s="21">
        <f t="shared" si="392"/>
        <v>0.51864406779661021</v>
      </c>
      <c r="BG164" s="21">
        <f t="shared" ref="BG164:BP164" si="393">BG166/BG162</f>
        <v>0.56923076923076921</v>
      </c>
      <c r="BH164" s="21">
        <f t="shared" si="393"/>
        <v>0.55932203389830504</v>
      </c>
      <c r="BI164" s="21">
        <f t="shared" si="393"/>
        <v>0.56603773584905659</v>
      </c>
      <c r="BJ164" s="21">
        <f t="shared" si="393"/>
        <v>0.53333333333333333</v>
      </c>
      <c r="BK164" s="21">
        <f t="shared" si="393"/>
        <v>0.55855855855855852</v>
      </c>
      <c r="BL164" s="21">
        <f t="shared" si="393"/>
        <v>0.60526315789473684</v>
      </c>
      <c r="BM164" s="21">
        <f t="shared" si="393"/>
        <v>0.59375</v>
      </c>
      <c r="BN164" s="21" t="e">
        <f t="shared" si="393"/>
        <v>#NUM!</v>
      </c>
      <c r="BO164" s="21" t="e">
        <f t="shared" si="393"/>
        <v>#NUM!</v>
      </c>
      <c r="BP164" s="21" t="e">
        <f t="shared" si="393"/>
        <v>#NUM!</v>
      </c>
      <c r="BQ164" s="21" t="e">
        <f t="shared" ref="BQ164:BS164" si="394">BQ166/BQ162</f>
        <v>#NUM!</v>
      </c>
      <c r="BR164" s="21" t="e">
        <f t="shared" si="394"/>
        <v>#NUM!</v>
      </c>
      <c r="BS164" s="21" t="e">
        <f t="shared" si="394"/>
        <v>#NUM!</v>
      </c>
    </row>
    <row r="165" spans="1:71">
      <c r="P165" s="98" t="s">
        <v>430</v>
      </c>
      <c r="Q165" s="72"/>
      <c r="R165" s="72"/>
      <c r="S165" s="72"/>
      <c r="T165" s="72"/>
      <c r="U165" s="72"/>
      <c r="V165" s="72"/>
      <c r="W165" s="72"/>
      <c r="X165" s="72"/>
      <c r="Y165" s="72"/>
      <c r="Z165" s="72"/>
    </row>
    <row r="166" spans="1:71">
      <c r="A166" s="9" t="s">
        <v>417</v>
      </c>
      <c r="B166" s="9"/>
      <c r="C166" s="9"/>
      <c r="D166" s="9"/>
      <c r="E166" s="9"/>
      <c r="F166" s="9"/>
      <c r="G166" s="9"/>
      <c r="H166" s="9"/>
      <c r="I166" s="9"/>
      <c r="J166" s="48">
        <f t="shared" ref="J166:AC166" si="395">SUM(J162:J163)</f>
        <v>750.99380695723221</v>
      </c>
      <c r="K166" s="48">
        <f t="shared" si="395"/>
        <v>1.8972393012247721</v>
      </c>
      <c r="L166" s="48">
        <f t="shared" si="395"/>
        <v>86.162004723414043</v>
      </c>
      <c r="M166" s="48">
        <f t="shared" si="395"/>
        <v>839.05305098187091</v>
      </c>
      <c r="N166" s="48">
        <f t="shared" si="395"/>
        <v>100</v>
      </c>
      <c r="O166" s="48">
        <f t="shared" si="395"/>
        <v>1020</v>
      </c>
      <c r="P166" s="48">
        <f t="shared" si="395"/>
        <v>940</v>
      </c>
      <c r="Q166" s="48">
        <f t="shared" si="395"/>
        <v>1720</v>
      </c>
      <c r="R166" s="48">
        <f t="shared" si="395"/>
        <v>3780</v>
      </c>
      <c r="S166" s="48">
        <f t="shared" si="395"/>
        <v>1360</v>
      </c>
      <c r="T166" s="48">
        <f t="shared" si="395"/>
        <v>-3770</v>
      </c>
      <c r="U166" s="48">
        <f t="shared" si="395"/>
        <v>-510</v>
      </c>
      <c r="V166" s="48">
        <f t="shared" si="395"/>
        <v>-4150</v>
      </c>
      <c r="W166" s="48">
        <f t="shared" si="395"/>
        <v>-7070</v>
      </c>
      <c r="X166" s="48">
        <f t="shared" si="395"/>
        <v>1230</v>
      </c>
      <c r="Y166" s="48">
        <f t="shared" si="395"/>
        <v>2620</v>
      </c>
      <c r="Z166" s="48">
        <f t="shared" si="395"/>
        <v>5120</v>
      </c>
      <c r="AA166" s="48">
        <f t="shared" si="395"/>
        <v>13870</v>
      </c>
      <c r="AB166" s="48">
        <f t="shared" si="395"/>
        <v>22840</v>
      </c>
      <c r="AC166" s="48">
        <f t="shared" si="395"/>
        <v>1030</v>
      </c>
      <c r="AD166" s="39">
        <f t="shared" ref="AD166:AH168" si="396">AD179-AC179</f>
        <v>-3910</v>
      </c>
      <c r="AE166" s="39">
        <f t="shared" si="396"/>
        <v>-200</v>
      </c>
      <c r="AF166" s="39">
        <f t="shared" si="396"/>
        <v>-7900</v>
      </c>
      <c r="AG166" s="39">
        <f>SUM(AC166:AF166)</f>
        <v>-10980</v>
      </c>
      <c r="AH166" s="39">
        <f t="shared" si="396"/>
        <v>-4300</v>
      </c>
      <c r="AI166" s="39">
        <f t="shared" ref="AI166:AK166" si="397">AI179-AH179</f>
        <v>-2800</v>
      </c>
      <c r="AJ166" s="39">
        <f t="shared" si="397"/>
        <v>-1400</v>
      </c>
      <c r="AK166" s="39">
        <f t="shared" si="397"/>
        <v>0</v>
      </c>
      <c r="AL166" s="39">
        <f>SUM(AH166:AK166)</f>
        <v>-8500</v>
      </c>
      <c r="AM166" s="39">
        <f t="shared" ref="AM166:AR166" si="398">AM179-AL179</f>
        <v>100</v>
      </c>
      <c r="AN166" s="39">
        <f t="shared" si="398"/>
        <v>1100</v>
      </c>
      <c r="AO166" s="39">
        <f t="shared" si="398"/>
        <v>900</v>
      </c>
      <c r="AP166" s="39">
        <f t="shared" si="398"/>
        <v>-100</v>
      </c>
      <c r="AQ166" s="39">
        <f>SUM(AM166:AP166)</f>
        <v>2000</v>
      </c>
      <c r="AR166" s="39">
        <f t="shared" si="398"/>
        <v>1300</v>
      </c>
      <c r="AS166" s="39">
        <f>SUM(AS162:AS163)</f>
        <v>1605</v>
      </c>
      <c r="AT166" s="39">
        <f>SUM(AT162:AT163)</f>
        <v>-580.43484007401537</v>
      </c>
      <c r="AU166" s="39">
        <f t="shared" ref="AU166:AU168" si="399">AU179-AT179</f>
        <v>1000</v>
      </c>
      <c r="AV166" s="39">
        <f>SUM(AR166:AU166)</f>
        <v>3324.5651599259845</v>
      </c>
      <c r="AW166" s="39">
        <f t="shared" ref="AW166" si="400">AW179-AV179</f>
        <v>1800</v>
      </c>
      <c r="AX166" s="39">
        <f>SUM(AX162:AX163)</f>
        <v>3185</v>
      </c>
      <c r="AY166" s="39">
        <f>SUM(AY162:AY163)</f>
        <v>-4267.2747338353674</v>
      </c>
      <c r="AZ166" s="39">
        <f>SUM(AZ162:AZ163)</f>
        <v>-1020</v>
      </c>
      <c r="BA166" s="39">
        <f>SUM(AW166:AZ166)</f>
        <v>-302.27473383536744</v>
      </c>
      <c r="BB166" s="39">
        <f>SUM(BB162:BB163)</f>
        <v>200</v>
      </c>
      <c r="BC166" s="39">
        <f>SUM(BC162:BC163)</f>
        <v>185</v>
      </c>
      <c r="BD166" s="39">
        <f>SUM(BD162:BD163)</f>
        <v>170</v>
      </c>
      <c r="BE166" s="39">
        <f>SUM(BE162:BE163)</f>
        <v>210</v>
      </c>
      <c r="BF166" s="39">
        <f>SUM(BB166:BE166)</f>
        <v>765</v>
      </c>
      <c r="BG166" s="39">
        <f>SUM(BG162:BG163)</f>
        <v>185</v>
      </c>
      <c r="BH166" s="39">
        <f>SUM(BH162:BH163)</f>
        <v>165</v>
      </c>
      <c r="BI166" s="39">
        <f>SUM(BI162:BI163)</f>
        <v>150</v>
      </c>
      <c r="BJ166" s="39">
        <f>SUM(BJ162:BJ163)</f>
        <v>120</v>
      </c>
      <c r="BK166" s="39">
        <f>SUM(BG166:BJ166)</f>
        <v>620</v>
      </c>
      <c r="BL166" s="39">
        <f>SUM(BL162:BL163)</f>
        <v>115</v>
      </c>
      <c r="BM166" s="39">
        <f>SUM(BM162:BM163)</f>
        <v>95</v>
      </c>
      <c r="BN166" s="39" t="e">
        <f>SUM(BN162:BN163)</f>
        <v>#NUM!</v>
      </c>
      <c r="BO166" s="39" t="e">
        <f>SUM(BO162:BO163)</f>
        <v>#NUM!</v>
      </c>
      <c r="BP166" s="39" t="e">
        <f>SUM(BL166:BO166)</f>
        <v>#NUM!</v>
      </c>
      <c r="BQ166" s="39" t="e">
        <f>SUM(BQ162:BQ163)</f>
        <v>#NUM!</v>
      </c>
      <c r="BR166" s="39" t="e">
        <f>SUM(BR162:BR163)</f>
        <v>#NUM!</v>
      </c>
      <c r="BS166" s="39" t="e">
        <f>SUM(BS162:BS163)</f>
        <v>#NUM!</v>
      </c>
    </row>
    <row r="167" spans="1:71">
      <c r="A167" s="1" t="s">
        <v>418</v>
      </c>
      <c r="J167" s="36">
        <f>J195+J198</f>
        <v>202.125</v>
      </c>
      <c r="K167" s="36">
        <f>K195+K198</f>
        <v>213.125</v>
      </c>
      <c r="L167" s="36">
        <f>L195+L198</f>
        <v>224.75</v>
      </c>
      <c r="M167" s="1">
        <f>SUM(I167:L167)</f>
        <v>640</v>
      </c>
      <c r="N167" s="76">
        <v>290</v>
      </c>
      <c r="O167" s="76">
        <f>800-N167</f>
        <v>510</v>
      </c>
      <c r="P167" s="107">
        <f>1520-O167-N167</f>
        <v>720</v>
      </c>
      <c r="Q167" s="36">
        <f>R167-SUM(N167:P167)</f>
        <v>600</v>
      </c>
      <c r="R167" s="76">
        <v>2120</v>
      </c>
      <c r="S167" s="76">
        <v>680</v>
      </c>
      <c r="T167" s="76">
        <f>-1000-S167</f>
        <v>-1680</v>
      </c>
      <c r="U167" s="107">
        <f>-1990-T167-S167</f>
        <v>-990</v>
      </c>
      <c r="V167" s="36">
        <f>W167-SUM(S167:U167)</f>
        <v>-370</v>
      </c>
      <c r="W167" s="76">
        <v>-2360</v>
      </c>
      <c r="X167" s="76">
        <v>60</v>
      </c>
      <c r="Y167" s="76">
        <f>130-X167</f>
        <v>70</v>
      </c>
      <c r="Z167" s="76">
        <f>3040-Y167-X167</f>
        <v>2910</v>
      </c>
      <c r="AA167" s="36">
        <f>AB167-SUM(X167:Z167)</f>
        <v>6790</v>
      </c>
      <c r="AB167" s="76">
        <v>9830</v>
      </c>
      <c r="AC167" s="76">
        <v>530</v>
      </c>
      <c r="AD167" s="36">
        <f t="shared" si="396"/>
        <v>-1810</v>
      </c>
      <c r="AE167" s="36">
        <f t="shared" si="396"/>
        <v>0</v>
      </c>
      <c r="AF167" s="36">
        <f t="shared" si="396"/>
        <v>-5500</v>
      </c>
      <c r="AG167" s="36">
        <f t="shared" ref="AG167:AG168" si="401">SUM(AC167:AF167)</f>
        <v>-6780</v>
      </c>
      <c r="AH167" s="36">
        <f t="shared" ref="AH167:AZ167" si="402">AH180-AG180</f>
        <v>-2500</v>
      </c>
      <c r="AI167" s="36">
        <f t="shared" si="402"/>
        <v>0</v>
      </c>
      <c r="AJ167" s="36">
        <f t="shared" si="402"/>
        <v>100</v>
      </c>
      <c r="AK167" s="36">
        <f t="shared" si="402"/>
        <v>0</v>
      </c>
      <c r="AL167" s="36">
        <f t="shared" ref="AL167:AL168" si="403">SUM(AH167:AK167)</f>
        <v>-2400</v>
      </c>
      <c r="AM167" s="36">
        <f t="shared" si="402"/>
        <v>100</v>
      </c>
      <c r="AN167" s="36">
        <f t="shared" si="402"/>
        <v>0</v>
      </c>
      <c r="AO167" s="36">
        <f t="shared" si="402"/>
        <v>0</v>
      </c>
      <c r="AP167" s="36">
        <f t="shared" si="402"/>
        <v>100</v>
      </c>
      <c r="AQ167" s="36">
        <f t="shared" ref="AQ167:AQ168" si="404">SUM(AM167:AP167)</f>
        <v>200</v>
      </c>
      <c r="AR167" s="36">
        <f t="shared" si="402"/>
        <v>0</v>
      </c>
      <c r="AS167" s="36">
        <f t="shared" si="402"/>
        <v>0</v>
      </c>
      <c r="AT167" s="36">
        <f t="shared" si="402"/>
        <v>100</v>
      </c>
      <c r="AU167" s="36">
        <f t="shared" si="399"/>
        <v>0</v>
      </c>
      <c r="AV167" s="36">
        <f t="shared" ref="AV167:AV168" si="405">SUM(AR167:AU167)</f>
        <v>100</v>
      </c>
      <c r="AW167" s="36">
        <f t="shared" si="402"/>
        <v>0</v>
      </c>
      <c r="AX167" s="36">
        <f t="shared" si="402"/>
        <v>0</v>
      </c>
      <c r="AY167" s="36">
        <f t="shared" si="402"/>
        <v>0</v>
      </c>
      <c r="AZ167" s="36">
        <f t="shared" si="402"/>
        <v>25</v>
      </c>
      <c r="BA167" s="36">
        <f t="shared" ref="BA167:BA168" si="406">SUM(AW167:AZ167)</f>
        <v>25</v>
      </c>
      <c r="BB167" s="36">
        <f t="shared" ref="BB167:BB168" si="407">BB180-BA180</f>
        <v>25</v>
      </c>
      <c r="BC167" s="36">
        <f t="shared" ref="BC167:BC168" si="408">BC180-BB180</f>
        <v>25</v>
      </c>
      <c r="BD167" s="36">
        <f t="shared" ref="BD167:BD168" si="409">BD180-BC180</f>
        <v>20</v>
      </c>
      <c r="BE167" s="36">
        <f t="shared" ref="BE167:BE168" si="410">BE180-BD180</f>
        <v>75</v>
      </c>
      <c r="BF167" s="36">
        <f t="shared" ref="BF167:BF168" si="411">SUM(BB167:BE167)</f>
        <v>145</v>
      </c>
      <c r="BG167" s="36">
        <f t="shared" ref="BG167:BG168" si="412">BG180-BF180</f>
        <v>65</v>
      </c>
      <c r="BH167" s="36">
        <f t="shared" ref="BH167:BH168" si="413">BH180-BG180</f>
        <v>55</v>
      </c>
      <c r="BI167" s="36">
        <f t="shared" ref="BI167:BI168" si="414">BI180-BH180</f>
        <v>45</v>
      </c>
      <c r="BJ167" s="36">
        <f t="shared" ref="BJ167:BJ168" si="415">BJ180-BI180</f>
        <v>30</v>
      </c>
      <c r="BK167" s="36">
        <f t="shared" ref="BK167:BK168" si="416">SUM(BG167:BJ167)</f>
        <v>195</v>
      </c>
      <c r="BL167" s="36">
        <f t="shared" ref="BL167:BL168" si="417">BL180-BK180</f>
        <v>20</v>
      </c>
      <c r="BM167" s="36">
        <f t="shared" ref="BM167:BM168" si="418">BM180-BL180</f>
        <v>10</v>
      </c>
      <c r="BN167" s="36" t="e">
        <f t="shared" ref="BN167:BN168" si="419">BN180-BM180</f>
        <v>#NUM!</v>
      </c>
      <c r="BO167" s="36" t="e">
        <f t="shared" ref="BO167:BO168" si="420">BO180-BN180</f>
        <v>#NUM!</v>
      </c>
      <c r="BP167" s="36" t="e">
        <f t="shared" ref="BP167:BP168" si="421">SUM(BL167:BO167)</f>
        <v>#NUM!</v>
      </c>
      <c r="BQ167" s="36" t="e">
        <f t="shared" ref="BQ167:BQ168" si="422">BQ180-BP180</f>
        <v>#NUM!</v>
      </c>
      <c r="BR167" s="36" t="e">
        <f t="shared" ref="BR167:BR168" si="423">BR180-BQ180</f>
        <v>#NUM!</v>
      </c>
      <c r="BS167" s="36" t="e">
        <f t="shared" ref="BS167:BS168" si="424">BS180-BR180</f>
        <v>#NUM!</v>
      </c>
    </row>
    <row r="168" spans="1:71">
      <c r="A168" s="1" t="s">
        <v>419</v>
      </c>
      <c r="J168" s="36">
        <f t="shared" ref="J168:AC168" si="425">SUM(J166:J167)</f>
        <v>953.11880695723221</v>
      </c>
      <c r="K168" s="36">
        <f t="shared" si="425"/>
        <v>215.02223930122477</v>
      </c>
      <c r="L168" s="36">
        <f t="shared" si="425"/>
        <v>310.91200472341404</v>
      </c>
      <c r="M168" s="36">
        <f t="shared" si="425"/>
        <v>1479.0530509818709</v>
      </c>
      <c r="N168" s="36">
        <f t="shared" si="425"/>
        <v>390</v>
      </c>
      <c r="O168" s="36">
        <f t="shared" si="425"/>
        <v>1530</v>
      </c>
      <c r="P168" s="36">
        <f t="shared" si="425"/>
        <v>1660</v>
      </c>
      <c r="Q168" s="36">
        <f t="shared" si="425"/>
        <v>2320</v>
      </c>
      <c r="R168" s="36">
        <f t="shared" si="425"/>
        <v>5900</v>
      </c>
      <c r="S168" s="36">
        <f t="shared" si="425"/>
        <v>2040</v>
      </c>
      <c r="T168" s="36">
        <f t="shared" si="425"/>
        <v>-5450</v>
      </c>
      <c r="U168" s="36">
        <f t="shared" si="425"/>
        <v>-1500</v>
      </c>
      <c r="V168" s="36">
        <f t="shared" si="425"/>
        <v>-4520</v>
      </c>
      <c r="W168" s="36">
        <f t="shared" si="425"/>
        <v>-9430</v>
      </c>
      <c r="X168" s="36">
        <f t="shared" si="425"/>
        <v>1290</v>
      </c>
      <c r="Y168" s="36">
        <f t="shared" si="425"/>
        <v>2690</v>
      </c>
      <c r="Z168" s="36">
        <f t="shared" si="425"/>
        <v>8030</v>
      </c>
      <c r="AA168" s="36">
        <f t="shared" si="425"/>
        <v>20660</v>
      </c>
      <c r="AB168" s="36">
        <f t="shared" si="425"/>
        <v>32670</v>
      </c>
      <c r="AC168" s="36">
        <f t="shared" si="425"/>
        <v>1560</v>
      </c>
      <c r="AD168" s="36">
        <f t="shared" si="396"/>
        <v>-5720</v>
      </c>
      <c r="AE168" s="36">
        <f t="shared" si="396"/>
        <v>-200</v>
      </c>
      <c r="AF168" s="36">
        <f t="shared" si="396"/>
        <v>-13400</v>
      </c>
      <c r="AG168" s="36">
        <f t="shared" si="401"/>
        <v>-17760</v>
      </c>
      <c r="AH168" s="36">
        <f t="shared" ref="AH168:AZ168" si="426">AH181-AG181</f>
        <v>-6800</v>
      </c>
      <c r="AI168" s="36">
        <f t="shared" si="426"/>
        <v>-2800</v>
      </c>
      <c r="AJ168" s="36">
        <f t="shared" si="426"/>
        <v>-1300</v>
      </c>
      <c r="AK168" s="36">
        <f t="shared" si="426"/>
        <v>0</v>
      </c>
      <c r="AL168" s="36">
        <f t="shared" si="403"/>
        <v>-10900</v>
      </c>
      <c r="AM168" s="36">
        <f t="shared" si="426"/>
        <v>200</v>
      </c>
      <c r="AN168" s="36">
        <f t="shared" si="426"/>
        <v>1100</v>
      </c>
      <c r="AO168" s="36">
        <f t="shared" si="426"/>
        <v>900</v>
      </c>
      <c r="AP168" s="36">
        <f t="shared" si="426"/>
        <v>0</v>
      </c>
      <c r="AQ168" s="36">
        <f t="shared" si="404"/>
        <v>2200</v>
      </c>
      <c r="AR168" s="36">
        <f t="shared" si="426"/>
        <v>1300</v>
      </c>
      <c r="AS168" s="36">
        <f t="shared" si="426"/>
        <v>1500</v>
      </c>
      <c r="AT168" s="36">
        <f t="shared" si="426"/>
        <v>-500</v>
      </c>
      <c r="AU168" s="36">
        <f t="shared" si="399"/>
        <v>1000</v>
      </c>
      <c r="AV168" s="36">
        <f t="shared" si="405"/>
        <v>3300</v>
      </c>
      <c r="AW168" s="36">
        <f t="shared" si="426"/>
        <v>1800</v>
      </c>
      <c r="AX168" s="36">
        <f t="shared" si="426"/>
        <v>3100</v>
      </c>
      <c r="AY168" s="36">
        <f t="shared" si="426"/>
        <v>-2200</v>
      </c>
      <c r="AZ168" s="36">
        <f t="shared" si="426"/>
        <v>-995</v>
      </c>
      <c r="BA168" s="36">
        <f t="shared" si="406"/>
        <v>1705</v>
      </c>
      <c r="BB168" s="36">
        <f t="shared" si="407"/>
        <v>225</v>
      </c>
      <c r="BC168" s="36">
        <f t="shared" si="408"/>
        <v>210</v>
      </c>
      <c r="BD168" s="36">
        <f t="shared" si="409"/>
        <v>190</v>
      </c>
      <c r="BE168" s="36">
        <f t="shared" si="410"/>
        <v>285</v>
      </c>
      <c r="BF168" s="36">
        <f t="shared" si="411"/>
        <v>910</v>
      </c>
      <c r="BG168" s="36">
        <f t="shared" si="412"/>
        <v>250</v>
      </c>
      <c r="BH168" s="36">
        <f t="shared" si="413"/>
        <v>220</v>
      </c>
      <c r="BI168" s="36">
        <f t="shared" si="414"/>
        <v>195</v>
      </c>
      <c r="BJ168" s="36">
        <f t="shared" si="415"/>
        <v>150</v>
      </c>
      <c r="BK168" s="36">
        <f t="shared" si="416"/>
        <v>815</v>
      </c>
      <c r="BL168" s="36">
        <f t="shared" si="417"/>
        <v>135</v>
      </c>
      <c r="BM168" s="36">
        <f t="shared" si="418"/>
        <v>105</v>
      </c>
      <c r="BN168" s="36" t="e">
        <f t="shared" si="419"/>
        <v>#NUM!</v>
      </c>
      <c r="BO168" s="36" t="e">
        <f t="shared" si="420"/>
        <v>#NUM!</v>
      </c>
      <c r="BP168" s="36" t="e">
        <f t="shared" si="421"/>
        <v>#NUM!</v>
      </c>
      <c r="BQ168" s="36" t="e">
        <f t="shared" si="422"/>
        <v>#NUM!</v>
      </c>
      <c r="BR168" s="36" t="e">
        <f t="shared" si="423"/>
        <v>#NUM!</v>
      </c>
      <c r="BS168" s="36" t="e">
        <f t="shared" si="424"/>
        <v>#NUM!</v>
      </c>
    </row>
    <row r="169" spans="1:71">
      <c r="A169" s="1" t="s">
        <v>429</v>
      </c>
      <c r="O169" s="76">
        <v>1920</v>
      </c>
      <c r="P169" s="76">
        <v>3580</v>
      </c>
      <c r="Q169" s="76">
        <v>5900</v>
      </c>
      <c r="T169" s="76">
        <v>-3410</v>
      </c>
      <c r="U169" s="76">
        <v>-4910</v>
      </c>
      <c r="V169" s="76">
        <v>-9430</v>
      </c>
      <c r="Y169" s="76">
        <v>3980</v>
      </c>
      <c r="Z169" s="76">
        <v>12010</v>
      </c>
      <c r="AA169" s="76">
        <v>32670</v>
      </c>
    </row>
    <row r="170" spans="1:71">
      <c r="A170" s="1" t="s">
        <v>240</v>
      </c>
      <c r="O170" s="36">
        <f>O169-SUM(N168:O168)</f>
        <v>0</v>
      </c>
      <c r="P170" s="36">
        <f>P169-SUM(N168:P168)</f>
        <v>0</v>
      </c>
      <c r="Q170" s="36">
        <f>Q169-SUM(N168:Q168)</f>
        <v>0</v>
      </c>
      <c r="R170" s="36"/>
      <c r="T170" s="36">
        <f>T169-SUM(S168:T168)</f>
        <v>0</v>
      </c>
      <c r="U170" s="36">
        <f>U169-SUM(S168:U168)</f>
        <v>0</v>
      </c>
      <c r="V170" s="36">
        <f>V169-SUM(S168:V168)</f>
        <v>0</v>
      </c>
      <c r="W170" s="36"/>
      <c r="Y170" s="36">
        <f>Y169-SUM(X168:Y168)</f>
        <v>0</v>
      </c>
      <c r="Z170" s="36">
        <f>Z169-SUM(X168:Z168)</f>
        <v>0</v>
      </c>
      <c r="AA170" s="36">
        <f>AA169-SUM(X168:AA168)</f>
        <v>0</v>
      </c>
    </row>
    <row r="172" spans="1:71">
      <c r="A172" s="1" t="s">
        <v>562</v>
      </c>
      <c r="J172" s="21">
        <f t="shared" ref="J172:BA172" si="427">J168/J162</f>
        <v>0.67033637116187128</v>
      </c>
      <c r="K172" s="21">
        <f t="shared" si="427"/>
        <v>0.83442162759201965</v>
      </c>
      <c r="L172" s="21">
        <f t="shared" si="427"/>
        <v>0.58403340290197137</v>
      </c>
      <c r="M172" s="21">
        <f t="shared" si="427"/>
        <v>0.66868145559283332</v>
      </c>
      <c r="N172" s="21">
        <f t="shared" si="427"/>
        <v>0.41489361702127658</v>
      </c>
      <c r="O172" s="21">
        <f t="shared" si="427"/>
        <v>0.796875</v>
      </c>
      <c r="P172" s="21">
        <f t="shared" si="427"/>
        <v>0.45730027548209368</v>
      </c>
      <c r="Q172" s="21">
        <f t="shared" si="427"/>
        <v>1.0642201834862386</v>
      </c>
      <c r="R172" s="21">
        <f t="shared" si="427"/>
        <v>0.68050749711649361</v>
      </c>
      <c r="S172" s="21">
        <f t="shared" si="427"/>
        <v>0.75276752767527677</v>
      </c>
      <c r="T172" s="21">
        <f t="shared" si="427"/>
        <v>0.71616294349540077</v>
      </c>
      <c r="U172" s="21">
        <f t="shared" si="427"/>
        <v>1.1538461538461537</v>
      </c>
      <c r="V172" s="21">
        <f t="shared" si="427"/>
        <v>0.52497096399535426</v>
      </c>
      <c r="W172" s="21">
        <f t="shared" si="427"/>
        <v>0.63673193787981097</v>
      </c>
      <c r="X172" s="21">
        <f t="shared" si="427"/>
        <v>0.54893617021276597</v>
      </c>
      <c r="Y172" s="21">
        <f t="shared" si="427"/>
        <v>0.48731884057971014</v>
      </c>
      <c r="Z172" s="21">
        <f t="shared" si="427"/>
        <v>0.83733055265901979</v>
      </c>
      <c r="AA172" s="21">
        <f t="shared" si="427"/>
        <v>0.76461880088823098</v>
      </c>
      <c r="AB172" s="21">
        <f t="shared" si="427"/>
        <v>0.7344874100719424</v>
      </c>
      <c r="AC172" s="21">
        <f t="shared" si="427"/>
        <v>0.7839195979899497</v>
      </c>
      <c r="AD172" s="21">
        <f t="shared" si="427"/>
        <v>0.74673629242819839</v>
      </c>
      <c r="AE172" s="21">
        <f t="shared" si="427"/>
        <v>0.5</v>
      </c>
      <c r="AF172" s="21">
        <f t="shared" si="427"/>
        <v>0.87581699346405228</v>
      </c>
      <c r="AG172" s="21">
        <f t="shared" si="427"/>
        <v>0.83107159569489941</v>
      </c>
      <c r="AH172" s="21">
        <f t="shared" si="427"/>
        <v>0.81927710843373491</v>
      </c>
      <c r="AI172" s="21">
        <f t="shared" si="427"/>
        <v>0.51851851851851849</v>
      </c>
      <c r="AJ172" s="21">
        <f t="shared" si="427"/>
        <v>0.5</v>
      </c>
      <c r="AK172" s="21">
        <f t="shared" si="427"/>
        <v>0</v>
      </c>
      <c r="AL172" s="21">
        <f t="shared" si="427"/>
        <v>0.66463414634146345</v>
      </c>
      <c r="AM172" s="21">
        <f t="shared" si="427"/>
        <v>0.66666666666666663</v>
      </c>
      <c r="AN172" s="21">
        <f t="shared" si="427"/>
        <v>0.52380952380952384</v>
      </c>
      <c r="AO172" s="21">
        <f t="shared" si="427"/>
        <v>0.52941176470588236</v>
      </c>
      <c r="AP172" s="21">
        <f t="shared" si="427"/>
        <v>0</v>
      </c>
      <c r="AQ172" s="21">
        <f t="shared" si="427"/>
        <v>0.57894736842105265</v>
      </c>
      <c r="AR172" s="21">
        <f t="shared" ref="AR172" si="428">AR168/AR162</f>
        <v>0.5</v>
      </c>
      <c r="AS172" s="21">
        <f t="shared" si="427"/>
        <v>0.49586776859504134</v>
      </c>
      <c r="AT172" s="21">
        <f t="shared" si="427"/>
        <v>0.51546391752577314</v>
      </c>
      <c r="AU172" s="21">
        <f t="shared" si="427"/>
        <v>0.55555555555555558</v>
      </c>
      <c r="AV172" s="21">
        <f t="shared" si="427"/>
        <v>0.51123160340821072</v>
      </c>
      <c r="AW172" s="21">
        <f t="shared" si="427"/>
        <v>0.51428571428571423</v>
      </c>
      <c r="AX172" s="21">
        <f t="shared" si="427"/>
        <v>0.54101221640488661</v>
      </c>
      <c r="AY172" s="21">
        <f t="shared" ref="AY172" si="429">AY168/AY162</f>
        <v>0.27936507936507937</v>
      </c>
      <c r="AZ172" s="21">
        <f t="shared" si="427"/>
        <v>0.53351206434316356</v>
      </c>
      <c r="BA172" s="21">
        <f t="shared" si="427"/>
        <v>-3.3431372549019609</v>
      </c>
      <c r="BB172" s="21">
        <f t="shared" ref="BB172:BS172" si="430">BB168/BB162</f>
        <v>0.5625</v>
      </c>
      <c r="BC172" s="21">
        <f t="shared" si="430"/>
        <v>0.56756756756756754</v>
      </c>
      <c r="BD172" s="21">
        <f t="shared" si="430"/>
        <v>0.55882352941176472</v>
      </c>
      <c r="BE172" s="21">
        <f t="shared" si="430"/>
        <v>0.78082191780821919</v>
      </c>
      <c r="BF172" s="21">
        <f t="shared" si="430"/>
        <v>0.61694915254237293</v>
      </c>
      <c r="BG172" s="21">
        <f t="shared" si="430"/>
        <v>0.76923076923076927</v>
      </c>
      <c r="BH172" s="21">
        <f t="shared" si="430"/>
        <v>0.74576271186440679</v>
      </c>
      <c r="BI172" s="21">
        <f t="shared" si="430"/>
        <v>0.73584905660377353</v>
      </c>
      <c r="BJ172" s="21">
        <f t="shared" si="430"/>
        <v>0.66666666666666663</v>
      </c>
      <c r="BK172" s="21">
        <f t="shared" si="430"/>
        <v>0.73423423423423428</v>
      </c>
      <c r="BL172" s="21">
        <f t="shared" si="430"/>
        <v>0.71052631578947367</v>
      </c>
      <c r="BM172" s="21">
        <f t="shared" si="430"/>
        <v>0.65625</v>
      </c>
      <c r="BN172" s="21" t="e">
        <f t="shared" si="430"/>
        <v>#NUM!</v>
      </c>
      <c r="BO172" s="21" t="e">
        <f t="shared" si="430"/>
        <v>#NUM!</v>
      </c>
      <c r="BP172" s="21" t="e">
        <f t="shared" si="430"/>
        <v>#NUM!</v>
      </c>
      <c r="BQ172" s="21" t="e">
        <f t="shared" si="430"/>
        <v>#NUM!</v>
      </c>
      <c r="BR172" s="21" t="e">
        <f t="shared" si="430"/>
        <v>#NUM!</v>
      </c>
      <c r="BS172" s="21" t="e">
        <f t="shared" si="430"/>
        <v>#NUM!</v>
      </c>
    </row>
    <row r="174" spans="1:71">
      <c r="A174" s="3" t="s">
        <v>431</v>
      </c>
    </row>
    <row r="175" spans="1:71">
      <c r="I175" s="66" t="s">
        <v>436</v>
      </c>
      <c r="J175" s="46"/>
      <c r="K175" s="46"/>
      <c r="L175" s="46"/>
      <c r="M175" s="46"/>
      <c r="X175" s="98" t="s">
        <v>448</v>
      </c>
      <c r="Y175" s="72"/>
      <c r="Z175" s="72"/>
      <c r="AA175" s="72"/>
      <c r="AB175" s="72"/>
      <c r="AC175" s="72"/>
      <c r="AD175" s="71"/>
    </row>
    <row r="176" spans="1:71">
      <c r="A176" s="9" t="s">
        <v>433</v>
      </c>
      <c r="B176" s="9"/>
      <c r="C176" s="9"/>
      <c r="D176" s="9"/>
      <c r="E176" s="9"/>
      <c r="F176" s="9"/>
      <c r="G176" s="9"/>
      <c r="H176" s="9"/>
      <c r="I176" s="130">
        <f t="shared" ref="I176:K177" si="431">J176-J162</f>
        <v>-221.89482467490598</v>
      </c>
      <c r="J176" s="39">
        <f t="shared" si="431"/>
        <v>1199.956723235621</v>
      </c>
      <c r="K176" s="39">
        <f t="shared" si="431"/>
        <v>1457.6468791364664</v>
      </c>
      <c r="L176" s="39">
        <f>M176</f>
        <v>1990</v>
      </c>
      <c r="M176" s="39">
        <f t="shared" ref="M176:P177" si="432">N176-N162</f>
        <v>1990</v>
      </c>
      <c r="N176" s="39">
        <f t="shared" si="432"/>
        <v>2930</v>
      </c>
      <c r="O176" s="39">
        <f t="shared" si="432"/>
        <v>4850</v>
      </c>
      <c r="P176" s="39">
        <f t="shared" si="432"/>
        <v>8480</v>
      </c>
      <c r="Q176" s="39">
        <f>R176</f>
        <v>10660</v>
      </c>
      <c r="R176" s="39">
        <f>S176-S162</f>
        <v>10660</v>
      </c>
      <c r="S176" s="75">
        <v>13370</v>
      </c>
      <c r="T176" s="127">
        <f t="shared" ref="T176:V177" si="433">S176+T162</f>
        <v>5760</v>
      </c>
      <c r="U176" s="127">
        <f t="shared" si="433"/>
        <v>4460</v>
      </c>
      <c r="V176" s="127">
        <f t="shared" si="433"/>
        <v>-4150</v>
      </c>
      <c r="W176" s="39">
        <f>V176</f>
        <v>-4150</v>
      </c>
      <c r="X176" s="126">
        <v>-1670</v>
      </c>
      <c r="Y176" s="127">
        <f t="shared" ref="Y176:AA177" si="434">X176+Y162</f>
        <v>3850</v>
      </c>
      <c r="Z176" s="127">
        <f t="shared" si="434"/>
        <v>13440</v>
      </c>
      <c r="AA176" s="127">
        <f t="shared" si="434"/>
        <v>40460</v>
      </c>
      <c r="AB176" s="39">
        <f>AA176</f>
        <v>40460</v>
      </c>
      <c r="AC176" s="126">
        <v>42460</v>
      </c>
      <c r="AD176" s="75">
        <v>34800</v>
      </c>
      <c r="AE176" s="75">
        <v>34400</v>
      </c>
      <c r="AF176" s="75">
        <v>19100</v>
      </c>
      <c r="AG176" s="39">
        <f>AF176</f>
        <v>19100</v>
      </c>
      <c r="AH176" s="75">
        <v>10800</v>
      </c>
      <c r="AI176" s="75">
        <v>5400</v>
      </c>
      <c r="AJ176" s="75">
        <v>2800</v>
      </c>
      <c r="AK176" s="75">
        <v>2700</v>
      </c>
      <c r="AL176" s="39">
        <f>AK176</f>
        <v>2700</v>
      </c>
      <c r="AM176" s="75">
        <v>3000</v>
      </c>
      <c r="AN176" s="75">
        <v>5100</v>
      </c>
      <c r="AO176" s="75">
        <v>6800</v>
      </c>
      <c r="AP176" s="75">
        <v>6500</v>
      </c>
      <c r="AQ176" s="39">
        <f>AP176</f>
        <v>6500</v>
      </c>
      <c r="AR176" s="75">
        <v>9100</v>
      </c>
      <c r="AS176" s="75">
        <v>12000</v>
      </c>
      <c r="AT176" s="75">
        <v>10800</v>
      </c>
      <c r="AU176" s="75">
        <v>12600</v>
      </c>
      <c r="AV176" s="39">
        <f>AU176</f>
        <v>12600</v>
      </c>
      <c r="AW176" s="75">
        <v>16100</v>
      </c>
      <c r="AX176" s="75">
        <v>22000</v>
      </c>
      <c r="AY176" s="75">
        <v>17800</v>
      </c>
      <c r="AZ176" s="39">
        <f t="shared" ref="AZ176:AZ177" si="435">AY176+AZ162</f>
        <v>15935</v>
      </c>
      <c r="BA176" s="39">
        <f>AZ176</f>
        <v>15935</v>
      </c>
      <c r="BB176" s="39">
        <f t="shared" ref="BB176:BE177" si="436">BA176+BB162</f>
        <v>16335</v>
      </c>
      <c r="BC176" s="39">
        <f t="shared" si="436"/>
        <v>16705</v>
      </c>
      <c r="BD176" s="39">
        <f t="shared" si="436"/>
        <v>17045</v>
      </c>
      <c r="BE176" s="39">
        <f t="shared" si="436"/>
        <v>17410</v>
      </c>
      <c r="BF176" s="39">
        <f>BE176</f>
        <v>17410</v>
      </c>
      <c r="BG176" s="39">
        <f t="shared" ref="BG176:BJ177" si="437">BF176+BG162</f>
        <v>17735</v>
      </c>
      <c r="BH176" s="39">
        <f t="shared" si="437"/>
        <v>18030</v>
      </c>
      <c r="BI176" s="39">
        <f t="shared" si="437"/>
        <v>18295</v>
      </c>
      <c r="BJ176" s="39">
        <f t="shared" si="437"/>
        <v>18520</v>
      </c>
      <c r="BK176" s="39">
        <f>BJ176</f>
        <v>18520</v>
      </c>
      <c r="BL176" s="39">
        <f t="shared" ref="BL176:BO177" si="438">BK176+BL162</f>
        <v>18710</v>
      </c>
      <c r="BM176" s="39">
        <f t="shared" si="438"/>
        <v>18870</v>
      </c>
      <c r="BN176" s="39" t="e">
        <f t="shared" si="438"/>
        <v>#NUM!</v>
      </c>
      <c r="BO176" s="39" t="e">
        <f t="shared" si="438"/>
        <v>#NUM!</v>
      </c>
      <c r="BP176" s="39" t="e">
        <f>BO176</f>
        <v>#NUM!</v>
      </c>
      <c r="BQ176" s="39" t="e">
        <f t="shared" ref="BQ176:BS177" si="439">BP176+BQ162</f>
        <v>#NUM!</v>
      </c>
      <c r="BR176" s="39" t="e">
        <f t="shared" si="439"/>
        <v>#NUM!</v>
      </c>
      <c r="BS176" s="39" t="e">
        <f t="shared" si="439"/>
        <v>#NUM!</v>
      </c>
    </row>
    <row r="177" spans="1:73">
      <c r="A177" s="1" t="s">
        <v>432</v>
      </c>
      <c r="I177" s="60">
        <f t="shared" si="431"/>
        <v>652.84177369303507</v>
      </c>
      <c r="J177" s="36">
        <f t="shared" si="431"/>
        <v>-18.015967260259629</v>
      </c>
      <c r="K177" s="36">
        <f t="shared" si="431"/>
        <v>-273.80888385988032</v>
      </c>
      <c r="L177" s="36">
        <f>M177</f>
        <v>-720</v>
      </c>
      <c r="M177" s="36">
        <f t="shared" si="432"/>
        <v>-720</v>
      </c>
      <c r="N177" s="36">
        <f t="shared" si="432"/>
        <v>-1560</v>
      </c>
      <c r="O177" s="36">
        <f t="shared" si="432"/>
        <v>-2460</v>
      </c>
      <c r="P177" s="36">
        <f t="shared" si="432"/>
        <v>-5150</v>
      </c>
      <c r="Q177" s="36">
        <f>R177</f>
        <v>-5610</v>
      </c>
      <c r="R177" s="36">
        <f>S177-S163</f>
        <v>-5610</v>
      </c>
      <c r="S177" s="76">
        <v>-6960</v>
      </c>
      <c r="T177" s="83">
        <f t="shared" si="433"/>
        <v>-3120</v>
      </c>
      <c r="U177" s="83">
        <f t="shared" si="433"/>
        <v>-2330</v>
      </c>
      <c r="V177" s="83">
        <f t="shared" si="433"/>
        <v>2130</v>
      </c>
      <c r="W177" s="36">
        <f>V177</f>
        <v>2130</v>
      </c>
      <c r="X177" s="108">
        <v>1000</v>
      </c>
      <c r="Y177" s="83">
        <f t="shared" si="434"/>
        <v>-1900</v>
      </c>
      <c r="Z177" s="83">
        <f t="shared" si="434"/>
        <v>-6370</v>
      </c>
      <c r="AA177" s="83">
        <f t="shared" si="434"/>
        <v>-19520</v>
      </c>
      <c r="AB177" s="36">
        <f>AA177</f>
        <v>-19520</v>
      </c>
      <c r="AC177" s="108">
        <v>-20750</v>
      </c>
      <c r="AD177" s="76">
        <v>-17000</v>
      </c>
      <c r="AE177" s="76">
        <v>-16800</v>
      </c>
      <c r="AF177" s="76">
        <v>-9400</v>
      </c>
      <c r="AG177" s="36">
        <f>AF177</f>
        <v>-9400</v>
      </c>
      <c r="AH177" s="76">
        <v>-5400</v>
      </c>
      <c r="AI177" s="76">
        <v>-2800</v>
      </c>
      <c r="AJ177" s="76">
        <v>-1600</v>
      </c>
      <c r="AK177" s="76">
        <v>-1500</v>
      </c>
      <c r="AL177" s="36">
        <f>AK177</f>
        <v>-1500</v>
      </c>
      <c r="AM177" s="76">
        <v>-1700</v>
      </c>
      <c r="AN177" s="76">
        <v>-2700</v>
      </c>
      <c r="AO177" s="76">
        <v>-3500</v>
      </c>
      <c r="AP177" s="76">
        <v>-3300</v>
      </c>
      <c r="AQ177" s="36">
        <f>AP177</f>
        <v>-3300</v>
      </c>
      <c r="AR177" s="76">
        <v>-4600</v>
      </c>
      <c r="AS177" s="76">
        <v>-6000</v>
      </c>
      <c r="AT177" s="76">
        <v>-5400</v>
      </c>
      <c r="AU177" s="76">
        <v>-6200</v>
      </c>
      <c r="AV177" s="36">
        <f>AU177</f>
        <v>-6200</v>
      </c>
      <c r="AW177" s="76">
        <v>-7900</v>
      </c>
      <c r="AX177" s="76">
        <v>-10700</v>
      </c>
      <c r="AY177" s="76">
        <v>-8700</v>
      </c>
      <c r="AZ177" s="36">
        <f t="shared" si="435"/>
        <v>-7855</v>
      </c>
      <c r="BA177" s="36">
        <f>AZ177</f>
        <v>-7855</v>
      </c>
      <c r="BB177" s="36">
        <f t="shared" si="436"/>
        <v>-8055</v>
      </c>
      <c r="BC177" s="36">
        <f t="shared" si="436"/>
        <v>-8240</v>
      </c>
      <c r="BD177" s="36">
        <f t="shared" si="436"/>
        <v>-8410</v>
      </c>
      <c r="BE177" s="36">
        <f t="shared" si="436"/>
        <v>-8565</v>
      </c>
      <c r="BF177" s="36">
        <f>BE177</f>
        <v>-8565</v>
      </c>
      <c r="BG177" s="36">
        <f t="shared" si="437"/>
        <v>-8705</v>
      </c>
      <c r="BH177" s="36">
        <f t="shared" si="437"/>
        <v>-8835</v>
      </c>
      <c r="BI177" s="36">
        <f t="shared" si="437"/>
        <v>-8950</v>
      </c>
      <c r="BJ177" s="36">
        <f t="shared" si="437"/>
        <v>-9055</v>
      </c>
      <c r="BK177" s="36">
        <f>BJ177</f>
        <v>-9055</v>
      </c>
      <c r="BL177" s="36">
        <f t="shared" si="438"/>
        <v>-9130</v>
      </c>
      <c r="BM177" s="36">
        <f t="shared" si="438"/>
        <v>-9195</v>
      </c>
      <c r="BN177" s="36">
        <f t="shared" si="438"/>
        <v>-9250</v>
      </c>
      <c r="BO177" s="36">
        <f t="shared" si="438"/>
        <v>-9295</v>
      </c>
      <c r="BP177" s="36">
        <f>BO177</f>
        <v>-9295</v>
      </c>
      <c r="BQ177" s="36">
        <f t="shared" si="439"/>
        <v>-9330</v>
      </c>
      <c r="BR177" s="36">
        <f t="shared" si="439"/>
        <v>-9350</v>
      </c>
      <c r="BS177" s="36">
        <f t="shared" si="439"/>
        <v>-9360</v>
      </c>
    </row>
    <row r="179" spans="1:73">
      <c r="A179" s="9" t="s">
        <v>417</v>
      </c>
      <c r="B179" s="9"/>
      <c r="C179" s="9"/>
      <c r="D179" s="9"/>
      <c r="E179" s="9"/>
      <c r="F179" s="9"/>
      <c r="G179" s="9"/>
      <c r="H179" s="9"/>
      <c r="I179" s="131">
        <f t="shared" ref="I179:V179" si="440">SUM(I176:I177)</f>
        <v>430.94694901812909</v>
      </c>
      <c r="J179" s="48">
        <f t="shared" si="440"/>
        <v>1181.9407559753613</v>
      </c>
      <c r="K179" s="48">
        <f t="shared" si="440"/>
        <v>1183.8379952765861</v>
      </c>
      <c r="L179" s="48">
        <f t="shared" si="440"/>
        <v>1270</v>
      </c>
      <c r="M179" s="48">
        <f t="shared" si="440"/>
        <v>1270</v>
      </c>
      <c r="N179" s="48">
        <f t="shared" si="440"/>
        <v>1370</v>
      </c>
      <c r="O179" s="48">
        <f t="shared" si="440"/>
        <v>2390</v>
      </c>
      <c r="P179" s="48">
        <f t="shared" si="440"/>
        <v>3330</v>
      </c>
      <c r="Q179" s="48">
        <f t="shared" si="440"/>
        <v>5050</v>
      </c>
      <c r="R179" s="48">
        <f t="shared" si="440"/>
        <v>5050</v>
      </c>
      <c r="S179" s="48">
        <f t="shared" si="440"/>
        <v>6410</v>
      </c>
      <c r="T179" s="48">
        <f t="shared" si="440"/>
        <v>2640</v>
      </c>
      <c r="U179" s="48">
        <f t="shared" si="440"/>
        <v>2130</v>
      </c>
      <c r="V179" s="48">
        <f t="shared" si="440"/>
        <v>-2020</v>
      </c>
      <c r="W179" s="48">
        <f>V179</f>
        <v>-2020</v>
      </c>
      <c r="X179" s="48">
        <f>SUM(X176:X177)</f>
        <v>-670</v>
      </c>
      <c r="Y179" s="48">
        <f>SUM(Y176:Y177)</f>
        <v>1950</v>
      </c>
      <c r="Z179" s="48">
        <f>SUM(Z176:Z177)</f>
        <v>7070</v>
      </c>
      <c r="AA179" s="48">
        <f>SUM(AA176:AA177)</f>
        <v>20940</v>
      </c>
      <c r="AB179" s="48">
        <f>AA179</f>
        <v>20940</v>
      </c>
      <c r="AC179" s="48">
        <f>SUM(AC176:AC177)</f>
        <v>21710</v>
      </c>
      <c r="AD179" s="48">
        <f>SUM(AD176:AD177)</f>
        <v>17800</v>
      </c>
      <c r="AE179" s="48">
        <f>SUM(AE176:AE177)</f>
        <v>17600</v>
      </c>
      <c r="AF179" s="48">
        <f>SUM(AF176:AF177)</f>
        <v>9700</v>
      </c>
      <c r="AG179" s="48">
        <f>AF179</f>
        <v>9700</v>
      </c>
      <c r="AH179" s="48">
        <f>SUM(AH176:AH177)</f>
        <v>5400</v>
      </c>
      <c r="AI179" s="48">
        <f>SUM(AI176:AI177)</f>
        <v>2600</v>
      </c>
      <c r="AJ179" s="48">
        <f>SUM(AJ176:AJ177)</f>
        <v>1200</v>
      </c>
      <c r="AK179" s="48">
        <f>SUM(AK176:AK177)</f>
        <v>1200</v>
      </c>
      <c r="AL179" s="48">
        <f>AK179</f>
        <v>1200</v>
      </c>
      <c r="AM179" s="48">
        <f>SUM(AM176:AM177)</f>
        <v>1300</v>
      </c>
      <c r="AN179" s="48">
        <f>SUM(AN176:AN177)</f>
        <v>2400</v>
      </c>
      <c r="AO179" s="48">
        <f>SUM(AO176:AO177)</f>
        <v>3300</v>
      </c>
      <c r="AP179" s="48">
        <f>SUM(AP176:AP177)</f>
        <v>3200</v>
      </c>
      <c r="AQ179" s="48">
        <f>AP179</f>
        <v>3200</v>
      </c>
      <c r="AR179" s="48">
        <f>SUM(AR176:AR177)</f>
        <v>4500</v>
      </c>
      <c r="AS179" s="48">
        <f>SUM(AS176:AS177)</f>
        <v>6000</v>
      </c>
      <c r="AT179" s="48">
        <f>SUM(AT176:AT177)</f>
        <v>5400</v>
      </c>
      <c r="AU179" s="48">
        <f>SUM(AU176:AU177)</f>
        <v>6400</v>
      </c>
      <c r="AV179" s="48">
        <f>AU179</f>
        <v>6400</v>
      </c>
      <c r="AW179" s="48">
        <f>SUM(AW176:AW177)</f>
        <v>8200</v>
      </c>
      <c r="AX179" s="48">
        <f>SUM(AX176:AX177)</f>
        <v>11300</v>
      </c>
      <c r="AY179" s="48">
        <f>SUM(AY176:AY177)</f>
        <v>9100</v>
      </c>
      <c r="AZ179" s="48">
        <f>SUM(AZ176:AZ177)</f>
        <v>8080</v>
      </c>
      <c r="BA179" s="48">
        <f>AZ179</f>
        <v>8080</v>
      </c>
      <c r="BB179" s="48">
        <f>SUM(BB176:BB177)</f>
        <v>8280</v>
      </c>
      <c r="BC179" s="48">
        <f>SUM(BC176:BC177)</f>
        <v>8465</v>
      </c>
      <c r="BD179" s="48">
        <f>SUM(BD176:BD177)</f>
        <v>8635</v>
      </c>
      <c r="BE179" s="48">
        <f>SUM(BE176:BE177)</f>
        <v>8845</v>
      </c>
      <c r="BF179" s="48">
        <f>BE179</f>
        <v>8845</v>
      </c>
      <c r="BG179" s="48">
        <f>SUM(BG176:BG177)</f>
        <v>9030</v>
      </c>
      <c r="BH179" s="48">
        <f>SUM(BH176:BH177)</f>
        <v>9195</v>
      </c>
      <c r="BI179" s="48">
        <f>SUM(BI176:BI177)</f>
        <v>9345</v>
      </c>
      <c r="BJ179" s="48">
        <f>SUM(BJ176:BJ177)</f>
        <v>9465</v>
      </c>
      <c r="BK179" s="48">
        <f>BJ179</f>
        <v>9465</v>
      </c>
      <c r="BL179" s="48">
        <f>SUM(BL176:BL177)</f>
        <v>9580</v>
      </c>
      <c r="BM179" s="48">
        <f>SUM(BM176:BM177)</f>
        <v>9675</v>
      </c>
      <c r="BN179" s="48" t="e">
        <f>SUM(BN176:BN177)</f>
        <v>#NUM!</v>
      </c>
      <c r="BO179" s="48" t="e">
        <f>SUM(BO176:BO177)</f>
        <v>#NUM!</v>
      </c>
      <c r="BP179" s="48" t="e">
        <f>BO179</f>
        <v>#NUM!</v>
      </c>
      <c r="BQ179" s="48" t="e">
        <f>SUM(BQ176:BQ177)</f>
        <v>#NUM!</v>
      </c>
      <c r="BR179" s="48" t="e">
        <f>SUM(BR176:BR177)</f>
        <v>#NUM!</v>
      </c>
      <c r="BS179" s="48" t="e">
        <f>SUM(BS176:BS177)</f>
        <v>#NUM!</v>
      </c>
    </row>
    <row r="180" spans="1:73">
      <c r="A180" s="1" t="s">
        <v>418</v>
      </c>
      <c r="I180" s="60">
        <f>J180-J167</f>
        <v>0</v>
      </c>
      <c r="J180" s="36">
        <f>K180-K167</f>
        <v>202.125</v>
      </c>
      <c r="K180" s="36">
        <f>L180-L167</f>
        <v>415.25</v>
      </c>
      <c r="L180" s="36">
        <f>M180</f>
        <v>640</v>
      </c>
      <c r="M180" s="36">
        <f>N180-N167</f>
        <v>640</v>
      </c>
      <c r="N180" s="36">
        <f>O180-O167</f>
        <v>930</v>
      </c>
      <c r="O180" s="36">
        <f>P180-P167</f>
        <v>1440</v>
      </c>
      <c r="P180" s="36">
        <f>Q180-Q167</f>
        <v>2160</v>
      </c>
      <c r="Q180" s="36">
        <f>R180</f>
        <v>2760</v>
      </c>
      <c r="R180" s="36">
        <f>S180-S167</f>
        <v>2760</v>
      </c>
      <c r="S180" s="76">
        <v>3440</v>
      </c>
      <c r="T180" s="83">
        <f>S180+T167</f>
        <v>1760</v>
      </c>
      <c r="U180" s="83">
        <f>T180+U167</f>
        <v>770</v>
      </c>
      <c r="V180" s="83">
        <f>U180+V167</f>
        <v>400</v>
      </c>
      <c r="W180" s="36">
        <f>V180</f>
        <v>400</v>
      </c>
      <c r="X180" s="108">
        <v>420</v>
      </c>
      <c r="Y180" s="83">
        <f>X180+Y167</f>
        <v>490</v>
      </c>
      <c r="Z180" s="83">
        <f>Y180+Z167</f>
        <v>3400</v>
      </c>
      <c r="AA180" s="83">
        <f>Z180+AA167</f>
        <v>10190</v>
      </c>
      <c r="AB180" s="36">
        <f>AA180</f>
        <v>10190</v>
      </c>
      <c r="AC180" s="108">
        <v>10710</v>
      </c>
      <c r="AD180" s="76">
        <v>8900</v>
      </c>
      <c r="AE180" s="76">
        <v>8900</v>
      </c>
      <c r="AF180" s="76">
        <v>3400</v>
      </c>
      <c r="AG180" s="36">
        <f>AF180</f>
        <v>3400</v>
      </c>
      <c r="AH180" s="76">
        <v>900</v>
      </c>
      <c r="AI180" s="76">
        <v>900</v>
      </c>
      <c r="AJ180" s="76">
        <v>1000</v>
      </c>
      <c r="AK180" s="76">
        <v>1000</v>
      </c>
      <c r="AL180" s="36">
        <f>AK180</f>
        <v>1000</v>
      </c>
      <c r="AM180" s="76">
        <v>1100</v>
      </c>
      <c r="AN180" s="76">
        <v>1100</v>
      </c>
      <c r="AO180" s="76">
        <v>1100</v>
      </c>
      <c r="AP180" s="76">
        <v>1200</v>
      </c>
      <c r="AQ180" s="36">
        <f>AP180</f>
        <v>1200</v>
      </c>
      <c r="AR180" s="76">
        <v>1200</v>
      </c>
      <c r="AS180" s="76">
        <v>1200</v>
      </c>
      <c r="AT180" s="76">
        <v>1300</v>
      </c>
      <c r="AU180" s="76">
        <v>1300</v>
      </c>
      <c r="AV180" s="36">
        <f>AU180</f>
        <v>1300</v>
      </c>
      <c r="AW180" s="76">
        <v>1300</v>
      </c>
      <c r="AX180" s="76">
        <v>1300</v>
      </c>
      <c r="AY180" s="76">
        <v>1300</v>
      </c>
      <c r="AZ180" s="59">
        <f>AY180+AZ149</f>
        <v>1325</v>
      </c>
      <c r="BA180" s="36">
        <f>AZ180</f>
        <v>1325</v>
      </c>
      <c r="BB180" s="59">
        <f>BA180+BB149</f>
        <v>1350</v>
      </c>
      <c r="BC180" s="59">
        <f>BB180+BC149</f>
        <v>1375</v>
      </c>
      <c r="BD180" s="59">
        <f>BC180+BD149</f>
        <v>1395</v>
      </c>
      <c r="BE180" s="59">
        <f>BD180+BE149</f>
        <v>1470</v>
      </c>
      <c r="BF180" s="36">
        <f>BE180</f>
        <v>1470</v>
      </c>
      <c r="BG180" s="59">
        <f>BF180+BG149</f>
        <v>1535</v>
      </c>
      <c r="BH180" s="59">
        <f>BG180+BH149</f>
        <v>1590</v>
      </c>
      <c r="BI180" s="59">
        <f>BH180+BI149</f>
        <v>1635</v>
      </c>
      <c r="BJ180" s="59">
        <f>BI180+BJ149</f>
        <v>1665</v>
      </c>
      <c r="BK180" s="36">
        <f>BJ180</f>
        <v>1665</v>
      </c>
      <c r="BL180" s="59">
        <f>BK180+BL149</f>
        <v>1685</v>
      </c>
      <c r="BM180" s="59">
        <f>BL180+BM149</f>
        <v>1695</v>
      </c>
      <c r="BN180" s="59" t="e">
        <f>BM180+BN149</f>
        <v>#NUM!</v>
      </c>
      <c r="BO180" s="59" t="e">
        <f>BN180+BO149</f>
        <v>#NUM!</v>
      </c>
      <c r="BP180" s="36" t="e">
        <f>BO180</f>
        <v>#NUM!</v>
      </c>
      <c r="BQ180" s="59" t="e">
        <f>BP180+BQ149</f>
        <v>#NUM!</v>
      </c>
      <c r="BR180" s="59" t="e">
        <f>BQ180+BR149</f>
        <v>#NUM!</v>
      </c>
      <c r="BS180" s="59" t="e">
        <f>BR180+BS149</f>
        <v>#NUM!</v>
      </c>
    </row>
    <row r="181" spans="1:73">
      <c r="A181" s="1" t="s">
        <v>419</v>
      </c>
      <c r="I181" s="60">
        <f t="shared" ref="I181:V181" si="441">SUM(I179:I180)</f>
        <v>430.94694901812909</v>
      </c>
      <c r="J181" s="36">
        <f t="shared" si="441"/>
        <v>1384.0657559753613</v>
      </c>
      <c r="K181" s="36">
        <f t="shared" si="441"/>
        <v>1599.0879952765861</v>
      </c>
      <c r="L181" s="36">
        <f t="shared" si="441"/>
        <v>1910</v>
      </c>
      <c r="M181" s="36">
        <f t="shared" si="441"/>
        <v>1910</v>
      </c>
      <c r="N181" s="36">
        <f t="shared" si="441"/>
        <v>2300</v>
      </c>
      <c r="O181" s="36">
        <f t="shared" si="441"/>
        <v>3830</v>
      </c>
      <c r="P181" s="36">
        <f t="shared" si="441"/>
        <v>5490</v>
      </c>
      <c r="Q181" s="36">
        <f t="shared" si="441"/>
        <v>7810</v>
      </c>
      <c r="R181" s="36">
        <f t="shared" si="441"/>
        <v>7810</v>
      </c>
      <c r="S181" s="36">
        <f t="shared" si="441"/>
        <v>9850</v>
      </c>
      <c r="T181" s="36">
        <f t="shared" si="441"/>
        <v>4400</v>
      </c>
      <c r="U181" s="36">
        <f t="shared" si="441"/>
        <v>2900</v>
      </c>
      <c r="V181" s="36">
        <f t="shared" si="441"/>
        <v>-1620</v>
      </c>
      <c r="W181" s="36">
        <f>V181</f>
        <v>-1620</v>
      </c>
      <c r="X181" s="36">
        <f>SUM(X179:X180)</f>
        <v>-250</v>
      </c>
      <c r="Y181" s="36">
        <f>SUM(Y179:Y180)</f>
        <v>2440</v>
      </c>
      <c r="Z181" s="36">
        <f>SUM(Z179:Z180)</f>
        <v>10470</v>
      </c>
      <c r="AA181" s="36">
        <f>SUM(AA179:AA180)</f>
        <v>31130</v>
      </c>
      <c r="AB181" s="36">
        <f>AA181</f>
        <v>31130</v>
      </c>
      <c r="AC181" s="36">
        <f>SUM(AC179:AC180)</f>
        <v>32420</v>
      </c>
      <c r="AD181" s="36">
        <f>SUM(AD179:AD180)</f>
        <v>26700</v>
      </c>
      <c r="AE181" s="36">
        <f>SUM(AE179:AE180)</f>
        <v>26500</v>
      </c>
      <c r="AF181" s="36">
        <f>SUM(AF179:AF180)</f>
        <v>13100</v>
      </c>
      <c r="AG181" s="36">
        <f>AF181</f>
        <v>13100</v>
      </c>
      <c r="AH181" s="36">
        <f>SUM(AH179:AH180)</f>
        <v>6300</v>
      </c>
      <c r="AI181" s="36">
        <f>SUM(AI179:AI180)</f>
        <v>3500</v>
      </c>
      <c r="AJ181" s="36">
        <f>SUM(AJ179:AJ180)</f>
        <v>2200</v>
      </c>
      <c r="AK181" s="36">
        <f>SUM(AK179:AK180)</f>
        <v>2200</v>
      </c>
      <c r="AL181" s="36">
        <f>AK181</f>
        <v>2200</v>
      </c>
      <c r="AM181" s="36">
        <f>SUM(AM179:AM180)</f>
        <v>2400</v>
      </c>
      <c r="AN181" s="36">
        <f>SUM(AN179:AN180)</f>
        <v>3500</v>
      </c>
      <c r="AO181" s="36">
        <f>SUM(AO179:AO180)</f>
        <v>4400</v>
      </c>
      <c r="AP181" s="36">
        <f>SUM(AP179:AP180)</f>
        <v>4400</v>
      </c>
      <c r="AQ181" s="36">
        <f>AP181</f>
        <v>4400</v>
      </c>
      <c r="AR181" s="36">
        <f>SUM(AR179:AR180)</f>
        <v>5700</v>
      </c>
      <c r="AS181" s="36">
        <f>SUM(AS179:AS180)</f>
        <v>7200</v>
      </c>
      <c r="AT181" s="36">
        <f>SUM(AT179:AT180)</f>
        <v>6700</v>
      </c>
      <c r="AU181" s="36">
        <f>SUM(AU179:AU180)</f>
        <v>7700</v>
      </c>
      <c r="AV181" s="36">
        <f>AU181</f>
        <v>7700</v>
      </c>
      <c r="AW181" s="36">
        <f>SUM(AW179:AW180)</f>
        <v>9500</v>
      </c>
      <c r="AX181" s="36">
        <f>SUM(AX179:AX180)</f>
        <v>12600</v>
      </c>
      <c r="AY181" s="36">
        <f>SUM(AY179:AY180)</f>
        <v>10400</v>
      </c>
      <c r="AZ181" s="36">
        <f>SUM(AZ179:AZ180)</f>
        <v>9405</v>
      </c>
      <c r="BA181" s="36">
        <f>AZ181</f>
        <v>9405</v>
      </c>
      <c r="BB181" s="36">
        <f>SUM(BB179:BB180)</f>
        <v>9630</v>
      </c>
      <c r="BC181" s="36">
        <f>SUM(BC179:BC180)</f>
        <v>9840</v>
      </c>
      <c r="BD181" s="36">
        <f>SUM(BD179:BD180)</f>
        <v>10030</v>
      </c>
      <c r="BE181" s="36">
        <f>SUM(BE179:BE180)</f>
        <v>10315</v>
      </c>
      <c r="BF181" s="36">
        <f>BE181</f>
        <v>10315</v>
      </c>
      <c r="BG181" s="36">
        <f>SUM(BG179:BG180)</f>
        <v>10565</v>
      </c>
      <c r="BH181" s="36">
        <f>SUM(BH179:BH180)</f>
        <v>10785</v>
      </c>
      <c r="BI181" s="36">
        <f>SUM(BI179:BI180)</f>
        <v>10980</v>
      </c>
      <c r="BJ181" s="36">
        <f>SUM(BJ179:BJ180)</f>
        <v>11130</v>
      </c>
      <c r="BK181" s="36">
        <f>BJ181</f>
        <v>11130</v>
      </c>
      <c r="BL181" s="36">
        <f>SUM(BL179:BL180)</f>
        <v>11265</v>
      </c>
      <c r="BM181" s="36">
        <f>SUM(BM179:BM180)</f>
        <v>11370</v>
      </c>
      <c r="BN181" s="36" t="e">
        <f>SUM(BN179:BN180)</f>
        <v>#NUM!</v>
      </c>
      <c r="BO181" s="36" t="e">
        <f>SUM(BO179:BO180)</f>
        <v>#NUM!</v>
      </c>
      <c r="BP181" s="36" t="e">
        <f>BO181</f>
        <v>#NUM!</v>
      </c>
      <c r="BQ181" s="36" t="e">
        <f>SUM(BQ179:BQ180)</f>
        <v>#NUM!</v>
      </c>
      <c r="BR181" s="36" t="e">
        <f>SUM(BR179:BR180)</f>
        <v>#NUM!</v>
      </c>
      <c r="BS181" s="36" t="e">
        <f>SUM(BS179:BS180)</f>
        <v>#NUM!</v>
      </c>
    </row>
    <row r="182" spans="1:73">
      <c r="A182" s="1" t="s">
        <v>434</v>
      </c>
      <c r="T182" s="76">
        <v>4400</v>
      </c>
      <c r="U182" s="76">
        <v>2980</v>
      </c>
      <c r="V182" s="76">
        <v>-1550</v>
      </c>
      <c r="Y182" s="76">
        <v>2430</v>
      </c>
      <c r="Z182" s="76">
        <v>10470</v>
      </c>
      <c r="AA182" s="76">
        <v>30860</v>
      </c>
    </row>
    <row r="183" spans="1:73">
      <c r="A183" s="1" t="s">
        <v>240</v>
      </c>
      <c r="T183" s="36">
        <f>T182-T181</f>
        <v>0</v>
      </c>
      <c r="U183" s="36">
        <f>U182-U181</f>
        <v>80</v>
      </c>
      <c r="V183" s="36">
        <f>V182-V181</f>
        <v>70</v>
      </c>
      <c r="Y183" s="36">
        <f>Y182-Y181</f>
        <v>-10</v>
      </c>
      <c r="Z183" s="36">
        <f>Z182-Z181</f>
        <v>0</v>
      </c>
      <c r="AA183" s="36">
        <f>AA182-AA181</f>
        <v>-270</v>
      </c>
    </row>
    <row r="185" spans="1:73">
      <c r="A185" s="1" t="s">
        <v>563</v>
      </c>
      <c r="S185" s="21">
        <f t="shared" ref="S185:BG185" si="442">S181/S176</f>
        <v>0.73672400897531787</v>
      </c>
      <c r="T185" s="21">
        <f t="shared" si="442"/>
        <v>0.76388888888888884</v>
      </c>
      <c r="U185" s="21">
        <f t="shared" si="442"/>
        <v>0.65022421524663676</v>
      </c>
      <c r="V185" s="21">
        <f t="shared" si="442"/>
        <v>0.39036144578313253</v>
      </c>
      <c r="W185" s="21">
        <f t="shared" si="442"/>
        <v>0.39036144578313253</v>
      </c>
      <c r="X185" s="21">
        <f t="shared" si="442"/>
        <v>0.1497005988023952</v>
      </c>
      <c r="Y185" s="21">
        <f t="shared" si="442"/>
        <v>0.63376623376623376</v>
      </c>
      <c r="Z185" s="21">
        <f t="shared" si="442"/>
        <v>0.7790178571428571</v>
      </c>
      <c r="AA185" s="21">
        <f t="shared" si="442"/>
        <v>0.76940187839841823</v>
      </c>
      <c r="AB185" s="21">
        <f t="shared" si="442"/>
        <v>0.76940187839841823</v>
      </c>
      <c r="AC185" s="21">
        <f t="shared" si="442"/>
        <v>0.76354215732454078</v>
      </c>
      <c r="AD185" s="21">
        <f t="shared" si="442"/>
        <v>0.76724137931034486</v>
      </c>
      <c r="AE185" s="21">
        <f t="shared" si="442"/>
        <v>0.77034883720930236</v>
      </c>
      <c r="AF185" s="21">
        <f t="shared" si="442"/>
        <v>0.68586387434554974</v>
      </c>
      <c r="AG185" s="21">
        <f t="shared" si="442"/>
        <v>0.68586387434554974</v>
      </c>
      <c r="AH185" s="21">
        <f t="shared" si="442"/>
        <v>0.58333333333333337</v>
      </c>
      <c r="AI185" s="21">
        <f t="shared" si="442"/>
        <v>0.64814814814814814</v>
      </c>
      <c r="AJ185" s="21">
        <f t="shared" si="442"/>
        <v>0.7857142857142857</v>
      </c>
      <c r="AK185" s="21">
        <f t="shared" si="442"/>
        <v>0.81481481481481477</v>
      </c>
      <c r="AL185" s="21">
        <f t="shared" si="442"/>
        <v>0.81481481481481477</v>
      </c>
      <c r="AM185" s="21">
        <f t="shared" si="442"/>
        <v>0.8</v>
      </c>
      <c r="AN185" s="21">
        <f t="shared" si="442"/>
        <v>0.68627450980392157</v>
      </c>
      <c r="AO185" s="21">
        <f t="shared" si="442"/>
        <v>0.6470588235294118</v>
      </c>
      <c r="AP185" s="21">
        <f t="shared" si="442"/>
        <v>0.67692307692307696</v>
      </c>
      <c r="AQ185" s="21">
        <f t="shared" si="442"/>
        <v>0.67692307692307696</v>
      </c>
      <c r="AR185" s="21">
        <f t="shared" si="442"/>
        <v>0.62637362637362637</v>
      </c>
      <c r="AS185" s="21">
        <f t="shared" si="442"/>
        <v>0.6</v>
      </c>
      <c r="AT185" s="21">
        <f t="shared" si="442"/>
        <v>0.62037037037037035</v>
      </c>
      <c r="AU185" s="21">
        <f t="shared" si="442"/>
        <v>0.61111111111111116</v>
      </c>
      <c r="AV185" s="21">
        <f t="shared" si="442"/>
        <v>0.61111111111111116</v>
      </c>
      <c r="AW185" s="21">
        <f t="shared" si="442"/>
        <v>0.59006211180124224</v>
      </c>
      <c r="AX185" s="21">
        <f t="shared" si="442"/>
        <v>0.57272727272727275</v>
      </c>
      <c r="AY185" s="21">
        <f t="shared" ref="AY185" si="443">AY181/AY176</f>
        <v>0.5842696629213483</v>
      </c>
      <c r="AZ185" s="21">
        <f t="shared" si="442"/>
        <v>0.5902102290555381</v>
      </c>
      <c r="BA185" s="21">
        <f t="shared" si="442"/>
        <v>0.5902102290555381</v>
      </c>
      <c r="BB185" s="21">
        <f t="shared" si="442"/>
        <v>0.58953168044077131</v>
      </c>
      <c r="BC185" s="21">
        <f t="shared" si="442"/>
        <v>0.58904519604908712</v>
      </c>
      <c r="BD185" s="21">
        <f t="shared" si="442"/>
        <v>0.58844235846289239</v>
      </c>
      <c r="BE185" s="21">
        <f t="shared" si="442"/>
        <v>0.59247558874210227</v>
      </c>
      <c r="BF185" s="21">
        <f t="shared" si="442"/>
        <v>0.59247558874210227</v>
      </c>
      <c r="BG185" s="21">
        <f t="shared" si="442"/>
        <v>0.59571468846912889</v>
      </c>
      <c r="BH185" s="21">
        <f t="shared" ref="BH185:BS185" si="444">BH181/BH176</f>
        <v>0.59816971713810319</v>
      </c>
      <c r="BI185" s="21">
        <f t="shared" si="444"/>
        <v>0.60016397922929765</v>
      </c>
      <c r="BJ185" s="21">
        <f t="shared" si="444"/>
        <v>0.60097192224622031</v>
      </c>
      <c r="BK185" s="21">
        <f t="shared" si="444"/>
        <v>0.60097192224622031</v>
      </c>
      <c r="BL185" s="21">
        <f t="shared" si="444"/>
        <v>0.60208444681988238</v>
      </c>
      <c r="BM185" s="21">
        <f t="shared" si="444"/>
        <v>0.60254372019077906</v>
      </c>
      <c r="BN185" s="21" t="e">
        <f t="shared" si="444"/>
        <v>#NUM!</v>
      </c>
      <c r="BO185" s="21" t="e">
        <f t="shared" si="444"/>
        <v>#NUM!</v>
      </c>
      <c r="BP185" s="21" t="e">
        <f t="shared" si="444"/>
        <v>#NUM!</v>
      </c>
      <c r="BQ185" s="21" t="e">
        <f t="shared" si="444"/>
        <v>#NUM!</v>
      </c>
      <c r="BR185" s="21" t="e">
        <f t="shared" si="444"/>
        <v>#NUM!</v>
      </c>
      <c r="BS185" s="21" t="e">
        <f t="shared" si="444"/>
        <v>#NUM!</v>
      </c>
    </row>
    <row r="187" spans="1:73">
      <c r="A187" s="3" t="s">
        <v>420</v>
      </c>
    </row>
    <row r="189" spans="1:73">
      <c r="A189" s="1" t="s">
        <v>421</v>
      </c>
      <c r="I189" s="36"/>
      <c r="J189" s="36">
        <f t="shared" ref="J189:AB189" si="445">J691</f>
        <v>17000</v>
      </c>
      <c r="K189" s="36">
        <f t="shared" si="445"/>
        <v>25800</v>
      </c>
      <c r="L189" s="36">
        <f t="shared" si="445"/>
        <v>26300</v>
      </c>
      <c r="M189" s="36">
        <f t="shared" si="445"/>
        <v>26300</v>
      </c>
      <c r="N189" s="36">
        <f t="shared" si="445"/>
        <v>28600</v>
      </c>
      <c r="O189" s="36">
        <f t="shared" si="445"/>
        <v>28900</v>
      </c>
      <c r="P189" s="36">
        <f t="shared" si="445"/>
        <v>50300</v>
      </c>
      <c r="Q189" s="36">
        <f t="shared" si="445"/>
        <v>53500</v>
      </c>
      <c r="R189" s="36">
        <f t="shared" si="445"/>
        <v>53500</v>
      </c>
      <c r="S189" s="36">
        <f t="shared" si="445"/>
        <v>58900</v>
      </c>
      <c r="T189" s="36">
        <f t="shared" si="445"/>
        <v>66400</v>
      </c>
      <c r="U189" s="36">
        <f t="shared" si="445"/>
        <v>69700</v>
      </c>
      <c r="V189" s="36">
        <f t="shared" si="445"/>
        <v>73100</v>
      </c>
      <c r="W189" s="36">
        <f t="shared" si="445"/>
        <v>73100</v>
      </c>
      <c r="X189" s="36">
        <f t="shared" si="445"/>
        <v>78200</v>
      </c>
      <c r="Y189" s="36">
        <f t="shared" si="445"/>
        <v>76500</v>
      </c>
      <c r="Z189" s="36">
        <f t="shared" si="445"/>
        <v>75900</v>
      </c>
      <c r="AA189" s="36">
        <f t="shared" ref="AA189" si="446">AA691</f>
        <v>71600</v>
      </c>
      <c r="AB189" s="36">
        <f t="shared" si="445"/>
        <v>71600</v>
      </c>
      <c r="AC189" s="36">
        <f t="shared" ref="AC189:AD189" si="447">AC691</f>
        <v>68400</v>
      </c>
      <c r="AD189" s="36">
        <f t="shared" si="447"/>
        <v>60000</v>
      </c>
      <c r="AE189" s="36">
        <f t="shared" ref="AE189:AH189" si="448">AE691</f>
        <v>59500</v>
      </c>
      <c r="AF189" s="36">
        <f t="shared" si="448"/>
        <v>58500</v>
      </c>
      <c r="AG189" s="36">
        <f t="shared" si="448"/>
        <v>58500</v>
      </c>
      <c r="AH189" s="36">
        <f t="shared" si="448"/>
        <v>55300</v>
      </c>
      <c r="AI189" s="36">
        <f t="shared" ref="AI189" si="449">AI691</f>
        <v>54800</v>
      </c>
      <c r="AJ189" s="36">
        <f t="shared" ref="AJ189:AM189" si="450">AJ691</f>
        <v>54200</v>
      </c>
      <c r="AK189" s="36">
        <f t="shared" si="450"/>
        <v>53900</v>
      </c>
      <c r="AL189" s="36">
        <f t="shared" si="450"/>
        <v>53900</v>
      </c>
      <c r="AM189" s="36">
        <f t="shared" si="450"/>
        <v>53500</v>
      </c>
      <c r="AN189" s="36">
        <f t="shared" ref="AN189:AO189" si="451">AN691</f>
        <v>53000</v>
      </c>
      <c r="AO189" s="36">
        <f t="shared" si="451"/>
        <v>51600</v>
      </c>
      <c r="AP189" s="36">
        <f t="shared" ref="AP189:AT189" si="452">AP691</f>
        <v>49900</v>
      </c>
      <c r="AQ189" s="36">
        <f t="shared" si="452"/>
        <v>49900</v>
      </c>
      <c r="AR189" s="36">
        <f t="shared" si="452"/>
        <v>49100</v>
      </c>
      <c r="AS189" s="36">
        <f t="shared" si="452"/>
        <v>44700</v>
      </c>
      <c r="AT189" s="36">
        <f t="shared" si="452"/>
        <v>44000</v>
      </c>
      <c r="AU189" s="36">
        <f t="shared" ref="AU189:BS189" si="453">AU691</f>
        <v>39400</v>
      </c>
      <c r="AV189" s="36">
        <f t="shared" si="453"/>
        <v>39400</v>
      </c>
      <c r="AW189" s="36">
        <f t="shared" si="453"/>
        <v>38500</v>
      </c>
      <c r="AX189" s="36">
        <f t="shared" si="453"/>
        <v>33600</v>
      </c>
      <c r="AY189" s="36">
        <f t="shared" si="453"/>
        <v>32800</v>
      </c>
      <c r="AZ189" s="36">
        <f t="shared" si="453"/>
        <v>32800</v>
      </c>
      <c r="BA189" s="36">
        <f t="shared" si="453"/>
        <v>32800</v>
      </c>
      <c r="BB189" s="36">
        <f t="shared" si="453"/>
        <v>29160</v>
      </c>
      <c r="BC189" s="36">
        <f t="shared" si="453"/>
        <v>25555</v>
      </c>
      <c r="BD189" s="36">
        <f t="shared" si="453"/>
        <v>21985</v>
      </c>
      <c r="BE189" s="36">
        <f t="shared" si="453"/>
        <v>18460</v>
      </c>
      <c r="BF189" s="36">
        <f t="shared" si="453"/>
        <v>18460</v>
      </c>
      <c r="BG189" s="36">
        <f t="shared" si="453"/>
        <v>15680</v>
      </c>
      <c r="BH189" s="36">
        <f t="shared" si="453"/>
        <v>12880</v>
      </c>
      <c r="BI189" s="36">
        <f t="shared" si="453"/>
        <v>10055</v>
      </c>
      <c r="BJ189" s="36">
        <f t="shared" si="453"/>
        <v>7205</v>
      </c>
      <c r="BK189" s="36">
        <f t="shared" si="453"/>
        <v>7205</v>
      </c>
      <c r="BL189" s="36">
        <f t="shared" si="453"/>
        <v>4330</v>
      </c>
      <c r="BM189" s="36">
        <f t="shared" si="453"/>
        <v>1430</v>
      </c>
      <c r="BN189" s="36">
        <f t="shared" si="453"/>
        <v>-1495</v>
      </c>
      <c r="BO189" s="36">
        <f t="shared" si="453"/>
        <v>-4445</v>
      </c>
      <c r="BP189" s="36">
        <f t="shared" si="453"/>
        <v>-4445</v>
      </c>
      <c r="BQ189" s="36" t="e">
        <f t="shared" si="453"/>
        <v>#NUM!</v>
      </c>
      <c r="BR189" s="36" t="e">
        <f t="shared" si="453"/>
        <v>#NUM!</v>
      </c>
      <c r="BS189" s="36" t="e">
        <f t="shared" si="453"/>
        <v>#NUM!</v>
      </c>
      <c r="BT189" s="36"/>
      <c r="BU189" s="36"/>
    </row>
    <row r="190" spans="1:73">
      <c r="A190" s="1" t="s">
        <v>422</v>
      </c>
      <c r="I190" s="36"/>
      <c r="J190" s="36">
        <f>AVERAGE(I189:J189)</f>
        <v>17000</v>
      </c>
      <c r="K190" s="36">
        <f>AVERAGE(J189:K189)</f>
        <v>21400</v>
      </c>
      <c r="L190" s="36">
        <f>AVERAGE(K189:L189)</f>
        <v>26050</v>
      </c>
      <c r="N190" s="36">
        <f>AVERAGE(M189:N189)</f>
        <v>27450</v>
      </c>
      <c r="O190" s="36">
        <f>AVERAGE(N189:O189)</f>
        <v>28750</v>
      </c>
      <c r="P190" s="36">
        <f>AVERAGE(O189:P189)</f>
        <v>39600</v>
      </c>
      <c r="Q190" s="36">
        <f>AVERAGE(P189:Q189)</f>
        <v>51900</v>
      </c>
      <c r="S190" s="36">
        <f>AVERAGE(R189:S189)</f>
        <v>56200</v>
      </c>
      <c r="T190" s="36">
        <f t="shared" ref="T190:V190" si="454">AVERAGE(S189:T189)</f>
        <v>62650</v>
      </c>
      <c r="U190" s="36">
        <f t="shared" si="454"/>
        <v>68050</v>
      </c>
      <c r="V190" s="36">
        <f t="shared" si="454"/>
        <v>71400</v>
      </c>
      <c r="X190" s="36">
        <f>AVERAGE(W189:X189)</f>
        <v>75650</v>
      </c>
      <c r="Y190" s="36">
        <f t="shared" ref="Y190:AA190" si="455">AVERAGE(X189:Y189)</f>
        <v>77350</v>
      </c>
      <c r="Z190" s="36">
        <f t="shared" si="455"/>
        <v>76200</v>
      </c>
      <c r="AA190" s="36">
        <f t="shared" si="455"/>
        <v>73750</v>
      </c>
      <c r="AC190" s="36">
        <f>AVERAGE(AB189:AC189)</f>
        <v>70000</v>
      </c>
      <c r="AD190" s="36">
        <f>AVERAGE(AC189:AD189)</f>
        <v>64200</v>
      </c>
      <c r="AE190" s="36">
        <f>AVERAGE(AD189:AE189)</f>
        <v>59750</v>
      </c>
      <c r="AF190" s="36">
        <f>AVERAGE(AE189:AF189)</f>
        <v>59000</v>
      </c>
      <c r="AH190" s="36">
        <f>AVERAGE(AG189:AH189)</f>
        <v>56900</v>
      </c>
      <c r="AI190" s="36">
        <f>AVERAGE(AH189:AI189)</f>
        <v>55050</v>
      </c>
      <c r="AJ190" s="36">
        <f>AVERAGE(AI189:AJ189)</f>
        <v>54500</v>
      </c>
      <c r="AK190" s="36">
        <f>AVERAGE(AJ189:AK189)</f>
        <v>54050</v>
      </c>
      <c r="AM190" s="36">
        <f>AVERAGE(AL189:AM189)</f>
        <v>53700</v>
      </c>
      <c r="AN190" s="36">
        <f>AVERAGE(AM189:AN189)</f>
        <v>53250</v>
      </c>
      <c r="AO190" s="36">
        <f>AVERAGE(AN189:AO189)</f>
        <v>52300</v>
      </c>
      <c r="AP190" s="36">
        <f>AVERAGE(AO189:AP189)</f>
        <v>50750</v>
      </c>
      <c r="AR190" s="36">
        <f>AVERAGE(AQ189:AR189)</f>
        <v>49500</v>
      </c>
      <c r="AS190" s="36">
        <f>AVERAGE(AR189:AS189)</f>
        <v>46900</v>
      </c>
      <c r="AT190" s="36">
        <f>AVERAGE(AS189:AT189)</f>
        <v>44350</v>
      </c>
      <c r="AU190" s="36">
        <f>AVERAGE(AT189:AU189)</f>
        <v>41700</v>
      </c>
      <c r="AW190" s="36">
        <f>AVERAGE(AV189:AW189)</f>
        <v>38950</v>
      </c>
      <c r="AX190" s="36">
        <f>AVERAGE(AW189:AX189)</f>
        <v>36050</v>
      </c>
      <c r="AY190" s="36">
        <f>AVERAGE(AX189:AY189)</f>
        <v>33200</v>
      </c>
      <c r="AZ190" s="36">
        <f>AVERAGE(AY189:AZ189)</f>
        <v>32800</v>
      </c>
      <c r="BB190" s="36">
        <f>AVERAGE(BA189:BB189)</f>
        <v>30980</v>
      </c>
      <c r="BC190" s="36">
        <f>AVERAGE(BB189:BC189)</f>
        <v>27357.5</v>
      </c>
      <c r="BD190" s="36">
        <f>AVERAGE(BC189:BD189)</f>
        <v>23770</v>
      </c>
      <c r="BE190" s="36">
        <f>AVERAGE(BD189:BE189)</f>
        <v>20222.5</v>
      </c>
      <c r="BG190" s="36">
        <f>AVERAGE(BF189:BG189)</f>
        <v>17070</v>
      </c>
      <c r="BH190" s="36">
        <f>AVERAGE(BG189:BH189)</f>
        <v>14280</v>
      </c>
      <c r="BI190" s="36">
        <f>AVERAGE(BH189:BI189)</f>
        <v>11467.5</v>
      </c>
      <c r="BJ190" s="36">
        <f>AVERAGE(BI189:BJ189)</f>
        <v>8630</v>
      </c>
      <c r="BL190" s="36">
        <f>AVERAGE(BK189:BL189)</f>
        <v>5767.5</v>
      </c>
      <c r="BM190" s="36">
        <f>AVERAGE(BL189:BM189)</f>
        <v>2880</v>
      </c>
      <c r="BN190" s="36">
        <f>AVERAGE(BM189:BN189)</f>
        <v>-32.5</v>
      </c>
      <c r="BO190" s="36">
        <f>AVERAGE(BN189:BO189)</f>
        <v>-2970</v>
      </c>
      <c r="BQ190" s="36" t="e">
        <f>AVERAGE(BP189:BQ189)</f>
        <v>#NUM!</v>
      </c>
      <c r="BR190" s="36" t="e">
        <f>AVERAGE(BQ189:BR189)</f>
        <v>#NUM!</v>
      </c>
      <c r="BS190" s="36" t="e">
        <f>AVERAGE(BR189:BS189)</f>
        <v>#NUM!</v>
      </c>
      <c r="BT190" s="36"/>
      <c r="BU190" s="36"/>
    </row>
    <row r="191" spans="1:73">
      <c r="I191" s="36"/>
      <c r="J191" s="36"/>
      <c r="K191" s="36"/>
      <c r="L191" s="36"/>
      <c r="N191" s="36"/>
      <c r="O191" s="36"/>
      <c r="P191" s="36"/>
      <c r="Q191" s="36"/>
      <c r="S191" s="36"/>
      <c r="BT191" s="36"/>
      <c r="BU191" s="36"/>
    </row>
    <row r="192" spans="1:73">
      <c r="A192" s="1" t="s">
        <v>301</v>
      </c>
      <c r="I192" s="36"/>
      <c r="J192" s="36">
        <f t="shared" ref="J192:S192" si="456">J726</f>
        <v>20200</v>
      </c>
      <c r="K192" s="36">
        <f t="shared" si="456"/>
        <v>29800</v>
      </c>
      <c r="L192" s="36">
        <f t="shared" si="456"/>
        <v>33100</v>
      </c>
      <c r="M192" s="36">
        <f t="shared" si="456"/>
        <v>33100</v>
      </c>
      <c r="N192" s="36">
        <f t="shared" si="456"/>
        <v>37600</v>
      </c>
      <c r="O192" s="36">
        <f t="shared" si="456"/>
        <v>40800</v>
      </c>
      <c r="P192" s="36">
        <f t="shared" si="456"/>
        <v>60300</v>
      </c>
      <c r="Q192" s="36">
        <f t="shared" si="456"/>
        <v>72300</v>
      </c>
      <c r="R192" s="36">
        <f t="shared" si="456"/>
        <v>72300</v>
      </c>
      <c r="S192" s="36">
        <f t="shared" si="456"/>
        <v>82200</v>
      </c>
      <c r="T192" s="36">
        <f t="shared" ref="T192:W192" si="457">T726</f>
        <v>77600</v>
      </c>
      <c r="U192" s="36">
        <f t="shared" si="457"/>
        <v>79800</v>
      </c>
      <c r="V192" s="36">
        <f t="shared" si="457"/>
        <v>69600</v>
      </c>
      <c r="W192" s="36">
        <f t="shared" si="457"/>
        <v>69600</v>
      </c>
      <c r="X192" s="36">
        <f>X726</f>
        <v>71500</v>
      </c>
      <c r="Y192" s="36">
        <f t="shared" ref="Y192:Z192" si="458">Y726</f>
        <v>76400</v>
      </c>
      <c r="Z192" s="36">
        <f t="shared" si="458"/>
        <v>90000</v>
      </c>
      <c r="AA192" s="36">
        <f t="shared" ref="AA192:AB192" si="459">AA726</f>
        <v>120700</v>
      </c>
      <c r="AB192" s="36">
        <f t="shared" si="459"/>
        <v>120700</v>
      </c>
      <c r="AC192" s="36">
        <f>AC726</f>
        <v>120100</v>
      </c>
      <c r="AD192" s="36">
        <f>AD726</f>
        <v>104600</v>
      </c>
      <c r="AE192" s="36">
        <f>AE726</f>
        <v>101600</v>
      </c>
      <c r="AF192" s="36">
        <f t="shared" ref="AF192:AG192" si="460">AF726</f>
        <v>78600</v>
      </c>
      <c r="AG192" s="36">
        <f t="shared" si="460"/>
        <v>78600</v>
      </c>
      <c r="AH192" s="36">
        <f>AH726</f>
        <v>66300</v>
      </c>
      <c r="AI192" s="36">
        <f>AI726</f>
        <v>60600</v>
      </c>
      <c r="AJ192" s="36">
        <f>AJ726</f>
        <v>56600</v>
      </c>
      <c r="AK192" s="36">
        <f>AK726</f>
        <v>55900</v>
      </c>
      <c r="AL192" s="36">
        <f t="shared" ref="AL192" si="461">AL726</f>
        <v>55900</v>
      </c>
      <c r="AM192" s="36">
        <f>AM726</f>
        <v>56300</v>
      </c>
      <c r="AN192" s="36">
        <f>AN726</f>
        <v>42300</v>
      </c>
      <c r="AO192" s="36">
        <f>AO726</f>
        <v>42200</v>
      </c>
      <c r="AP192" s="36">
        <f>AP726</f>
        <v>39900</v>
      </c>
      <c r="AQ192" s="36">
        <f t="shared" ref="AQ192" si="462">AQ726</f>
        <v>39900</v>
      </c>
      <c r="AR192" s="36">
        <f>AR726</f>
        <v>41800</v>
      </c>
      <c r="AS192" s="36">
        <f>AS726</f>
        <v>43900</v>
      </c>
      <c r="AT192" s="36">
        <f>AT726</f>
        <v>42100</v>
      </c>
      <c r="AU192" s="36">
        <f>AU726</f>
        <v>43300</v>
      </c>
      <c r="AV192" s="36">
        <f t="shared" ref="AV192" si="463">AV726</f>
        <v>43300</v>
      </c>
      <c r="AW192" s="36">
        <f>AW726</f>
        <v>45600</v>
      </c>
      <c r="AX192" s="36">
        <f>AX726</f>
        <v>50100</v>
      </c>
      <c r="AY192" s="36">
        <f>AY726</f>
        <v>45200</v>
      </c>
      <c r="AZ192" s="36">
        <f>AZ726</f>
        <v>43310</v>
      </c>
      <c r="BA192" s="36">
        <f t="shared" ref="BA192" si="464">BA726</f>
        <v>43310</v>
      </c>
      <c r="BB192" s="36">
        <f>BB726</f>
        <v>40045</v>
      </c>
      <c r="BC192" s="36">
        <f>BC726</f>
        <v>36785</v>
      </c>
      <c r="BD192" s="36">
        <f>BD726</f>
        <v>33535</v>
      </c>
      <c r="BE192" s="36">
        <f>BE726</f>
        <v>30300</v>
      </c>
      <c r="BF192" s="36">
        <f t="shared" ref="BF192" si="465">BF726</f>
        <v>30300</v>
      </c>
      <c r="BG192" s="36">
        <f>BG726</f>
        <v>27780</v>
      </c>
      <c r="BH192" s="36">
        <f>BH726</f>
        <v>25220</v>
      </c>
      <c r="BI192" s="36">
        <f>BI726</f>
        <v>22615</v>
      </c>
      <c r="BJ192" s="36">
        <f>BJ726</f>
        <v>19960</v>
      </c>
      <c r="BK192" s="36">
        <f t="shared" ref="BK192" si="466">BK726</f>
        <v>19960</v>
      </c>
      <c r="BL192" s="36">
        <f>BL726</f>
        <v>17255</v>
      </c>
      <c r="BM192" s="36">
        <f>BM726</f>
        <v>14505</v>
      </c>
      <c r="BN192" s="36">
        <f>BN726</f>
        <v>11705</v>
      </c>
      <c r="BO192" s="36">
        <f>BO726</f>
        <v>8855</v>
      </c>
      <c r="BP192" s="36">
        <f t="shared" ref="BP192" si="467">BP726</f>
        <v>8855</v>
      </c>
      <c r="BQ192" s="36">
        <f>BQ726</f>
        <v>5955</v>
      </c>
      <c r="BR192" s="36">
        <f>BR726</f>
        <v>3000</v>
      </c>
      <c r="BS192" s="36">
        <f>BS726</f>
        <v>0</v>
      </c>
      <c r="BT192" s="36"/>
      <c r="BU192" s="36"/>
    </row>
    <row r="193" spans="1:73">
      <c r="A193" s="1" t="s">
        <v>427</v>
      </c>
      <c r="I193" s="36"/>
      <c r="J193" s="36">
        <f>AVERAGE(I192:J192)</f>
        <v>20200</v>
      </c>
      <c r="K193" s="36">
        <f>AVERAGE(J192:K192)</f>
        <v>25000</v>
      </c>
      <c r="L193" s="36">
        <f>AVERAGE(K192:L192)</f>
        <v>31450</v>
      </c>
      <c r="N193" s="36">
        <f>AVERAGE(M192:N192)</f>
        <v>35350</v>
      </c>
      <c r="O193" s="36">
        <f>AVERAGE(N192:O192)</f>
        <v>39200</v>
      </c>
      <c r="P193" s="36">
        <f>AVERAGE(O192:P192)</f>
        <v>50550</v>
      </c>
      <c r="Q193" s="36">
        <f>AVERAGE(P192:Q192)</f>
        <v>66300</v>
      </c>
      <c r="S193" s="36">
        <f>AVERAGE(R192:S192)</f>
        <v>77250</v>
      </c>
      <c r="T193" s="36">
        <f t="shared" ref="T193:V193" si="468">AVERAGE(S192:T192)</f>
        <v>79900</v>
      </c>
      <c r="U193" s="36">
        <f t="shared" si="468"/>
        <v>78700</v>
      </c>
      <c r="V193" s="36">
        <f t="shared" si="468"/>
        <v>74700</v>
      </c>
      <c r="X193" s="36">
        <f>AVERAGE(W192:X192)</f>
        <v>70550</v>
      </c>
      <c r="Y193" s="36">
        <f t="shared" ref="Y193:AA193" si="469">AVERAGE(X192:Y192)</f>
        <v>73950</v>
      </c>
      <c r="Z193" s="36">
        <f t="shared" si="469"/>
        <v>83200</v>
      </c>
      <c r="AA193" s="36">
        <f t="shared" si="469"/>
        <v>105350</v>
      </c>
      <c r="AC193" s="36">
        <f>AVERAGE(AB192:AC192)</f>
        <v>120400</v>
      </c>
      <c r="AD193" s="36">
        <f>AVERAGE(AC192:AD192)</f>
        <v>112350</v>
      </c>
      <c r="AE193" s="36">
        <f>AVERAGE(AD192:AE192)</f>
        <v>103100</v>
      </c>
      <c r="AF193" s="36">
        <f t="shared" ref="AF193" si="470">AVERAGE(AE192:AF192)</f>
        <v>90100</v>
      </c>
      <c r="AH193" s="36">
        <f>AVERAGE(AG192:AH192)</f>
        <v>72450</v>
      </c>
      <c r="AI193" s="36">
        <f>AVERAGE(AH192:AI192)</f>
        <v>63450</v>
      </c>
      <c r="AJ193" s="36">
        <f>AVERAGE(AI192:AJ192)</f>
        <v>58600</v>
      </c>
      <c r="AK193" s="36">
        <f>AVERAGE(AJ192:AK192)</f>
        <v>56250</v>
      </c>
      <c r="AM193" s="36">
        <f>AVERAGE(AL192:AM192)</f>
        <v>56100</v>
      </c>
      <c r="AN193" s="36">
        <f>AVERAGE(AM192:AN192)</f>
        <v>49300</v>
      </c>
      <c r="AO193" s="36">
        <f>AVERAGE(AN192:AO192)</f>
        <v>42250</v>
      </c>
      <c r="AP193" s="36">
        <f>AVERAGE(AO192:AP192)</f>
        <v>41050</v>
      </c>
      <c r="AR193" s="36">
        <f>AVERAGE(AQ192:AR192)</f>
        <v>40850</v>
      </c>
      <c r="AS193" s="36">
        <f>AVERAGE(AR192:AS192)</f>
        <v>42850</v>
      </c>
      <c r="AT193" s="36">
        <f>AVERAGE(AS192:AT192)</f>
        <v>43000</v>
      </c>
      <c r="AU193" s="36">
        <f>AVERAGE(AT192:AU192)</f>
        <v>42700</v>
      </c>
      <c r="AW193" s="36">
        <f>AVERAGE(AV192:AW192)</f>
        <v>44450</v>
      </c>
      <c r="AX193" s="36">
        <f>AVERAGE(AW192:AX192)</f>
        <v>47850</v>
      </c>
      <c r="AY193" s="36">
        <f>AVERAGE(AX192:AY192)</f>
        <v>47650</v>
      </c>
      <c r="AZ193" s="36">
        <f>AVERAGE(AY192:AZ192)</f>
        <v>44255</v>
      </c>
      <c r="BB193" s="36">
        <f>AVERAGE(BA192:BB192)</f>
        <v>41677.5</v>
      </c>
      <c r="BC193" s="36">
        <f>AVERAGE(BB192:BC192)</f>
        <v>38415</v>
      </c>
      <c r="BD193" s="36">
        <f>AVERAGE(BC192:BD192)</f>
        <v>35160</v>
      </c>
      <c r="BE193" s="36">
        <f>AVERAGE(BD192:BE192)</f>
        <v>31917.5</v>
      </c>
      <c r="BG193" s="36">
        <f>AVERAGE(BF192:BG192)</f>
        <v>29040</v>
      </c>
      <c r="BH193" s="36">
        <f>AVERAGE(BG192:BH192)</f>
        <v>26500</v>
      </c>
      <c r="BI193" s="36">
        <f>AVERAGE(BH192:BI192)</f>
        <v>23917.5</v>
      </c>
      <c r="BJ193" s="36">
        <f>AVERAGE(BI192:BJ192)</f>
        <v>21287.5</v>
      </c>
      <c r="BL193" s="36">
        <f>AVERAGE(BK192:BL192)</f>
        <v>18607.5</v>
      </c>
      <c r="BM193" s="36">
        <f>AVERAGE(BL192:BM192)</f>
        <v>15880</v>
      </c>
      <c r="BN193" s="36">
        <f>AVERAGE(BM192:BN192)</f>
        <v>13105</v>
      </c>
      <c r="BO193" s="36">
        <f>AVERAGE(BN192:BO192)</f>
        <v>10280</v>
      </c>
      <c r="BQ193" s="36">
        <f>AVERAGE(BP192:BQ192)</f>
        <v>7405</v>
      </c>
      <c r="BR193" s="36">
        <f>AVERAGE(BQ192:BR192)</f>
        <v>4477.5</v>
      </c>
      <c r="BS193" s="36">
        <f>AVERAGE(BR192:BS192)</f>
        <v>1500</v>
      </c>
      <c r="BT193" s="36"/>
      <c r="BU193" s="36"/>
    </row>
    <row r="194" spans="1:73">
      <c r="N194" s="36"/>
      <c r="O194" s="36"/>
      <c r="P194" s="36"/>
      <c r="Q194" s="36"/>
      <c r="S194" s="36"/>
      <c r="AC194" s="25" t="s">
        <v>611</v>
      </c>
      <c r="BT194" s="36"/>
      <c r="BU194" s="36"/>
    </row>
    <row r="195" spans="1:73">
      <c r="A195" s="1" t="s">
        <v>610</v>
      </c>
      <c r="J195" s="36">
        <f>J190*J196/4</f>
        <v>42.5</v>
      </c>
      <c r="K195" s="36">
        <f t="shared" ref="K195:L195" si="471">K190*K196/4</f>
        <v>53.5</v>
      </c>
      <c r="L195" s="36">
        <f t="shared" si="471"/>
        <v>65.125</v>
      </c>
      <c r="M195" s="36">
        <f>SUM(I195:L195)</f>
        <v>161.125</v>
      </c>
      <c r="N195" s="36">
        <f t="shared" ref="N195" si="472">N190*N196/4</f>
        <v>68.625</v>
      </c>
      <c r="O195" s="36">
        <f t="shared" ref="O195" si="473">O190*O196/4</f>
        <v>71.875</v>
      </c>
      <c r="P195" s="36">
        <f t="shared" ref="P195" si="474">P190*P196/4</f>
        <v>99</v>
      </c>
      <c r="Q195" s="36">
        <f t="shared" ref="Q195" si="475">Q190*Q196/4</f>
        <v>129.75</v>
      </c>
      <c r="R195" s="36">
        <f>SUM(N195:Q195)</f>
        <v>369.25</v>
      </c>
      <c r="S195" s="36">
        <f t="shared" ref="S195" si="476">S190*S196/4</f>
        <v>140.5</v>
      </c>
      <c r="T195" s="36">
        <f t="shared" ref="T195" si="477">T190*T196/4</f>
        <v>156.625</v>
      </c>
      <c r="U195" s="36">
        <f t="shared" ref="U195" si="478">U190*U196/4</f>
        <v>170.125</v>
      </c>
      <c r="V195" s="36">
        <f t="shared" ref="V195" si="479">V190*V196/4</f>
        <v>178.5</v>
      </c>
      <c r="W195" s="36">
        <f>SUM(S195:V195)</f>
        <v>645.75</v>
      </c>
      <c r="X195" s="36">
        <f t="shared" ref="X195" si="480">X190*X196/4</f>
        <v>189.125</v>
      </c>
      <c r="Y195" s="36">
        <f t="shared" ref="Y195" si="481">Y190*Y196/4</f>
        <v>193.375</v>
      </c>
      <c r="Z195" s="36">
        <f t="shared" ref="Z195" si="482">Z190*Z196/4</f>
        <v>190.5</v>
      </c>
      <c r="AA195" s="36">
        <f t="shared" ref="AA195" si="483">AA190*AA196/4</f>
        <v>184.375</v>
      </c>
      <c r="AB195" s="36">
        <f>SUM(X195:AA195)</f>
        <v>757.375</v>
      </c>
      <c r="AC195" s="36">
        <f t="shared" ref="AC195" si="484">AC190*AC196/4</f>
        <v>175</v>
      </c>
      <c r="AD195" s="36">
        <f t="shared" ref="AD195" si="485">AD190*AD196/4</f>
        <v>160.5</v>
      </c>
      <c r="AE195" s="36">
        <f>AE190*AE196/4</f>
        <v>149.375</v>
      </c>
      <c r="AF195" s="36">
        <f>AF190*AF196/4</f>
        <v>147.5</v>
      </c>
      <c r="AG195" s="36">
        <f>SUM(AC195:AF195)</f>
        <v>632.375</v>
      </c>
      <c r="AH195" s="36">
        <f t="shared" ref="AH195:AI195" si="486">AH190*AH196/4</f>
        <v>142.25</v>
      </c>
      <c r="AI195" s="36">
        <f t="shared" si="486"/>
        <v>137.625</v>
      </c>
      <c r="AJ195" s="36">
        <f t="shared" ref="AJ195" si="487">AJ190*AJ196/4</f>
        <v>136.25</v>
      </c>
      <c r="AK195" s="36">
        <f>AK190*AK196/4</f>
        <v>135.125</v>
      </c>
      <c r="AL195" s="36">
        <f>SUM(AH195:AK195)</f>
        <v>551.25</v>
      </c>
      <c r="AM195" s="36">
        <f t="shared" ref="AM195:AN195" si="488">AM190*AM196/4</f>
        <v>134.25</v>
      </c>
      <c r="AN195" s="36">
        <f t="shared" si="488"/>
        <v>133.125</v>
      </c>
      <c r="AO195" s="36">
        <f t="shared" ref="AO195:AP195" si="489">AO190*AO196/4</f>
        <v>130.75</v>
      </c>
      <c r="AP195" s="36">
        <f t="shared" si="489"/>
        <v>126.875</v>
      </c>
      <c r="AQ195" s="36">
        <f>SUM(AM195:AP195)</f>
        <v>525</v>
      </c>
      <c r="AR195" s="36">
        <f t="shared" ref="AR195:AS195" si="490">AR190*AR196/4</f>
        <v>123.75</v>
      </c>
      <c r="AS195" s="36">
        <f t="shared" si="490"/>
        <v>117.25</v>
      </c>
      <c r="AT195" s="36">
        <f t="shared" ref="AT195:AU195" si="491">AT190*AT196/4</f>
        <v>110.875</v>
      </c>
      <c r="AU195" s="36">
        <f t="shared" si="491"/>
        <v>104.25</v>
      </c>
      <c r="AV195" s="36">
        <f>SUM(AR195:AU195)</f>
        <v>456.125</v>
      </c>
      <c r="AW195" s="36">
        <f t="shared" ref="AW195:AZ195" si="492">AW190*AW196/4</f>
        <v>97.375</v>
      </c>
      <c r="AX195" s="36">
        <f t="shared" si="492"/>
        <v>90.125</v>
      </c>
      <c r="AY195" s="36">
        <f t="shared" si="492"/>
        <v>83</v>
      </c>
      <c r="AZ195" s="36">
        <f t="shared" si="492"/>
        <v>82</v>
      </c>
      <c r="BA195" s="36">
        <f>SUM(AW195:AZ195)</f>
        <v>352.5</v>
      </c>
      <c r="BB195" s="36">
        <f t="shared" ref="BB195:BE195" si="493">BB190*BB196/4</f>
        <v>77.45</v>
      </c>
      <c r="BC195" s="36">
        <f t="shared" si="493"/>
        <v>68.393749999999997</v>
      </c>
      <c r="BD195" s="36">
        <f t="shared" si="493"/>
        <v>59.425000000000004</v>
      </c>
      <c r="BE195" s="36">
        <f t="shared" si="493"/>
        <v>50.556249999999999</v>
      </c>
      <c r="BF195" s="36">
        <f>SUM(BB195:BE195)</f>
        <v>255.82500000000002</v>
      </c>
      <c r="BG195" s="36">
        <f t="shared" ref="BG195:BJ195" si="494">BG190*BG196/4</f>
        <v>42.675000000000004</v>
      </c>
      <c r="BH195" s="36">
        <f t="shared" si="494"/>
        <v>35.700000000000003</v>
      </c>
      <c r="BI195" s="36">
        <f t="shared" si="494"/>
        <v>28.668749999999999</v>
      </c>
      <c r="BJ195" s="36">
        <f t="shared" si="494"/>
        <v>21.574999999999999</v>
      </c>
      <c r="BK195" s="36">
        <f>SUM(BG195:BJ195)</f>
        <v>128.61875000000001</v>
      </c>
      <c r="BL195" s="36">
        <f t="shared" ref="BL195:BO195" si="495">BL190*BL196/4</f>
        <v>14.418750000000001</v>
      </c>
      <c r="BM195" s="36">
        <f t="shared" si="495"/>
        <v>7.2</v>
      </c>
      <c r="BN195" s="36">
        <f t="shared" si="495"/>
        <v>-8.1250000000000003E-2</v>
      </c>
      <c r="BO195" s="36">
        <f t="shared" si="495"/>
        <v>-7.4249999999999998</v>
      </c>
      <c r="BP195" s="36">
        <f>SUM(BL195:BO195)</f>
        <v>14.112500000000001</v>
      </c>
      <c r="BQ195" s="36" t="e">
        <f t="shared" ref="BQ195:BS195" si="496">BQ190*BQ196/4</f>
        <v>#NUM!</v>
      </c>
      <c r="BR195" s="36" t="e">
        <f t="shared" si="496"/>
        <v>#NUM!</v>
      </c>
      <c r="BS195" s="36" t="e">
        <f t="shared" si="496"/>
        <v>#NUM!</v>
      </c>
      <c r="BT195" s="36"/>
      <c r="BU195" s="36"/>
    </row>
    <row r="196" spans="1:73">
      <c r="A196" s="1" t="s">
        <v>423</v>
      </c>
      <c r="J196" s="117">
        <v>0.01</v>
      </c>
      <c r="K196" s="117">
        <v>0.01</v>
      </c>
      <c r="L196" s="117">
        <v>0.01</v>
      </c>
      <c r="N196" s="117">
        <v>0.01</v>
      </c>
      <c r="O196" s="117">
        <v>0.01</v>
      </c>
      <c r="P196" s="117">
        <v>0.01</v>
      </c>
      <c r="Q196" s="117">
        <v>0.01</v>
      </c>
      <c r="S196" s="117">
        <v>0.01</v>
      </c>
      <c r="T196" s="117">
        <v>0.01</v>
      </c>
      <c r="U196" s="117">
        <v>0.01</v>
      </c>
      <c r="V196" s="117">
        <v>0.01</v>
      </c>
      <c r="X196" s="117">
        <v>0.01</v>
      </c>
      <c r="Y196" s="117">
        <v>0.01</v>
      </c>
      <c r="Z196" s="117">
        <v>0.01</v>
      </c>
      <c r="AA196" s="117">
        <v>0.01</v>
      </c>
      <c r="AC196" s="117">
        <v>0.01</v>
      </c>
      <c r="AD196" s="117">
        <v>0.01</v>
      </c>
      <c r="AE196" s="117">
        <v>0.01</v>
      </c>
      <c r="AF196" s="117">
        <v>0.01</v>
      </c>
      <c r="AH196" s="117">
        <v>0.01</v>
      </c>
      <c r="AI196" s="117">
        <v>0.01</v>
      </c>
      <c r="AJ196" s="117">
        <v>0.01</v>
      </c>
      <c r="AK196" s="117">
        <v>0.01</v>
      </c>
      <c r="AM196" s="117">
        <v>0.01</v>
      </c>
      <c r="AN196" s="117">
        <v>0.01</v>
      </c>
      <c r="AO196" s="117">
        <v>0.01</v>
      </c>
      <c r="AP196" s="117">
        <v>0.01</v>
      </c>
      <c r="AR196" s="117">
        <v>0.01</v>
      </c>
      <c r="AS196" s="117">
        <v>0.01</v>
      </c>
      <c r="AT196" s="117">
        <v>0.01</v>
      </c>
      <c r="AU196" s="117">
        <v>0.01</v>
      </c>
      <c r="AW196" s="117">
        <v>0.01</v>
      </c>
      <c r="AX196" s="117">
        <v>0.01</v>
      </c>
      <c r="AY196" s="117">
        <v>0.01</v>
      </c>
      <c r="AZ196" s="117">
        <v>0.01</v>
      </c>
      <c r="BB196" s="117">
        <v>0.01</v>
      </c>
      <c r="BC196" s="117">
        <v>0.01</v>
      </c>
      <c r="BD196" s="117">
        <v>0.01</v>
      </c>
      <c r="BE196" s="117">
        <v>0.01</v>
      </c>
      <c r="BG196" s="117">
        <v>0.01</v>
      </c>
      <c r="BH196" s="117">
        <v>0.01</v>
      </c>
      <c r="BI196" s="117">
        <v>0.01</v>
      </c>
      <c r="BJ196" s="117">
        <v>0.01</v>
      </c>
      <c r="BL196" s="117">
        <v>0.01</v>
      </c>
      <c r="BM196" s="117">
        <v>0.01</v>
      </c>
      <c r="BN196" s="117">
        <v>0.01</v>
      </c>
      <c r="BO196" s="117">
        <v>0.01</v>
      </c>
      <c r="BQ196" s="117">
        <v>0.01</v>
      </c>
      <c r="BR196" s="117">
        <v>0.01</v>
      </c>
      <c r="BS196" s="117">
        <v>0.01</v>
      </c>
      <c r="BT196" s="36"/>
      <c r="BU196" s="36"/>
    </row>
    <row r="198" spans="1:73">
      <c r="A198" s="1" t="s">
        <v>428</v>
      </c>
      <c r="J198" s="56">
        <f>M198/3</f>
        <v>159.625</v>
      </c>
      <c r="K198" s="56">
        <f>M198/3</f>
        <v>159.625</v>
      </c>
      <c r="L198" s="56">
        <f>M198/3</f>
        <v>159.625</v>
      </c>
      <c r="M198" s="107">
        <f>M180-M195</f>
        <v>478.875</v>
      </c>
      <c r="N198" s="36">
        <f>N167-N195</f>
        <v>221.375</v>
      </c>
      <c r="O198" s="36">
        <f>O167-O195</f>
        <v>438.125</v>
      </c>
      <c r="P198" s="36">
        <f>P167-P195</f>
        <v>621</v>
      </c>
      <c r="Q198" s="36">
        <f>Q167-Q195</f>
        <v>470.25</v>
      </c>
      <c r="R198" s="36">
        <f>SUM(N198:Q198)</f>
        <v>1750.75</v>
      </c>
      <c r="S198" s="36">
        <f>S167-S195</f>
        <v>539.5</v>
      </c>
      <c r="T198" s="36">
        <f>T167-T195</f>
        <v>-1836.625</v>
      </c>
      <c r="U198" s="36">
        <f>U167-U195</f>
        <v>-1160.125</v>
      </c>
      <c r="V198" s="36">
        <f>V167-V195</f>
        <v>-548.5</v>
      </c>
      <c r="W198" s="36">
        <f>SUM(S198:V198)</f>
        <v>-3005.75</v>
      </c>
      <c r="X198" s="36">
        <f>X167-X195</f>
        <v>-129.125</v>
      </c>
      <c r="Y198" s="36">
        <f>Y167-Y195</f>
        <v>-123.375</v>
      </c>
      <c r="Z198" s="36">
        <f>Z167-Z195</f>
        <v>2719.5</v>
      </c>
      <c r="AA198" s="36">
        <f>AA167-AA195</f>
        <v>6605.625</v>
      </c>
      <c r="AB198" s="36">
        <f>SUM(X198:AA198)</f>
        <v>9072.625</v>
      </c>
      <c r="AC198" s="36">
        <f>AC167-AC195</f>
        <v>355</v>
      </c>
      <c r="AD198" s="36">
        <f>AD167-AD195</f>
        <v>-1970.5</v>
      </c>
      <c r="AE198" s="36">
        <f>AE167-AE195</f>
        <v>-149.375</v>
      </c>
      <c r="AF198" s="36">
        <f>AF167-AF195</f>
        <v>-5647.5</v>
      </c>
      <c r="AG198" s="36">
        <f>SUM(AC198:AF198)</f>
        <v>-7412.375</v>
      </c>
      <c r="AH198" s="36">
        <f>AH167-AH195</f>
        <v>-2642.25</v>
      </c>
      <c r="AI198" s="36">
        <f>AI167-AI195</f>
        <v>-137.625</v>
      </c>
      <c r="AJ198" s="36">
        <f>AJ167-AJ195</f>
        <v>-36.25</v>
      </c>
      <c r="AK198" s="36">
        <f>AK167-AK195</f>
        <v>-135.125</v>
      </c>
      <c r="AL198" s="36">
        <f>SUM(AH198:AK198)</f>
        <v>-2951.25</v>
      </c>
      <c r="AM198" s="36">
        <f>AM167-AM195</f>
        <v>-34.25</v>
      </c>
      <c r="AN198" s="36">
        <f>AN167-AN195</f>
        <v>-133.125</v>
      </c>
      <c r="AO198" s="36">
        <f>AO167-AO195</f>
        <v>-130.75</v>
      </c>
      <c r="AP198" s="36">
        <f>AP167-AP195</f>
        <v>-26.875</v>
      </c>
      <c r="AQ198" s="36">
        <f>SUM(AM198:AP198)</f>
        <v>-325</v>
      </c>
      <c r="AR198" s="36">
        <f>AR167-AR195</f>
        <v>-123.75</v>
      </c>
      <c r="AS198" s="36">
        <f>AS167-AS195</f>
        <v>-117.25</v>
      </c>
      <c r="AT198" s="36">
        <f>AT167-AT195</f>
        <v>-10.875</v>
      </c>
      <c r="AU198" s="36">
        <f>AU167-AU195</f>
        <v>-104.25</v>
      </c>
      <c r="AV198" s="36">
        <f>SUM(AR198:AU198)</f>
        <v>-356.125</v>
      </c>
      <c r="AW198" s="36">
        <f>AW167-AW195</f>
        <v>-97.375</v>
      </c>
      <c r="AX198" s="36">
        <f>AX167-AX195</f>
        <v>-90.125</v>
      </c>
      <c r="AY198" s="36">
        <f>AY167-AY195</f>
        <v>-83</v>
      </c>
      <c r="AZ198" s="36">
        <f>AZ167-AZ195</f>
        <v>-57</v>
      </c>
      <c r="BA198" s="36">
        <f>SUM(AW198:AZ198)</f>
        <v>-327.5</v>
      </c>
      <c r="BB198" s="36">
        <f>BB167-BB195</f>
        <v>-52.45</v>
      </c>
      <c r="BC198" s="36">
        <f>BC167-BC195</f>
        <v>-43.393749999999997</v>
      </c>
      <c r="BD198" s="36">
        <f>BD167-BD195</f>
        <v>-39.425000000000004</v>
      </c>
      <c r="BE198" s="36">
        <f>BE167-BE195</f>
        <v>24.443750000000001</v>
      </c>
      <c r="BF198" s="36">
        <f>SUM(BB198:BE198)</f>
        <v>-110.82500000000002</v>
      </c>
      <c r="BG198" s="36">
        <f>BG167-BG195</f>
        <v>22.324999999999996</v>
      </c>
      <c r="BH198" s="36">
        <f>BH167-BH195</f>
        <v>19.299999999999997</v>
      </c>
      <c r="BI198" s="36">
        <f>BI167-BI195</f>
        <v>16.331250000000001</v>
      </c>
      <c r="BJ198" s="36">
        <f>BJ167-BJ195</f>
        <v>8.4250000000000007</v>
      </c>
      <c r="BK198" s="36">
        <f>SUM(BG198:BJ198)</f>
        <v>66.381249999999994</v>
      </c>
      <c r="BL198" s="36">
        <f>BL167-BL195</f>
        <v>5.5812499999999989</v>
      </c>
      <c r="BM198" s="36">
        <f>BM167-BM195</f>
        <v>2.8</v>
      </c>
      <c r="BN198" s="36" t="e">
        <f>BN167-BN195</f>
        <v>#NUM!</v>
      </c>
      <c r="BO198" s="36" t="e">
        <f>BO167-BO195</f>
        <v>#NUM!</v>
      </c>
      <c r="BP198" s="36" t="e">
        <f>SUM(BL198:BO198)</f>
        <v>#NUM!</v>
      </c>
      <c r="BQ198" s="36" t="e">
        <f>BQ167-BQ195</f>
        <v>#NUM!</v>
      </c>
      <c r="BR198" s="36" t="e">
        <f>BR167-BR195</f>
        <v>#NUM!</v>
      </c>
      <c r="BS198" s="36" t="e">
        <f>BS167-BS195</f>
        <v>#NUM!</v>
      </c>
    </row>
    <row r="199" spans="1:73">
      <c r="M199" s="98" t="s">
        <v>435</v>
      </c>
      <c r="N199" s="71"/>
      <c r="O199" s="71"/>
      <c r="P199" s="71"/>
      <c r="Q199" s="71"/>
      <c r="R199" s="71"/>
      <c r="S199" s="71"/>
      <c r="T199" s="71"/>
    </row>
    <row r="200" spans="1:73">
      <c r="A200" s="1" t="s">
        <v>438</v>
      </c>
      <c r="I200" s="36"/>
      <c r="J200" s="56">
        <f>MROUND(J195, 5)</f>
        <v>45</v>
      </c>
      <c r="K200" s="36">
        <f>MROUND(J200+K195, 5)</f>
        <v>100</v>
      </c>
      <c r="L200" s="36">
        <f>MROUND(K200+L195, 5)</f>
        <v>165</v>
      </c>
      <c r="M200" s="36">
        <f>L200</f>
        <v>165</v>
      </c>
      <c r="N200" s="36">
        <f t="shared" ref="N200:Q200" si="497">MROUND(M200+N195, 5)</f>
        <v>235</v>
      </c>
      <c r="O200" s="36">
        <f t="shared" si="497"/>
        <v>305</v>
      </c>
      <c r="P200" s="36">
        <f t="shared" si="497"/>
        <v>405</v>
      </c>
      <c r="Q200" s="36">
        <f t="shared" si="497"/>
        <v>535</v>
      </c>
      <c r="R200" s="36">
        <f>Q200</f>
        <v>535</v>
      </c>
      <c r="S200" s="36">
        <f t="shared" ref="S200:AC200" si="498">MROUND(R200+S195, 5)</f>
        <v>675</v>
      </c>
      <c r="T200" s="36">
        <f t="shared" si="498"/>
        <v>830</v>
      </c>
      <c r="U200" s="36">
        <f t="shared" si="498"/>
        <v>1000</v>
      </c>
      <c r="V200" s="36">
        <f t="shared" si="498"/>
        <v>1180</v>
      </c>
      <c r="W200" s="36">
        <f>V200</f>
        <v>1180</v>
      </c>
      <c r="X200" s="36">
        <f t="shared" si="498"/>
        <v>1370</v>
      </c>
      <c r="Y200" s="36">
        <f t="shared" si="498"/>
        <v>1565</v>
      </c>
      <c r="Z200" s="36">
        <f t="shared" si="498"/>
        <v>1755</v>
      </c>
      <c r="AA200" s="36">
        <f t="shared" si="498"/>
        <v>1940</v>
      </c>
      <c r="AB200" s="36">
        <f>AA200</f>
        <v>1940</v>
      </c>
      <c r="AC200" s="36">
        <f t="shared" si="498"/>
        <v>2115</v>
      </c>
      <c r="AD200" s="36">
        <f t="shared" ref="AD200:AE200" si="499">MROUND(AC200+AD195, 5)</f>
        <v>2275</v>
      </c>
      <c r="AE200" s="36">
        <f t="shared" si="499"/>
        <v>2425</v>
      </c>
      <c r="AF200" s="36">
        <f t="shared" ref="AF200" si="500">MROUND(AE200+AF195, 5)</f>
        <v>2575</v>
      </c>
      <c r="AG200" s="36">
        <f>AF200</f>
        <v>2575</v>
      </c>
      <c r="AH200" s="36">
        <f t="shared" ref="AH200:AO200" si="501">MROUND(AG200+AH195, 5)</f>
        <v>2715</v>
      </c>
      <c r="AI200" s="36">
        <f t="shared" si="501"/>
        <v>2855</v>
      </c>
      <c r="AJ200" s="36">
        <f t="shared" si="501"/>
        <v>2990</v>
      </c>
      <c r="AK200" s="36">
        <f t="shared" si="501"/>
        <v>3125</v>
      </c>
      <c r="AL200" s="36">
        <f>AK200</f>
        <v>3125</v>
      </c>
      <c r="AM200" s="36">
        <f t="shared" si="501"/>
        <v>3260</v>
      </c>
      <c r="AN200" s="36">
        <f t="shared" si="501"/>
        <v>3395</v>
      </c>
      <c r="AO200" s="36">
        <f t="shared" si="501"/>
        <v>3525</v>
      </c>
      <c r="AP200" s="36">
        <f t="shared" ref="AP200" si="502">MROUND(AO200+AP195, 5)</f>
        <v>3650</v>
      </c>
      <c r="AQ200" s="36">
        <f>AP200</f>
        <v>3650</v>
      </c>
      <c r="AR200" s="36">
        <f>MROUND(AQ200+AR195, 5)</f>
        <v>3775</v>
      </c>
      <c r="AS200" s="36">
        <f>MROUND(AR200+AS195, 5)</f>
        <v>3890</v>
      </c>
      <c r="AT200" s="36">
        <f>MROUND(AS200+AT195, 5)</f>
        <v>4000</v>
      </c>
      <c r="AU200" s="36">
        <f t="shared" ref="AU200" si="503">MROUND(AT200+AU195, 5)</f>
        <v>4105</v>
      </c>
      <c r="AV200" s="36">
        <f>AU200</f>
        <v>4105</v>
      </c>
      <c r="AW200" s="36">
        <f>MROUND(AV200+AW195, 5)</f>
        <v>4200</v>
      </c>
      <c r="AX200" s="36">
        <f>MROUND(AW200+AX195, 5)</f>
        <v>4290</v>
      </c>
      <c r="AY200" s="36">
        <f>MROUND(AX200+AY195, 5)</f>
        <v>4375</v>
      </c>
      <c r="AZ200" s="36">
        <f>MROUND(AY200+AZ195, 5)</f>
        <v>4455</v>
      </c>
      <c r="BA200" s="36">
        <f>AZ200</f>
        <v>4455</v>
      </c>
      <c r="BB200" s="36">
        <f>MROUND(BA200+BB195, 5)</f>
        <v>4530</v>
      </c>
      <c r="BC200" s="36">
        <f>MROUND(BB200+BC195, 5)</f>
        <v>4600</v>
      </c>
      <c r="BD200" s="36">
        <f>MROUND(BC200+BD195, 5)</f>
        <v>4660</v>
      </c>
      <c r="BE200" s="36">
        <f>MROUND(BD200+BE195, 5)</f>
        <v>4710</v>
      </c>
      <c r="BF200" s="36">
        <f>BE200</f>
        <v>4710</v>
      </c>
      <c r="BG200" s="36">
        <f>MROUND(BF200+BG195, 5)</f>
        <v>4755</v>
      </c>
      <c r="BH200" s="36">
        <f>MROUND(BG200+BH195, 5)</f>
        <v>4790</v>
      </c>
      <c r="BI200" s="36">
        <f>MROUND(BH200+BI195, 5)</f>
        <v>4820</v>
      </c>
      <c r="BJ200" s="36">
        <f>MROUND(BI200+BJ195, 5)</f>
        <v>4840</v>
      </c>
      <c r="BK200" s="36">
        <f>BJ200</f>
        <v>4840</v>
      </c>
      <c r="BL200" s="36">
        <f>MROUND(BK200+BL195, 5)</f>
        <v>4855</v>
      </c>
      <c r="BM200" s="36">
        <f>MROUND(BL200+BM195, 5)</f>
        <v>4860</v>
      </c>
      <c r="BN200" s="36">
        <f>MROUND(BM200+BN195, 5)</f>
        <v>4860</v>
      </c>
      <c r="BO200" s="36">
        <f>MROUND(BN200+BO195, 5)</f>
        <v>4855</v>
      </c>
      <c r="BP200" s="36">
        <f>BO200</f>
        <v>4855</v>
      </c>
      <c r="BQ200" s="36" t="e">
        <f>MROUND(BP200+BQ195, 5)</f>
        <v>#NUM!</v>
      </c>
      <c r="BR200" s="36" t="e">
        <f>MROUND(BQ200+BR195, 5)</f>
        <v>#NUM!</v>
      </c>
      <c r="BS200" s="36" t="e">
        <f>MROUND(BR200+BS195, 5)</f>
        <v>#NUM!</v>
      </c>
    </row>
    <row r="201" spans="1:73">
      <c r="A201" s="1" t="s">
        <v>437</v>
      </c>
      <c r="I201" s="36"/>
      <c r="J201" s="56">
        <f>MROUND(J198, 5)</f>
        <v>160</v>
      </c>
      <c r="K201" s="36">
        <f>MROUND(J201+K198, 5)</f>
        <v>320</v>
      </c>
      <c r="L201" s="36">
        <f>MROUND(K201+L198, 5)</f>
        <v>480</v>
      </c>
      <c r="M201" s="36">
        <f>L201</f>
        <v>480</v>
      </c>
      <c r="N201" s="36">
        <f t="shared" ref="N201:Q201" si="504">MROUND(M201+N198, 5)</f>
        <v>700</v>
      </c>
      <c r="O201" s="36">
        <f t="shared" si="504"/>
        <v>1140</v>
      </c>
      <c r="P201" s="36">
        <f t="shared" si="504"/>
        <v>1760</v>
      </c>
      <c r="Q201" s="36">
        <f t="shared" si="504"/>
        <v>2230</v>
      </c>
      <c r="R201" s="36">
        <f>Q201</f>
        <v>2230</v>
      </c>
      <c r="S201" s="36">
        <f t="shared" ref="S201:T201" si="505">MROUND(R201+S198, 5)</f>
        <v>2770</v>
      </c>
      <c r="T201" s="36">
        <f t="shared" si="505"/>
        <v>935</v>
      </c>
      <c r="U201" s="60">
        <f>-MROUND(-(T201+U198), 5)</f>
        <v>-225</v>
      </c>
      <c r="V201" s="60">
        <f>-MROUND(-(U201+V198), 5)</f>
        <v>-775</v>
      </c>
      <c r="W201" s="60">
        <f>V201</f>
        <v>-775</v>
      </c>
      <c r="X201" s="60">
        <f t="shared" ref="X201:Y201" si="506">-MROUND(-(W201+X198), 5)</f>
        <v>-905</v>
      </c>
      <c r="Y201" s="60">
        <f t="shared" si="506"/>
        <v>-1030</v>
      </c>
      <c r="Z201" s="59">
        <f t="shared" ref="Z201:AC201" si="507">MROUND(Y201+Z198, 5)</f>
        <v>1690</v>
      </c>
      <c r="AA201" s="59">
        <f t="shared" si="507"/>
        <v>8295</v>
      </c>
      <c r="AB201" s="36">
        <f>AA201</f>
        <v>8295</v>
      </c>
      <c r="AC201" s="59">
        <f t="shared" si="507"/>
        <v>8650</v>
      </c>
      <c r="AD201" s="59">
        <f t="shared" ref="AD201:AE201" si="508">MROUND(AC201+AD198, 5)</f>
        <v>6680</v>
      </c>
      <c r="AE201" s="59">
        <f t="shared" si="508"/>
        <v>6530</v>
      </c>
      <c r="AF201" s="59">
        <f t="shared" ref="AF201" si="509">MROUND(AE201+AF198, 5)</f>
        <v>885</v>
      </c>
      <c r="AG201" s="36">
        <f>AF201</f>
        <v>885</v>
      </c>
      <c r="AH201" s="60">
        <f>-MROUND(-(AG201+AH198), 5)</f>
        <v>-1755</v>
      </c>
      <c r="AI201" s="60">
        <f>-MROUND(-(AH201+AI198), 5)</f>
        <v>-1895</v>
      </c>
      <c r="AJ201" s="60">
        <f>-MROUND(-(AI201+AJ198), 5)</f>
        <v>-1930</v>
      </c>
      <c r="AK201" s="60">
        <f>-MROUND(-(AJ201+AK198), 5)</f>
        <v>-2065</v>
      </c>
      <c r="AL201" s="36">
        <f>AK201</f>
        <v>-2065</v>
      </c>
      <c r="AM201" s="60">
        <f>-MROUND(-(AL201+AM198), 5)</f>
        <v>-2100</v>
      </c>
      <c r="AN201" s="60">
        <f>-MROUND(-(AM201+AN198), 5)</f>
        <v>-2235</v>
      </c>
      <c r="AO201" s="60">
        <f>-MROUND(-(AN201+AO198), 5)</f>
        <v>-2365</v>
      </c>
      <c r="AP201" s="60">
        <f>-MROUND(-(AO201+AP198), 5)</f>
        <v>-2390</v>
      </c>
      <c r="AQ201" s="36">
        <f>AP201</f>
        <v>-2390</v>
      </c>
      <c r="AR201" s="60">
        <f>-MROUND(-(AQ201+AR198), 5)</f>
        <v>-2515</v>
      </c>
      <c r="AS201" s="60">
        <f>-MROUND(-(AR201+AS198), 5)</f>
        <v>-2630</v>
      </c>
      <c r="AT201" s="60">
        <f>-MROUND(-(AS201+AT198), 5)</f>
        <v>-2640</v>
      </c>
      <c r="AU201" s="60">
        <f>-MROUND(-(AT201+AU198), 5)</f>
        <v>-2745</v>
      </c>
      <c r="AV201" s="36">
        <f>AU201</f>
        <v>-2745</v>
      </c>
      <c r="AW201" s="60">
        <f>-MROUND(-(AV201+AW198), 5)</f>
        <v>-2840</v>
      </c>
      <c r="AX201" s="60">
        <f>-MROUND(-(AW201+AX198), 5)</f>
        <v>-2930</v>
      </c>
      <c r="AY201" s="60">
        <f>-MROUND(-(AX201+AY198), 5)</f>
        <v>-3015</v>
      </c>
      <c r="AZ201" s="60">
        <f>-MROUND(-(AY201+AZ198), 5)</f>
        <v>-3070</v>
      </c>
      <c r="BA201" s="36">
        <f>AZ201</f>
        <v>-3070</v>
      </c>
      <c r="BB201" s="60">
        <f>-MROUND(-(BA201+BB198), 5)</f>
        <v>-3120</v>
      </c>
      <c r="BC201" s="60">
        <f>-MROUND(-(BB201+BC198), 5)</f>
        <v>-3165</v>
      </c>
      <c r="BD201" s="60">
        <f>-MROUND(-(BC201+BD198), 5)</f>
        <v>-3205</v>
      </c>
      <c r="BE201" s="60">
        <f>-MROUND(-(BD201+BE198), 5)</f>
        <v>-3180</v>
      </c>
      <c r="BF201" s="36">
        <f>BE201</f>
        <v>-3180</v>
      </c>
      <c r="BG201" s="60">
        <f>-MROUND(-(BF201+BG198), 5)</f>
        <v>-3160</v>
      </c>
      <c r="BH201" s="60">
        <f>-MROUND(-(BG201+BH198), 5)</f>
        <v>-3140</v>
      </c>
      <c r="BI201" s="60">
        <f>-MROUND(-(BH201+BI198), 5)</f>
        <v>-3125</v>
      </c>
      <c r="BJ201" s="60">
        <f>-MROUND(-(BI201+BJ198), 5)</f>
        <v>-3115</v>
      </c>
      <c r="BK201" s="36">
        <f>BJ201</f>
        <v>-3115</v>
      </c>
      <c r="BL201" s="60">
        <f>-MROUND(-(BK201+BL198), 5)</f>
        <v>-3110</v>
      </c>
      <c r="BM201" s="60">
        <f>-MROUND(-(BL201+BM198), 5)</f>
        <v>-3105</v>
      </c>
      <c r="BN201" s="60" t="e">
        <f>-MROUND(-(BM201+BN198), 5)</f>
        <v>#NUM!</v>
      </c>
      <c r="BO201" s="60" t="e">
        <f>-MROUND(-(BN201+BO198), 5)</f>
        <v>#NUM!</v>
      </c>
      <c r="BP201" s="36" t="e">
        <f>BO201</f>
        <v>#NUM!</v>
      </c>
      <c r="BQ201" s="60" t="e">
        <f>-MROUND(-(BP201+BQ198), 5)</f>
        <v>#NUM!</v>
      </c>
      <c r="BR201" s="60" t="e">
        <f>-MROUND(-(BQ201+BR198), 5)</f>
        <v>#NUM!</v>
      </c>
      <c r="BS201" s="60" t="e">
        <f>-MROUND(-(BR201+BS198), 5)</f>
        <v>#NUM!</v>
      </c>
    </row>
    <row r="202" spans="1:73">
      <c r="A202" s="9" t="s">
        <v>549</v>
      </c>
      <c r="B202" s="9"/>
      <c r="C202" s="9"/>
      <c r="D202" s="9"/>
      <c r="E202" s="9"/>
      <c r="F202" s="9"/>
      <c r="G202" s="9"/>
      <c r="H202" s="9"/>
      <c r="I202" s="39"/>
      <c r="J202" s="81">
        <f>SUM(J200:J201)</f>
        <v>205</v>
      </c>
      <c r="K202" s="81">
        <f>SUM(K200:K201)</f>
        <v>420</v>
      </c>
      <c r="L202" s="81">
        <f>SUM(L200:L201)</f>
        <v>645</v>
      </c>
      <c r="M202" s="81">
        <f>SUM(M200:M201)</f>
        <v>645</v>
      </c>
      <c r="N202" s="81">
        <f t="shared" ref="N202:AG202" si="510">SUM(N200:N201)</f>
        <v>935</v>
      </c>
      <c r="O202" s="81">
        <f t="shared" si="510"/>
        <v>1445</v>
      </c>
      <c r="P202" s="81">
        <f t="shared" si="510"/>
        <v>2165</v>
      </c>
      <c r="Q202" s="81">
        <f t="shared" si="510"/>
        <v>2765</v>
      </c>
      <c r="R202" s="81">
        <f t="shared" si="510"/>
        <v>2765</v>
      </c>
      <c r="S202" s="81">
        <f t="shared" si="510"/>
        <v>3445</v>
      </c>
      <c r="T202" s="81">
        <f t="shared" si="510"/>
        <v>1765</v>
      </c>
      <c r="U202" s="81">
        <f t="shared" si="510"/>
        <v>775</v>
      </c>
      <c r="V202" s="81">
        <f t="shared" si="510"/>
        <v>405</v>
      </c>
      <c r="W202" s="81">
        <f t="shared" si="510"/>
        <v>405</v>
      </c>
      <c r="X202" s="81">
        <f t="shared" si="510"/>
        <v>465</v>
      </c>
      <c r="Y202" s="81">
        <f t="shared" si="510"/>
        <v>535</v>
      </c>
      <c r="Z202" s="81">
        <f t="shared" si="510"/>
        <v>3445</v>
      </c>
      <c r="AA202" s="81">
        <f t="shared" si="510"/>
        <v>10235</v>
      </c>
      <c r="AB202" s="81">
        <f t="shared" si="510"/>
        <v>10235</v>
      </c>
      <c r="AC202" s="81">
        <f t="shared" si="510"/>
        <v>10765</v>
      </c>
      <c r="AD202" s="81">
        <f t="shared" si="510"/>
        <v>8955</v>
      </c>
      <c r="AE202" s="81">
        <f t="shared" si="510"/>
        <v>8955</v>
      </c>
      <c r="AF202" s="81">
        <f t="shared" si="510"/>
        <v>3460</v>
      </c>
      <c r="AG202" s="81">
        <f t="shared" si="510"/>
        <v>3460</v>
      </c>
      <c r="AH202" s="81">
        <f t="shared" ref="AH202:AI202" si="511">SUM(AH200:AH201)</f>
        <v>960</v>
      </c>
      <c r="AI202" s="81">
        <f t="shared" si="511"/>
        <v>960</v>
      </c>
      <c r="AJ202" s="81">
        <f t="shared" ref="AJ202:AN202" si="512">SUM(AJ200:AJ201)</f>
        <v>1060</v>
      </c>
      <c r="AK202" s="81">
        <f t="shared" si="512"/>
        <v>1060</v>
      </c>
      <c r="AL202" s="81">
        <f t="shared" si="512"/>
        <v>1060</v>
      </c>
      <c r="AM202" s="81">
        <f t="shared" si="512"/>
        <v>1160</v>
      </c>
      <c r="AN202" s="81">
        <f t="shared" si="512"/>
        <v>1160</v>
      </c>
      <c r="AO202" s="81">
        <f t="shared" ref="AO202:AQ202" si="513">SUM(AO200:AO201)</f>
        <v>1160</v>
      </c>
      <c r="AP202" s="81">
        <f t="shared" si="513"/>
        <v>1260</v>
      </c>
      <c r="AQ202" s="81">
        <f t="shared" si="513"/>
        <v>1260</v>
      </c>
      <c r="AR202" s="81">
        <f t="shared" ref="AR202:AS202" si="514">SUM(AR200:AR201)</f>
        <v>1260</v>
      </c>
      <c r="AS202" s="81">
        <f t="shared" si="514"/>
        <v>1260</v>
      </c>
      <c r="AT202" s="81">
        <f t="shared" ref="AT202:AX202" si="515">SUM(AT200:AT201)</f>
        <v>1360</v>
      </c>
      <c r="AU202" s="81">
        <f t="shared" si="515"/>
        <v>1360</v>
      </c>
      <c r="AV202" s="81">
        <f t="shared" si="515"/>
        <v>1360</v>
      </c>
      <c r="AW202" s="81">
        <f t="shared" si="515"/>
        <v>1360</v>
      </c>
      <c r="AX202" s="81">
        <f t="shared" si="515"/>
        <v>1360</v>
      </c>
      <c r="AY202" s="81">
        <f t="shared" ref="AY202" si="516">SUM(AY200:AY201)</f>
        <v>1360</v>
      </c>
      <c r="AZ202" s="81">
        <f t="shared" ref="AZ202:BS202" si="517">SUM(AZ200:AZ201)</f>
        <v>1385</v>
      </c>
      <c r="BA202" s="81">
        <f t="shared" si="517"/>
        <v>1385</v>
      </c>
      <c r="BB202" s="81">
        <f t="shared" si="517"/>
        <v>1410</v>
      </c>
      <c r="BC202" s="81">
        <f t="shared" si="517"/>
        <v>1435</v>
      </c>
      <c r="BD202" s="81">
        <f t="shared" si="517"/>
        <v>1455</v>
      </c>
      <c r="BE202" s="81">
        <f t="shared" si="517"/>
        <v>1530</v>
      </c>
      <c r="BF202" s="81">
        <f t="shared" si="517"/>
        <v>1530</v>
      </c>
      <c r="BG202" s="81">
        <f t="shared" si="517"/>
        <v>1595</v>
      </c>
      <c r="BH202" s="81">
        <f t="shared" si="517"/>
        <v>1650</v>
      </c>
      <c r="BI202" s="81">
        <f t="shared" si="517"/>
        <v>1695</v>
      </c>
      <c r="BJ202" s="81">
        <f t="shared" si="517"/>
        <v>1725</v>
      </c>
      <c r="BK202" s="81">
        <f t="shared" si="517"/>
        <v>1725</v>
      </c>
      <c r="BL202" s="81">
        <f t="shared" si="517"/>
        <v>1745</v>
      </c>
      <c r="BM202" s="81">
        <f t="shared" si="517"/>
        <v>1755</v>
      </c>
      <c r="BN202" s="81" t="e">
        <f t="shared" si="517"/>
        <v>#NUM!</v>
      </c>
      <c r="BO202" s="81" t="e">
        <f t="shared" si="517"/>
        <v>#NUM!</v>
      </c>
      <c r="BP202" s="81" t="e">
        <f t="shared" si="517"/>
        <v>#NUM!</v>
      </c>
      <c r="BQ202" s="81" t="e">
        <f t="shared" si="517"/>
        <v>#NUM!</v>
      </c>
      <c r="BR202" s="81" t="e">
        <f t="shared" si="517"/>
        <v>#NUM!</v>
      </c>
      <c r="BS202" s="81" t="e">
        <f t="shared" si="517"/>
        <v>#NUM!</v>
      </c>
    </row>
    <row r="203" spans="1:73">
      <c r="U203" s="66" t="s">
        <v>439</v>
      </c>
      <c r="V203" s="46"/>
      <c r="W203" s="46"/>
      <c r="X203" s="46"/>
      <c r="Y203" s="46"/>
    </row>
    <row r="204" spans="1:73" s="79" customFormat="1">
      <c r="A204" s="165" t="s">
        <v>276</v>
      </c>
      <c r="U204" s="82"/>
      <c r="AA204" s="59">
        <f t="shared" ref="AA204:AK204" si="518">AA205-AA202</f>
        <v>-635</v>
      </c>
      <c r="AB204" s="59">
        <f t="shared" si="518"/>
        <v>-635</v>
      </c>
      <c r="AC204" s="59">
        <f t="shared" si="518"/>
        <v>-665</v>
      </c>
      <c r="AD204" s="59">
        <f t="shared" si="518"/>
        <v>-755</v>
      </c>
      <c r="AE204" s="59">
        <f t="shared" si="518"/>
        <v>-855</v>
      </c>
      <c r="AF204" s="59">
        <f t="shared" si="518"/>
        <v>-860</v>
      </c>
      <c r="AG204" s="59">
        <f t="shared" si="518"/>
        <v>-860</v>
      </c>
      <c r="AH204" s="59">
        <f t="shared" si="518"/>
        <v>-960</v>
      </c>
      <c r="AI204" s="59">
        <f t="shared" si="518"/>
        <v>-960</v>
      </c>
      <c r="AJ204" s="59">
        <f t="shared" ref="AJ204" si="519">AJ205-AJ202</f>
        <v>-1060</v>
      </c>
      <c r="AK204" s="59">
        <f t="shared" si="518"/>
        <v>-1060</v>
      </c>
      <c r="AL204" s="59">
        <f t="shared" ref="AL204:AN204" si="520">AL205-AL202</f>
        <v>-1060</v>
      </c>
      <c r="AM204" s="59">
        <f t="shared" si="520"/>
        <v>-1160</v>
      </c>
      <c r="AN204" s="59">
        <f t="shared" si="520"/>
        <v>-1160</v>
      </c>
      <c r="AO204" s="59">
        <f t="shared" ref="AO204:AQ204" si="521">AO205-AO202</f>
        <v>-1160</v>
      </c>
      <c r="AP204" s="59">
        <f t="shared" si="521"/>
        <v>-1260</v>
      </c>
      <c r="AQ204" s="59">
        <f t="shared" si="521"/>
        <v>-1260</v>
      </c>
      <c r="AR204" s="59">
        <f t="shared" ref="AR204:AS204" si="522">AR205-AR202</f>
        <v>-1260</v>
      </c>
      <c r="AS204" s="59">
        <f t="shared" si="522"/>
        <v>-1260</v>
      </c>
      <c r="AT204" s="59">
        <f t="shared" ref="AT204:AX204" si="523">AT205-AT202</f>
        <v>-1360</v>
      </c>
      <c r="AU204" s="59">
        <f t="shared" si="523"/>
        <v>-1360</v>
      </c>
      <c r="AV204" s="59">
        <f t="shared" si="523"/>
        <v>-1360</v>
      </c>
      <c r="AW204" s="59">
        <f t="shared" si="523"/>
        <v>-1360</v>
      </c>
      <c r="AX204" s="59">
        <f t="shared" si="523"/>
        <v>-1360</v>
      </c>
      <c r="AY204" s="59">
        <f t="shared" ref="AY204" si="524">AY205-AY202</f>
        <v>-1360</v>
      </c>
      <c r="AZ204" s="59">
        <f t="shared" ref="AZ204:BS204" si="525">AZ205-AZ202</f>
        <v>-1385</v>
      </c>
      <c r="BA204" s="59">
        <f t="shared" si="525"/>
        <v>-1385</v>
      </c>
      <c r="BB204" s="59">
        <f t="shared" si="525"/>
        <v>-1410</v>
      </c>
      <c r="BC204" s="59">
        <f t="shared" si="525"/>
        <v>-1435</v>
      </c>
      <c r="BD204" s="59">
        <f t="shared" si="525"/>
        <v>-1455</v>
      </c>
      <c r="BE204" s="59">
        <f t="shared" si="525"/>
        <v>-1530</v>
      </c>
      <c r="BF204" s="59">
        <f t="shared" si="525"/>
        <v>-1530</v>
      </c>
      <c r="BG204" s="59">
        <f t="shared" si="525"/>
        <v>-1595</v>
      </c>
      <c r="BH204" s="59">
        <f t="shared" si="525"/>
        <v>-1650</v>
      </c>
      <c r="BI204" s="59">
        <f t="shared" si="525"/>
        <v>-1695</v>
      </c>
      <c r="BJ204" s="59">
        <f t="shared" si="525"/>
        <v>-1725</v>
      </c>
      <c r="BK204" s="59">
        <f t="shared" si="525"/>
        <v>-1725</v>
      </c>
      <c r="BL204" s="59">
        <f t="shared" si="525"/>
        <v>-1745</v>
      </c>
      <c r="BM204" s="59">
        <f t="shared" si="525"/>
        <v>-1755</v>
      </c>
      <c r="BN204" s="59" t="e">
        <f t="shared" si="525"/>
        <v>#NUM!</v>
      </c>
      <c r="BO204" s="59" t="e">
        <f t="shared" si="525"/>
        <v>#NUM!</v>
      </c>
      <c r="BP204" s="59" t="e">
        <f t="shared" si="525"/>
        <v>#NUM!</v>
      </c>
      <c r="BQ204" s="59" t="e">
        <f t="shared" si="525"/>
        <v>#NUM!</v>
      </c>
      <c r="BR204" s="59" t="e">
        <f t="shared" si="525"/>
        <v>#NUM!</v>
      </c>
      <c r="BS204" s="59" t="e">
        <f t="shared" si="525"/>
        <v>#NUM!</v>
      </c>
    </row>
    <row r="205" spans="1:73">
      <c r="A205" s="9" t="s">
        <v>550</v>
      </c>
      <c r="B205" s="9"/>
      <c r="C205" s="9"/>
      <c r="D205" s="9"/>
      <c r="E205" s="9"/>
      <c r="F205" s="9"/>
      <c r="G205" s="9"/>
      <c r="H205" s="9"/>
      <c r="I205" s="39"/>
      <c r="J205" s="81"/>
      <c r="K205" s="81"/>
      <c r="L205" s="81"/>
      <c r="M205" s="81"/>
      <c r="N205" s="81"/>
      <c r="O205" s="81"/>
      <c r="P205" s="81"/>
      <c r="Q205" s="81"/>
      <c r="R205" s="81"/>
      <c r="S205" s="81"/>
      <c r="T205" s="81"/>
      <c r="U205" s="81"/>
      <c r="V205" s="81"/>
      <c r="W205" s="81"/>
      <c r="X205" s="81"/>
      <c r="Y205" s="81"/>
      <c r="Z205" s="81"/>
      <c r="AA205" s="161">
        <v>9600</v>
      </c>
      <c r="AB205" s="81">
        <f>AA205</f>
        <v>9600</v>
      </c>
      <c r="AC205" s="161">
        <v>10100</v>
      </c>
      <c r="AD205" s="161">
        <v>8200</v>
      </c>
      <c r="AE205" s="161">
        <v>8100</v>
      </c>
      <c r="AF205" s="161">
        <v>2600</v>
      </c>
      <c r="AG205" s="81">
        <f>AF205</f>
        <v>2600</v>
      </c>
      <c r="AH205" s="97">
        <v>0</v>
      </c>
      <c r="AI205" s="97">
        <v>0</v>
      </c>
      <c r="AJ205" s="97">
        <v>0</v>
      </c>
      <c r="AK205" s="97">
        <v>0</v>
      </c>
      <c r="AL205" s="81">
        <f>AK205</f>
        <v>0</v>
      </c>
      <c r="AM205" s="97">
        <v>0</v>
      </c>
      <c r="AN205" s="97">
        <v>0</v>
      </c>
      <c r="AO205" s="97">
        <v>0</v>
      </c>
      <c r="AP205" s="97">
        <v>0</v>
      </c>
      <c r="AQ205" s="81">
        <f>AP205</f>
        <v>0</v>
      </c>
      <c r="AR205" s="97">
        <v>0</v>
      </c>
      <c r="AS205" s="97">
        <v>0</v>
      </c>
      <c r="AT205" s="97">
        <v>0</v>
      </c>
      <c r="AU205" s="97">
        <v>0</v>
      </c>
      <c r="AV205" s="81">
        <f>AU205</f>
        <v>0</v>
      </c>
      <c r="AW205" s="97">
        <v>0</v>
      </c>
      <c r="AX205" s="97">
        <v>0</v>
      </c>
      <c r="AY205" s="97">
        <v>0</v>
      </c>
      <c r="AZ205" s="58">
        <v>0</v>
      </c>
      <c r="BA205" s="81">
        <f>AZ205</f>
        <v>0</v>
      </c>
      <c r="BB205" s="58">
        <v>0</v>
      </c>
      <c r="BC205" s="58">
        <v>0</v>
      </c>
      <c r="BD205" s="58">
        <v>0</v>
      </c>
      <c r="BE205" s="58">
        <v>0</v>
      </c>
      <c r="BF205" s="81">
        <f>BE205</f>
        <v>0</v>
      </c>
      <c r="BG205" s="58">
        <v>0</v>
      </c>
      <c r="BH205" s="58">
        <v>0</v>
      </c>
      <c r="BI205" s="58">
        <v>0</v>
      </c>
      <c r="BJ205" s="58">
        <v>0</v>
      </c>
      <c r="BK205" s="81">
        <f>BJ205</f>
        <v>0</v>
      </c>
      <c r="BL205" s="58">
        <v>0</v>
      </c>
      <c r="BM205" s="58">
        <v>0</v>
      </c>
      <c r="BN205" s="58">
        <v>0</v>
      </c>
      <c r="BO205" s="58">
        <v>0</v>
      </c>
      <c r="BP205" s="81">
        <f>BO205</f>
        <v>0</v>
      </c>
      <c r="BQ205" s="58">
        <v>0</v>
      </c>
      <c r="BR205" s="58">
        <v>0</v>
      </c>
      <c r="BS205" s="58">
        <v>0</v>
      </c>
    </row>
    <row r="206" spans="1:73" s="79" customFormat="1">
      <c r="A206" s="25" t="s">
        <v>551</v>
      </c>
      <c r="U206" s="82"/>
      <c r="AA206" s="22"/>
      <c r="AH206" s="98" t="s">
        <v>640</v>
      </c>
      <c r="AI206" s="183"/>
      <c r="AJ206" s="183"/>
      <c r="AK206" s="183"/>
      <c r="AL206" s="183"/>
      <c r="AM206" s="183"/>
      <c r="AN206" s="183"/>
    </row>
    <row r="207" spans="1:73" s="2" customFormat="1">
      <c r="A207" s="4" t="s">
        <v>243</v>
      </c>
      <c r="I207" s="68" t="s">
        <v>245</v>
      </c>
    </row>
    <row r="208" spans="1:73">
      <c r="I208" s="57" t="s">
        <v>252</v>
      </c>
      <c r="Y208" s="66" t="s">
        <v>494</v>
      </c>
      <c r="Z208" s="46"/>
      <c r="AA208" s="46"/>
      <c r="AH208" s="66" t="s">
        <v>661</v>
      </c>
      <c r="AI208" s="46"/>
      <c r="AJ208" s="46"/>
      <c r="AK208" s="46"/>
      <c r="AL208" s="46"/>
      <c r="AM208" s="46"/>
      <c r="AN208" s="46"/>
      <c r="AO208" s="46"/>
      <c r="AP208" s="46"/>
    </row>
    <row r="209" spans="1:78">
      <c r="A209" s="1" t="s">
        <v>251</v>
      </c>
      <c r="I209" s="37">
        <v>483278</v>
      </c>
      <c r="J209" s="37">
        <v>1853055</v>
      </c>
      <c r="K209" s="37">
        <v>2658043</v>
      </c>
      <c r="L209" s="37">
        <v>2827784</v>
      </c>
      <c r="M209" s="36">
        <f>L209</f>
        <v>2827784</v>
      </c>
      <c r="N209" s="37">
        <v>2932353</v>
      </c>
      <c r="O209" s="37">
        <v>3745476</v>
      </c>
      <c r="P209" s="37">
        <v>6508438</v>
      </c>
      <c r="Q209" s="37">
        <v>7115629</v>
      </c>
      <c r="R209" s="36">
        <f>Q209</f>
        <v>7115629</v>
      </c>
      <c r="S209" s="37">
        <v>8081137</v>
      </c>
      <c r="T209" s="37">
        <v>7484921</v>
      </c>
      <c r="U209" s="37">
        <v>8033558</v>
      </c>
      <c r="V209" s="37">
        <v>6892232</v>
      </c>
      <c r="W209" s="36">
        <f>V209</f>
        <v>6892232</v>
      </c>
      <c r="X209" s="37">
        <v>7039042</v>
      </c>
      <c r="Y209" s="37">
        <v>7949382</v>
      </c>
      <c r="Z209" s="37">
        <v>9394949</v>
      </c>
      <c r="AA209" s="37">
        <v>13646774</v>
      </c>
      <c r="AB209" s="36">
        <f>AA209</f>
        <v>13646774</v>
      </c>
      <c r="AC209" s="37">
        <v>14792184</v>
      </c>
      <c r="AD209" s="37">
        <v>14638981</v>
      </c>
      <c r="AE209" s="37">
        <v>15698201</v>
      </c>
      <c r="AF209" s="37">
        <v>13766391</v>
      </c>
      <c r="AG209" s="36">
        <f>AF209</f>
        <v>13766391</v>
      </c>
      <c r="AH209" s="37">
        <v>13471055</v>
      </c>
      <c r="AI209" s="37">
        <v>12690516</v>
      </c>
      <c r="AJ209" s="37">
        <v>10856761</v>
      </c>
      <c r="AK209" s="37">
        <v>10489722</v>
      </c>
      <c r="AL209" s="36">
        <f>AK209</f>
        <v>10489722</v>
      </c>
      <c r="AM209" s="37">
        <v>11477480</v>
      </c>
      <c r="AN209" s="37">
        <v>11082392</v>
      </c>
      <c r="AO209" s="37">
        <v>10727854</v>
      </c>
      <c r="AP209" s="37">
        <v>11014487</v>
      </c>
      <c r="AQ209" s="36">
        <f>AP209</f>
        <v>11014487</v>
      </c>
      <c r="AR209" s="37">
        <v>11747933</v>
      </c>
      <c r="AS209" s="37">
        <v>10923295</v>
      </c>
      <c r="AT209" s="37">
        <v>11756574</v>
      </c>
      <c r="AU209" s="37">
        <v>11410922</v>
      </c>
      <c r="AV209" s="36">
        <f>AU209</f>
        <v>11410922</v>
      </c>
      <c r="AW209" s="37">
        <v>12452797</v>
      </c>
      <c r="AX209" s="37">
        <v>14578529</v>
      </c>
      <c r="AY209" s="37">
        <v>20227531</v>
      </c>
      <c r="AZ209" s="36">
        <f t="shared" ref="AZ209" si="526">AZ224*AZ$237</f>
        <v>19620076.327499997</v>
      </c>
      <c r="BA209" s="36">
        <f>AZ209</f>
        <v>19620076.327499997</v>
      </c>
      <c r="BB209" s="36">
        <f t="shared" ref="BB209:BE209" si="527">BB224*BB$237</f>
        <v>23748697.017500002</v>
      </c>
      <c r="BC209" s="36">
        <f t="shared" si="527"/>
        <v>24885430.7075</v>
      </c>
      <c r="BD209" s="36">
        <f t="shared" si="527"/>
        <v>26001331.897500001</v>
      </c>
      <c r="BE209" s="36">
        <f t="shared" si="527"/>
        <v>25267562.087499999</v>
      </c>
      <c r="BF209" s="36">
        <f>BE209</f>
        <v>25267562.087499999</v>
      </c>
      <c r="BG209" s="36">
        <f t="shared" ref="BG209:BJ209" si="528">BG224*BG$237</f>
        <v>24591614.7775</v>
      </c>
      <c r="BH209" s="36">
        <f t="shared" si="528"/>
        <v>23892896.467500001</v>
      </c>
      <c r="BI209" s="36">
        <f t="shared" si="528"/>
        <v>23169326.657500003</v>
      </c>
      <c r="BJ209" s="36">
        <f t="shared" si="528"/>
        <v>22418848.8475</v>
      </c>
      <c r="BK209" s="36">
        <f>BJ209</f>
        <v>22418848.8475</v>
      </c>
      <c r="BL209" s="36">
        <f t="shared" ref="BL209:BO209" si="529">BL224*BL$237</f>
        <v>21362943.037499998</v>
      </c>
      <c r="BM209" s="36">
        <f t="shared" si="529"/>
        <v>20276037.227499999</v>
      </c>
      <c r="BN209" s="36">
        <f t="shared" si="529"/>
        <v>19155405.4175</v>
      </c>
      <c r="BO209" s="36">
        <f t="shared" si="529"/>
        <v>18001359.607500002</v>
      </c>
      <c r="BP209" s="36">
        <f>BO209</f>
        <v>18001359.607500002</v>
      </c>
      <c r="BQ209" s="36">
        <f t="shared" ref="BQ209:BT209" si="530">BQ224*BQ$237</f>
        <v>16518908.797499999</v>
      </c>
      <c r="BR209" s="36">
        <f t="shared" si="530"/>
        <v>15007486.487499999</v>
      </c>
      <c r="BS209" s="36">
        <f t="shared" si="530"/>
        <v>13468877.677499998</v>
      </c>
      <c r="BT209" s="36">
        <f t="shared" si="530"/>
        <v>12354668.8675</v>
      </c>
      <c r="BU209" s="36">
        <f>BT209</f>
        <v>12354668.8675</v>
      </c>
      <c r="BV209" s="36">
        <f t="shared" ref="BV209:BY209" si="531">BV224*BV$237</f>
        <v>11216600.057499999</v>
      </c>
      <c r="BW209" s="36">
        <f t="shared" si="531"/>
        <v>10055650.747499999</v>
      </c>
      <c r="BX209" s="36">
        <f t="shared" si="531"/>
        <v>8869842.4375</v>
      </c>
      <c r="BY209" s="36">
        <f t="shared" si="531"/>
        <v>7658691.6274999995</v>
      </c>
      <c r="BZ209" s="36">
        <f>BY209</f>
        <v>7658691.6274999995</v>
      </c>
    </row>
    <row r="210" spans="1:78">
      <c r="L210" s="25" t="s">
        <v>368</v>
      </c>
    </row>
    <row r="211" spans="1:78">
      <c r="A211" s="1" t="s">
        <v>584</v>
      </c>
      <c r="L211" s="25"/>
      <c r="AD211" s="37">
        <v>5689194</v>
      </c>
      <c r="AE211" s="37">
        <v>5803702</v>
      </c>
      <c r="AF211" s="37">
        <v>5289754</v>
      </c>
      <c r="AG211" s="36">
        <f>AF211</f>
        <v>5289754</v>
      </c>
      <c r="AH211" s="37">
        <v>5212143</v>
      </c>
      <c r="AI211" s="37">
        <v>5125940</v>
      </c>
      <c r="AJ211" s="37">
        <v>4488128</v>
      </c>
      <c r="AK211" s="37">
        <v>4470717</v>
      </c>
      <c r="AL211" s="36">
        <f>AK211</f>
        <v>4470717</v>
      </c>
      <c r="AM211" s="37">
        <v>4794774</v>
      </c>
      <c r="AN211" s="37">
        <v>4999882</v>
      </c>
      <c r="AO211" s="37">
        <v>4647797</v>
      </c>
      <c r="AP211" s="37">
        <v>4680417</v>
      </c>
      <c r="AQ211" s="36">
        <f>AP211</f>
        <v>4680417</v>
      </c>
      <c r="AR211" s="37">
        <v>5039497</v>
      </c>
      <c r="AS211" s="37">
        <v>4010946</v>
      </c>
      <c r="AT211" s="37">
        <v>4251682</v>
      </c>
      <c r="AU211" s="37">
        <v>3647647</v>
      </c>
      <c r="AV211" s="36">
        <f>AU211</f>
        <v>3647647</v>
      </c>
      <c r="AW211" s="37">
        <v>3640084</v>
      </c>
      <c r="AX211" s="37">
        <v>3778338</v>
      </c>
      <c r="AY211" s="37">
        <v>3623451</v>
      </c>
      <c r="AZ211" s="36">
        <f t="shared" ref="AZ211:AZ213" si="532">AZ228*AZ$237</f>
        <v>3452526</v>
      </c>
      <c r="BA211" s="36">
        <f>AZ211</f>
        <v>3452526</v>
      </c>
      <c r="BB211" s="36">
        <f t="shared" ref="BB211:BE213" si="533">BB228*BB$237</f>
        <v>3175991.0000000005</v>
      </c>
      <c r="BC211" s="36">
        <f t="shared" si="533"/>
        <v>2904697.5</v>
      </c>
      <c r="BD211" s="36">
        <f t="shared" si="533"/>
        <v>2633229</v>
      </c>
      <c r="BE211" s="36">
        <f t="shared" si="533"/>
        <v>2366970</v>
      </c>
      <c r="BF211" s="36">
        <f>BE211</f>
        <v>2366970</v>
      </c>
      <c r="BG211" s="36">
        <f t="shared" ref="BG211:BJ213" si="534">BG228*BG$237</f>
        <v>2159475.5</v>
      </c>
      <c r="BH211" s="36">
        <f t="shared" si="534"/>
        <v>1948452.0000000002</v>
      </c>
      <c r="BI211" s="36">
        <f t="shared" si="534"/>
        <v>1733174.0000000002</v>
      </c>
      <c r="BJ211" s="36">
        <f t="shared" si="534"/>
        <v>1406594</v>
      </c>
      <c r="BK211" s="36">
        <f>BJ211</f>
        <v>1406594</v>
      </c>
      <c r="BL211" s="36">
        <f t="shared" ref="BL211:BO213" si="535">BL228*BL$237</f>
        <v>1212000</v>
      </c>
      <c r="BM211" s="36">
        <f t="shared" si="535"/>
        <v>1015392</v>
      </c>
      <c r="BN211" s="36">
        <f t="shared" si="535"/>
        <v>816794.00000000012</v>
      </c>
      <c r="BO211" s="36">
        <f t="shared" si="535"/>
        <v>616230</v>
      </c>
      <c r="BP211" s="36">
        <f>BO211</f>
        <v>616230</v>
      </c>
      <c r="BQ211" s="36">
        <f t="shared" ref="BQ211:BT213" si="536">BQ228*BQ$237</f>
        <v>413724</v>
      </c>
      <c r="BR211" s="36">
        <f t="shared" si="536"/>
        <v>207057.5</v>
      </c>
      <c r="BS211" s="36">
        <f t="shared" si="536"/>
        <v>0</v>
      </c>
      <c r="BT211" s="36">
        <f t="shared" si="536"/>
        <v>0</v>
      </c>
      <c r="BU211" s="36">
        <f>BT211</f>
        <v>0</v>
      </c>
      <c r="BV211" s="36">
        <f t="shared" ref="BV211:BY213" si="537">BV228*BV$237</f>
        <v>0</v>
      </c>
      <c r="BW211" s="36">
        <f t="shared" si="537"/>
        <v>0</v>
      </c>
      <c r="BX211" s="36">
        <f t="shared" si="537"/>
        <v>0</v>
      </c>
      <c r="BY211" s="36">
        <f t="shared" si="537"/>
        <v>0</v>
      </c>
      <c r="BZ211" s="36">
        <f>BY211</f>
        <v>0</v>
      </c>
    </row>
    <row r="212" spans="1:78">
      <c r="A212" s="1" t="s">
        <v>585</v>
      </c>
      <c r="L212" s="25"/>
      <c r="AC212" s="150" t="s">
        <v>614</v>
      </c>
      <c r="AD212" s="37">
        <v>164469</v>
      </c>
      <c r="AE212" s="37">
        <v>319178</v>
      </c>
      <c r="AF212" s="37">
        <v>270081</v>
      </c>
      <c r="AG212" s="36">
        <f>AF212</f>
        <v>270081</v>
      </c>
      <c r="AH212" s="37">
        <v>93244</v>
      </c>
      <c r="AI212" s="37">
        <v>0</v>
      </c>
      <c r="AJ212" s="37">
        <v>0</v>
      </c>
      <c r="AK212" s="37">
        <v>0</v>
      </c>
      <c r="AL212" s="36">
        <f>AK212</f>
        <v>0</v>
      </c>
      <c r="AM212" s="37">
        <v>0</v>
      </c>
      <c r="AN212" s="37">
        <v>0</v>
      </c>
      <c r="AO212" s="37">
        <v>0</v>
      </c>
      <c r="AP212" s="37">
        <v>0</v>
      </c>
      <c r="AQ212" s="36">
        <f>AP212</f>
        <v>0</v>
      </c>
      <c r="AR212" s="37">
        <v>0</v>
      </c>
      <c r="AS212" s="37">
        <v>0</v>
      </c>
      <c r="AT212" s="37">
        <v>0</v>
      </c>
      <c r="AU212" s="37">
        <v>0</v>
      </c>
      <c r="AV212" s="36">
        <f>AU212</f>
        <v>0</v>
      </c>
      <c r="AW212" s="37">
        <v>0</v>
      </c>
      <c r="AX212" s="37">
        <v>0</v>
      </c>
      <c r="AY212" s="37">
        <v>0</v>
      </c>
      <c r="AZ212" s="36">
        <f t="shared" si="532"/>
        <v>0</v>
      </c>
      <c r="BA212" s="36">
        <f>AZ212</f>
        <v>0</v>
      </c>
      <c r="BB212" s="36">
        <f t="shared" si="533"/>
        <v>0</v>
      </c>
      <c r="BC212" s="36">
        <f t="shared" si="533"/>
        <v>0</v>
      </c>
      <c r="BD212" s="36">
        <f t="shared" si="533"/>
        <v>0</v>
      </c>
      <c r="BE212" s="36">
        <f t="shared" si="533"/>
        <v>0</v>
      </c>
      <c r="BF212" s="36">
        <f>BE212</f>
        <v>0</v>
      </c>
      <c r="BG212" s="36">
        <f t="shared" si="534"/>
        <v>0</v>
      </c>
      <c r="BH212" s="36">
        <f t="shared" si="534"/>
        <v>0</v>
      </c>
      <c r="BI212" s="36">
        <f t="shared" si="534"/>
        <v>0</v>
      </c>
      <c r="BJ212" s="36">
        <f t="shared" si="534"/>
        <v>0</v>
      </c>
      <c r="BK212" s="36">
        <f>BJ212</f>
        <v>0</v>
      </c>
      <c r="BL212" s="36">
        <f t="shared" si="535"/>
        <v>0</v>
      </c>
      <c r="BM212" s="36">
        <f t="shared" si="535"/>
        <v>0</v>
      </c>
      <c r="BN212" s="36">
        <f t="shared" si="535"/>
        <v>0</v>
      </c>
      <c r="BO212" s="36">
        <f t="shared" si="535"/>
        <v>0</v>
      </c>
      <c r="BP212" s="36">
        <f>BO212</f>
        <v>0</v>
      </c>
      <c r="BQ212" s="36">
        <f t="shared" si="536"/>
        <v>0</v>
      </c>
      <c r="BR212" s="36">
        <f t="shared" si="536"/>
        <v>0</v>
      </c>
      <c r="BS212" s="36">
        <f t="shared" si="536"/>
        <v>0</v>
      </c>
      <c r="BT212" s="36">
        <f t="shared" si="536"/>
        <v>0</v>
      </c>
      <c r="BU212" s="36">
        <f>BT212</f>
        <v>0</v>
      </c>
      <c r="BV212" s="36">
        <f t="shared" si="537"/>
        <v>0</v>
      </c>
      <c r="BW212" s="36">
        <f t="shared" si="537"/>
        <v>0</v>
      </c>
      <c r="BX212" s="36">
        <f t="shared" si="537"/>
        <v>0</v>
      </c>
      <c r="BY212" s="36">
        <f t="shared" si="537"/>
        <v>0</v>
      </c>
      <c r="BZ212" s="36">
        <f>BY212</f>
        <v>0</v>
      </c>
    </row>
    <row r="213" spans="1:78">
      <c r="A213" s="1" t="s">
        <v>641</v>
      </c>
      <c r="L213" s="25"/>
      <c r="AC213" s="150"/>
      <c r="AD213" s="38"/>
      <c r="AE213" s="38"/>
      <c r="AF213" s="38"/>
      <c r="AG213" s="36"/>
      <c r="AH213" s="37">
        <v>62727</v>
      </c>
      <c r="AI213" s="37">
        <v>60413</v>
      </c>
      <c r="AJ213" s="37">
        <v>43823</v>
      </c>
      <c r="AK213" s="37">
        <v>28652</v>
      </c>
      <c r="AL213" s="36">
        <f>AK213</f>
        <v>28652</v>
      </c>
      <c r="AM213" s="37">
        <v>27746</v>
      </c>
      <c r="AN213" s="37">
        <v>22929</v>
      </c>
      <c r="AO213" s="37">
        <v>19106</v>
      </c>
      <c r="AP213" s="37">
        <v>14086</v>
      </c>
      <c r="AQ213" s="36">
        <f>AP213</f>
        <v>14086</v>
      </c>
      <c r="AR213" s="37">
        <v>9540</v>
      </c>
      <c r="AS213" s="37">
        <v>9904</v>
      </c>
      <c r="AT213" s="37">
        <v>8695</v>
      </c>
      <c r="AU213" s="37">
        <v>5150</v>
      </c>
      <c r="AV213" s="36">
        <f>AU213</f>
        <v>5150</v>
      </c>
      <c r="AW213" s="37">
        <v>8704</v>
      </c>
      <c r="AX213" s="37">
        <v>8703</v>
      </c>
      <c r="AY213" s="37">
        <v>7517</v>
      </c>
      <c r="AZ213" s="36">
        <f t="shared" si="532"/>
        <v>3102</v>
      </c>
      <c r="BA213" s="36">
        <f>AZ213</f>
        <v>3102</v>
      </c>
      <c r="BB213" s="36">
        <f t="shared" si="533"/>
        <v>0</v>
      </c>
      <c r="BC213" s="36">
        <f t="shared" si="533"/>
        <v>0</v>
      </c>
      <c r="BD213" s="36">
        <f t="shared" si="533"/>
        <v>0</v>
      </c>
      <c r="BE213" s="36">
        <f t="shared" si="533"/>
        <v>6907.5</v>
      </c>
      <c r="BF213" s="36">
        <f>BE213</f>
        <v>6907.5</v>
      </c>
      <c r="BG213" s="36">
        <f t="shared" si="534"/>
        <v>13779</v>
      </c>
      <c r="BH213" s="36">
        <f t="shared" si="534"/>
        <v>20614.500000000004</v>
      </c>
      <c r="BI213" s="36">
        <f t="shared" si="534"/>
        <v>26652.500000000004</v>
      </c>
      <c r="BJ213" s="36">
        <f t="shared" si="534"/>
        <v>32658.5</v>
      </c>
      <c r="BK213" s="36">
        <f>BJ213</f>
        <v>32658.5</v>
      </c>
      <c r="BL213" s="36">
        <f t="shared" si="535"/>
        <v>37875</v>
      </c>
      <c r="BM213" s="36">
        <f t="shared" si="535"/>
        <v>43063.5</v>
      </c>
      <c r="BN213" s="36">
        <f t="shared" si="535"/>
        <v>46717.000000000007</v>
      </c>
      <c r="BO213" s="36">
        <f t="shared" si="535"/>
        <v>50350.500000000007</v>
      </c>
      <c r="BP213" s="36">
        <f>BO213</f>
        <v>50350.500000000007</v>
      </c>
      <c r="BQ213" s="36">
        <f t="shared" si="536"/>
        <v>53214.5</v>
      </c>
      <c r="BR213" s="36">
        <f t="shared" si="536"/>
        <v>55315</v>
      </c>
      <c r="BS213" s="36">
        <f t="shared" si="536"/>
        <v>56658</v>
      </c>
      <c r="BT213" s="36">
        <f t="shared" si="536"/>
        <v>57249.500000000007</v>
      </c>
      <c r="BU213" s="36">
        <f>BT213</f>
        <v>57249.500000000007</v>
      </c>
      <c r="BV213" s="36">
        <f t="shared" si="537"/>
        <v>57095.500000000007</v>
      </c>
      <c r="BW213" s="36">
        <f t="shared" si="537"/>
        <v>56202</v>
      </c>
      <c r="BX213" s="36">
        <f t="shared" si="537"/>
        <v>54575</v>
      </c>
      <c r="BY213" s="36">
        <f t="shared" si="537"/>
        <v>51485</v>
      </c>
      <c r="BZ213" s="36">
        <f>BY213</f>
        <v>51485</v>
      </c>
    </row>
    <row r="214" spans="1:78">
      <c r="A214" s="1" t="s">
        <v>276</v>
      </c>
      <c r="L214" s="25"/>
      <c r="AD214" s="36">
        <f t="shared" ref="AD214:AG214" si="538">AD215-SUM(AD211:AD213)</f>
        <v>0</v>
      </c>
      <c r="AE214" s="36">
        <f t="shared" si="538"/>
        <v>0</v>
      </c>
      <c r="AF214" s="36">
        <f t="shared" si="538"/>
        <v>0</v>
      </c>
      <c r="AG214" s="36">
        <f t="shared" si="538"/>
        <v>0</v>
      </c>
      <c r="AH214" s="36">
        <f>AH215-SUM(AH211:AH213)</f>
        <v>0</v>
      </c>
      <c r="AI214" s="36">
        <f>AI215-SUM(AI211:AI213)</f>
        <v>0</v>
      </c>
      <c r="AJ214" s="36">
        <f>AJ215-SUM(AJ211:AJ213)</f>
        <v>0</v>
      </c>
      <c r="AK214" s="36">
        <f>AK215-SUM(AK211:AK213)</f>
        <v>0</v>
      </c>
      <c r="AL214" s="36">
        <f t="shared" ref="AL214" si="539">AL215-SUM(AL211:AL213)</f>
        <v>0</v>
      </c>
      <c r="AM214" s="36">
        <f>AM215-SUM(AM211:AM213)</f>
        <v>0</v>
      </c>
      <c r="AN214" s="36">
        <f>AN215-SUM(AN211:AN213)</f>
        <v>0</v>
      </c>
      <c r="AO214" s="36">
        <f>AO215-SUM(AO211:AO213)</f>
        <v>0</v>
      </c>
      <c r="AP214" s="36">
        <f>AP215-SUM(AP211:AP213)</f>
        <v>0</v>
      </c>
      <c r="AQ214" s="36">
        <f t="shared" ref="AQ214" si="540">AQ215-SUM(AQ211:AQ213)</f>
        <v>0</v>
      </c>
      <c r="AR214" s="36">
        <f>AR215-SUM(AR211:AR213)</f>
        <v>0</v>
      </c>
      <c r="AS214" s="36">
        <f>AS215-SUM(AS211:AS213)</f>
        <v>0</v>
      </c>
      <c r="AT214" s="36">
        <f>AT215-SUM(AT211:AT213)</f>
        <v>0</v>
      </c>
      <c r="AU214" s="36">
        <f>AU215-SUM(AU211:AU213)</f>
        <v>0</v>
      </c>
      <c r="AV214" s="36">
        <f t="shared" ref="AV214" si="541">AV215-SUM(AV211:AV213)</f>
        <v>0</v>
      </c>
      <c r="AW214" s="36">
        <f>AW215-SUM(AW211:AW213)</f>
        <v>0</v>
      </c>
      <c r="AX214" s="36">
        <f>AX215-SUM(AX211:AX213)</f>
        <v>0</v>
      </c>
      <c r="AY214" s="36">
        <f>AY215-SUM(AY211:AY213)</f>
        <v>0</v>
      </c>
    </row>
    <row r="215" spans="1:78">
      <c r="A215" s="9" t="s">
        <v>253</v>
      </c>
      <c r="B215" s="9"/>
      <c r="C215" s="9"/>
      <c r="D215" s="9"/>
      <c r="E215" s="9"/>
      <c r="F215" s="9"/>
      <c r="G215" s="9"/>
      <c r="H215" s="9"/>
      <c r="I215" s="9"/>
      <c r="J215" s="75">
        <v>1158643</v>
      </c>
      <c r="K215" s="75">
        <v>1870841</v>
      </c>
      <c r="L215" s="75">
        <f>1803966+40713</f>
        <v>1844679</v>
      </c>
      <c r="M215" s="39">
        <f>L215</f>
        <v>1844679</v>
      </c>
      <c r="N215" s="75">
        <v>2012729</v>
      </c>
      <c r="O215" s="75">
        <f>2175476+2281</f>
        <v>2177757</v>
      </c>
      <c r="P215" s="75">
        <v>3792014</v>
      </c>
      <c r="Q215" s="75">
        <f>4107288+29677</f>
        <v>4136965</v>
      </c>
      <c r="R215" s="39">
        <f>Q215</f>
        <v>4136965</v>
      </c>
      <c r="S215" s="75">
        <f>4322539+147625</f>
        <v>4470164</v>
      </c>
      <c r="T215" s="75">
        <f>4561206+11874</f>
        <v>4573080</v>
      </c>
      <c r="U215" s="75">
        <v>4789338</v>
      </c>
      <c r="V215" s="75">
        <f>4559728+24691</f>
        <v>4584419</v>
      </c>
      <c r="W215" s="39">
        <f>V215</f>
        <v>4584419</v>
      </c>
      <c r="X215" s="75">
        <f>5175360+58080</f>
        <v>5233440</v>
      </c>
      <c r="Y215" s="75">
        <v>5244921</v>
      </c>
      <c r="Z215" s="75">
        <v>5455916</v>
      </c>
      <c r="AA215" s="75">
        <v>6601791</v>
      </c>
      <c r="AB215" s="39">
        <f>AA215</f>
        <v>6601791</v>
      </c>
      <c r="AC215" s="75">
        <v>6450319</v>
      </c>
      <c r="AD215" s="75">
        <v>5853663</v>
      </c>
      <c r="AE215" s="75">
        <v>6122880</v>
      </c>
      <c r="AF215" s="75">
        <v>5559835</v>
      </c>
      <c r="AG215" s="39">
        <f>AF215</f>
        <v>5559835</v>
      </c>
      <c r="AH215" s="75">
        <v>5368114</v>
      </c>
      <c r="AI215" s="75">
        <v>5186353</v>
      </c>
      <c r="AJ215" s="75">
        <v>4531951</v>
      </c>
      <c r="AK215" s="75">
        <v>4499369</v>
      </c>
      <c r="AL215" s="39">
        <f>AK215</f>
        <v>4499369</v>
      </c>
      <c r="AM215" s="75">
        <v>4822520</v>
      </c>
      <c r="AN215" s="75">
        <v>5022811</v>
      </c>
      <c r="AO215" s="75">
        <v>4666903</v>
      </c>
      <c r="AP215" s="75">
        <v>4694503</v>
      </c>
      <c r="AQ215" s="39">
        <f>AP215</f>
        <v>4694503</v>
      </c>
      <c r="AR215" s="75">
        <v>5049037</v>
      </c>
      <c r="AS215" s="75">
        <v>4020850</v>
      </c>
      <c r="AT215" s="75">
        <v>4260377</v>
      </c>
      <c r="AU215" s="75">
        <v>3652797</v>
      </c>
      <c r="AV215" s="39">
        <f>AU215</f>
        <v>3652797</v>
      </c>
      <c r="AW215" s="75">
        <v>3648788</v>
      </c>
      <c r="AX215" s="75">
        <v>3787041</v>
      </c>
      <c r="AY215" s="75">
        <v>3630968</v>
      </c>
      <c r="AZ215" s="39">
        <f>SUM(AZ211:AZ214)</f>
        <v>3455628</v>
      </c>
      <c r="BA215" s="39">
        <f>AZ215</f>
        <v>3455628</v>
      </c>
      <c r="BB215" s="39">
        <f>SUM(BB211:BB214)</f>
        <v>3175991.0000000005</v>
      </c>
      <c r="BC215" s="39">
        <f>SUM(BC211:BC214)</f>
        <v>2904697.5</v>
      </c>
      <c r="BD215" s="39">
        <f>SUM(BD211:BD214)</f>
        <v>2633229</v>
      </c>
      <c r="BE215" s="39">
        <f>SUM(BE211:BE214)</f>
        <v>2373877.5</v>
      </c>
      <c r="BF215" s="39">
        <f>BE215</f>
        <v>2373877.5</v>
      </c>
      <c r="BG215" s="39">
        <f>SUM(BG211:BG214)</f>
        <v>2173254.5</v>
      </c>
      <c r="BH215" s="39">
        <f>SUM(BH211:BH214)</f>
        <v>1969066.5000000002</v>
      </c>
      <c r="BI215" s="39">
        <f>SUM(BI211:BI214)</f>
        <v>1759826.5000000002</v>
      </c>
      <c r="BJ215" s="39">
        <f>SUM(BJ211:BJ214)</f>
        <v>1439252.5</v>
      </c>
      <c r="BK215" s="39">
        <f>BJ215</f>
        <v>1439252.5</v>
      </c>
      <c r="BL215" s="39">
        <f>SUM(BL211:BL214)</f>
        <v>1249875</v>
      </c>
      <c r="BM215" s="39">
        <f>SUM(BM211:BM214)</f>
        <v>1058455.5</v>
      </c>
      <c r="BN215" s="39">
        <f>SUM(BN211:BN214)</f>
        <v>863511.00000000012</v>
      </c>
      <c r="BO215" s="39">
        <f>SUM(BO211:BO214)</f>
        <v>666580.5</v>
      </c>
      <c r="BP215" s="39">
        <f>BO215</f>
        <v>666580.5</v>
      </c>
      <c r="BQ215" s="39">
        <f>SUM(BQ211:BQ214)</f>
        <v>466938.5</v>
      </c>
      <c r="BR215" s="39">
        <f>SUM(BR211:BR214)</f>
        <v>262372.5</v>
      </c>
      <c r="BS215" s="39">
        <f>SUM(BS211:BS214)</f>
        <v>56658</v>
      </c>
      <c r="BT215" s="39">
        <f>SUM(BT211:BT214)</f>
        <v>57249.500000000007</v>
      </c>
      <c r="BU215" s="39">
        <f>BT215</f>
        <v>57249.500000000007</v>
      </c>
      <c r="BV215" s="39">
        <f>SUM(BV211:BV214)</f>
        <v>57095.500000000007</v>
      </c>
      <c r="BW215" s="39">
        <f>SUM(BW211:BW214)</f>
        <v>56202</v>
      </c>
      <c r="BX215" s="39">
        <f>SUM(BX211:BX214)</f>
        <v>54575</v>
      </c>
      <c r="BY215" s="39">
        <f>SUM(BY211:BY214)</f>
        <v>51485</v>
      </c>
      <c r="BZ215" s="39">
        <f>BY215</f>
        <v>51485</v>
      </c>
    </row>
    <row r="217" spans="1:78">
      <c r="A217" s="9" t="s">
        <v>254</v>
      </c>
      <c r="B217" s="9"/>
      <c r="C217" s="9"/>
      <c r="D217" s="9"/>
      <c r="E217" s="9"/>
      <c r="F217" s="9"/>
      <c r="G217" s="9"/>
      <c r="H217" s="9"/>
      <c r="I217" s="9"/>
      <c r="J217" s="39">
        <f t="shared" ref="J217:V217" si="542">J209-J215</f>
        <v>694412</v>
      </c>
      <c r="K217" s="39">
        <f t="shared" si="542"/>
        <v>787202</v>
      </c>
      <c r="L217" s="39">
        <f t="shared" si="542"/>
        <v>983105</v>
      </c>
      <c r="M217" s="39">
        <f t="shared" si="542"/>
        <v>983105</v>
      </c>
      <c r="N217" s="39">
        <f t="shared" si="542"/>
        <v>919624</v>
      </c>
      <c r="O217" s="39">
        <f t="shared" si="542"/>
        <v>1567719</v>
      </c>
      <c r="P217" s="39">
        <f t="shared" si="542"/>
        <v>2716424</v>
      </c>
      <c r="Q217" s="39">
        <f t="shared" si="542"/>
        <v>2978664</v>
      </c>
      <c r="R217" s="39">
        <f t="shared" si="542"/>
        <v>2978664</v>
      </c>
      <c r="S217" s="39">
        <f t="shared" si="542"/>
        <v>3610973</v>
      </c>
      <c r="T217" s="39">
        <f t="shared" si="542"/>
        <v>2911841</v>
      </c>
      <c r="U217" s="39">
        <f t="shared" si="542"/>
        <v>3244220</v>
      </c>
      <c r="V217" s="39">
        <f t="shared" si="542"/>
        <v>2307813</v>
      </c>
      <c r="W217" s="39">
        <f t="shared" ref="W217:X217" si="543">W209-W215</f>
        <v>2307813</v>
      </c>
      <c r="X217" s="39">
        <f t="shared" si="543"/>
        <v>1805602</v>
      </c>
      <c r="Y217" s="39">
        <f t="shared" ref="Y217:AC217" si="544">Y209-Y215</f>
        <v>2704461</v>
      </c>
      <c r="Z217" s="39">
        <f t="shared" si="544"/>
        <v>3939033</v>
      </c>
      <c r="AA217" s="39">
        <f t="shared" si="544"/>
        <v>7044983</v>
      </c>
      <c r="AB217" s="39">
        <f t="shared" si="544"/>
        <v>7044983</v>
      </c>
      <c r="AC217" s="39">
        <f t="shared" si="544"/>
        <v>8341865</v>
      </c>
      <c r="AD217" s="39">
        <f t="shared" ref="AD217:AG217" si="545">AD209-AD215</f>
        <v>8785318</v>
      </c>
      <c r="AE217" s="39">
        <f t="shared" si="545"/>
        <v>9575321</v>
      </c>
      <c r="AF217" s="39">
        <f t="shared" si="545"/>
        <v>8206556</v>
      </c>
      <c r="AG217" s="39">
        <f t="shared" si="545"/>
        <v>8206556</v>
      </c>
      <c r="AH217" s="39">
        <f t="shared" ref="AH217:AI217" si="546">AH209-AH215</f>
        <v>8102941</v>
      </c>
      <c r="AI217" s="39">
        <f t="shared" si="546"/>
        <v>7504163</v>
      </c>
      <c r="AJ217" s="39">
        <f t="shared" ref="AJ217:AM217" si="547">AJ209-AJ215</f>
        <v>6324810</v>
      </c>
      <c r="AK217" s="39">
        <f t="shared" si="547"/>
        <v>5990353</v>
      </c>
      <c r="AL217" s="39">
        <f t="shared" si="547"/>
        <v>5990353</v>
      </c>
      <c r="AM217" s="39">
        <f t="shared" si="547"/>
        <v>6654960</v>
      </c>
      <c r="AN217" s="39">
        <f t="shared" ref="AN217:AQ217" si="548">AN209-AN215</f>
        <v>6059581</v>
      </c>
      <c r="AO217" s="39">
        <f t="shared" si="548"/>
        <v>6060951</v>
      </c>
      <c r="AP217" s="39">
        <f t="shared" si="548"/>
        <v>6319984</v>
      </c>
      <c r="AQ217" s="39">
        <f t="shared" si="548"/>
        <v>6319984</v>
      </c>
      <c r="AR217" s="39">
        <f t="shared" ref="AR217:AV217" si="549">AR209-AR215</f>
        <v>6698896</v>
      </c>
      <c r="AS217" s="39">
        <f t="shared" si="549"/>
        <v>6902445</v>
      </c>
      <c r="AT217" s="39">
        <f t="shared" si="549"/>
        <v>7496197</v>
      </c>
      <c r="AU217" s="39">
        <f t="shared" si="549"/>
        <v>7758125</v>
      </c>
      <c r="AV217" s="39">
        <f t="shared" si="549"/>
        <v>7758125</v>
      </c>
      <c r="AW217" s="39">
        <f t="shared" ref="AW217:AX217" si="550">AW209-AW215</f>
        <v>8804009</v>
      </c>
      <c r="AX217" s="39">
        <f t="shared" si="550"/>
        <v>10791488</v>
      </c>
      <c r="AY217" s="39">
        <f t="shared" ref="AY217" si="551">AY209-AY215</f>
        <v>16596563</v>
      </c>
      <c r="AZ217" s="39">
        <f t="shared" ref="AZ217" si="552">AZ209-AZ215</f>
        <v>16164448.327499997</v>
      </c>
      <c r="BA217" s="39">
        <f t="shared" ref="BA217:BZ217" si="553">BA209-BA215</f>
        <v>16164448.327499997</v>
      </c>
      <c r="BB217" s="39">
        <f t="shared" si="553"/>
        <v>20572706.017500002</v>
      </c>
      <c r="BC217" s="39">
        <f t="shared" si="553"/>
        <v>21980733.2075</v>
      </c>
      <c r="BD217" s="39">
        <f t="shared" si="553"/>
        <v>23368102.897500001</v>
      </c>
      <c r="BE217" s="39">
        <f t="shared" si="553"/>
        <v>22893684.587499999</v>
      </c>
      <c r="BF217" s="39">
        <f t="shared" si="553"/>
        <v>22893684.587499999</v>
      </c>
      <c r="BG217" s="39">
        <f t="shared" si="553"/>
        <v>22418360.2775</v>
      </c>
      <c r="BH217" s="39">
        <f t="shared" si="553"/>
        <v>21923829.967500001</v>
      </c>
      <c r="BI217" s="39">
        <f t="shared" si="553"/>
        <v>21409500.157500003</v>
      </c>
      <c r="BJ217" s="39">
        <f t="shared" si="553"/>
        <v>20979596.3475</v>
      </c>
      <c r="BK217" s="39">
        <f t="shared" si="553"/>
        <v>20979596.3475</v>
      </c>
      <c r="BL217" s="39">
        <f t="shared" si="553"/>
        <v>20113068.037499998</v>
      </c>
      <c r="BM217" s="39">
        <f t="shared" si="553"/>
        <v>19217581.727499999</v>
      </c>
      <c r="BN217" s="39">
        <f t="shared" si="553"/>
        <v>18291894.4175</v>
      </c>
      <c r="BO217" s="39">
        <f t="shared" si="553"/>
        <v>17334779.107500002</v>
      </c>
      <c r="BP217" s="39">
        <f t="shared" si="553"/>
        <v>17334779.107500002</v>
      </c>
      <c r="BQ217" s="39">
        <f t="shared" si="553"/>
        <v>16051970.297499999</v>
      </c>
      <c r="BR217" s="39">
        <f t="shared" si="553"/>
        <v>14745113.987499999</v>
      </c>
      <c r="BS217" s="39">
        <f t="shared" si="553"/>
        <v>13412219.677499998</v>
      </c>
      <c r="BT217" s="39">
        <f t="shared" si="553"/>
        <v>12297419.3675</v>
      </c>
      <c r="BU217" s="39">
        <f t="shared" si="553"/>
        <v>12297419.3675</v>
      </c>
      <c r="BV217" s="39">
        <f t="shared" si="553"/>
        <v>11159504.557499999</v>
      </c>
      <c r="BW217" s="39">
        <f t="shared" si="553"/>
        <v>9999448.7474999987</v>
      </c>
      <c r="BX217" s="39">
        <f t="shared" si="553"/>
        <v>8815267.4375</v>
      </c>
      <c r="BY217" s="39">
        <f t="shared" si="553"/>
        <v>7607206.6274999995</v>
      </c>
      <c r="BZ217" s="39">
        <f t="shared" si="553"/>
        <v>7607206.6274999995</v>
      </c>
    </row>
    <row r="218" spans="1:78">
      <c r="A218" s="1" t="s">
        <v>256</v>
      </c>
      <c r="J218" s="16">
        <f t="shared" ref="J218:V218" si="554">J217/J209</f>
        <v>0.37473901206386212</v>
      </c>
      <c r="K218" s="16">
        <f t="shared" si="554"/>
        <v>0.29615848953534613</v>
      </c>
      <c r="L218" s="16">
        <f t="shared" si="554"/>
        <v>0.34765915642778938</v>
      </c>
      <c r="M218" s="16">
        <f t="shared" si="554"/>
        <v>0.34765915642778938</v>
      </c>
      <c r="N218" s="16">
        <f t="shared" si="554"/>
        <v>0.31361299270585774</v>
      </c>
      <c r="O218" s="16">
        <f t="shared" si="554"/>
        <v>0.41856335483126844</v>
      </c>
      <c r="P218" s="16">
        <f t="shared" si="554"/>
        <v>0.41736957469672448</v>
      </c>
      <c r="Q218" s="16">
        <f t="shared" si="554"/>
        <v>0.41860867113785727</v>
      </c>
      <c r="R218" s="16">
        <f t="shared" si="554"/>
        <v>0.41860867113785727</v>
      </c>
      <c r="S218" s="16">
        <f t="shared" si="554"/>
        <v>0.44683972069771866</v>
      </c>
      <c r="T218" s="16">
        <f t="shared" si="554"/>
        <v>0.38902761966358762</v>
      </c>
      <c r="U218" s="16">
        <f t="shared" si="554"/>
        <v>0.40383351934472872</v>
      </c>
      <c r="V218" s="16">
        <f t="shared" si="554"/>
        <v>0.33484261702159762</v>
      </c>
      <c r="W218" s="16">
        <f t="shared" ref="W218:X218" si="555">W217/W209</f>
        <v>0.33484261702159762</v>
      </c>
      <c r="X218" s="16">
        <f t="shared" si="555"/>
        <v>0.25651246291753904</v>
      </c>
      <c r="Y218" s="16">
        <f t="shared" ref="Y218:AC218" si="556">Y217/Y209</f>
        <v>0.34021022011522406</v>
      </c>
      <c r="Z218" s="16">
        <f t="shared" si="556"/>
        <v>0.41927135527824577</v>
      </c>
      <c r="AA218" s="16">
        <f t="shared" si="556"/>
        <v>0.51623797682880945</v>
      </c>
      <c r="AB218" s="16">
        <f t="shared" si="556"/>
        <v>0.51623797682880945</v>
      </c>
      <c r="AC218" s="16">
        <f t="shared" si="556"/>
        <v>0.56393734691239639</v>
      </c>
      <c r="AD218" s="16">
        <f t="shared" ref="AD218:AG218" si="557">AD217/AD209</f>
        <v>0.60013179879118639</v>
      </c>
      <c r="AE218" s="16">
        <f t="shared" si="557"/>
        <v>0.60996295053172012</v>
      </c>
      <c r="AF218" s="16">
        <f t="shared" si="557"/>
        <v>0.59612980627965606</v>
      </c>
      <c r="AG218" s="16">
        <f t="shared" si="557"/>
        <v>0.59612980627965606</v>
      </c>
      <c r="AH218" s="16">
        <f t="shared" ref="AH218:AI218" si="558">AH217/AH209</f>
        <v>0.60150752854917455</v>
      </c>
      <c r="AI218" s="16">
        <f t="shared" si="558"/>
        <v>0.59132055780868165</v>
      </c>
      <c r="AJ218" s="16">
        <f t="shared" ref="AJ218:AM218" si="559">AJ217/AJ209</f>
        <v>0.58256877903087301</v>
      </c>
      <c r="AK218" s="16">
        <f t="shared" si="559"/>
        <v>0.57106880430196338</v>
      </c>
      <c r="AL218" s="16">
        <f t="shared" si="559"/>
        <v>0.57106880430196338</v>
      </c>
      <c r="AM218" s="16">
        <f t="shared" si="559"/>
        <v>0.57982762766739737</v>
      </c>
      <c r="AN218" s="16">
        <f t="shared" ref="AN218:AQ218" si="560">AN217/AN209</f>
        <v>0.54677555170400038</v>
      </c>
      <c r="AO218" s="16">
        <f t="shared" si="560"/>
        <v>0.56497329288784126</v>
      </c>
      <c r="AP218" s="16">
        <f t="shared" si="560"/>
        <v>0.57378832078153075</v>
      </c>
      <c r="AQ218" s="16">
        <f t="shared" si="560"/>
        <v>0.57378832078153075</v>
      </c>
      <c r="AR218" s="16">
        <f t="shared" ref="AR218:AV218" si="561">AR217/AR209</f>
        <v>0.57021911854621576</v>
      </c>
      <c r="AS218" s="16">
        <f t="shared" si="561"/>
        <v>0.63190136309602551</v>
      </c>
      <c r="AT218" s="16">
        <f t="shared" si="561"/>
        <v>0.63761747257321733</v>
      </c>
      <c r="AU218" s="16">
        <f t="shared" si="561"/>
        <v>0.67988590229606338</v>
      </c>
      <c r="AV218" s="16">
        <f t="shared" si="561"/>
        <v>0.67988590229606338</v>
      </c>
      <c r="AW218" s="16">
        <f t="shared" ref="AW218:AX218" si="562">AW217/AW209</f>
        <v>0.70699048575191581</v>
      </c>
      <c r="AX218" s="16">
        <f t="shared" si="562"/>
        <v>0.74023161047318287</v>
      </c>
      <c r="AY218" s="16">
        <f t="shared" ref="AY218" si="563">AY217/AY209</f>
        <v>0.82049376169538435</v>
      </c>
      <c r="AZ218" s="16">
        <f t="shared" ref="AZ218" si="564">AZ217/AZ209</f>
        <v>0.82387285643957953</v>
      </c>
      <c r="BA218" s="16">
        <f t="shared" ref="BA218:BZ218" si="565">BA217/BA209</f>
        <v>0.82387285643957953</v>
      </c>
      <c r="BB218" s="16">
        <f t="shared" si="565"/>
        <v>0.8662667262267203</v>
      </c>
      <c r="BC218" s="16">
        <f t="shared" si="565"/>
        <v>0.88327718599121618</v>
      </c>
      <c r="BD218" s="16">
        <f t="shared" si="565"/>
        <v>0.89872714942524989</v>
      </c>
      <c r="BE218" s="16">
        <f t="shared" si="565"/>
        <v>0.90605039410690236</v>
      </c>
      <c r="BF218" s="16">
        <f t="shared" si="565"/>
        <v>0.90605039410690236</v>
      </c>
      <c r="BG218" s="16">
        <f t="shared" si="565"/>
        <v>0.91162619780509857</v>
      </c>
      <c r="BH218" s="16">
        <f t="shared" si="565"/>
        <v>0.91758778586437195</v>
      </c>
      <c r="BI218" s="16">
        <f t="shared" si="565"/>
        <v>0.92404498732248064</v>
      </c>
      <c r="BJ218" s="16">
        <f t="shared" si="565"/>
        <v>0.9358016769821571</v>
      </c>
      <c r="BK218" s="16">
        <f t="shared" si="565"/>
        <v>0.9358016769821571</v>
      </c>
      <c r="BL218" s="16">
        <f t="shared" si="565"/>
        <v>0.94149331401548941</v>
      </c>
      <c r="BM218" s="16">
        <f t="shared" si="565"/>
        <v>0.94779771371871235</v>
      </c>
      <c r="BN218" s="16">
        <f t="shared" si="565"/>
        <v>0.95492076616602883</v>
      </c>
      <c r="BO218" s="16">
        <f t="shared" si="565"/>
        <v>0.96297054697344753</v>
      </c>
      <c r="BP218" s="16">
        <f t="shared" si="565"/>
        <v>0.96297054697344753</v>
      </c>
      <c r="BQ218" s="16">
        <f t="shared" si="565"/>
        <v>0.97173309050107071</v>
      </c>
      <c r="BR218" s="16">
        <f t="shared" si="565"/>
        <v>0.98251722563811505</v>
      </c>
      <c r="BS218" s="16">
        <f t="shared" si="565"/>
        <v>0.99579341342637273</v>
      </c>
      <c r="BT218" s="16">
        <f t="shared" si="565"/>
        <v>0.99536616475811834</v>
      </c>
      <c r="BU218" s="16">
        <f t="shared" si="565"/>
        <v>0.99536616475811834</v>
      </c>
      <c r="BV218" s="16">
        <f t="shared" si="565"/>
        <v>0.99490973203044508</v>
      </c>
      <c r="BW218" s="16">
        <f t="shared" si="565"/>
        <v>0.99441090373848029</v>
      </c>
      <c r="BX218" s="16">
        <f t="shared" si="565"/>
        <v>0.99384712858378776</v>
      </c>
      <c r="BY218" s="16">
        <f t="shared" si="565"/>
        <v>0.99327757239694403</v>
      </c>
      <c r="BZ218" s="16">
        <f t="shared" si="565"/>
        <v>0.99327757239694403</v>
      </c>
    </row>
    <row r="219" spans="1:78">
      <c r="J219" s="57" t="s">
        <v>255</v>
      </c>
    </row>
    <row r="220" spans="1:78" s="12" customFormat="1">
      <c r="A220" s="13" t="s">
        <v>261</v>
      </c>
      <c r="I220" s="69"/>
    </row>
    <row r="221" spans="1:78">
      <c r="I221" s="57"/>
      <c r="Y221" s="98" t="s">
        <v>498</v>
      </c>
      <c r="Z221" s="71"/>
      <c r="AA221" s="71"/>
      <c r="AB221" s="71"/>
    </row>
    <row r="222" spans="1:78">
      <c r="A222" s="1" t="s">
        <v>251</v>
      </c>
      <c r="I222" s="38">
        <f>MROUND(I209/I$237, 5)</f>
        <v>4315</v>
      </c>
      <c r="J222" s="38">
        <f t="shared" ref="J222:AB222" si="566">MROUND(J209/J$237, 5)</f>
        <v>16440</v>
      </c>
      <c r="K222" s="38">
        <f t="shared" si="566"/>
        <v>23525</v>
      </c>
      <c r="L222" s="38">
        <f t="shared" si="566"/>
        <v>26615</v>
      </c>
      <c r="M222" s="38">
        <f t="shared" si="566"/>
        <v>26615</v>
      </c>
      <c r="N222" s="38">
        <f t="shared" si="566"/>
        <v>26530</v>
      </c>
      <c r="O222" s="38">
        <f t="shared" si="566"/>
        <v>32980</v>
      </c>
      <c r="P222" s="38">
        <f t="shared" si="566"/>
        <v>58635</v>
      </c>
      <c r="Q222" s="38">
        <f t="shared" si="566"/>
        <v>64110</v>
      </c>
      <c r="R222" s="38">
        <f t="shared" si="566"/>
        <v>64110</v>
      </c>
      <c r="S222" s="38">
        <f t="shared" si="566"/>
        <v>74970</v>
      </c>
      <c r="T222" s="38">
        <f t="shared" si="566"/>
        <v>69355</v>
      </c>
      <c r="U222" s="38">
        <f t="shared" si="566"/>
        <v>73325</v>
      </c>
      <c r="V222" s="38">
        <f t="shared" si="566"/>
        <v>63330</v>
      </c>
      <c r="W222" s="38">
        <f t="shared" si="566"/>
        <v>63330</v>
      </c>
      <c r="X222" s="38">
        <f t="shared" si="566"/>
        <v>65335</v>
      </c>
      <c r="Y222" s="38">
        <f t="shared" si="566"/>
        <v>75135</v>
      </c>
      <c r="Z222" s="38">
        <f t="shared" si="566"/>
        <v>90770</v>
      </c>
      <c r="AA222" s="38">
        <f t="shared" si="566"/>
        <v>123265</v>
      </c>
      <c r="AB222" s="38">
        <f t="shared" si="566"/>
        <v>123265</v>
      </c>
      <c r="AC222" s="38">
        <f t="shared" ref="AC222:AI222" si="567">MROUND(AC209/AC$237, 5)</f>
        <v>133770</v>
      </c>
      <c r="AD222" s="38">
        <f t="shared" si="567"/>
        <v>130800</v>
      </c>
      <c r="AE222" s="38">
        <f t="shared" si="567"/>
        <v>136480</v>
      </c>
      <c r="AF222" s="38">
        <f t="shared" si="567"/>
        <v>112480</v>
      </c>
      <c r="AG222" s="38">
        <f t="shared" si="567"/>
        <v>112480</v>
      </c>
      <c r="AH222" s="38">
        <f t="shared" si="567"/>
        <v>98560</v>
      </c>
      <c r="AI222" s="38">
        <f t="shared" si="567"/>
        <v>87635</v>
      </c>
      <c r="AJ222" s="38">
        <f t="shared" ref="AJ222:AM222" si="568">MROUND(AJ209/AJ$237, 5)</f>
        <v>81815</v>
      </c>
      <c r="AK222" s="38">
        <f t="shared" si="568"/>
        <v>78555</v>
      </c>
      <c r="AL222" s="38">
        <f t="shared" si="568"/>
        <v>78555</v>
      </c>
      <c r="AM222" s="38">
        <f t="shared" si="568"/>
        <v>79160</v>
      </c>
      <c r="AN222" s="38">
        <f t="shared" ref="AN222:AR222" si="569">MROUND(AN209/AN$237, 5)</f>
        <v>74090</v>
      </c>
      <c r="AO222" s="38">
        <f t="shared" si="569"/>
        <v>75640</v>
      </c>
      <c r="AP222" s="38">
        <f t="shared" si="569"/>
        <v>72745</v>
      </c>
      <c r="AQ222" s="38">
        <f t="shared" si="569"/>
        <v>72745</v>
      </c>
      <c r="AR222" s="38">
        <f t="shared" si="569"/>
        <v>72935</v>
      </c>
      <c r="AS222" s="38">
        <f t="shared" ref="AS222:AW222" si="570">MROUND(AS209/AS$237, 5)</f>
        <v>76530</v>
      </c>
      <c r="AT222" s="38">
        <f t="shared" si="570"/>
        <v>74325</v>
      </c>
      <c r="AU222" s="38">
        <f t="shared" si="570"/>
        <v>76315</v>
      </c>
      <c r="AV222" s="38">
        <f t="shared" si="570"/>
        <v>76315</v>
      </c>
      <c r="AW222" s="38">
        <f t="shared" si="570"/>
        <v>85995</v>
      </c>
      <c r="AX222" s="38">
        <f t="shared" ref="AX222:AY222" si="571">MROUND(AX209/AX$237, 5)</f>
        <v>97920</v>
      </c>
      <c r="AY222" s="38">
        <f t="shared" si="571"/>
        <v>129200</v>
      </c>
      <c r="AZ222" s="36">
        <f t="shared" ref="AZ222:BZ222" si="572">AZ248</f>
        <v>126499.52499999999</v>
      </c>
      <c r="BA222" s="36">
        <f t="shared" si="572"/>
        <v>126499.52499999999</v>
      </c>
      <c r="BB222" s="36">
        <f t="shared" si="572"/>
        <v>153514.52499999999</v>
      </c>
      <c r="BC222" s="36">
        <f t="shared" si="572"/>
        <v>161279.52499999999</v>
      </c>
      <c r="BD222" s="36">
        <f t="shared" si="572"/>
        <v>168949.52499999999</v>
      </c>
      <c r="BE222" s="36">
        <f t="shared" si="572"/>
        <v>164609.52499999999</v>
      </c>
      <c r="BF222" s="36">
        <f t="shared" si="572"/>
        <v>164609.52499999999</v>
      </c>
      <c r="BG222" s="36">
        <f t="shared" si="572"/>
        <v>160624.52499999999</v>
      </c>
      <c r="BH222" s="36">
        <f t="shared" si="572"/>
        <v>156469.52499999999</v>
      </c>
      <c r="BI222" s="36">
        <f t="shared" si="572"/>
        <v>152129.52499999999</v>
      </c>
      <c r="BJ222" s="36">
        <f t="shared" si="572"/>
        <v>147589.52499999999</v>
      </c>
      <c r="BK222" s="36">
        <f t="shared" si="572"/>
        <v>147589.52499999999</v>
      </c>
      <c r="BL222" s="36">
        <f t="shared" si="572"/>
        <v>141009.52499999999</v>
      </c>
      <c r="BM222" s="36">
        <f t="shared" si="572"/>
        <v>134189.52499999999</v>
      </c>
      <c r="BN222" s="36">
        <f t="shared" si="572"/>
        <v>127109.52499999999</v>
      </c>
      <c r="BO222" s="36">
        <f t="shared" si="572"/>
        <v>119769.52499999999</v>
      </c>
      <c r="BP222" s="36">
        <f t="shared" si="572"/>
        <v>119769.52499999999</v>
      </c>
      <c r="BQ222" s="36">
        <f t="shared" si="572"/>
        <v>110199.52499999999</v>
      </c>
      <c r="BR222" s="36">
        <f t="shared" si="572"/>
        <v>100384.52499999999</v>
      </c>
      <c r="BS222" s="36">
        <f t="shared" si="572"/>
        <v>90334.524999999994</v>
      </c>
      <c r="BT222" s="36">
        <f t="shared" si="572"/>
        <v>83084.524999999994</v>
      </c>
      <c r="BU222" s="36">
        <f t="shared" si="572"/>
        <v>83084.524999999994</v>
      </c>
      <c r="BV222" s="36">
        <f t="shared" si="572"/>
        <v>75634.524999999994</v>
      </c>
      <c r="BW222" s="36">
        <f t="shared" si="572"/>
        <v>67989.524999999994</v>
      </c>
      <c r="BX222" s="36">
        <f t="shared" si="572"/>
        <v>60134.525000000001</v>
      </c>
      <c r="BY222" s="36">
        <f t="shared" si="572"/>
        <v>52064.525000000001</v>
      </c>
      <c r="BZ222" s="36">
        <f t="shared" si="572"/>
        <v>52064.525000000001</v>
      </c>
    </row>
    <row r="223" spans="1:78">
      <c r="A223" s="57" t="s">
        <v>344</v>
      </c>
      <c r="B223" s="57"/>
      <c r="C223" s="57"/>
      <c r="D223" s="57"/>
      <c r="E223" s="57"/>
      <c r="F223" s="57"/>
      <c r="G223" s="57"/>
      <c r="H223" s="57"/>
      <c r="I223" s="95"/>
      <c r="J223" s="95">
        <f>MROUND(J571, 5)</f>
        <v>3800</v>
      </c>
      <c r="K223" s="95">
        <f t="shared" ref="K223:Y223" si="573">MROUND(K571, 5)</f>
        <v>6465</v>
      </c>
      <c r="L223" s="95">
        <f t="shared" si="573"/>
        <v>6465</v>
      </c>
      <c r="M223" s="95">
        <f t="shared" si="573"/>
        <v>6465</v>
      </c>
      <c r="N223" s="95">
        <f t="shared" si="573"/>
        <v>7205</v>
      </c>
      <c r="O223" s="95">
        <f t="shared" si="573"/>
        <v>8050</v>
      </c>
      <c r="P223" s="95">
        <f t="shared" si="573"/>
        <v>8200</v>
      </c>
      <c r="Q223" s="95">
        <f t="shared" si="573"/>
        <v>8200</v>
      </c>
      <c r="R223" s="95">
        <f t="shared" si="573"/>
        <v>8200</v>
      </c>
      <c r="S223" s="95">
        <f t="shared" si="573"/>
        <v>8200</v>
      </c>
      <c r="T223" s="95">
        <f t="shared" si="573"/>
        <v>8200</v>
      </c>
      <c r="U223" s="95">
        <f t="shared" si="573"/>
        <v>8200</v>
      </c>
      <c r="V223" s="95">
        <f t="shared" si="573"/>
        <v>8200</v>
      </c>
      <c r="W223" s="95">
        <f t="shared" si="573"/>
        <v>8200</v>
      </c>
      <c r="X223" s="95">
        <f t="shared" si="573"/>
        <v>8200</v>
      </c>
      <c r="Y223" s="95">
        <f t="shared" si="573"/>
        <v>8200</v>
      </c>
      <c r="Z223" s="95">
        <f t="shared" ref="Z223:AG223" si="574">MROUND(Z571, 5)</f>
        <v>8200</v>
      </c>
      <c r="AA223" s="95">
        <f t="shared" si="574"/>
        <v>8200</v>
      </c>
      <c r="AB223" s="95">
        <f t="shared" si="574"/>
        <v>8200</v>
      </c>
      <c r="AC223" s="95">
        <f t="shared" si="574"/>
        <v>8200</v>
      </c>
      <c r="AD223" s="95">
        <f t="shared" si="574"/>
        <v>8200</v>
      </c>
      <c r="AE223" s="95">
        <f t="shared" si="574"/>
        <v>8200</v>
      </c>
      <c r="AF223" s="95">
        <f t="shared" si="574"/>
        <v>8200</v>
      </c>
      <c r="AG223" s="95">
        <f t="shared" si="574"/>
        <v>8200</v>
      </c>
      <c r="AH223" s="95">
        <f>MROUND(AH571, 5)</f>
        <v>8200</v>
      </c>
      <c r="AI223" s="95">
        <f>MROUND(AI571, 5)</f>
        <v>8200</v>
      </c>
      <c r="AJ223" s="95">
        <f>MROUND(AJ571, 5)</f>
        <v>8200</v>
      </c>
      <c r="AK223" s="95">
        <f>MROUND(AK571, 5)</f>
        <v>8200</v>
      </c>
      <c r="AL223" s="95">
        <f t="shared" ref="AL223:AM223" si="575">MROUND(AL571, 5)</f>
        <v>8200</v>
      </c>
      <c r="AM223" s="95">
        <f t="shared" si="575"/>
        <v>9400</v>
      </c>
      <c r="AN223" s="95">
        <f>MROUND(AN571, 5)</f>
        <v>0</v>
      </c>
      <c r="AO223" s="95">
        <f>MROUND(AO571, 5)</f>
        <v>0</v>
      </c>
      <c r="AP223" s="95">
        <f>MROUND(AP571, 5)</f>
        <v>0</v>
      </c>
      <c r="AQ223" s="95">
        <f t="shared" ref="AQ223:AR223" si="576">MROUND(AQ571, 5)</f>
        <v>0</v>
      </c>
      <c r="AR223" s="95">
        <f t="shared" si="576"/>
        <v>0</v>
      </c>
      <c r="AS223" s="95">
        <f>MROUND(AS571, 5)</f>
        <v>0</v>
      </c>
      <c r="AT223" s="95">
        <f>MROUND(AT571, 5)</f>
        <v>0</v>
      </c>
      <c r="AU223" s="95">
        <f>MROUND(AU571, 5)</f>
        <v>0</v>
      </c>
      <c r="AV223" s="95">
        <f t="shared" ref="AV223:AW223" si="577">MROUND(AV571, 5)</f>
        <v>0</v>
      </c>
      <c r="AW223" s="95">
        <f t="shared" si="577"/>
        <v>0</v>
      </c>
      <c r="AX223" s="95">
        <f>MROUND(AX571, 5)</f>
        <v>0</v>
      </c>
      <c r="AY223" s="95">
        <f>MROUND(AY571, 5)</f>
        <v>0</v>
      </c>
    </row>
    <row r="224" spans="1:78">
      <c r="A224" s="94" t="s">
        <v>345</v>
      </c>
      <c r="B224" s="94"/>
      <c r="C224" s="94"/>
      <c r="D224" s="94"/>
      <c r="E224" s="94"/>
      <c r="F224" s="94"/>
      <c r="G224" s="94"/>
      <c r="H224" s="94"/>
      <c r="I224" s="96"/>
      <c r="J224" s="96">
        <f>SUM(J222:J223)</f>
        <v>20240</v>
      </c>
      <c r="K224" s="96">
        <f t="shared" ref="K224:S224" si="578">SUM(K222:K223)</f>
        <v>29990</v>
      </c>
      <c r="L224" s="96">
        <f t="shared" si="578"/>
        <v>33080</v>
      </c>
      <c r="M224" s="96">
        <f t="shared" si="578"/>
        <v>33080</v>
      </c>
      <c r="N224" s="96">
        <f t="shared" si="578"/>
        <v>33735</v>
      </c>
      <c r="O224" s="96">
        <f t="shared" si="578"/>
        <v>41030</v>
      </c>
      <c r="P224" s="96">
        <f t="shared" si="578"/>
        <v>66835</v>
      </c>
      <c r="Q224" s="96">
        <f t="shared" si="578"/>
        <v>72310</v>
      </c>
      <c r="R224" s="96">
        <f t="shared" si="578"/>
        <v>72310</v>
      </c>
      <c r="S224" s="96">
        <f t="shared" si="578"/>
        <v>83170</v>
      </c>
      <c r="T224" s="96">
        <f t="shared" ref="T224:U224" si="579">SUM(T222:T223)</f>
        <v>77555</v>
      </c>
      <c r="U224" s="96">
        <f t="shared" si="579"/>
        <v>81525</v>
      </c>
      <c r="V224" s="96">
        <f t="shared" ref="V224:W224" si="580">SUM(V222:V223)</f>
        <v>71530</v>
      </c>
      <c r="W224" s="96">
        <f t="shared" si="580"/>
        <v>71530</v>
      </c>
      <c r="X224" s="96">
        <f t="shared" ref="X224:AB224" si="581">SUM(X222:X223)</f>
        <v>73535</v>
      </c>
      <c r="Y224" s="96">
        <f t="shared" si="581"/>
        <v>83335</v>
      </c>
      <c r="Z224" s="96">
        <f t="shared" si="581"/>
        <v>98970</v>
      </c>
      <c r="AA224" s="96">
        <f t="shared" si="581"/>
        <v>131465</v>
      </c>
      <c r="AB224" s="96">
        <f t="shared" si="581"/>
        <v>131465</v>
      </c>
      <c r="AC224" s="96">
        <f t="shared" ref="AC224:AD224" si="582">SUM(AC222:AC223)</f>
        <v>141970</v>
      </c>
      <c r="AD224" s="96">
        <f t="shared" si="582"/>
        <v>139000</v>
      </c>
      <c r="AE224" s="96">
        <f t="shared" ref="AE224:AF224" si="583">SUM(AE222:AE223)</f>
        <v>144680</v>
      </c>
      <c r="AF224" s="96">
        <f t="shared" si="583"/>
        <v>120680</v>
      </c>
      <c r="AG224" s="96">
        <f t="shared" ref="AG224:AH224" si="584">SUM(AG222:AG223)</f>
        <v>120680</v>
      </c>
      <c r="AH224" s="96">
        <f t="shared" si="584"/>
        <v>106760</v>
      </c>
      <c r="AI224" s="96">
        <f t="shared" ref="AI224:AJ224" si="585">SUM(AI222:AI223)</f>
        <v>95835</v>
      </c>
      <c r="AJ224" s="96">
        <f t="shared" si="585"/>
        <v>90015</v>
      </c>
      <c r="AK224" s="96">
        <f t="shared" ref="AK224:AM224" si="586">SUM(AK222:AK223)</f>
        <v>86755</v>
      </c>
      <c r="AL224" s="96">
        <f t="shared" si="586"/>
        <v>86755</v>
      </c>
      <c r="AM224" s="96">
        <f t="shared" si="586"/>
        <v>88560</v>
      </c>
      <c r="AN224" s="96">
        <f t="shared" ref="AN224:AR224" si="587">SUM(AN222:AN223)</f>
        <v>74090</v>
      </c>
      <c r="AO224" s="96">
        <f t="shared" si="587"/>
        <v>75640</v>
      </c>
      <c r="AP224" s="96">
        <f t="shared" si="587"/>
        <v>72745</v>
      </c>
      <c r="AQ224" s="96">
        <f t="shared" si="587"/>
        <v>72745</v>
      </c>
      <c r="AR224" s="96">
        <f t="shared" si="587"/>
        <v>72935</v>
      </c>
      <c r="AS224" s="96">
        <f t="shared" ref="AS224:AW224" si="588">SUM(AS222:AS223)</f>
        <v>76530</v>
      </c>
      <c r="AT224" s="96">
        <f t="shared" si="588"/>
        <v>74325</v>
      </c>
      <c r="AU224" s="96">
        <f t="shared" si="588"/>
        <v>76315</v>
      </c>
      <c r="AV224" s="96">
        <f t="shared" si="588"/>
        <v>76315</v>
      </c>
      <c r="AW224" s="96">
        <f t="shared" si="588"/>
        <v>85995</v>
      </c>
      <c r="AX224" s="96">
        <f t="shared" ref="AX224:AY224" si="589">SUM(AX222:AX223)</f>
        <v>97920</v>
      </c>
      <c r="AY224" s="96">
        <f t="shared" si="589"/>
        <v>129200</v>
      </c>
      <c r="AZ224" s="96">
        <f t="shared" ref="AZ224:BZ224" si="590">SUM(AZ222:AZ223)</f>
        <v>126499.52499999999</v>
      </c>
      <c r="BA224" s="96">
        <f t="shared" si="590"/>
        <v>126499.52499999999</v>
      </c>
      <c r="BB224" s="96">
        <f t="shared" si="590"/>
        <v>153514.52499999999</v>
      </c>
      <c r="BC224" s="96">
        <f t="shared" si="590"/>
        <v>161279.52499999999</v>
      </c>
      <c r="BD224" s="96">
        <f t="shared" si="590"/>
        <v>168949.52499999999</v>
      </c>
      <c r="BE224" s="96">
        <f t="shared" si="590"/>
        <v>164609.52499999999</v>
      </c>
      <c r="BF224" s="96">
        <f t="shared" si="590"/>
        <v>164609.52499999999</v>
      </c>
      <c r="BG224" s="96">
        <f t="shared" si="590"/>
        <v>160624.52499999999</v>
      </c>
      <c r="BH224" s="96">
        <f t="shared" si="590"/>
        <v>156469.52499999999</v>
      </c>
      <c r="BI224" s="96">
        <f t="shared" si="590"/>
        <v>152129.52499999999</v>
      </c>
      <c r="BJ224" s="96">
        <f t="shared" si="590"/>
        <v>147589.52499999999</v>
      </c>
      <c r="BK224" s="96">
        <f t="shared" si="590"/>
        <v>147589.52499999999</v>
      </c>
      <c r="BL224" s="96">
        <f t="shared" si="590"/>
        <v>141009.52499999999</v>
      </c>
      <c r="BM224" s="96">
        <f t="shared" si="590"/>
        <v>134189.52499999999</v>
      </c>
      <c r="BN224" s="96">
        <f t="shared" si="590"/>
        <v>127109.52499999999</v>
      </c>
      <c r="BO224" s="96">
        <f t="shared" si="590"/>
        <v>119769.52499999999</v>
      </c>
      <c r="BP224" s="96">
        <f t="shared" si="590"/>
        <v>119769.52499999999</v>
      </c>
      <c r="BQ224" s="96">
        <f t="shared" si="590"/>
        <v>110199.52499999999</v>
      </c>
      <c r="BR224" s="96">
        <f t="shared" si="590"/>
        <v>100384.52499999999</v>
      </c>
      <c r="BS224" s="96">
        <f t="shared" si="590"/>
        <v>90334.524999999994</v>
      </c>
      <c r="BT224" s="96">
        <f t="shared" si="590"/>
        <v>83084.524999999994</v>
      </c>
      <c r="BU224" s="96">
        <f t="shared" si="590"/>
        <v>83084.524999999994</v>
      </c>
      <c r="BV224" s="96">
        <f t="shared" si="590"/>
        <v>75634.524999999994</v>
      </c>
      <c r="BW224" s="96">
        <f t="shared" si="590"/>
        <v>67989.524999999994</v>
      </c>
      <c r="BX224" s="96">
        <f t="shared" si="590"/>
        <v>60134.525000000001</v>
      </c>
      <c r="BY224" s="96">
        <f t="shared" si="590"/>
        <v>52064.525000000001</v>
      </c>
      <c r="BZ224" s="96">
        <f t="shared" si="590"/>
        <v>52064.525000000001</v>
      </c>
    </row>
    <row r="225" spans="1:78">
      <c r="A225" s="1" t="s">
        <v>262</v>
      </c>
      <c r="I225" s="36"/>
      <c r="J225" s="36">
        <f>J691</f>
        <v>17000</v>
      </c>
      <c r="K225" s="36">
        <f>K691</f>
        <v>25800</v>
      </c>
      <c r="L225" s="36">
        <f>L691</f>
        <v>26300</v>
      </c>
      <c r="M225" s="36">
        <f>M691</f>
        <v>26300</v>
      </c>
      <c r="N225" s="36">
        <f>N691</f>
        <v>28600</v>
      </c>
      <c r="O225" s="36">
        <f t="shared" ref="O225:U225" si="591">O691</f>
        <v>28900</v>
      </c>
      <c r="P225" s="36">
        <f t="shared" si="591"/>
        <v>50300</v>
      </c>
      <c r="Q225" s="36">
        <f t="shared" si="591"/>
        <v>53500</v>
      </c>
      <c r="R225" s="36">
        <f t="shared" si="591"/>
        <v>53500</v>
      </c>
      <c r="S225" s="36">
        <f t="shared" si="591"/>
        <v>58900</v>
      </c>
      <c r="T225" s="36">
        <f t="shared" si="591"/>
        <v>66400</v>
      </c>
      <c r="U225" s="36">
        <f t="shared" si="591"/>
        <v>69700</v>
      </c>
      <c r="V225" s="36">
        <f t="shared" ref="V225:W225" si="592">V691</f>
        <v>73100</v>
      </c>
      <c r="W225" s="36">
        <f t="shared" si="592"/>
        <v>73100</v>
      </c>
      <c r="X225" s="36">
        <f>X691</f>
        <v>78200</v>
      </c>
      <c r="Y225" s="107">
        <f t="shared" ref="Y225:AO225" si="593">Y691+Y869</f>
        <v>79300</v>
      </c>
      <c r="Z225" s="36">
        <f t="shared" si="593"/>
        <v>80300</v>
      </c>
      <c r="AA225" s="36">
        <f t="shared" si="593"/>
        <v>78400</v>
      </c>
      <c r="AB225" s="36">
        <f t="shared" si="593"/>
        <v>78400</v>
      </c>
      <c r="AC225" s="36">
        <f t="shared" si="593"/>
        <v>89000</v>
      </c>
      <c r="AD225" s="36">
        <f t="shared" si="593"/>
        <v>93000</v>
      </c>
      <c r="AE225" s="36">
        <f t="shared" si="593"/>
        <v>101900</v>
      </c>
      <c r="AF225" s="36">
        <f t="shared" si="593"/>
        <v>105800</v>
      </c>
      <c r="AG225" s="36">
        <f t="shared" si="593"/>
        <v>105800</v>
      </c>
      <c r="AH225" s="36">
        <f t="shared" si="593"/>
        <v>104000</v>
      </c>
      <c r="AI225" s="36">
        <f t="shared" si="593"/>
        <v>103700</v>
      </c>
      <c r="AJ225" s="36">
        <f t="shared" si="593"/>
        <v>104000</v>
      </c>
      <c r="AK225" s="36">
        <f t="shared" si="593"/>
        <v>103900</v>
      </c>
      <c r="AL225" s="36">
        <f t="shared" si="593"/>
        <v>103900</v>
      </c>
      <c r="AM225" s="36">
        <f t="shared" si="593"/>
        <v>105300</v>
      </c>
      <c r="AN225" s="36">
        <f t="shared" si="593"/>
        <v>107100</v>
      </c>
      <c r="AO225" s="36">
        <f t="shared" si="593"/>
        <v>107400</v>
      </c>
      <c r="AP225" s="36">
        <f t="shared" ref="AP225:AT225" si="594">AP691+AP869</f>
        <v>106300</v>
      </c>
      <c r="AQ225" s="36">
        <f t="shared" si="594"/>
        <v>106300</v>
      </c>
      <c r="AR225" s="36">
        <f t="shared" si="594"/>
        <v>105800</v>
      </c>
      <c r="AS225" s="36">
        <f t="shared" si="594"/>
        <v>102100</v>
      </c>
      <c r="AT225" s="36">
        <f t="shared" si="594"/>
        <v>102900</v>
      </c>
      <c r="AU225" s="36">
        <f t="shared" ref="AU225:AY225" si="595">AU691+AU869</f>
        <v>102400</v>
      </c>
      <c r="AV225" s="36">
        <f t="shared" si="595"/>
        <v>102400</v>
      </c>
      <c r="AW225" s="36">
        <f t="shared" si="595"/>
        <v>102100</v>
      </c>
      <c r="AX225" s="36">
        <f t="shared" si="595"/>
        <v>98500</v>
      </c>
      <c r="AY225" s="36">
        <f t="shared" si="595"/>
        <v>122700</v>
      </c>
      <c r="AZ225" s="36">
        <f t="shared" ref="AZ225:BZ225" si="596">AZ691+AZ869</f>
        <v>122520.16176470589</v>
      </c>
      <c r="BA225" s="36">
        <f t="shared" si="596"/>
        <v>122520.16176470589</v>
      </c>
      <c r="BB225" s="36">
        <f t="shared" si="596"/>
        <v>117985.16176470589</v>
      </c>
      <c r="BC225" s="36">
        <f t="shared" si="596"/>
        <v>113360.16176470589</v>
      </c>
      <c r="BD225" s="36">
        <f t="shared" si="596"/>
        <v>108645.16176470589</v>
      </c>
      <c r="BE225" s="36">
        <f t="shared" si="596"/>
        <v>103930.16176470589</v>
      </c>
      <c r="BF225" s="36">
        <f t="shared" si="596"/>
        <v>103930.16176470589</v>
      </c>
      <c r="BG225" s="36">
        <f t="shared" si="596"/>
        <v>98575.161764705888</v>
      </c>
      <c r="BH225" s="36">
        <f t="shared" si="596"/>
        <v>93145.161764705888</v>
      </c>
      <c r="BI225" s="36">
        <f t="shared" si="596"/>
        <v>87625.161764705888</v>
      </c>
      <c r="BJ225" s="36">
        <f t="shared" si="596"/>
        <v>82010.161764705888</v>
      </c>
      <c r="BK225" s="36">
        <f t="shared" si="596"/>
        <v>82010.161764705888</v>
      </c>
      <c r="BL225" s="36">
        <f t="shared" si="596"/>
        <v>74875.161764705888</v>
      </c>
      <c r="BM225" s="36">
        <f t="shared" si="596"/>
        <v>67655.161764705888</v>
      </c>
      <c r="BN225" s="36">
        <f t="shared" si="596"/>
        <v>60340.161764705888</v>
      </c>
      <c r="BO225" s="36">
        <f t="shared" si="596"/>
        <v>52930.161764705888</v>
      </c>
      <c r="BP225" s="36">
        <f t="shared" si="596"/>
        <v>52930.161764705888</v>
      </c>
      <c r="BQ225" s="36" t="e">
        <f t="shared" si="596"/>
        <v>#NUM!</v>
      </c>
      <c r="BR225" s="36" t="e">
        <f t="shared" si="596"/>
        <v>#NUM!</v>
      </c>
      <c r="BS225" s="36" t="e">
        <f t="shared" si="596"/>
        <v>#NUM!</v>
      </c>
      <c r="BT225" s="36">
        <f t="shared" si="596"/>
        <v>33140.161764705888</v>
      </c>
      <c r="BU225" s="36">
        <f t="shared" si="596"/>
        <v>33140.161764705888</v>
      </c>
      <c r="BV225" s="36">
        <f t="shared" si="596"/>
        <v>27065.161764705888</v>
      </c>
      <c r="BW225" s="36">
        <f t="shared" si="596"/>
        <v>20985.161764705888</v>
      </c>
      <c r="BX225" s="36">
        <f t="shared" si="596"/>
        <v>14900.161764705888</v>
      </c>
      <c r="BY225" s="36">
        <f t="shared" si="596"/>
        <v>8810.1617647058883</v>
      </c>
      <c r="BZ225" s="36">
        <f t="shared" si="596"/>
        <v>8810.1617647058883</v>
      </c>
    </row>
    <row r="226" spans="1:78">
      <c r="A226" s="1" t="s">
        <v>263</v>
      </c>
      <c r="J226" s="21">
        <f>J224/J225</f>
        <v>1.1905882352941177</v>
      </c>
      <c r="K226" s="21">
        <f t="shared" ref="K226:U226" si="597">K224/K225</f>
        <v>1.1624031007751938</v>
      </c>
      <c r="L226" s="21">
        <f t="shared" si="597"/>
        <v>1.2577946768060837</v>
      </c>
      <c r="M226" s="21">
        <f t="shared" si="597"/>
        <v>1.2577946768060837</v>
      </c>
      <c r="N226" s="21">
        <f t="shared" si="597"/>
        <v>1.1795454545454545</v>
      </c>
      <c r="O226" s="21">
        <f t="shared" si="597"/>
        <v>1.4197231833910036</v>
      </c>
      <c r="P226" s="21">
        <f t="shared" si="597"/>
        <v>1.3287276341948311</v>
      </c>
      <c r="Q226" s="21">
        <f t="shared" si="597"/>
        <v>1.351588785046729</v>
      </c>
      <c r="R226" s="21">
        <f t="shared" si="597"/>
        <v>1.351588785046729</v>
      </c>
      <c r="S226" s="21">
        <f t="shared" si="597"/>
        <v>1.4120543293718166</v>
      </c>
      <c r="T226" s="21">
        <f t="shared" si="597"/>
        <v>1.1679969879518073</v>
      </c>
      <c r="U226" s="21">
        <f t="shared" si="597"/>
        <v>1.1696556671449068</v>
      </c>
      <c r="V226" s="21">
        <f t="shared" ref="V226:W226" si="598">V224/V225</f>
        <v>0.97852257181942548</v>
      </c>
      <c r="W226" s="21">
        <f t="shared" si="598"/>
        <v>0.97852257181942548</v>
      </c>
      <c r="X226" s="21">
        <f t="shared" ref="X226:AB226" si="599">X224/X225</f>
        <v>0.94034526854219946</v>
      </c>
      <c r="Y226" s="21">
        <f t="shared" si="599"/>
        <v>1.0508827238335434</v>
      </c>
      <c r="Z226" s="21">
        <f t="shared" si="599"/>
        <v>1.232503113325031</v>
      </c>
      <c r="AA226" s="21">
        <f t="shared" si="599"/>
        <v>1.6768494897959183</v>
      </c>
      <c r="AB226" s="21">
        <f t="shared" si="599"/>
        <v>1.6768494897959183</v>
      </c>
      <c r="AC226" s="21">
        <f t="shared" ref="AC226:AD226" si="600">AC224/AC225</f>
        <v>1.5951685393258428</v>
      </c>
      <c r="AD226" s="21">
        <f t="shared" si="600"/>
        <v>1.4946236559139785</v>
      </c>
      <c r="AE226" s="21">
        <f t="shared" ref="AE226:AF226" si="601">AE224/AE225</f>
        <v>1.4198233562315996</v>
      </c>
      <c r="AF226" s="21">
        <f t="shared" si="601"/>
        <v>1.1406427221172022</v>
      </c>
      <c r="AG226" s="21">
        <f t="shared" ref="AG226:AH226" si="602">AG224/AG225</f>
        <v>1.1406427221172022</v>
      </c>
      <c r="AH226" s="21">
        <f t="shared" si="602"/>
        <v>1.0265384615384616</v>
      </c>
      <c r="AI226" s="21">
        <f t="shared" ref="AI226:AJ226" si="603">AI224/AI225</f>
        <v>0.92415621986499519</v>
      </c>
      <c r="AJ226" s="21">
        <f t="shared" si="603"/>
        <v>0.86552884615384618</v>
      </c>
      <c r="AK226" s="21">
        <f t="shared" ref="AK226:AM226" si="604">AK224/AK225</f>
        <v>0.83498556304138594</v>
      </c>
      <c r="AL226" s="21">
        <f t="shared" si="604"/>
        <v>0.83498556304138594</v>
      </c>
      <c r="AM226" s="21">
        <f t="shared" si="604"/>
        <v>0.84102564102564104</v>
      </c>
      <c r="AN226" s="21">
        <f t="shared" ref="AN226:AR226" si="605">AN224/AN225</f>
        <v>0.69178338001867412</v>
      </c>
      <c r="AO226" s="21">
        <f t="shared" si="605"/>
        <v>0.70428305400372437</v>
      </c>
      <c r="AP226" s="21">
        <f t="shared" si="605"/>
        <v>0.68433678269049858</v>
      </c>
      <c r="AQ226" s="21">
        <f t="shared" si="605"/>
        <v>0.68433678269049858</v>
      </c>
      <c r="AR226" s="21">
        <f t="shared" si="605"/>
        <v>0.68936672967863899</v>
      </c>
      <c r="AS226" s="21">
        <f t="shared" ref="AS226:AW226" si="606">AS224/AS225</f>
        <v>0.74955925563173365</v>
      </c>
      <c r="AT226" s="21">
        <f t="shared" si="606"/>
        <v>0.7223032069970845</v>
      </c>
      <c r="AU226" s="21">
        <f t="shared" si="606"/>
        <v>0.74526367187499998</v>
      </c>
      <c r="AV226" s="21">
        <f t="shared" si="606"/>
        <v>0.74526367187499998</v>
      </c>
      <c r="AW226" s="21">
        <f t="shared" si="606"/>
        <v>0.84226248775710089</v>
      </c>
      <c r="AX226" s="21">
        <f t="shared" ref="AX226:AY226" si="607">AX224/AX225</f>
        <v>0.99411167512690357</v>
      </c>
      <c r="AY226" s="21">
        <f t="shared" si="607"/>
        <v>1.0529747351263243</v>
      </c>
      <c r="AZ226" s="21">
        <f t="shared" ref="AZ226:BZ226" si="608">AZ224/AZ225</f>
        <v>1.0324792522143114</v>
      </c>
      <c r="BA226" s="21">
        <f t="shared" si="608"/>
        <v>1.0324792522143114</v>
      </c>
      <c r="BB226" s="21">
        <f t="shared" si="608"/>
        <v>1.30113416554998</v>
      </c>
      <c r="BC226" s="21">
        <f t="shared" si="608"/>
        <v>1.4227178445171693</v>
      </c>
      <c r="BD226" s="21">
        <f t="shared" si="608"/>
        <v>1.5550579727231295</v>
      </c>
      <c r="BE226" s="21">
        <f t="shared" si="608"/>
        <v>1.5838474818568067</v>
      </c>
      <c r="BF226" s="21">
        <f t="shared" si="608"/>
        <v>1.5838474818568067</v>
      </c>
      <c r="BG226" s="21">
        <f t="shared" si="608"/>
        <v>1.6294624540754283</v>
      </c>
      <c r="BH226" s="21">
        <f t="shared" si="608"/>
        <v>1.6798459741286171</v>
      </c>
      <c r="BI226" s="21">
        <f t="shared" si="608"/>
        <v>1.7361397335676647</v>
      </c>
      <c r="BJ226" s="21">
        <f t="shared" si="608"/>
        <v>1.7996492364378802</v>
      </c>
      <c r="BK226" s="21">
        <f t="shared" si="608"/>
        <v>1.7996492364378802</v>
      </c>
      <c r="BL226" s="21">
        <f t="shared" si="608"/>
        <v>1.8832617075756095</v>
      </c>
      <c r="BM226" s="21">
        <f t="shared" si="608"/>
        <v>1.9834336582726719</v>
      </c>
      <c r="BN226" s="21">
        <f t="shared" si="608"/>
        <v>2.1065492912607469</v>
      </c>
      <c r="BO226" s="21">
        <f t="shared" si="608"/>
        <v>2.2627840347894601</v>
      </c>
      <c r="BP226" s="21">
        <f t="shared" si="608"/>
        <v>2.2627840347894601</v>
      </c>
      <c r="BQ226" s="21" t="e">
        <f t="shared" si="608"/>
        <v>#NUM!</v>
      </c>
      <c r="BR226" s="21" t="e">
        <f t="shared" si="608"/>
        <v>#NUM!</v>
      </c>
      <c r="BS226" s="21" t="e">
        <f t="shared" si="608"/>
        <v>#NUM!</v>
      </c>
      <c r="BT226" s="21">
        <f t="shared" si="608"/>
        <v>2.5070645577984054</v>
      </c>
      <c r="BU226" s="21">
        <f t="shared" si="608"/>
        <v>2.5070645577984054</v>
      </c>
      <c r="BV226" s="21">
        <f t="shared" si="608"/>
        <v>2.7945343780886098</v>
      </c>
      <c r="BW226" s="21">
        <f t="shared" si="608"/>
        <v>3.2398856755228298</v>
      </c>
      <c r="BX226" s="21">
        <f t="shared" si="608"/>
        <v>4.035830345308133</v>
      </c>
      <c r="BY226" s="21">
        <f t="shared" si="608"/>
        <v>5.9095992094690084</v>
      </c>
      <c r="BZ226" s="21">
        <f t="shared" si="608"/>
        <v>5.9095992094690084</v>
      </c>
    </row>
    <row r="228" spans="1:78">
      <c r="A228" s="1" t="s">
        <v>584</v>
      </c>
      <c r="AD228" s="38">
        <f t="shared" ref="AD228:AG228" si="609">MROUND(AD211/AD$237, 5)</f>
        <v>50835</v>
      </c>
      <c r="AE228" s="38">
        <f t="shared" si="609"/>
        <v>50460</v>
      </c>
      <c r="AF228" s="38">
        <f t="shared" si="609"/>
        <v>43220</v>
      </c>
      <c r="AG228" s="38">
        <f t="shared" si="609"/>
        <v>43220</v>
      </c>
      <c r="AH228" s="38">
        <f t="shared" ref="AH228:AI228" si="610">MROUND(AH211/AH$237, 5)</f>
        <v>38135</v>
      </c>
      <c r="AI228" s="38">
        <f t="shared" si="610"/>
        <v>35400</v>
      </c>
      <c r="AJ228" s="38">
        <f t="shared" ref="AJ228:AM228" si="611">MROUND(AJ211/AJ$237, 5)</f>
        <v>33820</v>
      </c>
      <c r="AK228" s="38">
        <f t="shared" si="611"/>
        <v>33480</v>
      </c>
      <c r="AL228" s="38">
        <f t="shared" si="611"/>
        <v>33480</v>
      </c>
      <c r="AM228" s="38">
        <f t="shared" si="611"/>
        <v>33070</v>
      </c>
      <c r="AN228" s="38">
        <f t="shared" ref="AN228:AU229" si="612">MROUND(AN211/AN$237, 5)</f>
        <v>33425</v>
      </c>
      <c r="AO228" s="38">
        <f t="shared" si="612"/>
        <v>32770</v>
      </c>
      <c r="AP228" s="38">
        <f t="shared" si="612"/>
        <v>30910</v>
      </c>
      <c r="AQ228" s="38">
        <f t="shared" si="612"/>
        <v>30910</v>
      </c>
      <c r="AR228" s="38">
        <f t="shared" si="612"/>
        <v>31290</v>
      </c>
      <c r="AS228" s="38">
        <f t="shared" ref="AS228:AW228" si="613">MROUND(AS211/AS$237, 5)</f>
        <v>28100</v>
      </c>
      <c r="AT228" s="38">
        <f t="shared" si="613"/>
        <v>26880</v>
      </c>
      <c r="AU228" s="38">
        <f t="shared" si="613"/>
        <v>24395</v>
      </c>
      <c r="AV228" s="38">
        <f t="shared" si="613"/>
        <v>24395</v>
      </c>
      <c r="AW228" s="38">
        <f t="shared" si="613"/>
        <v>25135</v>
      </c>
      <c r="AX228" s="38">
        <f t="shared" ref="AX228:AY228" si="614">MROUND(AX211/AX$237, 5)</f>
        <v>25380</v>
      </c>
      <c r="AY228" s="38">
        <f t="shared" si="614"/>
        <v>23145</v>
      </c>
      <c r="AZ228" s="36">
        <f t="shared" ref="AZ228:BR228" si="615">AZ256</f>
        <v>22260</v>
      </c>
      <c r="BA228" s="36">
        <f t="shared" si="615"/>
        <v>22260</v>
      </c>
      <c r="BB228" s="36">
        <f t="shared" si="615"/>
        <v>20530</v>
      </c>
      <c r="BC228" s="36">
        <f t="shared" si="615"/>
        <v>18825</v>
      </c>
      <c r="BD228" s="36">
        <f t="shared" si="615"/>
        <v>17110</v>
      </c>
      <c r="BE228" s="36">
        <f t="shared" si="615"/>
        <v>15420</v>
      </c>
      <c r="BF228" s="36">
        <f t="shared" si="615"/>
        <v>15420</v>
      </c>
      <c r="BG228" s="36">
        <f t="shared" si="615"/>
        <v>14105</v>
      </c>
      <c r="BH228" s="36">
        <f t="shared" si="615"/>
        <v>12760</v>
      </c>
      <c r="BI228" s="36">
        <f t="shared" si="615"/>
        <v>11380</v>
      </c>
      <c r="BJ228" s="36">
        <f t="shared" si="615"/>
        <v>9260</v>
      </c>
      <c r="BK228" s="36">
        <f t="shared" si="615"/>
        <v>9260</v>
      </c>
      <c r="BL228" s="36">
        <f t="shared" si="615"/>
        <v>8000</v>
      </c>
      <c r="BM228" s="36">
        <f t="shared" si="615"/>
        <v>6720</v>
      </c>
      <c r="BN228" s="36">
        <f t="shared" si="615"/>
        <v>5420</v>
      </c>
      <c r="BO228" s="36">
        <f t="shared" si="615"/>
        <v>4100</v>
      </c>
      <c r="BP228" s="36">
        <f t="shared" si="615"/>
        <v>4100</v>
      </c>
      <c r="BQ228" s="36">
        <f t="shared" si="615"/>
        <v>2760</v>
      </c>
      <c r="BR228" s="36">
        <f t="shared" si="615"/>
        <v>1385</v>
      </c>
      <c r="BS228" s="36"/>
      <c r="BT228" s="36"/>
      <c r="BU228" s="36"/>
      <c r="BV228" s="36"/>
      <c r="BW228" s="36"/>
      <c r="BX228" s="36"/>
      <c r="BY228" s="36"/>
      <c r="BZ228" s="36"/>
    </row>
    <row r="229" spans="1:78">
      <c r="A229" s="1" t="s">
        <v>585</v>
      </c>
      <c r="AD229" s="38">
        <f>MROUND(AD212/AD$237, 5)</f>
        <v>1470</v>
      </c>
      <c r="AE229" s="38">
        <f t="shared" ref="AE229:AG229" si="616">MROUND(AE212/AE$237, 5)</f>
        <v>2775</v>
      </c>
      <c r="AF229" s="38">
        <f t="shared" si="616"/>
        <v>2205</v>
      </c>
      <c r="AG229" s="38">
        <f t="shared" si="616"/>
        <v>2205</v>
      </c>
      <c r="AH229" s="38">
        <f t="shared" ref="AH229:AK230" si="617">MROUND(AH212/AH$237, 5)</f>
        <v>680</v>
      </c>
      <c r="AI229" s="38">
        <f t="shared" si="617"/>
        <v>0</v>
      </c>
      <c r="AJ229" s="38">
        <f t="shared" si="617"/>
        <v>0</v>
      </c>
      <c r="AK229" s="38">
        <f t="shared" si="617"/>
        <v>0</v>
      </c>
      <c r="AL229" s="38">
        <f t="shared" ref="AL229" si="618">MROUND(AL212/AL$237, 5)</f>
        <v>0</v>
      </c>
      <c r="AM229" s="38">
        <f t="shared" ref="AM229:AP230" si="619">MROUND(AM212/AM$237, 5)</f>
        <v>0</v>
      </c>
      <c r="AN229" s="38">
        <f t="shared" si="619"/>
        <v>0</v>
      </c>
      <c r="AO229" s="38">
        <f t="shared" si="619"/>
        <v>0</v>
      </c>
      <c r="AP229" s="38">
        <f t="shared" si="619"/>
        <v>0</v>
      </c>
      <c r="AQ229" s="38">
        <f t="shared" si="612"/>
        <v>0</v>
      </c>
      <c r="AR229" s="38">
        <f t="shared" si="612"/>
        <v>0</v>
      </c>
      <c r="AS229" s="38">
        <f t="shared" si="612"/>
        <v>0</v>
      </c>
      <c r="AT229" s="38">
        <f t="shared" si="612"/>
        <v>0</v>
      </c>
      <c r="AU229" s="38">
        <f t="shared" si="612"/>
        <v>0</v>
      </c>
      <c r="AV229" s="38">
        <f t="shared" ref="AV229:AY229" si="620">MROUND(AV212/AV$237, 5)</f>
        <v>0</v>
      </c>
      <c r="AW229" s="38">
        <f t="shared" si="620"/>
        <v>0</v>
      </c>
      <c r="AX229" s="38">
        <f t="shared" si="620"/>
        <v>0</v>
      </c>
      <c r="AY229" s="38">
        <f t="shared" si="620"/>
        <v>0</v>
      </c>
      <c r="AZ229" s="36">
        <f t="shared" ref="AZ229:BR229" si="621">AZ257</f>
        <v>0</v>
      </c>
      <c r="BA229" s="36">
        <f t="shared" si="621"/>
        <v>0</v>
      </c>
      <c r="BB229" s="36">
        <f t="shared" si="621"/>
        <v>0</v>
      </c>
      <c r="BC229" s="36">
        <f t="shared" si="621"/>
        <v>0</v>
      </c>
      <c r="BD229" s="36">
        <f t="shared" si="621"/>
        <v>0</v>
      </c>
      <c r="BE229" s="36">
        <f t="shared" si="621"/>
        <v>0</v>
      </c>
      <c r="BF229" s="36">
        <f t="shared" si="621"/>
        <v>0</v>
      </c>
      <c r="BG229" s="36">
        <f t="shared" si="621"/>
        <v>0</v>
      </c>
      <c r="BH229" s="36">
        <f t="shared" si="621"/>
        <v>0</v>
      </c>
      <c r="BI229" s="36">
        <f t="shared" si="621"/>
        <v>0</v>
      </c>
      <c r="BJ229" s="36">
        <f t="shared" si="621"/>
        <v>0</v>
      </c>
      <c r="BK229" s="36">
        <f t="shared" si="621"/>
        <v>0</v>
      </c>
      <c r="BL229" s="36">
        <f t="shared" si="621"/>
        <v>0</v>
      </c>
      <c r="BM229" s="36">
        <f t="shared" si="621"/>
        <v>0</v>
      </c>
      <c r="BN229" s="36">
        <f t="shared" si="621"/>
        <v>0</v>
      </c>
      <c r="BO229" s="36">
        <f t="shared" si="621"/>
        <v>0</v>
      </c>
      <c r="BP229" s="36">
        <f t="shared" si="621"/>
        <v>0</v>
      </c>
      <c r="BQ229" s="36">
        <f t="shared" si="621"/>
        <v>0</v>
      </c>
      <c r="BR229" s="36">
        <f t="shared" si="621"/>
        <v>0</v>
      </c>
      <c r="BS229" s="36"/>
      <c r="BT229" s="36"/>
      <c r="BU229" s="36"/>
      <c r="BV229" s="36"/>
      <c r="BW229" s="36"/>
      <c r="BX229" s="36"/>
      <c r="BY229" s="36"/>
      <c r="BZ229" s="36"/>
    </row>
    <row r="230" spans="1:78">
      <c r="A230" s="1" t="s">
        <v>641</v>
      </c>
      <c r="AD230" s="38"/>
      <c r="AE230" s="38"/>
      <c r="AF230" s="38"/>
      <c r="AG230" s="38"/>
      <c r="AH230" s="38">
        <f t="shared" si="617"/>
        <v>460</v>
      </c>
      <c r="AI230" s="38">
        <f t="shared" si="617"/>
        <v>415</v>
      </c>
      <c r="AJ230" s="38">
        <f t="shared" si="617"/>
        <v>330</v>
      </c>
      <c r="AK230" s="38">
        <f t="shared" si="617"/>
        <v>215</v>
      </c>
      <c r="AL230" s="38">
        <f>MROUND(AL213/AL$237, 5)</f>
        <v>215</v>
      </c>
      <c r="AM230" s="38">
        <f t="shared" si="619"/>
        <v>190</v>
      </c>
      <c r="AN230" s="38">
        <f t="shared" si="619"/>
        <v>155</v>
      </c>
      <c r="AO230" s="38">
        <f t="shared" si="619"/>
        <v>135</v>
      </c>
      <c r="AP230" s="38">
        <f t="shared" si="619"/>
        <v>95</v>
      </c>
      <c r="AQ230" s="38">
        <f>MROUND(AQ213/AQ$237, 5)</f>
        <v>95</v>
      </c>
      <c r="AR230" s="38">
        <f t="shared" ref="AR230:AU230" si="622">MROUND(AR213/AR$237, 5)</f>
        <v>60</v>
      </c>
      <c r="AS230" s="38">
        <f t="shared" si="622"/>
        <v>70</v>
      </c>
      <c r="AT230" s="38">
        <f t="shared" si="622"/>
        <v>55</v>
      </c>
      <c r="AU230" s="38">
        <f t="shared" si="622"/>
        <v>35</v>
      </c>
      <c r="AV230" s="38">
        <f>MROUND(AV213/AV$237, 5)</f>
        <v>35</v>
      </c>
      <c r="AW230" s="38">
        <f t="shared" ref="AW230:AY230" si="623">MROUND(AW213/AW$237, 5)</f>
        <v>60</v>
      </c>
      <c r="AX230" s="38">
        <f t="shared" si="623"/>
        <v>60</v>
      </c>
      <c r="AY230" s="38">
        <f t="shared" si="623"/>
        <v>50</v>
      </c>
      <c r="AZ230" s="36">
        <f t="shared" ref="AZ230:BZ230" si="624">AZ258</f>
        <v>20</v>
      </c>
      <c r="BA230" s="36">
        <f t="shared" si="624"/>
        <v>20</v>
      </c>
      <c r="BB230" s="36">
        <f t="shared" si="624"/>
        <v>0</v>
      </c>
      <c r="BC230" s="36">
        <f t="shared" si="624"/>
        <v>0</v>
      </c>
      <c r="BD230" s="36">
        <f t="shared" si="624"/>
        <v>0</v>
      </c>
      <c r="BE230" s="36">
        <f t="shared" si="624"/>
        <v>45</v>
      </c>
      <c r="BF230" s="36">
        <f t="shared" si="624"/>
        <v>45</v>
      </c>
      <c r="BG230" s="36">
        <f t="shared" si="624"/>
        <v>90</v>
      </c>
      <c r="BH230" s="36">
        <f t="shared" si="624"/>
        <v>135</v>
      </c>
      <c r="BI230" s="36">
        <f t="shared" si="624"/>
        <v>175</v>
      </c>
      <c r="BJ230" s="36">
        <f t="shared" si="624"/>
        <v>215</v>
      </c>
      <c r="BK230" s="36">
        <f t="shared" si="624"/>
        <v>215</v>
      </c>
      <c r="BL230" s="36">
        <f t="shared" si="624"/>
        <v>250</v>
      </c>
      <c r="BM230" s="36">
        <f t="shared" si="624"/>
        <v>285</v>
      </c>
      <c r="BN230" s="36">
        <f t="shared" si="624"/>
        <v>310</v>
      </c>
      <c r="BO230" s="36">
        <f t="shared" si="624"/>
        <v>335</v>
      </c>
      <c r="BP230" s="36">
        <f t="shared" si="624"/>
        <v>335</v>
      </c>
      <c r="BQ230" s="36">
        <f t="shared" si="624"/>
        <v>355</v>
      </c>
      <c r="BR230" s="36">
        <f t="shared" si="624"/>
        <v>370</v>
      </c>
      <c r="BS230" s="36">
        <f t="shared" si="624"/>
        <v>380</v>
      </c>
      <c r="BT230" s="36">
        <f t="shared" si="624"/>
        <v>385</v>
      </c>
      <c r="BU230" s="36">
        <f t="shared" si="624"/>
        <v>385</v>
      </c>
      <c r="BV230" s="36">
        <f t="shared" si="624"/>
        <v>385</v>
      </c>
      <c r="BW230" s="36">
        <f t="shared" si="624"/>
        <v>380</v>
      </c>
      <c r="BX230" s="36">
        <f t="shared" si="624"/>
        <v>370</v>
      </c>
      <c r="BY230" s="36">
        <f t="shared" si="624"/>
        <v>350</v>
      </c>
      <c r="BZ230" s="36">
        <f t="shared" si="624"/>
        <v>350</v>
      </c>
    </row>
    <row r="231" spans="1:78">
      <c r="A231" s="1" t="s">
        <v>276</v>
      </c>
      <c r="AD231" s="36">
        <f t="shared" ref="AD231:AG231" si="625">AD232-SUM(AD228:AD230)</f>
        <v>-5</v>
      </c>
      <c r="AE231" s="36">
        <f t="shared" si="625"/>
        <v>0</v>
      </c>
      <c r="AF231" s="36">
        <f t="shared" si="625"/>
        <v>0</v>
      </c>
      <c r="AG231" s="36">
        <f t="shared" si="625"/>
        <v>0</v>
      </c>
      <c r="AH231" s="36">
        <f>AH232-SUM(AH228:AH230)</f>
        <v>0</v>
      </c>
      <c r="AI231" s="36">
        <f>AI232-SUM(AI228:AI230)</f>
        <v>0</v>
      </c>
      <c r="AJ231" s="36">
        <f>AJ232-SUM(AJ228:AJ230)</f>
        <v>0</v>
      </c>
      <c r="AK231" s="36">
        <f>AK232-SUM(AK228:AK230)</f>
        <v>0</v>
      </c>
      <c r="AL231" s="36">
        <f t="shared" ref="AL231" si="626">AL232-SUM(AL228:AL230)</f>
        <v>0</v>
      </c>
      <c r="AM231" s="36">
        <f>AM232-SUM(AM228:AM230)</f>
        <v>0</v>
      </c>
      <c r="AN231" s="36">
        <f>AN232-SUM(AN228:AN230)</f>
        <v>0</v>
      </c>
      <c r="AO231" s="36">
        <f>AO232-SUM(AO228:AO230)</f>
        <v>0</v>
      </c>
      <c r="AP231" s="36">
        <f>AP232-SUM(AP228:AP230)</f>
        <v>0</v>
      </c>
      <c r="AQ231" s="36">
        <f t="shared" ref="AQ231" si="627">AQ232-SUM(AQ228:AQ230)</f>
        <v>0</v>
      </c>
      <c r="AR231" s="36">
        <f>AR232-SUM(AR228:AR230)</f>
        <v>-5</v>
      </c>
      <c r="AS231" s="36">
        <f>AS232-SUM(AS228:AS230)</f>
        <v>0</v>
      </c>
      <c r="AT231" s="36">
        <f>AT232-SUM(AT228:AT230)</f>
        <v>0</v>
      </c>
      <c r="AU231" s="36">
        <f>AU232-SUM(AU228:AU230)</f>
        <v>0</v>
      </c>
      <c r="AV231" s="36">
        <f t="shared" ref="AV231" si="628">AV232-SUM(AV228:AV230)</f>
        <v>0</v>
      </c>
      <c r="AW231" s="36">
        <f>AW232-SUM(AW228:AW230)</f>
        <v>0</v>
      </c>
      <c r="AX231" s="36">
        <f>AX232-SUM(AX228:AX230)</f>
        <v>-5</v>
      </c>
      <c r="AY231" s="36">
        <f>AY232-SUM(AY228:AY230)</f>
        <v>-5</v>
      </c>
    </row>
    <row r="232" spans="1:78">
      <c r="A232" s="9" t="s">
        <v>253</v>
      </c>
      <c r="B232" s="9"/>
      <c r="C232" s="9"/>
      <c r="D232" s="9"/>
      <c r="E232" s="9"/>
      <c r="F232" s="9"/>
      <c r="G232" s="9"/>
      <c r="H232" s="9"/>
      <c r="I232" s="9"/>
      <c r="J232" s="48">
        <f>MROUND(J215/J$237, 5)</f>
        <v>10280</v>
      </c>
      <c r="K232" s="48">
        <f t="shared" ref="K232:AB232" si="629">MROUND(K215/K$237, 5)</f>
        <v>16555</v>
      </c>
      <c r="L232" s="48">
        <f t="shared" si="629"/>
        <v>17365</v>
      </c>
      <c r="M232" s="48">
        <f t="shared" si="629"/>
        <v>17365</v>
      </c>
      <c r="N232" s="48">
        <f t="shared" si="629"/>
        <v>18210</v>
      </c>
      <c r="O232" s="48">
        <f t="shared" si="629"/>
        <v>19175</v>
      </c>
      <c r="P232" s="48">
        <f t="shared" si="629"/>
        <v>34160</v>
      </c>
      <c r="Q232" s="48">
        <f t="shared" si="629"/>
        <v>37275</v>
      </c>
      <c r="R232" s="48">
        <f t="shared" si="629"/>
        <v>37275</v>
      </c>
      <c r="S232" s="48">
        <f t="shared" si="629"/>
        <v>41470</v>
      </c>
      <c r="T232" s="48">
        <f t="shared" si="629"/>
        <v>42375</v>
      </c>
      <c r="U232" s="48">
        <f t="shared" si="629"/>
        <v>43715</v>
      </c>
      <c r="V232" s="48">
        <f t="shared" si="629"/>
        <v>42125</v>
      </c>
      <c r="W232" s="48">
        <f t="shared" si="629"/>
        <v>42125</v>
      </c>
      <c r="X232" s="48">
        <f t="shared" si="629"/>
        <v>48575</v>
      </c>
      <c r="Y232" s="48">
        <f t="shared" si="629"/>
        <v>49575</v>
      </c>
      <c r="Z232" s="48">
        <f t="shared" si="629"/>
        <v>52715</v>
      </c>
      <c r="AA232" s="48">
        <f t="shared" si="629"/>
        <v>59630</v>
      </c>
      <c r="AB232" s="48">
        <f t="shared" si="629"/>
        <v>59630</v>
      </c>
      <c r="AC232" s="48">
        <f>MROUND(AC215/AC$237, 5)</f>
        <v>58330</v>
      </c>
      <c r="AD232" s="48">
        <f>MROUND(AD215/AD$237, 5)</f>
        <v>52300</v>
      </c>
      <c r="AE232" s="48">
        <f t="shared" ref="AE232:AG232" si="630">MROUND(AE215/AE$237, 5)</f>
        <v>53235</v>
      </c>
      <c r="AF232" s="48">
        <f t="shared" si="630"/>
        <v>45425</v>
      </c>
      <c r="AG232" s="48">
        <f t="shared" si="630"/>
        <v>45425</v>
      </c>
      <c r="AH232" s="48">
        <f>MROUND(AH215/AH$237, 5)</f>
        <v>39275</v>
      </c>
      <c r="AI232" s="48">
        <f>MROUND(AI215/AI$237, 5)</f>
        <v>35815</v>
      </c>
      <c r="AJ232" s="48">
        <f>MROUND(AJ215/AJ$237, 5)</f>
        <v>34150</v>
      </c>
      <c r="AK232" s="48">
        <f>MROUND(AK215/AK$237, 5)</f>
        <v>33695</v>
      </c>
      <c r="AL232" s="48">
        <f t="shared" ref="AL232" si="631">MROUND(AL215/AL$237, 5)</f>
        <v>33695</v>
      </c>
      <c r="AM232" s="48">
        <f>MROUND(AM215/AM$237, 5)</f>
        <v>33260</v>
      </c>
      <c r="AN232" s="48">
        <f>MROUND(AN215/AN$237, 5)</f>
        <v>33580</v>
      </c>
      <c r="AO232" s="48">
        <f>MROUND(AO215/AO$237, 5)</f>
        <v>32905</v>
      </c>
      <c r="AP232" s="48">
        <f>MROUND(AP215/AP$237, 5)</f>
        <v>31005</v>
      </c>
      <c r="AQ232" s="48">
        <f t="shared" ref="AQ232" si="632">MROUND(AQ215/AQ$237, 5)</f>
        <v>31005</v>
      </c>
      <c r="AR232" s="48">
        <f>MROUND(AR215/AR$237, 5)</f>
        <v>31345</v>
      </c>
      <c r="AS232" s="48">
        <f>MROUND(AS215/AS$237, 5)</f>
        <v>28170</v>
      </c>
      <c r="AT232" s="48">
        <f>MROUND(AT215/AT$237, 5)</f>
        <v>26935</v>
      </c>
      <c r="AU232" s="48">
        <f>MROUND(AU215/AU$237, 5)</f>
        <v>24430</v>
      </c>
      <c r="AV232" s="48">
        <f t="shared" ref="AV232" si="633">MROUND(AV215/AV$237, 5)</f>
        <v>24430</v>
      </c>
      <c r="AW232" s="48">
        <f>MROUND(AW215/AW$237, 5)</f>
        <v>25195</v>
      </c>
      <c r="AX232" s="48">
        <f>MROUND(AX215/AX$237, 5)</f>
        <v>25435</v>
      </c>
      <c r="AY232" s="48">
        <f>MROUND(AY215/AY$237, 5)</f>
        <v>23190</v>
      </c>
      <c r="AZ232" s="39">
        <f t="shared" ref="AZ232:BZ232" si="634">SUM(AZ228:AZ231)</f>
        <v>22280</v>
      </c>
      <c r="BA232" s="39">
        <f t="shared" si="634"/>
        <v>22280</v>
      </c>
      <c r="BB232" s="39">
        <f t="shared" si="634"/>
        <v>20530</v>
      </c>
      <c r="BC232" s="39">
        <f t="shared" si="634"/>
        <v>18825</v>
      </c>
      <c r="BD232" s="39">
        <f t="shared" si="634"/>
        <v>17110</v>
      </c>
      <c r="BE232" s="39">
        <f t="shared" si="634"/>
        <v>15465</v>
      </c>
      <c r="BF232" s="39">
        <f t="shared" si="634"/>
        <v>15465</v>
      </c>
      <c r="BG232" s="39">
        <f t="shared" si="634"/>
        <v>14195</v>
      </c>
      <c r="BH232" s="39">
        <f t="shared" si="634"/>
        <v>12895</v>
      </c>
      <c r="BI232" s="39">
        <f t="shared" si="634"/>
        <v>11555</v>
      </c>
      <c r="BJ232" s="39">
        <f t="shared" si="634"/>
        <v>9475</v>
      </c>
      <c r="BK232" s="39">
        <f t="shared" si="634"/>
        <v>9475</v>
      </c>
      <c r="BL232" s="39">
        <f t="shared" si="634"/>
        <v>8250</v>
      </c>
      <c r="BM232" s="39">
        <f t="shared" si="634"/>
        <v>7005</v>
      </c>
      <c r="BN232" s="39">
        <f t="shared" si="634"/>
        <v>5730</v>
      </c>
      <c r="BO232" s="39">
        <f t="shared" si="634"/>
        <v>4435</v>
      </c>
      <c r="BP232" s="39">
        <f t="shared" si="634"/>
        <v>4435</v>
      </c>
      <c r="BQ232" s="39">
        <f t="shared" si="634"/>
        <v>3115</v>
      </c>
      <c r="BR232" s="39">
        <f t="shared" si="634"/>
        <v>1755</v>
      </c>
      <c r="BS232" s="39">
        <f t="shared" si="634"/>
        <v>380</v>
      </c>
      <c r="BT232" s="39">
        <f t="shared" si="634"/>
        <v>385</v>
      </c>
      <c r="BU232" s="39">
        <f t="shared" si="634"/>
        <v>385</v>
      </c>
      <c r="BV232" s="39">
        <f t="shared" si="634"/>
        <v>385</v>
      </c>
      <c r="BW232" s="39">
        <f t="shared" si="634"/>
        <v>380</v>
      </c>
      <c r="BX232" s="39">
        <f t="shared" si="634"/>
        <v>370</v>
      </c>
      <c r="BY232" s="39">
        <f t="shared" si="634"/>
        <v>350</v>
      </c>
      <c r="BZ232" s="39">
        <f t="shared" si="634"/>
        <v>350</v>
      </c>
    </row>
    <row r="234" spans="1:78">
      <c r="A234" s="9" t="s">
        <v>254</v>
      </c>
      <c r="B234" s="9"/>
      <c r="C234" s="9"/>
      <c r="D234" s="9"/>
      <c r="E234" s="9"/>
      <c r="F234" s="9"/>
      <c r="G234" s="9"/>
      <c r="H234" s="9"/>
      <c r="I234" s="9"/>
      <c r="J234" s="39">
        <f t="shared" ref="J234:S234" si="635">J222-J232</f>
        <v>6160</v>
      </c>
      <c r="K234" s="39">
        <f t="shared" si="635"/>
        <v>6970</v>
      </c>
      <c r="L234" s="39">
        <f t="shared" si="635"/>
        <v>9250</v>
      </c>
      <c r="M234" s="39">
        <f t="shared" si="635"/>
        <v>9250</v>
      </c>
      <c r="N234" s="39">
        <f t="shared" si="635"/>
        <v>8320</v>
      </c>
      <c r="O234" s="39">
        <f t="shared" si="635"/>
        <v>13805</v>
      </c>
      <c r="P234" s="39">
        <f t="shared" si="635"/>
        <v>24475</v>
      </c>
      <c r="Q234" s="39">
        <f t="shared" si="635"/>
        <v>26835</v>
      </c>
      <c r="R234" s="39">
        <f t="shared" si="635"/>
        <v>26835</v>
      </c>
      <c r="S234" s="39">
        <f t="shared" si="635"/>
        <v>33500</v>
      </c>
      <c r="T234" s="39">
        <f t="shared" ref="T234" si="636">T222-T232</f>
        <v>26980</v>
      </c>
      <c r="U234" s="39">
        <f>U222-U232</f>
        <v>29610</v>
      </c>
      <c r="V234" s="39">
        <f t="shared" ref="V234:W234" si="637">V222-V232</f>
        <v>21205</v>
      </c>
      <c r="W234" s="39">
        <f t="shared" si="637"/>
        <v>21205</v>
      </c>
      <c r="X234" s="39">
        <f t="shared" ref="X234:AE234" si="638">X222-X232</f>
        <v>16760</v>
      </c>
      <c r="Y234" s="39">
        <f t="shared" si="638"/>
        <v>25560</v>
      </c>
      <c r="Z234" s="39">
        <f t="shared" si="638"/>
        <v>38055</v>
      </c>
      <c r="AA234" s="39">
        <f t="shared" si="638"/>
        <v>63635</v>
      </c>
      <c r="AB234" s="39">
        <f t="shared" si="638"/>
        <v>63635</v>
      </c>
      <c r="AC234" s="39">
        <f t="shared" si="638"/>
        <v>75440</v>
      </c>
      <c r="AD234" s="39">
        <f t="shared" si="638"/>
        <v>78500</v>
      </c>
      <c r="AE234" s="39">
        <f t="shared" si="638"/>
        <v>83245</v>
      </c>
      <c r="AF234" s="39">
        <f t="shared" ref="AF234:AH234" si="639">AF222-AF232</f>
        <v>67055</v>
      </c>
      <c r="AG234" s="39">
        <f t="shared" si="639"/>
        <v>67055</v>
      </c>
      <c r="AH234" s="39">
        <f t="shared" si="639"/>
        <v>59285</v>
      </c>
      <c r="AI234" s="39">
        <f t="shared" ref="AI234:AJ234" si="640">AI222-AI232</f>
        <v>51820</v>
      </c>
      <c r="AJ234" s="39">
        <f t="shared" si="640"/>
        <v>47665</v>
      </c>
      <c r="AK234" s="39">
        <f t="shared" ref="AK234:AM234" si="641">AK222-AK232</f>
        <v>44860</v>
      </c>
      <c r="AL234" s="39">
        <f t="shared" si="641"/>
        <v>44860</v>
      </c>
      <c r="AM234" s="39">
        <f t="shared" si="641"/>
        <v>45900</v>
      </c>
      <c r="AN234" s="39">
        <f t="shared" ref="AN234:AP234" si="642">AN222-AN232</f>
        <v>40510</v>
      </c>
      <c r="AO234" s="39">
        <f t="shared" si="642"/>
        <v>42735</v>
      </c>
      <c r="AP234" s="39">
        <f t="shared" si="642"/>
        <v>41740</v>
      </c>
      <c r="AQ234" s="39">
        <f t="shared" ref="AQ234:BZ234" si="643">AQ222-AQ232</f>
        <v>41740</v>
      </c>
      <c r="AR234" s="39">
        <f t="shared" si="643"/>
        <v>41590</v>
      </c>
      <c r="AS234" s="39">
        <f t="shared" si="643"/>
        <v>48360</v>
      </c>
      <c r="AT234" s="39">
        <f t="shared" si="643"/>
        <v>47390</v>
      </c>
      <c r="AU234" s="39">
        <f t="shared" si="643"/>
        <v>51885</v>
      </c>
      <c r="AV234" s="39">
        <f t="shared" ref="AV234:AY234" si="644">AV222-AV232</f>
        <v>51885</v>
      </c>
      <c r="AW234" s="39">
        <f t="shared" si="644"/>
        <v>60800</v>
      </c>
      <c r="AX234" s="39">
        <f t="shared" si="644"/>
        <v>72485</v>
      </c>
      <c r="AY234" s="39">
        <f t="shared" si="644"/>
        <v>106010</v>
      </c>
      <c r="AZ234" s="39">
        <f t="shared" si="643"/>
        <v>104219.52499999999</v>
      </c>
      <c r="BA234" s="39">
        <f t="shared" si="643"/>
        <v>104219.52499999999</v>
      </c>
      <c r="BB234" s="39">
        <f t="shared" si="643"/>
        <v>132984.52499999999</v>
      </c>
      <c r="BC234" s="39">
        <f t="shared" si="643"/>
        <v>142454.52499999999</v>
      </c>
      <c r="BD234" s="39">
        <f t="shared" si="643"/>
        <v>151839.52499999999</v>
      </c>
      <c r="BE234" s="39">
        <f t="shared" si="643"/>
        <v>149144.52499999999</v>
      </c>
      <c r="BF234" s="39">
        <f t="shared" si="643"/>
        <v>149144.52499999999</v>
      </c>
      <c r="BG234" s="39">
        <f t="shared" si="643"/>
        <v>146429.52499999999</v>
      </c>
      <c r="BH234" s="39">
        <f t="shared" si="643"/>
        <v>143574.52499999999</v>
      </c>
      <c r="BI234" s="39">
        <f t="shared" si="643"/>
        <v>140574.52499999999</v>
      </c>
      <c r="BJ234" s="39">
        <f t="shared" si="643"/>
        <v>138114.52499999999</v>
      </c>
      <c r="BK234" s="39">
        <f t="shared" si="643"/>
        <v>138114.52499999999</v>
      </c>
      <c r="BL234" s="39">
        <f t="shared" si="643"/>
        <v>132759.52499999999</v>
      </c>
      <c r="BM234" s="39">
        <f t="shared" si="643"/>
        <v>127184.52499999999</v>
      </c>
      <c r="BN234" s="39">
        <f t="shared" si="643"/>
        <v>121379.52499999999</v>
      </c>
      <c r="BO234" s="39">
        <f t="shared" si="643"/>
        <v>115334.52499999999</v>
      </c>
      <c r="BP234" s="39">
        <f t="shared" si="643"/>
        <v>115334.52499999999</v>
      </c>
      <c r="BQ234" s="39">
        <f t="shared" si="643"/>
        <v>107084.52499999999</v>
      </c>
      <c r="BR234" s="39">
        <f t="shared" si="643"/>
        <v>98629.524999999994</v>
      </c>
      <c r="BS234" s="39">
        <f t="shared" si="643"/>
        <v>89954.524999999994</v>
      </c>
      <c r="BT234" s="39">
        <f t="shared" si="643"/>
        <v>82699.524999999994</v>
      </c>
      <c r="BU234" s="39">
        <f t="shared" si="643"/>
        <v>82699.524999999994</v>
      </c>
      <c r="BV234" s="39">
        <f t="shared" si="643"/>
        <v>75249.524999999994</v>
      </c>
      <c r="BW234" s="39">
        <f t="shared" si="643"/>
        <v>67609.524999999994</v>
      </c>
      <c r="BX234" s="39">
        <f t="shared" si="643"/>
        <v>59764.525000000001</v>
      </c>
      <c r="BY234" s="39">
        <f t="shared" si="643"/>
        <v>51714.525000000001</v>
      </c>
      <c r="BZ234" s="39">
        <f t="shared" si="643"/>
        <v>51714.525000000001</v>
      </c>
    </row>
    <row r="235" spans="1:78">
      <c r="A235" s="1" t="s">
        <v>256</v>
      </c>
      <c r="J235" s="16">
        <f t="shared" ref="J235:T235" si="645">J234/J222</f>
        <v>0.37469586374695862</v>
      </c>
      <c r="K235" s="16">
        <f t="shared" si="645"/>
        <v>0.29628055260361319</v>
      </c>
      <c r="L235" s="16">
        <f t="shared" si="645"/>
        <v>0.34754837497651703</v>
      </c>
      <c r="M235" s="16">
        <f t="shared" si="645"/>
        <v>0.34754837497651703</v>
      </c>
      <c r="N235" s="16">
        <f t="shared" si="645"/>
        <v>0.3136072370900867</v>
      </c>
      <c r="O235" s="16">
        <f t="shared" si="645"/>
        <v>0.41858702243784113</v>
      </c>
      <c r="P235" s="16">
        <f t="shared" si="645"/>
        <v>0.41741280804979963</v>
      </c>
      <c r="Q235" s="16">
        <f t="shared" si="645"/>
        <v>0.41857744501637811</v>
      </c>
      <c r="R235" s="16">
        <f t="shared" si="645"/>
        <v>0.41857744501637811</v>
      </c>
      <c r="S235" s="16">
        <f t="shared" si="645"/>
        <v>0.44684540482859808</v>
      </c>
      <c r="T235" s="16">
        <f t="shared" si="645"/>
        <v>0.38901304880686322</v>
      </c>
      <c r="U235" s="16">
        <f t="shared" ref="U235:X235" si="646">U234/U222</f>
        <v>0.40381861575178996</v>
      </c>
      <c r="V235" s="16">
        <f t="shared" si="646"/>
        <v>0.33483341228485708</v>
      </c>
      <c r="W235" s="16">
        <f t="shared" si="646"/>
        <v>0.33483341228485708</v>
      </c>
      <c r="X235" s="16">
        <f t="shared" si="646"/>
        <v>0.25652406826356472</v>
      </c>
      <c r="Y235" s="16">
        <f t="shared" ref="Y235:Z235" si="647">Y234/Y222</f>
        <v>0.34018766220802554</v>
      </c>
      <c r="Z235" s="16">
        <f t="shared" si="647"/>
        <v>0.41924644706400793</v>
      </c>
      <c r="AA235" s="16">
        <f t="shared" ref="AA235:AC235" si="648">AA234/AA222</f>
        <v>0.51624548736462095</v>
      </c>
      <c r="AB235" s="16">
        <f t="shared" si="648"/>
        <v>0.51624548736462095</v>
      </c>
      <c r="AC235" s="16">
        <f t="shared" si="648"/>
        <v>0.56395305374897209</v>
      </c>
      <c r="AD235" s="16">
        <f t="shared" ref="AD235:AH235" si="649">AD234/AD222</f>
        <v>0.60015290519877673</v>
      </c>
      <c r="AE235" s="16">
        <f t="shared" si="649"/>
        <v>0.60994284876905036</v>
      </c>
      <c r="AF235" s="16">
        <f t="shared" si="649"/>
        <v>0.59615042674253205</v>
      </c>
      <c r="AG235" s="16">
        <f t="shared" si="649"/>
        <v>0.59615042674253205</v>
      </c>
      <c r="AH235" s="16">
        <f t="shared" si="649"/>
        <v>0.60151176948051943</v>
      </c>
      <c r="AI235" s="16">
        <f t="shared" ref="AI235:AJ235" si="650">AI234/AI222</f>
        <v>0.59131625492097906</v>
      </c>
      <c r="AJ235" s="16">
        <f t="shared" si="650"/>
        <v>0.58259487868972681</v>
      </c>
      <c r="AK235" s="16">
        <f t="shared" ref="AK235:AM235" si="651">AK234/AK222</f>
        <v>0.57106485901597603</v>
      </c>
      <c r="AL235" s="16">
        <f t="shared" si="651"/>
        <v>0.57106485901597603</v>
      </c>
      <c r="AM235" s="16">
        <f t="shared" si="651"/>
        <v>0.57983830217281451</v>
      </c>
      <c r="AN235" s="16">
        <f t="shared" ref="AN235:AP235" si="652">AN234/AN222</f>
        <v>0.54676744499932517</v>
      </c>
      <c r="AO235" s="16">
        <f t="shared" si="652"/>
        <v>0.56497884717080915</v>
      </c>
      <c r="AP235" s="16">
        <f t="shared" si="652"/>
        <v>0.57378513987215618</v>
      </c>
      <c r="AQ235" s="16">
        <f t="shared" ref="AQ235:BZ235" si="653">AQ234/AQ222</f>
        <v>0.57378513987215618</v>
      </c>
      <c r="AR235" s="16">
        <f t="shared" si="653"/>
        <v>0.57023376979502294</v>
      </c>
      <c r="AS235" s="16">
        <f t="shared" si="653"/>
        <v>0.63190905527244223</v>
      </c>
      <c r="AT235" s="16">
        <f t="shared" si="653"/>
        <v>0.63760511268079378</v>
      </c>
      <c r="AU235" s="16">
        <f t="shared" si="653"/>
        <v>0.67987944702876235</v>
      </c>
      <c r="AV235" s="16">
        <f t="shared" ref="AV235:AY235" si="654">AV234/AV222</f>
        <v>0.67987944702876235</v>
      </c>
      <c r="AW235" s="16">
        <f t="shared" si="654"/>
        <v>0.70701784987499272</v>
      </c>
      <c r="AX235" s="16">
        <f t="shared" si="654"/>
        <v>0.74024714052287577</v>
      </c>
      <c r="AY235" s="16">
        <f t="shared" si="654"/>
        <v>0.82051083591331264</v>
      </c>
      <c r="AZ235" s="16">
        <f t="shared" si="653"/>
        <v>0.82387285643957953</v>
      </c>
      <c r="BA235" s="16">
        <f t="shared" si="653"/>
        <v>0.82387285643957953</v>
      </c>
      <c r="BB235" s="16">
        <f t="shared" si="653"/>
        <v>0.86626672622672019</v>
      </c>
      <c r="BC235" s="16">
        <f t="shared" si="653"/>
        <v>0.88327718599121618</v>
      </c>
      <c r="BD235" s="16">
        <f t="shared" si="653"/>
        <v>0.89872714942524989</v>
      </c>
      <c r="BE235" s="16">
        <f t="shared" si="653"/>
        <v>0.90605039410690236</v>
      </c>
      <c r="BF235" s="16">
        <f t="shared" si="653"/>
        <v>0.90605039410690236</v>
      </c>
      <c r="BG235" s="16">
        <f t="shared" si="653"/>
        <v>0.91162619780509857</v>
      </c>
      <c r="BH235" s="16">
        <f t="shared" si="653"/>
        <v>0.91758778586437195</v>
      </c>
      <c r="BI235" s="16">
        <f t="shared" si="653"/>
        <v>0.92404498732248064</v>
      </c>
      <c r="BJ235" s="16">
        <f t="shared" si="653"/>
        <v>0.9358016769821571</v>
      </c>
      <c r="BK235" s="16">
        <f t="shared" si="653"/>
        <v>0.9358016769821571</v>
      </c>
      <c r="BL235" s="16">
        <f t="shared" si="653"/>
        <v>0.94149331401548941</v>
      </c>
      <c r="BM235" s="16">
        <f t="shared" si="653"/>
        <v>0.94779771371871235</v>
      </c>
      <c r="BN235" s="16">
        <f t="shared" si="653"/>
        <v>0.95492076616602883</v>
      </c>
      <c r="BO235" s="16">
        <f t="shared" si="653"/>
        <v>0.96297054697344753</v>
      </c>
      <c r="BP235" s="16">
        <f t="shared" si="653"/>
        <v>0.96297054697344753</v>
      </c>
      <c r="BQ235" s="16">
        <f t="shared" si="653"/>
        <v>0.97173309050107071</v>
      </c>
      <c r="BR235" s="16">
        <f t="shared" si="653"/>
        <v>0.98251722563811505</v>
      </c>
      <c r="BS235" s="16">
        <f t="shared" si="653"/>
        <v>0.99579341342637273</v>
      </c>
      <c r="BT235" s="16">
        <f t="shared" si="653"/>
        <v>0.99536616475811834</v>
      </c>
      <c r="BU235" s="16">
        <f t="shared" si="653"/>
        <v>0.99536616475811834</v>
      </c>
      <c r="BV235" s="16">
        <f t="shared" si="653"/>
        <v>0.99490973203044508</v>
      </c>
      <c r="BW235" s="16">
        <f t="shared" si="653"/>
        <v>0.99441090373848029</v>
      </c>
      <c r="BX235" s="16">
        <f t="shared" si="653"/>
        <v>0.99384712858378776</v>
      </c>
      <c r="BY235" s="16">
        <f t="shared" si="653"/>
        <v>0.99327757239694403</v>
      </c>
      <c r="BZ235" s="16">
        <f t="shared" si="653"/>
        <v>0.99327757239694403</v>
      </c>
    </row>
    <row r="236" spans="1:78">
      <c r="J236" s="57"/>
      <c r="N236" s="57"/>
    </row>
    <row r="237" spans="1:78">
      <c r="A237" s="1" t="s">
        <v>266</v>
      </c>
      <c r="I237" s="45">
        <f>FX!I6</f>
        <v>112</v>
      </c>
      <c r="J237" s="45">
        <f>FX!J6</f>
        <v>112.73</v>
      </c>
      <c r="K237" s="45">
        <f>FX!K6</f>
        <v>113</v>
      </c>
      <c r="L237" s="45">
        <f>FX!L6</f>
        <v>106.24</v>
      </c>
      <c r="M237" s="41">
        <f>L237</f>
        <v>106.24</v>
      </c>
      <c r="N237" s="45">
        <f>FX!N6</f>
        <v>110.54</v>
      </c>
      <c r="O237" s="45">
        <f>FX!O6</f>
        <v>113.57</v>
      </c>
      <c r="P237" s="45">
        <f>FX!P6</f>
        <v>111</v>
      </c>
      <c r="Q237" s="45">
        <f>FX!Q6</f>
        <v>110.99</v>
      </c>
      <c r="R237" s="41">
        <f>Q237</f>
        <v>110.99</v>
      </c>
      <c r="S237" s="45">
        <f>FX!S6</f>
        <v>107.79</v>
      </c>
      <c r="T237" s="45">
        <f>FX!T6</f>
        <v>107.92</v>
      </c>
      <c r="U237" s="45">
        <f>FX!U6</f>
        <v>109.56</v>
      </c>
      <c r="V237" s="45">
        <f>FX!V6</f>
        <v>108.83</v>
      </c>
      <c r="W237" s="41">
        <f>V237</f>
        <v>108.83</v>
      </c>
      <c r="X237" s="45">
        <f>FX!X6</f>
        <v>107.74</v>
      </c>
      <c r="Y237" s="45">
        <f>FX!Y6</f>
        <v>105.8</v>
      </c>
      <c r="Z237" s="45">
        <f>FX!Z6</f>
        <v>103.5</v>
      </c>
      <c r="AA237" s="45">
        <f>FX!AA6</f>
        <v>110.71</v>
      </c>
      <c r="AB237" s="41">
        <f>AA237</f>
        <v>110.71</v>
      </c>
      <c r="AC237" s="45">
        <f>FX!AC6</f>
        <v>110.58</v>
      </c>
      <c r="AD237" s="45">
        <f>FX!AD6</f>
        <v>111.92</v>
      </c>
      <c r="AE237" s="45">
        <f>FX!AE6</f>
        <v>115.02</v>
      </c>
      <c r="AF237" s="45">
        <f>FX!AF6</f>
        <v>122.39</v>
      </c>
      <c r="AG237" s="41">
        <f>AF237</f>
        <v>122.39</v>
      </c>
      <c r="AH237" s="45">
        <f>FX!AH6</f>
        <v>136.68</v>
      </c>
      <c r="AI237" s="45">
        <f>FX!AI6</f>
        <v>144.81</v>
      </c>
      <c r="AJ237" s="45">
        <f>FX!AJ6</f>
        <v>132.69999999999999</v>
      </c>
      <c r="AK237" s="45">
        <f>FX!AK6</f>
        <v>133.53</v>
      </c>
      <c r="AL237" s="41">
        <f>AK237</f>
        <v>133.53</v>
      </c>
      <c r="AM237" s="45">
        <f>FX!AM6</f>
        <v>144.99</v>
      </c>
      <c r="AN237" s="45">
        <f>FX!AN6</f>
        <v>149.58000000000001</v>
      </c>
      <c r="AO237" s="45">
        <f>FX!AO6</f>
        <v>141.83000000000001</v>
      </c>
      <c r="AP237" s="45">
        <f>FX!AP6</f>
        <v>151.41</v>
      </c>
      <c r="AQ237" s="41">
        <f>AP237</f>
        <v>151.41</v>
      </c>
      <c r="AR237" s="45">
        <f>FX!AR6</f>
        <v>161.07</v>
      </c>
      <c r="AS237" s="45">
        <f>FX!AS6</f>
        <v>142.72999999999999</v>
      </c>
      <c r="AT237" s="45">
        <f>FX!AT6</f>
        <v>158.18</v>
      </c>
      <c r="AU237" s="45">
        <f>FX!AU6</f>
        <v>149.52000000000001</v>
      </c>
      <c r="AV237" s="41">
        <f>AU237</f>
        <v>149.52000000000001</v>
      </c>
      <c r="AW237" s="45">
        <f>FX!AW6</f>
        <v>144.81</v>
      </c>
      <c r="AX237" s="45">
        <f>FX!AX6</f>
        <v>148.88</v>
      </c>
      <c r="AY237" s="45">
        <f>FX!AY6</f>
        <v>156.56</v>
      </c>
      <c r="AZ237" s="45">
        <f>FX!AZ6</f>
        <v>155.1</v>
      </c>
      <c r="BA237" s="41">
        <f>AZ237</f>
        <v>155.1</v>
      </c>
      <c r="BB237" s="45">
        <f>FX!BB6</f>
        <v>154.70000000000002</v>
      </c>
      <c r="BC237" s="45">
        <f>FX!BC6</f>
        <v>154.30000000000001</v>
      </c>
      <c r="BD237" s="45">
        <f>FX!BD6</f>
        <v>153.9</v>
      </c>
      <c r="BE237" s="45">
        <f>FX!BE6</f>
        <v>153.5</v>
      </c>
      <c r="BF237" s="41">
        <f>BE237</f>
        <v>153.5</v>
      </c>
      <c r="BG237" s="45">
        <f>FX!BG6</f>
        <v>153.1</v>
      </c>
      <c r="BH237" s="45">
        <f>FX!BH6</f>
        <v>152.70000000000002</v>
      </c>
      <c r="BI237" s="45">
        <f>FX!BI6</f>
        <v>152.30000000000001</v>
      </c>
      <c r="BJ237" s="45">
        <f>FX!BJ6</f>
        <v>151.9</v>
      </c>
      <c r="BK237" s="41">
        <f>BJ237</f>
        <v>151.9</v>
      </c>
      <c r="BL237" s="45">
        <f>FX!BL6</f>
        <v>151.5</v>
      </c>
      <c r="BM237" s="45">
        <f>FX!BM6</f>
        <v>151.1</v>
      </c>
      <c r="BN237" s="45">
        <f>FX!BN6</f>
        <v>150.70000000000002</v>
      </c>
      <c r="BO237" s="45">
        <f>FX!BO6</f>
        <v>150.30000000000001</v>
      </c>
      <c r="BP237" s="41">
        <f>BO237</f>
        <v>150.30000000000001</v>
      </c>
      <c r="BQ237" s="45">
        <f>FX!BQ6</f>
        <v>149.9</v>
      </c>
      <c r="BR237" s="45">
        <f>FX!BR6</f>
        <v>149.5</v>
      </c>
      <c r="BS237" s="45">
        <f>FX!BS6</f>
        <v>149.1</v>
      </c>
      <c r="BT237" s="45">
        <f>FX!BT6</f>
        <v>148.70000000000002</v>
      </c>
      <c r="BU237" s="41">
        <f>BT237</f>
        <v>148.70000000000002</v>
      </c>
      <c r="BV237" s="45">
        <f>FX!BV6</f>
        <v>148.30000000000001</v>
      </c>
      <c r="BW237" s="45">
        <f>FX!BW6</f>
        <v>147.9</v>
      </c>
      <c r="BX237" s="45">
        <f>FX!BX6</f>
        <v>147.5</v>
      </c>
      <c r="BY237" s="45">
        <f>FX!BY6</f>
        <v>147.1</v>
      </c>
      <c r="BZ237" s="41">
        <f>BY237</f>
        <v>147.1</v>
      </c>
    </row>
    <row r="238" spans="1:78">
      <c r="A238" s="1" t="s">
        <v>2145</v>
      </c>
      <c r="J238" s="57"/>
      <c r="AP238" s="16">
        <f>-(AP237/AO237-1)</f>
        <v>-6.7545653246844806E-2</v>
      </c>
      <c r="AR238" s="16">
        <f>-(AR237/AQ237-1)</f>
        <v>-6.3800277392510374E-2</v>
      </c>
      <c r="AS238" s="16">
        <f>-(AS237/AR237-1)</f>
        <v>0.11386353759235113</v>
      </c>
      <c r="AT238" s="16">
        <f>-(AT237/AS237-1)</f>
        <v>-0.1082463392419255</v>
      </c>
      <c r="AU238" s="16">
        <f>-(AU237/AT237-1)</f>
        <v>5.474775572133006E-2</v>
      </c>
      <c r="AW238" s="16">
        <f>-(AW237/AV237-1)</f>
        <v>3.15008025682183E-2</v>
      </c>
      <c r="AX238" s="16">
        <f>-(AX237/AW237-1)</f>
        <v>-2.8105793798770762E-2</v>
      </c>
      <c r="AY238" s="16">
        <f>-(AY237/AX237-1)</f>
        <v>-5.1585169263836717E-2</v>
      </c>
      <c r="AZ238" s="16">
        <f>-(AZ237/AY237-1)</f>
        <v>9.3254982115483775E-3</v>
      </c>
      <c r="BB238" s="16">
        <f>-(BB237/BA237-1)</f>
        <v>2.5789813023854302E-3</v>
      </c>
      <c r="BC238" s="16">
        <f>-(BC237/BB237-1)</f>
        <v>2.5856496444731647E-3</v>
      </c>
      <c r="BD238" s="16">
        <f>-(BD237/BC237-1)</f>
        <v>2.5923525599481634E-3</v>
      </c>
      <c r="BE238" s="16">
        <f>-(BE237/BD237-1)</f>
        <v>2.5990903183885639E-3</v>
      </c>
      <c r="BG238" s="16">
        <f>-(BG237/BF237-1)</f>
        <v>2.6058631921824782E-3</v>
      </c>
      <c r="BH238" s="16">
        <f>-(BH237/BG237-1)</f>
        <v>2.6126714565641862E-3</v>
      </c>
      <c r="BI238" s="16">
        <f>-(BI237/BH237-1)</f>
        <v>2.6195153896529932E-3</v>
      </c>
      <c r="BJ238" s="16">
        <f>-(BJ237/BI237-1)</f>
        <v>2.6263952724885353E-3</v>
      </c>
      <c r="BL238" s="16">
        <f>-(BL237/BK237-1)</f>
        <v>2.6333113890717463E-3</v>
      </c>
      <c r="BM238" s="16">
        <f>-(BM237/BL237-1)</f>
        <v>2.6402640264027166E-3</v>
      </c>
      <c r="BN238" s="16">
        <f>-(BN237/BM237-1)</f>
        <v>2.6472534745199949E-3</v>
      </c>
      <c r="BO238" s="16">
        <f>-(BO237/BN237-1)</f>
        <v>2.6542800265428879E-3</v>
      </c>
      <c r="BQ238" s="16">
        <f>-(BQ237/BP237-1)</f>
        <v>2.6613439787093185E-3</v>
      </c>
      <c r="BR238" s="16">
        <f>-(BR237/BQ237-1)</f>
        <v>2.6684456304203463E-3</v>
      </c>
      <c r="BS238" s="16">
        <f>-(BS237/BR237-1)</f>
        <v>2.6755852842810235E-3</v>
      </c>
      <c r="BT238" s="16">
        <f>-(BT237/BS237-1)</f>
        <v>2.6827632461433604E-3</v>
      </c>
      <c r="BV238" s="16">
        <f>-(BV237/BU237-1)</f>
        <v>2.6899798251514007E-3</v>
      </c>
      <c r="BW238" s="16">
        <f>-(BW237/BV237-1)</f>
        <v>2.6972353337829658E-3</v>
      </c>
      <c r="BX238" s="16">
        <f>-(BX237/BW237-1)</f>
        <v>2.7045300878972833E-3</v>
      </c>
      <c r="BY238" s="16">
        <f>-(BY237/BX237-1)</f>
        <v>2.7118644067797293E-3</v>
      </c>
    </row>
    <row r="239" spans="1:78">
      <c r="J239" s="57"/>
    </row>
    <row r="240" spans="1:78" s="12" customFormat="1">
      <c r="A240" s="13" t="s">
        <v>497</v>
      </c>
    </row>
    <row r="241" spans="1:83">
      <c r="J241" s="57"/>
    </row>
    <row r="242" spans="1:83">
      <c r="A242" s="3" t="s">
        <v>509</v>
      </c>
      <c r="J242" s="57"/>
      <c r="Z242" s="98" t="s">
        <v>670</v>
      </c>
      <c r="AA242" s="71"/>
      <c r="AB242" s="71"/>
      <c r="AC242" s="71"/>
      <c r="AD242" s="71"/>
      <c r="AE242" s="71"/>
      <c r="AF242" s="71"/>
      <c r="AG242" s="71"/>
      <c r="AH242" s="71"/>
    </row>
    <row r="243" spans="1:83">
      <c r="J243" s="57"/>
      <c r="Y243" s="25" t="s">
        <v>646</v>
      </c>
      <c r="AP243" s="782" t="s">
        <v>3233</v>
      </c>
      <c r="AQ243" s="745"/>
      <c r="AR243" s="745"/>
      <c r="AS243" s="745"/>
      <c r="AT243" s="745"/>
      <c r="AU243" s="745"/>
      <c r="AV243" s="745"/>
      <c r="AW243" s="745"/>
      <c r="AX243" s="25" t="s">
        <v>3236</v>
      </c>
    </row>
    <row r="244" spans="1:83">
      <c r="A244" s="1" t="s">
        <v>528</v>
      </c>
      <c r="J244" s="57"/>
      <c r="Y244" s="36">
        <f t="shared" ref="Y244:AG244" si="655">Y266</f>
        <v>68200</v>
      </c>
      <c r="Z244" s="36">
        <f t="shared" si="655"/>
        <v>81800</v>
      </c>
      <c r="AA244" s="36">
        <f t="shared" si="655"/>
        <v>112500</v>
      </c>
      <c r="AB244" s="36">
        <f t="shared" si="655"/>
        <v>112500</v>
      </c>
      <c r="AC244" s="36">
        <f t="shared" si="655"/>
        <v>111900</v>
      </c>
      <c r="AD244" s="36">
        <f t="shared" si="655"/>
        <v>96400</v>
      </c>
      <c r="AE244" s="36">
        <f t="shared" si="655"/>
        <v>93400</v>
      </c>
      <c r="AF244" s="36">
        <f t="shared" si="655"/>
        <v>70400</v>
      </c>
      <c r="AG244" s="36">
        <f t="shared" si="655"/>
        <v>70400</v>
      </c>
      <c r="AH244" s="36">
        <f>AH266</f>
        <v>58100</v>
      </c>
      <c r="AI244" s="36">
        <f t="shared" ref="AI244" si="656">AI266</f>
        <v>52400</v>
      </c>
      <c r="AJ244" s="36">
        <f t="shared" ref="AJ244" si="657">AJ266</f>
        <v>48400</v>
      </c>
      <c r="AK244" s="36">
        <f t="shared" ref="AK244:AL244" si="658">AK266</f>
        <v>47700</v>
      </c>
      <c r="AL244" s="36">
        <f t="shared" si="658"/>
        <v>47700</v>
      </c>
      <c r="AM244" s="36">
        <f t="shared" ref="AM244:AQ244" si="659">AM266</f>
        <v>46900</v>
      </c>
      <c r="AN244" s="36">
        <f t="shared" si="659"/>
        <v>42300</v>
      </c>
      <c r="AO244" s="36">
        <f t="shared" si="659"/>
        <v>42200</v>
      </c>
      <c r="AP244" s="36">
        <f t="shared" si="659"/>
        <v>39900</v>
      </c>
      <c r="AQ244" s="36">
        <f t="shared" si="659"/>
        <v>39900</v>
      </c>
      <c r="AR244" s="36">
        <f t="shared" ref="AR244" si="660">AR266</f>
        <v>41800</v>
      </c>
      <c r="AS244" s="36">
        <f>AS266</f>
        <v>43900</v>
      </c>
      <c r="AT244" s="36">
        <f>AT266</f>
        <v>42100</v>
      </c>
      <c r="AU244" s="36">
        <f t="shared" ref="AU244:AV244" si="661">AU266</f>
        <v>43300</v>
      </c>
      <c r="AV244" s="36">
        <f t="shared" si="661"/>
        <v>43300</v>
      </c>
      <c r="AW244" s="36">
        <f>AW266</f>
        <v>45600</v>
      </c>
      <c r="AX244" s="36">
        <f t="shared" ref="AX244:AY244" si="662">AX266</f>
        <v>50100</v>
      </c>
      <c r="AY244" s="36">
        <f t="shared" si="662"/>
        <v>45200</v>
      </c>
      <c r="AZ244" s="36">
        <f t="shared" ref="AZ244:BR244" si="663">AZ266</f>
        <v>43310</v>
      </c>
      <c r="BA244" s="36">
        <f t="shared" si="663"/>
        <v>43310</v>
      </c>
      <c r="BB244" s="36">
        <f t="shared" si="663"/>
        <v>40045</v>
      </c>
      <c r="BC244" s="36">
        <f t="shared" si="663"/>
        <v>36785</v>
      </c>
      <c r="BD244" s="36">
        <f t="shared" si="663"/>
        <v>33535</v>
      </c>
      <c r="BE244" s="36">
        <f t="shared" si="663"/>
        <v>30300</v>
      </c>
      <c r="BF244" s="36">
        <f t="shared" si="663"/>
        <v>30300</v>
      </c>
      <c r="BG244" s="36">
        <f t="shared" si="663"/>
        <v>27780</v>
      </c>
      <c r="BH244" s="36">
        <f t="shared" si="663"/>
        <v>25220</v>
      </c>
      <c r="BI244" s="36">
        <f t="shared" si="663"/>
        <v>22615</v>
      </c>
      <c r="BJ244" s="36">
        <f t="shared" si="663"/>
        <v>19960</v>
      </c>
      <c r="BK244" s="36">
        <f t="shared" si="663"/>
        <v>19960</v>
      </c>
      <c r="BL244" s="36">
        <f t="shared" si="663"/>
        <v>17255</v>
      </c>
      <c r="BM244" s="36">
        <f t="shared" si="663"/>
        <v>14505</v>
      </c>
      <c r="BN244" s="36">
        <f t="shared" si="663"/>
        <v>11705</v>
      </c>
      <c r="BO244" s="36">
        <f t="shared" si="663"/>
        <v>8855</v>
      </c>
      <c r="BP244" s="36">
        <f t="shared" si="663"/>
        <v>8855</v>
      </c>
      <c r="BQ244" s="36">
        <f t="shared" si="663"/>
        <v>5955</v>
      </c>
      <c r="BR244" s="36">
        <f t="shared" si="663"/>
        <v>3000</v>
      </c>
      <c r="BS244" s="36"/>
      <c r="BT244" s="36"/>
      <c r="BU244" s="36"/>
      <c r="BV244" s="36"/>
      <c r="BW244" s="36"/>
      <c r="BX244" s="36"/>
      <c r="BY244" s="36"/>
      <c r="BZ244" s="36"/>
    </row>
    <row r="245" spans="1:83">
      <c r="A245" s="1" t="s">
        <v>510</v>
      </c>
      <c r="J245" s="57"/>
      <c r="Y245" s="36">
        <f t="shared" ref="Y245:AG245" si="664">Y278</f>
        <v>7600</v>
      </c>
      <c r="Z245" s="36">
        <f t="shared" si="664"/>
        <v>9300</v>
      </c>
      <c r="AA245" s="36">
        <f t="shared" si="664"/>
        <v>11200</v>
      </c>
      <c r="AB245" s="36">
        <f t="shared" si="664"/>
        <v>11200</v>
      </c>
      <c r="AC245" s="36">
        <f t="shared" si="664"/>
        <v>23800</v>
      </c>
      <c r="AD245" s="36">
        <f t="shared" si="664"/>
        <v>37000</v>
      </c>
      <c r="AE245" s="36">
        <f t="shared" si="664"/>
        <v>45333</v>
      </c>
      <c r="AF245" s="36">
        <f t="shared" si="664"/>
        <v>44452</v>
      </c>
      <c r="AG245" s="36">
        <f t="shared" si="664"/>
        <v>44452</v>
      </c>
      <c r="AH245" s="36">
        <f t="shared" ref="AH245:AO245" si="665">AH278</f>
        <v>35571</v>
      </c>
      <c r="AI245" s="36">
        <f t="shared" si="665"/>
        <v>30990</v>
      </c>
      <c r="AJ245" s="36">
        <f t="shared" si="665"/>
        <v>28909</v>
      </c>
      <c r="AK245" s="36">
        <f t="shared" si="665"/>
        <v>27628</v>
      </c>
      <c r="AL245" s="36">
        <f t="shared" si="665"/>
        <v>27628</v>
      </c>
      <c r="AM245" s="36">
        <f t="shared" si="665"/>
        <v>28447</v>
      </c>
      <c r="AN245" s="36">
        <f t="shared" si="665"/>
        <v>26466</v>
      </c>
      <c r="AO245" s="36">
        <f t="shared" si="665"/>
        <v>27985</v>
      </c>
      <c r="AP245" s="36">
        <f t="shared" ref="AP245:AT245" si="666">AP278</f>
        <v>27680</v>
      </c>
      <c r="AQ245" s="36">
        <f t="shared" si="666"/>
        <v>27680</v>
      </c>
      <c r="AR245" s="36">
        <f t="shared" si="666"/>
        <v>25580</v>
      </c>
      <c r="AS245" s="36">
        <f>AS278</f>
        <v>26980</v>
      </c>
      <c r="AT245" s="36">
        <f t="shared" si="666"/>
        <v>26880</v>
      </c>
      <c r="AU245" s="36">
        <f t="shared" ref="AU245:AV245" si="667">AU278</f>
        <v>27715</v>
      </c>
      <c r="AV245" s="36">
        <f t="shared" si="667"/>
        <v>27715</v>
      </c>
      <c r="AW245" s="36">
        <f t="shared" ref="AW245:AX245" si="668">AW278</f>
        <v>34780</v>
      </c>
      <c r="AX245" s="36">
        <f t="shared" si="668"/>
        <v>42120</v>
      </c>
      <c r="AY245" s="36">
        <f t="shared" ref="AY245" si="669">AY278</f>
        <v>78820</v>
      </c>
      <c r="AZ245" s="36">
        <f t="shared" ref="AZ245:BZ245" si="670">AZ278</f>
        <v>77934.524999999994</v>
      </c>
      <c r="BA245" s="36">
        <f t="shared" si="670"/>
        <v>77934.524999999994</v>
      </c>
      <c r="BB245" s="36">
        <f t="shared" si="670"/>
        <v>108184.52499999999</v>
      </c>
      <c r="BC245" s="36">
        <f t="shared" si="670"/>
        <v>119184.52499999999</v>
      </c>
      <c r="BD245" s="36">
        <f t="shared" si="670"/>
        <v>130079.52499999999</v>
      </c>
      <c r="BE245" s="36">
        <f t="shared" si="670"/>
        <v>128954.52499999999</v>
      </c>
      <c r="BF245" s="36">
        <f t="shared" si="670"/>
        <v>128954.52499999999</v>
      </c>
      <c r="BG245" s="36">
        <f t="shared" si="670"/>
        <v>127544.52499999999</v>
      </c>
      <c r="BH245" s="36">
        <f t="shared" si="670"/>
        <v>126014.52499999999</v>
      </c>
      <c r="BI245" s="36">
        <f t="shared" si="670"/>
        <v>124349.52499999999</v>
      </c>
      <c r="BJ245" s="36">
        <f t="shared" si="670"/>
        <v>122544.52499999999</v>
      </c>
      <c r="BK245" s="36">
        <f t="shared" si="670"/>
        <v>122544.52499999999</v>
      </c>
      <c r="BL245" s="36">
        <f t="shared" si="670"/>
        <v>118839.52499999999</v>
      </c>
      <c r="BM245" s="36">
        <f t="shared" si="670"/>
        <v>114949.52499999999</v>
      </c>
      <c r="BN245" s="36">
        <f t="shared" si="670"/>
        <v>110864.52499999999</v>
      </c>
      <c r="BO245" s="36">
        <f t="shared" si="670"/>
        <v>106574.52499999999</v>
      </c>
      <c r="BP245" s="36">
        <f t="shared" si="670"/>
        <v>106574.52499999999</v>
      </c>
      <c r="BQ245" s="36">
        <f t="shared" si="670"/>
        <v>100119.52499999999</v>
      </c>
      <c r="BR245" s="36">
        <f t="shared" si="670"/>
        <v>93484.524999999994</v>
      </c>
      <c r="BS245" s="36">
        <f t="shared" si="670"/>
        <v>86674.524999999994</v>
      </c>
      <c r="BT245" s="36">
        <f t="shared" si="670"/>
        <v>79679.524999999994</v>
      </c>
      <c r="BU245" s="36">
        <f t="shared" si="670"/>
        <v>79679.524999999994</v>
      </c>
      <c r="BV245" s="36">
        <f t="shared" si="670"/>
        <v>72499.524999999994</v>
      </c>
      <c r="BW245" s="36">
        <f t="shared" si="670"/>
        <v>65134.524999999994</v>
      </c>
      <c r="BX245" s="36">
        <f t="shared" si="670"/>
        <v>57574.525000000001</v>
      </c>
      <c r="BY245" s="36">
        <f t="shared" si="670"/>
        <v>49819.525000000001</v>
      </c>
      <c r="BZ245" s="36">
        <f t="shared" si="670"/>
        <v>49819.525000000001</v>
      </c>
    </row>
    <row r="246" spans="1:83">
      <c r="A246" s="1" t="s">
        <v>662</v>
      </c>
      <c r="J246" s="57"/>
      <c r="Y246" s="36"/>
      <c r="Z246" s="36"/>
      <c r="AA246" s="36"/>
      <c r="AB246" s="36"/>
      <c r="AC246" s="36"/>
      <c r="AD246" s="36"/>
      <c r="AE246" s="36"/>
      <c r="AF246" s="36"/>
      <c r="AG246" s="36"/>
      <c r="AH246" s="36">
        <f t="shared" ref="AH246:AO246" si="671">AH295</f>
        <v>7000</v>
      </c>
      <c r="AI246" s="36">
        <f t="shared" si="671"/>
        <v>6700</v>
      </c>
      <c r="AJ246" s="36">
        <f t="shared" si="671"/>
        <v>6300</v>
      </c>
      <c r="AK246" s="36">
        <f>AK295</f>
        <v>5600</v>
      </c>
      <c r="AL246" s="36">
        <f t="shared" si="671"/>
        <v>5600</v>
      </c>
      <c r="AM246" s="36">
        <f t="shared" si="671"/>
        <v>5900</v>
      </c>
      <c r="AN246" s="36">
        <f t="shared" si="671"/>
        <v>5800</v>
      </c>
      <c r="AO246" s="36">
        <f t="shared" si="671"/>
        <v>6000</v>
      </c>
      <c r="AP246" s="36">
        <f t="shared" ref="AP246:AT246" si="672">AP295</f>
        <v>5900</v>
      </c>
      <c r="AQ246" s="36">
        <f t="shared" si="672"/>
        <v>5900</v>
      </c>
      <c r="AR246" s="36">
        <f t="shared" si="672"/>
        <v>5800</v>
      </c>
      <c r="AS246" s="36">
        <f t="shared" si="672"/>
        <v>6000</v>
      </c>
      <c r="AT246" s="36">
        <f t="shared" si="672"/>
        <v>5900</v>
      </c>
      <c r="AU246" s="36">
        <f t="shared" ref="AU246:AV246" si="673">AU295</f>
        <v>5700</v>
      </c>
      <c r="AV246" s="36">
        <f t="shared" si="673"/>
        <v>5700</v>
      </c>
      <c r="AW246" s="36">
        <f t="shared" ref="AW246:AX246" si="674">AW295</f>
        <v>6200</v>
      </c>
      <c r="AX246" s="36">
        <f t="shared" si="674"/>
        <v>6400</v>
      </c>
      <c r="AY246" s="36">
        <f t="shared" ref="AY246" si="675">AY295</f>
        <v>6000</v>
      </c>
      <c r="AZ246" s="36">
        <f t="shared" ref="AZ246:BZ246" si="676">AZ295</f>
        <v>6060</v>
      </c>
      <c r="BA246" s="36">
        <f t="shared" si="676"/>
        <v>6060</v>
      </c>
      <c r="BB246" s="36">
        <f t="shared" si="676"/>
        <v>6075</v>
      </c>
      <c r="BC246" s="36">
        <f t="shared" si="676"/>
        <v>6085</v>
      </c>
      <c r="BD246" s="36">
        <f t="shared" si="676"/>
        <v>6095</v>
      </c>
      <c r="BE246" s="36">
        <f t="shared" si="676"/>
        <v>6100</v>
      </c>
      <c r="BF246" s="36">
        <f t="shared" si="676"/>
        <v>6100</v>
      </c>
      <c r="BG246" s="36">
        <f t="shared" si="676"/>
        <v>6030</v>
      </c>
      <c r="BH246" s="36">
        <f t="shared" si="676"/>
        <v>5950</v>
      </c>
      <c r="BI246" s="36">
        <f t="shared" si="676"/>
        <v>5865</v>
      </c>
      <c r="BJ246" s="36">
        <f t="shared" si="676"/>
        <v>5770</v>
      </c>
      <c r="BK246" s="36">
        <f t="shared" si="676"/>
        <v>5770</v>
      </c>
      <c r="BL246" s="36">
        <f t="shared" si="676"/>
        <v>5585</v>
      </c>
      <c r="BM246" s="36">
        <f t="shared" si="676"/>
        <v>5390</v>
      </c>
      <c r="BN246" s="36">
        <f t="shared" si="676"/>
        <v>5180</v>
      </c>
      <c r="BO246" s="36">
        <f t="shared" si="676"/>
        <v>4965</v>
      </c>
      <c r="BP246" s="36">
        <f t="shared" si="676"/>
        <v>4965</v>
      </c>
      <c r="BQ246" s="36">
        <f t="shared" si="676"/>
        <v>4735</v>
      </c>
      <c r="BR246" s="36">
        <f t="shared" si="676"/>
        <v>4495</v>
      </c>
      <c r="BS246" s="36">
        <f t="shared" si="676"/>
        <v>4240</v>
      </c>
      <c r="BT246" s="36">
        <f t="shared" si="676"/>
        <v>3970</v>
      </c>
      <c r="BU246" s="36">
        <f t="shared" si="676"/>
        <v>3970</v>
      </c>
      <c r="BV246" s="36">
        <f t="shared" si="676"/>
        <v>3685</v>
      </c>
      <c r="BW246" s="36">
        <f t="shared" si="676"/>
        <v>3390</v>
      </c>
      <c r="BX246" s="36">
        <f t="shared" si="676"/>
        <v>3080</v>
      </c>
      <c r="BY246" s="36">
        <f t="shared" si="676"/>
        <v>2750</v>
      </c>
      <c r="BZ246" s="36">
        <f t="shared" si="676"/>
        <v>2750</v>
      </c>
    </row>
    <row r="247" spans="1:83">
      <c r="A247" s="1" t="s">
        <v>276</v>
      </c>
      <c r="J247" s="57"/>
      <c r="Y247" s="36">
        <f t="shared" ref="Y247:AH247" si="677">Y248-SUM(Y244:Y246)</f>
        <v>-665</v>
      </c>
      <c r="Z247" s="36">
        <f t="shared" si="677"/>
        <v>-330</v>
      </c>
      <c r="AA247" s="36">
        <f t="shared" si="677"/>
        <v>-435</v>
      </c>
      <c r="AB247" s="36">
        <f t="shared" si="677"/>
        <v>-435</v>
      </c>
      <c r="AC247" s="36">
        <f t="shared" si="677"/>
        <v>-1930</v>
      </c>
      <c r="AD247" s="36">
        <f t="shared" si="677"/>
        <v>-2600</v>
      </c>
      <c r="AE247" s="36">
        <f t="shared" si="677"/>
        <v>-2253</v>
      </c>
      <c r="AF247" s="36">
        <f t="shared" si="677"/>
        <v>-2372</v>
      </c>
      <c r="AG247" s="36">
        <f t="shared" si="677"/>
        <v>-2372</v>
      </c>
      <c r="AH247" s="36">
        <f t="shared" si="677"/>
        <v>-2111</v>
      </c>
      <c r="AI247" s="36">
        <f>AI248-SUM(AI244:AI246)</f>
        <v>-2455</v>
      </c>
      <c r="AJ247" s="36">
        <f>AJ248-SUM(AJ244:AJ246)</f>
        <v>-1794</v>
      </c>
      <c r="AK247" s="36">
        <f>AK248-SUM(AK244:AK246)</f>
        <v>-2373</v>
      </c>
      <c r="AL247" s="36">
        <f>AL248-SUM(AL244:AL246)</f>
        <v>-2373</v>
      </c>
      <c r="AM247" s="36">
        <f t="shared" ref="AM247" si="678">AM248-SUM(AM244:AM246)</f>
        <v>-2087</v>
      </c>
      <c r="AN247" s="36">
        <f>AN248-SUM(AN244:AN246)</f>
        <v>-476</v>
      </c>
      <c r="AO247" s="36">
        <f t="shared" ref="AO247" si="679">AO248-SUM(AO244:AO246)</f>
        <v>-545</v>
      </c>
      <c r="AP247" s="648">
        <f>AP248-SUM(AP244:AP246)</f>
        <v>-735</v>
      </c>
      <c r="AQ247" s="648">
        <f>AQ248-SUM(AQ244:AQ246)</f>
        <v>-735</v>
      </c>
      <c r="AR247" s="648">
        <f t="shared" ref="AR247" si="680">AR248-SUM(AR244:AR246)</f>
        <v>-245</v>
      </c>
      <c r="AS247" s="648">
        <f>AS248-SUM(AS244:AS246)</f>
        <v>-350</v>
      </c>
      <c r="AT247" s="648">
        <f t="shared" ref="AT247" si="681">AT248-SUM(AT244:AT246)</f>
        <v>-555</v>
      </c>
      <c r="AU247" s="648">
        <f>AU248-SUM(AU244:AU246)</f>
        <v>-400</v>
      </c>
      <c r="AV247" s="648">
        <f>AV248-SUM(AV244:AV246)</f>
        <v>-400</v>
      </c>
      <c r="AW247" s="648">
        <f t="shared" ref="AW247:AX247" si="682">AW248-SUM(AW244:AW246)</f>
        <v>-585</v>
      </c>
      <c r="AX247" s="648">
        <f t="shared" si="682"/>
        <v>-700</v>
      </c>
      <c r="AY247" s="648">
        <f t="shared" ref="AY247" si="683">AY248-SUM(AY244:AY246)</f>
        <v>-820</v>
      </c>
      <c r="AZ247" s="56">
        <f t="shared" ref="AZ247:BY247" si="684">-MROUND(-AY247-15, 5)</f>
        <v>-805</v>
      </c>
      <c r="BA247" s="36">
        <f>AZ247</f>
        <v>-805</v>
      </c>
      <c r="BB247" s="56">
        <f t="shared" si="684"/>
        <v>-790</v>
      </c>
      <c r="BC247" s="56">
        <f t="shared" si="684"/>
        <v>-775</v>
      </c>
      <c r="BD247" s="56">
        <f t="shared" si="684"/>
        <v>-760</v>
      </c>
      <c r="BE247" s="56">
        <f t="shared" si="684"/>
        <v>-745</v>
      </c>
      <c r="BF247" s="36">
        <f>BE247</f>
        <v>-745</v>
      </c>
      <c r="BG247" s="56">
        <f t="shared" si="684"/>
        <v>-730</v>
      </c>
      <c r="BH247" s="56">
        <f t="shared" si="684"/>
        <v>-715</v>
      </c>
      <c r="BI247" s="56">
        <f t="shared" si="684"/>
        <v>-700</v>
      </c>
      <c r="BJ247" s="56">
        <f t="shared" si="684"/>
        <v>-685</v>
      </c>
      <c r="BK247" s="36">
        <f>BJ247</f>
        <v>-685</v>
      </c>
      <c r="BL247" s="56">
        <f t="shared" si="684"/>
        <v>-670</v>
      </c>
      <c r="BM247" s="56">
        <f t="shared" si="684"/>
        <v>-655</v>
      </c>
      <c r="BN247" s="56">
        <f t="shared" si="684"/>
        <v>-640</v>
      </c>
      <c r="BO247" s="56">
        <f t="shared" si="684"/>
        <v>-625</v>
      </c>
      <c r="BP247" s="36">
        <f>BO247</f>
        <v>-625</v>
      </c>
      <c r="BQ247" s="56">
        <f t="shared" si="684"/>
        <v>-610</v>
      </c>
      <c r="BR247" s="56">
        <f t="shared" si="684"/>
        <v>-595</v>
      </c>
      <c r="BS247" s="56">
        <f t="shared" si="684"/>
        <v>-580</v>
      </c>
      <c r="BT247" s="56">
        <f t="shared" si="684"/>
        <v>-565</v>
      </c>
      <c r="BU247" s="36">
        <f>BT247</f>
        <v>-565</v>
      </c>
      <c r="BV247" s="56">
        <f t="shared" si="684"/>
        <v>-550</v>
      </c>
      <c r="BW247" s="56">
        <f t="shared" si="684"/>
        <v>-535</v>
      </c>
      <c r="BX247" s="56">
        <f t="shared" si="684"/>
        <v>-520</v>
      </c>
      <c r="BY247" s="56">
        <f t="shared" si="684"/>
        <v>-505</v>
      </c>
      <c r="BZ247" s="36">
        <f>BY247</f>
        <v>-505</v>
      </c>
    </row>
    <row r="248" spans="1:83">
      <c r="A248" s="9" t="s">
        <v>251</v>
      </c>
      <c r="B248" s="9"/>
      <c r="C248" s="9"/>
      <c r="D248" s="9"/>
      <c r="E248" s="9"/>
      <c r="F248" s="9"/>
      <c r="G248" s="9"/>
      <c r="H248" s="9"/>
      <c r="I248" s="9"/>
      <c r="J248" s="94"/>
      <c r="K248" s="9"/>
      <c r="L248" s="9"/>
      <c r="M248" s="9"/>
      <c r="N248" s="9"/>
      <c r="O248" s="9"/>
      <c r="P248" s="9"/>
      <c r="Q248" s="9"/>
      <c r="R248" s="9"/>
      <c r="S248" s="9"/>
      <c r="T248" s="9"/>
      <c r="U248" s="9"/>
      <c r="V248" s="9"/>
      <c r="W248" s="9"/>
      <c r="X248" s="9"/>
      <c r="Y248" s="39">
        <f t="shared" ref="Y248:AG248" si="685">Y222</f>
        <v>75135</v>
      </c>
      <c r="Z248" s="39">
        <f t="shared" si="685"/>
        <v>90770</v>
      </c>
      <c r="AA248" s="39">
        <f t="shared" si="685"/>
        <v>123265</v>
      </c>
      <c r="AB248" s="39">
        <f t="shared" si="685"/>
        <v>123265</v>
      </c>
      <c r="AC248" s="39">
        <f t="shared" si="685"/>
        <v>133770</v>
      </c>
      <c r="AD248" s="39">
        <f t="shared" si="685"/>
        <v>130800</v>
      </c>
      <c r="AE248" s="39">
        <f t="shared" si="685"/>
        <v>136480</v>
      </c>
      <c r="AF248" s="39">
        <f t="shared" si="685"/>
        <v>112480</v>
      </c>
      <c r="AG248" s="39">
        <f t="shared" si="685"/>
        <v>112480</v>
      </c>
      <c r="AH248" s="39">
        <f t="shared" ref="AH248:AN248" si="686">AH222</f>
        <v>98560</v>
      </c>
      <c r="AI248" s="39">
        <f t="shared" si="686"/>
        <v>87635</v>
      </c>
      <c r="AJ248" s="39">
        <f t="shared" si="686"/>
        <v>81815</v>
      </c>
      <c r="AK248" s="39">
        <f t="shared" si="686"/>
        <v>78555</v>
      </c>
      <c r="AL248" s="39">
        <f t="shared" si="686"/>
        <v>78555</v>
      </c>
      <c r="AM248" s="39">
        <f t="shared" si="686"/>
        <v>79160</v>
      </c>
      <c r="AN248" s="39">
        <f t="shared" si="686"/>
        <v>74090</v>
      </c>
      <c r="AO248" s="39">
        <f>AO222</f>
        <v>75640</v>
      </c>
      <c r="AP248" s="39">
        <f t="shared" ref="AP248:AS248" si="687">AP222</f>
        <v>72745</v>
      </c>
      <c r="AQ248" s="39">
        <f t="shared" si="687"/>
        <v>72745</v>
      </c>
      <c r="AR248" s="39">
        <f t="shared" si="687"/>
        <v>72935</v>
      </c>
      <c r="AS248" s="39">
        <f t="shared" si="687"/>
        <v>76530</v>
      </c>
      <c r="AT248" s="39">
        <f>AT222</f>
        <v>74325</v>
      </c>
      <c r="AU248" s="39">
        <f t="shared" ref="AU248:AV248" si="688">AU222</f>
        <v>76315</v>
      </c>
      <c r="AV248" s="39">
        <f t="shared" si="688"/>
        <v>76315</v>
      </c>
      <c r="AW248" s="39">
        <f t="shared" ref="AW248" si="689">AW222</f>
        <v>85995</v>
      </c>
      <c r="AX248" s="39">
        <f>AX222</f>
        <v>97920</v>
      </c>
      <c r="AY248" s="39">
        <f>AY222</f>
        <v>129200</v>
      </c>
      <c r="AZ248" s="39">
        <f t="shared" ref="AZ248:BZ248" si="690">SUM(AZ244:AZ247)</f>
        <v>126499.52499999999</v>
      </c>
      <c r="BA248" s="39">
        <f t="shared" si="690"/>
        <v>126499.52499999999</v>
      </c>
      <c r="BB248" s="39">
        <f t="shared" si="690"/>
        <v>153514.52499999999</v>
      </c>
      <c r="BC248" s="39">
        <f t="shared" si="690"/>
        <v>161279.52499999999</v>
      </c>
      <c r="BD248" s="39">
        <f t="shared" si="690"/>
        <v>168949.52499999999</v>
      </c>
      <c r="BE248" s="39">
        <f t="shared" si="690"/>
        <v>164609.52499999999</v>
      </c>
      <c r="BF248" s="39">
        <f t="shared" si="690"/>
        <v>164609.52499999999</v>
      </c>
      <c r="BG248" s="39">
        <f t="shared" si="690"/>
        <v>160624.52499999999</v>
      </c>
      <c r="BH248" s="39">
        <f t="shared" si="690"/>
        <v>156469.52499999999</v>
      </c>
      <c r="BI248" s="39">
        <f t="shared" si="690"/>
        <v>152129.52499999999</v>
      </c>
      <c r="BJ248" s="39">
        <f t="shared" si="690"/>
        <v>147589.52499999999</v>
      </c>
      <c r="BK248" s="39">
        <f t="shared" si="690"/>
        <v>147589.52499999999</v>
      </c>
      <c r="BL248" s="39">
        <f t="shared" si="690"/>
        <v>141009.52499999999</v>
      </c>
      <c r="BM248" s="39">
        <f t="shared" si="690"/>
        <v>134189.52499999999</v>
      </c>
      <c r="BN248" s="39">
        <f t="shared" si="690"/>
        <v>127109.52499999999</v>
      </c>
      <c r="BO248" s="39">
        <f t="shared" si="690"/>
        <v>119769.52499999999</v>
      </c>
      <c r="BP248" s="39">
        <f t="shared" si="690"/>
        <v>119769.52499999999</v>
      </c>
      <c r="BQ248" s="39">
        <f t="shared" si="690"/>
        <v>110199.52499999999</v>
      </c>
      <c r="BR248" s="39">
        <f t="shared" si="690"/>
        <v>100384.52499999999</v>
      </c>
      <c r="BS248" s="39">
        <f t="shared" si="690"/>
        <v>90334.524999999994</v>
      </c>
      <c r="BT248" s="39">
        <f t="shared" si="690"/>
        <v>83084.524999999994</v>
      </c>
      <c r="BU248" s="39">
        <f t="shared" si="690"/>
        <v>83084.524999999994</v>
      </c>
      <c r="BV248" s="39">
        <f t="shared" si="690"/>
        <v>75634.524999999994</v>
      </c>
      <c r="BW248" s="39">
        <f t="shared" si="690"/>
        <v>67989.524999999994</v>
      </c>
      <c r="BX248" s="39">
        <f t="shared" si="690"/>
        <v>60134.525000000001</v>
      </c>
      <c r="BY248" s="39">
        <f t="shared" si="690"/>
        <v>52064.525000000001</v>
      </c>
      <c r="BZ248" s="39">
        <f t="shared" si="690"/>
        <v>52064.525000000001</v>
      </c>
    </row>
    <row r="249" spans="1:83">
      <c r="J249" s="57"/>
      <c r="AX249" s="158" t="s">
        <v>1334</v>
      </c>
    </row>
    <row r="250" spans="1:83">
      <c r="A250" s="1" t="s">
        <v>512</v>
      </c>
      <c r="J250" s="57"/>
      <c r="Y250" s="36">
        <f t="shared" ref="Y250:AG250" si="691">Y270</f>
        <v>18625</v>
      </c>
      <c r="Z250" s="36">
        <f t="shared" si="691"/>
        <v>29085</v>
      </c>
      <c r="AA250" s="36">
        <f t="shared" si="691"/>
        <v>52870</v>
      </c>
      <c r="AB250" s="36">
        <f t="shared" si="691"/>
        <v>52870</v>
      </c>
      <c r="AC250" s="36">
        <f t="shared" si="691"/>
        <v>53570</v>
      </c>
      <c r="AD250" s="36">
        <f t="shared" si="691"/>
        <v>45565</v>
      </c>
      <c r="AE250" s="36">
        <f t="shared" si="691"/>
        <v>42940</v>
      </c>
      <c r="AF250" s="36">
        <f t="shared" si="691"/>
        <v>27180</v>
      </c>
      <c r="AG250" s="36">
        <f t="shared" si="691"/>
        <v>27180</v>
      </c>
      <c r="AH250" s="36">
        <f t="shared" ref="AH250:AI250" si="692">AH270</f>
        <v>19965</v>
      </c>
      <c r="AI250" s="36">
        <f t="shared" si="692"/>
        <v>17000</v>
      </c>
      <c r="AJ250" s="36">
        <f t="shared" ref="AJ250:AK250" si="693">AJ270</f>
        <v>14580</v>
      </c>
      <c r="AK250" s="36">
        <f t="shared" si="693"/>
        <v>14220</v>
      </c>
      <c r="AL250" s="36">
        <f>AL270</f>
        <v>14220</v>
      </c>
      <c r="AM250" s="36">
        <f t="shared" ref="AM250" si="694">AM270</f>
        <v>13830</v>
      </c>
      <c r="AN250" s="170">
        <f>AN270</f>
        <v>8875</v>
      </c>
      <c r="AO250" s="170">
        <f t="shared" ref="AO250:AW250" si="695">AO270</f>
        <v>9430</v>
      </c>
      <c r="AP250" s="170">
        <f t="shared" si="695"/>
        <v>8990</v>
      </c>
      <c r="AQ250" s="170">
        <f>AQ270</f>
        <v>8990</v>
      </c>
      <c r="AR250" s="170">
        <f t="shared" ref="AR250" si="696">AR270</f>
        <v>10510</v>
      </c>
      <c r="AS250" s="170">
        <f t="shared" si="695"/>
        <v>15800</v>
      </c>
      <c r="AT250" s="170">
        <f t="shared" ref="AT250" si="697">AT270</f>
        <v>15220</v>
      </c>
      <c r="AU250" s="170">
        <f t="shared" si="695"/>
        <v>18905</v>
      </c>
      <c r="AV250" s="170">
        <f t="shared" si="695"/>
        <v>18905</v>
      </c>
      <c r="AW250" s="170">
        <f t="shared" si="695"/>
        <v>20465</v>
      </c>
      <c r="AX250" s="36">
        <f>AX270</f>
        <v>24720</v>
      </c>
      <c r="AY250" s="36">
        <f>AY270</f>
        <v>22055</v>
      </c>
      <c r="AZ250" s="36">
        <f t="shared" ref="AZ250:BR250" si="698">AZ270</f>
        <v>21050</v>
      </c>
      <c r="BA250" s="36">
        <f t="shared" si="698"/>
        <v>21050</v>
      </c>
      <c r="BB250" s="36">
        <f t="shared" si="698"/>
        <v>19515</v>
      </c>
      <c r="BC250" s="36">
        <f t="shared" si="698"/>
        <v>17960</v>
      </c>
      <c r="BD250" s="36">
        <f t="shared" si="698"/>
        <v>16425</v>
      </c>
      <c r="BE250" s="36">
        <f t="shared" si="698"/>
        <v>14880</v>
      </c>
      <c r="BF250" s="36">
        <f t="shared" si="698"/>
        <v>14880</v>
      </c>
      <c r="BG250" s="36">
        <f t="shared" si="698"/>
        <v>13675</v>
      </c>
      <c r="BH250" s="36">
        <f t="shared" si="698"/>
        <v>12460</v>
      </c>
      <c r="BI250" s="36">
        <f t="shared" si="698"/>
        <v>11235</v>
      </c>
      <c r="BJ250" s="36">
        <f t="shared" si="698"/>
        <v>10700</v>
      </c>
      <c r="BK250" s="36">
        <f t="shared" si="698"/>
        <v>10700</v>
      </c>
      <c r="BL250" s="36">
        <f t="shared" si="698"/>
        <v>9255</v>
      </c>
      <c r="BM250" s="36">
        <f t="shared" si="698"/>
        <v>7785</v>
      </c>
      <c r="BN250" s="36">
        <f t="shared" si="698"/>
        <v>6285</v>
      </c>
      <c r="BO250" s="36">
        <f t="shared" si="698"/>
        <v>4755</v>
      </c>
      <c r="BP250" s="36">
        <f t="shared" si="698"/>
        <v>4755</v>
      </c>
      <c r="BQ250" s="36">
        <f t="shared" si="698"/>
        <v>3195</v>
      </c>
      <c r="BR250" s="36">
        <f t="shared" si="698"/>
        <v>1615</v>
      </c>
      <c r="BS250" s="36"/>
      <c r="BT250" s="36"/>
      <c r="BU250" s="36"/>
      <c r="BV250" s="36"/>
      <c r="BW250" s="36"/>
      <c r="BX250" s="36"/>
      <c r="BY250" s="36"/>
      <c r="BZ250" s="36"/>
    </row>
    <row r="251" spans="1:83">
      <c r="A251" s="1" t="s">
        <v>511</v>
      </c>
      <c r="J251" s="57"/>
      <c r="Y251" s="36">
        <f t="shared" ref="Y251:AG251" si="699">Y282</f>
        <v>7600</v>
      </c>
      <c r="Z251" s="36">
        <f t="shared" si="699"/>
        <v>9300</v>
      </c>
      <c r="AA251" s="36">
        <f t="shared" si="699"/>
        <v>11200</v>
      </c>
      <c r="AB251" s="36">
        <f t="shared" si="699"/>
        <v>11200</v>
      </c>
      <c r="AC251" s="36">
        <f t="shared" si="699"/>
        <v>23800</v>
      </c>
      <c r="AD251" s="36">
        <f t="shared" si="699"/>
        <v>35530</v>
      </c>
      <c r="AE251" s="36">
        <f t="shared" si="699"/>
        <v>42558</v>
      </c>
      <c r="AF251" s="36">
        <f t="shared" si="699"/>
        <v>42247</v>
      </c>
      <c r="AG251" s="36">
        <f t="shared" si="699"/>
        <v>42247</v>
      </c>
      <c r="AH251" s="36">
        <f t="shared" ref="AH251" si="700">AH282</f>
        <v>34891</v>
      </c>
      <c r="AI251" s="36">
        <f>AI282</f>
        <v>30990</v>
      </c>
      <c r="AJ251" s="36">
        <f>AJ282</f>
        <v>28909</v>
      </c>
      <c r="AK251" s="36">
        <f>AK282</f>
        <v>27628</v>
      </c>
      <c r="AL251" s="36">
        <f>AL282</f>
        <v>27628</v>
      </c>
      <c r="AM251" s="36">
        <f t="shared" ref="AM251" si="701">AM282</f>
        <v>28447</v>
      </c>
      <c r="AN251" s="36">
        <f t="shared" ref="AN251:AP251" si="702">AN282</f>
        <v>26466</v>
      </c>
      <c r="AO251" s="36">
        <f t="shared" si="702"/>
        <v>27985</v>
      </c>
      <c r="AP251" s="36">
        <f t="shared" si="702"/>
        <v>27680</v>
      </c>
      <c r="AQ251" s="36">
        <f t="shared" ref="AQ251:AX251" si="703">AQ282</f>
        <v>27680</v>
      </c>
      <c r="AR251" s="36">
        <f t="shared" si="703"/>
        <v>25580</v>
      </c>
      <c r="AS251" s="36">
        <f t="shared" si="703"/>
        <v>26980</v>
      </c>
      <c r="AT251" s="36">
        <f t="shared" si="703"/>
        <v>26880</v>
      </c>
      <c r="AU251" s="36">
        <f t="shared" si="703"/>
        <v>27715</v>
      </c>
      <c r="AV251" s="36">
        <f t="shared" si="703"/>
        <v>27715</v>
      </c>
      <c r="AW251" s="36">
        <f t="shared" ref="AW251" si="704">AW282</f>
        <v>34780</v>
      </c>
      <c r="AX251" s="36">
        <f t="shared" si="703"/>
        <v>42120</v>
      </c>
      <c r="AY251" s="36">
        <f t="shared" ref="AY251" si="705">AY282</f>
        <v>78820</v>
      </c>
      <c r="AZ251" s="36">
        <f t="shared" ref="AZ251" si="706">AZ282</f>
        <v>77934.524999999994</v>
      </c>
      <c r="BA251" s="36">
        <f t="shared" ref="BA251:BY251" si="707">BA282</f>
        <v>77934.524999999994</v>
      </c>
      <c r="BB251" s="36">
        <f t="shared" si="707"/>
        <v>108184.52499999999</v>
      </c>
      <c r="BC251" s="36">
        <f t="shared" si="707"/>
        <v>119184.52499999999</v>
      </c>
      <c r="BD251" s="36">
        <f t="shared" si="707"/>
        <v>130079.52499999999</v>
      </c>
      <c r="BE251" s="36">
        <f t="shared" si="707"/>
        <v>128954.52499999999</v>
      </c>
      <c r="BF251" s="36">
        <f t="shared" si="707"/>
        <v>128954.52499999999</v>
      </c>
      <c r="BG251" s="36">
        <f t="shared" si="707"/>
        <v>127544.52499999999</v>
      </c>
      <c r="BH251" s="36">
        <f t="shared" si="707"/>
        <v>126014.52499999999</v>
      </c>
      <c r="BI251" s="36">
        <f t="shared" si="707"/>
        <v>124349.52499999999</v>
      </c>
      <c r="BJ251" s="36">
        <f t="shared" si="707"/>
        <v>122544.52499999999</v>
      </c>
      <c r="BK251" s="36">
        <f t="shared" si="707"/>
        <v>122544.52499999999</v>
      </c>
      <c r="BL251" s="36">
        <f t="shared" si="707"/>
        <v>118839.52499999999</v>
      </c>
      <c r="BM251" s="36">
        <f t="shared" si="707"/>
        <v>114949.52499999999</v>
      </c>
      <c r="BN251" s="36">
        <f t="shared" si="707"/>
        <v>110864.52499999999</v>
      </c>
      <c r="BO251" s="36">
        <f t="shared" si="707"/>
        <v>106574.52499999999</v>
      </c>
      <c r="BP251" s="36">
        <f t="shared" si="707"/>
        <v>106574.52499999999</v>
      </c>
      <c r="BQ251" s="36">
        <f t="shared" si="707"/>
        <v>100119.52499999999</v>
      </c>
      <c r="BR251" s="36">
        <f t="shared" si="707"/>
        <v>93484.524999999994</v>
      </c>
      <c r="BS251" s="36">
        <f t="shared" si="707"/>
        <v>86674.524999999994</v>
      </c>
      <c r="BT251" s="36">
        <f t="shared" si="707"/>
        <v>79679.524999999994</v>
      </c>
      <c r="BU251" s="36">
        <f t="shared" si="707"/>
        <v>79679.524999999994</v>
      </c>
      <c r="BV251" s="36">
        <f t="shared" si="707"/>
        <v>72499.524999999994</v>
      </c>
      <c r="BW251" s="36">
        <f t="shared" si="707"/>
        <v>65134.524999999994</v>
      </c>
      <c r="BX251" s="36">
        <f t="shared" si="707"/>
        <v>57574.525000000001</v>
      </c>
      <c r="BY251" s="36">
        <f t="shared" si="707"/>
        <v>49819.525000000001</v>
      </c>
      <c r="BZ251" s="36">
        <f t="shared" ref="BZ251" si="708">BZ282</f>
        <v>49819.525000000001</v>
      </c>
    </row>
    <row r="252" spans="1:83">
      <c r="A252" s="1" t="s">
        <v>663</v>
      </c>
      <c r="J252" s="57"/>
      <c r="Y252" s="36"/>
      <c r="Z252" s="36"/>
      <c r="AA252" s="36"/>
      <c r="AB252" s="36"/>
      <c r="AC252" s="36"/>
      <c r="AD252" s="36"/>
      <c r="AE252" s="36"/>
      <c r="AF252" s="36"/>
      <c r="AG252" s="36"/>
      <c r="AH252" s="36">
        <f t="shared" ref="AH252:AQ252" si="709">AH299</f>
        <v>6540</v>
      </c>
      <c r="AI252" s="36">
        <f t="shared" si="709"/>
        <v>6285</v>
      </c>
      <c r="AJ252" s="36">
        <f t="shared" si="709"/>
        <v>5970</v>
      </c>
      <c r="AK252" s="36">
        <f t="shared" si="709"/>
        <v>5385</v>
      </c>
      <c r="AL252" s="36">
        <f t="shared" si="709"/>
        <v>5385</v>
      </c>
      <c r="AM252" s="36">
        <f t="shared" si="709"/>
        <v>5710</v>
      </c>
      <c r="AN252" s="36">
        <f t="shared" si="709"/>
        <v>5645</v>
      </c>
      <c r="AO252" s="36">
        <f t="shared" si="709"/>
        <v>5865</v>
      </c>
      <c r="AP252" s="36">
        <f t="shared" si="709"/>
        <v>5805</v>
      </c>
      <c r="AQ252" s="36">
        <f t="shared" si="709"/>
        <v>5805</v>
      </c>
      <c r="AR252" s="36">
        <f t="shared" ref="AR252" si="710">AR299</f>
        <v>5740</v>
      </c>
      <c r="AS252" s="36">
        <f t="shared" ref="AS252:BZ252" si="711">AS299</f>
        <v>5930</v>
      </c>
      <c r="AT252" s="36">
        <f t="shared" si="711"/>
        <v>5845</v>
      </c>
      <c r="AU252" s="36">
        <f t="shared" si="711"/>
        <v>5665</v>
      </c>
      <c r="AV252" s="36">
        <f t="shared" si="711"/>
        <v>5665</v>
      </c>
      <c r="AW252" s="36">
        <f t="shared" si="711"/>
        <v>6140</v>
      </c>
      <c r="AX252" s="36">
        <f t="shared" si="711"/>
        <v>6340</v>
      </c>
      <c r="AY252" s="36">
        <f t="shared" ref="AY252" si="712">AY299</f>
        <v>5950</v>
      </c>
      <c r="AZ252" s="36">
        <f t="shared" si="711"/>
        <v>6040</v>
      </c>
      <c r="BA252" s="36">
        <f t="shared" si="711"/>
        <v>6040</v>
      </c>
      <c r="BB252" s="36">
        <f t="shared" si="711"/>
        <v>6075</v>
      </c>
      <c r="BC252" s="36">
        <f t="shared" si="711"/>
        <v>6085</v>
      </c>
      <c r="BD252" s="36">
        <f t="shared" si="711"/>
        <v>6095</v>
      </c>
      <c r="BE252" s="36">
        <f t="shared" si="711"/>
        <v>6055</v>
      </c>
      <c r="BF252" s="36">
        <f t="shared" si="711"/>
        <v>6055</v>
      </c>
      <c r="BG252" s="36">
        <f t="shared" si="711"/>
        <v>5940</v>
      </c>
      <c r="BH252" s="36">
        <f t="shared" si="711"/>
        <v>5815</v>
      </c>
      <c r="BI252" s="36">
        <f t="shared" si="711"/>
        <v>5690</v>
      </c>
      <c r="BJ252" s="36">
        <f t="shared" si="711"/>
        <v>5555</v>
      </c>
      <c r="BK252" s="36">
        <f t="shared" si="711"/>
        <v>5555</v>
      </c>
      <c r="BL252" s="36">
        <f t="shared" si="711"/>
        <v>5335</v>
      </c>
      <c r="BM252" s="36">
        <f t="shared" si="711"/>
        <v>5105</v>
      </c>
      <c r="BN252" s="36">
        <f t="shared" si="711"/>
        <v>4870</v>
      </c>
      <c r="BO252" s="36">
        <f t="shared" si="711"/>
        <v>4630</v>
      </c>
      <c r="BP252" s="36">
        <f t="shared" si="711"/>
        <v>4630</v>
      </c>
      <c r="BQ252" s="36">
        <f t="shared" si="711"/>
        <v>4380</v>
      </c>
      <c r="BR252" s="36">
        <f t="shared" si="711"/>
        <v>4125</v>
      </c>
      <c r="BS252" s="36">
        <f t="shared" si="711"/>
        <v>3860</v>
      </c>
      <c r="BT252" s="36">
        <f t="shared" si="711"/>
        <v>3585</v>
      </c>
      <c r="BU252" s="36">
        <f t="shared" si="711"/>
        <v>3585</v>
      </c>
      <c r="BV252" s="36">
        <f t="shared" si="711"/>
        <v>3300</v>
      </c>
      <c r="BW252" s="36">
        <f t="shared" si="711"/>
        <v>3010</v>
      </c>
      <c r="BX252" s="36">
        <f t="shared" si="711"/>
        <v>2710</v>
      </c>
      <c r="BY252" s="36">
        <f t="shared" si="711"/>
        <v>2400</v>
      </c>
      <c r="BZ252" s="36">
        <f t="shared" si="711"/>
        <v>2400</v>
      </c>
    </row>
    <row r="253" spans="1:83">
      <c r="A253" s="1" t="s">
        <v>276</v>
      </c>
      <c r="J253" s="57"/>
      <c r="Y253" s="36">
        <f t="shared" ref="Y253:AH253" si="713">Y254-SUM(Y250:Y252)</f>
        <v>-665</v>
      </c>
      <c r="Z253" s="36">
        <f t="shared" si="713"/>
        <v>-330</v>
      </c>
      <c r="AA253" s="36">
        <f t="shared" si="713"/>
        <v>-435</v>
      </c>
      <c r="AB253" s="36">
        <f t="shared" si="713"/>
        <v>-435</v>
      </c>
      <c r="AC253" s="36">
        <f t="shared" si="713"/>
        <v>-1930</v>
      </c>
      <c r="AD253" s="36">
        <f t="shared" si="713"/>
        <v>-2595</v>
      </c>
      <c r="AE253" s="36">
        <f t="shared" si="713"/>
        <v>-2253</v>
      </c>
      <c r="AF253" s="36">
        <f t="shared" si="713"/>
        <v>-2372</v>
      </c>
      <c r="AG253" s="36">
        <f t="shared" si="713"/>
        <v>-2372</v>
      </c>
      <c r="AH253" s="36">
        <f t="shared" si="713"/>
        <v>-2111</v>
      </c>
      <c r="AI253" s="36">
        <f>AI254-SUM(AI250:AI252)</f>
        <v>-2455</v>
      </c>
      <c r="AJ253" s="36">
        <f>AJ254-SUM(AJ250:AJ252)</f>
        <v>-1794</v>
      </c>
      <c r="AK253" s="36">
        <f>AK254-SUM(AK250:AK252)</f>
        <v>-2373</v>
      </c>
      <c r="AL253" s="36">
        <f>AL254-SUM(AL250:AL252)</f>
        <v>-2373</v>
      </c>
      <c r="AM253" s="36">
        <f t="shared" ref="AM253:AW253" si="714">AM254-SUM(AM250:AM252)</f>
        <v>-2087</v>
      </c>
      <c r="AN253" s="36">
        <f>AN254-SUM(AN250:AN252)</f>
        <v>-476</v>
      </c>
      <c r="AO253" s="36">
        <f t="shared" si="714"/>
        <v>-545</v>
      </c>
      <c r="AP253" s="36">
        <f t="shared" si="714"/>
        <v>-735</v>
      </c>
      <c r="AQ253" s="36">
        <f t="shared" si="714"/>
        <v>-735</v>
      </c>
      <c r="AR253" s="36">
        <f t="shared" si="714"/>
        <v>-240</v>
      </c>
      <c r="AS253" s="36">
        <f t="shared" si="714"/>
        <v>-350</v>
      </c>
      <c r="AT253" s="36">
        <f t="shared" si="714"/>
        <v>-555</v>
      </c>
      <c r="AU253" s="36">
        <f t="shared" si="714"/>
        <v>-400</v>
      </c>
      <c r="AV253" s="36">
        <f t="shared" si="714"/>
        <v>-400</v>
      </c>
      <c r="AW253" s="36">
        <f t="shared" si="714"/>
        <v>-585</v>
      </c>
      <c r="AX253" s="36">
        <f t="shared" ref="AX253:BZ253" si="715">AX247</f>
        <v>-700</v>
      </c>
      <c r="AY253" s="36">
        <f t="shared" ref="AY253" si="716">AY247</f>
        <v>-820</v>
      </c>
      <c r="AZ253" s="36">
        <f t="shared" si="715"/>
        <v>-805</v>
      </c>
      <c r="BA253" s="36">
        <f t="shared" si="715"/>
        <v>-805</v>
      </c>
      <c r="BB253" s="36">
        <f t="shared" si="715"/>
        <v>-790</v>
      </c>
      <c r="BC253" s="36">
        <f t="shared" si="715"/>
        <v>-775</v>
      </c>
      <c r="BD253" s="36">
        <f t="shared" si="715"/>
        <v>-760</v>
      </c>
      <c r="BE253" s="36">
        <f t="shared" si="715"/>
        <v>-745</v>
      </c>
      <c r="BF253" s="36">
        <f t="shared" si="715"/>
        <v>-745</v>
      </c>
      <c r="BG253" s="36">
        <f t="shared" si="715"/>
        <v>-730</v>
      </c>
      <c r="BH253" s="36">
        <f t="shared" si="715"/>
        <v>-715</v>
      </c>
      <c r="BI253" s="36">
        <f t="shared" si="715"/>
        <v>-700</v>
      </c>
      <c r="BJ253" s="36">
        <f t="shared" si="715"/>
        <v>-685</v>
      </c>
      <c r="BK253" s="36">
        <f t="shared" si="715"/>
        <v>-685</v>
      </c>
      <c r="BL253" s="36">
        <f t="shared" si="715"/>
        <v>-670</v>
      </c>
      <c r="BM253" s="36">
        <f t="shared" si="715"/>
        <v>-655</v>
      </c>
      <c r="BN253" s="36">
        <f t="shared" si="715"/>
        <v>-640</v>
      </c>
      <c r="BO253" s="36">
        <f t="shared" si="715"/>
        <v>-625</v>
      </c>
      <c r="BP253" s="36">
        <f t="shared" si="715"/>
        <v>-625</v>
      </c>
      <c r="BQ253" s="36">
        <f t="shared" si="715"/>
        <v>-610</v>
      </c>
      <c r="BR253" s="36">
        <f t="shared" si="715"/>
        <v>-595</v>
      </c>
      <c r="BS253" s="36">
        <f t="shared" si="715"/>
        <v>-580</v>
      </c>
      <c r="BT253" s="36">
        <f t="shared" si="715"/>
        <v>-565</v>
      </c>
      <c r="BU253" s="36">
        <f t="shared" si="715"/>
        <v>-565</v>
      </c>
      <c r="BV253" s="36">
        <f t="shared" si="715"/>
        <v>-550</v>
      </c>
      <c r="BW253" s="36">
        <f t="shared" si="715"/>
        <v>-535</v>
      </c>
      <c r="BX253" s="36">
        <f t="shared" si="715"/>
        <v>-520</v>
      </c>
      <c r="BY253" s="36">
        <f t="shared" si="715"/>
        <v>-505</v>
      </c>
      <c r="BZ253" s="36">
        <f t="shared" si="715"/>
        <v>-505</v>
      </c>
    </row>
    <row r="254" spans="1:83">
      <c r="A254" s="9" t="s">
        <v>254</v>
      </c>
      <c r="B254" s="9"/>
      <c r="C254" s="9"/>
      <c r="D254" s="9"/>
      <c r="E254" s="9"/>
      <c r="F254" s="9"/>
      <c r="G254" s="9"/>
      <c r="H254" s="9"/>
      <c r="I254" s="9"/>
      <c r="J254" s="94"/>
      <c r="K254" s="9"/>
      <c r="L254" s="9"/>
      <c r="M254" s="9"/>
      <c r="N254" s="9"/>
      <c r="O254" s="9"/>
      <c r="P254" s="9"/>
      <c r="Q254" s="9"/>
      <c r="R254" s="9"/>
      <c r="S254" s="9"/>
      <c r="T254" s="9"/>
      <c r="U254" s="9"/>
      <c r="V254" s="9"/>
      <c r="W254" s="9"/>
      <c r="X254" s="9"/>
      <c r="Y254" s="39">
        <f t="shared" ref="Y254:AG254" si="717">Y234</f>
        <v>25560</v>
      </c>
      <c r="Z254" s="39">
        <f t="shared" si="717"/>
        <v>38055</v>
      </c>
      <c r="AA254" s="39">
        <f t="shared" si="717"/>
        <v>63635</v>
      </c>
      <c r="AB254" s="39">
        <f t="shared" si="717"/>
        <v>63635</v>
      </c>
      <c r="AC254" s="39">
        <f t="shared" si="717"/>
        <v>75440</v>
      </c>
      <c r="AD254" s="39">
        <f t="shared" si="717"/>
        <v>78500</v>
      </c>
      <c r="AE254" s="39">
        <f t="shared" si="717"/>
        <v>83245</v>
      </c>
      <c r="AF254" s="39">
        <f t="shared" si="717"/>
        <v>67055</v>
      </c>
      <c r="AG254" s="39">
        <f t="shared" si="717"/>
        <v>67055</v>
      </c>
      <c r="AH254" s="39">
        <f t="shared" ref="AH254:AI254" si="718">AH234</f>
        <v>59285</v>
      </c>
      <c r="AI254" s="39">
        <f t="shared" si="718"/>
        <v>51820</v>
      </c>
      <c r="AJ254" s="39">
        <f t="shared" ref="AJ254:AK254" si="719">AJ234</f>
        <v>47665</v>
      </c>
      <c r="AK254" s="39">
        <f t="shared" si="719"/>
        <v>44860</v>
      </c>
      <c r="AL254" s="39">
        <f t="shared" ref="AL254:AW254" si="720">AL234</f>
        <v>44860</v>
      </c>
      <c r="AM254" s="39">
        <f t="shared" si="720"/>
        <v>45900</v>
      </c>
      <c r="AN254" s="39">
        <f t="shared" si="720"/>
        <v>40510</v>
      </c>
      <c r="AO254" s="39">
        <f t="shared" si="720"/>
        <v>42735</v>
      </c>
      <c r="AP254" s="39">
        <f t="shared" si="720"/>
        <v>41740</v>
      </c>
      <c r="AQ254" s="39">
        <f t="shared" si="720"/>
        <v>41740</v>
      </c>
      <c r="AR254" s="39">
        <f t="shared" si="720"/>
        <v>41590</v>
      </c>
      <c r="AS254" s="39">
        <f t="shared" si="720"/>
        <v>48360</v>
      </c>
      <c r="AT254" s="39">
        <f t="shared" si="720"/>
        <v>47390</v>
      </c>
      <c r="AU254" s="39">
        <f t="shared" si="720"/>
        <v>51885</v>
      </c>
      <c r="AV254" s="39">
        <f t="shared" si="720"/>
        <v>51885</v>
      </c>
      <c r="AW254" s="39">
        <f t="shared" si="720"/>
        <v>60800</v>
      </c>
      <c r="AX254" s="39">
        <f t="shared" ref="AX254:BZ254" si="721">SUM(AX250:AX253)</f>
        <v>72480</v>
      </c>
      <c r="AY254" s="39">
        <f t="shared" ref="AY254" si="722">SUM(AY250:AY253)</f>
        <v>106005</v>
      </c>
      <c r="AZ254" s="39">
        <f t="shared" si="721"/>
        <v>104219.52499999999</v>
      </c>
      <c r="BA254" s="39">
        <f t="shared" si="721"/>
        <v>104219.52499999999</v>
      </c>
      <c r="BB254" s="39">
        <f t="shared" si="721"/>
        <v>132984.52499999999</v>
      </c>
      <c r="BC254" s="39">
        <f t="shared" si="721"/>
        <v>142454.52499999999</v>
      </c>
      <c r="BD254" s="39">
        <f t="shared" si="721"/>
        <v>151839.52499999999</v>
      </c>
      <c r="BE254" s="39">
        <f t="shared" si="721"/>
        <v>149144.52499999999</v>
      </c>
      <c r="BF254" s="39">
        <f t="shared" si="721"/>
        <v>149144.52499999999</v>
      </c>
      <c r="BG254" s="39">
        <f t="shared" si="721"/>
        <v>146429.52499999999</v>
      </c>
      <c r="BH254" s="39">
        <f t="shared" si="721"/>
        <v>143574.52499999999</v>
      </c>
      <c r="BI254" s="39">
        <f t="shared" si="721"/>
        <v>140574.52499999999</v>
      </c>
      <c r="BJ254" s="39">
        <f t="shared" si="721"/>
        <v>138114.52499999999</v>
      </c>
      <c r="BK254" s="39">
        <f t="shared" si="721"/>
        <v>138114.52499999999</v>
      </c>
      <c r="BL254" s="39">
        <f t="shared" si="721"/>
        <v>132759.52499999999</v>
      </c>
      <c r="BM254" s="39">
        <f t="shared" si="721"/>
        <v>127184.52499999999</v>
      </c>
      <c r="BN254" s="39">
        <f t="shared" si="721"/>
        <v>121379.52499999999</v>
      </c>
      <c r="BO254" s="39">
        <f t="shared" si="721"/>
        <v>115334.52499999999</v>
      </c>
      <c r="BP254" s="39">
        <f t="shared" si="721"/>
        <v>115334.52499999999</v>
      </c>
      <c r="BQ254" s="39">
        <f t="shared" si="721"/>
        <v>107084.52499999999</v>
      </c>
      <c r="BR254" s="39">
        <f t="shared" si="721"/>
        <v>98629.524999999994</v>
      </c>
      <c r="BS254" s="39">
        <f t="shared" si="721"/>
        <v>89954.524999999994</v>
      </c>
      <c r="BT254" s="39">
        <f t="shared" si="721"/>
        <v>82699.524999999994</v>
      </c>
      <c r="BU254" s="39">
        <f t="shared" si="721"/>
        <v>82699.524999999994</v>
      </c>
      <c r="BV254" s="39">
        <f t="shared" si="721"/>
        <v>75249.524999999994</v>
      </c>
      <c r="BW254" s="39">
        <f t="shared" si="721"/>
        <v>67609.524999999994</v>
      </c>
      <c r="BX254" s="39">
        <f t="shared" si="721"/>
        <v>59764.525000000001</v>
      </c>
      <c r="BY254" s="39">
        <f t="shared" si="721"/>
        <v>51714.525000000001</v>
      </c>
      <c r="BZ254" s="39">
        <f t="shared" si="721"/>
        <v>51714.525000000001</v>
      </c>
    </row>
    <row r="255" spans="1:83">
      <c r="J255" s="57"/>
    </row>
    <row r="256" spans="1:83">
      <c r="A256" s="1" t="s">
        <v>581</v>
      </c>
      <c r="J256" s="57"/>
      <c r="AD256" s="36">
        <f t="shared" ref="AD256:AI256" si="723">-AD268</f>
        <v>50835</v>
      </c>
      <c r="AE256" s="36">
        <f t="shared" si="723"/>
        <v>50460</v>
      </c>
      <c r="AF256" s="36">
        <f t="shared" si="723"/>
        <v>43220</v>
      </c>
      <c r="AG256" s="36">
        <f t="shared" si="723"/>
        <v>43220</v>
      </c>
      <c r="AH256" s="36">
        <f t="shared" si="723"/>
        <v>38135</v>
      </c>
      <c r="AI256" s="36">
        <f t="shared" si="723"/>
        <v>35400</v>
      </c>
      <c r="AJ256" s="36">
        <f t="shared" ref="AJ256:AK256" si="724">-AJ268</f>
        <v>33820</v>
      </c>
      <c r="AK256" s="36">
        <f t="shared" si="724"/>
        <v>33480</v>
      </c>
      <c r="AL256" s="36">
        <f t="shared" ref="AL256:AM256" si="725">-AL268</f>
        <v>33480</v>
      </c>
      <c r="AM256" s="36">
        <f t="shared" si="725"/>
        <v>33070</v>
      </c>
      <c r="AN256" s="36">
        <f t="shared" ref="AN256:AR256" si="726">-AN268</f>
        <v>33425</v>
      </c>
      <c r="AO256" s="36">
        <f t="shared" si="726"/>
        <v>32770</v>
      </c>
      <c r="AP256" s="36">
        <f t="shared" si="726"/>
        <v>30910</v>
      </c>
      <c r="AQ256" s="36">
        <f t="shared" si="726"/>
        <v>30910</v>
      </c>
      <c r="AR256" s="36">
        <f t="shared" si="726"/>
        <v>31290</v>
      </c>
      <c r="AS256" s="36">
        <f t="shared" ref="AS256:AT256" si="727">-AS268</f>
        <v>28100</v>
      </c>
      <c r="AT256" s="36">
        <f t="shared" si="727"/>
        <v>26880</v>
      </c>
      <c r="AU256" s="36">
        <f t="shared" ref="AU256:AY256" si="728">-AU268</f>
        <v>24395</v>
      </c>
      <c r="AV256" s="36">
        <f t="shared" si="728"/>
        <v>24395</v>
      </c>
      <c r="AW256" s="36">
        <f t="shared" si="728"/>
        <v>25135</v>
      </c>
      <c r="AX256" s="36">
        <f t="shared" si="728"/>
        <v>25380</v>
      </c>
      <c r="AY256" s="36">
        <f t="shared" si="728"/>
        <v>23145</v>
      </c>
      <c r="AZ256" s="36">
        <f t="shared" ref="AZ256:BR256" si="729">-AZ268</f>
        <v>22260</v>
      </c>
      <c r="BA256" s="36">
        <f t="shared" si="729"/>
        <v>22260</v>
      </c>
      <c r="BB256" s="36">
        <f t="shared" si="729"/>
        <v>20530</v>
      </c>
      <c r="BC256" s="36">
        <f t="shared" si="729"/>
        <v>18825</v>
      </c>
      <c r="BD256" s="36">
        <f t="shared" si="729"/>
        <v>17110</v>
      </c>
      <c r="BE256" s="36">
        <f t="shared" si="729"/>
        <v>15420</v>
      </c>
      <c r="BF256" s="36">
        <f t="shared" si="729"/>
        <v>15420</v>
      </c>
      <c r="BG256" s="36">
        <f t="shared" si="729"/>
        <v>14105</v>
      </c>
      <c r="BH256" s="36">
        <f t="shared" si="729"/>
        <v>12760</v>
      </c>
      <c r="BI256" s="36">
        <f t="shared" si="729"/>
        <v>11380</v>
      </c>
      <c r="BJ256" s="36">
        <f t="shared" si="729"/>
        <v>9260</v>
      </c>
      <c r="BK256" s="36">
        <f t="shared" si="729"/>
        <v>9260</v>
      </c>
      <c r="BL256" s="36">
        <f t="shared" si="729"/>
        <v>8000</v>
      </c>
      <c r="BM256" s="36">
        <f t="shared" si="729"/>
        <v>6720</v>
      </c>
      <c r="BN256" s="36">
        <f t="shared" si="729"/>
        <v>5420</v>
      </c>
      <c r="BO256" s="36">
        <f t="shared" si="729"/>
        <v>4100</v>
      </c>
      <c r="BP256" s="36">
        <f t="shared" si="729"/>
        <v>4100</v>
      </c>
      <c r="BQ256" s="36">
        <f t="shared" si="729"/>
        <v>2760</v>
      </c>
      <c r="BR256" s="36">
        <f t="shared" si="729"/>
        <v>1385</v>
      </c>
      <c r="BS256" s="36"/>
      <c r="BT256" s="36"/>
      <c r="BU256" s="36"/>
      <c r="BV256" s="36"/>
      <c r="BW256" s="36"/>
      <c r="BX256" s="36"/>
      <c r="BY256" s="36"/>
      <c r="BZ256" s="36"/>
      <c r="CA256" s="36"/>
      <c r="CB256" s="36"/>
      <c r="CC256" s="36"/>
      <c r="CD256" s="36"/>
      <c r="CE256" s="36"/>
    </row>
    <row r="257" spans="1:83">
      <c r="A257" s="1" t="s">
        <v>582</v>
      </c>
      <c r="J257" s="57"/>
      <c r="AD257" s="36">
        <f t="shared" ref="AD257:AI257" si="730">-AD280</f>
        <v>1470</v>
      </c>
      <c r="AE257" s="36">
        <f t="shared" si="730"/>
        <v>2775</v>
      </c>
      <c r="AF257" s="36">
        <f t="shared" si="730"/>
        <v>2205</v>
      </c>
      <c r="AG257" s="36">
        <f t="shared" si="730"/>
        <v>2205</v>
      </c>
      <c r="AH257" s="36">
        <f t="shared" si="730"/>
        <v>680</v>
      </c>
      <c r="AI257" s="36">
        <f t="shared" si="730"/>
        <v>0</v>
      </c>
      <c r="AJ257" s="36">
        <f t="shared" ref="AJ257:AK257" si="731">-AJ280</f>
        <v>0</v>
      </c>
      <c r="AK257" s="36">
        <f t="shared" si="731"/>
        <v>0</v>
      </c>
      <c r="AL257" s="36">
        <f t="shared" ref="AL257:AM257" si="732">-AL280</f>
        <v>0</v>
      </c>
      <c r="AM257" s="36">
        <f t="shared" si="732"/>
        <v>0</v>
      </c>
      <c r="AN257" s="36">
        <f t="shared" ref="AN257:AR257" si="733">-AN280</f>
        <v>0</v>
      </c>
      <c r="AO257" s="36">
        <f t="shared" si="733"/>
        <v>0</v>
      </c>
      <c r="AP257" s="36">
        <f t="shared" si="733"/>
        <v>0</v>
      </c>
      <c r="AQ257" s="36">
        <f t="shared" si="733"/>
        <v>0</v>
      </c>
      <c r="AR257" s="36">
        <f t="shared" si="733"/>
        <v>0</v>
      </c>
      <c r="AS257" s="36">
        <f t="shared" ref="AS257:BZ257" si="734">-AS280</f>
        <v>0</v>
      </c>
      <c r="AT257" s="36">
        <f t="shared" si="734"/>
        <v>0</v>
      </c>
      <c r="AU257" s="36">
        <f t="shared" ref="AU257:AY257" si="735">-AU280</f>
        <v>0</v>
      </c>
      <c r="AV257" s="36">
        <f t="shared" si="735"/>
        <v>0</v>
      </c>
      <c r="AW257" s="36">
        <f t="shared" si="735"/>
        <v>0</v>
      </c>
      <c r="AX257" s="36">
        <f t="shared" si="735"/>
        <v>0</v>
      </c>
      <c r="AY257" s="36">
        <f t="shared" si="735"/>
        <v>0</v>
      </c>
      <c r="AZ257" s="36">
        <f t="shared" ref="AZ257:BU257" si="736">-AZ280</f>
        <v>0</v>
      </c>
      <c r="BA257" s="36">
        <f t="shared" si="736"/>
        <v>0</v>
      </c>
      <c r="BB257" s="36">
        <f t="shared" si="736"/>
        <v>0</v>
      </c>
      <c r="BC257" s="36">
        <f t="shared" si="736"/>
        <v>0</v>
      </c>
      <c r="BD257" s="36">
        <f t="shared" si="736"/>
        <v>0</v>
      </c>
      <c r="BE257" s="36">
        <f t="shared" si="736"/>
        <v>0</v>
      </c>
      <c r="BF257" s="36">
        <f t="shared" si="736"/>
        <v>0</v>
      </c>
      <c r="BG257" s="36">
        <f t="shared" si="736"/>
        <v>0</v>
      </c>
      <c r="BH257" s="36">
        <f t="shared" si="736"/>
        <v>0</v>
      </c>
      <c r="BI257" s="36">
        <f t="shared" si="736"/>
        <v>0</v>
      </c>
      <c r="BJ257" s="36">
        <f t="shared" si="736"/>
        <v>0</v>
      </c>
      <c r="BK257" s="36">
        <f t="shared" si="736"/>
        <v>0</v>
      </c>
      <c r="BL257" s="36">
        <f t="shared" si="736"/>
        <v>0</v>
      </c>
      <c r="BM257" s="36">
        <f t="shared" si="736"/>
        <v>0</v>
      </c>
      <c r="BN257" s="36">
        <f t="shared" si="736"/>
        <v>0</v>
      </c>
      <c r="BO257" s="36">
        <f t="shared" si="736"/>
        <v>0</v>
      </c>
      <c r="BP257" s="36">
        <f t="shared" si="736"/>
        <v>0</v>
      </c>
      <c r="BQ257" s="36">
        <f t="shared" si="736"/>
        <v>0</v>
      </c>
      <c r="BR257" s="36">
        <f t="shared" si="736"/>
        <v>0</v>
      </c>
      <c r="BS257" s="36">
        <f t="shared" si="736"/>
        <v>0</v>
      </c>
      <c r="BT257" s="36">
        <f t="shared" si="736"/>
        <v>0</v>
      </c>
      <c r="BU257" s="36">
        <f t="shared" si="736"/>
        <v>0</v>
      </c>
      <c r="BV257" s="36">
        <f t="shared" si="734"/>
        <v>0</v>
      </c>
      <c r="BW257" s="36">
        <f t="shared" si="734"/>
        <v>0</v>
      </c>
      <c r="BX257" s="36">
        <f t="shared" si="734"/>
        <v>0</v>
      </c>
      <c r="BY257" s="36">
        <f t="shared" si="734"/>
        <v>0</v>
      </c>
      <c r="BZ257" s="36">
        <f t="shared" si="734"/>
        <v>0</v>
      </c>
      <c r="CA257" s="36"/>
      <c r="CB257" s="36"/>
      <c r="CC257" s="36"/>
      <c r="CD257" s="36"/>
      <c r="CE257" s="36"/>
    </row>
    <row r="258" spans="1:83">
      <c r="A258" s="1" t="s">
        <v>664</v>
      </c>
      <c r="J258" s="57"/>
      <c r="AD258" s="36"/>
      <c r="AE258" s="36"/>
      <c r="AF258" s="36"/>
      <c r="AG258" s="36"/>
      <c r="AH258" s="36">
        <f t="shared" ref="AH258:AS258" si="737">-AH297</f>
        <v>460</v>
      </c>
      <c r="AI258" s="36">
        <f t="shared" si="737"/>
        <v>415</v>
      </c>
      <c r="AJ258" s="36">
        <f t="shared" si="737"/>
        <v>330</v>
      </c>
      <c r="AK258" s="36">
        <f t="shared" si="737"/>
        <v>215</v>
      </c>
      <c r="AL258" s="36">
        <f t="shared" si="737"/>
        <v>215</v>
      </c>
      <c r="AM258" s="36">
        <f t="shared" si="737"/>
        <v>190</v>
      </c>
      <c r="AN258" s="36">
        <f t="shared" si="737"/>
        <v>155</v>
      </c>
      <c r="AO258" s="36">
        <f t="shared" si="737"/>
        <v>135</v>
      </c>
      <c r="AP258" s="36">
        <f t="shared" ref="AP258:AR258" si="738">-AP297</f>
        <v>95</v>
      </c>
      <c r="AQ258" s="36">
        <f t="shared" si="738"/>
        <v>95</v>
      </c>
      <c r="AR258" s="36">
        <f t="shared" si="738"/>
        <v>60</v>
      </c>
      <c r="AS258" s="36">
        <f t="shared" si="737"/>
        <v>70</v>
      </c>
      <c r="AT258" s="36">
        <f t="shared" ref="AT258:AX258" si="739">-AT297</f>
        <v>55</v>
      </c>
      <c r="AU258" s="36">
        <f t="shared" si="739"/>
        <v>35</v>
      </c>
      <c r="AV258" s="36">
        <f t="shared" si="739"/>
        <v>35</v>
      </c>
      <c r="AW258" s="36">
        <f t="shared" si="739"/>
        <v>60</v>
      </c>
      <c r="AX258" s="36">
        <f t="shared" si="739"/>
        <v>60</v>
      </c>
      <c r="AY258" s="36">
        <f>-AY297</f>
        <v>50</v>
      </c>
      <c r="AZ258" s="36">
        <f t="shared" ref="AZ258:BU258" si="740">-AZ297</f>
        <v>20</v>
      </c>
      <c r="BA258" s="36">
        <f t="shared" si="740"/>
        <v>20</v>
      </c>
      <c r="BB258" s="36">
        <f t="shared" si="740"/>
        <v>0</v>
      </c>
      <c r="BC258" s="36">
        <f t="shared" si="740"/>
        <v>0</v>
      </c>
      <c r="BD258" s="36">
        <f t="shared" si="740"/>
        <v>0</v>
      </c>
      <c r="BE258" s="36">
        <f t="shared" si="740"/>
        <v>45</v>
      </c>
      <c r="BF258" s="36">
        <f t="shared" si="740"/>
        <v>45</v>
      </c>
      <c r="BG258" s="36">
        <f t="shared" si="740"/>
        <v>90</v>
      </c>
      <c r="BH258" s="36">
        <f t="shared" si="740"/>
        <v>135</v>
      </c>
      <c r="BI258" s="36">
        <f t="shared" si="740"/>
        <v>175</v>
      </c>
      <c r="BJ258" s="36">
        <f t="shared" si="740"/>
        <v>215</v>
      </c>
      <c r="BK258" s="36">
        <f t="shared" si="740"/>
        <v>215</v>
      </c>
      <c r="BL258" s="36">
        <f t="shared" si="740"/>
        <v>250</v>
      </c>
      <c r="BM258" s="36">
        <f t="shared" si="740"/>
        <v>285</v>
      </c>
      <c r="BN258" s="36">
        <f t="shared" si="740"/>
        <v>310</v>
      </c>
      <c r="BO258" s="36">
        <f t="shared" si="740"/>
        <v>335</v>
      </c>
      <c r="BP258" s="36">
        <f t="shared" si="740"/>
        <v>335</v>
      </c>
      <c r="BQ258" s="36">
        <f t="shared" si="740"/>
        <v>355</v>
      </c>
      <c r="BR258" s="36">
        <f t="shared" si="740"/>
        <v>370</v>
      </c>
      <c r="BS258" s="36">
        <f t="shared" si="740"/>
        <v>380</v>
      </c>
      <c r="BT258" s="36">
        <f t="shared" si="740"/>
        <v>385</v>
      </c>
      <c r="BU258" s="36">
        <f t="shared" si="740"/>
        <v>385</v>
      </c>
      <c r="BV258" s="36">
        <f t="shared" ref="BV258:BZ258" si="741">-BV297</f>
        <v>385</v>
      </c>
      <c r="BW258" s="36">
        <f t="shared" si="741"/>
        <v>380</v>
      </c>
      <c r="BX258" s="36">
        <f t="shared" si="741"/>
        <v>370</v>
      </c>
      <c r="BY258" s="36">
        <f t="shared" si="741"/>
        <v>350</v>
      </c>
      <c r="BZ258" s="36">
        <f t="shared" si="741"/>
        <v>350</v>
      </c>
    </row>
    <row r="259" spans="1:83">
      <c r="A259" s="1" t="s">
        <v>276</v>
      </c>
      <c r="J259" s="57"/>
      <c r="AD259" s="36">
        <f t="shared" ref="AD259:AG259" si="742">AD260-SUM(AD256:AD258)</f>
        <v>-5</v>
      </c>
      <c r="AE259" s="36">
        <f t="shared" si="742"/>
        <v>0</v>
      </c>
      <c r="AF259" s="36">
        <f t="shared" si="742"/>
        <v>0</v>
      </c>
      <c r="AG259" s="36">
        <f t="shared" si="742"/>
        <v>0</v>
      </c>
      <c r="AH259" s="36">
        <f t="shared" ref="AH259:AO259" si="743">AH260-SUM(AH256:AH258)</f>
        <v>0</v>
      </c>
      <c r="AI259" s="36">
        <f t="shared" si="743"/>
        <v>0</v>
      </c>
      <c r="AJ259" s="36">
        <f t="shared" si="743"/>
        <v>0</v>
      </c>
      <c r="AK259" s="36">
        <f t="shared" si="743"/>
        <v>0</v>
      </c>
      <c r="AL259" s="36">
        <f t="shared" si="743"/>
        <v>0</v>
      </c>
      <c r="AM259" s="36">
        <f t="shared" si="743"/>
        <v>0</v>
      </c>
      <c r="AN259" s="36">
        <f t="shared" si="743"/>
        <v>0</v>
      </c>
      <c r="AO259" s="36">
        <f t="shared" si="743"/>
        <v>0</v>
      </c>
      <c r="AP259" s="36">
        <f t="shared" ref="AP259:AS259" si="744">AP260-SUM(AP256:AP258)</f>
        <v>0</v>
      </c>
      <c r="AQ259" s="36">
        <f t="shared" si="744"/>
        <v>0</v>
      </c>
      <c r="AR259" s="36">
        <f t="shared" si="744"/>
        <v>-5</v>
      </c>
      <c r="AS259" s="36">
        <f t="shared" si="744"/>
        <v>0</v>
      </c>
      <c r="AT259" s="36">
        <f t="shared" ref="AT259" si="745">AT260-SUM(AT256:AT258)</f>
        <v>0</v>
      </c>
      <c r="AU259" s="36">
        <f t="shared" ref="AU259:AY259" si="746">AU260-SUM(AU256:AU258)</f>
        <v>0</v>
      </c>
      <c r="AV259" s="36">
        <f t="shared" si="746"/>
        <v>0</v>
      </c>
      <c r="AW259" s="36">
        <f t="shared" si="746"/>
        <v>0</v>
      </c>
      <c r="AX259" s="36">
        <f t="shared" si="746"/>
        <v>-5</v>
      </c>
      <c r="AY259" s="36">
        <f t="shared" si="746"/>
        <v>-5</v>
      </c>
    </row>
    <row r="260" spans="1:83">
      <c r="A260" s="9" t="s">
        <v>583</v>
      </c>
      <c r="B260" s="9"/>
      <c r="C260" s="9"/>
      <c r="D260" s="9"/>
      <c r="E260" s="9"/>
      <c r="F260" s="9"/>
      <c r="G260" s="9"/>
      <c r="H260" s="9"/>
      <c r="I260" s="9"/>
      <c r="J260" s="94"/>
      <c r="K260" s="9"/>
      <c r="L260" s="9"/>
      <c r="M260" s="9"/>
      <c r="N260" s="9"/>
      <c r="O260" s="9"/>
      <c r="P260" s="9"/>
      <c r="Q260" s="9"/>
      <c r="R260" s="9"/>
      <c r="S260" s="9"/>
      <c r="T260" s="9"/>
      <c r="U260" s="9"/>
      <c r="V260" s="9"/>
      <c r="W260" s="9"/>
      <c r="X260" s="9"/>
      <c r="Y260" s="39"/>
      <c r="Z260" s="39"/>
      <c r="AA260" s="39"/>
      <c r="AB260" s="39"/>
      <c r="AC260" s="39"/>
      <c r="AD260" s="39">
        <f t="shared" ref="AD260:AI260" si="747">AD232</f>
        <v>52300</v>
      </c>
      <c r="AE260" s="39">
        <f t="shared" si="747"/>
        <v>53235</v>
      </c>
      <c r="AF260" s="39">
        <f t="shared" si="747"/>
        <v>45425</v>
      </c>
      <c r="AG260" s="39">
        <f t="shared" si="747"/>
        <v>45425</v>
      </c>
      <c r="AH260" s="39">
        <f t="shared" si="747"/>
        <v>39275</v>
      </c>
      <c r="AI260" s="39">
        <f t="shared" si="747"/>
        <v>35815</v>
      </c>
      <c r="AJ260" s="39">
        <f t="shared" ref="AJ260:AK260" si="748">AJ232</f>
        <v>34150</v>
      </c>
      <c r="AK260" s="39">
        <f t="shared" si="748"/>
        <v>33695</v>
      </c>
      <c r="AL260" s="39">
        <f t="shared" ref="AL260:AN260" si="749">AL232</f>
        <v>33695</v>
      </c>
      <c r="AM260" s="39">
        <f t="shared" si="749"/>
        <v>33260</v>
      </c>
      <c r="AN260" s="39">
        <f t="shared" si="749"/>
        <v>33580</v>
      </c>
      <c r="AO260" s="39">
        <f t="shared" ref="AO260:AS260" si="750">AO232</f>
        <v>32905</v>
      </c>
      <c r="AP260" s="39">
        <f t="shared" si="750"/>
        <v>31005</v>
      </c>
      <c r="AQ260" s="39">
        <f t="shared" si="750"/>
        <v>31005</v>
      </c>
      <c r="AR260" s="39">
        <f t="shared" si="750"/>
        <v>31345</v>
      </c>
      <c r="AS260" s="39">
        <f t="shared" si="750"/>
        <v>28170</v>
      </c>
      <c r="AT260" s="39">
        <f t="shared" ref="AT260:AX260" si="751">AT232</f>
        <v>26935</v>
      </c>
      <c r="AU260" s="39">
        <f t="shared" si="751"/>
        <v>24430</v>
      </c>
      <c r="AV260" s="39">
        <f t="shared" si="751"/>
        <v>24430</v>
      </c>
      <c r="AW260" s="39">
        <f t="shared" si="751"/>
        <v>25195</v>
      </c>
      <c r="AX260" s="39">
        <f t="shared" si="751"/>
        <v>25435</v>
      </c>
      <c r="AY260" s="39">
        <f t="shared" ref="AY260" si="752">AY232</f>
        <v>23190</v>
      </c>
      <c r="AZ260" s="39">
        <f t="shared" ref="AZ260:BZ260" si="753">SUM(AZ256:AZ259)</f>
        <v>22280</v>
      </c>
      <c r="BA260" s="39">
        <f t="shared" si="753"/>
        <v>22280</v>
      </c>
      <c r="BB260" s="39">
        <f t="shared" si="753"/>
        <v>20530</v>
      </c>
      <c r="BC260" s="39">
        <f t="shared" si="753"/>
        <v>18825</v>
      </c>
      <c r="BD260" s="39">
        <f t="shared" si="753"/>
        <v>17110</v>
      </c>
      <c r="BE260" s="39">
        <f t="shared" si="753"/>
        <v>15465</v>
      </c>
      <c r="BF260" s="39">
        <f t="shared" si="753"/>
        <v>15465</v>
      </c>
      <c r="BG260" s="39">
        <f t="shared" si="753"/>
        <v>14195</v>
      </c>
      <c r="BH260" s="39">
        <f t="shared" si="753"/>
        <v>12895</v>
      </c>
      <c r="BI260" s="39">
        <f t="shared" si="753"/>
        <v>11555</v>
      </c>
      <c r="BJ260" s="39">
        <f t="shared" si="753"/>
        <v>9475</v>
      </c>
      <c r="BK260" s="39">
        <f t="shared" si="753"/>
        <v>9475</v>
      </c>
      <c r="BL260" s="39">
        <f t="shared" si="753"/>
        <v>8250</v>
      </c>
      <c r="BM260" s="39">
        <f t="shared" si="753"/>
        <v>7005</v>
      </c>
      <c r="BN260" s="39">
        <f t="shared" si="753"/>
        <v>5730</v>
      </c>
      <c r="BO260" s="39">
        <f t="shared" si="753"/>
        <v>4435</v>
      </c>
      <c r="BP260" s="39">
        <f t="shared" si="753"/>
        <v>4435</v>
      </c>
      <c r="BQ260" s="39">
        <f t="shared" si="753"/>
        <v>3115</v>
      </c>
      <c r="BR260" s="39">
        <f t="shared" si="753"/>
        <v>1755</v>
      </c>
      <c r="BS260" s="39">
        <f t="shared" si="753"/>
        <v>380</v>
      </c>
      <c r="BT260" s="39">
        <f t="shared" si="753"/>
        <v>385</v>
      </c>
      <c r="BU260" s="39">
        <f t="shared" si="753"/>
        <v>385</v>
      </c>
      <c r="BV260" s="39">
        <f t="shared" si="753"/>
        <v>385</v>
      </c>
      <c r="BW260" s="39">
        <f t="shared" si="753"/>
        <v>380</v>
      </c>
      <c r="BX260" s="39">
        <f t="shared" si="753"/>
        <v>370</v>
      </c>
      <c r="BY260" s="39">
        <f t="shared" si="753"/>
        <v>350</v>
      </c>
      <c r="BZ260" s="39">
        <f t="shared" si="753"/>
        <v>350</v>
      </c>
    </row>
    <row r="261" spans="1:83">
      <c r="J261" s="57"/>
    </row>
    <row r="262" spans="1:83" s="44" customFormat="1">
      <c r="A262" s="49" t="s">
        <v>499</v>
      </c>
    </row>
    <row r="263" spans="1:83">
      <c r="J263" s="57"/>
    </row>
    <row r="264" spans="1:83">
      <c r="A264" s="1" t="s">
        <v>504</v>
      </c>
      <c r="J264" s="57"/>
      <c r="Y264" s="36">
        <f t="shared" ref="Y264:AG264" si="754">Y726</f>
        <v>76400</v>
      </c>
      <c r="Z264" s="36">
        <f t="shared" si="754"/>
        <v>90000</v>
      </c>
      <c r="AA264" s="36">
        <f t="shared" si="754"/>
        <v>120700</v>
      </c>
      <c r="AB264" s="36">
        <f t="shared" si="754"/>
        <v>120700</v>
      </c>
      <c r="AC264" s="36">
        <f t="shared" si="754"/>
        <v>120100</v>
      </c>
      <c r="AD264" s="36">
        <f t="shared" si="754"/>
        <v>104600</v>
      </c>
      <c r="AE264" s="36">
        <f t="shared" si="754"/>
        <v>101600</v>
      </c>
      <c r="AF264" s="36">
        <f t="shared" si="754"/>
        <v>78600</v>
      </c>
      <c r="AG264" s="36">
        <f t="shared" si="754"/>
        <v>78600</v>
      </c>
      <c r="AH264" s="36">
        <f t="shared" ref="AH264:AI264" si="755">AH726</f>
        <v>66300</v>
      </c>
      <c r="AI264" s="36">
        <f t="shared" si="755"/>
        <v>60600</v>
      </c>
      <c r="AJ264" s="36">
        <f t="shared" ref="AJ264:AM264" si="756">AJ726</f>
        <v>56600</v>
      </c>
      <c r="AK264" s="36">
        <f t="shared" si="756"/>
        <v>55900</v>
      </c>
      <c r="AL264" s="36">
        <f t="shared" si="756"/>
        <v>55900</v>
      </c>
      <c r="AM264" s="36">
        <f t="shared" si="756"/>
        <v>56300</v>
      </c>
      <c r="AN264" s="36">
        <f>AN726</f>
        <v>42300</v>
      </c>
      <c r="AO264" s="36">
        <f>AO726</f>
        <v>42200</v>
      </c>
      <c r="AP264" s="36">
        <f>AP726</f>
        <v>39900</v>
      </c>
      <c r="AQ264" s="36">
        <f t="shared" ref="AQ264" si="757">AQ726</f>
        <v>39900</v>
      </c>
      <c r="AR264" s="36">
        <f>AR726</f>
        <v>41800</v>
      </c>
      <c r="AS264" s="36">
        <f>AS726</f>
        <v>43900</v>
      </c>
      <c r="AT264" s="36">
        <f t="shared" ref="AT264:AV264" si="758">AT726</f>
        <v>42100</v>
      </c>
      <c r="AU264" s="36">
        <f>AU726</f>
        <v>43300</v>
      </c>
      <c r="AV264" s="36">
        <f t="shared" si="758"/>
        <v>43300</v>
      </c>
      <c r="AW264" s="36">
        <f>AW726</f>
        <v>45600</v>
      </c>
      <c r="AX264" s="36">
        <f>AX726</f>
        <v>50100</v>
      </c>
      <c r="AY264" s="36">
        <f t="shared" ref="AY264:BA264" si="759">AY726</f>
        <v>45200</v>
      </c>
      <c r="AZ264" s="36">
        <f t="shared" si="759"/>
        <v>43310</v>
      </c>
      <c r="BA264" s="36">
        <f t="shared" si="759"/>
        <v>43310</v>
      </c>
      <c r="BB264" s="36">
        <f>BB726</f>
        <v>40045</v>
      </c>
      <c r="BC264" s="36">
        <f>BC726</f>
        <v>36785</v>
      </c>
      <c r="BD264" s="36">
        <f t="shared" ref="BD264:BF264" si="760">BD726</f>
        <v>33535</v>
      </c>
      <c r="BE264" s="36">
        <f t="shared" si="760"/>
        <v>30300</v>
      </c>
      <c r="BF264" s="36">
        <f t="shared" si="760"/>
        <v>30300</v>
      </c>
      <c r="BG264" s="36">
        <f>BG726</f>
        <v>27780</v>
      </c>
      <c r="BH264" s="36">
        <f>BH726</f>
        <v>25220</v>
      </c>
      <c r="BI264" s="36">
        <f t="shared" ref="BI264:BK264" si="761">BI726</f>
        <v>22615</v>
      </c>
      <c r="BJ264" s="36">
        <f t="shared" si="761"/>
        <v>19960</v>
      </c>
      <c r="BK264" s="36">
        <f t="shared" si="761"/>
        <v>19960</v>
      </c>
      <c r="BL264" s="36">
        <f>BL726</f>
        <v>17255</v>
      </c>
      <c r="BM264" s="36">
        <f>BM726</f>
        <v>14505</v>
      </c>
      <c r="BN264" s="36">
        <f t="shared" ref="BN264:BO264" si="762">BN726</f>
        <v>11705</v>
      </c>
      <c r="BO264" s="36">
        <f t="shared" si="762"/>
        <v>8855</v>
      </c>
      <c r="BP264" s="36">
        <f>BP726</f>
        <v>8855</v>
      </c>
      <c r="BQ264" s="36">
        <f>BQ726</f>
        <v>5955</v>
      </c>
      <c r="BR264" s="36">
        <f>BR726</f>
        <v>3000</v>
      </c>
      <c r="BT264" s="36"/>
      <c r="BU264" s="36"/>
    </row>
    <row r="265" spans="1:83">
      <c r="A265" s="1" t="s">
        <v>505</v>
      </c>
      <c r="J265" s="57"/>
      <c r="Y265" s="36">
        <f t="shared" ref="Y265:AG265" si="763">-Y571</f>
        <v>-8200.0000000000018</v>
      </c>
      <c r="Z265" s="36">
        <f t="shared" si="763"/>
        <v>-8200.0000000000018</v>
      </c>
      <c r="AA265" s="36">
        <f t="shared" si="763"/>
        <v>-8200.0000000000018</v>
      </c>
      <c r="AB265" s="36">
        <f t="shared" si="763"/>
        <v>-8200.0000000000018</v>
      </c>
      <c r="AC265" s="36">
        <f t="shared" si="763"/>
        <v>-8200.0000000000018</v>
      </c>
      <c r="AD265" s="36">
        <f t="shared" si="763"/>
        <v>-8200.0000000000018</v>
      </c>
      <c r="AE265" s="36">
        <f t="shared" si="763"/>
        <v>-8200.0000000000018</v>
      </c>
      <c r="AF265" s="36">
        <f t="shared" si="763"/>
        <v>-8200.0000000000018</v>
      </c>
      <c r="AG265" s="36">
        <f t="shared" si="763"/>
        <v>-8200.0000000000018</v>
      </c>
      <c r="AH265" s="36">
        <f t="shared" ref="AH265:AI265" si="764">-AH571</f>
        <v>-8200.0000000000018</v>
      </c>
      <c r="AI265" s="36">
        <f t="shared" si="764"/>
        <v>-8200.0000000000018</v>
      </c>
      <c r="AJ265" s="36">
        <f t="shared" ref="AJ265:AM265" si="765">-AJ571</f>
        <v>-8200.0000000000018</v>
      </c>
      <c r="AK265" s="36">
        <f t="shared" si="765"/>
        <v>-8200.0000000000018</v>
      </c>
      <c r="AL265" s="36">
        <f t="shared" si="765"/>
        <v>-8200.0000000000018</v>
      </c>
      <c r="AM265" s="36">
        <f t="shared" si="765"/>
        <v>-9400.0000000000018</v>
      </c>
      <c r="AN265" s="36"/>
      <c r="AO265" s="36"/>
      <c r="AQ265" s="36"/>
    </row>
    <row r="266" spans="1:83">
      <c r="A266" s="9" t="s">
        <v>506</v>
      </c>
      <c r="B266" s="9"/>
      <c r="C266" s="9"/>
      <c r="D266" s="9"/>
      <c r="E266" s="9"/>
      <c r="F266" s="9"/>
      <c r="G266" s="9"/>
      <c r="H266" s="9"/>
      <c r="I266" s="9"/>
      <c r="J266" s="94"/>
      <c r="K266" s="9"/>
      <c r="L266" s="9"/>
      <c r="M266" s="9"/>
      <c r="N266" s="9"/>
      <c r="O266" s="9"/>
      <c r="P266" s="9"/>
      <c r="Q266" s="9"/>
      <c r="R266" s="9"/>
      <c r="S266" s="9"/>
      <c r="T266" s="9"/>
      <c r="U266" s="9"/>
      <c r="V266" s="9"/>
      <c r="W266" s="9"/>
      <c r="X266" s="9"/>
      <c r="Y266" s="39">
        <f t="shared" ref="Y266:AI266" si="766">SUM(Y264:Y265)</f>
        <v>68200</v>
      </c>
      <c r="Z266" s="39">
        <f t="shared" si="766"/>
        <v>81800</v>
      </c>
      <c r="AA266" s="39">
        <f t="shared" si="766"/>
        <v>112500</v>
      </c>
      <c r="AB266" s="39">
        <f t="shared" si="766"/>
        <v>112500</v>
      </c>
      <c r="AC266" s="39">
        <f t="shared" si="766"/>
        <v>111900</v>
      </c>
      <c r="AD266" s="39">
        <f t="shared" si="766"/>
        <v>96400</v>
      </c>
      <c r="AE266" s="39">
        <f t="shared" si="766"/>
        <v>93400</v>
      </c>
      <c r="AF266" s="39">
        <f t="shared" si="766"/>
        <v>70400</v>
      </c>
      <c r="AG266" s="39">
        <f t="shared" si="766"/>
        <v>70400</v>
      </c>
      <c r="AH266" s="39">
        <f t="shared" si="766"/>
        <v>58100</v>
      </c>
      <c r="AI266" s="39">
        <f t="shared" si="766"/>
        <v>52400</v>
      </c>
      <c r="AJ266" s="39">
        <f t="shared" ref="AJ266:AM266" si="767">SUM(AJ264:AJ265)</f>
        <v>48400</v>
      </c>
      <c r="AK266" s="39">
        <f t="shared" si="767"/>
        <v>47700</v>
      </c>
      <c r="AL266" s="39">
        <f t="shared" si="767"/>
        <v>47700</v>
      </c>
      <c r="AM266" s="39">
        <f t="shared" si="767"/>
        <v>46900</v>
      </c>
      <c r="AN266" s="39">
        <f t="shared" ref="AN266:AQ266" si="768">SUM(AN264:AN265)</f>
        <v>42300</v>
      </c>
      <c r="AO266" s="39">
        <f t="shared" si="768"/>
        <v>42200</v>
      </c>
      <c r="AP266" s="39">
        <f t="shared" si="768"/>
        <v>39900</v>
      </c>
      <c r="AQ266" s="39">
        <f t="shared" si="768"/>
        <v>39900</v>
      </c>
      <c r="AR266" s="39">
        <f t="shared" ref="AR266:AS266" si="769">SUM(AR264:AR265)</f>
        <v>41800</v>
      </c>
      <c r="AS266" s="39">
        <f t="shared" si="769"/>
        <v>43900</v>
      </c>
      <c r="AT266" s="39">
        <f t="shared" ref="AT266:AX266" si="770">SUM(AT264:AT265)</f>
        <v>42100</v>
      </c>
      <c r="AU266" s="39">
        <f t="shared" si="770"/>
        <v>43300</v>
      </c>
      <c r="AV266" s="39">
        <f t="shared" si="770"/>
        <v>43300</v>
      </c>
      <c r="AW266" s="39">
        <f t="shared" si="770"/>
        <v>45600</v>
      </c>
      <c r="AX266" s="39">
        <f t="shared" si="770"/>
        <v>50100</v>
      </c>
      <c r="AY266" s="39">
        <f t="shared" ref="AY266:BR266" si="771">SUM(AY264:AY265)</f>
        <v>45200</v>
      </c>
      <c r="AZ266" s="39">
        <f t="shared" si="771"/>
        <v>43310</v>
      </c>
      <c r="BA266" s="39">
        <f t="shared" si="771"/>
        <v>43310</v>
      </c>
      <c r="BB266" s="39">
        <f t="shared" si="771"/>
        <v>40045</v>
      </c>
      <c r="BC266" s="39">
        <f t="shared" si="771"/>
        <v>36785</v>
      </c>
      <c r="BD266" s="39">
        <f t="shared" si="771"/>
        <v>33535</v>
      </c>
      <c r="BE266" s="39">
        <f t="shared" si="771"/>
        <v>30300</v>
      </c>
      <c r="BF266" s="39">
        <f t="shared" si="771"/>
        <v>30300</v>
      </c>
      <c r="BG266" s="39">
        <f t="shared" si="771"/>
        <v>27780</v>
      </c>
      <c r="BH266" s="39">
        <f t="shared" si="771"/>
        <v>25220</v>
      </c>
      <c r="BI266" s="39">
        <f t="shared" si="771"/>
        <v>22615</v>
      </c>
      <c r="BJ266" s="39">
        <f t="shared" si="771"/>
        <v>19960</v>
      </c>
      <c r="BK266" s="39">
        <f t="shared" si="771"/>
        <v>19960</v>
      </c>
      <c r="BL266" s="39">
        <f t="shared" si="771"/>
        <v>17255</v>
      </c>
      <c r="BM266" s="39">
        <f t="shared" si="771"/>
        <v>14505</v>
      </c>
      <c r="BN266" s="39">
        <f t="shared" si="771"/>
        <v>11705</v>
      </c>
      <c r="BO266" s="39">
        <f t="shared" si="771"/>
        <v>8855</v>
      </c>
      <c r="BP266" s="39">
        <f t="shared" si="771"/>
        <v>8855</v>
      </c>
      <c r="BQ266" s="39">
        <f t="shared" si="771"/>
        <v>5955</v>
      </c>
      <c r="BR266" s="39">
        <f t="shared" si="771"/>
        <v>3000</v>
      </c>
      <c r="BT266" s="36"/>
      <c r="BU266" s="36"/>
    </row>
    <row r="267" spans="1:83">
      <c r="J267" s="57"/>
      <c r="Y267" s="98" t="s">
        <v>527</v>
      </c>
      <c r="Z267" s="71"/>
      <c r="AA267" s="71"/>
    </row>
    <row r="268" spans="1:83">
      <c r="A268" s="1" t="s">
        <v>507</v>
      </c>
      <c r="J268" s="57"/>
      <c r="Y268" s="107">
        <f>-Y232</f>
        <v>-49575</v>
      </c>
      <c r="Z268" s="107">
        <f>-Z232</f>
        <v>-52715</v>
      </c>
      <c r="AA268" s="107">
        <f>-AA232</f>
        <v>-59630</v>
      </c>
      <c r="AB268" s="107">
        <f>-AB232</f>
        <v>-59630</v>
      </c>
      <c r="AC268" s="107">
        <f>-AC232</f>
        <v>-58330</v>
      </c>
      <c r="AD268" s="170">
        <f t="shared" ref="AD268:AL268" si="772">-AD228</f>
        <v>-50835</v>
      </c>
      <c r="AE268" s="59">
        <f t="shared" si="772"/>
        <v>-50460</v>
      </c>
      <c r="AF268" s="59">
        <f t="shared" si="772"/>
        <v>-43220</v>
      </c>
      <c r="AG268" s="59">
        <f t="shared" si="772"/>
        <v>-43220</v>
      </c>
      <c r="AH268" s="59">
        <f t="shared" si="772"/>
        <v>-38135</v>
      </c>
      <c r="AI268" s="59">
        <f t="shared" si="772"/>
        <v>-35400</v>
      </c>
      <c r="AJ268" s="59">
        <f t="shared" si="772"/>
        <v>-33820</v>
      </c>
      <c r="AK268" s="59">
        <f t="shared" si="772"/>
        <v>-33480</v>
      </c>
      <c r="AL268" s="59">
        <f t="shared" si="772"/>
        <v>-33480</v>
      </c>
      <c r="AM268" s="59">
        <f>-AM228</f>
        <v>-33070</v>
      </c>
      <c r="AN268" s="59">
        <f>-AN228</f>
        <v>-33425</v>
      </c>
      <c r="AO268" s="59">
        <f>-AO228</f>
        <v>-32770</v>
      </c>
      <c r="AP268" s="36">
        <f t="shared" ref="AP268:AU268" si="773">-MROUND(AP459, 5)</f>
        <v>-30910</v>
      </c>
      <c r="AQ268" s="36">
        <f t="shared" si="773"/>
        <v>-30910</v>
      </c>
      <c r="AR268" s="36">
        <f t="shared" si="773"/>
        <v>-31290</v>
      </c>
      <c r="AS268" s="36">
        <f t="shared" si="773"/>
        <v>-28100</v>
      </c>
      <c r="AT268" s="36">
        <f t="shared" si="773"/>
        <v>-26880</v>
      </c>
      <c r="AU268" s="36">
        <f t="shared" si="773"/>
        <v>-24395</v>
      </c>
      <c r="AV268" s="36">
        <f t="shared" ref="AV268:AW268" si="774">-MROUND(AV459, 5)</f>
        <v>-24395</v>
      </c>
      <c r="AW268" s="36">
        <f t="shared" si="774"/>
        <v>-25135</v>
      </c>
      <c r="AX268" s="36">
        <f>-MROUND(AX459, 5)</f>
        <v>-25380</v>
      </c>
      <c r="AY268" s="36">
        <f>-MROUND(AY459, 5)</f>
        <v>-23145</v>
      </c>
      <c r="AZ268" s="36">
        <f t="shared" ref="AZ268:BA268" si="775">-MROUND(AZ459, 5)</f>
        <v>-22260</v>
      </c>
      <c r="BA268" s="36">
        <f t="shared" si="775"/>
        <v>-22260</v>
      </c>
      <c r="BB268" s="36">
        <f>-MROUND(BB459, 5)</f>
        <v>-20530</v>
      </c>
      <c r="BC268" s="36">
        <f>-MROUND(BC459, 5)</f>
        <v>-18825</v>
      </c>
      <c r="BD268" s="36">
        <f t="shared" ref="BD268:BF268" si="776">-MROUND(BD459, 5)</f>
        <v>-17110</v>
      </c>
      <c r="BE268" s="36">
        <f t="shared" si="776"/>
        <v>-15420</v>
      </c>
      <c r="BF268" s="36">
        <f t="shared" si="776"/>
        <v>-15420</v>
      </c>
      <c r="BG268" s="36">
        <f>-MROUND(BG459, 5)</f>
        <v>-14105</v>
      </c>
      <c r="BH268" s="36">
        <f>-MROUND(BH459, 5)</f>
        <v>-12760</v>
      </c>
      <c r="BI268" s="36">
        <f t="shared" ref="BI268:BK268" si="777">-MROUND(BI459, 5)</f>
        <v>-11380</v>
      </c>
      <c r="BJ268" s="36">
        <f t="shared" si="777"/>
        <v>-9260</v>
      </c>
      <c r="BK268" s="36">
        <f t="shared" si="777"/>
        <v>-9260</v>
      </c>
      <c r="BL268" s="36">
        <f>-MROUND(BL459, 5)</f>
        <v>-8000</v>
      </c>
      <c r="BM268" s="36">
        <f>-MROUND(BM459, 5)</f>
        <v>-6720</v>
      </c>
      <c r="BN268" s="36">
        <f t="shared" ref="BN268:BP268" si="778">-MROUND(BN459, 5)</f>
        <v>-5420</v>
      </c>
      <c r="BO268" s="36">
        <f t="shared" si="778"/>
        <v>-4100</v>
      </c>
      <c r="BP268" s="36">
        <f t="shared" si="778"/>
        <v>-4100</v>
      </c>
      <c r="BQ268" s="36">
        <f>-MROUND(BQ459, 5)</f>
        <v>-2760</v>
      </c>
      <c r="BR268" s="36">
        <f>-MROUND(BR459, 5)</f>
        <v>-1385</v>
      </c>
      <c r="BT268" s="36"/>
      <c r="BU268" s="36"/>
    </row>
    <row r="269" spans="1:83">
      <c r="J269" s="57"/>
      <c r="AD269" s="160" t="s">
        <v>586</v>
      </c>
      <c r="AE269" s="44"/>
      <c r="AF269" s="44"/>
      <c r="AG269" s="44"/>
      <c r="AH269" s="44"/>
      <c r="AI269" s="44"/>
    </row>
    <row r="270" spans="1:83">
      <c r="A270" s="1" t="s">
        <v>1181</v>
      </c>
      <c r="J270" s="57"/>
      <c r="Y270" s="36">
        <f t="shared" ref="Y270:AH270" si="779">Y266+Y268</f>
        <v>18625</v>
      </c>
      <c r="Z270" s="36">
        <f t="shared" si="779"/>
        <v>29085</v>
      </c>
      <c r="AA270" s="36">
        <f t="shared" si="779"/>
        <v>52870</v>
      </c>
      <c r="AB270" s="36">
        <f t="shared" si="779"/>
        <v>52870</v>
      </c>
      <c r="AC270" s="36">
        <f t="shared" si="779"/>
        <v>53570</v>
      </c>
      <c r="AD270" s="36">
        <f t="shared" si="779"/>
        <v>45565</v>
      </c>
      <c r="AE270" s="36">
        <f t="shared" si="779"/>
        <v>42940</v>
      </c>
      <c r="AF270" s="36">
        <f t="shared" si="779"/>
        <v>27180</v>
      </c>
      <c r="AG270" s="36">
        <f t="shared" si="779"/>
        <v>27180</v>
      </c>
      <c r="AH270" s="36">
        <f t="shared" si="779"/>
        <v>19965</v>
      </c>
      <c r="AI270" s="36">
        <f t="shared" ref="AI270:AJ270" si="780">AI266+AI268</f>
        <v>17000</v>
      </c>
      <c r="AJ270" s="36">
        <f t="shared" si="780"/>
        <v>14580</v>
      </c>
      <c r="AK270" s="36">
        <f t="shared" ref="AK270" si="781">AK266+AK268</f>
        <v>14220</v>
      </c>
      <c r="AL270" s="36">
        <f>AL266+AL268</f>
        <v>14220</v>
      </c>
      <c r="AM270" s="36">
        <f t="shared" ref="AM270:AN270" si="782">AM266+AM268</f>
        <v>13830</v>
      </c>
      <c r="AN270" s="36">
        <f t="shared" si="782"/>
        <v>8875</v>
      </c>
      <c r="AO270" s="36">
        <f t="shared" ref="AO270" si="783">AO266+AO268</f>
        <v>9430</v>
      </c>
      <c r="AP270" s="36">
        <f t="shared" ref="AP270:AR270" si="784">AP266+AP268</f>
        <v>8990</v>
      </c>
      <c r="AQ270" s="36">
        <f>AQ266+AQ268</f>
        <v>8990</v>
      </c>
      <c r="AR270" s="36">
        <f t="shared" si="784"/>
        <v>10510</v>
      </c>
      <c r="AS270" s="36">
        <f t="shared" ref="AS270:AW270" si="785">AS266+AS268</f>
        <v>15800</v>
      </c>
      <c r="AT270" s="36">
        <f t="shared" si="785"/>
        <v>15220</v>
      </c>
      <c r="AU270" s="36">
        <f t="shared" si="785"/>
        <v>18905</v>
      </c>
      <c r="AV270" s="36">
        <f t="shared" si="785"/>
        <v>18905</v>
      </c>
      <c r="AW270" s="36">
        <f t="shared" si="785"/>
        <v>20465</v>
      </c>
      <c r="AX270" s="36">
        <f t="shared" ref="AX270:BR270" si="786">AX266+AX268</f>
        <v>24720</v>
      </c>
      <c r="AY270" s="36">
        <f t="shared" si="786"/>
        <v>22055</v>
      </c>
      <c r="AZ270" s="36">
        <f t="shared" si="786"/>
        <v>21050</v>
      </c>
      <c r="BA270" s="36">
        <f t="shared" si="786"/>
        <v>21050</v>
      </c>
      <c r="BB270" s="36">
        <f t="shared" si="786"/>
        <v>19515</v>
      </c>
      <c r="BC270" s="36">
        <f t="shared" si="786"/>
        <v>17960</v>
      </c>
      <c r="BD270" s="36">
        <f t="shared" si="786"/>
        <v>16425</v>
      </c>
      <c r="BE270" s="36">
        <f t="shared" si="786"/>
        <v>14880</v>
      </c>
      <c r="BF270" s="36">
        <f t="shared" si="786"/>
        <v>14880</v>
      </c>
      <c r="BG270" s="36">
        <f t="shared" si="786"/>
        <v>13675</v>
      </c>
      <c r="BH270" s="36">
        <f t="shared" si="786"/>
        <v>12460</v>
      </c>
      <c r="BI270" s="36">
        <f t="shared" si="786"/>
        <v>11235</v>
      </c>
      <c r="BJ270" s="36">
        <f t="shared" si="786"/>
        <v>10700</v>
      </c>
      <c r="BK270" s="36">
        <f t="shared" si="786"/>
        <v>10700</v>
      </c>
      <c r="BL270" s="36">
        <f t="shared" si="786"/>
        <v>9255</v>
      </c>
      <c r="BM270" s="36">
        <f t="shared" si="786"/>
        <v>7785</v>
      </c>
      <c r="BN270" s="36">
        <f t="shared" si="786"/>
        <v>6285</v>
      </c>
      <c r="BO270" s="36">
        <f t="shared" si="786"/>
        <v>4755</v>
      </c>
      <c r="BP270" s="36">
        <f t="shared" si="786"/>
        <v>4755</v>
      </c>
      <c r="BQ270" s="36">
        <f t="shared" si="786"/>
        <v>3195</v>
      </c>
      <c r="BR270" s="36">
        <f t="shared" si="786"/>
        <v>1615</v>
      </c>
      <c r="BT270" s="36"/>
      <c r="BU270" s="36"/>
    </row>
    <row r="271" spans="1:83">
      <c r="A271" s="1" t="s">
        <v>643</v>
      </c>
      <c r="J271" s="57"/>
      <c r="Y271" s="21">
        <f t="shared" ref="Y271:AS271" si="787">(Y270+Y564)/Y264</f>
        <v>0.29201570680628275</v>
      </c>
      <c r="Z271" s="21">
        <f t="shared" si="787"/>
        <v>0.37066666666666664</v>
      </c>
      <c r="AA271" s="21">
        <f t="shared" si="787"/>
        <v>0.47725766362883182</v>
      </c>
      <c r="AB271" s="21">
        <f t="shared" si="787"/>
        <v>0.47725766362883182</v>
      </c>
      <c r="AC271" s="21">
        <f t="shared" si="787"/>
        <v>0.48547044129891759</v>
      </c>
      <c r="AD271" s="21">
        <f t="shared" si="787"/>
        <v>0.48107074569789676</v>
      </c>
      <c r="AE271" s="21">
        <f t="shared" si="787"/>
        <v>0.4684547244094488</v>
      </c>
      <c r="AF271" s="21">
        <f t="shared" si="787"/>
        <v>0.39949109414758271</v>
      </c>
      <c r="AG271" s="21">
        <f t="shared" si="787"/>
        <v>0.39949109414758271</v>
      </c>
      <c r="AH271" s="21">
        <f t="shared" si="787"/>
        <v>0.36266968325791854</v>
      </c>
      <c r="AI271" s="21">
        <f t="shared" si="787"/>
        <v>0.34694719471947194</v>
      </c>
      <c r="AJ271" s="21">
        <f t="shared" si="787"/>
        <v>0.32579505300353356</v>
      </c>
      <c r="AK271" s="21">
        <f t="shared" si="787"/>
        <v>0.32307692307692309</v>
      </c>
      <c r="AL271" s="21">
        <f t="shared" si="787"/>
        <v>0.32307692307692309</v>
      </c>
      <c r="AM271" s="21">
        <f t="shared" si="787"/>
        <v>0.32255772646536413</v>
      </c>
      <c r="AN271" s="21">
        <f t="shared" si="787"/>
        <v>0.20981087470449172</v>
      </c>
      <c r="AO271" s="21">
        <f t="shared" si="787"/>
        <v>0.22345971563981043</v>
      </c>
      <c r="AP271" s="21">
        <f t="shared" si="787"/>
        <v>0.22531328320802005</v>
      </c>
      <c r="AQ271" s="21">
        <f t="shared" si="787"/>
        <v>0.22531328320802005</v>
      </c>
      <c r="AR271" s="21">
        <f t="shared" si="787"/>
        <v>0.25143540669856457</v>
      </c>
      <c r="AS271" s="21">
        <f t="shared" si="787"/>
        <v>0.35990888382687924</v>
      </c>
      <c r="AT271" s="21">
        <f t="shared" ref="AT271" si="788">(AT270+AT564)/AT264</f>
        <v>0.36152019002375296</v>
      </c>
      <c r="AU271" s="21">
        <f t="shared" ref="AU271" si="789">(AU270+AU564)/AU264</f>
        <v>0.43660508083140875</v>
      </c>
      <c r="AV271" s="21">
        <f t="shared" ref="AV271:AW271" si="790">(AV270+AV564)/AV264</f>
        <v>0.43660508083140875</v>
      </c>
      <c r="AW271" s="21">
        <f t="shared" si="790"/>
        <v>0.44879385964912283</v>
      </c>
      <c r="AX271" s="21">
        <f t="shared" ref="AX271" si="791">(AX270+AX564)/AX264</f>
        <v>0.4934131736526946</v>
      </c>
      <c r="AY271" s="21">
        <f t="shared" ref="AY271" si="792">(AY270+AY564)/AY264</f>
        <v>0.48794247787610617</v>
      </c>
      <c r="AZ271" s="21">
        <f t="shared" ref="AZ271" si="793">(AZ270+AZ564)/AZ264</f>
        <v>0.48603093973678135</v>
      </c>
      <c r="BA271" s="21">
        <f t="shared" ref="BA271" si="794">(BA270+BA564)/BA264</f>
        <v>0.48603093973678135</v>
      </c>
      <c r="BB271" s="21">
        <f t="shared" ref="BB271" si="795">(BB270+BB564)/BB264</f>
        <v>0.48732675739792736</v>
      </c>
      <c r="BC271" s="21">
        <f t="shared" ref="BC271" si="796">(BC270+BC564)/BC264</f>
        <v>0.48824249014543974</v>
      </c>
      <c r="BD271" s="21">
        <f t="shared" ref="BD271" si="797">(BD270+BD564)/BD264</f>
        <v>0.48978678992097807</v>
      </c>
      <c r="BE271" s="21">
        <f t="shared" ref="BE271" si="798">(BE270+BE564)/BE264</f>
        <v>0.49108910891089108</v>
      </c>
      <c r="BF271" s="21">
        <f t="shared" ref="BF271" si="799">(BF270+BF564)/BF264</f>
        <v>0.49108910891089108</v>
      </c>
      <c r="BG271" s="21">
        <f t="shared" ref="BG271" si="800">(BG270+BG564)/BG264</f>
        <v>0.49226061915046798</v>
      </c>
      <c r="BH271" s="21">
        <f t="shared" ref="BH271" si="801">(BH270+BH564)/BH264</f>
        <v>0.49405233941316418</v>
      </c>
      <c r="BI271" s="21">
        <f t="shared" ref="BI271" si="802">(BI270+BI564)/BI264</f>
        <v>0.49679416316604025</v>
      </c>
      <c r="BJ271" s="21">
        <f t="shared" ref="BJ271" si="803">(BJ270+BJ564)/BJ264</f>
        <v>0.53607214428857719</v>
      </c>
      <c r="BK271" s="21">
        <f t="shared" ref="BK271" si="804">(BK270+BK564)/BK264</f>
        <v>0.53607214428857719</v>
      </c>
      <c r="BL271" s="21">
        <f t="shared" ref="BL271" si="805">(BL270+BL564)/BL264</f>
        <v>0.53636627064618947</v>
      </c>
      <c r="BM271" s="21">
        <f t="shared" ref="BM271" si="806">(BM270+BM564)/BM264</f>
        <v>0.5367114788004137</v>
      </c>
      <c r="BN271" s="21">
        <f t="shared" ref="BN271" si="807">(BN270+BN564)/BN264</f>
        <v>0.53695002135839387</v>
      </c>
      <c r="BO271" s="21">
        <f t="shared" ref="BO271" si="808">(BO270+BO564)/BO264</f>
        <v>0.53698475437605875</v>
      </c>
      <c r="BP271" s="21">
        <f t="shared" ref="BP271" si="809">(BP270+BP564)/BP264</f>
        <v>0.53698475437605875</v>
      </c>
      <c r="BQ271" s="21">
        <f t="shared" ref="BQ271" si="810">(BQ270+BQ564)/BQ264</f>
        <v>0.53652392947103278</v>
      </c>
      <c r="BR271" s="21">
        <f t="shared" ref="BR271" si="811">(BR270+BR564)/BR264</f>
        <v>0.53833333333333333</v>
      </c>
      <c r="BT271" s="89"/>
      <c r="BU271" s="89"/>
    </row>
    <row r="272" spans="1:83">
      <c r="J272" s="57"/>
    </row>
    <row r="273" spans="1:78" s="46" customFormat="1">
      <c r="A273" s="47" t="s">
        <v>500</v>
      </c>
      <c r="AE273" s="144" t="s">
        <v>1380</v>
      </c>
    </row>
    <row r="274" spans="1:78">
      <c r="J274" s="57"/>
      <c r="AE274" s="522" t="s">
        <v>1378</v>
      </c>
      <c r="AF274" s="647"/>
      <c r="AG274" s="647"/>
      <c r="AH274" s="647"/>
      <c r="AI274" s="647"/>
      <c r="AJ274" s="647"/>
      <c r="AO274" s="522" t="s">
        <v>1379</v>
      </c>
      <c r="AP274" s="647"/>
      <c r="AQ274" s="647"/>
      <c r="AR274" s="647"/>
      <c r="AS274" s="647"/>
      <c r="AX274" s="944" t="s">
        <v>3235</v>
      </c>
      <c r="AY274" s="618"/>
      <c r="AZ274" s="618"/>
      <c r="BA274" s="618"/>
      <c r="BB274" s="618"/>
      <c r="BC274" s="618"/>
      <c r="BD274" s="618"/>
      <c r="BE274" s="618"/>
      <c r="BF274" s="618"/>
    </row>
    <row r="275" spans="1:78">
      <c r="A275" s="1" t="s">
        <v>504</v>
      </c>
      <c r="J275" s="57"/>
      <c r="Y275" s="36">
        <f t="shared" ref="Y275:AG275" si="812">Y886</f>
        <v>7600</v>
      </c>
      <c r="Z275" s="36">
        <f t="shared" si="812"/>
        <v>9300</v>
      </c>
      <c r="AA275" s="36">
        <f t="shared" si="812"/>
        <v>11200</v>
      </c>
      <c r="AB275" s="36">
        <f t="shared" si="812"/>
        <v>11200</v>
      </c>
      <c r="AC275" s="36">
        <f t="shared" si="812"/>
        <v>23800</v>
      </c>
      <c r="AD275" s="36">
        <f t="shared" si="812"/>
        <v>37000</v>
      </c>
      <c r="AE275" s="36">
        <f t="shared" si="812"/>
        <v>46800</v>
      </c>
      <c r="AF275" s="36">
        <f t="shared" si="812"/>
        <v>46000</v>
      </c>
      <c r="AG275" s="36">
        <f t="shared" si="812"/>
        <v>46000</v>
      </c>
      <c r="AH275" s="36">
        <f t="shared" ref="AH275:AI275" si="813">AH886</f>
        <v>37200</v>
      </c>
      <c r="AI275" s="36">
        <f t="shared" si="813"/>
        <v>32700</v>
      </c>
      <c r="AJ275" s="36">
        <f t="shared" ref="AJ275:AK275" si="814">AJ886</f>
        <v>30700</v>
      </c>
      <c r="AK275" s="36">
        <f t="shared" si="814"/>
        <v>29500</v>
      </c>
      <c r="AL275" s="36">
        <f t="shared" ref="AL275:AM275" si="815">AL886</f>
        <v>29500</v>
      </c>
      <c r="AM275" s="36">
        <f t="shared" si="815"/>
        <v>30400</v>
      </c>
      <c r="AN275" s="36">
        <f>AN886</f>
        <v>28500</v>
      </c>
      <c r="AO275" s="36">
        <f>AO886</f>
        <v>30100</v>
      </c>
      <c r="AP275" s="36">
        <f>AP886</f>
        <v>29900</v>
      </c>
      <c r="AQ275" s="36">
        <f>AQ886</f>
        <v>29900</v>
      </c>
      <c r="AR275" s="36">
        <f>AR886</f>
        <v>27800</v>
      </c>
      <c r="AS275" s="36">
        <f t="shared" ref="AS275:AV275" si="816">AS886</f>
        <v>29200</v>
      </c>
      <c r="AT275" s="36">
        <f t="shared" si="816"/>
        <v>29100</v>
      </c>
      <c r="AU275" s="36">
        <f t="shared" si="816"/>
        <v>32300</v>
      </c>
      <c r="AV275" s="36">
        <f t="shared" si="816"/>
        <v>32300</v>
      </c>
      <c r="AW275" s="36">
        <f t="shared" ref="AW275:BP275" si="817">AW886</f>
        <v>41000</v>
      </c>
      <c r="AX275" s="763">
        <f t="shared" si="817"/>
        <v>48700</v>
      </c>
      <c r="AY275" s="36">
        <f t="shared" si="817"/>
        <v>86400</v>
      </c>
      <c r="AZ275" s="36">
        <f t="shared" si="817"/>
        <v>86090</v>
      </c>
      <c r="BA275" s="36">
        <f t="shared" si="817"/>
        <v>86090</v>
      </c>
      <c r="BB275" s="36">
        <f t="shared" si="817"/>
        <v>116405</v>
      </c>
      <c r="BC275" s="36">
        <f t="shared" si="817"/>
        <v>127470</v>
      </c>
      <c r="BD275" s="36">
        <f t="shared" si="817"/>
        <v>138430</v>
      </c>
      <c r="BE275" s="36">
        <f t="shared" si="817"/>
        <v>137370</v>
      </c>
      <c r="BF275" s="36">
        <f t="shared" si="817"/>
        <v>137370</v>
      </c>
      <c r="BG275" s="36">
        <f t="shared" si="817"/>
        <v>136030</v>
      </c>
      <c r="BH275" s="36">
        <f t="shared" si="817"/>
        <v>134570</v>
      </c>
      <c r="BI275" s="36">
        <f t="shared" si="817"/>
        <v>132975</v>
      </c>
      <c r="BJ275" s="36">
        <f t="shared" si="817"/>
        <v>131240</v>
      </c>
      <c r="BK275" s="36">
        <f t="shared" si="817"/>
        <v>131240</v>
      </c>
      <c r="BL275" s="36">
        <f t="shared" si="817"/>
        <v>127605</v>
      </c>
      <c r="BM275" s="36">
        <f t="shared" si="817"/>
        <v>123790</v>
      </c>
      <c r="BN275" s="36">
        <f t="shared" si="817"/>
        <v>119780</v>
      </c>
      <c r="BO275" s="36">
        <f t="shared" si="817"/>
        <v>115565</v>
      </c>
      <c r="BP275" s="36">
        <f t="shared" si="817"/>
        <v>115565</v>
      </c>
      <c r="BQ275" s="36">
        <f t="shared" ref="BQ275:BZ275" si="818">BQ886</f>
        <v>109185</v>
      </c>
      <c r="BR275" s="36">
        <f t="shared" si="818"/>
        <v>102630</v>
      </c>
      <c r="BS275" s="36">
        <f t="shared" si="818"/>
        <v>95900</v>
      </c>
      <c r="BT275" s="36">
        <f t="shared" si="818"/>
        <v>88985</v>
      </c>
      <c r="BU275" s="36">
        <f t="shared" si="818"/>
        <v>88985</v>
      </c>
      <c r="BV275" s="36">
        <f t="shared" si="818"/>
        <v>81885</v>
      </c>
      <c r="BW275" s="36">
        <f t="shared" si="818"/>
        <v>74600</v>
      </c>
      <c r="BX275" s="36">
        <f t="shared" si="818"/>
        <v>67125</v>
      </c>
      <c r="BY275" s="36">
        <f t="shared" si="818"/>
        <v>59455</v>
      </c>
      <c r="BZ275" s="36">
        <f t="shared" si="818"/>
        <v>59455</v>
      </c>
    </row>
    <row r="276" spans="1:78" s="706" customFormat="1">
      <c r="A276" s="706" t="s">
        <v>3248</v>
      </c>
      <c r="Y276" s="695"/>
      <c r="Z276" s="695"/>
      <c r="AA276" s="695"/>
      <c r="AB276" s="695"/>
      <c r="AC276" s="695"/>
      <c r="AD276" s="695"/>
      <c r="AE276" s="695"/>
      <c r="AF276" s="695"/>
      <c r="AG276" s="695"/>
      <c r="AH276" s="695"/>
      <c r="AI276" s="695"/>
      <c r="AJ276" s="695"/>
      <c r="AK276" s="695"/>
      <c r="AL276" s="695"/>
      <c r="AM276" s="695"/>
      <c r="AN276" s="695"/>
      <c r="AO276" s="695"/>
      <c r="AP276" s="695"/>
      <c r="AQ276" s="695"/>
      <c r="AR276" s="695"/>
      <c r="AS276" s="695"/>
      <c r="AT276" s="695"/>
      <c r="AU276" s="695">
        <f>-'SVF2'!AU154</f>
        <v>-2200</v>
      </c>
      <c r="AV276" s="695">
        <f>-'SVF2'!AV154</f>
        <v>-2200</v>
      </c>
      <c r="AW276" s="695">
        <f>-'SVF2'!AW154</f>
        <v>-3000</v>
      </c>
      <c r="AX276" s="695">
        <f>-'SVF2'!AX154</f>
        <v>-3200</v>
      </c>
      <c r="AY276" s="695">
        <f>-'SVF2'!AY154</f>
        <v>-4200</v>
      </c>
      <c r="AZ276" s="695">
        <f>-'SVF2'!AZ154</f>
        <v>-3885.4749999999999</v>
      </c>
      <c r="BA276" s="695">
        <f>AZ276</f>
        <v>-3885.4749999999999</v>
      </c>
      <c r="BB276" s="981">
        <f>BA276</f>
        <v>-3885.4749999999999</v>
      </c>
      <c r="BC276" s="981">
        <f t="shared" ref="BC276:BE276" si="819">BB276</f>
        <v>-3885.4749999999999</v>
      </c>
      <c r="BD276" s="981">
        <f t="shared" si="819"/>
        <v>-3885.4749999999999</v>
      </c>
      <c r="BE276" s="981">
        <f t="shared" si="819"/>
        <v>-3885.4749999999999</v>
      </c>
      <c r="BF276" s="695">
        <f>BE276</f>
        <v>-3885.4749999999999</v>
      </c>
      <c r="BG276" s="981">
        <f>BF276</f>
        <v>-3885.4749999999999</v>
      </c>
      <c r="BH276" s="981">
        <f t="shared" ref="BH276:BJ276" si="820">BG276</f>
        <v>-3885.4749999999999</v>
      </c>
      <c r="BI276" s="981">
        <f t="shared" si="820"/>
        <v>-3885.4749999999999</v>
      </c>
      <c r="BJ276" s="981">
        <f t="shared" si="820"/>
        <v>-3885.4749999999999</v>
      </c>
      <c r="BK276" s="695">
        <f>BJ276</f>
        <v>-3885.4749999999999</v>
      </c>
      <c r="BL276" s="981">
        <f>BK276</f>
        <v>-3885.4749999999999</v>
      </c>
      <c r="BM276" s="981">
        <f t="shared" ref="BM276:BO276" si="821">BL276</f>
        <v>-3885.4749999999999</v>
      </c>
      <c r="BN276" s="981">
        <f t="shared" si="821"/>
        <v>-3885.4749999999999</v>
      </c>
      <c r="BO276" s="981">
        <f t="shared" si="821"/>
        <v>-3885.4749999999999</v>
      </c>
      <c r="BP276" s="695">
        <f>BO276</f>
        <v>-3885.4749999999999</v>
      </c>
      <c r="BQ276" s="981">
        <f>BP276</f>
        <v>-3885.4749999999999</v>
      </c>
      <c r="BR276" s="981">
        <f t="shared" ref="BR276:BT276" si="822">BQ276</f>
        <v>-3885.4749999999999</v>
      </c>
      <c r="BS276" s="981">
        <f t="shared" si="822"/>
        <v>-3885.4749999999999</v>
      </c>
      <c r="BT276" s="981">
        <f t="shared" si="822"/>
        <v>-3885.4749999999999</v>
      </c>
      <c r="BU276" s="695">
        <f>BT276</f>
        <v>-3885.4749999999999</v>
      </c>
      <c r="BV276" s="981">
        <f>BU276</f>
        <v>-3885.4749999999999</v>
      </c>
      <c r="BW276" s="981">
        <f t="shared" ref="BW276:BY276" si="823">BV276</f>
        <v>-3885.4749999999999</v>
      </c>
      <c r="BX276" s="981">
        <f t="shared" si="823"/>
        <v>-3885.4749999999999</v>
      </c>
      <c r="BY276" s="981">
        <f t="shared" si="823"/>
        <v>-3885.4749999999999</v>
      </c>
      <c r="BZ276" s="695">
        <f>BY276</f>
        <v>-3885.4749999999999</v>
      </c>
    </row>
    <row r="277" spans="1:78">
      <c r="A277" s="1" t="s">
        <v>3247</v>
      </c>
      <c r="J277" s="57"/>
      <c r="AE277" s="613">
        <v>-1467</v>
      </c>
      <c r="AF277" s="622">
        <f>AE277+($AO$277-$AE$277)/8</f>
        <v>-1548</v>
      </c>
      <c r="AG277" s="59">
        <f>AF277</f>
        <v>-1548</v>
      </c>
      <c r="AH277" s="622">
        <f>AG277+($AO$277-$AE$277)/8</f>
        <v>-1629</v>
      </c>
      <c r="AI277" s="622">
        <f>AH277+($AO$277-$AE$277)/8</f>
        <v>-1710</v>
      </c>
      <c r="AJ277" s="622">
        <f>AI277+($AO$277-$AE$277)/8</f>
        <v>-1791</v>
      </c>
      <c r="AK277" s="622">
        <f>AJ277+($AO$277-$AE$277)/8</f>
        <v>-1872</v>
      </c>
      <c r="AL277" s="59">
        <f>AK277</f>
        <v>-1872</v>
      </c>
      <c r="AM277" s="622">
        <f>AL277+($AO$277-$AE$277)/8</f>
        <v>-1953</v>
      </c>
      <c r="AN277" s="622">
        <f>AM277+($AO$277-$AE$277)/8</f>
        <v>-2034</v>
      </c>
      <c r="AO277" s="613">
        <f>-MROUND(0.302*7000, 5)</f>
        <v>-2115</v>
      </c>
      <c r="AP277" s="648">
        <f>-MROUND(-AO277*(1+AP285), 5)</f>
        <v>-2220</v>
      </c>
      <c r="AQ277" s="59">
        <f>AP277</f>
        <v>-2220</v>
      </c>
      <c r="AR277" s="648">
        <f t="shared" ref="AR277:BY277" si="824">-MROUND(-AQ277*(1+AR285), 5)</f>
        <v>-2220</v>
      </c>
      <c r="AS277" s="648">
        <f t="shared" si="824"/>
        <v>-2220</v>
      </c>
      <c r="AT277" s="648">
        <f t="shared" si="824"/>
        <v>-2220</v>
      </c>
      <c r="AU277" s="648">
        <f>-MROUND(-AT277*(1+AU285), 5)</f>
        <v>-2385</v>
      </c>
      <c r="AV277" s="59">
        <f>AU277</f>
        <v>-2385</v>
      </c>
      <c r="AW277" s="648">
        <f t="shared" si="824"/>
        <v>-3220</v>
      </c>
      <c r="AX277" s="648">
        <f t="shared" si="824"/>
        <v>-3380</v>
      </c>
      <c r="AY277" s="59">
        <f>-MROUND(AY288*AY289, 10)</f>
        <v>-3380</v>
      </c>
      <c r="AZ277" s="59">
        <f>-MROUND(AZ288*AZ289, 10)</f>
        <v>-4270</v>
      </c>
      <c r="BA277" s="59">
        <f>AZ277</f>
        <v>-4270</v>
      </c>
      <c r="BB277" s="56">
        <f t="shared" si="824"/>
        <v>-4335</v>
      </c>
      <c r="BC277" s="56">
        <f t="shared" si="824"/>
        <v>-4400</v>
      </c>
      <c r="BD277" s="56">
        <f t="shared" si="824"/>
        <v>-4465</v>
      </c>
      <c r="BE277" s="56">
        <f t="shared" si="824"/>
        <v>-4530</v>
      </c>
      <c r="BF277" s="59">
        <f>BE277</f>
        <v>-4530</v>
      </c>
      <c r="BG277" s="56">
        <f t="shared" si="824"/>
        <v>-4600</v>
      </c>
      <c r="BH277" s="56">
        <f t="shared" si="824"/>
        <v>-4670</v>
      </c>
      <c r="BI277" s="56">
        <f t="shared" si="824"/>
        <v>-4740</v>
      </c>
      <c r="BJ277" s="56">
        <f t="shared" si="824"/>
        <v>-4810</v>
      </c>
      <c r="BK277" s="59">
        <f>BJ277</f>
        <v>-4810</v>
      </c>
      <c r="BL277" s="56">
        <f t="shared" si="824"/>
        <v>-4880</v>
      </c>
      <c r="BM277" s="56">
        <f t="shared" si="824"/>
        <v>-4955</v>
      </c>
      <c r="BN277" s="56">
        <f t="shared" si="824"/>
        <v>-5030</v>
      </c>
      <c r="BO277" s="56">
        <f t="shared" si="824"/>
        <v>-5105</v>
      </c>
      <c r="BP277" s="59">
        <f>BO277</f>
        <v>-5105</v>
      </c>
      <c r="BQ277" s="56">
        <f t="shared" si="824"/>
        <v>-5180</v>
      </c>
      <c r="BR277" s="56">
        <f t="shared" si="824"/>
        <v>-5260</v>
      </c>
      <c r="BS277" s="56">
        <f t="shared" si="824"/>
        <v>-5340</v>
      </c>
      <c r="BT277" s="56">
        <f t="shared" si="824"/>
        <v>-5420</v>
      </c>
      <c r="BU277" s="59">
        <f>BT277</f>
        <v>-5420</v>
      </c>
      <c r="BV277" s="56">
        <f t="shared" si="824"/>
        <v>-5500</v>
      </c>
      <c r="BW277" s="56">
        <f t="shared" si="824"/>
        <v>-5580</v>
      </c>
      <c r="BX277" s="56">
        <f t="shared" si="824"/>
        <v>-5665</v>
      </c>
      <c r="BY277" s="56">
        <f t="shared" si="824"/>
        <v>-5750</v>
      </c>
      <c r="BZ277" s="59">
        <f>BY277</f>
        <v>-5750</v>
      </c>
    </row>
    <row r="278" spans="1:78">
      <c r="A278" s="9" t="s">
        <v>506</v>
      </c>
      <c r="B278" s="9"/>
      <c r="C278" s="9"/>
      <c r="D278" s="9"/>
      <c r="E278" s="9"/>
      <c r="F278" s="9"/>
      <c r="G278" s="9"/>
      <c r="H278" s="9"/>
      <c r="I278" s="9"/>
      <c r="J278" s="94"/>
      <c r="K278" s="9"/>
      <c r="L278" s="9"/>
      <c r="M278" s="9"/>
      <c r="N278" s="9"/>
      <c r="O278" s="9"/>
      <c r="P278" s="9"/>
      <c r="Q278" s="9"/>
      <c r="R278" s="9"/>
      <c r="S278" s="9"/>
      <c r="T278" s="9"/>
      <c r="U278" s="9"/>
      <c r="V278" s="9"/>
      <c r="W278" s="9"/>
      <c r="X278" s="9"/>
      <c r="Y278" s="39">
        <f>SUM(Y275:Y277)</f>
        <v>7600</v>
      </c>
      <c r="Z278" s="39">
        <f t="shared" ref="Z278:AI278" si="825">SUM(Z275:Z277)</f>
        <v>9300</v>
      </c>
      <c r="AA278" s="39">
        <f t="shared" si="825"/>
        <v>11200</v>
      </c>
      <c r="AB278" s="39">
        <f t="shared" si="825"/>
        <v>11200</v>
      </c>
      <c r="AC278" s="39">
        <f t="shared" si="825"/>
        <v>23800</v>
      </c>
      <c r="AD278" s="39">
        <f t="shared" si="825"/>
        <v>37000</v>
      </c>
      <c r="AE278" s="39">
        <f t="shared" si="825"/>
        <v>45333</v>
      </c>
      <c r="AF278" s="39">
        <f t="shared" si="825"/>
        <v>44452</v>
      </c>
      <c r="AG278" s="39">
        <f t="shared" si="825"/>
        <v>44452</v>
      </c>
      <c r="AH278" s="39">
        <f t="shared" si="825"/>
        <v>35571</v>
      </c>
      <c r="AI278" s="39">
        <f t="shared" si="825"/>
        <v>30990</v>
      </c>
      <c r="AJ278" s="39">
        <f t="shared" ref="AJ278:AK278" si="826">SUM(AJ275:AJ277)</f>
        <v>28909</v>
      </c>
      <c r="AK278" s="39">
        <f t="shared" si="826"/>
        <v>27628</v>
      </c>
      <c r="AL278" s="39">
        <f t="shared" ref="AL278:AM278" si="827">SUM(AL275:AL277)</f>
        <v>27628</v>
      </c>
      <c r="AM278" s="39">
        <f t="shared" si="827"/>
        <v>28447</v>
      </c>
      <c r="AN278" s="39">
        <f t="shared" ref="AN278:AQ278" si="828">SUM(AN275:AN277)</f>
        <v>26466</v>
      </c>
      <c r="AO278" s="39">
        <f t="shared" si="828"/>
        <v>27985</v>
      </c>
      <c r="AP278" s="39">
        <f t="shared" si="828"/>
        <v>27680</v>
      </c>
      <c r="AQ278" s="39">
        <f t="shared" si="828"/>
        <v>27680</v>
      </c>
      <c r="AR278" s="39">
        <f t="shared" ref="AR278:AV278" si="829">SUM(AR275:AR277)</f>
        <v>25580</v>
      </c>
      <c r="AS278" s="39">
        <f>SUM(AS275:AS277)</f>
        <v>26980</v>
      </c>
      <c r="AT278" s="39">
        <f t="shared" si="829"/>
        <v>26880</v>
      </c>
      <c r="AU278" s="39">
        <f t="shared" si="829"/>
        <v>27715</v>
      </c>
      <c r="AV278" s="39">
        <f t="shared" si="829"/>
        <v>27715</v>
      </c>
      <c r="AW278" s="39">
        <f>SUM(AW275:AW277)</f>
        <v>34780</v>
      </c>
      <c r="AX278" s="39">
        <f t="shared" ref="AX278:BP278" si="830">SUM(AX275:AX277)</f>
        <v>42120</v>
      </c>
      <c r="AY278" s="39">
        <f t="shared" si="830"/>
        <v>78820</v>
      </c>
      <c r="AZ278" s="39">
        <f t="shared" si="830"/>
        <v>77934.524999999994</v>
      </c>
      <c r="BA278" s="39">
        <f t="shared" si="830"/>
        <v>77934.524999999994</v>
      </c>
      <c r="BB278" s="39">
        <f t="shared" si="830"/>
        <v>108184.52499999999</v>
      </c>
      <c r="BC278" s="39">
        <f t="shared" si="830"/>
        <v>119184.52499999999</v>
      </c>
      <c r="BD278" s="39">
        <f t="shared" si="830"/>
        <v>130079.52499999999</v>
      </c>
      <c r="BE278" s="39">
        <f t="shared" si="830"/>
        <v>128954.52499999999</v>
      </c>
      <c r="BF278" s="39">
        <f t="shared" si="830"/>
        <v>128954.52499999999</v>
      </c>
      <c r="BG278" s="39">
        <f t="shared" si="830"/>
        <v>127544.52499999999</v>
      </c>
      <c r="BH278" s="39">
        <f t="shared" si="830"/>
        <v>126014.52499999999</v>
      </c>
      <c r="BI278" s="39">
        <f t="shared" si="830"/>
        <v>124349.52499999999</v>
      </c>
      <c r="BJ278" s="39">
        <f t="shared" si="830"/>
        <v>122544.52499999999</v>
      </c>
      <c r="BK278" s="39">
        <f t="shared" si="830"/>
        <v>122544.52499999999</v>
      </c>
      <c r="BL278" s="39">
        <f t="shared" si="830"/>
        <v>118839.52499999999</v>
      </c>
      <c r="BM278" s="39">
        <f t="shared" si="830"/>
        <v>114949.52499999999</v>
      </c>
      <c r="BN278" s="39">
        <f t="shared" si="830"/>
        <v>110864.52499999999</v>
      </c>
      <c r="BO278" s="39">
        <f t="shared" si="830"/>
        <v>106574.52499999999</v>
      </c>
      <c r="BP278" s="39">
        <f t="shared" si="830"/>
        <v>106574.52499999999</v>
      </c>
      <c r="BQ278" s="39">
        <f t="shared" ref="BQ278:BZ278" si="831">SUM(BQ275:BQ277)</f>
        <v>100119.52499999999</v>
      </c>
      <c r="BR278" s="39">
        <f t="shared" si="831"/>
        <v>93484.524999999994</v>
      </c>
      <c r="BS278" s="39">
        <f t="shared" si="831"/>
        <v>86674.524999999994</v>
      </c>
      <c r="BT278" s="39">
        <f t="shared" si="831"/>
        <v>79679.524999999994</v>
      </c>
      <c r="BU278" s="39">
        <f t="shared" si="831"/>
        <v>79679.524999999994</v>
      </c>
      <c r="BV278" s="39">
        <f t="shared" si="831"/>
        <v>72499.524999999994</v>
      </c>
      <c r="BW278" s="39">
        <f t="shared" si="831"/>
        <v>65134.524999999994</v>
      </c>
      <c r="BX278" s="39">
        <f t="shared" si="831"/>
        <v>57574.525000000001</v>
      </c>
      <c r="BY278" s="39">
        <f t="shared" si="831"/>
        <v>49819.525000000001</v>
      </c>
      <c r="BZ278" s="39">
        <f t="shared" si="831"/>
        <v>49819.525000000001</v>
      </c>
    </row>
    <row r="279" spans="1:78">
      <c r="J279" s="57"/>
      <c r="Y279" s="98" t="s">
        <v>527</v>
      </c>
      <c r="Z279" s="71"/>
      <c r="AA279" s="71"/>
      <c r="AP279" s="345" t="s">
        <v>1333</v>
      </c>
      <c r="AQ279" s="46"/>
      <c r="AR279" s="46"/>
      <c r="AS279" s="46"/>
      <c r="AT279" s="46"/>
      <c r="AU279" s="46"/>
      <c r="AV279" s="46"/>
      <c r="AW279" s="46"/>
      <c r="AX279" s="46"/>
      <c r="AY279" s="46"/>
      <c r="AZ279" s="46"/>
      <c r="BA279" s="46"/>
    </row>
    <row r="280" spans="1:78">
      <c r="A280" s="1" t="s">
        <v>513</v>
      </c>
      <c r="J280" s="57"/>
      <c r="Y280" s="107">
        <f>-Y232-Y268</f>
        <v>0</v>
      </c>
      <c r="Z280" s="107">
        <f>-Z232-Z268</f>
        <v>0</v>
      </c>
      <c r="AA280" s="107">
        <f>-AA232-AA268</f>
        <v>0</v>
      </c>
      <c r="AB280" s="107">
        <f>-AB232-AB268</f>
        <v>0</v>
      </c>
      <c r="AC280" s="107">
        <f>-AC232-AC268</f>
        <v>0</v>
      </c>
      <c r="AD280" s="60">
        <f t="shared" ref="AD280:AI280" si="832">-AD229</f>
        <v>-1470</v>
      </c>
      <c r="AE280" s="59">
        <f t="shared" si="832"/>
        <v>-2775</v>
      </c>
      <c r="AF280" s="59">
        <f t="shared" si="832"/>
        <v>-2205</v>
      </c>
      <c r="AG280" s="59">
        <f t="shared" si="832"/>
        <v>-2205</v>
      </c>
      <c r="AH280" s="59">
        <f t="shared" si="832"/>
        <v>-680</v>
      </c>
      <c r="AI280" s="59">
        <f t="shared" si="832"/>
        <v>0</v>
      </c>
      <c r="AJ280" s="59">
        <f t="shared" ref="AJ280:AK280" si="833">-AJ229</f>
        <v>0</v>
      </c>
      <c r="AK280" s="59">
        <f t="shared" si="833"/>
        <v>0</v>
      </c>
      <c r="AL280" s="59">
        <f t="shared" ref="AL280:AN280" si="834">-AL229</f>
        <v>0</v>
      </c>
      <c r="AM280" s="59">
        <f t="shared" si="834"/>
        <v>0</v>
      </c>
      <c r="AN280" s="59">
        <f t="shared" si="834"/>
        <v>0</v>
      </c>
      <c r="AO280" s="59">
        <f>-AO229</f>
        <v>0</v>
      </c>
      <c r="AP280" s="344">
        <f>IF(AP850&lt;130%, 0, AP636)</f>
        <v>0</v>
      </c>
      <c r="AQ280" s="291">
        <f>AP280</f>
        <v>0</v>
      </c>
      <c r="AR280" s="344">
        <f>IF(AR850&lt;130%, 0, AR636)</f>
        <v>0</v>
      </c>
      <c r="AS280" s="344">
        <f>IF(AS850&lt;130%, 0, AS636)</f>
        <v>0</v>
      </c>
      <c r="AT280" s="344">
        <f>IF(AT850&lt;130%, 0, AT636)</f>
        <v>0</v>
      </c>
      <c r="AU280" s="344">
        <f>IF(AU850&lt;130%, 0, AU636)</f>
        <v>0</v>
      </c>
      <c r="AV280" s="291">
        <f>AU280</f>
        <v>0</v>
      </c>
      <c r="AW280" s="344">
        <f>IF(AW850&lt;130%, 0, AW636)</f>
        <v>0</v>
      </c>
      <c r="AX280" s="344">
        <f>IF(AX850&lt;130%, 0, AX636)</f>
        <v>0</v>
      </c>
      <c r="AY280" s="344">
        <f>IF(AY850&lt;130%, 0, AY636)</f>
        <v>0</v>
      </c>
      <c r="AZ280" s="344">
        <f>IF(AZ850&lt;130%, 0, AZ636)</f>
        <v>0</v>
      </c>
      <c r="BA280" s="291">
        <f>AZ280</f>
        <v>0</v>
      </c>
      <c r="BB280" s="344">
        <f>IF(BB850&lt;130%, 0, BB636)</f>
        <v>0</v>
      </c>
      <c r="BC280" s="344">
        <f>IF(BC850&lt;130%, 0, BC636)</f>
        <v>0</v>
      </c>
      <c r="BD280" s="344">
        <f>IF(BD850&lt;130%, 0, BD636)</f>
        <v>0</v>
      </c>
      <c r="BE280" s="344">
        <f>IF(BE850&lt;130%, 0, BE636)</f>
        <v>0</v>
      </c>
      <c r="BF280" s="291">
        <f>BE280</f>
        <v>0</v>
      </c>
      <c r="BG280" s="344">
        <f>IF(BG850&lt;130%, 0, BG636)</f>
        <v>0</v>
      </c>
      <c r="BH280" s="344">
        <f>IF(BH850&lt;130%, 0, BH636)</f>
        <v>0</v>
      </c>
      <c r="BI280" s="344">
        <f>IF(BI850&lt;130%, 0, BI636)</f>
        <v>0</v>
      </c>
      <c r="BJ280" s="344">
        <f>IF(BJ850&lt;130%, 0, BJ636)</f>
        <v>0</v>
      </c>
      <c r="BK280" s="291">
        <f>BJ280</f>
        <v>0</v>
      </c>
      <c r="BL280" s="344">
        <f>IF(BL850&lt;130%, 0, BL636)</f>
        <v>0</v>
      </c>
      <c r="BM280" s="344">
        <f>IF(BM850&lt;130%, 0, BM636)</f>
        <v>0</v>
      </c>
      <c r="BN280" s="344">
        <f>IF(BN850&lt;130%, 0, BN636)</f>
        <v>0</v>
      </c>
      <c r="BO280" s="344">
        <f>IF(BO850&lt;130%, 0, BO636)</f>
        <v>0</v>
      </c>
      <c r="BP280" s="291">
        <f>BO280</f>
        <v>0</v>
      </c>
      <c r="BQ280" s="344">
        <f>IF(BQ850&lt;130%, 0, BQ636)</f>
        <v>0</v>
      </c>
      <c r="BR280" s="344">
        <f>IF(BR850&lt;130%, 0, BR636)</f>
        <v>0</v>
      </c>
      <c r="BS280" s="344">
        <f>IF(BS850&lt;130%, 0, BS636)</f>
        <v>0</v>
      </c>
      <c r="BT280" s="344">
        <f>IF(BT850&lt;130%, 0, BT636)</f>
        <v>0</v>
      </c>
      <c r="BU280" s="291">
        <f>BT280</f>
        <v>0</v>
      </c>
      <c r="BV280" s="344">
        <f>IF(BV850&lt;130%, 0, BV636)</f>
        <v>0</v>
      </c>
      <c r="BW280" s="344">
        <f>IF(BW850&lt;130%, 0, BW636)</f>
        <v>0</v>
      </c>
      <c r="BX280" s="344">
        <f>IF(BX850&lt;130%, 0, BX636)</f>
        <v>0</v>
      </c>
      <c r="BY280" s="344">
        <f>IF(BY850&lt;130%, 0, BY636)</f>
        <v>0</v>
      </c>
      <c r="BZ280" s="291">
        <f>BY280</f>
        <v>0</v>
      </c>
    </row>
    <row r="281" spans="1:78">
      <c r="J281" s="57"/>
      <c r="AD281" s="66" t="s">
        <v>587</v>
      </c>
      <c r="AE281" s="46"/>
      <c r="AF281" s="46"/>
      <c r="AG281" s="46"/>
      <c r="AH281" s="46"/>
    </row>
    <row r="282" spans="1:78">
      <c r="A282" s="1" t="s">
        <v>514</v>
      </c>
      <c r="J282" s="57"/>
      <c r="Y282" s="36">
        <f t="shared" ref="Y282:AH282" si="835">Y278+Y280</f>
        <v>7600</v>
      </c>
      <c r="Z282" s="36">
        <f t="shared" si="835"/>
        <v>9300</v>
      </c>
      <c r="AA282" s="36">
        <f t="shared" si="835"/>
        <v>11200</v>
      </c>
      <c r="AB282" s="36">
        <f t="shared" si="835"/>
        <v>11200</v>
      </c>
      <c r="AC282" s="36">
        <f t="shared" si="835"/>
        <v>23800</v>
      </c>
      <c r="AD282" s="36">
        <f t="shared" si="835"/>
        <v>35530</v>
      </c>
      <c r="AE282" s="36">
        <f t="shared" si="835"/>
        <v>42558</v>
      </c>
      <c r="AF282" s="36">
        <f t="shared" si="835"/>
        <v>42247</v>
      </c>
      <c r="AG282" s="36">
        <f t="shared" si="835"/>
        <v>42247</v>
      </c>
      <c r="AH282" s="36">
        <f t="shared" si="835"/>
        <v>34891</v>
      </c>
      <c r="AI282" s="36">
        <f t="shared" ref="AI282:AJ282" si="836">AI278+AI280</f>
        <v>30990</v>
      </c>
      <c r="AJ282" s="36">
        <f t="shared" si="836"/>
        <v>28909</v>
      </c>
      <c r="AK282" s="36">
        <f t="shared" ref="AK282:AM282" si="837">AK278+AK280</f>
        <v>27628</v>
      </c>
      <c r="AL282" s="36">
        <f t="shared" si="837"/>
        <v>27628</v>
      </c>
      <c r="AM282" s="36">
        <f t="shared" si="837"/>
        <v>28447</v>
      </c>
      <c r="AN282" s="36">
        <f t="shared" ref="AN282:AO282" si="838">AN278+AN280</f>
        <v>26466</v>
      </c>
      <c r="AO282" s="36">
        <f t="shared" si="838"/>
        <v>27985</v>
      </c>
      <c r="AP282" s="36">
        <f t="shared" ref="AP282:AT282" si="839">AP278+AP280</f>
        <v>27680</v>
      </c>
      <c r="AQ282" s="36">
        <f t="shared" si="839"/>
        <v>27680</v>
      </c>
      <c r="AR282" s="36">
        <f t="shared" si="839"/>
        <v>25580</v>
      </c>
      <c r="AS282" s="36">
        <f t="shared" si="839"/>
        <v>26980</v>
      </c>
      <c r="AT282" s="36">
        <f t="shared" si="839"/>
        <v>26880</v>
      </c>
      <c r="AU282" s="36">
        <f t="shared" ref="AU282:AY282" si="840">AU278+AU280</f>
        <v>27715</v>
      </c>
      <c r="AV282" s="36">
        <f t="shared" si="840"/>
        <v>27715</v>
      </c>
      <c r="AW282" s="36">
        <f t="shared" si="840"/>
        <v>34780</v>
      </c>
      <c r="AX282" s="36">
        <f t="shared" si="840"/>
        <v>42120</v>
      </c>
      <c r="AY282" s="36">
        <f t="shared" si="840"/>
        <v>78820</v>
      </c>
      <c r="AZ282" s="36">
        <f t="shared" ref="AZ282:BU282" si="841">AZ278+AZ280</f>
        <v>77934.524999999994</v>
      </c>
      <c r="BA282" s="36">
        <f t="shared" si="841"/>
        <v>77934.524999999994</v>
      </c>
      <c r="BB282" s="36">
        <f t="shared" si="841"/>
        <v>108184.52499999999</v>
      </c>
      <c r="BC282" s="36">
        <f t="shared" si="841"/>
        <v>119184.52499999999</v>
      </c>
      <c r="BD282" s="36">
        <f t="shared" si="841"/>
        <v>130079.52499999999</v>
      </c>
      <c r="BE282" s="36">
        <f t="shared" si="841"/>
        <v>128954.52499999999</v>
      </c>
      <c r="BF282" s="36">
        <f t="shared" si="841"/>
        <v>128954.52499999999</v>
      </c>
      <c r="BG282" s="36">
        <f t="shared" si="841"/>
        <v>127544.52499999999</v>
      </c>
      <c r="BH282" s="36">
        <f t="shared" si="841"/>
        <v>126014.52499999999</v>
      </c>
      <c r="BI282" s="36">
        <f t="shared" si="841"/>
        <v>124349.52499999999</v>
      </c>
      <c r="BJ282" s="36">
        <f t="shared" si="841"/>
        <v>122544.52499999999</v>
      </c>
      <c r="BK282" s="36">
        <f t="shared" si="841"/>
        <v>122544.52499999999</v>
      </c>
      <c r="BL282" s="36">
        <f t="shared" si="841"/>
        <v>118839.52499999999</v>
      </c>
      <c r="BM282" s="36">
        <f t="shared" si="841"/>
        <v>114949.52499999999</v>
      </c>
      <c r="BN282" s="36">
        <f t="shared" si="841"/>
        <v>110864.52499999999</v>
      </c>
      <c r="BO282" s="36">
        <f t="shared" si="841"/>
        <v>106574.52499999999</v>
      </c>
      <c r="BP282" s="36">
        <f t="shared" si="841"/>
        <v>106574.52499999999</v>
      </c>
      <c r="BQ282" s="36">
        <f t="shared" si="841"/>
        <v>100119.52499999999</v>
      </c>
      <c r="BR282" s="36">
        <f t="shared" si="841"/>
        <v>93484.524999999994</v>
      </c>
      <c r="BS282" s="36">
        <f t="shared" si="841"/>
        <v>86674.524999999994</v>
      </c>
      <c r="BT282" s="36">
        <f t="shared" si="841"/>
        <v>79679.524999999994</v>
      </c>
      <c r="BU282" s="36">
        <f t="shared" si="841"/>
        <v>79679.524999999994</v>
      </c>
      <c r="BV282" s="36">
        <f t="shared" ref="BV282:BZ282" si="842">BV278+BV280</f>
        <v>72499.524999999994</v>
      </c>
      <c r="BW282" s="36">
        <f t="shared" si="842"/>
        <v>65134.524999999994</v>
      </c>
      <c r="BX282" s="36">
        <f t="shared" si="842"/>
        <v>57574.525000000001</v>
      </c>
      <c r="BY282" s="36">
        <f t="shared" si="842"/>
        <v>49819.525000000001</v>
      </c>
      <c r="BZ282" s="36">
        <f t="shared" si="842"/>
        <v>49819.525000000001</v>
      </c>
    </row>
    <row r="283" spans="1:78">
      <c r="A283" s="1" t="s">
        <v>644</v>
      </c>
      <c r="J283" s="57"/>
      <c r="Y283" s="21">
        <f>Y282/Y278</f>
        <v>1</v>
      </c>
      <c r="Z283" s="21">
        <f t="shared" ref="Z283:AI283" si="843">Z282/Z278</f>
        <v>1</v>
      </c>
      <c r="AA283" s="21">
        <f t="shared" si="843"/>
        <v>1</v>
      </c>
      <c r="AB283" s="21">
        <f t="shared" si="843"/>
        <v>1</v>
      </c>
      <c r="AC283" s="21">
        <f t="shared" si="843"/>
        <v>1</v>
      </c>
      <c r="AD283" s="21">
        <f t="shared" si="843"/>
        <v>0.96027027027027023</v>
      </c>
      <c r="AE283" s="21">
        <f t="shared" si="843"/>
        <v>0.93878631460525441</v>
      </c>
      <c r="AF283" s="21">
        <f t="shared" si="843"/>
        <v>0.9503959326914424</v>
      </c>
      <c r="AG283" s="21">
        <f t="shared" si="843"/>
        <v>0.9503959326914424</v>
      </c>
      <c r="AH283" s="21">
        <f t="shared" si="843"/>
        <v>0.98088330381490541</v>
      </c>
      <c r="AI283" s="21">
        <f t="shared" si="843"/>
        <v>1</v>
      </c>
      <c r="AJ283" s="21">
        <f t="shared" ref="AJ283:AK283" si="844">AJ282/AJ278</f>
        <v>1</v>
      </c>
      <c r="AK283" s="21">
        <f t="shared" si="844"/>
        <v>1</v>
      </c>
      <c r="AL283" s="21">
        <f t="shared" ref="AL283:AM283" si="845">AL282/AL278</f>
        <v>1</v>
      </c>
      <c r="AM283" s="21">
        <f t="shared" si="845"/>
        <v>1</v>
      </c>
      <c r="AN283" s="21">
        <f t="shared" ref="AN283:AO283" si="846">AN282/AN278</f>
        <v>1</v>
      </c>
      <c r="AO283" s="21">
        <f t="shared" si="846"/>
        <v>1</v>
      </c>
      <c r="AP283" s="21">
        <f t="shared" ref="AP283:AT283" si="847">AP282/AP278</f>
        <v>1</v>
      </c>
      <c r="AQ283" s="21">
        <f t="shared" si="847"/>
        <v>1</v>
      </c>
      <c r="AR283" s="21">
        <f t="shared" si="847"/>
        <v>1</v>
      </c>
      <c r="AS283" s="21">
        <f t="shared" si="847"/>
        <v>1</v>
      </c>
      <c r="AT283" s="21">
        <f t="shared" si="847"/>
        <v>1</v>
      </c>
      <c r="AU283" s="21">
        <f t="shared" ref="AU283:AY283" si="848">AU282/AU278</f>
        <v>1</v>
      </c>
      <c r="AV283" s="21">
        <f t="shared" si="848"/>
        <v>1</v>
      </c>
      <c r="AW283" s="21">
        <f t="shared" si="848"/>
        <v>1</v>
      </c>
      <c r="AX283" s="21">
        <f t="shared" si="848"/>
        <v>1</v>
      </c>
      <c r="AY283" s="21">
        <f t="shared" si="848"/>
        <v>1</v>
      </c>
      <c r="AZ283" s="21">
        <f t="shared" ref="AZ283:BU283" si="849">AZ282/AZ278</f>
        <v>1</v>
      </c>
      <c r="BA283" s="21">
        <f t="shared" si="849"/>
        <v>1</v>
      </c>
      <c r="BB283" s="21">
        <f t="shared" si="849"/>
        <v>1</v>
      </c>
      <c r="BC283" s="21">
        <f t="shared" si="849"/>
        <v>1</v>
      </c>
      <c r="BD283" s="21">
        <f t="shared" si="849"/>
        <v>1</v>
      </c>
      <c r="BE283" s="21">
        <f t="shared" si="849"/>
        <v>1</v>
      </c>
      <c r="BF283" s="21">
        <f t="shared" si="849"/>
        <v>1</v>
      </c>
      <c r="BG283" s="21">
        <f t="shared" si="849"/>
        <v>1</v>
      </c>
      <c r="BH283" s="21">
        <f t="shared" si="849"/>
        <v>1</v>
      </c>
      <c r="BI283" s="21">
        <f t="shared" si="849"/>
        <v>1</v>
      </c>
      <c r="BJ283" s="21">
        <f t="shared" si="849"/>
        <v>1</v>
      </c>
      <c r="BK283" s="21">
        <f t="shared" si="849"/>
        <v>1</v>
      </c>
      <c r="BL283" s="21">
        <f t="shared" si="849"/>
        <v>1</v>
      </c>
      <c r="BM283" s="21">
        <f t="shared" si="849"/>
        <v>1</v>
      </c>
      <c r="BN283" s="21">
        <f t="shared" si="849"/>
        <v>1</v>
      </c>
      <c r="BO283" s="21">
        <f t="shared" si="849"/>
        <v>1</v>
      </c>
      <c r="BP283" s="21">
        <f t="shared" si="849"/>
        <v>1</v>
      </c>
      <c r="BQ283" s="21">
        <f t="shared" si="849"/>
        <v>1</v>
      </c>
      <c r="BR283" s="21">
        <f t="shared" si="849"/>
        <v>1</v>
      </c>
      <c r="BS283" s="21">
        <f t="shared" si="849"/>
        <v>1</v>
      </c>
      <c r="BT283" s="21">
        <f t="shared" si="849"/>
        <v>1</v>
      </c>
      <c r="BU283" s="21">
        <f t="shared" si="849"/>
        <v>1</v>
      </c>
      <c r="BV283" s="21">
        <f t="shared" ref="BV283:BZ283" si="850">BV282/BV278</f>
        <v>1</v>
      </c>
      <c r="BW283" s="21">
        <f t="shared" si="850"/>
        <v>1</v>
      </c>
      <c r="BX283" s="21">
        <f t="shared" si="850"/>
        <v>1</v>
      </c>
      <c r="BY283" s="21">
        <f t="shared" si="850"/>
        <v>1</v>
      </c>
      <c r="BZ283" s="21">
        <f t="shared" si="850"/>
        <v>1</v>
      </c>
    </row>
    <row r="284" spans="1:78">
      <c r="J284" s="57"/>
    </row>
    <row r="285" spans="1:78">
      <c r="A285" s="1" t="s">
        <v>1381</v>
      </c>
      <c r="J285" s="57"/>
      <c r="AF285" s="16">
        <f>AF277/AE277-1</f>
        <v>5.5214723926380271E-2</v>
      </c>
      <c r="AG285" s="16"/>
      <c r="AH285" s="16">
        <f>AH277/AG277-1</f>
        <v>5.232558139534893E-2</v>
      </c>
      <c r="AI285" s="16">
        <f>AI277/AH277-1</f>
        <v>4.9723756906077332E-2</v>
      </c>
      <c r="AJ285" s="16">
        <f>AJ277/AI277-1</f>
        <v>4.7368421052631504E-2</v>
      </c>
      <c r="AK285" s="16">
        <f>AK277/AJ277-1</f>
        <v>4.5226130653266416E-2</v>
      </c>
      <c r="AM285" s="16">
        <f>AM277/AL277-1</f>
        <v>4.3269230769230838E-2</v>
      </c>
      <c r="AN285" s="16">
        <f>AN277/AM277-1</f>
        <v>4.1474654377880116E-2</v>
      </c>
      <c r="AO285" s="16">
        <f>AO277/AN277-1</f>
        <v>3.9823008849557473E-2</v>
      </c>
      <c r="AP285" s="948">
        <v>0.05</v>
      </c>
      <c r="AR285" s="948">
        <v>0</v>
      </c>
      <c r="AS285" s="948">
        <v>0</v>
      </c>
      <c r="AT285" s="948">
        <v>0</v>
      </c>
      <c r="AU285" s="948">
        <v>7.4999999999999997E-2</v>
      </c>
      <c r="AW285" s="948">
        <v>0.35</v>
      </c>
      <c r="AX285" s="948">
        <v>0.05</v>
      </c>
      <c r="AY285" s="303">
        <v>0</v>
      </c>
      <c r="AZ285" s="303">
        <v>0</v>
      </c>
      <c r="BB285" s="303">
        <v>1.4999999999999999E-2</v>
      </c>
      <c r="BC285" s="303">
        <v>1.4999999999999999E-2</v>
      </c>
      <c r="BD285" s="303">
        <v>1.4999999999999999E-2</v>
      </c>
      <c r="BE285" s="303">
        <v>1.4999999999999999E-2</v>
      </c>
      <c r="BG285" s="303">
        <v>1.4999999999999999E-2</v>
      </c>
      <c r="BH285" s="303">
        <v>1.4999999999999999E-2</v>
      </c>
      <c r="BI285" s="303">
        <v>1.4999999999999999E-2</v>
      </c>
      <c r="BJ285" s="303">
        <v>1.4999999999999999E-2</v>
      </c>
      <c r="BL285" s="303">
        <v>1.4999999999999999E-2</v>
      </c>
      <c r="BM285" s="303">
        <v>1.4999999999999999E-2</v>
      </c>
      <c r="BN285" s="303">
        <v>1.4999999999999999E-2</v>
      </c>
      <c r="BO285" s="303">
        <v>1.4999999999999999E-2</v>
      </c>
      <c r="BQ285" s="303">
        <v>1.4999999999999999E-2</v>
      </c>
      <c r="BR285" s="303">
        <v>1.4999999999999999E-2</v>
      </c>
      <c r="BS285" s="303">
        <v>1.4999999999999999E-2</v>
      </c>
      <c r="BT285" s="303">
        <v>1.4999999999999999E-2</v>
      </c>
      <c r="BV285" s="303">
        <v>1.4999999999999999E-2</v>
      </c>
      <c r="BW285" s="303">
        <v>1.4999999999999999E-2</v>
      </c>
      <c r="BX285" s="303">
        <v>1.4999999999999999E-2</v>
      </c>
      <c r="BY285" s="303">
        <v>1.4999999999999999E-2</v>
      </c>
    </row>
    <row r="286" spans="1:78">
      <c r="A286" s="1" t="s">
        <v>1382</v>
      </c>
      <c r="J286" s="57"/>
      <c r="AJ286" s="16">
        <f>AJ277/AE277-1</f>
        <v>0.22085889570552153</v>
      </c>
      <c r="AK286" s="16">
        <f>AK277/AF277-1</f>
        <v>0.20930232558139528</v>
      </c>
      <c r="AM286" s="16">
        <f>AM277/AH277-1</f>
        <v>0.19889502762430933</v>
      </c>
      <c r="AN286" s="16">
        <f>AN277/AI277-1</f>
        <v>0.18947368421052624</v>
      </c>
      <c r="AO286" s="16">
        <f>AO277/AJ277-1</f>
        <v>0.18090452261306522</v>
      </c>
      <c r="AP286" s="16">
        <f>AP277/AK277-1</f>
        <v>0.1858974358974359</v>
      </c>
      <c r="AR286" s="16">
        <f>AR277/AM277-1</f>
        <v>0.13671274961597546</v>
      </c>
      <c r="AS286" s="16">
        <f>AS277/AN277-1</f>
        <v>9.1445427728613637E-2</v>
      </c>
      <c r="AT286" s="16">
        <f>AT277/AO277-1</f>
        <v>4.9645390070921946E-2</v>
      </c>
      <c r="AU286" s="16">
        <f>AU277/AP277-1</f>
        <v>7.4324324324324342E-2</v>
      </c>
      <c r="AW286" s="16">
        <f>AW277/AR277-1</f>
        <v>0.45045045045045051</v>
      </c>
      <c r="AX286" s="16">
        <f>AX277/AS277-1</f>
        <v>0.52252252252252251</v>
      </c>
      <c r="AY286" s="16">
        <f>AY277/AT277-1</f>
        <v>0.52252252252252251</v>
      </c>
      <c r="AZ286" s="16">
        <f>AZ277/AU277-1</f>
        <v>0.79035639412997893</v>
      </c>
      <c r="BB286" s="16">
        <f>BB277/AW277-1</f>
        <v>0.34627329192546585</v>
      </c>
      <c r="BC286" s="16">
        <f>BC277/AX277-1</f>
        <v>0.30177514792899407</v>
      </c>
      <c r="BD286" s="16">
        <f>BD277/AY277-1</f>
        <v>0.32100591715976323</v>
      </c>
      <c r="BE286" s="16">
        <f>BE277/AZ277-1</f>
        <v>6.0889929742388826E-2</v>
      </c>
      <c r="BG286" s="16">
        <f>BG277/BB277-1</f>
        <v>6.1130334486735771E-2</v>
      </c>
      <c r="BH286" s="16">
        <f>BH277/BC277-1</f>
        <v>6.1363636363636287E-2</v>
      </c>
      <c r="BI286" s="16">
        <f>BI277/BD277-1</f>
        <v>6.1590145576707833E-2</v>
      </c>
      <c r="BJ286" s="16">
        <f>BJ277/BE277-1</f>
        <v>6.1810154525386407E-2</v>
      </c>
      <c r="BL286" s="16">
        <f>BL277/BG277-1</f>
        <v>6.0869565217391397E-2</v>
      </c>
      <c r="BM286" s="16">
        <f>BM277/BH277-1</f>
        <v>6.1027837259100659E-2</v>
      </c>
      <c r="BN286" s="16">
        <f>BN277/BI277-1</f>
        <v>6.1181434599156148E-2</v>
      </c>
      <c r="BO286" s="16">
        <f>BO277/BJ277-1</f>
        <v>6.1330561330561251E-2</v>
      </c>
      <c r="BQ286" s="16">
        <f>BQ277/BL277-1</f>
        <v>6.1475409836065475E-2</v>
      </c>
      <c r="BR286" s="16">
        <f>BR277/BM277-1</f>
        <v>6.1553985872855765E-2</v>
      </c>
      <c r="BS286" s="16">
        <f>BS277/BN277-1</f>
        <v>6.1630218687872773E-2</v>
      </c>
      <c r="BT286" s="16">
        <f>BT277/BO277-1</f>
        <v>6.1704211557296773E-2</v>
      </c>
      <c r="BV286" s="16">
        <f>BV277/BQ277-1</f>
        <v>6.1776061776061875E-2</v>
      </c>
      <c r="BW286" s="16">
        <f>BW277/BR277-1</f>
        <v>6.083650190114076E-2</v>
      </c>
      <c r="BX286" s="16">
        <f>BX277/BS277-1</f>
        <v>6.0861423220973876E-2</v>
      </c>
      <c r="BY286" s="16">
        <f>BY277/BT277-1</f>
        <v>6.0885608856088513E-2</v>
      </c>
    </row>
    <row r="287" spans="1:78">
      <c r="AZ287" s="430" t="s">
        <v>3252</v>
      </c>
      <c r="BA287" s="46"/>
      <c r="BB287" s="46"/>
      <c r="BC287" s="46"/>
      <c r="BD287" s="46"/>
      <c r="BE287" s="46"/>
      <c r="BF287" s="46"/>
      <c r="BG287" s="46"/>
    </row>
    <row r="288" spans="1:78" s="219" customFormat="1">
      <c r="A288" s="219" t="s">
        <v>3249</v>
      </c>
      <c r="AE288" s="582">
        <v>0.30199999999999999</v>
      </c>
      <c r="AF288" s="582">
        <v>0.30199999999999999</v>
      </c>
      <c r="AH288" s="582">
        <v>0.30199999999999999</v>
      </c>
      <c r="AI288" s="582">
        <v>0.30199999999999999</v>
      </c>
      <c r="AJ288" s="582">
        <v>0.30199999999999999</v>
      </c>
      <c r="AK288" s="582">
        <v>0.30199999999999999</v>
      </c>
      <c r="AM288" s="582">
        <v>0.30199999999999999</v>
      </c>
      <c r="AN288" s="582">
        <v>0.30199999999999999</v>
      </c>
      <c r="AO288" s="582">
        <v>0.30199999999999999</v>
      </c>
      <c r="AP288" s="582">
        <v>0.30199999999999999</v>
      </c>
      <c r="AR288" s="582">
        <v>0.30199999999999999</v>
      </c>
      <c r="AS288" s="582">
        <v>0.30199999999999999</v>
      </c>
      <c r="AT288" s="582">
        <v>0.30199999999999999</v>
      </c>
      <c r="AU288" s="582">
        <v>0.30199999999999999</v>
      </c>
      <c r="AW288" s="639">
        <v>0.34</v>
      </c>
      <c r="AX288" s="639">
        <v>0.34</v>
      </c>
      <c r="AY288" s="303">
        <v>0.34</v>
      </c>
      <c r="AZ288" s="433">
        <f>AY288-3.5%</f>
        <v>0.30500000000000005</v>
      </c>
      <c r="BB288" s="303">
        <f>AZ288-0.75%</f>
        <v>0.29750000000000004</v>
      </c>
      <c r="BC288" s="303">
        <f>BB288-0.75%</f>
        <v>0.29000000000000004</v>
      </c>
      <c r="BD288" s="303">
        <f t="shared" ref="BD288:BE288" si="851">BC288-0.75%</f>
        <v>0.28250000000000003</v>
      </c>
      <c r="BE288" s="303">
        <f t="shared" si="851"/>
        <v>0.27500000000000002</v>
      </c>
      <c r="BG288" s="303">
        <f>BE288-0.5%</f>
        <v>0.27</v>
      </c>
      <c r="BH288" s="303">
        <f>BG288-0.5%</f>
        <v>0.26500000000000001</v>
      </c>
      <c r="BI288" s="303">
        <f>BH288-0.5%</f>
        <v>0.26</v>
      </c>
      <c r="BJ288" s="303">
        <f>BI288-0.5%</f>
        <v>0.255</v>
      </c>
      <c r="BL288" s="303">
        <f>BJ288-0.5%</f>
        <v>0.25</v>
      </c>
      <c r="BM288" s="303">
        <f>BL288-0.5%</f>
        <v>0.245</v>
      </c>
      <c r="BN288" s="303">
        <f>BM288-0.5%</f>
        <v>0.24</v>
      </c>
      <c r="BO288" s="303">
        <f>BN288-0.5%</f>
        <v>0.23499999999999999</v>
      </c>
      <c r="BQ288" s="303">
        <f>BO288-0.5%</f>
        <v>0.22999999999999998</v>
      </c>
      <c r="BR288" s="303">
        <f>BQ288-0.5%</f>
        <v>0.22499999999999998</v>
      </c>
      <c r="BS288" s="303">
        <f>BR288-0.5%</f>
        <v>0.21999999999999997</v>
      </c>
      <c r="BT288" s="303">
        <f>BS288-0.5%</f>
        <v>0.21499999999999997</v>
      </c>
      <c r="BV288" s="303">
        <f>BT288-0.5%</f>
        <v>0.20999999999999996</v>
      </c>
      <c r="BW288" s="303">
        <f>BV288-0.5%</f>
        <v>0.20499999999999996</v>
      </c>
      <c r="BX288" s="303">
        <f>BW288-0.5%</f>
        <v>0.19999999999999996</v>
      </c>
      <c r="BY288" s="303">
        <f>BX288-0.5%</f>
        <v>0.19499999999999995</v>
      </c>
    </row>
    <row r="289" spans="1:78" s="219" customFormat="1">
      <c r="A289" s="262" t="s">
        <v>3234</v>
      </c>
      <c r="AE289" s="649">
        <f>MROUND(-AE277/AE288, 5)</f>
        <v>4860</v>
      </c>
      <c r="AF289" s="649">
        <f>MROUND(-AF277/AF288, 5)</f>
        <v>5125</v>
      </c>
      <c r="AH289" s="649">
        <f>MROUND(-AH277/AH288, 5)</f>
        <v>5395</v>
      </c>
      <c r="AI289" s="649">
        <f>MROUND(-AI277/AI288, 5)</f>
        <v>5660</v>
      </c>
      <c r="AJ289" s="649">
        <f>MROUND(-AJ277/AJ288, 5)</f>
        <v>5930</v>
      </c>
      <c r="AK289" s="649">
        <f>MROUND(-AK277/AK288, 5)</f>
        <v>6200</v>
      </c>
      <c r="AM289" s="649">
        <f>MROUND(-AM277/AM288, 5)</f>
        <v>6465</v>
      </c>
      <c r="AN289" s="649">
        <f>MROUND(-AN277/AN288, 5)</f>
        <v>6735</v>
      </c>
      <c r="AO289" s="649">
        <f>MROUND(-AO277/AO288, 5)</f>
        <v>7005</v>
      </c>
      <c r="AP289" s="649">
        <f>MROUND(-AP277/AP288, 5)</f>
        <v>7350</v>
      </c>
      <c r="AR289" s="649">
        <f>MROUND(-AR277/AR288, 5)</f>
        <v>7350</v>
      </c>
      <c r="AS289" s="649">
        <f>MROUND(-AS277/AS288, 5)</f>
        <v>7350</v>
      </c>
      <c r="AT289" s="649">
        <f>MROUND(-AT277/AT288, 5)</f>
        <v>7350</v>
      </c>
      <c r="AU289" s="649">
        <f>MROUND(-AU277/AU288, 5)</f>
        <v>7895</v>
      </c>
      <c r="AW289" s="92">
        <f>MROUND(-AW277/AW288, 5)</f>
        <v>9470</v>
      </c>
      <c r="AX289" s="92">
        <f>MROUND(-AX277/AX288, 5)</f>
        <v>9940</v>
      </c>
      <c r="AY289" s="622">
        <f>AX289</f>
        <v>9940</v>
      </c>
      <c r="AZ289" s="721">
        <v>14000</v>
      </c>
      <c r="BB289" s="622">
        <f>MROUND(AZ289*(1+BB285), 5)</f>
        <v>14210</v>
      </c>
      <c r="BC289" s="622">
        <f>MROUND(BB289*(1+BC285), 5)</f>
        <v>14425</v>
      </c>
      <c r="BD289" s="622">
        <f>MROUND(BC289*(1+BD285), 5)</f>
        <v>14640</v>
      </c>
      <c r="BE289" s="622">
        <f>MROUND(BD289*(1+BE285), 5)</f>
        <v>14860</v>
      </c>
      <c r="BG289" s="622">
        <f>MROUND(BE289*(1+BG285), 5)</f>
        <v>15085</v>
      </c>
      <c r="BH289" s="622">
        <f>MROUND(BG289*(1+BH285), 5)</f>
        <v>15310</v>
      </c>
      <c r="BI289" s="622">
        <f>MROUND(BH289*(1+BI285), 5)</f>
        <v>15540</v>
      </c>
      <c r="BJ289" s="622">
        <f>MROUND(BI289*(1+BJ285), 5)</f>
        <v>15775</v>
      </c>
      <c r="BL289" s="622">
        <f>MROUND(BJ289*(1+BL285), 5)</f>
        <v>16010</v>
      </c>
      <c r="BM289" s="622">
        <f>MROUND(BL289*(1+BM285), 5)</f>
        <v>16250</v>
      </c>
      <c r="BN289" s="622">
        <f>MROUND(BM289*(1+BN285), 5)</f>
        <v>16495</v>
      </c>
      <c r="BO289" s="622">
        <f>MROUND(BN289*(1+BO285), 5)</f>
        <v>16740</v>
      </c>
      <c r="BQ289" s="622">
        <f>MROUND(BO289*(1+BQ285), 5)</f>
        <v>16990</v>
      </c>
      <c r="BR289" s="622">
        <f>MROUND(BQ289*(1+BR285), 5)</f>
        <v>17245</v>
      </c>
      <c r="BS289" s="622">
        <f>MROUND(BR289*(1+BS285), 5)</f>
        <v>17505</v>
      </c>
      <c r="BT289" s="622">
        <f>MROUND(BS289*(1+BT285), 5)</f>
        <v>17770</v>
      </c>
      <c r="BV289" s="622">
        <f>MROUND(BT289*(1+BV285), 5)</f>
        <v>18035</v>
      </c>
      <c r="BW289" s="622">
        <f>MROUND(BV289*(1+BW285), 5)</f>
        <v>18305</v>
      </c>
      <c r="BX289" s="622">
        <f>MROUND(BW289*(1+BX285), 5)</f>
        <v>18580</v>
      </c>
      <c r="BY289" s="622">
        <f>MROUND(BX289*(1+BY285), 5)</f>
        <v>18860</v>
      </c>
    </row>
    <row r="290" spans="1:78">
      <c r="J290" s="57"/>
      <c r="AW290" s="25" t="s">
        <v>3250</v>
      </c>
    </row>
    <row r="291" spans="1:78" s="179" customFormat="1">
      <c r="A291" s="178" t="s">
        <v>628</v>
      </c>
    </row>
    <row r="292" spans="1:78">
      <c r="J292" s="57"/>
      <c r="AH292" s="22" t="s">
        <v>642</v>
      </c>
    </row>
    <row r="293" spans="1:78">
      <c r="A293" s="1" t="s">
        <v>504</v>
      </c>
      <c r="J293" s="57"/>
      <c r="Y293" s="36"/>
      <c r="Z293" s="36"/>
      <c r="AA293" s="36"/>
      <c r="AB293" s="36"/>
      <c r="AC293" s="36"/>
      <c r="AD293" s="36"/>
      <c r="AE293" s="36"/>
      <c r="AF293" s="36"/>
      <c r="AG293" s="36"/>
      <c r="AH293" s="36">
        <f t="shared" ref="AH293:BZ293" si="852">AH980</f>
        <v>7000</v>
      </c>
      <c r="AI293" s="36">
        <f t="shared" si="852"/>
        <v>6700</v>
      </c>
      <c r="AJ293" s="36">
        <f t="shared" si="852"/>
        <v>6300</v>
      </c>
      <c r="AK293" s="36">
        <f t="shared" si="852"/>
        <v>5600</v>
      </c>
      <c r="AL293" s="36">
        <f t="shared" si="852"/>
        <v>5600</v>
      </c>
      <c r="AM293" s="36">
        <f t="shared" si="852"/>
        <v>5900</v>
      </c>
      <c r="AN293" s="36">
        <f t="shared" si="852"/>
        <v>5800</v>
      </c>
      <c r="AO293" s="36">
        <f t="shared" si="852"/>
        <v>6000</v>
      </c>
      <c r="AP293" s="36">
        <f t="shared" si="852"/>
        <v>5900</v>
      </c>
      <c r="AQ293" s="36">
        <f t="shared" si="852"/>
        <v>5900</v>
      </c>
      <c r="AR293" s="36">
        <f t="shared" ref="AR293:AV293" si="853">AR980</f>
        <v>5800</v>
      </c>
      <c r="AS293" s="36">
        <f t="shared" si="853"/>
        <v>6000</v>
      </c>
      <c r="AT293" s="36">
        <f t="shared" si="853"/>
        <v>5900</v>
      </c>
      <c r="AU293" s="36">
        <f t="shared" si="853"/>
        <v>5700</v>
      </c>
      <c r="AV293" s="36">
        <f t="shared" si="853"/>
        <v>5700</v>
      </c>
      <c r="AW293" s="36">
        <f t="shared" ref="AW293:AY293" si="854">AW980</f>
        <v>6200</v>
      </c>
      <c r="AX293" s="36">
        <f t="shared" si="854"/>
        <v>6400</v>
      </c>
      <c r="AY293" s="36">
        <f t="shared" si="854"/>
        <v>6000</v>
      </c>
      <c r="AZ293" s="36">
        <f t="shared" si="852"/>
        <v>6060</v>
      </c>
      <c r="BA293" s="36">
        <f t="shared" si="852"/>
        <v>6060</v>
      </c>
      <c r="BB293" s="36">
        <f t="shared" si="852"/>
        <v>6075</v>
      </c>
      <c r="BC293" s="36">
        <f t="shared" si="852"/>
        <v>6085</v>
      </c>
      <c r="BD293" s="36">
        <f t="shared" si="852"/>
        <v>6095</v>
      </c>
      <c r="BE293" s="36">
        <f t="shared" si="852"/>
        <v>6100</v>
      </c>
      <c r="BF293" s="36">
        <f t="shared" si="852"/>
        <v>6100</v>
      </c>
      <c r="BG293" s="36">
        <f t="shared" si="852"/>
        <v>6030</v>
      </c>
      <c r="BH293" s="36">
        <f t="shared" si="852"/>
        <v>5950</v>
      </c>
      <c r="BI293" s="36">
        <f t="shared" si="852"/>
        <v>5865</v>
      </c>
      <c r="BJ293" s="36">
        <f t="shared" si="852"/>
        <v>5770</v>
      </c>
      <c r="BK293" s="36">
        <f t="shared" si="852"/>
        <v>5770</v>
      </c>
      <c r="BL293" s="36">
        <f t="shared" si="852"/>
        <v>5585</v>
      </c>
      <c r="BM293" s="36">
        <f t="shared" si="852"/>
        <v>5390</v>
      </c>
      <c r="BN293" s="36">
        <f t="shared" si="852"/>
        <v>5180</v>
      </c>
      <c r="BO293" s="36">
        <f t="shared" si="852"/>
        <v>4965</v>
      </c>
      <c r="BP293" s="36">
        <f t="shared" si="852"/>
        <v>4965</v>
      </c>
      <c r="BQ293" s="36">
        <f t="shared" si="852"/>
        <v>4735</v>
      </c>
      <c r="BR293" s="36">
        <f t="shared" si="852"/>
        <v>4495</v>
      </c>
      <c r="BS293" s="36">
        <f t="shared" si="852"/>
        <v>4240</v>
      </c>
      <c r="BT293" s="36">
        <f t="shared" si="852"/>
        <v>3970</v>
      </c>
      <c r="BU293" s="36">
        <f t="shared" si="852"/>
        <v>3970</v>
      </c>
      <c r="BV293" s="36">
        <f t="shared" si="852"/>
        <v>3685</v>
      </c>
      <c r="BW293" s="36">
        <f t="shared" si="852"/>
        <v>3390</v>
      </c>
      <c r="BX293" s="36">
        <f t="shared" si="852"/>
        <v>3080</v>
      </c>
      <c r="BY293" s="36">
        <f t="shared" si="852"/>
        <v>2750</v>
      </c>
      <c r="BZ293" s="36">
        <f t="shared" si="852"/>
        <v>2750</v>
      </c>
    </row>
    <row r="294" spans="1:78">
      <c r="A294" s="1" t="s">
        <v>508</v>
      </c>
      <c r="J294" s="57"/>
      <c r="Y294" s="36"/>
      <c r="Z294" s="36"/>
      <c r="AA294" s="36"/>
      <c r="AB294" s="36"/>
      <c r="AC294" s="36"/>
      <c r="AD294" s="36"/>
      <c r="AE294" s="36"/>
      <c r="AF294" s="36"/>
      <c r="AG294" s="36"/>
      <c r="AH294" s="56">
        <v>0</v>
      </c>
      <c r="AI294" s="56">
        <v>0</v>
      </c>
      <c r="AJ294" s="56">
        <v>0</v>
      </c>
      <c r="AK294" s="56">
        <v>0</v>
      </c>
      <c r="AL294" s="56">
        <v>0</v>
      </c>
      <c r="AM294" s="56">
        <v>0</v>
      </c>
      <c r="AN294" s="56">
        <v>0</v>
      </c>
      <c r="AO294" s="56">
        <v>0</v>
      </c>
      <c r="AP294" s="56">
        <v>0</v>
      </c>
      <c r="AQ294" s="56">
        <v>0</v>
      </c>
      <c r="AR294" s="56">
        <v>0</v>
      </c>
      <c r="AS294" s="56">
        <v>0</v>
      </c>
      <c r="AT294" s="56">
        <v>0</v>
      </c>
      <c r="AU294" s="56">
        <v>0</v>
      </c>
      <c r="AV294" s="56">
        <v>0</v>
      </c>
      <c r="AW294" s="56">
        <v>0</v>
      </c>
      <c r="AX294" s="56">
        <v>0</v>
      </c>
      <c r="AY294" s="56">
        <v>0</v>
      </c>
      <c r="AZ294" s="56">
        <v>0</v>
      </c>
      <c r="BA294" s="56">
        <v>0</v>
      </c>
      <c r="BB294" s="56">
        <v>0</v>
      </c>
      <c r="BC294" s="56">
        <v>0</v>
      </c>
      <c r="BD294" s="56">
        <v>0</v>
      </c>
      <c r="BE294" s="56">
        <v>0</v>
      </c>
      <c r="BF294" s="56">
        <v>0</v>
      </c>
      <c r="BG294" s="56">
        <v>0</v>
      </c>
      <c r="BH294" s="56">
        <v>0</v>
      </c>
      <c r="BI294" s="56">
        <v>0</v>
      </c>
      <c r="BJ294" s="56">
        <v>0</v>
      </c>
      <c r="BK294" s="56">
        <v>0</v>
      </c>
      <c r="BL294" s="56">
        <v>0</v>
      </c>
      <c r="BM294" s="56">
        <v>0</v>
      </c>
      <c r="BN294" s="56">
        <v>0</v>
      </c>
      <c r="BO294" s="56">
        <v>0</v>
      </c>
      <c r="BP294" s="56">
        <v>0</v>
      </c>
      <c r="BQ294" s="56">
        <v>0</v>
      </c>
      <c r="BR294" s="56">
        <v>0</v>
      </c>
      <c r="BS294" s="56">
        <v>0</v>
      </c>
      <c r="BT294" s="56">
        <v>0</v>
      </c>
      <c r="BU294" s="56">
        <v>0</v>
      </c>
      <c r="BV294" s="56">
        <v>0</v>
      </c>
      <c r="BW294" s="56">
        <v>0</v>
      </c>
      <c r="BX294" s="56">
        <v>0</v>
      </c>
      <c r="BY294" s="56">
        <v>0</v>
      </c>
      <c r="BZ294" s="56">
        <v>0</v>
      </c>
    </row>
    <row r="295" spans="1:78">
      <c r="A295" s="9" t="s">
        <v>506</v>
      </c>
      <c r="B295" s="9"/>
      <c r="C295" s="9"/>
      <c r="D295" s="9"/>
      <c r="E295" s="9"/>
      <c r="F295" s="9"/>
      <c r="G295" s="9"/>
      <c r="H295" s="9"/>
      <c r="I295" s="9"/>
      <c r="J295" s="94"/>
      <c r="K295" s="9"/>
      <c r="L295" s="9"/>
      <c r="M295" s="9"/>
      <c r="N295" s="9"/>
      <c r="O295" s="9"/>
      <c r="P295" s="9"/>
      <c r="Q295" s="9"/>
      <c r="R295" s="9"/>
      <c r="S295" s="9"/>
      <c r="T295" s="9"/>
      <c r="U295" s="9"/>
      <c r="V295" s="9"/>
      <c r="W295" s="9"/>
      <c r="X295" s="9"/>
      <c r="Y295" s="39"/>
      <c r="Z295" s="39"/>
      <c r="AA295" s="39"/>
      <c r="AB295" s="39"/>
      <c r="AC295" s="39"/>
      <c r="AD295" s="39"/>
      <c r="AE295" s="39"/>
      <c r="AF295" s="39"/>
      <c r="AG295" s="39"/>
      <c r="AH295" s="39">
        <f t="shared" ref="AH295:AI295" si="855">SUM(AH293:AH294)</f>
        <v>7000</v>
      </c>
      <c r="AI295" s="39">
        <f t="shared" si="855"/>
        <v>6700</v>
      </c>
      <c r="AJ295" s="39">
        <f t="shared" ref="AJ295" si="856">SUM(AJ293:AJ294)</f>
        <v>6300</v>
      </c>
      <c r="AK295" s="39">
        <f t="shared" ref="AK295:AM295" si="857">SUM(AK293:AK294)</f>
        <v>5600</v>
      </c>
      <c r="AL295" s="39">
        <f t="shared" si="857"/>
        <v>5600</v>
      </c>
      <c r="AM295" s="39">
        <f t="shared" si="857"/>
        <v>5900</v>
      </c>
      <c r="AN295" s="39">
        <f t="shared" ref="AN295:AO295" si="858">SUM(AN293:AN294)</f>
        <v>5800</v>
      </c>
      <c r="AO295" s="39">
        <f t="shared" si="858"/>
        <v>6000</v>
      </c>
      <c r="AP295" s="39">
        <f t="shared" ref="AP295:AT295" si="859">SUM(AP293:AP294)</f>
        <v>5900</v>
      </c>
      <c r="AQ295" s="39">
        <f t="shared" si="859"/>
        <v>5900</v>
      </c>
      <c r="AR295" s="39">
        <f t="shared" si="859"/>
        <v>5800</v>
      </c>
      <c r="AS295" s="39">
        <f t="shared" si="859"/>
        <v>6000</v>
      </c>
      <c r="AT295" s="39">
        <f t="shared" si="859"/>
        <v>5900</v>
      </c>
      <c r="AU295" s="39">
        <f t="shared" ref="AU295:AY295" si="860">SUM(AU293:AU294)</f>
        <v>5700</v>
      </c>
      <c r="AV295" s="39">
        <f t="shared" si="860"/>
        <v>5700</v>
      </c>
      <c r="AW295" s="39">
        <f t="shared" si="860"/>
        <v>6200</v>
      </c>
      <c r="AX295" s="39">
        <f t="shared" si="860"/>
        <v>6400</v>
      </c>
      <c r="AY295" s="39">
        <f t="shared" si="860"/>
        <v>6000</v>
      </c>
      <c r="AZ295" s="39">
        <f t="shared" ref="AZ295:BZ295" si="861">SUM(AZ293:AZ294)</f>
        <v>6060</v>
      </c>
      <c r="BA295" s="39">
        <f t="shared" si="861"/>
        <v>6060</v>
      </c>
      <c r="BB295" s="39">
        <f t="shared" si="861"/>
        <v>6075</v>
      </c>
      <c r="BC295" s="39">
        <f t="shared" si="861"/>
        <v>6085</v>
      </c>
      <c r="BD295" s="39">
        <f t="shared" si="861"/>
        <v>6095</v>
      </c>
      <c r="BE295" s="39">
        <f t="shared" si="861"/>
        <v>6100</v>
      </c>
      <c r="BF295" s="39">
        <f t="shared" si="861"/>
        <v>6100</v>
      </c>
      <c r="BG295" s="39">
        <f t="shared" si="861"/>
        <v>6030</v>
      </c>
      <c r="BH295" s="39">
        <f t="shared" si="861"/>
        <v>5950</v>
      </c>
      <c r="BI295" s="39">
        <f t="shared" si="861"/>
        <v>5865</v>
      </c>
      <c r="BJ295" s="39">
        <f t="shared" si="861"/>
        <v>5770</v>
      </c>
      <c r="BK295" s="39">
        <f t="shared" si="861"/>
        <v>5770</v>
      </c>
      <c r="BL295" s="39">
        <f t="shared" si="861"/>
        <v>5585</v>
      </c>
      <c r="BM295" s="39">
        <f t="shared" si="861"/>
        <v>5390</v>
      </c>
      <c r="BN295" s="39">
        <f t="shared" si="861"/>
        <v>5180</v>
      </c>
      <c r="BO295" s="39">
        <f t="shared" si="861"/>
        <v>4965</v>
      </c>
      <c r="BP295" s="39">
        <f t="shared" si="861"/>
        <v>4965</v>
      </c>
      <c r="BQ295" s="39">
        <f t="shared" si="861"/>
        <v>4735</v>
      </c>
      <c r="BR295" s="39">
        <f t="shared" si="861"/>
        <v>4495</v>
      </c>
      <c r="BS295" s="39">
        <f t="shared" si="861"/>
        <v>4240</v>
      </c>
      <c r="BT295" s="39">
        <f t="shared" si="861"/>
        <v>3970</v>
      </c>
      <c r="BU295" s="39">
        <f t="shared" si="861"/>
        <v>3970</v>
      </c>
      <c r="BV295" s="39">
        <f t="shared" si="861"/>
        <v>3685</v>
      </c>
      <c r="BW295" s="39">
        <f t="shared" si="861"/>
        <v>3390</v>
      </c>
      <c r="BX295" s="39">
        <f t="shared" si="861"/>
        <v>3080</v>
      </c>
      <c r="BY295" s="39">
        <f t="shared" si="861"/>
        <v>2750</v>
      </c>
      <c r="BZ295" s="39">
        <f t="shared" si="861"/>
        <v>2750</v>
      </c>
    </row>
    <row r="296" spans="1:78">
      <c r="J296" s="57"/>
    </row>
    <row r="297" spans="1:78">
      <c r="A297" s="1" t="s">
        <v>1369</v>
      </c>
      <c r="J297" s="57"/>
      <c r="AH297" s="36">
        <f t="shared" ref="AH297:AN297" si="862">-AH230</f>
        <v>-460</v>
      </c>
      <c r="AI297" s="36">
        <f t="shared" si="862"/>
        <v>-415</v>
      </c>
      <c r="AJ297" s="36">
        <f t="shared" si="862"/>
        <v>-330</v>
      </c>
      <c r="AK297" s="36">
        <f t="shared" si="862"/>
        <v>-215</v>
      </c>
      <c r="AL297" s="36">
        <f t="shared" si="862"/>
        <v>-215</v>
      </c>
      <c r="AM297" s="36">
        <f t="shared" si="862"/>
        <v>-190</v>
      </c>
      <c r="AN297" s="36">
        <f t="shared" si="862"/>
        <v>-155</v>
      </c>
      <c r="AO297" s="36">
        <f>-AO230</f>
        <v>-135</v>
      </c>
      <c r="AP297" s="36">
        <f>-AP230</f>
        <v>-95</v>
      </c>
      <c r="AQ297" s="36">
        <f t="shared" ref="AQ297:BZ297" si="863">AQ299-AQ295</f>
        <v>-95</v>
      </c>
      <c r="AR297" s="36">
        <f t="shared" ref="AR297:AS297" si="864">-AR230</f>
        <v>-60</v>
      </c>
      <c r="AS297" s="36">
        <f t="shared" si="864"/>
        <v>-70</v>
      </c>
      <c r="AT297" s="36">
        <f>-AT230</f>
        <v>-55</v>
      </c>
      <c r="AU297" s="36">
        <f>-AU230</f>
        <v>-35</v>
      </c>
      <c r="AV297" s="36">
        <f t="shared" ref="AV297" si="865">AV299-AV295</f>
        <v>-35</v>
      </c>
      <c r="AW297" s="36">
        <f t="shared" ref="AW297:AX297" si="866">-AW230</f>
        <v>-60</v>
      </c>
      <c r="AX297" s="36">
        <f t="shared" si="866"/>
        <v>-60</v>
      </c>
      <c r="AY297" s="36">
        <f>-AY230</f>
        <v>-50</v>
      </c>
      <c r="AZ297" s="36">
        <f t="shared" si="863"/>
        <v>-20</v>
      </c>
      <c r="BA297" s="36">
        <f t="shared" si="863"/>
        <v>-20</v>
      </c>
      <c r="BB297" s="36">
        <f t="shared" si="863"/>
        <v>0</v>
      </c>
      <c r="BC297" s="36">
        <f t="shared" si="863"/>
        <v>0</v>
      </c>
      <c r="BD297" s="36">
        <f t="shared" si="863"/>
        <v>0</v>
      </c>
      <c r="BE297" s="36">
        <f t="shared" si="863"/>
        <v>-45</v>
      </c>
      <c r="BF297" s="36">
        <f t="shared" si="863"/>
        <v>-45</v>
      </c>
      <c r="BG297" s="36">
        <f t="shared" si="863"/>
        <v>-90</v>
      </c>
      <c r="BH297" s="36">
        <f t="shared" si="863"/>
        <v>-135</v>
      </c>
      <c r="BI297" s="36">
        <f t="shared" si="863"/>
        <v>-175</v>
      </c>
      <c r="BJ297" s="36">
        <f t="shared" si="863"/>
        <v>-215</v>
      </c>
      <c r="BK297" s="36">
        <f t="shared" si="863"/>
        <v>-215</v>
      </c>
      <c r="BL297" s="36">
        <f t="shared" si="863"/>
        <v>-250</v>
      </c>
      <c r="BM297" s="36">
        <f t="shared" si="863"/>
        <v>-285</v>
      </c>
      <c r="BN297" s="36">
        <f t="shared" si="863"/>
        <v>-310</v>
      </c>
      <c r="BO297" s="36">
        <f t="shared" si="863"/>
        <v>-335</v>
      </c>
      <c r="BP297" s="36">
        <f t="shared" si="863"/>
        <v>-335</v>
      </c>
      <c r="BQ297" s="36">
        <f t="shared" si="863"/>
        <v>-355</v>
      </c>
      <c r="BR297" s="36">
        <f t="shared" si="863"/>
        <v>-370</v>
      </c>
      <c r="BS297" s="36">
        <f t="shared" si="863"/>
        <v>-380</v>
      </c>
      <c r="BT297" s="36">
        <f t="shared" si="863"/>
        <v>-385</v>
      </c>
      <c r="BU297" s="36">
        <f t="shared" si="863"/>
        <v>-385</v>
      </c>
      <c r="BV297" s="36">
        <f t="shared" si="863"/>
        <v>-385</v>
      </c>
      <c r="BW297" s="36">
        <f t="shared" si="863"/>
        <v>-380</v>
      </c>
      <c r="BX297" s="36">
        <f t="shared" si="863"/>
        <v>-370</v>
      </c>
      <c r="BY297" s="36">
        <f t="shared" si="863"/>
        <v>-350</v>
      </c>
      <c r="BZ297" s="36">
        <f t="shared" si="863"/>
        <v>-350</v>
      </c>
    </row>
    <row r="298" spans="1:78">
      <c r="J298" s="57"/>
    </row>
    <row r="299" spans="1:78">
      <c r="A299" s="1" t="s">
        <v>1370</v>
      </c>
      <c r="J299" s="57"/>
      <c r="AH299" s="36">
        <f t="shared" ref="AH299:AI299" si="867">AH295+AH297</f>
        <v>6540</v>
      </c>
      <c r="AI299" s="36">
        <f t="shared" si="867"/>
        <v>6285</v>
      </c>
      <c r="AJ299" s="36">
        <f t="shared" ref="AJ299:AK299" si="868">AJ295+AJ297</f>
        <v>5970</v>
      </c>
      <c r="AK299" s="36">
        <f t="shared" si="868"/>
        <v>5385</v>
      </c>
      <c r="AL299" s="36">
        <f t="shared" ref="AL299:AM299" si="869">AL295+AL297</f>
        <v>5385</v>
      </c>
      <c r="AM299" s="36">
        <f t="shared" si="869"/>
        <v>5710</v>
      </c>
      <c r="AN299" s="36">
        <f t="shared" ref="AN299:AO299" si="870">AN295+AN297</f>
        <v>5645</v>
      </c>
      <c r="AO299" s="36">
        <f t="shared" si="870"/>
        <v>5865</v>
      </c>
      <c r="AP299" s="36">
        <f t="shared" ref="AP299" si="871">AP295+AP297</f>
        <v>5805</v>
      </c>
      <c r="AQ299" s="36">
        <f t="shared" ref="AQ299:BZ299" si="872">MROUND(AQ300*AQ295, 5)</f>
        <v>5805</v>
      </c>
      <c r="AR299" s="36">
        <f t="shared" ref="AR299:AU299" si="873">AR295+AR297</f>
        <v>5740</v>
      </c>
      <c r="AS299" s="36">
        <f t="shared" si="873"/>
        <v>5930</v>
      </c>
      <c r="AT299" s="36">
        <f t="shared" si="873"/>
        <v>5845</v>
      </c>
      <c r="AU299" s="36">
        <f t="shared" si="873"/>
        <v>5665</v>
      </c>
      <c r="AV299" s="36">
        <f t="shared" ref="AV299" si="874">MROUND(AV300*AV295, 5)</f>
        <v>5665</v>
      </c>
      <c r="AW299" s="36">
        <f t="shared" ref="AW299:AY299" si="875">AW295+AW297</f>
        <v>6140</v>
      </c>
      <c r="AX299" s="36">
        <f t="shared" si="875"/>
        <v>6340</v>
      </c>
      <c r="AY299" s="36">
        <f t="shared" si="875"/>
        <v>5950</v>
      </c>
      <c r="AZ299" s="36">
        <f t="shared" si="872"/>
        <v>6040</v>
      </c>
      <c r="BA299" s="36">
        <f t="shared" si="872"/>
        <v>6040</v>
      </c>
      <c r="BB299" s="36">
        <f t="shared" si="872"/>
        <v>6075</v>
      </c>
      <c r="BC299" s="36">
        <f t="shared" si="872"/>
        <v>6085</v>
      </c>
      <c r="BD299" s="36">
        <f t="shared" si="872"/>
        <v>6095</v>
      </c>
      <c r="BE299" s="36">
        <f t="shared" si="872"/>
        <v>6055</v>
      </c>
      <c r="BF299" s="36">
        <f t="shared" si="872"/>
        <v>6055</v>
      </c>
      <c r="BG299" s="36">
        <f t="shared" si="872"/>
        <v>5940</v>
      </c>
      <c r="BH299" s="36">
        <f t="shared" si="872"/>
        <v>5815</v>
      </c>
      <c r="BI299" s="36">
        <f t="shared" si="872"/>
        <v>5690</v>
      </c>
      <c r="BJ299" s="36">
        <f t="shared" si="872"/>
        <v>5555</v>
      </c>
      <c r="BK299" s="36">
        <f t="shared" si="872"/>
        <v>5555</v>
      </c>
      <c r="BL299" s="36">
        <f t="shared" si="872"/>
        <v>5335</v>
      </c>
      <c r="BM299" s="36">
        <f t="shared" si="872"/>
        <v>5105</v>
      </c>
      <c r="BN299" s="36">
        <f t="shared" si="872"/>
        <v>4870</v>
      </c>
      <c r="BO299" s="36">
        <f t="shared" si="872"/>
        <v>4630</v>
      </c>
      <c r="BP299" s="36">
        <f t="shared" si="872"/>
        <v>4630</v>
      </c>
      <c r="BQ299" s="36">
        <f t="shared" si="872"/>
        <v>4380</v>
      </c>
      <c r="BR299" s="36">
        <f t="shared" si="872"/>
        <v>4125</v>
      </c>
      <c r="BS299" s="36">
        <f t="shared" si="872"/>
        <v>3860</v>
      </c>
      <c r="BT299" s="36">
        <f t="shared" si="872"/>
        <v>3585</v>
      </c>
      <c r="BU299" s="36">
        <f t="shared" si="872"/>
        <v>3585</v>
      </c>
      <c r="BV299" s="36">
        <f t="shared" si="872"/>
        <v>3300</v>
      </c>
      <c r="BW299" s="36">
        <f t="shared" si="872"/>
        <v>3010</v>
      </c>
      <c r="BX299" s="36">
        <f t="shared" si="872"/>
        <v>2710</v>
      </c>
      <c r="BY299" s="36">
        <f t="shared" si="872"/>
        <v>2400</v>
      </c>
      <c r="BZ299" s="36">
        <f t="shared" si="872"/>
        <v>2400</v>
      </c>
    </row>
    <row r="300" spans="1:78">
      <c r="A300" s="1" t="s">
        <v>645</v>
      </c>
      <c r="J300" s="57"/>
      <c r="AH300" s="21">
        <f t="shared" ref="AH300:AI300" si="876">AH299/AH295</f>
        <v>0.93428571428571427</v>
      </c>
      <c r="AI300" s="21">
        <f t="shared" si="876"/>
        <v>0.93805970149253737</v>
      </c>
      <c r="AJ300" s="21">
        <f t="shared" ref="AJ300:AK300" si="877">AJ299/AJ295</f>
        <v>0.94761904761904758</v>
      </c>
      <c r="AK300" s="21">
        <f t="shared" si="877"/>
        <v>0.96160714285714288</v>
      </c>
      <c r="AL300" s="21">
        <f t="shared" ref="AL300:AM300" si="878">AL299/AL295</f>
        <v>0.96160714285714288</v>
      </c>
      <c r="AM300" s="21">
        <f t="shared" si="878"/>
        <v>0.96779661016949148</v>
      </c>
      <c r="AN300" s="21">
        <f t="shared" ref="AN300:AO300" si="879">AN299/AN295</f>
        <v>0.97327586206896555</v>
      </c>
      <c r="AO300" s="21">
        <f t="shared" si="879"/>
        <v>0.97750000000000004</v>
      </c>
      <c r="AP300" s="21">
        <f t="shared" ref="AP300" si="880">AP299/AP295</f>
        <v>0.98389830508474574</v>
      </c>
      <c r="AQ300" s="104">
        <f>AP300</f>
        <v>0.98389830508474574</v>
      </c>
      <c r="AR300" s="21">
        <f t="shared" ref="AR300:AU300" si="881">AR299/AR295</f>
        <v>0.98965517241379308</v>
      </c>
      <c r="AS300" s="21">
        <f t="shared" si="881"/>
        <v>0.98833333333333329</v>
      </c>
      <c r="AT300" s="21">
        <f t="shared" si="881"/>
        <v>0.9906779661016949</v>
      </c>
      <c r="AU300" s="21">
        <f t="shared" si="881"/>
        <v>0.993859649122807</v>
      </c>
      <c r="AV300" s="104">
        <f>AU300</f>
        <v>0.993859649122807</v>
      </c>
      <c r="AW300" s="21">
        <f t="shared" ref="AW300:AY300" si="882">AW299/AW295</f>
        <v>0.99032258064516132</v>
      </c>
      <c r="AX300" s="21">
        <f t="shared" si="882"/>
        <v>0.99062499999999998</v>
      </c>
      <c r="AY300" s="21">
        <f t="shared" si="882"/>
        <v>0.9916666666666667</v>
      </c>
      <c r="AZ300" s="117">
        <f>IF(AZ302&lt;100%, IF(AY300+0.5%&lt;100%, AY300+0.5%, 100%), IF(AY300-0.75%&gt;82.75%, AY300-0.75%, 82.75%))</f>
        <v>0.9966666666666667</v>
      </c>
      <c r="BA300" s="104">
        <f>AZ300</f>
        <v>0.9966666666666667</v>
      </c>
      <c r="BB300" s="117">
        <f>IF(BB302&lt;100%, IF(BA300+0.5%&lt;100%, BA300+0.5%, 100%), IF(BA300-0.75%&gt;82.75%, BA300-0.75%, 82.75%))</f>
        <v>1</v>
      </c>
      <c r="BC300" s="117">
        <f>IF(BC302&lt;100%, IF(BB300+0.5%&lt;100%, BB300+0.5%, 100%), IF(BB300-0.75%&gt;82.75%, BB300-0.75%, 82.75%))</f>
        <v>1</v>
      </c>
      <c r="BD300" s="117">
        <f>IF(BD302&lt;100%, IF(BC300+0.5%&lt;100%, BC300+0.5%, 100%), IF(BC300-0.75%&gt;82.75%, BC300-0.75%, 82.75%))</f>
        <v>1</v>
      </c>
      <c r="BE300" s="117">
        <f>IF(BE302&lt;100%, IF(BD300+0.5%&lt;100%, BD300+0.5%, 100%), IF(BD300-0.75%&gt;82.75%, BD300-0.75%, 82.75%))</f>
        <v>0.99250000000000005</v>
      </c>
      <c r="BF300" s="104">
        <f>BE300</f>
        <v>0.99250000000000005</v>
      </c>
      <c r="BG300" s="117">
        <f>IF(BG302&lt;100%, IF(BF300+0.5%&lt;100%, BF300+0.5%, 100%), IF(BF300-0.75%&gt;82.75%, BF300-0.75%, 82.75%))</f>
        <v>0.9850000000000001</v>
      </c>
      <c r="BH300" s="117">
        <f>IF(BH302&lt;100%, IF(BG300+0.5%&lt;100%, BG300+0.5%, 100%), IF(BG300-0.75%&gt;82.75%, BG300-0.75%, 82.75%))</f>
        <v>0.97750000000000015</v>
      </c>
      <c r="BI300" s="117">
        <f>IF(BI302&lt;100%, IF(BH300+0.5%&lt;100%, BH300+0.5%, 100%), IF(BH300-0.75%&gt;82.75%, BH300-0.75%, 82.75%))</f>
        <v>0.9700000000000002</v>
      </c>
      <c r="BJ300" s="117">
        <f>IF(BJ302&lt;100%, IF(BI300+0.5%&lt;100%, BI300+0.5%, 100%), IF(BI300-0.75%&gt;82.75%, BI300-0.75%, 82.75%))</f>
        <v>0.96250000000000024</v>
      </c>
      <c r="BK300" s="104">
        <f>BJ300</f>
        <v>0.96250000000000024</v>
      </c>
      <c r="BL300" s="117">
        <f>IF(BL302&lt;100%, IF(BK300+0.5%&lt;100%, BK300+0.5%, 100%), IF(BK300-0.75%&gt;82.75%, BK300-0.75%, 82.75%))</f>
        <v>0.95500000000000029</v>
      </c>
      <c r="BM300" s="117">
        <f>IF(BM302&lt;100%, IF(BL300+0.5%&lt;100%, BL300+0.5%, 100%), IF(BL300-0.75%&gt;82.75%, BL300-0.75%, 82.75%))</f>
        <v>0.94750000000000034</v>
      </c>
      <c r="BN300" s="117">
        <f>IF(BN302&lt;100%, IF(BM300+0.5%&lt;100%, BM300+0.5%, 100%), IF(BM300-0.75%&gt;82.75%, BM300-0.75%, 82.75%))</f>
        <v>0.94000000000000039</v>
      </c>
      <c r="BO300" s="117">
        <f>IF(BO302&lt;100%, IF(BN300+0.5%&lt;100%, BN300+0.5%, 100%), IF(BN300-0.75%&gt;82.75%, BN300-0.75%, 82.75%))</f>
        <v>0.93250000000000044</v>
      </c>
      <c r="BP300" s="104">
        <f>BO300</f>
        <v>0.93250000000000044</v>
      </c>
      <c r="BQ300" s="117">
        <f>IF(BQ302&lt;100%, IF(BP300+0.5%&lt;100%, BP300+0.5%, 100%), IF(BP300-0.75%&gt;82.75%, BP300-0.75%, 82.75%))</f>
        <v>0.92500000000000049</v>
      </c>
      <c r="BR300" s="117">
        <f>IF(BR302&lt;100%, IF(BQ300+0.5%&lt;100%, BQ300+0.5%, 100%), IF(BQ300-0.75%&gt;82.75%, BQ300-0.75%, 82.75%))</f>
        <v>0.91750000000000054</v>
      </c>
      <c r="BS300" s="117">
        <f>IF(BS302&lt;100%, IF(BR300+0.5%&lt;100%, BR300+0.5%, 100%), IF(BR300-0.75%&gt;82.75%, BR300-0.75%, 82.75%))</f>
        <v>0.91000000000000059</v>
      </c>
      <c r="BT300" s="117">
        <f>IF(BT302&lt;100%, IF(BS300+0.5%&lt;100%, BS300+0.5%, 100%), IF(BS300-0.75%&gt;82.75%, BS300-0.75%, 82.75%))</f>
        <v>0.90250000000000064</v>
      </c>
      <c r="BU300" s="104">
        <f>BT300</f>
        <v>0.90250000000000064</v>
      </c>
      <c r="BV300" s="117">
        <f>IF(BV302&lt;100%, IF(BU300+0.5%&lt;100%, BU300+0.5%, 100%), IF(BU300-0.75%&gt;82.75%, BU300-0.75%, 82.75%))</f>
        <v>0.89500000000000068</v>
      </c>
      <c r="BW300" s="117">
        <f>IF(BW302&lt;100%, IF(BV300+0.5%&lt;100%, BV300+0.5%, 100%), IF(BV300-0.75%&gt;82.75%, BV300-0.75%, 82.75%))</f>
        <v>0.88750000000000073</v>
      </c>
      <c r="BX300" s="117">
        <f>IF(BX302&lt;100%, IF(BW300+0.5%&lt;100%, BW300+0.5%, 100%), IF(BW300-0.75%&gt;82.75%, BW300-0.75%, 82.75%))</f>
        <v>0.88000000000000078</v>
      </c>
      <c r="BY300" s="117">
        <f>IF(BY302&lt;100%, IF(BX300+0.5%&lt;100%, BX300+0.5%, 100%), IF(BX300-0.75%&gt;82.75%, BX300-0.75%, 82.75%))</f>
        <v>0.87250000000000083</v>
      </c>
      <c r="BZ300" s="352">
        <f>BY300</f>
        <v>0.87250000000000083</v>
      </c>
    </row>
    <row r="301" spans="1:78">
      <c r="J301" s="57"/>
      <c r="BR301" s="44"/>
      <c r="BS301" s="44"/>
      <c r="BT301" s="44"/>
      <c r="BU301" s="44"/>
      <c r="BV301" s="44"/>
      <c r="BW301" s="44"/>
      <c r="BX301" s="44"/>
      <c r="BY301" s="44"/>
      <c r="BZ301" s="164" t="s">
        <v>1341</v>
      </c>
    </row>
    <row r="302" spans="1:78" s="291" customFormat="1">
      <c r="A302" s="291" t="s">
        <v>1303</v>
      </c>
      <c r="AH302" s="351">
        <f t="shared" ref="AH302:BZ302" si="883">AH1071</f>
        <v>0.98611111111111116</v>
      </c>
      <c r="AI302" s="351">
        <f t="shared" si="883"/>
        <v>0.93150684931506844</v>
      </c>
      <c r="AJ302" s="351">
        <f t="shared" si="883"/>
        <v>0.87671232876712324</v>
      </c>
      <c r="AK302" s="351">
        <f t="shared" si="883"/>
        <v>0.78082191780821919</v>
      </c>
      <c r="AL302" s="351">
        <f t="shared" si="883"/>
        <v>0.78082191780821919</v>
      </c>
      <c r="AM302" s="351">
        <f t="shared" si="883"/>
        <v>0.82191780821917804</v>
      </c>
      <c r="AN302" s="351">
        <f t="shared" si="883"/>
        <v>0.79729729729729726</v>
      </c>
      <c r="AO302" s="351">
        <f t="shared" si="883"/>
        <v>0.85135135135135132</v>
      </c>
      <c r="AP302" s="351">
        <f t="shared" si="883"/>
        <v>0.85135135135135132</v>
      </c>
      <c r="AQ302" s="351">
        <f t="shared" si="883"/>
        <v>0.85135135135135132</v>
      </c>
      <c r="AR302" s="351">
        <f t="shared" si="883"/>
        <v>0.83783783783783783</v>
      </c>
      <c r="AS302" s="351">
        <f t="shared" si="883"/>
        <v>0.86486486486486491</v>
      </c>
      <c r="AT302" s="351">
        <f t="shared" si="883"/>
        <v>0.85333333333333339</v>
      </c>
      <c r="AU302" s="351">
        <f t="shared" ref="AU302:AY302" si="884">AU1071</f>
        <v>0.85333333333333339</v>
      </c>
      <c r="AV302" s="351">
        <f t="shared" si="884"/>
        <v>0.85333333333333339</v>
      </c>
      <c r="AW302" s="351">
        <f t="shared" si="884"/>
        <v>0.92</v>
      </c>
      <c r="AX302" s="351">
        <f t="shared" si="884"/>
        <v>0.93421052631578949</v>
      </c>
      <c r="AY302" s="351">
        <f t="shared" si="884"/>
        <v>0.92</v>
      </c>
      <c r="AZ302" s="351">
        <f t="shared" si="883"/>
        <v>0.93733333333333335</v>
      </c>
      <c r="BA302" s="351">
        <f t="shared" si="883"/>
        <v>0.93733333333333335</v>
      </c>
      <c r="BB302" s="351">
        <f t="shared" si="883"/>
        <v>0.95466666666666666</v>
      </c>
      <c r="BC302" s="351">
        <f t="shared" si="883"/>
        <v>0.97199999999999998</v>
      </c>
      <c r="BD302" s="351">
        <f t="shared" si="883"/>
        <v>0.99</v>
      </c>
      <c r="BE302" s="351">
        <f t="shared" si="883"/>
        <v>1.008</v>
      </c>
      <c r="BF302" s="351">
        <f t="shared" si="883"/>
        <v>1.008</v>
      </c>
      <c r="BG302" s="351">
        <f t="shared" si="883"/>
        <v>1.026</v>
      </c>
      <c r="BH302" s="351">
        <f t="shared" si="883"/>
        <v>1.0433333333333332</v>
      </c>
      <c r="BI302" s="351">
        <f t="shared" si="883"/>
        <v>1.0606666666666666</v>
      </c>
      <c r="BJ302" s="351">
        <f t="shared" si="883"/>
        <v>1.0780000000000001</v>
      </c>
      <c r="BK302" s="351">
        <f t="shared" si="883"/>
        <v>1.0780000000000001</v>
      </c>
      <c r="BL302" s="351">
        <f t="shared" si="883"/>
        <v>1.0946666666666667</v>
      </c>
      <c r="BM302" s="351">
        <f t="shared" si="883"/>
        <v>1.1106666666666667</v>
      </c>
      <c r="BN302" s="351">
        <f t="shared" si="883"/>
        <v>1.1259999999999999</v>
      </c>
      <c r="BO302" s="351">
        <f t="shared" si="883"/>
        <v>1.1413333333333333</v>
      </c>
      <c r="BP302" s="351">
        <f t="shared" si="883"/>
        <v>1.1413333333333333</v>
      </c>
      <c r="BQ302" s="351">
        <f t="shared" si="883"/>
        <v>1.1559999999999999</v>
      </c>
      <c r="BR302" s="351">
        <f t="shared" si="883"/>
        <v>1.17</v>
      </c>
      <c r="BS302" s="351">
        <f t="shared" si="883"/>
        <v>1.1833333333333333</v>
      </c>
      <c r="BT302" s="351">
        <f t="shared" si="883"/>
        <v>1.1953333333333334</v>
      </c>
      <c r="BU302" s="351">
        <f t="shared" si="883"/>
        <v>1.1953333333333334</v>
      </c>
      <c r="BV302" s="351">
        <f t="shared" si="883"/>
        <v>1.2066666666666668</v>
      </c>
      <c r="BW302" s="351">
        <f t="shared" si="883"/>
        <v>1.2173333333333334</v>
      </c>
      <c r="BX302" s="351">
        <f t="shared" si="883"/>
        <v>1.2273333333333334</v>
      </c>
      <c r="BY302" s="351">
        <f t="shared" si="883"/>
        <v>1.236</v>
      </c>
      <c r="BZ302" s="351">
        <f t="shared" si="883"/>
        <v>1.236</v>
      </c>
    </row>
    <row r="303" spans="1:78">
      <c r="J303" s="57"/>
    </row>
    <row r="304" spans="1:78" s="2" customFormat="1">
      <c r="A304" s="4" t="s">
        <v>246</v>
      </c>
      <c r="I304" s="68" t="s">
        <v>245</v>
      </c>
    </row>
    <row r="306" spans="1:78">
      <c r="A306" s="1" t="s">
        <v>257</v>
      </c>
      <c r="N306" s="57"/>
    </row>
    <row r="307" spans="1:78">
      <c r="A307" s="1" t="s">
        <v>258</v>
      </c>
      <c r="I307" s="37">
        <v>-47992</v>
      </c>
      <c r="J307" s="37">
        <f>-1253341-I307</f>
        <v>-1205349</v>
      </c>
      <c r="K307" s="37">
        <f>-2021298-J307-I307</f>
        <v>-767957</v>
      </c>
      <c r="L307" s="36">
        <f>M307-SUM(I307:K307)</f>
        <v>-241962</v>
      </c>
      <c r="M307" s="37">
        <v>-2263260</v>
      </c>
      <c r="N307" s="37">
        <v>-176963</v>
      </c>
      <c r="O307" s="37">
        <f>-362331-N307</f>
        <v>-185368</v>
      </c>
      <c r="P307" s="37">
        <f>-1143044-O307-N307</f>
        <v>-780713</v>
      </c>
      <c r="Q307" s="36">
        <f>R307-SUM(N307:P307)</f>
        <v>-433746</v>
      </c>
      <c r="R307" s="37">
        <v>-1576790</v>
      </c>
      <c r="S307" s="37">
        <v>-681649</v>
      </c>
      <c r="T307" s="37">
        <f>-1063737-S307</f>
        <v>-382088</v>
      </c>
      <c r="U307" s="37">
        <f>-1705911-T307-S307</f>
        <v>-642174</v>
      </c>
      <c r="V307" s="36">
        <f>W307-SUM(S307:U307)</f>
        <v>-110380</v>
      </c>
      <c r="W307" s="37">
        <v>-1816291</v>
      </c>
      <c r="X307" s="37">
        <v>-120091</v>
      </c>
      <c r="Y307" s="37">
        <f>-219962-X307</f>
        <v>-99871</v>
      </c>
      <c r="Z307" s="37">
        <f>-576756-Y307-X307</f>
        <v>-356794</v>
      </c>
      <c r="AA307" s="36">
        <f>AB307-SUM(X307:Z307)</f>
        <v>-279852</v>
      </c>
      <c r="AB307" s="37">
        <v>-856608</v>
      </c>
      <c r="AC307" s="37">
        <v>-1401868</v>
      </c>
      <c r="AD307" s="37">
        <f>-2681439-AC307</f>
        <v>-1279571</v>
      </c>
      <c r="AE307" s="37">
        <f>-3533015-AD307-AC307</f>
        <v>-851576</v>
      </c>
      <c r="AF307" s="36">
        <f>AG307-SUM(AC307:AE307)</f>
        <v>-544436</v>
      </c>
      <c r="AG307" s="37">
        <v>-4077451</v>
      </c>
      <c r="AH307" s="37">
        <v>-306365</v>
      </c>
      <c r="AI307" s="37">
        <f>-336731-AH307</f>
        <v>-30366</v>
      </c>
      <c r="AJ307" s="37">
        <f>-384567-AI307-AH307</f>
        <v>-47836</v>
      </c>
      <c r="AK307" s="36">
        <f>AL307-SUM(AH307:AJ307)</f>
        <v>-71784</v>
      </c>
      <c r="AL307" s="37">
        <v>-456351</v>
      </c>
      <c r="AM307" s="37">
        <v>-123916</v>
      </c>
      <c r="AN307" s="37">
        <f>-187324-AM307</f>
        <v>-63408</v>
      </c>
      <c r="AO307" s="37">
        <f>-203877-AN307-AM307</f>
        <v>-16553</v>
      </c>
      <c r="AP307" s="36">
        <f>AQ307-SUM(AM307:AO307)</f>
        <v>-8168</v>
      </c>
      <c r="AQ307" s="37">
        <v>-212045</v>
      </c>
      <c r="AR307" s="37">
        <v>-93420</v>
      </c>
      <c r="AS307" s="37">
        <f>-188618-AR307</f>
        <v>-95198</v>
      </c>
      <c r="AT307" s="37">
        <f>-249147-AS307-AR307</f>
        <v>-60529</v>
      </c>
      <c r="AU307" s="36">
        <f>AV307-SUM(AR307:AT307)</f>
        <v>-329780</v>
      </c>
      <c r="AV307" s="37">
        <v>-578927</v>
      </c>
      <c r="AW307" s="37">
        <v>-1245644</v>
      </c>
      <c r="AX307" s="37">
        <f>-1406646-AW307</f>
        <v>-161002</v>
      </c>
      <c r="AY307" s="37">
        <f>-5102576-AX307-AW307</f>
        <v>-3695930</v>
      </c>
      <c r="AZ307" s="36">
        <f t="shared" ref="AZ307:AZ308" si="885">AZ319*AZ$326</f>
        <v>-77550</v>
      </c>
      <c r="BA307" s="36">
        <f>SUM(AW307:AZ307)</f>
        <v>-5180126</v>
      </c>
      <c r="BB307" s="36">
        <f t="shared" ref="BB307:BE308" si="886">BB319*BB$326</f>
        <v>-1547000.0000000002</v>
      </c>
      <c r="BC307" s="36">
        <f t="shared" si="886"/>
        <v>-1543000</v>
      </c>
      <c r="BD307" s="36">
        <f t="shared" si="886"/>
        <v>-1539000</v>
      </c>
      <c r="BE307" s="36">
        <f t="shared" si="886"/>
        <v>0</v>
      </c>
      <c r="BF307" s="36">
        <f>SUM(BB307:BE307)</f>
        <v>-4629000</v>
      </c>
      <c r="BG307" s="36">
        <f t="shared" ref="BG307:BJ308" si="887">BG319*BG$326</f>
        <v>0</v>
      </c>
      <c r="BH307" s="36">
        <f t="shared" si="887"/>
        <v>0</v>
      </c>
      <c r="BI307" s="36">
        <f t="shared" si="887"/>
        <v>0</v>
      </c>
      <c r="BJ307" s="36">
        <f t="shared" si="887"/>
        <v>0</v>
      </c>
      <c r="BK307" s="36">
        <f>SUM(BG307:BJ307)</f>
        <v>0</v>
      </c>
      <c r="BL307" s="36">
        <f t="shared" ref="BL307:BO308" si="888">BL319*BL$326</f>
        <v>0</v>
      </c>
      <c r="BM307" s="36">
        <f t="shared" si="888"/>
        <v>0</v>
      </c>
      <c r="BN307" s="36">
        <f t="shared" si="888"/>
        <v>0</v>
      </c>
      <c r="BO307" s="36">
        <f t="shared" si="888"/>
        <v>0</v>
      </c>
      <c r="BP307" s="36">
        <f>SUM(BL307:BO307)</f>
        <v>0</v>
      </c>
      <c r="BQ307" s="36">
        <f t="shared" ref="BQ307:BT308" si="889">BQ319*BQ$326</f>
        <v>0</v>
      </c>
      <c r="BR307" s="36">
        <f t="shared" si="889"/>
        <v>0</v>
      </c>
      <c r="BS307" s="36">
        <f t="shared" si="889"/>
        <v>0</v>
      </c>
      <c r="BT307" s="36">
        <f t="shared" si="889"/>
        <v>0</v>
      </c>
      <c r="BU307" s="36">
        <f>SUM(BQ307:BT307)</f>
        <v>0</v>
      </c>
      <c r="BV307" s="36">
        <f t="shared" ref="BV307:BY308" si="890">BV319*BV$326</f>
        <v>0</v>
      </c>
      <c r="BW307" s="36">
        <f t="shared" si="890"/>
        <v>0</v>
      </c>
      <c r="BX307" s="36">
        <f t="shared" si="890"/>
        <v>0</v>
      </c>
      <c r="BY307" s="36">
        <f t="shared" si="890"/>
        <v>0</v>
      </c>
      <c r="BZ307" s="36">
        <f>SUM(BV307:BY307)</f>
        <v>0</v>
      </c>
    </row>
    <row r="308" spans="1:78">
      <c r="A308" s="1" t="s">
        <v>378</v>
      </c>
      <c r="I308" s="80"/>
      <c r="J308" s="80"/>
      <c r="K308" s="80"/>
      <c r="L308" s="59"/>
      <c r="M308" s="80"/>
      <c r="N308" s="80"/>
      <c r="O308" s="37">
        <v>421921</v>
      </c>
      <c r="P308" s="37">
        <f>421921-O308</f>
        <v>0</v>
      </c>
      <c r="Q308" s="36">
        <f>R308-SUM(N308:P308)</f>
        <v>6944</v>
      </c>
      <c r="R308" s="37">
        <v>428865</v>
      </c>
      <c r="T308" s="37">
        <v>40635</v>
      </c>
      <c r="U308" s="37">
        <f>48809-T308</f>
        <v>8174</v>
      </c>
      <c r="V308" s="36">
        <f>W308-SUM(S308:U308)</f>
        <v>81023</v>
      </c>
      <c r="W308" s="37">
        <v>129832</v>
      </c>
      <c r="X308" s="37">
        <v>197591</v>
      </c>
      <c r="Y308" s="37">
        <f>281456-X308</f>
        <v>83865</v>
      </c>
      <c r="Z308" s="37">
        <f>399204-Y308-X308</f>
        <v>117748</v>
      </c>
      <c r="AA308" s="36">
        <f>AB308-SUM(X308:Z308)</f>
        <v>457204</v>
      </c>
      <c r="AB308" s="37">
        <v>856408</v>
      </c>
      <c r="AC308" s="37">
        <v>646663</v>
      </c>
      <c r="AD308" s="37">
        <f>1365766-AC308</f>
        <v>719103</v>
      </c>
      <c r="AE308" s="37">
        <f>1734173-AD308-AC308</f>
        <v>368407</v>
      </c>
      <c r="AF308" s="36">
        <f>AG308-SUM(AC308:AE308)</f>
        <v>487598</v>
      </c>
      <c r="AG308" s="37">
        <v>2221771</v>
      </c>
      <c r="AH308" s="37">
        <v>344210</v>
      </c>
      <c r="AI308" s="37">
        <f>454386-AH308</f>
        <v>110176</v>
      </c>
      <c r="AJ308" s="37">
        <f>681059-AI308-AH308</f>
        <v>226673</v>
      </c>
      <c r="AK308" s="36">
        <f>AL308-SUM(AH308:AJ308)</f>
        <v>152121</v>
      </c>
      <c r="AL308" s="37">
        <v>833180</v>
      </c>
      <c r="AM308" s="37">
        <v>134853</v>
      </c>
      <c r="AN308" s="37">
        <f>279288-AM308</f>
        <v>144435</v>
      </c>
      <c r="AO308" s="37">
        <f>567571-AN308-AM308</f>
        <v>288283</v>
      </c>
      <c r="AP308" s="36">
        <f>AQ308-SUM(AM308:AO308)</f>
        <v>354449</v>
      </c>
      <c r="AQ308" s="37">
        <v>922020</v>
      </c>
      <c r="AR308" s="37">
        <v>112159</v>
      </c>
      <c r="AS308" s="37">
        <f>230925-AR308</f>
        <v>118766</v>
      </c>
      <c r="AT308" s="37">
        <f>387022-AS308-AR308</f>
        <v>156097</v>
      </c>
      <c r="AU308" s="36">
        <f>AV308-SUM(AR308:AT308)</f>
        <v>71297</v>
      </c>
      <c r="AV308" s="37">
        <v>458319</v>
      </c>
      <c r="AW308" s="37">
        <v>366136</v>
      </c>
      <c r="AX308" s="37">
        <f>587006-AW308</f>
        <v>220870</v>
      </c>
      <c r="AY308" s="37">
        <f>866707-AX308-AW308</f>
        <v>279701</v>
      </c>
      <c r="AZ308" s="36">
        <f t="shared" si="885"/>
        <v>85305</v>
      </c>
      <c r="BA308" s="36">
        <f>SUM(AW308:AZ308)</f>
        <v>952012</v>
      </c>
      <c r="BB308" s="36">
        <f t="shared" si="886"/>
        <v>698470.50000000012</v>
      </c>
      <c r="BC308" s="36">
        <f t="shared" si="886"/>
        <v>708237</v>
      </c>
      <c r="BD308" s="36">
        <f t="shared" si="886"/>
        <v>718713</v>
      </c>
      <c r="BE308" s="36">
        <f t="shared" si="886"/>
        <v>716077.5</v>
      </c>
      <c r="BF308" s="36">
        <f>SUM(BB308:BE308)</f>
        <v>2841498</v>
      </c>
      <c r="BG308" s="36">
        <f t="shared" si="887"/>
        <v>920131</v>
      </c>
      <c r="BH308" s="36">
        <f t="shared" si="887"/>
        <v>937578.00000000012</v>
      </c>
      <c r="BI308" s="36">
        <f t="shared" si="887"/>
        <v>957205.50000000012</v>
      </c>
      <c r="BJ308" s="36">
        <f t="shared" si="887"/>
        <v>978236</v>
      </c>
      <c r="BK308" s="36">
        <f>SUM(BG308:BJ308)</f>
        <v>3793150.5</v>
      </c>
      <c r="BL308" s="36">
        <f t="shared" si="888"/>
        <v>1277145</v>
      </c>
      <c r="BM308" s="36">
        <f t="shared" si="888"/>
        <v>1298704.5</v>
      </c>
      <c r="BN308" s="36">
        <f t="shared" si="888"/>
        <v>1323146.0000000002</v>
      </c>
      <c r="BO308" s="36">
        <f t="shared" si="888"/>
        <v>1347439.5</v>
      </c>
      <c r="BP308" s="36">
        <f>SUM(BL308:BO308)</f>
        <v>5246435</v>
      </c>
      <c r="BQ308" s="36">
        <f t="shared" si="889"/>
        <v>1666138.5</v>
      </c>
      <c r="BR308" s="36">
        <f t="shared" si="889"/>
        <v>1681127.5</v>
      </c>
      <c r="BS308" s="36">
        <f t="shared" si="889"/>
        <v>1695267</v>
      </c>
      <c r="BT308" s="36">
        <f t="shared" si="889"/>
        <v>1256515.0000000002</v>
      </c>
      <c r="BU308" s="36">
        <f>SUM(BQ308:BT308)</f>
        <v>6299048</v>
      </c>
      <c r="BV308" s="36">
        <f t="shared" si="890"/>
        <v>1269448</v>
      </c>
      <c r="BW308" s="36">
        <f t="shared" si="890"/>
        <v>1281553.5</v>
      </c>
      <c r="BX308" s="36">
        <f t="shared" si="890"/>
        <v>1294312.5</v>
      </c>
      <c r="BY308" s="36">
        <f t="shared" si="890"/>
        <v>1307719</v>
      </c>
      <c r="BZ308" s="36">
        <f>SUM(BV308:BY308)</f>
        <v>5153033</v>
      </c>
    </row>
    <row r="309" spans="1:78">
      <c r="O309" s="22" t="s">
        <v>374</v>
      </c>
    </row>
    <row r="310" spans="1:78">
      <c r="A310" s="1" t="s">
        <v>259</v>
      </c>
    </row>
    <row r="311" spans="1:78">
      <c r="A311" s="1" t="s">
        <v>260</v>
      </c>
      <c r="J311" s="37">
        <v>1067703</v>
      </c>
      <c r="K311" s="37">
        <f>1765404-J311</f>
        <v>697701</v>
      </c>
      <c r="L311" s="36">
        <f>M311-SUM(I311:K311)</f>
        <v>201787</v>
      </c>
      <c r="M311" s="37">
        <v>1967191</v>
      </c>
      <c r="N311" s="37">
        <v>180212</v>
      </c>
      <c r="O311" s="37">
        <f>394194-N311</f>
        <v>213982</v>
      </c>
      <c r="P311" s="37">
        <f>1892414-O311-N311</f>
        <v>1498220</v>
      </c>
      <c r="Q311" s="36">
        <f>R311-SUM(N311:P311)</f>
        <v>241268</v>
      </c>
      <c r="R311" s="37">
        <v>2133682</v>
      </c>
      <c r="S311" s="37">
        <v>345672</v>
      </c>
      <c r="T311" s="37">
        <f>1356554-S311</f>
        <v>1010882</v>
      </c>
      <c r="U311" s="37">
        <f>1583011-T311-S311</f>
        <v>226457</v>
      </c>
      <c r="V311" s="36">
        <f>W311-SUM(S311:U311)</f>
        <v>260649</v>
      </c>
      <c r="W311" s="37">
        <v>1843660</v>
      </c>
      <c r="X311" s="37">
        <v>764660</v>
      </c>
      <c r="Y311" s="37">
        <f>764660-X311</f>
        <v>0</v>
      </c>
      <c r="Z311" s="37">
        <f>774726-Y311-X311</f>
        <v>10066</v>
      </c>
      <c r="AA311" s="36">
        <f>AB311-SUM(X311:Z311)</f>
        <v>204540</v>
      </c>
      <c r="AB311" s="37">
        <v>979266</v>
      </c>
      <c r="AC311" s="37">
        <v>69687</v>
      </c>
      <c r="AD311" s="37">
        <f>82808-AC311</f>
        <v>13121</v>
      </c>
      <c r="AE311" s="37">
        <f>138976-AD311-AC311</f>
        <v>56168</v>
      </c>
      <c r="AF311" s="36">
        <f>AG311-SUM(AC311:AE311)</f>
        <v>138848</v>
      </c>
      <c r="AG311" s="37">
        <v>277824</v>
      </c>
      <c r="AH311" s="37">
        <v>7712</v>
      </c>
      <c r="AI311" s="37">
        <f>7712-AH311</f>
        <v>0</v>
      </c>
      <c r="AJ311" s="37">
        <f>17857-AI311-AH311</f>
        <v>10145</v>
      </c>
      <c r="AK311" s="36">
        <f>AL311-SUM(AH311:AJ311)</f>
        <v>0</v>
      </c>
      <c r="AL311" s="37">
        <v>17857</v>
      </c>
      <c r="AM311" s="37">
        <v>0</v>
      </c>
      <c r="AN311" s="37">
        <v>0</v>
      </c>
      <c r="AO311" s="37">
        <v>0</v>
      </c>
      <c r="AP311" s="36">
        <f>AQ311-SUM(AM311:AO311)</f>
        <v>0</v>
      </c>
      <c r="AQ311" s="37">
        <v>0</v>
      </c>
      <c r="AR311" s="37">
        <v>0</v>
      </c>
      <c r="AS311" s="37">
        <v>0</v>
      </c>
      <c r="AT311" s="37">
        <v>0</v>
      </c>
      <c r="AU311" s="36">
        <f>AV311-SUM(AR311:AT311)</f>
        <v>0</v>
      </c>
      <c r="AV311" s="37">
        <v>0</v>
      </c>
      <c r="AW311" s="37">
        <v>0</v>
      </c>
      <c r="AX311" s="37">
        <v>0</v>
      </c>
      <c r="AY311" s="37">
        <v>0</v>
      </c>
      <c r="AZ311" s="36">
        <f t="shared" ref="AZ311:AZ312" si="891">AZ323*AZ$326</f>
        <v>2126.8987341772154</v>
      </c>
      <c r="BA311" s="36">
        <f>SUM(AW311:AZ311)</f>
        <v>2126.8987341772154</v>
      </c>
      <c r="BB311" s="36">
        <f t="shared" ref="BB311:BE312" si="892">BB323*BB$326</f>
        <v>36236.036036036043</v>
      </c>
      <c r="BC311" s="36">
        <f t="shared" si="892"/>
        <v>33155.371900826445</v>
      </c>
      <c r="BD311" s="36">
        <f t="shared" si="892"/>
        <v>30545.038167938932</v>
      </c>
      <c r="BE311" s="36">
        <f t="shared" si="892"/>
        <v>0</v>
      </c>
      <c r="BF311" s="36">
        <f>SUM(BB311:BE311)</f>
        <v>99936.446104801435</v>
      </c>
      <c r="BG311" s="36">
        <f t="shared" ref="BG311:BJ312" si="893">BG323*BG$326</f>
        <v>0</v>
      </c>
      <c r="BH311" s="36">
        <f t="shared" si="893"/>
        <v>0</v>
      </c>
      <c r="BI311" s="36">
        <f t="shared" si="893"/>
        <v>0</v>
      </c>
      <c r="BJ311" s="36">
        <f t="shared" si="893"/>
        <v>0</v>
      </c>
      <c r="BK311" s="36">
        <f>SUM(BG311:BJ311)</f>
        <v>0</v>
      </c>
      <c r="BL311" s="36">
        <f t="shared" ref="BL311:BO312" si="894">BL323*BL$326</f>
        <v>0</v>
      </c>
      <c r="BM311" s="36">
        <f t="shared" si="894"/>
        <v>0</v>
      </c>
      <c r="BN311" s="36">
        <f t="shared" si="894"/>
        <v>0</v>
      </c>
      <c r="BO311" s="36">
        <f t="shared" si="894"/>
        <v>0</v>
      </c>
      <c r="BP311" s="36">
        <f>SUM(BL311:BO311)</f>
        <v>0</v>
      </c>
      <c r="BQ311" s="36">
        <f t="shared" ref="BQ311:BT312" si="895">BQ323*BQ$326</f>
        <v>0</v>
      </c>
      <c r="BR311" s="36">
        <f t="shared" si="895"/>
        <v>0</v>
      </c>
      <c r="BS311" s="36">
        <f t="shared" si="895"/>
        <v>0</v>
      </c>
      <c r="BT311" s="36">
        <f t="shared" si="895"/>
        <v>0</v>
      </c>
      <c r="BU311" s="36">
        <f>SUM(BQ311:BT311)</f>
        <v>0</v>
      </c>
      <c r="BV311" s="36">
        <f t="shared" ref="BV311:BY312" si="896">BV323*BV$326</f>
        <v>0</v>
      </c>
      <c r="BW311" s="36">
        <f t="shared" si="896"/>
        <v>0</v>
      </c>
      <c r="BX311" s="36">
        <f t="shared" si="896"/>
        <v>0</v>
      </c>
      <c r="BY311" s="36">
        <f t="shared" si="896"/>
        <v>0</v>
      </c>
      <c r="BZ311" s="36">
        <f>SUM(BV311:BY311)</f>
        <v>0</v>
      </c>
    </row>
    <row r="312" spans="1:78">
      <c r="A312" s="1" t="s">
        <v>267</v>
      </c>
      <c r="K312" s="37">
        <v>-20918</v>
      </c>
      <c r="L312" s="36">
        <f>M312-SUM(I312:K312)</f>
        <v>-166143</v>
      </c>
      <c r="M312" s="37">
        <v>-187061</v>
      </c>
      <c r="N312" s="37">
        <v>-161259</v>
      </c>
      <c r="O312" s="37">
        <f>-394207-N312</f>
        <v>-232948</v>
      </c>
      <c r="P312" s="37">
        <f>-455280-O312-N312</f>
        <v>-61073</v>
      </c>
      <c r="Q312" s="36">
        <f>R312-SUM(N312:P312)</f>
        <v>-31108</v>
      </c>
      <c r="R312" s="37">
        <v>-486388</v>
      </c>
      <c r="S312" s="37">
        <v>-68409</v>
      </c>
      <c r="T312" s="37">
        <f>-616690-S312</f>
        <v>-548281</v>
      </c>
      <c r="U312" s="37">
        <f>-688696-T312-S312</f>
        <v>-72006</v>
      </c>
      <c r="V312" s="36">
        <f>W312-SUM(S312:U312)</f>
        <v>-82586</v>
      </c>
      <c r="W312" s="37">
        <v>-771282</v>
      </c>
      <c r="X312" s="37">
        <v>-217367</v>
      </c>
      <c r="Y312" s="37">
        <f>-421464-X312</f>
        <v>-204097</v>
      </c>
      <c r="Z312" s="37">
        <f>-602731-Y312-X312</f>
        <v>-181267</v>
      </c>
      <c r="AA312" s="36">
        <f>AB312-SUM(X312:Z312)</f>
        <v>-759335</v>
      </c>
      <c r="AB312" s="37">
        <v>-1362066</v>
      </c>
      <c r="AC312" s="37">
        <v>-346746</v>
      </c>
      <c r="AD312" s="37">
        <f>-857907-AC312</f>
        <v>-511161</v>
      </c>
      <c r="AE312" s="37">
        <f>-975999-AD312-AC312</f>
        <v>-118092</v>
      </c>
      <c r="AF312" s="36">
        <f>AG312-SUM(AC312:AE312)</f>
        <v>-252704</v>
      </c>
      <c r="AG312" s="37">
        <v>-1228703</v>
      </c>
      <c r="AH312" s="37">
        <v>-255264</v>
      </c>
      <c r="AI312" s="37">
        <f>-347747-AH312</f>
        <v>-92483</v>
      </c>
      <c r="AJ312" s="37">
        <f>-465606-AI312-AH312</f>
        <v>-117859</v>
      </c>
      <c r="AK312" s="36">
        <f>AL312-SUM(AH312:AJ312)</f>
        <v>-78636</v>
      </c>
      <c r="AL312" s="37">
        <v>-544242</v>
      </c>
      <c r="AM312" s="37">
        <v>-118091</v>
      </c>
      <c r="AN312" s="37">
        <f>-239971-AM312</f>
        <v>-121880</v>
      </c>
      <c r="AO312" s="37">
        <f>-490877-AN312-AM312</f>
        <v>-250906</v>
      </c>
      <c r="AP312" s="36">
        <f>AQ312-SUM(AM312:AO312)</f>
        <v>-292645</v>
      </c>
      <c r="AQ312" s="37">
        <v>-783522</v>
      </c>
      <c r="AR312" s="37">
        <v>-151781</v>
      </c>
      <c r="AS312" s="37">
        <f>-844944-AR312</f>
        <v>-693163</v>
      </c>
      <c r="AT312" s="37">
        <f>-970864-AS312-AR312</f>
        <v>-125920</v>
      </c>
      <c r="AU312" s="36">
        <f>AV312-SUM(AR312:AT312)</f>
        <v>-514910</v>
      </c>
      <c r="AV312" s="37">
        <v>-1485774</v>
      </c>
      <c r="AW312" s="37">
        <v>-122731</v>
      </c>
      <c r="AX312" s="37">
        <f>-471974-AW312</f>
        <v>-349243</v>
      </c>
      <c r="AY312" s="37">
        <f>-550300</f>
        <v>-550300</v>
      </c>
      <c r="AZ312" s="36">
        <f t="shared" si="891"/>
        <v>-8334.8764822331432</v>
      </c>
      <c r="BA312" s="36">
        <f>SUM(AW312:AZ312)</f>
        <v>-1030608.8764822332</v>
      </c>
      <c r="BB312" s="36">
        <f t="shared" si="892"/>
        <v>-301382.48275837227</v>
      </c>
      <c r="BC312" s="36">
        <f t="shared" si="892"/>
        <v>-294692.65349948884</v>
      </c>
      <c r="BD312" s="36">
        <f t="shared" si="892"/>
        <v>-293547.99250520853</v>
      </c>
      <c r="BE312" s="36">
        <f t="shared" si="892"/>
        <v>-286713.58300495287</v>
      </c>
      <c r="BF312" s="36">
        <f>SUM(BB312:BE312)</f>
        <v>-1176336.7117680225</v>
      </c>
      <c r="BG312" s="36">
        <f t="shared" si="893"/>
        <v>-228110.81961769843</v>
      </c>
      <c r="BH312" s="36">
        <f t="shared" si="893"/>
        <v>-230732.3011201749</v>
      </c>
      <c r="BI312" s="36">
        <f t="shared" si="893"/>
        <v>-233368.59944349946</v>
      </c>
      <c r="BJ312" s="36">
        <f t="shared" si="893"/>
        <v>-343721.68264755164</v>
      </c>
      <c r="BK312" s="36">
        <f>SUM(BG312:BJ312)</f>
        <v>-1035933.4028289245</v>
      </c>
      <c r="BL312" s="36">
        <f t="shared" si="894"/>
        <v>-210353.96249999999</v>
      </c>
      <c r="BM312" s="36">
        <f t="shared" si="894"/>
        <v>-211439.89625000002</v>
      </c>
      <c r="BN312" s="36">
        <f t="shared" si="894"/>
        <v>-212647.11875000002</v>
      </c>
      <c r="BO312" s="36">
        <f t="shared" si="894"/>
        <v>-213715.32750000001</v>
      </c>
      <c r="BP312" s="36">
        <f>SUM(BL312:BO312)</f>
        <v>-848156.30500000005</v>
      </c>
      <c r="BQ312" s="36">
        <f t="shared" si="895"/>
        <v>-214904.13500000001</v>
      </c>
      <c r="BR312" s="36">
        <f t="shared" si="895"/>
        <v>-217449.61874999999</v>
      </c>
      <c r="BS312" s="36">
        <f t="shared" si="895"/>
        <v>-217125.01124999998</v>
      </c>
      <c r="BT312" s="36">
        <f t="shared" si="895"/>
        <v>-9234.27</v>
      </c>
      <c r="BU312" s="36">
        <f>SUM(BQ312:BT312)</f>
        <v>-658713.03500000003</v>
      </c>
      <c r="BV312" s="36">
        <f t="shared" si="896"/>
        <v>-9465.2474999999995</v>
      </c>
      <c r="BW312" s="36">
        <f t="shared" si="896"/>
        <v>-9567.28125</v>
      </c>
      <c r="BX312" s="36">
        <f t="shared" si="896"/>
        <v>-9795.84375</v>
      </c>
      <c r="BY312" s="36">
        <f t="shared" si="896"/>
        <v>-10023.026249999997</v>
      </c>
      <c r="BZ312" s="36">
        <f>SUM(BV312:BY312)</f>
        <v>-38851.398749999993</v>
      </c>
    </row>
    <row r="313" spans="1:78" s="57" customFormat="1">
      <c r="A313" s="57" t="s">
        <v>349</v>
      </c>
      <c r="K313" s="92">
        <f t="shared" ref="K313:S313" si="897">K376+K379</f>
        <v>-20918</v>
      </c>
      <c r="L313" s="92">
        <f t="shared" si="897"/>
        <v>-166143</v>
      </c>
      <c r="M313" s="92">
        <f t="shared" si="897"/>
        <v>-187061</v>
      </c>
      <c r="N313" s="92">
        <f t="shared" si="897"/>
        <v>-161259</v>
      </c>
      <c r="O313" s="92">
        <f t="shared" si="897"/>
        <v>-232948</v>
      </c>
      <c r="P313" s="92">
        <f t="shared" si="897"/>
        <v>-61073</v>
      </c>
      <c r="Q313" s="92">
        <f t="shared" si="897"/>
        <v>-31108</v>
      </c>
      <c r="R313" s="92">
        <f t="shared" si="897"/>
        <v>-486388</v>
      </c>
      <c r="S313" s="92">
        <f t="shared" si="897"/>
        <v>-68409</v>
      </c>
      <c r="T313" s="92">
        <f t="shared" ref="T313:W313" si="898">T376+T379</f>
        <v>-548281</v>
      </c>
      <c r="U313" s="92">
        <f t="shared" si="898"/>
        <v>-72006</v>
      </c>
      <c r="V313" s="92">
        <f t="shared" si="898"/>
        <v>-82586</v>
      </c>
      <c r="W313" s="92">
        <f t="shared" si="898"/>
        <v>-771282</v>
      </c>
      <c r="X313" s="92">
        <f t="shared" ref="X313:Y313" si="899">X376+X379</f>
        <v>-217367</v>
      </c>
      <c r="Y313" s="92">
        <f t="shared" si="899"/>
        <v>-204097</v>
      </c>
      <c r="Z313" s="92">
        <f t="shared" ref="Z313:AC313" si="900">Z376+Z379</f>
        <v>-181267</v>
      </c>
      <c r="AA313" s="92">
        <f t="shared" si="900"/>
        <v>-759335</v>
      </c>
      <c r="AB313" s="92">
        <f t="shared" si="900"/>
        <v>-1362066</v>
      </c>
      <c r="AC313" s="92">
        <f t="shared" si="900"/>
        <v>-346746</v>
      </c>
      <c r="AD313" s="92">
        <f t="shared" ref="AD313:AH313" si="901">AD376+AD379</f>
        <v>-511161</v>
      </c>
      <c r="AE313" s="92">
        <f t="shared" si="901"/>
        <v>-118092</v>
      </c>
      <c r="AF313" s="92">
        <f t="shared" si="901"/>
        <v>-252704</v>
      </c>
      <c r="AG313" s="92">
        <f t="shared" si="901"/>
        <v>-1228703</v>
      </c>
      <c r="AH313" s="92">
        <f t="shared" si="901"/>
        <v>-255264</v>
      </c>
      <c r="AI313" s="92">
        <f t="shared" ref="AI313:AM313" si="902">AI376+AI379</f>
        <v>-92483</v>
      </c>
      <c r="AJ313" s="92">
        <f t="shared" si="902"/>
        <v>-117859</v>
      </c>
      <c r="AK313" s="92">
        <f t="shared" si="902"/>
        <v>-78636</v>
      </c>
      <c r="AL313" s="92">
        <f t="shared" si="902"/>
        <v>-544242</v>
      </c>
      <c r="AM313" s="92">
        <f t="shared" si="902"/>
        <v>-118091</v>
      </c>
      <c r="AN313" s="92">
        <f t="shared" ref="AN313:AQ313" si="903">AN376+AN379</f>
        <v>-121880</v>
      </c>
      <c r="AO313" s="92">
        <f t="shared" si="903"/>
        <v>-250906</v>
      </c>
      <c r="AP313" s="92">
        <f>AP376+AP379</f>
        <v>-292645</v>
      </c>
      <c r="AQ313" s="92">
        <f t="shared" si="903"/>
        <v>-783522</v>
      </c>
      <c r="AR313" s="92">
        <f>AR376+AR379</f>
        <v>-151781</v>
      </c>
      <c r="AS313" s="92">
        <f t="shared" ref="AS313:AT313" si="904">AS376+AS379</f>
        <v>-693163</v>
      </c>
      <c r="AT313" s="92">
        <f t="shared" si="904"/>
        <v>-125920</v>
      </c>
      <c r="AU313" s="92">
        <f>AU376+AU379</f>
        <v>-514910</v>
      </c>
      <c r="AV313" s="92">
        <f t="shared" ref="AV313" si="905">AV376+AV379</f>
        <v>-1485774</v>
      </c>
      <c r="AW313" s="92">
        <f>AW376+AW379</f>
        <v>-122731</v>
      </c>
      <c r="AX313" s="92">
        <f t="shared" ref="AX313:AY313" si="906">AX376+AX379</f>
        <v>-349243</v>
      </c>
      <c r="AY313" s="92">
        <f t="shared" si="906"/>
        <v>-78326</v>
      </c>
      <c r="AZ313" s="92">
        <f t="shared" ref="AZ313:BZ313" si="907">AZ376+AZ379</f>
        <v>-6462.0439822331437</v>
      </c>
      <c r="BA313" s="92">
        <f t="shared" si="907"/>
        <v>-556762.04398223315</v>
      </c>
      <c r="BB313" s="92">
        <f t="shared" si="907"/>
        <v>-298313.62150837225</v>
      </c>
      <c r="BC313" s="92">
        <f t="shared" si="907"/>
        <v>-291498.64349948883</v>
      </c>
      <c r="BD313" s="92">
        <f t="shared" si="907"/>
        <v>-290229.52375520853</v>
      </c>
      <c r="BE313" s="92">
        <f t="shared" si="907"/>
        <v>-283271.34550495294</v>
      </c>
      <c r="BF313" s="92">
        <f t="shared" si="907"/>
        <v>-1163313.1342680226</v>
      </c>
      <c r="BG313" s="92">
        <f t="shared" si="907"/>
        <v>-222696.82086769844</v>
      </c>
      <c r="BH313" s="92">
        <f t="shared" si="907"/>
        <v>-225200.74362017494</v>
      </c>
      <c r="BI313" s="92">
        <f t="shared" si="907"/>
        <v>-227720.17319349945</v>
      </c>
      <c r="BJ313" s="92">
        <f t="shared" si="907"/>
        <v>-337826.06389755162</v>
      </c>
      <c r="BK313" s="92">
        <f t="shared" si="907"/>
        <v>-1013443.8015789244</v>
      </c>
      <c r="BL313" s="92">
        <f t="shared" si="907"/>
        <v>-202252.5</v>
      </c>
      <c r="BM313" s="92">
        <f t="shared" si="907"/>
        <v>-203229.5</v>
      </c>
      <c r="BN313" s="92">
        <f t="shared" si="907"/>
        <v>-204198.50000000003</v>
      </c>
      <c r="BO313" s="92">
        <f t="shared" si="907"/>
        <v>-205159.50000000003</v>
      </c>
      <c r="BP313" s="92">
        <f t="shared" si="907"/>
        <v>-814840</v>
      </c>
      <c r="BQ313" s="92">
        <f t="shared" si="907"/>
        <v>-206112.5</v>
      </c>
      <c r="BR313" s="92">
        <f t="shared" si="907"/>
        <v>-208552.5</v>
      </c>
      <c r="BS313" s="92">
        <f t="shared" si="907"/>
        <v>-207994.5</v>
      </c>
      <c r="BT313" s="92">
        <f t="shared" si="907"/>
        <v>0</v>
      </c>
      <c r="BU313" s="92">
        <f t="shared" si="907"/>
        <v>-622659.5</v>
      </c>
      <c r="BV313" s="92">
        <f t="shared" si="907"/>
        <v>0</v>
      </c>
      <c r="BW313" s="92">
        <f t="shared" si="907"/>
        <v>0</v>
      </c>
      <c r="BX313" s="92">
        <f t="shared" si="907"/>
        <v>0</v>
      </c>
      <c r="BY313" s="92">
        <f t="shared" si="907"/>
        <v>0</v>
      </c>
      <c r="BZ313" s="92">
        <f t="shared" si="907"/>
        <v>0</v>
      </c>
    </row>
    <row r="314" spans="1:78" s="57" customFormat="1">
      <c r="A314" s="25" t="s">
        <v>350</v>
      </c>
      <c r="K314" s="92">
        <f t="shared" ref="K314:U314" si="908">K312-K313</f>
        <v>0</v>
      </c>
      <c r="L314" s="92">
        <f t="shared" si="908"/>
        <v>0</v>
      </c>
      <c r="M314" s="92">
        <f t="shared" si="908"/>
        <v>0</v>
      </c>
      <c r="N314" s="92">
        <f t="shared" si="908"/>
        <v>0</v>
      </c>
      <c r="O314" s="92">
        <f t="shared" si="908"/>
        <v>0</v>
      </c>
      <c r="P314" s="92">
        <f t="shared" si="908"/>
        <v>0</v>
      </c>
      <c r="Q314" s="92">
        <f t="shared" si="908"/>
        <v>0</v>
      </c>
      <c r="R314" s="92">
        <f t="shared" si="908"/>
        <v>0</v>
      </c>
      <c r="S314" s="92">
        <f t="shared" si="908"/>
        <v>0</v>
      </c>
      <c r="T314" s="92">
        <f t="shared" si="908"/>
        <v>0</v>
      </c>
      <c r="U314" s="92">
        <f t="shared" si="908"/>
        <v>0</v>
      </c>
      <c r="V314" s="92">
        <f t="shared" ref="V314:W314" si="909">V312-V313</f>
        <v>0</v>
      </c>
      <c r="W314" s="92">
        <f t="shared" si="909"/>
        <v>0</v>
      </c>
      <c r="X314" s="92">
        <f t="shared" ref="X314:Y314" si="910">X312-X313</f>
        <v>0</v>
      </c>
      <c r="Y314" s="92">
        <f t="shared" si="910"/>
        <v>0</v>
      </c>
      <c r="Z314" s="92">
        <f t="shared" ref="Z314:AC314" si="911">Z312-Z313</f>
        <v>0</v>
      </c>
      <c r="AA314" s="92">
        <f t="shared" si="911"/>
        <v>0</v>
      </c>
      <c r="AB314" s="92">
        <f t="shared" si="911"/>
        <v>0</v>
      </c>
      <c r="AC314" s="92">
        <f t="shared" si="911"/>
        <v>0</v>
      </c>
      <c r="AD314" s="92">
        <f t="shared" ref="AD314:AH314" si="912">AD312-AD313</f>
        <v>0</v>
      </c>
      <c r="AE314" s="92">
        <f t="shared" si="912"/>
        <v>0</v>
      </c>
      <c r="AF314" s="92">
        <f t="shared" si="912"/>
        <v>0</v>
      </c>
      <c r="AG314" s="92">
        <f t="shared" si="912"/>
        <v>0</v>
      </c>
      <c r="AH314" s="92">
        <f t="shared" si="912"/>
        <v>0</v>
      </c>
      <c r="AI314" s="92">
        <f t="shared" ref="AI314:AM314" si="913">AI312-AI313</f>
        <v>0</v>
      </c>
      <c r="AJ314" s="92">
        <f t="shared" si="913"/>
        <v>0</v>
      </c>
      <c r="AK314" s="92">
        <f t="shared" si="913"/>
        <v>0</v>
      </c>
      <c r="AL314" s="92">
        <f t="shared" si="913"/>
        <v>0</v>
      </c>
      <c r="AM314" s="92">
        <f t="shared" si="913"/>
        <v>0</v>
      </c>
      <c r="AN314" s="92">
        <f t="shared" ref="AN314:AQ314" si="914">AN312-AN313</f>
        <v>0</v>
      </c>
      <c r="AO314" s="92">
        <f t="shared" si="914"/>
        <v>0</v>
      </c>
      <c r="AP314" s="92">
        <f t="shared" si="914"/>
        <v>0</v>
      </c>
      <c r="AQ314" s="92">
        <f t="shared" si="914"/>
        <v>0</v>
      </c>
      <c r="AR314" s="92">
        <f t="shared" ref="AR314:AV314" si="915">AR312-AR313</f>
        <v>0</v>
      </c>
      <c r="AS314" s="92">
        <f t="shared" si="915"/>
        <v>0</v>
      </c>
      <c r="AT314" s="92">
        <f t="shared" si="915"/>
        <v>0</v>
      </c>
      <c r="AU314" s="92">
        <f t="shared" si="915"/>
        <v>0</v>
      </c>
      <c r="AV314" s="92">
        <f t="shared" si="915"/>
        <v>0</v>
      </c>
      <c r="AW314" s="92">
        <f t="shared" ref="AW314:AY314" si="916">AW312-AW313</f>
        <v>0</v>
      </c>
      <c r="AX314" s="92">
        <f t="shared" si="916"/>
        <v>0</v>
      </c>
      <c r="AY314" s="92">
        <f t="shared" si="916"/>
        <v>-471974</v>
      </c>
      <c r="AZ314" s="92">
        <f t="shared" ref="AZ314:BZ314" si="917">AZ312-AZ313</f>
        <v>-1872.8324999999995</v>
      </c>
      <c r="BA314" s="92">
        <f t="shared" si="917"/>
        <v>-473846.83250000002</v>
      </c>
      <c r="BB314" s="92">
        <f t="shared" si="917"/>
        <v>-3068.8612500000163</v>
      </c>
      <c r="BC314" s="92">
        <f t="shared" si="917"/>
        <v>-3194.0100000000093</v>
      </c>
      <c r="BD314" s="92">
        <f t="shared" si="917"/>
        <v>-3318.46875</v>
      </c>
      <c r="BE314" s="92">
        <f t="shared" si="917"/>
        <v>-3442.2374999999302</v>
      </c>
      <c r="BF314" s="92">
        <f t="shared" si="917"/>
        <v>-13023.577499999898</v>
      </c>
      <c r="BG314" s="92">
        <f t="shared" si="917"/>
        <v>-5413.9987499999988</v>
      </c>
      <c r="BH314" s="92">
        <f t="shared" si="917"/>
        <v>-5531.5574999999662</v>
      </c>
      <c r="BI314" s="92">
        <f t="shared" si="917"/>
        <v>-5648.4262500000186</v>
      </c>
      <c r="BJ314" s="92">
        <f t="shared" si="917"/>
        <v>-5895.6187500000233</v>
      </c>
      <c r="BK314" s="92">
        <f t="shared" si="917"/>
        <v>-22489.601250000065</v>
      </c>
      <c r="BL314" s="92">
        <f t="shared" si="917"/>
        <v>-8101.4624999999942</v>
      </c>
      <c r="BM314" s="92">
        <f t="shared" si="917"/>
        <v>-8210.3962500000198</v>
      </c>
      <c r="BN314" s="92">
        <f t="shared" si="917"/>
        <v>-8448.6187499999942</v>
      </c>
      <c r="BO314" s="92">
        <f t="shared" si="917"/>
        <v>-8555.8274999999849</v>
      </c>
      <c r="BP314" s="92">
        <f t="shared" si="917"/>
        <v>-33316.305000000051</v>
      </c>
      <c r="BQ314" s="92">
        <f t="shared" si="917"/>
        <v>-8791.6350000000093</v>
      </c>
      <c r="BR314" s="92">
        <f t="shared" si="917"/>
        <v>-8897.1187499999942</v>
      </c>
      <c r="BS314" s="92">
        <f t="shared" si="917"/>
        <v>-9130.5112499999814</v>
      </c>
      <c r="BT314" s="92">
        <f t="shared" si="917"/>
        <v>-9234.27</v>
      </c>
      <c r="BU314" s="92">
        <f t="shared" si="917"/>
        <v>-36053.535000000033</v>
      </c>
      <c r="BV314" s="92">
        <f t="shared" si="917"/>
        <v>-9465.2474999999995</v>
      </c>
      <c r="BW314" s="92">
        <f t="shared" si="917"/>
        <v>-9567.28125</v>
      </c>
      <c r="BX314" s="92">
        <f t="shared" si="917"/>
        <v>-9795.84375</v>
      </c>
      <c r="BY314" s="92">
        <f t="shared" si="917"/>
        <v>-10023.026249999997</v>
      </c>
      <c r="BZ314" s="92">
        <f t="shared" si="917"/>
        <v>-38851.398749999993</v>
      </c>
    </row>
    <row r="315" spans="1:78">
      <c r="T315" s="22" t="s">
        <v>392</v>
      </c>
    </row>
    <row r="316" spans="1:78" s="12" customFormat="1">
      <c r="A316" s="13" t="s">
        <v>268</v>
      </c>
      <c r="I316" s="69"/>
    </row>
    <row r="318" spans="1:78">
      <c r="A318" s="1" t="s">
        <v>257</v>
      </c>
      <c r="R318" s="71"/>
      <c r="S318" s="71"/>
      <c r="T318" s="71"/>
      <c r="U318" s="71"/>
      <c r="V318" s="71"/>
      <c r="W318" s="71"/>
      <c r="X318" s="133" t="s">
        <v>482</v>
      </c>
    </row>
    <row r="319" spans="1:78">
      <c r="A319" s="1" t="s">
        <v>258</v>
      </c>
      <c r="I319" s="38">
        <f>I307/I$326</f>
        <v>-429.99731206881103</v>
      </c>
      <c r="J319" s="38">
        <f>J307/J$326</f>
        <v>-10821.95187645897</v>
      </c>
      <c r="K319" s="38">
        <f>K307/K$326</f>
        <v>-6811.7527053397198</v>
      </c>
      <c r="L319" s="38">
        <f>L307/L$326</f>
        <v>-2222.8938906752414</v>
      </c>
      <c r="M319" s="38">
        <f>SUM(I319:L319)</f>
        <v>-20286.595784542744</v>
      </c>
      <c r="N319" s="38">
        <f>N307/N$326</f>
        <v>-1627.8447244963666</v>
      </c>
      <c r="O319" s="38">
        <f>O307/O$326</f>
        <v>-1661.7480950246527</v>
      </c>
      <c r="P319" s="38">
        <f>P307/P$326</f>
        <v>-6919.3742798901003</v>
      </c>
      <c r="Q319" s="38">
        <f>Q307/Q$326</f>
        <v>-3926.724606192287</v>
      </c>
      <c r="R319" s="38">
        <f>SUM(N319:Q319)</f>
        <v>-14135.691705603405</v>
      </c>
      <c r="S319" s="38">
        <f>S307/S$326</f>
        <v>-6196.8090909090906</v>
      </c>
      <c r="T319" s="38">
        <f>T307/T$326</f>
        <v>-3547.7065923862579</v>
      </c>
      <c r="U319" s="38">
        <f>U307/U$326</f>
        <v>-5892.5857955588181</v>
      </c>
      <c r="V319" s="38">
        <f>V307/V$326</f>
        <v>-1010.6207654275773</v>
      </c>
      <c r="W319" s="38">
        <f>SUM(S319:V319)</f>
        <v>-16647.722244281744</v>
      </c>
      <c r="X319" s="70">
        <f t="shared" ref="X319:AA320" si="918">X307/X$326</f>
        <v>-1114.6370892890293</v>
      </c>
      <c r="Y319" s="38">
        <f t="shared" si="918"/>
        <v>-943.2470721571591</v>
      </c>
      <c r="Z319" s="38">
        <f t="shared" si="918"/>
        <v>-3415.9310674964095</v>
      </c>
      <c r="AA319" s="38">
        <f t="shared" si="918"/>
        <v>-2634.1490963855422</v>
      </c>
      <c r="AB319" s="38">
        <f>SUM(X319:AA319)</f>
        <v>-8107.9643253281401</v>
      </c>
      <c r="AC319" s="38">
        <f t="shared" ref="AC319:AD319" si="919">AC307/AC$326</f>
        <v>-12744.254545454545</v>
      </c>
      <c r="AD319" s="38">
        <f t="shared" si="919"/>
        <v>-11582.972752783562</v>
      </c>
      <c r="AE319" s="38">
        <f t="shared" ref="AE319:AF319" si="920">AE307/AE$326</f>
        <v>-7496.2676056338032</v>
      </c>
      <c r="AF319" s="38">
        <f t="shared" si="920"/>
        <v>-4649.3253629376604</v>
      </c>
      <c r="AG319" s="38">
        <f>SUM(AC319:AF319)</f>
        <v>-36472.820266809569</v>
      </c>
      <c r="AH319" s="38">
        <f t="shared" ref="AH319:AI319" si="921">AH307/AH$326</f>
        <v>-2374.186298822071</v>
      </c>
      <c r="AI319" s="38">
        <f t="shared" si="921"/>
        <v>-218.96452264205365</v>
      </c>
      <c r="AJ319" s="38">
        <f t="shared" ref="AJ319:AK319" si="922">AJ307/AJ$326</f>
        <v>-338.87786908472657</v>
      </c>
      <c r="AK319" s="38">
        <f t="shared" si="922"/>
        <v>-538.67627194957231</v>
      </c>
      <c r="AL319" s="38">
        <f>SUM(AH319:AK319)</f>
        <v>-3470.7049624984234</v>
      </c>
      <c r="AM319" s="38">
        <f t="shared" ref="AM319" si="923">AM307/AM$326</f>
        <v>-897.22684816450646</v>
      </c>
      <c r="AN319" s="38">
        <f t="shared" ref="AN319:AP319" si="924">AN307/AN$326</f>
        <v>-435.973597359736</v>
      </c>
      <c r="AO319" s="38">
        <f t="shared" si="924"/>
        <v>-112.60544217687075</v>
      </c>
      <c r="AP319" s="38">
        <f t="shared" si="924"/>
        <v>-55.237708798268748</v>
      </c>
      <c r="AQ319" s="38">
        <f>SUM(AM319:AP319)</f>
        <v>-1501.0435964993821</v>
      </c>
      <c r="AR319" s="38">
        <f t="shared" ref="AR319:AS320" si="925">AR307/AR$326</f>
        <v>-596.81850124576761</v>
      </c>
      <c r="AS319" s="38">
        <f t="shared" si="925"/>
        <v>-633.55517103686941</v>
      </c>
      <c r="AT319" s="36">
        <f>-AT336</f>
        <v>-1410</v>
      </c>
      <c r="AU319" s="36">
        <f>-AU336</f>
        <v>-5650</v>
      </c>
      <c r="AV319" s="38">
        <f>SUM(AR319:AU319)</f>
        <v>-8290.3736722826361</v>
      </c>
      <c r="AW319" s="38">
        <f t="shared" ref="AW319:AX319" si="926">AW307/AW$326</f>
        <v>-8579.4062951993947</v>
      </c>
      <c r="AX319" s="38">
        <f t="shared" si="926"/>
        <v>-1091.5389830508475</v>
      </c>
      <c r="AY319" s="36">
        <f>-AY336</f>
        <v>-17600</v>
      </c>
      <c r="AZ319" s="36">
        <f>-AZ336</f>
        <v>-500</v>
      </c>
      <c r="BA319" s="38">
        <f>SUM(AW319:AZ319)</f>
        <v>-27770.945278250241</v>
      </c>
      <c r="BB319" s="36">
        <f>-BB336</f>
        <v>-10000</v>
      </c>
      <c r="BC319" s="36">
        <f>-BC336</f>
        <v>-10000</v>
      </c>
      <c r="BD319" s="36">
        <f>-BD336</f>
        <v>-10000</v>
      </c>
      <c r="BE319" s="36">
        <f>-BE336</f>
        <v>0</v>
      </c>
      <c r="BF319" s="38">
        <f>SUM(BB319:BE319)</f>
        <v>-30000</v>
      </c>
      <c r="BG319" s="36">
        <f>-BG336</f>
        <v>0</v>
      </c>
      <c r="BH319" s="36">
        <f>-BH336</f>
        <v>0</v>
      </c>
      <c r="BI319" s="36">
        <f>-BI336</f>
        <v>0</v>
      </c>
      <c r="BJ319" s="36">
        <f>-BJ336</f>
        <v>0</v>
      </c>
      <c r="BK319" s="38">
        <f>SUM(BG319:BJ319)</f>
        <v>0</v>
      </c>
      <c r="BL319" s="36">
        <f>-BL336</f>
        <v>0</v>
      </c>
      <c r="BM319" s="36">
        <f>-BM336</f>
        <v>0</v>
      </c>
      <c r="BN319" s="36">
        <f>-BN336</f>
        <v>0</v>
      </c>
      <c r="BO319" s="36">
        <f>-BO336</f>
        <v>0</v>
      </c>
      <c r="BP319" s="38">
        <f>SUM(BL319:BO319)</f>
        <v>0</v>
      </c>
      <c r="BQ319" s="36">
        <f>-BQ336</f>
        <v>0</v>
      </c>
      <c r="BR319" s="36">
        <f>-BR336</f>
        <v>0</v>
      </c>
      <c r="BS319" s="36">
        <f>-BS336</f>
        <v>0</v>
      </c>
      <c r="BT319" s="36">
        <f>-BT336</f>
        <v>0</v>
      </c>
      <c r="BU319" s="38">
        <f>SUM(BQ319:BT319)</f>
        <v>0</v>
      </c>
      <c r="BV319" s="36">
        <f>-BV336</f>
        <v>0</v>
      </c>
      <c r="BW319" s="36">
        <f>-BW336</f>
        <v>0</v>
      </c>
      <c r="BX319" s="36">
        <f>-BX336</f>
        <v>0</v>
      </c>
      <c r="BY319" s="36">
        <f>-BY336</f>
        <v>0</v>
      </c>
      <c r="BZ319" s="38">
        <f>SUM(BV319:BY319)</f>
        <v>0</v>
      </c>
    </row>
    <row r="320" spans="1:78">
      <c r="A320" s="1" t="s">
        <v>378</v>
      </c>
      <c r="O320" s="38">
        <f>O308/O$326</f>
        <v>3782.3487225459435</v>
      </c>
      <c r="P320" s="38">
        <f>P308/P$326</f>
        <v>0</v>
      </c>
      <c r="Q320" s="38">
        <f>Q308/Q$326</f>
        <v>62.864385297845381</v>
      </c>
      <c r="R320" s="38">
        <f>SUM(N320:Q320)</f>
        <v>3845.2131078437887</v>
      </c>
      <c r="T320" s="38">
        <f>T308/T$326</f>
        <v>377.29805013927574</v>
      </c>
      <c r="U320" s="38">
        <f>U308/U$326</f>
        <v>75.004587997797756</v>
      </c>
      <c r="V320" s="38">
        <f>V308/V$326</f>
        <v>741.83299761948365</v>
      </c>
      <c r="W320" s="38">
        <f>SUM(S320:V320)</f>
        <v>1194.1356357565571</v>
      </c>
      <c r="X320" s="70">
        <f t="shared" si="918"/>
        <v>1833.9613885279377</v>
      </c>
      <c r="Y320" s="38">
        <f t="shared" si="918"/>
        <v>792.07593502077827</v>
      </c>
      <c r="Z320" s="38">
        <f t="shared" si="918"/>
        <v>1127.3145045476303</v>
      </c>
      <c r="AA320" s="38">
        <f t="shared" si="918"/>
        <v>4303.5015060240967</v>
      </c>
      <c r="AB320" s="38">
        <f>SUM(X320:AA320)</f>
        <v>8056.8533341204429</v>
      </c>
      <c r="AC320" s="38">
        <f t="shared" ref="AC320:AD320" si="927">AC308/AC$326</f>
        <v>5878.7545454545452</v>
      </c>
      <c r="AD320" s="38">
        <f t="shared" si="927"/>
        <v>6509.4867384810359</v>
      </c>
      <c r="AE320" s="38">
        <f t="shared" ref="AE320:AF320" si="928">AE308/AE$326</f>
        <v>3243.0193661971834</v>
      </c>
      <c r="AF320" s="38">
        <f t="shared" si="928"/>
        <v>4163.9453458582411</v>
      </c>
      <c r="AG320" s="38">
        <f>SUM(AC320:AF320)</f>
        <v>19795.205995991004</v>
      </c>
      <c r="AH320" s="38">
        <f t="shared" ref="AH320:AI320" si="929">AH308/AH$326</f>
        <v>2667.467451952883</v>
      </c>
      <c r="AI320" s="38">
        <f t="shared" si="929"/>
        <v>794.46207095471584</v>
      </c>
      <c r="AJ320" s="38">
        <f t="shared" ref="AJ320:AK320" si="930">AJ308/AJ$326</f>
        <v>1605.7877585718334</v>
      </c>
      <c r="AK320" s="38">
        <f t="shared" si="930"/>
        <v>1141.5353444394418</v>
      </c>
      <c r="AL320" s="38">
        <f>SUM(AH320:AK320)</f>
        <v>6209.2526259188744</v>
      </c>
      <c r="AM320" s="38">
        <f t="shared" ref="AM320" si="931">AM308/AM$326</f>
        <v>976.41734849033367</v>
      </c>
      <c r="AN320" s="38">
        <f t="shared" ref="AN320:AP320" si="932">AN308/AN$326</f>
        <v>993.08993399339931</v>
      </c>
      <c r="AO320" s="38">
        <f t="shared" si="932"/>
        <v>1961.1088435374149</v>
      </c>
      <c r="AP320" s="38">
        <f t="shared" si="932"/>
        <v>2397.0311760330019</v>
      </c>
      <c r="AQ320" s="38">
        <f>SUM(AM320:AP320)</f>
        <v>6327.6473020541498</v>
      </c>
      <c r="AR320" s="38">
        <f t="shared" si="925"/>
        <v>716.53357183926403</v>
      </c>
      <c r="AS320" s="38">
        <f t="shared" si="925"/>
        <v>790.40330094502872</v>
      </c>
      <c r="AT320" s="36">
        <f>AT342</f>
        <v>1130</v>
      </c>
      <c r="AU320" s="36">
        <f>AU342</f>
        <v>2370</v>
      </c>
      <c r="AV320" s="38">
        <f>SUM(AR320:AU320)</f>
        <v>5006.936872784293</v>
      </c>
      <c r="AW320" s="38">
        <f t="shared" ref="AW320:AX320" si="933">AW308/AW$326</f>
        <v>2521.7714718644534</v>
      </c>
      <c r="AX320" s="38">
        <f t="shared" si="933"/>
        <v>1497.4237288135594</v>
      </c>
      <c r="AY320" s="36">
        <f>AY342</f>
        <v>495</v>
      </c>
      <c r="AZ320" s="36">
        <f>AZ342</f>
        <v>550</v>
      </c>
      <c r="BA320" s="38">
        <f>SUM(AW320:AZ320)</f>
        <v>5064.195200678013</v>
      </c>
      <c r="BB320" s="36">
        <f>BB342</f>
        <v>4515</v>
      </c>
      <c r="BC320" s="36">
        <f>BC342</f>
        <v>4590</v>
      </c>
      <c r="BD320" s="36">
        <f>BD342</f>
        <v>4670</v>
      </c>
      <c r="BE320" s="36">
        <f>BE342</f>
        <v>4665</v>
      </c>
      <c r="BF320" s="38">
        <f>SUM(BB320:BE320)</f>
        <v>18440</v>
      </c>
      <c r="BG320" s="36">
        <f>BG342</f>
        <v>6010</v>
      </c>
      <c r="BH320" s="36">
        <f>BH342</f>
        <v>6140</v>
      </c>
      <c r="BI320" s="36">
        <f>BI342</f>
        <v>6285</v>
      </c>
      <c r="BJ320" s="36">
        <f>BJ342</f>
        <v>6440</v>
      </c>
      <c r="BK320" s="38">
        <f>SUM(BG320:BJ320)</f>
        <v>24875</v>
      </c>
      <c r="BL320" s="36">
        <f>BL342</f>
        <v>8430</v>
      </c>
      <c r="BM320" s="36">
        <f>BM342</f>
        <v>8595</v>
      </c>
      <c r="BN320" s="36">
        <f>BN342</f>
        <v>8780</v>
      </c>
      <c r="BO320" s="36">
        <f>BO342</f>
        <v>8965</v>
      </c>
      <c r="BP320" s="38">
        <f>SUM(BL320:BO320)</f>
        <v>34770</v>
      </c>
      <c r="BQ320" s="36">
        <f>BQ342</f>
        <v>11115</v>
      </c>
      <c r="BR320" s="36">
        <f>BR342</f>
        <v>11245</v>
      </c>
      <c r="BS320" s="36">
        <f>BS342</f>
        <v>11370</v>
      </c>
      <c r="BT320" s="36">
        <f>BT342</f>
        <v>8450</v>
      </c>
      <c r="BU320" s="38">
        <f>SUM(BQ320:BT320)</f>
        <v>42180</v>
      </c>
      <c r="BV320" s="36">
        <f>BV342</f>
        <v>8560</v>
      </c>
      <c r="BW320" s="36">
        <f>BW342</f>
        <v>8665</v>
      </c>
      <c r="BX320" s="36">
        <f>BX342</f>
        <v>8775</v>
      </c>
      <c r="BY320" s="36">
        <f>BY342</f>
        <v>8890</v>
      </c>
      <c r="BZ320" s="38">
        <f>SUM(BV320:BY320)</f>
        <v>34890</v>
      </c>
    </row>
    <row r="321" spans="1:78">
      <c r="O321" s="38"/>
      <c r="P321" s="38"/>
    </row>
    <row r="322" spans="1:78">
      <c r="A322" s="1" t="s">
        <v>259</v>
      </c>
      <c r="O322" s="22" t="s">
        <v>374</v>
      </c>
      <c r="AH322" s="144" t="s">
        <v>647</v>
      </c>
      <c r="AI322" s="46"/>
      <c r="AJ322" s="46"/>
      <c r="AK322" s="46"/>
      <c r="AL322" s="46"/>
      <c r="AM322" s="46"/>
      <c r="AP322" s="25" t="s">
        <v>1387</v>
      </c>
    </row>
    <row r="323" spans="1:78">
      <c r="A323" s="1" t="s">
        <v>260</v>
      </c>
      <c r="I323" s="38"/>
      <c r="J323" s="38">
        <f>J311/J$326</f>
        <v>9586.1285688633507</v>
      </c>
      <c r="K323" s="38">
        <f>K311/K$326</f>
        <v>6188.5843533794578</v>
      </c>
      <c r="L323" s="38">
        <f>L311/L$326</f>
        <v>1853.8079926504365</v>
      </c>
      <c r="M323" s="38">
        <f>SUM(I323:L323)</f>
        <v>17628.520914893244</v>
      </c>
      <c r="N323" s="38">
        <f t="shared" ref="N323:O323" si="934">N311/N$326</f>
        <v>1657.7315794315152</v>
      </c>
      <c r="O323" s="38">
        <f t="shared" si="934"/>
        <v>1918.2608695652175</v>
      </c>
      <c r="P323" s="38">
        <f t="shared" ref="P323" si="935">P311/P$326</f>
        <v>13278.560666489409</v>
      </c>
      <c r="Q323" s="38">
        <f>Q311/Q$326</f>
        <v>2184.2114792685138</v>
      </c>
      <c r="R323" s="38">
        <f>SUM(N323:Q323)</f>
        <v>19038.764594754655</v>
      </c>
      <c r="S323" s="38">
        <f t="shared" ref="S323:T323" si="936">S311/S$326</f>
        <v>3142.4727272727273</v>
      </c>
      <c r="T323" s="38">
        <f t="shared" si="936"/>
        <v>9386.0909935004638</v>
      </c>
      <c r="U323" s="38">
        <f t="shared" ref="U323:V323" si="937">U311/U$326</f>
        <v>2077.9684345751512</v>
      </c>
      <c r="V323" s="38">
        <f t="shared" si="937"/>
        <v>2386.4585240798388</v>
      </c>
      <c r="W323" s="38">
        <f>SUM(S323:V323)</f>
        <v>16992.990679428178</v>
      </c>
      <c r="X323" s="38">
        <f t="shared" ref="X323:Y323" si="938">X311/X$326</f>
        <v>7097.2712084648228</v>
      </c>
      <c r="Y323" s="38">
        <f t="shared" si="938"/>
        <v>0</v>
      </c>
      <c r="Z323" s="38">
        <f t="shared" ref="Z323:AA323" si="939">Z311/Z$326</f>
        <v>96.371469602680705</v>
      </c>
      <c r="AA323" s="38">
        <f t="shared" si="939"/>
        <v>1925.2635542168675</v>
      </c>
      <c r="AB323" s="38">
        <f>SUM(X323:AA323)</f>
        <v>9118.9062322843711</v>
      </c>
      <c r="AC323" s="70">
        <f t="shared" ref="AC323:AD323" si="940">AC311/AC$326</f>
        <v>633.5181818181818</v>
      </c>
      <c r="AD323" s="70">
        <f t="shared" si="940"/>
        <v>118.7743278718204</v>
      </c>
      <c r="AE323" s="70">
        <f t="shared" ref="AE323:AF323" si="941">AE311/AE$326</f>
        <v>494.43661971830988</v>
      </c>
      <c r="AF323" s="70">
        <f t="shared" si="941"/>
        <v>1185.7216054654143</v>
      </c>
      <c r="AG323" s="38">
        <f>SUM(AC323:AF323)</f>
        <v>2432.4507348737261</v>
      </c>
      <c r="AH323" s="148">
        <f t="shared" ref="AH323:AI323" si="942">AH311/AH$326</f>
        <v>59.764414135151895</v>
      </c>
      <c r="AI323" s="148">
        <f t="shared" si="942"/>
        <v>0</v>
      </c>
      <c r="AJ323" s="148">
        <f t="shared" ref="AJ323:AK323" si="943">AJ311/AJ$326</f>
        <v>71.868801360158685</v>
      </c>
      <c r="AK323" s="148">
        <f t="shared" si="943"/>
        <v>0</v>
      </c>
      <c r="AL323" s="38">
        <f>SUM(AH323:AK323)</f>
        <v>131.63321549531059</v>
      </c>
      <c r="AM323" s="148">
        <f t="shared" ref="AM323:AN323" si="944">AM311/AM$326</f>
        <v>0</v>
      </c>
      <c r="AN323" s="148">
        <f t="shared" si="944"/>
        <v>0</v>
      </c>
      <c r="AO323" s="148">
        <f t="shared" ref="AO323:AP323" si="945">AO311/AO$326</f>
        <v>0</v>
      </c>
      <c r="AP323" s="148">
        <f t="shared" si="945"/>
        <v>0</v>
      </c>
      <c r="AQ323" s="38">
        <f>SUM(AM323:AP323)</f>
        <v>0</v>
      </c>
      <c r="AR323" s="148">
        <f t="shared" ref="AR323:AU323" si="946">AR311/AR$326</f>
        <v>0</v>
      </c>
      <c r="AS323" s="148">
        <f t="shared" si="946"/>
        <v>0</v>
      </c>
      <c r="AT323" s="148">
        <f t="shared" si="946"/>
        <v>0</v>
      </c>
      <c r="AU323" s="148">
        <f t="shared" si="946"/>
        <v>0</v>
      </c>
      <c r="AV323" s="38">
        <f>SUM(AR323:AU323)</f>
        <v>0</v>
      </c>
      <c r="AW323" s="148">
        <f t="shared" ref="AW323:AY323" si="947">AW311/AW$326</f>
        <v>0</v>
      </c>
      <c r="AX323" s="148">
        <f t="shared" si="947"/>
        <v>0</v>
      </c>
      <c r="AY323" s="148">
        <f t="shared" si="947"/>
        <v>0</v>
      </c>
      <c r="AZ323" s="36">
        <f>AZ447+AZ798*AZ351+17.25%*AZ356</f>
        <v>13.713080168776372</v>
      </c>
      <c r="BA323" s="38">
        <f>SUM(AW323:AZ323)</f>
        <v>13.713080168776372</v>
      </c>
      <c r="BB323" s="36">
        <f>BB447+BB798*BB351+17.25%*BB356</f>
        <v>234.23423423423424</v>
      </c>
      <c r="BC323" s="36">
        <f>BC447+BC798*BC351+17.25%*BC356</f>
        <v>214.87603305785123</v>
      </c>
      <c r="BD323" s="36">
        <f>BD447+BD798*BD351+17.25%*BD356</f>
        <v>198.47328244274809</v>
      </c>
      <c r="BE323" s="36">
        <f>BE447+BE798*BE351+17.25%*BE356</f>
        <v>0</v>
      </c>
      <c r="BF323" s="38">
        <f>SUM(BB323:BE323)</f>
        <v>647.58354973483358</v>
      </c>
      <c r="BG323" s="36">
        <f>BG447+BG798*BG351+17.25%*BG356</f>
        <v>0</v>
      </c>
      <c r="BH323" s="36">
        <f>BH447+BH798*BH351+17.25%*BH356</f>
        <v>0</v>
      </c>
      <c r="BI323" s="36">
        <f>BI447+BI798*BI351+17.25%*BI356</f>
        <v>0</v>
      </c>
      <c r="BJ323" s="36">
        <f>BJ447+BJ798*BJ351+17.25%*BJ356</f>
        <v>0</v>
      </c>
      <c r="BK323" s="38">
        <f>SUM(BG323:BJ323)</f>
        <v>0</v>
      </c>
      <c r="BL323" s="36">
        <f>BL447+BL798*BL351+17.25%*BL356</f>
        <v>0</v>
      </c>
      <c r="BM323" s="36">
        <f>BM447+BM798*BM351+17.25%*BM356</f>
        <v>0</v>
      </c>
      <c r="BN323" s="36">
        <f>BN447+BN798*BN351+17.25%*BN356</f>
        <v>0</v>
      </c>
      <c r="BO323" s="36">
        <f>BO447+BO798*BO351+17.25%*BO356</f>
        <v>0</v>
      </c>
      <c r="BP323" s="38">
        <f>SUM(BL323:BO323)</f>
        <v>0</v>
      </c>
      <c r="BQ323" s="36">
        <f>BQ447+BQ798*BQ351+17.25%*BQ356</f>
        <v>0</v>
      </c>
      <c r="BR323" s="36">
        <f>BR447+BR798*BR351+17.25%*BR356</f>
        <v>0</v>
      </c>
      <c r="BS323" s="36">
        <f>BS447+BS798*BS351+17.25%*BS356</f>
        <v>0</v>
      </c>
      <c r="BT323" s="36">
        <f>BT447+BT798*BT351+17.25%*BT356</f>
        <v>0</v>
      </c>
      <c r="BU323" s="38">
        <f>SUM(BQ323:BT323)</f>
        <v>0</v>
      </c>
      <c r="BV323" s="36">
        <f>BV447+BV798*BV351+17.25%*BV356</f>
        <v>0</v>
      </c>
      <c r="BW323" s="36">
        <f>BW447+BW798*BW351+17.25%*BW356</f>
        <v>0</v>
      </c>
      <c r="BX323" s="36">
        <f>BX447+BX798*BX351+17.25%*BX356</f>
        <v>0</v>
      </c>
      <c r="BY323" s="36">
        <f>BY447+BY798*BY351+17.25%*BY356</f>
        <v>0</v>
      </c>
      <c r="BZ323" s="38">
        <f>SUM(BV323:BY323)</f>
        <v>0</v>
      </c>
    </row>
    <row r="324" spans="1:78">
      <c r="A324" s="1" t="s">
        <v>267</v>
      </c>
      <c r="I324" s="38"/>
      <c r="J324" s="38"/>
      <c r="K324" s="38">
        <f>K312/K$326</f>
        <v>-185.54195494057123</v>
      </c>
      <c r="L324" s="38">
        <f>L312/L$326</f>
        <v>-1526.3481855764815</v>
      </c>
      <c r="M324" s="38">
        <f>SUM(I324:L324)</f>
        <v>-1711.8901405170527</v>
      </c>
      <c r="N324" s="38">
        <f t="shared" ref="N324:O324" si="948">N312/N$326</f>
        <v>-1483.386992916935</v>
      </c>
      <c r="O324" s="38">
        <f t="shared" si="948"/>
        <v>-2088.2832810398927</v>
      </c>
      <c r="P324" s="38">
        <f t="shared" ref="P324" si="949">P312/P$326</f>
        <v>-541.28334662766997</v>
      </c>
      <c r="Q324" s="38">
        <f>Q312/Q$326</f>
        <v>-281.62230671736376</v>
      </c>
      <c r="R324" s="38">
        <f>SUM(N324:Q324)</f>
        <v>-4394.5759273018621</v>
      </c>
      <c r="S324" s="38">
        <f t="shared" ref="S324:T324" si="950">S312/S$326</f>
        <v>-621.9</v>
      </c>
      <c r="T324" s="38">
        <f t="shared" si="950"/>
        <v>-5090.817084493965</v>
      </c>
      <c r="U324" s="38">
        <f t="shared" ref="U324:V324" si="951">U312/U$326</f>
        <v>-660.72673885116535</v>
      </c>
      <c r="V324" s="38">
        <f t="shared" si="951"/>
        <v>-756.14356344991756</v>
      </c>
      <c r="W324" s="38">
        <f>SUM(S324:V324)</f>
        <v>-7129.5873867950477</v>
      </c>
      <c r="X324" s="38">
        <f t="shared" ref="X324:Y324" si="952">X312/X$326</f>
        <v>-2017.5143864859849</v>
      </c>
      <c r="Y324" s="38">
        <f t="shared" si="952"/>
        <v>-1927.6256139025313</v>
      </c>
      <c r="Z324" s="38">
        <f t="shared" ref="Z324:AA324" si="953">Z312/Z$326</f>
        <v>-1735.4427955959789</v>
      </c>
      <c r="AA324" s="38">
        <f t="shared" si="953"/>
        <v>-7147.3550451807232</v>
      </c>
      <c r="AB324" s="38">
        <f>SUM(X324:AA324)</f>
        <v>-12827.937841165218</v>
      </c>
      <c r="AC324" s="70">
        <f t="shared" ref="AC324:AD324" si="954">AC312/AC$326</f>
        <v>-3152.2363636363634</v>
      </c>
      <c r="AD324" s="70">
        <f t="shared" si="954"/>
        <v>-4627.1476418937273</v>
      </c>
      <c r="AE324" s="70">
        <f t="shared" ref="AE324:AF324" si="955">AE312/AE$326</f>
        <v>-1039.5422535211269</v>
      </c>
      <c r="AF324" s="70">
        <f t="shared" si="955"/>
        <v>-2158.0187873612299</v>
      </c>
      <c r="AG324" s="38">
        <f>SUM(AC324:AF324)</f>
        <v>-10976.945046412447</v>
      </c>
      <c r="AH324" s="148">
        <f t="shared" ref="AH324:AI324" si="956">AH312/AH$326</f>
        <v>-1978.1773093614383</v>
      </c>
      <c r="AI324" s="148">
        <f t="shared" si="956"/>
        <v>-666.88058840496103</v>
      </c>
      <c r="AJ324" s="148">
        <f t="shared" ref="AJ324:AK324" si="957">AJ312/AJ$326</f>
        <v>-834.93199206574104</v>
      </c>
      <c r="AK324" s="148">
        <f t="shared" si="957"/>
        <v>-590.09455200360208</v>
      </c>
      <c r="AL324" s="38">
        <f>SUM(AH324:AK324)</f>
        <v>-4070.0844418357428</v>
      </c>
      <c r="AM324" s="148">
        <f t="shared" ref="AM324:AN324" si="958">AM312/AM$326</f>
        <v>-855.05032220693647</v>
      </c>
      <c r="AN324" s="148">
        <f t="shared" si="958"/>
        <v>-838.00880088008807</v>
      </c>
      <c r="AO324" s="148">
        <f t="shared" ref="AO324:AP324" si="959">AO312/AO$326</f>
        <v>-1706.843537414966</v>
      </c>
      <c r="AP324" s="148">
        <f t="shared" si="959"/>
        <v>-1979.0694528978156</v>
      </c>
      <c r="AQ324" s="38">
        <f>SUM(AM324:AP324)</f>
        <v>-5378.9721133998064</v>
      </c>
      <c r="AR324" s="148">
        <f t="shared" ref="AR324:AU324" si="960">AR312/AR$326</f>
        <v>-969.66076790391617</v>
      </c>
      <c r="AS324" s="148">
        <f t="shared" si="960"/>
        <v>-4613.0906428856651</v>
      </c>
      <c r="AT324" s="148">
        <f t="shared" si="960"/>
        <v>-832.14380121596616</v>
      </c>
      <c r="AU324" s="148">
        <f t="shared" si="960"/>
        <v>-3366.5250081726058</v>
      </c>
      <c r="AV324" s="38">
        <f>SUM(AR324:AU324)</f>
        <v>-9781.4202201781536</v>
      </c>
      <c r="AW324" s="148">
        <f t="shared" ref="AW324:AY324" si="961">AW312/AW$326</f>
        <v>-845.31303808802261</v>
      </c>
      <c r="AX324" s="148">
        <f t="shared" si="961"/>
        <v>-2367.7491525423729</v>
      </c>
      <c r="AY324" s="148">
        <f t="shared" si="961"/>
        <v>-3572.4487146195797</v>
      </c>
      <c r="AZ324" s="36">
        <f>AZ454+AZ1031</f>
        <v>-53.738726513430976</v>
      </c>
      <c r="BA324" s="38">
        <f>SUM(AW324:AZ324)</f>
        <v>-6839.2496317634068</v>
      </c>
      <c r="BB324" s="36">
        <f>BB454+BB1031</f>
        <v>-1948.1737734865692</v>
      </c>
      <c r="BC324" s="36">
        <f>BC454+BC1031</f>
        <v>-1909.8681367432846</v>
      </c>
      <c r="BD324" s="36">
        <f>BD454+BD1031</f>
        <v>-1907.3943632567155</v>
      </c>
      <c r="BE324" s="36">
        <f>BE454+BE1031</f>
        <v>-1867.8409316283576</v>
      </c>
      <c r="BF324" s="38">
        <f>SUM(BB324:BE324)</f>
        <v>-7633.2772051149268</v>
      </c>
      <c r="BG324" s="36">
        <f>BG454+BG1031</f>
        <v>-1489.9465683716423</v>
      </c>
      <c r="BH324" s="36">
        <f>BH454+BH1031</f>
        <v>-1511.0170341858211</v>
      </c>
      <c r="BI324" s="36">
        <f>BI454+BI1031</f>
        <v>-1532.2954658141789</v>
      </c>
      <c r="BJ324" s="36">
        <f>BJ454+BJ1031</f>
        <v>-2262.815553966765</v>
      </c>
      <c r="BK324" s="38">
        <f>SUM(BG324:BJ324)</f>
        <v>-6796.0746223384076</v>
      </c>
      <c r="BL324" s="36">
        <f>BL454+BL1031</f>
        <v>-1388.4749999999999</v>
      </c>
      <c r="BM324" s="36">
        <f>BM454+BM1031</f>
        <v>-1399.3375000000001</v>
      </c>
      <c r="BN324" s="36">
        <f>BN454+BN1031</f>
        <v>-1411.0625</v>
      </c>
      <c r="BO324" s="36">
        <f>BO454+BO1031</f>
        <v>-1421.925</v>
      </c>
      <c r="BP324" s="38">
        <f>SUM(BL324:BO324)</f>
        <v>-5620.8</v>
      </c>
      <c r="BQ324" s="36">
        <f>BQ454+BQ1031</f>
        <v>-1433.65</v>
      </c>
      <c r="BR324" s="36">
        <f>BR454+BR1031</f>
        <v>-1454.5125</v>
      </c>
      <c r="BS324" s="36">
        <f>BS454+BS1031</f>
        <v>-1456.2375</v>
      </c>
      <c r="BT324" s="36">
        <f>BT454+BT1031</f>
        <v>-62.099999999999994</v>
      </c>
      <c r="BU324" s="38">
        <f>SUM(BQ324:BT324)</f>
        <v>-4406.5000000000009</v>
      </c>
      <c r="BV324" s="36">
        <f>BV454+BV1031</f>
        <v>-63.824999999999996</v>
      </c>
      <c r="BW324" s="36">
        <f>BW454+BW1031</f>
        <v>-64.6875</v>
      </c>
      <c r="BX324" s="36">
        <f>BX454+BX1031</f>
        <v>-66.412499999999994</v>
      </c>
      <c r="BY324" s="36">
        <f>BY454+BY1031</f>
        <v>-68.137499999999989</v>
      </c>
      <c r="BZ324" s="38">
        <f>SUM(BV324:BY324)</f>
        <v>-263.0625</v>
      </c>
    </row>
    <row r="325" spans="1:78">
      <c r="T325" s="22" t="s">
        <v>392</v>
      </c>
      <c r="AC325" s="98" t="s">
        <v>588</v>
      </c>
      <c r="AD325" s="71"/>
      <c r="AE325" s="71"/>
      <c r="AF325" s="71"/>
      <c r="AG325" s="71"/>
      <c r="AH325" s="71"/>
      <c r="AI325" s="71"/>
      <c r="AJ325" s="71"/>
      <c r="AK325" s="71"/>
      <c r="AP325" s="25" t="s">
        <v>1388</v>
      </c>
    </row>
    <row r="326" spans="1:78">
      <c r="A326" s="1" t="s">
        <v>114</v>
      </c>
      <c r="I326" s="41">
        <f>I102</f>
        <v>111.61</v>
      </c>
      <c r="J326" s="41">
        <f>J102</f>
        <v>111.38</v>
      </c>
      <c r="K326" s="41">
        <f>K102</f>
        <v>112.74</v>
      </c>
      <c r="L326" s="41">
        <f>L102</f>
        <v>108.85</v>
      </c>
      <c r="M326" s="41"/>
      <c r="N326" s="41">
        <f>N102</f>
        <v>108.71</v>
      </c>
      <c r="O326" s="41">
        <f>O102</f>
        <v>111.55</v>
      </c>
      <c r="P326" s="41">
        <f>P102</f>
        <v>112.83</v>
      </c>
      <c r="Q326" s="41">
        <f>Q102</f>
        <v>110.46</v>
      </c>
      <c r="R326" s="41"/>
      <c r="S326" s="41">
        <f>S102</f>
        <v>110</v>
      </c>
      <c r="T326" s="41">
        <f>T102</f>
        <v>107.7</v>
      </c>
      <c r="U326" s="41">
        <f>U102</f>
        <v>108.98</v>
      </c>
      <c r="V326" s="41">
        <f>V102</f>
        <v>109.22</v>
      </c>
      <c r="X326" s="41">
        <f>X102</f>
        <v>107.74</v>
      </c>
      <c r="Y326" s="41">
        <f>Y102</f>
        <v>105.88</v>
      </c>
      <c r="Z326" s="41">
        <f>Z102</f>
        <v>104.45</v>
      </c>
      <c r="AA326" s="41">
        <f>AA102</f>
        <v>106.24</v>
      </c>
      <c r="AC326" s="41">
        <f>AC102</f>
        <v>110</v>
      </c>
      <c r="AD326" s="41">
        <f>AD102</f>
        <v>110.47</v>
      </c>
      <c r="AE326" s="41">
        <f>AE102</f>
        <v>113.6</v>
      </c>
      <c r="AF326" s="41">
        <f>AF102</f>
        <v>117.1</v>
      </c>
      <c r="AH326" s="41">
        <f>AH102</f>
        <v>129.04</v>
      </c>
      <c r="AI326" s="41">
        <f>AI102</f>
        <v>138.68</v>
      </c>
      <c r="AJ326" s="41">
        <f>AJ102</f>
        <v>141.16</v>
      </c>
      <c r="AK326" s="41">
        <f>AK102</f>
        <v>133.26</v>
      </c>
      <c r="AM326" s="41">
        <f>AM102</f>
        <v>138.11000000000001</v>
      </c>
      <c r="AN326" s="41">
        <f>AN102</f>
        <v>145.44</v>
      </c>
      <c r="AO326" s="41">
        <f>AO102</f>
        <v>147</v>
      </c>
      <c r="AP326" s="41">
        <f>AP102</f>
        <v>147.87</v>
      </c>
      <c r="AR326" s="41">
        <f>AR102</f>
        <v>156.53</v>
      </c>
      <c r="AS326" s="41">
        <f>AS102</f>
        <v>150.26</v>
      </c>
      <c r="AT326" s="41">
        <f>AT102</f>
        <v>151.32</v>
      </c>
      <c r="AU326" s="41">
        <f>AU102</f>
        <v>152.94999999999999</v>
      </c>
      <c r="AW326" s="41">
        <f>AW102</f>
        <v>145.19</v>
      </c>
      <c r="AX326" s="41">
        <f>AX102</f>
        <v>147.5</v>
      </c>
      <c r="AY326" s="41">
        <f>AY102</f>
        <v>154.04</v>
      </c>
      <c r="AZ326" s="41">
        <f>AZ102</f>
        <v>155.1</v>
      </c>
      <c r="BB326" s="41">
        <f>BB102</f>
        <v>154.70000000000002</v>
      </c>
      <c r="BC326" s="41">
        <f>BC102</f>
        <v>154.30000000000001</v>
      </c>
      <c r="BD326" s="41">
        <f>BD102</f>
        <v>153.9</v>
      </c>
      <c r="BE326" s="41">
        <f>BE102</f>
        <v>153.5</v>
      </c>
      <c r="BG326" s="41">
        <f>BG102</f>
        <v>153.1</v>
      </c>
      <c r="BH326" s="41">
        <f>BH102</f>
        <v>152.70000000000002</v>
      </c>
      <c r="BI326" s="41">
        <f>BI102</f>
        <v>152.30000000000001</v>
      </c>
      <c r="BJ326" s="41">
        <f>BJ102</f>
        <v>151.9</v>
      </c>
      <c r="BL326" s="41">
        <f>BL102</f>
        <v>151.5</v>
      </c>
      <c r="BM326" s="41">
        <f>BM102</f>
        <v>151.1</v>
      </c>
      <c r="BN326" s="41">
        <f>BN102</f>
        <v>150.70000000000002</v>
      </c>
      <c r="BO326" s="41">
        <f>BO102</f>
        <v>150.30000000000001</v>
      </c>
      <c r="BQ326" s="41">
        <f>BQ102</f>
        <v>149.9</v>
      </c>
      <c r="BR326" s="41">
        <f>BR102</f>
        <v>149.5</v>
      </c>
      <c r="BS326" s="41">
        <f>BS102</f>
        <v>149.1</v>
      </c>
      <c r="BT326" s="41">
        <f>BT102</f>
        <v>148.70000000000002</v>
      </c>
      <c r="BV326" s="41">
        <f>BV102</f>
        <v>148.30000000000001</v>
      </c>
      <c r="BW326" s="41">
        <f>BW102</f>
        <v>147.9</v>
      </c>
      <c r="BX326" s="41">
        <f>BX102</f>
        <v>147.5</v>
      </c>
      <c r="BY326" s="41">
        <f>BY102</f>
        <v>147.1</v>
      </c>
    </row>
    <row r="328" spans="1:78" s="12" customFormat="1">
      <c r="A328" s="13" t="s">
        <v>516</v>
      </c>
    </row>
    <row r="330" spans="1:78">
      <c r="A330" s="3" t="s">
        <v>517</v>
      </c>
      <c r="AG330" s="66" t="s">
        <v>615</v>
      </c>
      <c r="AH330" s="46"/>
      <c r="AI330" s="46"/>
      <c r="AJ330" s="46"/>
      <c r="AK330" s="46"/>
      <c r="AL330" s="46"/>
      <c r="AM330" s="46"/>
      <c r="AN330" s="46"/>
      <c r="AO330" s="46"/>
      <c r="AP330" s="46"/>
    </row>
    <row r="331" spans="1:78">
      <c r="T331" s="154"/>
      <c r="U331" s="154"/>
      <c r="V331" s="154"/>
      <c r="W331" s="154"/>
      <c r="X331" s="154"/>
      <c r="Y331" s="154"/>
      <c r="Z331" s="154"/>
      <c r="AA331" s="154"/>
      <c r="AB331" s="155" t="s">
        <v>539</v>
      </c>
      <c r="AC331" s="123" t="s">
        <v>569</v>
      </c>
      <c r="AD331" s="12"/>
      <c r="AE331" s="12"/>
      <c r="AF331" s="12"/>
      <c r="AG331" s="12"/>
      <c r="AH331" s="12"/>
      <c r="AI331" s="12"/>
    </row>
    <row r="332" spans="1:78">
      <c r="A332" s="1" t="s">
        <v>518</v>
      </c>
      <c r="X332" s="36">
        <f t="shared" ref="X332:AI332" si="962">X346</f>
        <v>1270</v>
      </c>
      <c r="Y332" s="36">
        <f t="shared" si="962"/>
        <v>430</v>
      </c>
      <c r="Z332" s="36">
        <f t="shared" si="962"/>
        <v>1800</v>
      </c>
      <c r="AA332" s="36">
        <f t="shared" si="962"/>
        <v>1200</v>
      </c>
      <c r="AB332" s="36">
        <f t="shared" si="962"/>
        <v>4700</v>
      </c>
      <c r="AC332" s="36">
        <f t="shared" si="962"/>
        <v>2100</v>
      </c>
      <c r="AD332" s="36">
        <f t="shared" si="962"/>
        <v>400</v>
      </c>
      <c r="AE332" s="36">
        <f t="shared" si="962"/>
        <v>400</v>
      </c>
      <c r="AF332" s="36">
        <f t="shared" si="962"/>
        <v>430</v>
      </c>
      <c r="AG332" s="36">
        <f t="shared" si="962"/>
        <v>3330</v>
      </c>
      <c r="AH332" s="36">
        <f t="shared" si="962"/>
        <v>60</v>
      </c>
      <c r="AI332" s="36">
        <f t="shared" si="962"/>
        <v>200</v>
      </c>
      <c r="AJ332" s="36">
        <f t="shared" ref="AJ332:AK332" si="963">AJ346</f>
        <v>160</v>
      </c>
      <c r="AK332" s="36">
        <f t="shared" si="963"/>
        <v>30</v>
      </c>
      <c r="AL332" s="36">
        <f t="shared" ref="AL332:AM332" si="964">AL346</f>
        <v>450</v>
      </c>
      <c r="AM332" s="36">
        <f t="shared" si="964"/>
        <v>0</v>
      </c>
      <c r="AN332" s="36">
        <f t="shared" ref="AN332:AR332" si="965">AN346</f>
        <v>0</v>
      </c>
      <c r="AO332" s="36">
        <f t="shared" si="965"/>
        <v>0</v>
      </c>
      <c r="AP332" s="36">
        <f t="shared" si="965"/>
        <v>0</v>
      </c>
      <c r="AQ332" s="36">
        <f t="shared" si="965"/>
        <v>0</v>
      </c>
      <c r="AR332" s="36">
        <f t="shared" si="965"/>
        <v>0</v>
      </c>
      <c r="AS332" s="36">
        <f>AS346</f>
        <v>0</v>
      </c>
      <c r="AT332" s="36">
        <f>AT346</f>
        <v>0</v>
      </c>
      <c r="AU332" s="36">
        <f>AU346</f>
        <v>0</v>
      </c>
      <c r="AV332" s="36">
        <f>SUM(AR332:AU332)</f>
        <v>0</v>
      </c>
      <c r="AW332" s="36">
        <f>AW346</f>
        <v>0</v>
      </c>
      <c r="AX332" s="36">
        <f>AX346</f>
        <v>0</v>
      </c>
      <c r="AY332" s="36">
        <f>AY346</f>
        <v>-3800</v>
      </c>
      <c r="AZ332" s="36">
        <f>AZ346</f>
        <v>0</v>
      </c>
      <c r="BA332" s="36">
        <f>SUM(AW332:AZ332)</f>
        <v>-3800</v>
      </c>
      <c r="BB332" s="36">
        <f>BB346</f>
        <v>0</v>
      </c>
      <c r="BC332" s="36">
        <f>BC346</f>
        <v>0</v>
      </c>
      <c r="BD332" s="36">
        <f>BD346</f>
        <v>0</v>
      </c>
      <c r="BE332" s="36">
        <f>BE346</f>
        <v>0</v>
      </c>
      <c r="BF332" s="36">
        <f>SUM(BB332:BE332)</f>
        <v>0</v>
      </c>
      <c r="BG332" s="36">
        <f>BG346</f>
        <v>0</v>
      </c>
      <c r="BH332" s="36">
        <f>BH346</f>
        <v>0</v>
      </c>
      <c r="BI332" s="36">
        <f>BI346</f>
        <v>0</v>
      </c>
      <c r="BJ332" s="36">
        <f>BJ346</f>
        <v>0</v>
      </c>
      <c r="BK332" s="36">
        <f>SUM(BG332:BJ332)</f>
        <v>0</v>
      </c>
      <c r="BL332" s="36">
        <f>BL346</f>
        <v>0</v>
      </c>
      <c r="BM332" s="36">
        <f>BM346</f>
        <v>0</v>
      </c>
      <c r="BN332" s="36">
        <f>BN346</f>
        <v>0</v>
      </c>
      <c r="BO332" s="36">
        <f>BO346</f>
        <v>0</v>
      </c>
      <c r="BP332" s="36">
        <f>SUM(BL332:BO332)</f>
        <v>0</v>
      </c>
      <c r="BQ332" s="36">
        <f>BQ346</f>
        <v>0</v>
      </c>
      <c r="BR332" s="36">
        <f>BR346</f>
        <v>0</v>
      </c>
      <c r="BS332" s="36">
        <f>BS346</f>
        <v>0</v>
      </c>
      <c r="BT332" s="36">
        <f>BT346</f>
        <v>0</v>
      </c>
      <c r="BU332" s="36">
        <f>SUM(BQ332:BT332)</f>
        <v>0</v>
      </c>
      <c r="BV332" s="36">
        <f>BV346</f>
        <v>0</v>
      </c>
      <c r="BW332" s="36">
        <f>BW346</f>
        <v>0</v>
      </c>
      <c r="BX332" s="36">
        <f>BX346</f>
        <v>0</v>
      </c>
      <c r="BY332" s="36">
        <f>BY346</f>
        <v>0</v>
      </c>
      <c r="BZ332" s="36">
        <f>SUM(BV332:BY332)</f>
        <v>0</v>
      </c>
    </row>
    <row r="333" spans="1:78">
      <c r="A333" s="1" t="s">
        <v>519</v>
      </c>
      <c r="Y333" s="36">
        <f t="shared" ref="Y333:AI333" si="966">Y351</f>
        <v>640</v>
      </c>
      <c r="Z333" s="36">
        <f t="shared" si="966"/>
        <v>1660</v>
      </c>
      <c r="AA333" s="36">
        <f t="shared" si="966"/>
        <v>2400</v>
      </c>
      <c r="AB333" s="36">
        <f t="shared" si="966"/>
        <v>4700</v>
      </c>
      <c r="AC333" s="36">
        <f t="shared" si="966"/>
        <v>13500</v>
      </c>
      <c r="AD333" s="36">
        <f t="shared" si="966"/>
        <v>13700</v>
      </c>
      <c r="AE333" s="36">
        <f t="shared" si="966"/>
        <v>9100</v>
      </c>
      <c r="AF333" s="36">
        <f t="shared" si="966"/>
        <v>4520</v>
      </c>
      <c r="AG333" s="36">
        <f t="shared" si="966"/>
        <v>40820</v>
      </c>
      <c r="AH333" s="36">
        <f t="shared" si="966"/>
        <v>2110</v>
      </c>
      <c r="AI333" s="36">
        <f t="shared" si="966"/>
        <v>130</v>
      </c>
      <c r="AJ333" s="36">
        <f t="shared" ref="AJ333:AK333" si="967">AJ351</f>
        <v>100</v>
      </c>
      <c r="AK333" s="36">
        <f t="shared" si="967"/>
        <v>350</v>
      </c>
      <c r="AL333" s="36">
        <f t="shared" ref="AL333:AM333" si="968">AL351</f>
        <v>2690</v>
      </c>
      <c r="AM333" s="36">
        <f t="shared" si="968"/>
        <v>1560</v>
      </c>
      <c r="AN333" s="36">
        <f t="shared" ref="AN333:AR333" si="969">AN351</f>
        <v>370</v>
      </c>
      <c r="AO333" s="36">
        <f t="shared" si="969"/>
        <v>90</v>
      </c>
      <c r="AP333" s="36">
        <f t="shared" si="969"/>
        <v>120</v>
      </c>
      <c r="AQ333" s="36">
        <f t="shared" si="969"/>
        <v>2140</v>
      </c>
      <c r="AR333" s="36">
        <f t="shared" si="969"/>
        <v>620</v>
      </c>
      <c r="AS333" s="36">
        <f>AS351</f>
        <v>620</v>
      </c>
      <c r="AT333" s="36">
        <f>AT351</f>
        <v>1310</v>
      </c>
      <c r="AU333" s="36">
        <f>AU351</f>
        <v>5650</v>
      </c>
      <c r="AV333" s="36">
        <f>SUM(AR333:AU333)</f>
        <v>8200</v>
      </c>
      <c r="AW333" s="36">
        <f>AW351</f>
        <v>10130</v>
      </c>
      <c r="AX333" s="36">
        <f>AX351</f>
        <v>1090</v>
      </c>
      <c r="AY333" s="36">
        <f>AY351</f>
        <v>21500</v>
      </c>
      <c r="AZ333" s="36">
        <f>AZ351</f>
        <v>500</v>
      </c>
      <c r="BA333" s="36">
        <f>SUM(AW333:AZ333)</f>
        <v>33220</v>
      </c>
      <c r="BB333" s="36">
        <f>BB351</f>
        <v>10000</v>
      </c>
      <c r="BC333" s="36">
        <f>BC351</f>
        <v>10000</v>
      </c>
      <c r="BD333" s="36">
        <f>BD351</f>
        <v>10000</v>
      </c>
      <c r="BE333" s="36">
        <f>BE351</f>
        <v>0</v>
      </c>
      <c r="BF333" s="36">
        <f>SUM(BB333:BE333)</f>
        <v>30000</v>
      </c>
      <c r="BG333" s="36">
        <f>BG351</f>
        <v>0</v>
      </c>
      <c r="BH333" s="36">
        <f>BH351</f>
        <v>0</v>
      </c>
      <c r="BI333" s="36">
        <f>BI351</f>
        <v>0</v>
      </c>
      <c r="BJ333" s="36">
        <f>BJ351</f>
        <v>0</v>
      </c>
      <c r="BK333" s="36">
        <f>SUM(BG333:BJ333)</f>
        <v>0</v>
      </c>
      <c r="BL333" s="36">
        <f>BL351</f>
        <v>0</v>
      </c>
      <c r="BM333" s="36">
        <f>BM351</f>
        <v>0</v>
      </c>
      <c r="BN333" s="36">
        <f>BN351</f>
        <v>0</v>
      </c>
      <c r="BO333" s="36">
        <f>BO351</f>
        <v>0</v>
      </c>
      <c r="BP333" s="36">
        <f>SUM(BL333:BO333)</f>
        <v>0</v>
      </c>
      <c r="BQ333" s="36">
        <f>BQ351</f>
        <v>0</v>
      </c>
      <c r="BR333" s="36">
        <f>BR351</f>
        <v>0</v>
      </c>
      <c r="BS333" s="36">
        <f>BS351</f>
        <v>0</v>
      </c>
      <c r="BT333" s="36">
        <f>BT351</f>
        <v>0</v>
      </c>
      <c r="BU333" s="36">
        <f>SUM(BQ333:BT333)</f>
        <v>0</v>
      </c>
      <c r="BV333" s="36">
        <f>BV351</f>
        <v>0</v>
      </c>
      <c r="BW333" s="36">
        <f>BW351</f>
        <v>0</v>
      </c>
      <c r="BX333" s="36">
        <f>BX351</f>
        <v>0</v>
      </c>
      <c r="BY333" s="36">
        <f>BY351</f>
        <v>0</v>
      </c>
      <c r="BZ333" s="36">
        <f>SUM(BV333:BY333)</f>
        <v>0</v>
      </c>
    </row>
    <row r="334" spans="1:78">
      <c r="A334" s="1" t="s">
        <v>665</v>
      </c>
      <c r="Y334" s="36"/>
      <c r="Z334" s="36"/>
      <c r="AA334" s="36"/>
      <c r="AB334" s="36"/>
      <c r="AC334" s="36"/>
      <c r="AD334" s="36"/>
      <c r="AE334" s="36"/>
      <c r="AF334" s="36"/>
      <c r="AG334" s="36"/>
      <c r="AH334" s="36"/>
      <c r="AI334" s="36"/>
      <c r="AM334" s="36"/>
      <c r="AN334" s="36"/>
      <c r="AO334" s="36"/>
      <c r="AR334" s="36"/>
      <c r="AS334" s="36">
        <f>AS356</f>
        <v>0</v>
      </c>
      <c r="AT334" s="36">
        <f>AT356</f>
        <v>100</v>
      </c>
      <c r="AU334" s="36">
        <f>AU356</f>
        <v>0</v>
      </c>
      <c r="AV334" s="36">
        <f>SUM(AR334:AU334)</f>
        <v>100</v>
      </c>
      <c r="AW334" s="36">
        <f>AW356</f>
        <v>0</v>
      </c>
      <c r="AX334" s="36">
        <f>AX356</f>
        <v>100</v>
      </c>
      <c r="AY334" s="36">
        <f>AY356</f>
        <v>-100</v>
      </c>
      <c r="AZ334" s="36">
        <f>AZ356</f>
        <v>0</v>
      </c>
      <c r="BA334" s="36">
        <f>SUM(AW334:AZ334)</f>
        <v>0</v>
      </c>
      <c r="BB334" s="36">
        <f>BB356</f>
        <v>0</v>
      </c>
      <c r="BC334" s="36">
        <f>BC356</f>
        <v>0</v>
      </c>
      <c r="BD334" s="36">
        <f>BD356</f>
        <v>0</v>
      </c>
      <c r="BE334" s="36">
        <f>BE356</f>
        <v>0</v>
      </c>
      <c r="BF334" s="36">
        <f>SUM(BB334:BE334)</f>
        <v>0</v>
      </c>
      <c r="BG334" s="36">
        <f>BG356</f>
        <v>0</v>
      </c>
      <c r="BH334" s="36">
        <f>BH356</f>
        <v>0</v>
      </c>
      <c r="BI334" s="36">
        <f>BI356</f>
        <v>0</v>
      </c>
      <c r="BJ334" s="36">
        <f>BJ356</f>
        <v>0</v>
      </c>
      <c r="BK334" s="36">
        <f>SUM(BG334:BJ334)</f>
        <v>0</v>
      </c>
      <c r="BL334" s="36">
        <f>BL356</f>
        <v>0</v>
      </c>
      <c r="BM334" s="36">
        <f>BM356</f>
        <v>0</v>
      </c>
      <c r="BN334" s="36">
        <f>BN356</f>
        <v>0</v>
      </c>
      <c r="BO334" s="36">
        <f>BO356</f>
        <v>0</v>
      </c>
      <c r="BP334" s="36">
        <f>SUM(BL334:BO334)</f>
        <v>0</v>
      </c>
      <c r="BQ334" s="36">
        <f>BQ356</f>
        <v>0</v>
      </c>
      <c r="BR334" s="36">
        <f>BR356</f>
        <v>0</v>
      </c>
      <c r="BS334" s="36">
        <f>BS356</f>
        <v>0</v>
      </c>
      <c r="BT334" s="36">
        <f>BT356</f>
        <v>0</v>
      </c>
      <c r="BU334" s="36">
        <f>SUM(BQ334:BT334)</f>
        <v>0</v>
      </c>
      <c r="BV334" s="36">
        <f>BV356</f>
        <v>0</v>
      </c>
      <c r="BW334" s="36">
        <f>BW356</f>
        <v>0</v>
      </c>
      <c r="BX334" s="36">
        <f>BX356</f>
        <v>0</v>
      </c>
      <c r="BY334" s="36">
        <f>BY356</f>
        <v>0</v>
      </c>
      <c r="BZ334" s="36">
        <f>SUM(BV334:BY334)</f>
        <v>0</v>
      </c>
    </row>
    <row r="335" spans="1:78">
      <c r="A335" s="1" t="s">
        <v>276</v>
      </c>
      <c r="X335" s="36">
        <f t="shared" ref="X335:AI335" si="970">X336-SUM(X332:X333)</f>
        <v>-155</v>
      </c>
      <c r="Y335" s="36">
        <f t="shared" si="970"/>
        <v>-125</v>
      </c>
      <c r="Z335" s="36">
        <f t="shared" si="970"/>
        <v>-45</v>
      </c>
      <c r="AA335" s="36">
        <f t="shared" si="970"/>
        <v>-965</v>
      </c>
      <c r="AB335" s="60">
        <f t="shared" si="970"/>
        <v>-1290</v>
      </c>
      <c r="AC335" s="125">
        <f t="shared" si="970"/>
        <v>-2855</v>
      </c>
      <c r="AD335" s="36">
        <f t="shared" si="970"/>
        <v>-2515</v>
      </c>
      <c r="AE335" s="36">
        <f t="shared" si="970"/>
        <v>-2005</v>
      </c>
      <c r="AF335" s="36">
        <f t="shared" si="970"/>
        <v>-300</v>
      </c>
      <c r="AG335" s="60">
        <f t="shared" si="970"/>
        <v>-7675</v>
      </c>
      <c r="AH335" s="36">
        <f t="shared" si="970"/>
        <v>205</v>
      </c>
      <c r="AI335" s="36">
        <f t="shared" si="970"/>
        <v>-110</v>
      </c>
      <c r="AJ335" s="36">
        <f t="shared" ref="AJ335:AK335" si="971">AJ336-SUM(AJ332:AJ333)</f>
        <v>80</v>
      </c>
      <c r="AK335" s="36">
        <f t="shared" si="971"/>
        <v>160</v>
      </c>
      <c r="AL335" s="36">
        <f t="shared" ref="AL335:AM335" si="972">AL336-SUM(AL332:AL333)</f>
        <v>330</v>
      </c>
      <c r="AM335" s="36">
        <f t="shared" si="972"/>
        <v>-665</v>
      </c>
      <c r="AN335" s="36">
        <f t="shared" ref="AN335:AO335" si="973">AN336-SUM(AN332:AN333)</f>
        <v>65</v>
      </c>
      <c r="AO335" s="36">
        <f t="shared" si="973"/>
        <v>25</v>
      </c>
      <c r="AP335" s="36">
        <f t="shared" ref="AP335" si="974">AP336-SUM(AP332:AP333)</f>
        <v>-65</v>
      </c>
      <c r="AQ335" s="36">
        <f t="shared" ref="AQ335:AR335" si="975">AQ336-SUM(AQ332:AQ333)</f>
        <v>-640</v>
      </c>
      <c r="AR335" s="36">
        <f t="shared" si="975"/>
        <v>-25</v>
      </c>
      <c r="AV335" s="36">
        <f>SUM(AR335:AU335)</f>
        <v>-25</v>
      </c>
      <c r="BA335" s="36">
        <f>SUM(AW335:AZ335)</f>
        <v>0</v>
      </c>
      <c r="BF335" s="36">
        <f>SUM(BB335:BE335)</f>
        <v>0</v>
      </c>
      <c r="BK335" s="36">
        <f>SUM(BG335:BJ335)</f>
        <v>0</v>
      </c>
      <c r="BP335" s="36">
        <f>SUM(BL335:BO335)</f>
        <v>0</v>
      </c>
      <c r="BU335" s="36">
        <f>SUM(BQ335:BT335)</f>
        <v>0</v>
      </c>
      <c r="BZ335" s="36">
        <f>SUM(BV335:BY335)</f>
        <v>0</v>
      </c>
    </row>
    <row r="336" spans="1:78">
      <c r="A336" s="9" t="s">
        <v>258</v>
      </c>
      <c r="B336" s="9"/>
      <c r="C336" s="9"/>
      <c r="D336" s="9"/>
      <c r="E336" s="9"/>
      <c r="F336" s="9"/>
      <c r="G336" s="9"/>
      <c r="H336" s="9"/>
      <c r="I336" s="9"/>
      <c r="J336" s="94"/>
      <c r="K336" s="9"/>
      <c r="L336" s="9"/>
      <c r="M336" s="9"/>
      <c r="N336" s="9"/>
      <c r="O336" s="9"/>
      <c r="P336" s="9"/>
      <c r="Q336" s="9"/>
      <c r="R336" s="9"/>
      <c r="S336" s="9"/>
      <c r="T336" s="9"/>
      <c r="U336" s="9"/>
      <c r="V336" s="9"/>
      <c r="W336" s="9"/>
      <c r="X336" s="39">
        <f t="shared" ref="X336:AH336" si="976">MROUND(-X319, 5)</f>
        <v>1115</v>
      </c>
      <c r="Y336" s="39">
        <f t="shared" si="976"/>
        <v>945</v>
      </c>
      <c r="Z336" s="39">
        <f t="shared" si="976"/>
        <v>3415</v>
      </c>
      <c r="AA336" s="39">
        <f t="shared" si="976"/>
        <v>2635</v>
      </c>
      <c r="AB336" s="39">
        <f t="shared" si="976"/>
        <v>8110</v>
      </c>
      <c r="AC336" s="39">
        <f t="shared" si="976"/>
        <v>12745</v>
      </c>
      <c r="AD336" s="39">
        <f t="shared" si="976"/>
        <v>11585</v>
      </c>
      <c r="AE336" s="39">
        <f t="shared" si="976"/>
        <v>7495</v>
      </c>
      <c r="AF336" s="39">
        <f t="shared" si="976"/>
        <v>4650</v>
      </c>
      <c r="AG336" s="39">
        <f t="shared" si="976"/>
        <v>36475</v>
      </c>
      <c r="AH336" s="39">
        <f t="shared" si="976"/>
        <v>2375</v>
      </c>
      <c r="AI336" s="39">
        <f t="shared" ref="AI336:AJ336" si="977">MROUND(-AI319, 5)</f>
        <v>220</v>
      </c>
      <c r="AJ336" s="39">
        <f t="shared" si="977"/>
        <v>340</v>
      </c>
      <c r="AK336" s="39">
        <f t="shared" ref="AK336:AM336" si="978">MROUND(-AK319, 5)</f>
        <v>540</v>
      </c>
      <c r="AL336" s="39">
        <f t="shared" si="978"/>
        <v>3470</v>
      </c>
      <c r="AM336" s="39">
        <f t="shared" si="978"/>
        <v>895</v>
      </c>
      <c r="AN336" s="39">
        <f t="shared" ref="AN336:AR336" si="979">MROUND(-AN319, 5)</f>
        <v>435</v>
      </c>
      <c r="AO336" s="39">
        <f t="shared" si="979"/>
        <v>115</v>
      </c>
      <c r="AP336" s="39">
        <f t="shared" si="979"/>
        <v>55</v>
      </c>
      <c r="AQ336" s="39">
        <f t="shared" si="979"/>
        <v>1500</v>
      </c>
      <c r="AR336" s="39">
        <f t="shared" si="979"/>
        <v>595</v>
      </c>
      <c r="AS336" s="39">
        <f t="shared" ref="AS336:BZ336" si="980">SUM(AS332:AS335)</f>
        <v>620</v>
      </c>
      <c r="AT336" s="39">
        <f t="shared" si="980"/>
        <v>1410</v>
      </c>
      <c r="AU336" s="39">
        <f t="shared" si="980"/>
        <v>5650</v>
      </c>
      <c r="AV336" s="39">
        <f t="shared" si="980"/>
        <v>8275</v>
      </c>
      <c r="AW336" s="39">
        <f t="shared" si="980"/>
        <v>10130</v>
      </c>
      <c r="AX336" s="39">
        <f t="shared" si="980"/>
        <v>1190</v>
      </c>
      <c r="AY336" s="39">
        <f t="shared" ref="AY336" si="981">SUM(AY332:AY335)</f>
        <v>17600</v>
      </c>
      <c r="AZ336" s="39">
        <f t="shared" si="980"/>
        <v>500</v>
      </c>
      <c r="BA336" s="39">
        <f t="shared" si="980"/>
        <v>29420</v>
      </c>
      <c r="BB336" s="39">
        <f t="shared" si="980"/>
        <v>10000</v>
      </c>
      <c r="BC336" s="39">
        <f t="shared" si="980"/>
        <v>10000</v>
      </c>
      <c r="BD336" s="39">
        <f t="shared" si="980"/>
        <v>10000</v>
      </c>
      <c r="BE336" s="39">
        <f t="shared" si="980"/>
        <v>0</v>
      </c>
      <c r="BF336" s="39">
        <f t="shared" si="980"/>
        <v>30000</v>
      </c>
      <c r="BG336" s="39">
        <f t="shared" si="980"/>
        <v>0</v>
      </c>
      <c r="BH336" s="39">
        <f t="shared" si="980"/>
        <v>0</v>
      </c>
      <c r="BI336" s="39">
        <f t="shared" si="980"/>
        <v>0</v>
      </c>
      <c r="BJ336" s="39">
        <f t="shared" si="980"/>
        <v>0</v>
      </c>
      <c r="BK336" s="39">
        <f t="shared" si="980"/>
        <v>0</v>
      </c>
      <c r="BL336" s="39">
        <f t="shared" si="980"/>
        <v>0</v>
      </c>
      <c r="BM336" s="39">
        <f t="shared" si="980"/>
        <v>0</v>
      </c>
      <c r="BN336" s="39">
        <f t="shared" si="980"/>
        <v>0</v>
      </c>
      <c r="BO336" s="39">
        <f t="shared" si="980"/>
        <v>0</v>
      </c>
      <c r="BP336" s="39">
        <f t="shared" si="980"/>
        <v>0</v>
      </c>
      <c r="BQ336" s="39">
        <f t="shared" si="980"/>
        <v>0</v>
      </c>
      <c r="BR336" s="39">
        <f t="shared" si="980"/>
        <v>0</v>
      </c>
      <c r="BS336" s="39">
        <f t="shared" si="980"/>
        <v>0</v>
      </c>
      <c r="BT336" s="39">
        <f t="shared" si="980"/>
        <v>0</v>
      </c>
      <c r="BU336" s="39">
        <f t="shared" si="980"/>
        <v>0</v>
      </c>
      <c r="BV336" s="39">
        <f t="shared" si="980"/>
        <v>0</v>
      </c>
      <c r="BW336" s="39">
        <f t="shared" si="980"/>
        <v>0</v>
      </c>
      <c r="BX336" s="39">
        <f t="shared" si="980"/>
        <v>0</v>
      </c>
      <c r="BY336" s="39">
        <f t="shared" si="980"/>
        <v>0</v>
      </c>
      <c r="BZ336" s="39">
        <f t="shared" si="980"/>
        <v>0</v>
      </c>
    </row>
    <row r="338" spans="1:78">
      <c r="A338" s="1" t="s">
        <v>520</v>
      </c>
      <c r="X338" s="36">
        <f t="shared" ref="X338:AG338" si="982">X347</f>
        <v>2100</v>
      </c>
      <c r="Y338" s="36">
        <f t="shared" si="982"/>
        <v>950</v>
      </c>
      <c r="Z338" s="36">
        <f t="shared" si="982"/>
        <v>1150</v>
      </c>
      <c r="AA338" s="36">
        <f t="shared" si="982"/>
        <v>4600</v>
      </c>
      <c r="AB338" s="36">
        <f t="shared" si="982"/>
        <v>8800</v>
      </c>
      <c r="AC338" s="36">
        <f t="shared" si="982"/>
        <v>5800</v>
      </c>
      <c r="AD338" s="36">
        <f t="shared" si="982"/>
        <v>6300</v>
      </c>
      <c r="AE338" s="36">
        <f t="shared" si="982"/>
        <v>3200</v>
      </c>
      <c r="AF338" s="36">
        <f t="shared" si="982"/>
        <v>3590</v>
      </c>
      <c r="AG338" s="36">
        <f t="shared" si="982"/>
        <v>18890</v>
      </c>
      <c r="AH338" s="36">
        <f t="shared" ref="AH338:AI338" si="983">AH347</f>
        <v>2100</v>
      </c>
      <c r="AI338" s="36">
        <f t="shared" si="983"/>
        <v>930</v>
      </c>
      <c r="AJ338" s="36">
        <f t="shared" ref="AJ338:AK338" si="984">AJ347</f>
        <v>1630</v>
      </c>
      <c r="AK338" s="36">
        <f t="shared" si="984"/>
        <v>1130</v>
      </c>
      <c r="AL338" s="36">
        <f t="shared" ref="AL338:AM338" si="985">AL347</f>
        <v>5790</v>
      </c>
      <c r="AM338" s="36">
        <f t="shared" si="985"/>
        <v>560</v>
      </c>
      <c r="AN338" s="36">
        <f t="shared" ref="AN338:AR338" si="986">AN347</f>
        <v>16360</v>
      </c>
      <c r="AO338" s="36">
        <f t="shared" si="986"/>
        <v>2040</v>
      </c>
      <c r="AP338" s="36">
        <f t="shared" si="986"/>
        <v>2410</v>
      </c>
      <c r="AQ338" s="36">
        <f t="shared" si="986"/>
        <v>21370</v>
      </c>
      <c r="AR338" s="36">
        <f t="shared" si="986"/>
        <v>810</v>
      </c>
      <c r="AS338" s="36">
        <f t="shared" ref="AS338:AU338" si="987">AS347</f>
        <v>960</v>
      </c>
      <c r="AT338" s="36">
        <f t="shared" si="987"/>
        <v>750</v>
      </c>
      <c r="AU338" s="36">
        <f t="shared" si="987"/>
        <v>710</v>
      </c>
      <c r="AV338" s="36">
        <f>SUM(AR338:AU338)</f>
        <v>3230</v>
      </c>
      <c r="AW338" s="36">
        <f t="shared" ref="AW338:AZ338" si="988">AW347</f>
        <v>1250</v>
      </c>
      <c r="AX338" s="36">
        <f t="shared" si="988"/>
        <v>1240</v>
      </c>
      <c r="AY338" s="36">
        <f t="shared" si="988"/>
        <v>425</v>
      </c>
      <c r="AZ338" s="36">
        <f t="shared" si="988"/>
        <v>0</v>
      </c>
      <c r="BA338" s="36">
        <f>SUM(AW338:AZ338)</f>
        <v>2915</v>
      </c>
      <c r="BB338" s="36">
        <f t="shared" ref="BB338:BE338" si="989">BB347</f>
        <v>3640</v>
      </c>
      <c r="BC338" s="36">
        <f t="shared" si="989"/>
        <v>3605</v>
      </c>
      <c r="BD338" s="36">
        <f t="shared" si="989"/>
        <v>3570</v>
      </c>
      <c r="BE338" s="36">
        <f t="shared" si="989"/>
        <v>3525</v>
      </c>
      <c r="BF338" s="36">
        <f>SUM(BB338:BE338)</f>
        <v>14340</v>
      </c>
      <c r="BG338" s="36">
        <f t="shared" ref="BG338:BJ338" si="990">BG347</f>
        <v>2780</v>
      </c>
      <c r="BH338" s="36">
        <f t="shared" si="990"/>
        <v>2800</v>
      </c>
      <c r="BI338" s="36">
        <f t="shared" si="990"/>
        <v>2825</v>
      </c>
      <c r="BJ338" s="36">
        <f t="shared" si="990"/>
        <v>2850</v>
      </c>
      <c r="BK338" s="36">
        <f>SUM(BG338:BJ338)</f>
        <v>11255</v>
      </c>
      <c r="BL338" s="36">
        <f t="shared" ref="BL338:BO338" si="991">BL347</f>
        <v>2875</v>
      </c>
      <c r="BM338" s="36">
        <f t="shared" si="991"/>
        <v>2900</v>
      </c>
      <c r="BN338" s="36">
        <f t="shared" si="991"/>
        <v>2925</v>
      </c>
      <c r="BO338" s="36">
        <f t="shared" si="991"/>
        <v>2950</v>
      </c>
      <c r="BP338" s="36">
        <f>SUM(BL338:BO338)</f>
        <v>11650</v>
      </c>
      <c r="BQ338" s="36">
        <f t="shared" ref="BQ338:BS338" si="992">BQ347</f>
        <v>2975</v>
      </c>
      <c r="BR338" s="36">
        <f t="shared" si="992"/>
        <v>3005</v>
      </c>
      <c r="BS338" s="36">
        <f t="shared" si="992"/>
        <v>3025</v>
      </c>
      <c r="BT338" s="36"/>
      <c r="BU338" s="36">
        <f>SUM(BQ338:BT338)</f>
        <v>9005</v>
      </c>
      <c r="BV338" s="36"/>
      <c r="BW338" s="36"/>
      <c r="BX338" s="36"/>
      <c r="BY338" s="36"/>
      <c r="BZ338" s="36"/>
    </row>
    <row r="339" spans="1:78">
      <c r="A339" s="1" t="s">
        <v>521</v>
      </c>
      <c r="Y339" s="36"/>
      <c r="Z339" s="36"/>
      <c r="AA339" s="36"/>
      <c r="AB339" s="36"/>
      <c r="AD339" s="36">
        <f t="shared" ref="AD339:AI339" si="993">AD352</f>
        <v>1300</v>
      </c>
      <c r="AE339" s="36">
        <f t="shared" si="993"/>
        <v>100</v>
      </c>
      <c r="AF339" s="36">
        <f t="shared" si="993"/>
        <v>660</v>
      </c>
      <c r="AG339" s="36">
        <f t="shared" si="993"/>
        <v>2060</v>
      </c>
      <c r="AH339" s="36">
        <f t="shared" si="993"/>
        <v>510</v>
      </c>
      <c r="AI339" s="36">
        <f t="shared" si="993"/>
        <v>60</v>
      </c>
      <c r="AJ339" s="36">
        <f t="shared" ref="AJ339:AK339" si="994">AJ352</f>
        <v>30</v>
      </c>
      <c r="AK339" s="36">
        <f t="shared" si="994"/>
        <v>80</v>
      </c>
      <c r="AL339" s="36">
        <f t="shared" ref="AL339:AM339" si="995">AL352</f>
        <v>680</v>
      </c>
      <c r="AM339" s="36">
        <f t="shared" si="995"/>
        <v>330</v>
      </c>
      <c r="AN339" s="36">
        <f t="shared" ref="AN339:AR339" si="996">AN352</f>
        <v>120</v>
      </c>
      <c r="AO339" s="36">
        <f t="shared" si="996"/>
        <v>120</v>
      </c>
      <c r="AP339" s="36">
        <f t="shared" si="996"/>
        <v>50</v>
      </c>
      <c r="AQ339" s="36">
        <f t="shared" si="996"/>
        <v>620</v>
      </c>
      <c r="AR339" s="36">
        <f t="shared" si="996"/>
        <v>30</v>
      </c>
      <c r="AS339" s="36">
        <f t="shared" ref="AS339:AU339" si="997">AS352</f>
        <v>50</v>
      </c>
      <c r="AT339" s="36">
        <f t="shared" si="997"/>
        <v>380</v>
      </c>
      <c r="AU339" s="36">
        <f t="shared" si="997"/>
        <v>1660</v>
      </c>
      <c r="AV339" s="36">
        <f>SUM(AR339:AU339)</f>
        <v>2120</v>
      </c>
      <c r="AW339" s="36">
        <f t="shared" ref="AW339:AZ339" si="998">AW352</f>
        <v>2100</v>
      </c>
      <c r="AX339" s="36">
        <f t="shared" si="998"/>
        <v>240</v>
      </c>
      <c r="AY339" s="36">
        <f t="shared" si="998"/>
        <v>0</v>
      </c>
      <c r="AZ339" s="36">
        <f t="shared" si="998"/>
        <v>480</v>
      </c>
      <c r="BA339" s="36">
        <f>SUM(AW339:AZ339)</f>
        <v>2820</v>
      </c>
      <c r="BB339" s="36">
        <f t="shared" ref="BB339:BE339" si="999">BB352</f>
        <v>760</v>
      </c>
      <c r="BC339" s="36">
        <f t="shared" si="999"/>
        <v>865</v>
      </c>
      <c r="BD339" s="36">
        <f t="shared" si="999"/>
        <v>975</v>
      </c>
      <c r="BE339" s="36">
        <f t="shared" si="999"/>
        <v>1010</v>
      </c>
      <c r="BF339" s="36">
        <f>SUM(BB339:BE339)</f>
        <v>3610</v>
      </c>
      <c r="BG339" s="36">
        <f t="shared" ref="BG339:BJ339" si="1000">BG352</f>
        <v>3025</v>
      </c>
      <c r="BH339" s="36">
        <f t="shared" si="1000"/>
        <v>3130</v>
      </c>
      <c r="BI339" s="36">
        <f t="shared" si="1000"/>
        <v>3245</v>
      </c>
      <c r="BJ339" s="36">
        <f t="shared" si="1000"/>
        <v>3365</v>
      </c>
      <c r="BK339" s="36">
        <f>SUM(BG339:BJ339)</f>
        <v>12765</v>
      </c>
      <c r="BL339" s="36">
        <f t="shared" ref="BL339:BO339" si="1001">BL352</f>
        <v>5245</v>
      </c>
      <c r="BM339" s="36">
        <f t="shared" si="1001"/>
        <v>5380</v>
      </c>
      <c r="BN339" s="36">
        <f t="shared" si="1001"/>
        <v>5530</v>
      </c>
      <c r="BO339" s="36">
        <f t="shared" si="1001"/>
        <v>5685</v>
      </c>
      <c r="BP339" s="36">
        <f>SUM(BL339:BO339)</f>
        <v>21840</v>
      </c>
      <c r="BQ339" s="36">
        <f t="shared" ref="BQ339:BT339" si="1002">BQ352</f>
        <v>7800</v>
      </c>
      <c r="BR339" s="36">
        <f t="shared" si="1002"/>
        <v>7895</v>
      </c>
      <c r="BS339" s="36">
        <f t="shared" si="1002"/>
        <v>7990</v>
      </c>
      <c r="BT339" s="36">
        <f t="shared" si="1002"/>
        <v>8090</v>
      </c>
      <c r="BU339" s="36">
        <f>SUM(BQ339:BT339)</f>
        <v>31775</v>
      </c>
      <c r="BV339" s="36">
        <f t="shared" ref="BV339:BY339" si="1003">BV352</f>
        <v>8190</v>
      </c>
      <c r="BW339" s="36">
        <f t="shared" si="1003"/>
        <v>8290</v>
      </c>
      <c r="BX339" s="36">
        <f t="shared" si="1003"/>
        <v>8390</v>
      </c>
      <c r="BY339" s="36">
        <f t="shared" si="1003"/>
        <v>8495</v>
      </c>
      <c r="BZ339" s="36">
        <f>SUM(BV339:BY339)</f>
        <v>33365</v>
      </c>
    </row>
    <row r="340" spans="1:78">
      <c r="A340" s="1" t="s">
        <v>666</v>
      </c>
      <c r="Y340" s="36"/>
      <c r="Z340" s="36"/>
      <c r="AA340" s="36"/>
      <c r="AB340" s="36"/>
      <c r="AD340" s="36"/>
      <c r="AE340" s="36"/>
      <c r="AF340" s="36"/>
      <c r="AG340" s="36"/>
      <c r="AH340" s="36"/>
      <c r="AI340" s="36"/>
      <c r="AM340" s="36"/>
      <c r="AN340" s="36"/>
      <c r="AR340" s="36"/>
      <c r="AS340" s="36">
        <f>AS357</f>
        <v>0</v>
      </c>
      <c r="AT340" s="36">
        <f>AT357</f>
        <v>0</v>
      </c>
      <c r="AU340" s="36">
        <f>AU357</f>
        <v>0</v>
      </c>
      <c r="AV340" s="36">
        <f>SUM(AR340:AU340)</f>
        <v>0</v>
      </c>
      <c r="AW340" s="36">
        <f>AW357</f>
        <v>0</v>
      </c>
      <c r="AX340" s="36">
        <f>AX357</f>
        <v>0</v>
      </c>
      <c r="AY340" s="36">
        <f>AY357</f>
        <v>70</v>
      </c>
      <c r="AZ340" s="36">
        <f>AZ357</f>
        <v>70</v>
      </c>
      <c r="BA340" s="36">
        <f>SUM(AW340:AZ340)</f>
        <v>140</v>
      </c>
      <c r="BB340" s="36">
        <f>BB357</f>
        <v>115</v>
      </c>
      <c r="BC340" s="36">
        <f>BC357</f>
        <v>120</v>
      </c>
      <c r="BD340" s="36">
        <f>BD357</f>
        <v>125</v>
      </c>
      <c r="BE340" s="36">
        <f>BE357</f>
        <v>130</v>
      </c>
      <c r="BF340" s="36">
        <f>SUM(BB340:BE340)</f>
        <v>490</v>
      </c>
      <c r="BG340" s="36">
        <f>BG357</f>
        <v>205</v>
      </c>
      <c r="BH340" s="36">
        <f>BH357</f>
        <v>210</v>
      </c>
      <c r="BI340" s="36">
        <f>BI357</f>
        <v>215</v>
      </c>
      <c r="BJ340" s="36">
        <f>BJ357</f>
        <v>225</v>
      </c>
      <c r="BK340" s="36">
        <f>SUM(BG340:BJ340)</f>
        <v>855</v>
      </c>
      <c r="BL340" s="36">
        <f>BL357</f>
        <v>310</v>
      </c>
      <c r="BM340" s="36">
        <f>BM357</f>
        <v>315</v>
      </c>
      <c r="BN340" s="36">
        <f>BN357</f>
        <v>325</v>
      </c>
      <c r="BO340" s="36">
        <f>BO357</f>
        <v>330</v>
      </c>
      <c r="BP340" s="36">
        <f>SUM(BL340:BO340)</f>
        <v>1280</v>
      </c>
      <c r="BQ340" s="36">
        <f>BQ357</f>
        <v>340</v>
      </c>
      <c r="BR340" s="36">
        <f>BR357</f>
        <v>345</v>
      </c>
      <c r="BS340" s="36">
        <f>BS357</f>
        <v>355</v>
      </c>
      <c r="BT340" s="36">
        <f>BT357</f>
        <v>360</v>
      </c>
      <c r="BU340" s="36">
        <f>SUM(BQ340:BT340)</f>
        <v>1400</v>
      </c>
      <c r="BV340" s="36">
        <f>BV357</f>
        <v>370</v>
      </c>
      <c r="BW340" s="36">
        <f>BW357</f>
        <v>375</v>
      </c>
      <c r="BX340" s="36">
        <f>BX357</f>
        <v>385</v>
      </c>
      <c r="BY340" s="36">
        <f>BY357</f>
        <v>395</v>
      </c>
      <c r="BZ340" s="36">
        <f>SUM(BV340:BY340)</f>
        <v>1525</v>
      </c>
    </row>
    <row r="341" spans="1:78">
      <c r="A341" s="1" t="s">
        <v>276</v>
      </c>
      <c r="X341" s="36">
        <f t="shared" ref="X341:AI341" si="1004">X342-SUM(X338:X339)</f>
        <v>-265</v>
      </c>
      <c r="Y341" s="36">
        <f t="shared" si="1004"/>
        <v>-160</v>
      </c>
      <c r="Z341" s="36">
        <f t="shared" si="1004"/>
        <v>-25</v>
      </c>
      <c r="AA341" s="36">
        <f t="shared" si="1004"/>
        <v>-295</v>
      </c>
      <c r="AB341" s="60">
        <f t="shared" si="1004"/>
        <v>-745</v>
      </c>
      <c r="AC341" s="36">
        <f t="shared" si="1004"/>
        <v>80</v>
      </c>
      <c r="AD341" s="36">
        <f t="shared" si="1004"/>
        <v>-1090</v>
      </c>
      <c r="AE341" s="36">
        <f t="shared" si="1004"/>
        <v>-55</v>
      </c>
      <c r="AF341" s="36">
        <f t="shared" si="1004"/>
        <v>-85</v>
      </c>
      <c r="AG341" s="36">
        <f t="shared" si="1004"/>
        <v>-1155</v>
      </c>
      <c r="AH341" s="36">
        <f t="shared" si="1004"/>
        <v>55</v>
      </c>
      <c r="AI341" s="36">
        <f t="shared" si="1004"/>
        <v>-195</v>
      </c>
      <c r="AJ341" s="36">
        <f t="shared" ref="AJ341:AK341" si="1005">AJ342-SUM(AJ338:AJ339)</f>
        <v>-55</v>
      </c>
      <c r="AK341" s="36">
        <f t="shared" si="1005"/>
        <v>-70</v>
      </c>
      <c r="AL341" s="36">
        <f t="shared" ref="AL341:AM341" si="1006">AL342-SUM(AL338:AL339)</f>
        <v>-260</v>
      </c>
      <c r="AM341" s="36">
        <f t="shared" si="1006"/>
        <v>85</v>
      </c>
      <c r="AN341" s="170">
        <f t="shared" ref="AN341:AR341" si="1007">AN342-SUM(AN338:AN339)</f>
        <v>-15485</v>
      </c>
      <c r="AO341" s="36">
        <f t="shared" si="1007"/>
        <v>-200</v>
      </c>
      <c r="AP341" s="36">
        <f t="shared" si="1007"/>
        <v>-65</v>
      </c>
      <c r="AQ341" s="36">
        <f t="shared" si="1007"/>
        <v>-15660</v>
      </c>
      <c r="AR341" s="36">
        <f t="shared" si="1007"/>
        <v>-125</v>
      </c>
      <c r="AV341" s="36">
        <f>SUM(AR341:AU341)</f>
        <v>-125</v>
      </c>
      <c r="BA341" s="36">
        <f>SUM(AW341:AZ341)</f>
        <v>0</v>
      </c>
      <c r="BF341" s="36">
        <f>SUM(BB341:BE341)</f>
        <v>0</v>
      </c>
      <c r="BK341" s="36">
        <f>SUM(BG341:BJ341)</f>
        <v>0</v>
      </c>
      <c r="BP341" s="36">
        <f>SUM(BL341:BO341)</f>
        <v>0</v>
      </c>
      <c r="BU341" s="36">
        <f>SUM(BQ341:BT341)</f>
        <v>0</v>
      </c>
      <c r="BZ341" s="36">
        <f>SUM(BV341:BY341)</f>
        <v>0</v>
      </c>
    </row>
    <row r="342" spans="1:78">
      <c r="A342" s="9" t="s">
        <v>378</v>
      </c>
      <c r="B342" s="9"/>
      <c r="C342" s="9"/>
      <c r="D342" s="9"/>
      <c r="E342" s="9"/>
      <c r="F342" s="9"/>
      <c r="G342" s="9"/>
      <c r="H342" s="9"/>
      <c r="I342" s="9"/>
      <c r="J342" s="94"/>
      <c r="K342" s="9"/>
      <c r="L342" s="9"/>
      <c r="M342" s="9"/>
      <c r="N342" s="9"/>
      <c r="O342" s="9"/>
      <c r="P342" s="9"/>
      <c r="Q342" s="9"/>
      <c r="R342" s="9"/>
      <c r="S342" s="9"/>
      <c r="T342" s="9"/>
      <c r="U342" s="9"/>
      <c r="V342" s="9"/>
      <c r="W342" s="9"/>
      <c r="X342" s="39">
        <f t="shared" ref="X342:AG342" si="1008">MROUND(X320, 5)</f>
        <v>1835</v>
      </c>
      <c r="Y342" s="39">
        <f t="shared" si="1008"/>
        <v>790</v>
      </c>
      <c r="Z342" s="39">
        <f t="shared" si="1008"/>
        <v>1125</v>
      </c>
      <c r="AA342" s="39">
        <f t="shared" si="1008"/>
        <v>4305</v>
      </c>
      <c r="AB342" s="39">
        <f t="shared" si="1008"/>
        <v>8055</v>
      </c>
      <c r="AC342" s="39">
        <f t="shared" si="1008"/>
        <v>5880</v>
      </c>
      <c r="AD342" s="39">
        <f t="shared" si="1008"/>
        <v>6510</v>
      </c>
      <c r="AE342" s="39">
        <f t="shared" si="1008"/>
        <v>3245</v>
      </c>
      <c r="AF342" s="39">
        <f t="shared" si="1008"/>
        <v>4165</v>
      </c>
      <c r="AG342" s="39">
        <f t="shared" si="1008"/>
        <v>19795</v>
      </c>
      <c r="AH342" s="39">
        <f t="shared" ref="AH342:AI342" si="1009">MROUND(AH320, 5)</f>
        <v>2665</v>
      </c>
      <c r="AI342" s="39">
        <f t="shared" si="1009"/>
        <v>795</v>
      </c>
      <c r="AJ342" s="39">
        <f t="shared" ref="AJ342:AK342" si="1010">MROUND(AJ320, 5)</f>
        <v>1605</v>
      </c>
      <c r="AK342" s="39">
        <f t="shared" si="1010"/>
        <v>1140</v>
      </c>
      <c r="AL342" s="39">
        <f t="shared" ref="AL342:AM342" si="1011">MROUND(AL320, 5)</f>
        <v>6210</v>
      </c>
      <c r="AM342" s="39">
        <f t="shared" si="1011"/>
        <v>975</v>
      </c>
      <c r="AN342" s="39">
        <f t="shared" ref="AN342:AR342" si="1012">MROUND(AN320, 5)</f>
        <v>995</v>
      </c>
      <c r="AO342" s="39">
        <f t="shared" si="1012"/>
        <v>1960</v>
      </c>
      <c r="AP342" s="39">
        <f t="shared" si="1012"/>
        <v>2395</v>
      </c>
      <c r="AQ342" s="39">
        <f t="shared" si="1012"/>
        <v>6330</v>
      </c>
      <c r="AR342" s="39">
        <f t="shared" si="1012"/>
        <v>715</v>
      </c>
      <c r="AS342" s="39">
        <f t="shared" ref="AS342:BZ342" si="1013">SUM(AS338:AS341)</f>
        <v>1010</v>
      </c>
      <c r="AT342" s="39">
        <f t="shared" si="1013"/>
        <v>1130</v>
      </c>
      <c r="AU342" s="39">
        <f t="shared" si="1013"/>
        <v>2370</v>
      </c>
      <c r="AV342" s="39">
        <f t="shared" si="1013"/>
        <v>5225</v>
      </c>
      <c r="AW342" s="39">
        <f t="shared" si="1013"/>
        <v>3350</v>
      </c>
      <c r="AX342" s="39">
        <f t="shared" si="1013"/>
        <v>1480</v>
      </c>
      <c r="AY342" s="39">
        <f t="shared" ref="AY342" si="1014">SUM(AY338:AY341)</f>
        <v>495</v>
      </c>
      <c r="AZ342" s="39">
        <f t="shared" si="1013"/>
        <v>550</v>
      </c>
      <c r="BA342" s="39">
        <f t="shared" si="1013"/>
        <v>5875</v>
      </c>
      <c r="BB342" s="39">
        <f t="shared" si="1013"/>
        <v>4515</v>
      </c>
      <c r="BC342" s="39">
        <f t="shared" si="1013"/>
        <v>4590</v>
      </c>
      <c r="BD342" s="39">
        <f t="shared" si="1013"/>
        <v>4670</v>
      </c>
      <c r="BE342" s="39">
        <f t="shared" si="1013"/>
        <v>4665</v>
      </c>
      <c r="BF342" s="39">
        <f t="shared" si="1013"/>
        <v>18440</v>
      </c>
      <c r="BG342" s="39">
        <f t="shared" si="1013"/>
        <v>6010</v>
      </c>
      <c r="BH342" s="39">
        <f t="shared" si="1013"/>
        <v>6140</v>
      </c>
      <c r="BI342" s="39">
        <f t="shared" si="1013"/>
        <v>6285</v>
      </c>
      <c r="BJ342" s="39">
        <f t="shared" si="1013"/>
        <v>6440</v>
      </c>
      <c r="BK342" s="39">
        <f t="shared" si="1013"/>
        <v>24875</v>
      </c>
      <c r="BL342" s="39">
        <f t="shared" si="1013"/>
        <v>8430</v>
      </c>
      <c r="BM342" s="39">
        <f t="shared" si="1013"/>
        <v>8595</v>
      </c>
      <c r="BN342" s="39">
        <f t="shared" si="1013"/>
        <v>8780</v>
      </c>
      <c r="BO342" s="39">
        <f t="shared" si="1013"/>
        <v>8965</v>
      </c>
      <c r="BP342" s="39">
        <f t="shared" si="1013"/>
        <v>34770</v>
      </c>
      <c r="BQ342" s="39">
        <f t="shared" si="1013"/>
        <v>11115</v>
      </c>
      <c r="BR342" s="39">
        <f t="shared" si="1013"/>
        <v>11245</v>
      </c>
      <c r="BS342" s="39">
        <f t="shared" si="1013"/>
        <v>11370</v>
      </c>
      <c r="BT342" s="39">
        <f t="shared" si="1013"/>
        <v>8450</v>
      </c>
      <c r="BU342" s="39">
        <f t="shared" si="1013"/>
        <v>42180</v>
      </c>
      <c r="BV342" s="39">
        <f t="shared" si="1013"/>
        <v>8560</v>
      </c>
      <c r="BW342" s="39">
        <f t="shared" si="1013"/>
        <v>8665</v>
      </c>
      <c r="BX342" s="39">
        <f t="shared" si="1013"/>
        <v>8775</v>
      </c>
      <c r="BY342" s="39">
        <f t="shared" si="1013"/>
        <v>8890</v>
      </c>
      <c r="BZ342" s="39">
        <f t="shared" si="1013"/>
        <v>34890</v>
      </c>
    </row>
    <row r="343" spans="1:78">
      <c r="X343" s="154"/>
      <c r="Y343" s="154"/>
      <c r="Z343" s="154"/>
      <c r="AA343" s="154"/>
      <c r="AB343" s="155" t="s">
        <v>540</v>
      </c>
      <c r="AN343" s="160" t="s">
        <v>683</v>
      </c>
      <c r="AO343" s="44"/>
      <c r="AP343" s="44"/>
      <c r="AQ343" s="44"/>
      <c r="AR343" s="44"/>
      <c r="AS343" s="44"/>
      <c r="AT343" s="44"/>
      <c r="AU343" s="44"/>
    </row>
    <row r="344" spans="1:78" s="44" customFormat="1">
      <c r="A344" s="49" t="s">
        <v>499</v>
      </c>
    </row>
    <row r="345" spans="1:78">
      <c r="A345" s="262" t="s">
        <v>2453</v>
      </c>
    </row>
    <row r="346" spans="1:78">
      <c r="A346" s="1" t="s">
        <v>522</v>
      </c>
      <c r="X346" s="143">
        <v>1270</v>
      </c>
      <c r="Y346" s="143">
        <f>1700-X346</f>
        <v>430</v>
      </c>
      <c r="Z346" s="143">
        <f>3500-Y346-X346</f>
        <v>1800</v>
      </c>
      <c r="AA346" s="36">
        <f>AB346-SUM(X346:Z346)</f>
        <v>1200</v>
      </c>
      <c r="AB346" s="143">
        <v>4700</v>
      </c>
      <c r="AC346" s="143">
        <v>2100</v>
      </c>
      <c r="AD346" s="143">
        <f>2500-AC346</f>
        <v>400</v>
      </c>
      <c r="AE346" s="143">
        <f>2900-AD346-AC346</f>
        <v>400</v>
      </c>
      <c r="AF346" s="36">
        <f>AG346-SUM(AC346:AE346)</f>
        <v>430</v>
      </c>
      <c r="AG346" s="143">
        <v>3330</v>
      </c>
      <c r="AH346" s="143">
        <v>60</v>
      </c>
      <c r="AI346" s="143">
        <v>200</v>
      </c>
      <c r="AJ346" s="143">
        <v>160</v>
      </c>
      <c r="AK346" s="36">
        <f>AL346-SUM(AH346:AJ346)</f>
        <v>30</v>
      </c>
      <c r="AL346" s="143">
        <v>450</v>
      </c>
      <c r="AM346" s="143">
        <v>0</v>
      </c>
      <c r="AN346" s="143">
        <v>0</v>
      </c>
      <c r="AO346" s="143">
        <v>0</v>
      </c>
      <c r="AP346" s="36">
        <f>AQ346-SUM(AM346:AO346)</f>
        <v>0</v>
      </c>
      <c r="AQ346" s="143">
        <v>0</v>
      </c>
      <c r="AR346" s="143">
        <v>0</v>
      </c>
      <c r="AS346" s="143">
        <v>0</v>
      </c>
      <c r="AT346" s="143">
        <v>0</v>
      </c>
      <c r="AU346" s="143">
        <v>0</v>
      </c>
      <c r="AV346" s="36">
        <f>SUM(AR346:AU346)</f>
        <v>0</v>
      </c>
      <c r="AW346" s="143">
        <v>0</v>
      </c>
      <c r="AX346" s="143">
        <v>0</v>
      </c>
      <c r="AY346" s="55">
        <f t="shared" ref="AY346:BS346" si="1015">AY730-AX730</f>
        <v>-3800</v>
      </c>
      <c r="AZ346" s="55">
        <f t="shared" si="1015"/>
        <v>0</v>
      </c>
      <c r="BA346" s="36">
        <f>SUM(AW346:AZ346)</f>
        <v>-3800</v>
      </c>
      <c r="BB346" s="55">
        <f t="shared" si="1015"/>
        <v>0</v>
      </c>
      <c r="BC346" s="55">
        <f t="shared" si="1015"/>
        <v>0</v>
      </c>
      <c r="BD346" s="55">
        <f t="shared" si="1015"/>
        <v>0</v>
      </c>
      <c r="BE346" s="55">
        <f t="shared" si="1015"/>
        <v>0</v>
      </c>
      <c r="BF346" s="36">
        <f>SUM(BB346:BE346)</f>
        <v>0</v>
      </c>
      <c r="BG346" s="55">
        <f t="shared" si="1015"/>
        <v>0</v>
      </c>
      <c r="BH346" s="55">
        <f t="shared" si="1015"/>
        <v>0</v>
      </c>
      <c r="BI346" s="55">
        <f t="shared" si="1015"/>
        <v>0</v>
      </c>
      <c r="BJ346" s="55">
        <f t="shared" si="1015"/>
        <v>0</v>
      </c>
      <c r="BK346" s="36">
        <f>SUM(BG346:BJ346)</f>
        <v>0</v>
      </c>
      <c r="BL346" s="55">
        <f t="shared" si="1015"/>
        <v>0</v>
      </c>
      <c r="BM346" s="55">
        <f t="shared" si="1015"/>
        <v>0</v>
      </c>
      <c r="BN346" s="55">
        <f t="shared" si="1015"/>
        <v>0</v>
      </c>
      <c r="BO346" s="55">
        <f t="shared" si="1015"/>
        <v>0</v>
      </c>
      <c r="BP346" s="36">
        <f>SUM(BL346:BO346)</f>
        <v>0</v>
      </c>
      <c r="BQ346" s="55">
        <f t="shared" si="1015"/>
        <v>0</v>
      </c>
      <c r="BR346" s="55">
        <f t="shared" si="1015"/>
        <v>0</v>
      </c>
      <c r="BS346" s="55">
        <f t="shared" si="1015"/>
        <v>0</v>
      </c>
    </row>
    <row r="347" spans="1:78">
      <c r="A347" s="1" t="s">
        <v>523</v>
      </c>
      <c r="X347" s="143">
        <v>2100</v>
      </c>
      <c r="Y347" s="143">
        <f>3050-X347</f>
        <v>950</v>
      </c>
      <c r="Z347" s="143">
        <f>4200-Y347-X347</f>
        <v>1150</v>
      </c>
      <c r="AA347" s="36">
        <f>AB347-SUM(X347:Z347)</f>
        <v>4600</v>
      </c>
      <c r="AB347" s="143">
        <v>8800</v>
      </c>
      <c r="AC347" s="143">
        <v>5800</v>
      </c>
      <c r="AD347" s="143">
        <f>12100-AC347</f>
        <v>6300</v>
      </c>
      <c r="AE347" s="143">
        <f>15300-AD347-AC347</f>
        <v>3200</v>
      </c>
      <c r="AF347" s="36">
        <f>AG347-SUM(AC347:AE347)</f>
        <v>3590</v>
      </c>
      <c r="AG347" s="143">
        <v>18890</v>
      </c>
      <c r="AH347" s="143">
        <v>2100</v>
      </c>
      <c r="AI347" s="143">
        <v>930</v>
      </c>
      <c r="AJ347" s="143">
        <v>1630</v>
      </c>
      <c r="AK347" s="36">
        <f>AL347-SUM(AH347:AJ347)</f>
        <v>1130</v>
      </c>
      <c r="AL347" s="143">
        <v>5790</v>
      </c>
      <c r="AM347" s="143">
        <v>560</v>
      </c>
      <c r="AN347" s="143">
        <v>16360</v>
      </c>
      <c r="AO347" s="143">
        <v>2040</v>
      </c>
      <c r="AP347" s="36">
        <f>AQ347-SUM(AM347:AO347)</f>
        <v>2410</v>
      </c>
      <c r="AQ347" s="143">
        <v>21370</v>
      </c>
      <c r="AR347" s="143">
        <v>810</v>
      </c>
      <c r="AS347" s="143">
        <v>960</v>
      </c>
      <c r="AT347" s="143">
        <v>750</v>
      </c>
      <c r="AU347" s="143">
        <v>710</v>
      </c>
      <c r="AV347" s="36">
        <f>SUM(AR347:AU347)</f>
        <v>3230</v>
      </c>
      <c r="AW347" s="143">
        <v>1250</v>
      </c>
      <c r="AX347" s="143">
        <v>1240</v>
      </c>
      <c r="AY347" s="55">
        <f>'SVF1'!AY17</f>
        <v>425</v>
      </c>
      <c r="AZ347" s="55">
        <f>'SVF1'!AZ17</f>
        <v>0</v>
      </c>
      <c r="BA347" s="36">
        <f>SUM(AW347:AZ347)</f>
        <v>2915</v>
      </c>
      <c r="BB347" s="55">
        <f>'SVF1'!BB17</f>
        <v>3640</v>
      </c>
      <c r="BC347" s="55">
        <f>'SVF1'!BC17</f>
        <v>3605</v>
      </c>
      <c r="BD347" s="55">
        <f>'SVF1'!BD17</f>
        <v>3570</v>
      </c>
      <c r="BE347" s="55">
        <f>'SVF1'!BE17</f>
        <v>3525</v>
      </c>
      <c r="BF347" s="36">
        <f>SUM(BB347:BE347)</f>
        <v>14340</v>
      </c>
      <c r="BG347" s="55">
        <f>'SVF1'!BG17</f>
        <v>2780</v>
      </c>
      <c r="BH347" s="55">
        <f>'SVF1'!BH17</f>
        <v>2800</v>
      </c>
      <c r="BI347" s="55">
        <f>'SVF1'!BI17</f>
        <v>2825</v>
      </c>
      <c r="BJ347" s="55">
        <f>'SVF1'!BJ17</f>
        <v>2850</v>
      </c>
      <c r="BK347" s="36">
        <f>SUM(BG347:BJ347)</f>
        <v>11255</v>
      </c>
      <c r="BL347" s="55">
        <f>'SVF1'!BL17</f>
        <v>2875</v>
      </c>
      <c r="BM347" s="55">
        <f>'SVF1'!BM17</f>
        <v>2900</v>
      </c>
      <c r="BN347" s="55">
        <f>'SVF1'!BN17</f>
        <v>2925</v>
      </c>
      <c r="BO347" s="55">
        <f>'SVF1'!BO17</f>
        <v>2950</v>
      </c>
      <c r="BP347" s="36">
        <f>SUM(BL347:BO347)</f>
        <v>11650</v>
      </c>
      <c r="BQ347" s="55">
        <f>'SVF1'!BQ17</f>
        <v>2975</v>
      </c>
      <c r="BR347" s="55">
        <f>'SVF1'!BR17</f>
        <v>3005</v>
      </c>
      <c r="BS347" s="55">
        <f>'SVF1'!BS17</f>
        <v>3025</v>
      </c>
    </row>
    <row r="348" spans="1:78">
      <c r="AP348" s="22" t="s">
        <v>1386</v>
      </c>
    </row>
    <row r="349" spans="1:78" s="46" customFormat="1">
      <c r="A349" s="47" t="s">
        <v>500</v>
      </c>
    </row>
    <row r="350" spans="1:78">
      <c r="A350" s="262" t="s">
        <v>2453</v>
      </c>
    </row>
    <row r="351" spans="1:78">
      <c r="A351" s="1" t="s">
        <v>524</v>
      </c>
      <c r="Y351" s="120">
        <v>640</v>
      </c>
      <c r="Z351" s="120">
        <f>2300-Y351</f>
        <v>1660</v>
      </c>
      <c r="AA351" s="36">
        <f>AB351-SUM(X351:Z351)</f>
        <v>2400</v>
      </c>
      <c r="AB351" s="120">
        <v>4700</v>
      </c>
      <c r="AC351" s="120">
        <v>13500</v>
      </c>
      <c r="AD351" s="120">
        <f>27200-AC351</f>
        <v>13700</v>
      </c>
      <c r="AE351" s="120">
        <f>36300-AD351-AC351</f>
        <v>9100</v>
      </c>
      <c r="AF351" s="36">
        <f>AG351-SUM(AC351:AE351)</f>
        <v>4520</v>
      </c>
      <c r="AG351" s="120">
        <v>40820</v>
      </c>
      <c r="AH351" s="120">
        <v>2110</v>
      </c>
      <c r="AI351" s="120">
        <v>130</v>
      </c>
      <c r="AJ351" s="120">
        <v>100</v>
      </c>
      <c r="AK351" s="36">
        <f>AL351-SUM(AH351:AJ351)</f>
        <v>350</v>
      </c>
      <c r="AL351" s="120">
        <v>2690</v>
      </c>
      <c r="AM351" s="120">
        <v>1560</v>
      </c>
      <c r="AN351" s="120">
        <v>370</v>
      </c>
      <c r="AO351" s="120">
        <v>90</v>
      </c>
      <c r="AP351" s="36">
        <f>AQ351-SUM(AM351:AO351)</f>
        <v>120</v>
      </c>
      <c r="AQ351" s="120">
        <v>2140</v>
      </c>
      <c r="AR351" s="120">
        <v>620</v>
      </c>
      <c r="AS351" s="120">
        <v>620</v>
      </c>
      <c r="AT351" s="120">
        <v>1310</v>
      </c>
      <c r="AU351" s="120">
        <v>5650</v>
      </c>
      <c r="AV351" s="36">
        <f>SUM(AR351:AU351)</f>
        <v>8200</v>
      </c>
      <c r="AW351" s="120">
        <v>10130</v>
      </c>
      <c r="AX351" s="120">
        <v>1090</v>
      </c>
      <c r="AY351" s="55">
        <f t="shared" ref="AY351:AZ351" si="1016">AY890-AX890</f>
        <v>21500</v>
      </c>
      <c r="AZ351" s="55">
        <f t="shared" si="1016"/>
        <v>500</v>
      </c>
      <c r="BA351" s="36">
        <f>SUM(AW351:AZ351)</f>
        <v>33220</v>
      </c>
      <c r="BB351" s="55">
        <f>BB890-BA890</f>
        <v>10000</v>
      </c>
      <c r="BC351" s="55">
        <f>BC890-BB890</f>
        <v>10000</v>
      </c>
      <c r="BD351" s="55">
        <f t="shared" ref="BD351:BE351" si="1017">BD890-BC890</f>
        <v>10000</v>
      </c>
      <c r="BE351" s="55">
        <f t="shared" si="1017"/>
        <v>0</v>
      </c>
      <c r="BF351" s="36">
        <f>SUM(BB351:BE351)</f>
        <v>30000</v>
      </c>
      <c r="BG351" s="55">
        <f>BG890-BF890</f>
        <v>0</v>
      </c>
      <c r="BH351" s="55">
        <f>BH890-BG890</f>
        <v>0</v>
      </c>
      <c r="BI351" s="55">
        <f t="shared" ref="BI351:BJ351" si="1018">BI890-BH890</f>
        <v>0</v>
      </c>
      <c r="BJ351" s="55">
        <f t="shared" si="1018"/>
        <v>0</v>
      </c>
      <c r="BK351" s="36">
        <f>SUM(BG351:BJ351)</f>
        <v>0</v>
      </c>
      <c r="BL351" s="55">
        <f>BL890-BK890</f>
        <v>0</v>
      </c>
      <c r="BM351" s="55">
        <f>BM890-BL890</f>
        <v>0</v>
      </c>
      <c r="BN351" s="55">
        <f t="shared" ref="BN351:BO351" si="1019">BN890-BM890</f>
        <v>0</v>
      </c>
      <c r="BO351" s="55">
        <f t="shared" si="1019"/>
        <v>0</v>
      </c>
      <c r="BP351" s="36">
        <f>SUM(BL351:BO351)</f>
        <v>0</v>
      </c>
      <c r="BQ351" s="55">
        <f>BQ890-BP890</f>
        <v>0</v>
      </c>
      <c r="BR351" s="55">
        <f>BR890-BQ890</f>
        <v>0</v>
      </c>
      <c r="BS351" s="55">
        <f t="shared" ref="BS351:BT351" si="1020">BS890-BR890</f>
        <v>0</v>
      </c>
      <c r="BT351" s="55">
        <f t="shared" si="1020"/>
        <v>0</v>
      </c>
      <c r="BU351" s="36">
        <f>SUM(BQ351:BT351)</f>
        <v>0</v>
      </c>
      <c r="BV351" s="55">
        <f>BV890-BU890</f>
        <v>0</v>
      </c>
      <c r="BW351" s="55">
        <f>BW890-BV890</f>
        <v>0</v>
      </c>
      <c r="BX351" s="55">
        <f t="shared" ref="BX351:BY351" si="1021">BX890-BW890</f>
        <v>0</v>
      </c>
      <c r="BY351" s="55">
        <f t="shared" si="1021"/>
        <v>0</v>
      </c>
      <c r="BZ351" s="36">
        <f>SUM(BV351:BY351)</f>
        <v>0</v>
      </c>
    </row>
    <row r="352" spans="1:78">
      <c r="A352" s="1" t="s">
        <v>525</v>
      </c>
      <c r="AD352" s="120">
        <v>1300</v>
      </c>
      <c r="AE352" s="120">
        <f>1400-AD352</f>
        <v>100</v>
      </c>
      <c r="AF352" s="36">
        <f>AG352-SUM(AC352:AE352)</f>
        <v>660</v>
      </c>
      <c r="AG352" s="120">
        <v>2060</v>
      </c>
      <c r="AH352" s="120">
        <v>510</v>
      </c>
      <c r="AI352" s="120">
        <v>60</v>
      </c>
      <c r="AJ352" s="120">
        <v>30</v>
      </c>
      <c r="AK352" s="36">
        <f>AL352-SUM(AH352:AJ352)</f>
        <v>80</v>
      </c>
      <c r="AL352" s="120">
        <v>680</v>
      </c>
      <c r="AM352" s="120">
        <v>330</v>
      </c>
      <c r="AN352" s="120">
        <v>120</v>
      </c>
      <c r="AO352" s="120">
        <v>120</v>
      </c>
      <c r="AP352" s="36">
        <f>AQ352-SUM(AM352:AO352)</f>
        <v>50</v>
      </c>
      <c r="AQ352" s="120">
        <v>620</v>
      </c>
      <c r="AR352" s="120">
        <v>30</v>
      </c>
      <c r="AS352" s="120">
        <v>50</v>
      </c>
      <c r="AT352" s="120">
        <v>380</v>
      </c>
      <c r="AU352" s="120">
        <v>1660</v>
      </c>
      <c r="AV352" s="36">
        <f>SUM(AR352:AU352)</f>
        <v>2120</v>
      </c>
      <c r="AW352" s="120">
        <v>2100</v>
      </c>
      <c r="AX352" s="120">
        <v>240</v>
      </c>
      <c r="AY352" s="55">
        <f>'SVF2'!AY19</f>
        <v>0</v>
      </c>
      <c r="AZ352" s="55">
        <f>'SVF2'!AZ19</f>
        <v>480</v>
      </c>
      <c r="BA352" s="36">
        <f>SUM(AW352:AZ352)</f>
        <v>2820</v>
      </c>
      <c r="BB352" s="55">
        <f>'SVF2'!BB19</f>
        <v>760</v>
      </c>
      <c r="BC352" s="55">
        <f>'SVF2'!BC19</f>
        <v>865</v>
      </c>
      <c r="BD352" s="55">
        <f>'SVF2'!BD19</f>
        <v>975</v>
      </c>
      <c r="BE352" s="55">
        <f>'SVF2'!BE19</f>
        <v>1010</v>
      </c>
      <c r="BF352" s="36">
        <f>SUM(BB352:BE352)</f>
        <v>3610</v>
      </c>
      <c r="BG352" s="55">
        <f>'SVF2'!BG19</f>
        <v>3025</v>
      </c>
      <c r="BH352" s="55">
        <f>'SVF2'!BH19</f>
        <v>3130</v>
      </c>
      <c r="BI352" s="55">
        <f>'SVF2'!BI19</f>
        <v>3245</v>
      </c>
      <c r="BJ352" s="55">
        <f>'SVF2'!BJ19</f>
        <v>3365</v>
      </c>
      <c r="BK352" s="36">
        <f>SUM(BG352:BJ352)</f>
        <v>12765</v>
      </c>
      <c r="BL352" s="55">
        <f>'SVF2'!BL19</f>
        <v>5245</v>
      </c>
      <c r="BM352" s="55">
        <f>'SVF2'!BM19</f>
        <v>5380</v>
      </c>
      <c r="BN352" s="55">
        <f>'SVF2'!BN19</f>
        <v>5530</v>
      </c>
      <c r="BO352" s="55">
        <f>'SVF2'!BO19</f>
        <v>5685</v>
      </c>
      <c r="BP352" s="36">
        <f>SUM(BL352:BO352)</f>
        <v>21840</v>
      </c>
      <c r="BQ352" s="55">
        <f>'SVF2'!BQ19</f>
        <v>7800</v>
      </c>
      <c r="BR352" s="55">
        <f>'SVF2'!BR19</f>
        <v>7895</v>
      </c>
      <c r="BS352" s="55">
        <f>'SVF2'!BS19</f>
        <v>7990</v>
      </c>
      <c r="BT352" s="55">
        <f>'SVF2'!BT19</f>
        <v>8090</v>
      </c>
      <c r="BU352" s="36">
        <f>SUM(BQ352:BT352)</f>
        <v>31775</v>
      </c>
      <c r="BV352" s="55">
        <f>'SVF2'!BV19</f>
        <v>8190</v>
      </c>
      <c r="BW352" s="55">
        <f>'SVF2'!BW19</f>
        <v>8290</v>
      </c>
      <c r="BX352" s="55">
        <f>'SVF2'!BX19</f>
        <v>8390</v>
      </c>
      <c r="BY352" s="55">
        <f>'SVF2'!BY19</f>
        <v>8495</v>
      </c>
      <c r="BZ352" s="36">
        <f>SUM(BV352:BY352)</f>
        <v>33365</v>
      </c>
    </row>
    <row r="354" spans="1:78" s="179" customFormat="1">
      <c r="A354" s="178" t="s">
        <v>628</v>
      </c>
    </row>
    <row r="355" spans="1:78">
      <c r="AP355" s="22" t="s">
        <v>1385</v>
      </c>
    </row>
    <row r="356" spans="1:78">
      <c r="A356" s="1" t="s">
        <v>1383</v>
      </c>
      <c r="AR356" s="55">
        <f>AR992-AQ992</f>
        <v>0</v>
      </c>
      <c r="AS356" s="55">
        <f>AS992-AR992</f>
        <v>0</v>
      </c>
      <c r="AT356" s="55">
        <f>AT992-AS992</f>
        <v>100</v>
      </c>
      <c r="AU356" s="55">
        <f>AU992-AT992</f>
        <v>0</v>
      </c>
      <c r="AV356" s="36">
        <f>SUM(AR356:AU356)</f>
        <v>100</v>
      </c>
      <c r="AW356" s="55">
        <f>AW992-AV992</f>
        <v>0</v>
      </c>
      <c r="AX356" s="55">
        <f>AX992-AW992</f>
        <v>100</v>
      </c>
      <c r="AY356" s="55">
        <f>AY992-AX992</f>
        <v>-100</v>
      </c>
      <c r="AZ356" s="55">
        <f>AZ992-AY992</f>
        <v>0</v>
      </c>
      <c r="BA356" s="36">
        <f>SUM(AW356:AZ356)</f>
        <v>0</v>
      </c>
      <c r="BB356" s="55">
        <f>BB992-BA992</f>
        <v>0</v>
      </c>
      <c r="BC356" s="55">
        <f>BC992-BB992</f>
        <v>0</v>
      </c>
      <c r="BD356" s="55">
        <f>BD992-BC992</f>
        <v>0</v>
      </c>
      <c r="BE356" s="55">
        <f>BE992-BD992</f>
        <v>0</v>
      </c>
      <c r="BF356" s="36">
        <f>SUM(BB356:BE356)</f>
        <v>0</v>
      </c>
      <c r="BG356" s="55">
        <f>BG992-BF992</f>
        <v>0</v>
      </c>
      <c r="BH356" s="55">
        <f>BH992-BG992</f>
        <v>0</v>
      </c>
      <c r="BI356" s="55">
        <f>BI992-BH992</f>
        <v>0</v>
      </c>
      <c r="BJ356" s="55">
        <f>BJ992-BI992</f>
        <v>0</v>
      </c>
      <c r="BK356" s="36">
        <f>SUM(BG356:BJ356)</f>
        <v>0</v>
      </c>
      <c r="BL356" s="55">
        <f>BL992-BK992</f>
        <v>0</v>
      </c>
      <c r="BM356" s="55">
        <f>BM992-BL992</f>
        <v>0</v>
      </c>
      <c r="BN356" s="55">
        <f>BN992-BM992</f>
        <v>0</v>
      </c>
      <c r="BO356" s="55">
        <f>BO992-BN992</f>
        <v>0</v>
      </c>
      <c r="BP356" s="36">
        <f>SUM(BL356:BO356)</f>
        <v>0</v>
      </c>
      <c r="BQ356" s="55">
        <f>BQ992-BP992</f>
        <v>0</v>
      </c>
      <c r="BR356" s="55">
        <f>BR992-BQ992</f>
        <v>0</v>
      </c>
      <c r="BS356" s="55">
        <f>BS992-BR992</f>
        <v>0</v>
      </c>
      <c r="BT356" s="55">
        <f>BT992-BS992</f>
        <v>0</v>
      </c>
      <c r="BU356" s="36">
        <f>SUM(BQ356:BT356)</f>
        <v>0</v>
      </c>
      <c r="BV356" s="55">
        <f>BV992-BU992</f>
        <v>0</v>
      </c>
      <c r="BW356" s="55">
        <f>BW992-BV992</f>
        <v>0</v>
      </c>
      <c r="BX356" s="55">
        <f>BX992-BW992</f>
        <v>0</v>
      </c>
      <c r="BY356" s="55">
        <f>BY992-BX992</f>
        <v>0</v>
      </c>
      <c r="BZ356" s="36">
        <f>SUM(BV356:BY356)</f>
        <v>0</v>
      </c>
    </row>
    <row r="357" spans="1:78">
      <c r="A357" s="1" t="s">
        <v>1384</v>
      </c>
      <c r="AR357" s="55">
        <f>AR988</f>
        <v>0</v>
      </c>
      <c r="AS357" s="55">
        <f>AS988</f>
        <v>0</v>
      </c>
      <c r="AT357" s="55">
        <f>AT988</f>
        <v>0</v>
      </c>
      <c r="AU357" s="55">
        <f>AU988</f>
        <v>0</v>
      </c>
      <c r="AV357" s="36">
        <f>SUM(AR357:AU357)</f>
        <v>0</v>
      </c>
      <c r="AW357" s="55">
        <f>AW988</f>
        <v>0</v>
      </c>
      <c r="AX357" s="55">
        <f>AX988</f>
        <v>0</v>
      </c>
      <c r="AY357" s="55">
        <f>AY988</f>
        <v>70</v>
      </c>
      <c r="AZ357" s="55">
        <f>AZ988</f>
        <v>70</v>
      </c>
      <c r="BA357" s="36">
        <f>SUM(AW357:AZ357)</f>
        <v>140</v>
      </c>
      <c r="BB357" s="55">
        <f>BB988</f>
        <v>115</v>
      </c>
      <c r="BC357" s="55">
        <f>BC988</f>
        <v>120</v>
      </c>
      <c r="BD357" s="55">
        <f>BD988</f>
        <v>125</v>
      </c>
      <c r="BE357" s="55">
        <f>BE988</f>
        <v>130</v>
      </c>
      <c r="BF357" s="36">
        <f>SUM(BB357:BE357)</f>
        <v>490</v>
      </c>
      <c r="BG357" s="55">
        <f>BG988</f>
        <v>205</v>
      </c>
      <c r="BH357" s="55">
        <f>BH988</f>
        <v>210</v>
      </c>
      <c r="BI357" s="55">
        <f>BI988</f>
        <v>215</v>
      </c>
      <c r="BJ357" s="55">
        <f>BJ988</f>
        <v>225</v>
      </c>
      <c r="BK357" s="36">
        <f>SUM(BG357:BJ357)</f>
        <v>855</v>
      </c>
      <c r="BL357" s="55">
        <f>BL988</f>
        <v>310</v>
      </c>
      <c r="BM357" s="55">
        <f>BM988</f>
        <v>315</v>
      </c>
      <c r="BN357" s="55">
        <f>BN988</f>
        <v>325</v>
      </c>
      <c r="BO357" s="55">
        <f>BO988</f>
        <v>330</v>
      </c>
      <c r="BP357" s="36">
        <f>SUM(BL357:BO357)</f>
        <v>1280</v>
      </c>
      <c r="BQ357" s="55">
        <f>BQ988</f>
        <v>340</v>
      </c>
      <c r="BR357" s="55">
        <f>BR988</f>
        <v>345</v>
      </c>
      <c r="BS357" s="55">
        <f>BS988</f>
        <v>355</v>
      </c>
      <c r="BT357" s="55">
        <f>BT988</f>
        <v>360</v>
      </c>
      <c r="BU357" s="36">
        <f>SUM(BQ357:BT357)</f>
        <v>1400</v>
      </c>
      <c r="BV357" s="55">
        <f>BV988</f>
        <v>370</v>
      </c>
      <c r="BW357" s="55">
        <f>BW988</f>
        <v>375</v>
      </c>
      <c r="BX357" s="55">
        <f>BX988</f>
        <v>385</v>
      </c>
      <c r="BY357" s="55">
        <f>BY988</f>
        <v>395</v>
      </c>
      <c r="BZ357" s="36">
        <f>SUM(BV357:BY357)</f>
        <v>1525</v>
      </c>
    </row>
    <row r="359" spans="1:78" s="2" customFormat="1">
      <c r="A359" s="4" t="s">
        <v>271</v>
      </c>
    </row>
    <row r="361" spans="1:78" s="44" customFormat="1">
      <c r="A361" s="49" t="s">
        <v>176</v>
      </c>
      <c r="I361" s="53"/>
      <c r="T361" s="53"/>
    </row>
    <row r="363" spans="1:78">
      <c r="A363" s="44" t="s">
        <v>269</v>
      </c>
      <c r="B363" s="44"/>
      <c r="C363" s="44"/>
      <c r="D363" s="44"/>
      <c r="E363" s="44"/>
      <c r="F363" s="44"/>
      <c r="G363" s="44"/>
      <c r="H363" s="44"/>
      <c r="I363" s="74">
        <v>7.0000000000000007E-2</v>
      </c>
      <c r="J363" s="25" t="s">
        <v>273</v>
      </c>
    </row>
    <row r="364" spans="1:78">
      <c r="A364" s="44" t="s">
        <v>272</v>
      </c>
      <c r="B364" s="44"/>
      <c r="C364" s="44"/>
      <c r="D364" s="44"/>
      <c r="E364" s="44"/>
      <c r="F364" s="44"/>
      <c r="G364" s="44"/>
      <c r="H364" s="44"/>
      <c r="I364" s="77">
        <f>(1+I363)^(1/2)-1</f>
        <v>3.4408043278860045E-2</v>
      </c>
    </row>
    <row r="365" spans="1:78">
      <c r="A365" s="44" t="s">
        <v>270</v>
      </c>
      <c r="B365" s="44"/>
      <c r="C365" s="44"/>
      <c r="D365" s="44"/>
      <c r="E365" s="44"/>
      <c r="F365" s="44"/>
      <c r="G365" s="44"/>
      <c r="H365" s="44"/>
      <c r="I365" s="77">
        <f>(1+I363)^(1/4)-1</f>
        <v>1.7058525001811375E-2</v>
      </c>
    </row>
    <row r="367" spans="1:78">
      <c r="A367" s="46" t="s">
        <v>294</v>
      </c>
      <c r="B367" s="46"/>
      <c r="C367" s="46"/>
      <c r="D367" s="46"/>
      <c r="E367" s="46"/>
      <c r="F367" s="46"/>
      <c r="G367" s="46"/>
      <c r="H367" s="46"/>
      <c r="I367" s="74">
        <v>0.08</v>
      </c>
    </row>
    <row r="368" spans="1:78">
      <c r="A368" s="46" t="s">
        <v>295</v>
      </c>
      <c r="B368" s="46"/>
      <c r="C368" s="46"/>
      <c r="D368" s="46"/>
      <c r="E368" s="46"/>
      <c r="F368" s="46"/>
      <c r="G368" s="46"/>
      <c r="H368" s="46"/>
      <c r="I368" s="78">
        <f>(1+I367)^(1/2)-1</f>
        <v>3.9230484541326494E-2</v>
      </c>
    </row>
    <row r="369" spans="1:73">
      <c r="A369" s="46" t="s">
        <v>296</v>
      </c>
      <c r="B369" s="46"/>
      <c r="C369" s="46"/>
      <c r="D369" s="46"/>
      <c r="E369" s="46"/>
      <c r="F369" s="46"/>
      <c r="G369" s="46"/>
      <c r="H369" s="46"/>
      <c r="I369" s="78">
        <f>(1+I367)^(1/4)-1</f>
        <v>1.9426546908273501E-2</v>
      </c>
    </row>
    <row r="370" spans="1:73">
      <c r="N370" s="98" t="s">
        <v>346</v>
      </c>
      <c r="O370" s="71"/>
      <c r="P370" s="71"/>
      <c r="Q370" s="71"/>
      <c r="R370" s="71"/>
      <c r="AD370" s="116" t="s">
        <v>589</v>
      </c>
      <c r="AE370" s="84"/>
      <c r="AF370" s="84"/>
      <c r="AG370" s="84"/>
      <c r="AH370" s="84"/>
      <c r="AI370" s="84"/>
      <c r="AJ370" s="84"/>
      <c r="AK370" s="84"/>
      <c r="AL370" s="84"/>
      <c r="AM370" s="84"/>
      <c r="AN370" s="84"/>
    </row>
    <row r="371" spans="1:73">
      <c r="A371" s="5" t="s">
        <v>205</v>
      </c>
      <c r="I371" s="76">
        <v>0</v>
      </c>
      <c r="J371" s="38">
        <f>I384</f>
        <v>43589</v>
      </c>
      <c r="K371" s="38">
        <f>J384</f>
        <v>1158643</v>
      </c>
      <c r="L371" s="38">
        <f>K384</f>
        <v>1870841</v>
      </c>
      <c r="M371" s="76">
        <v>0</v>
      </c>
      <c r="N371" s="70">
        <v>1844679</v>
      </c>
      <c r="O371" s="38">
        <f>N384</f>
        <v>2012729</v>
      </c>
      <c r="P371" s="38">
        <f>O384</f>
        <v>2177757</v>
      </c>
      <c r="Q371" s="38">
        <f>P384</f>
        <v>3792014</v>
      </c>
      <c r="R371" s="70">
        <v>1844679</v>
      </c>
      <c r="S371" s="38">
        <f>R384</f>
        <v>4136965</v>
      </c>
      <c r="T371" s="38">
        <f>S384</f>
        <v>4470164</v>
      </c>
      <c r="U371" s="38">
        <f>T384</f>
        <v>4573080</v>
      </c>
      <c r="V371" s="38">
        <f>U384</f>
        <v>4789338</v>
      </c>
      <c r="W371" s="38">
        <f>R384</f>
        <v>4136965</v>
      </c>
      <c r="X371" s="38">
        <f>W384</f>
        <v>4584419</v>
      </c>
      <c r="Y371" s="38">
        <f>X384</f>
        <v>5233440</v>
      </c>
      <c r="Z371" s="38">
        <f>Y384</f>
        <v>5244921</v>
      </c>
      <c r="AA371" s="38">
        <f>Z384</f>
        <v>5455916</v>
      </c>
      <c r="AB371" s="38">
        <f>W384</f>
        <v>4584419</v>
      </c>
      <c r="AC371" s="38">
        <f>AB384</f>
        <v>6601791</v>
      </c>
      <c r="AD371" s="55">
        <f>AC384</f>
        <v>6450319</v>
      </c>
      <c r="AE371" s="38">
        <f>AD384</f>
        <v>5689194</v>
      </c>
      <c r="AF371" s="38">
        <f>AE384</f>
        <v>5803702</v>
      </c>
      <c r="AG371" s="38">
        <f>AB384</f>
        <v>6601791</v>
      </c>
      <c r="AH371" s="38">
        <f>AG384</f>
        <v>5289754</v>
      </c>
      <c r="AI371" s="38">
        <f>AH384</f>
        <v>5212143</v>
      </c>
      <c r="AJ371" s="38">
        <f>AI384</f>
        <v>5125940</v>
      </c>
      <c r="AK371" s="38">
        <f>AJ384</f>
        <v>4488128</v>
      </c>
      <c r="AL371" s="38">
        <f>AG384</f>
        <v>5289754</v>
      </c>
      <c r="AM371" s="38">
        <f>AL384</f>
        <v>4470717</v>
      </c>
      <c r="AN371" s="38">
        <f>AM384</f>
        <v>4794774</v>
      </c>
      <c r="AO371" s="38">
        <f>AN384</f>
        <v>4999882</v>
      </c>
      <c r="AP371" s="38">
        <f>AO384</f>
        <v>4647797</v>
      </c>
      <c r="AQ371" s="38">
        <f>AL384</f>
        <v>4470717</v>
      </c>
      <c r="AR371" s="38">
        <f>AQ384</f>
        <v>4680417</v>
      </c>
      <c r="AS371" s="38">
        <f>AR384</f>
        <v>5039497</v>
      </c>
      <c r="AT371" s="38">
        <f>AS384</f>
        <v>4010946</v>
      </c>
      <c r="AU371" s="38">
        <f>AT384</f>
        <v>4251682</v>
      </c>
      <c r="AV371" s="38">
        <f>AQ384</f>
        <v>4680417</v>
      </c>
      <c r="AW371" s="38">
        <f>AV384</f>
        <v>3647647</v>
      </c>
      <c r="AX371" s="38">
        <f>AW384</f>
        <v>3640084</v>
      </c>
      <c r="AY371" s="38">
        <f>AX384</f>
        <v>3778338</v>
      </c>
      <c r="AZ371" s="38">
        <f>AY384</f>
        <v>3623451</v>
      </c>
      <c r="BA371" s="38">
        <f>AV384</f>
        <v>3647647</v>
      </c>
      <c r="BB371" s="38">
        <f>BA384</f>
        <v>3452138.9701976338</v>
      </c>
      <c r="BC371" s="38">
        <f>BB384</f>
        <v>3175862.3468318866</v>
      </c>
      <c r="BD371" s="38">
        <f>BC384</f>
        <v>2904697.535984416</v>
      </c>
      <c r="BE371" s="38">
        <f>BD384</f>
        <v>2633101.0121359234</v>
      </c>
      <c r="BF371" s="38">
        <f>BA384</f>
        <v>3452138.9701976338</v>
      </c>
      <c r="BG371" s="38">
        <f>BF384</f>
        <v>2366778.4992829887</v>
      </c>
      <c r="BH371" s="38">
        <f>BG384</f>
        <v>2159348.1774399597</v>
      </c>
      <c r="BI371" s="38">
        <f>BH384</f>
        <v>1948356.7664718037</v>
      </c>
      <c r="BJ371" s="38">
        <f>BI384</f>
        <v>1733047.3427439968</v>
      </c>
      <c r="BK371" s="38">
        <f>BF384</f>
        <v>2366778.4992829887</v>
      </c>
      <c r="BL371" s="38">
        <f>BK384</f>
        <v>1406619.1114984639</v>
      </c>
      <c r="BM371" s="38">
        <f>BL384</f>
        <v>1212025.0453720686</v>
      </c>
      <c r="BN371" s="38">
        <f>BM384</f>
        <v>1015416.9792456736</v>
      </c>
      <c r="BO371" s="38">
        <f>BN384</f>
        <v>816818.91311927885</v>
      </c>
      <c r="BP371" s="38">
        <f>BK384</f>
        <v>1406619.1114984639</v>
      </c>
      <c r="BQ371" s="38">
        <f>BP384</f>
        <v>616254.84699288395</v>
      </c>
      <c r="BR371" s="38">
        <f>BQ384</f>
        <v>413748.78086648899</v>
      </c>
      <c r="BS371" s="38">
        <f>BR384</f>
        <v>207082.21474009406</v>
      </c>
      <c r="BT371" s="38">
        <f>BS384</f>
        <v>24.648613699158886</v>
      </c>
      <c r="BU371" s="38">
        <f>BP384</f>
        <v>616254.84699288395</v>
      </c>
    </row>
    <row r="372" spans="1:73">
      <c r="A372" s="5" t="s">
        <v>206</v>
      </c>
      <c r="I372" s="38"/>
      <c r="J372" s="38">
        <f>J311</f>
        <v>1067703</v>
      </c>
      <c r="K372" s="38">
        <f>K311</f>
        <v>697701</v>
      </c>
      <c r="L372" s="38">
        <f>L311</f>
        <v>201787</v>
      </c>
      <c r="M372" s="38">
        <f t="shared" ref="M372:M379" si="1022">SUM(I372:L372)</f>
        <v>1967191</v>
      </c>
      <c r="N372" s="38">
        <f>N311</f>
        <v>180212</v>
      </c>
      <c r="O372" s="38">
        <f>O311</f>
        <v>213982</v>
      </c>
      <c r="P372" s="38">
        <f>P311</f>
        <v>1498220</v>
      </c>
      <c r="Q372" s="38">
        <f>Q311</f>
        <v>241268</v>
      </c>
      <c r="R372" s="38">
        <f>SUM(N372:Q372)</f>
        <v>2133682</v>
      </c>
      <c r="S372" s="38">
        <f>S311</f>
        <v>345672</v>
      </c>
      <c r="T372" s="38">
        <f>T311</f>
        <v>1010882</v>
      </c>
      <c r="U372" s="38">
        <f>U311</f>
        <v>226457</v>
      </c>
      <c r="V372" s="38">
        <f>V311</f>
        <v>260649</v>
      </c>
      <c r="W372" s="38">
        <f>SUM(S372:V372)</f>
        <v>1843660</v>
      </c>
      <c r="X372" s="38">
        <f>X311</f>
        <v>764660</v>
      </c>
      <c r="Y372" s="38">
        <f>Y311</f>
        <v>0</v>
      </c>
      <c r="Z372" s="38">
        <f>Z311</f>
        <v>10066</v>
      </c>
      <c r="AA372" s="38">
        <f>AA311</f>
        <v>204540</v>
      </c>
      <c r="AB372" s="38">
        <f>SUM(X372:AA372)</f>
        <v>979266</v>
      </c>
      <c r="AC372" s="38">
        <f>AC311</f>
        <v>69687</v>
      </c>
      <c r="AD372" s="38">
        <f>AD311</f>
        <v>13121</v>
      </c>
      <c r="AE372" s="38">
        <f>AE311</f>
        <v>56168</v>
      </c>
      <c r="AF372" s="38">
        <f>AF311</f>
        <v>138848</v>
      </c>
      <c r="AG372" s="38">
        <f>SUM(AC372:AF372)</f>
        <v>277824</v>
      </c>
      <c r="AH372" s="38">
        <f>AH311</f>
        <v>7712</v>
      </c>
      <c r="AI372" s="38">
        <f>AI311</f>
        <v>0</v>
      </c>
      <c r="AJ372" s="38">
        <f>AJ311</f>
        <v>10145</v>
      </c>
      <c r="AK372" s="38">
        <f>AK311</f>
        <v>0</v>
      </c>
      <c r="AL372" s="38">
        <f>SUM(AH372:AK372)</f>
        <v>17857</v>
      </c>
      <c r="AM372" s="38">
        <f>AM311</f>
        <v>0</v>
      </c>
      <c r="AN372" s="38">
        <f>AN311</f>
        <v>0</v>
      </c>
      <c r="AO372" s="38">
        <f>AO311</f>
        <v>0</v>
      </c>
      <c r="AP372" s="38">
        <f>AP311</f>
        <v>0</v>
      </c>
      <c r="AQ372" s="38">
        <f>SUM(AM372:AP372)</f>
        <v>0</v>
      </c>
      <c r="AR372" s="38">
        <f>AR311</f>
        <v>0</v>
      </c>
      <c r="AS372" s="38">
        <f>AS311</f>
        <v>0</v>
      </c>
      <c r="AT372" s="38">
        <f>AT311</f>
        <v>0</v>
      </c>
      <c r="AU372" s="38">
        <f>AU311</f>
        <v>0</v>
      </c>
      <c r="AV372" s="38">
        <f>SUM(AR372:AU372)</f>
        <v>0</v>
      </c>
      <c r="AW372" s="38">
        <f>AW311</f>
        <v>0</v>
      </c>
      <c r="AX372" s="38">
        <f>AX311</f>
        <v>0</v>
      </c>
      <c r="AY372" s="38">
        <f>AY311</f>
        <v>0</v>
      </c>
      <c r="AZ372" s="38">
        <f>AZ390+AZ409</f>
        <v>0</v>
      </c>
      <c r="BA372" s="36">
        <f>SUM(AW372:AZ372)</f>
        <v>0</v>
      </c>
      <c r="BB372" s="38">
        <f>BB390+BB409</f>
        <v>0</v>
      </c>
      <c r="BC372" s="38">
        <f>BC390+BC409</f>
        <v>0</v>
      </c>
      <c r="BD372" s="38">
        <f>BD390+BD409</f>
        <v>0</v>
      </c>
      <c r="BE372" s="38">
        <f>BE390+BE409</f>
        <v>0</v>
      </c>
      <c r="BF372" s="36">
        <f>SUM(BB372:BE372)</f>
        <v>0</v>
      </c>
      <c r="BG372" s="38">
        <f>BG390+BG409</f>
        <v>0</v>
      </c>
      <c r="BH372" s="38">
        <f>BH390+BH409</f>
        <v>0</v>
      </c>
      <c r="BI372" s="38">
        <f>BI390+BI409</f>
        <v>0</v>
      </c>
      <c r="BJ372" s="38">
        <f>BJ390+BJ409</f>
        <v>0</v>
      </c>
      <c r="BK372" s="36">
        <f>SUM(BG372:BJ372)</f>
        <v>0</v>
      </c>
      <c r="BL372" s="38">
        <f>BL390+BL409</f>
        <v>0</v>
      </c>
      <c r="BM372" s="38">
        <f>BM390+BM409</f>
        <v>0</v>
      </c>
      <c r="BN372" s="38">
        <f>BN390+BN409</f>
        <v>0</v>
      </c>
      <c r="BO372" s="38">
        <f>BO390+BO409</f>
        <v>0</v>
      </c>
      <c r="BP372" s="36">
        <f>SUM(BL372:BO372)</f>
        <v>0</v>
      </c>
      <c r="BQ372" s="38">
        <f>BQ390+BQ409</f>
        <v>0</v>
      </c>
      <c r="BR372" s="38">
        <f>BR390+BR409</f>
        <v>0</v>
      </c>
      <c r="BS372" s="38">
        <f>BS390+BS409</f>
        <v>0</v>
      </c>
      <c r="BT372" s="38">
        <f>BT390+BT409</f>
        <v>0</v>
      </c>
      <c r="BU372" s="36">
        <f>SUM(BQ372:BT372)</f>
        <v>0</v>
      </c>
    </row>
    <row r="373" spans="1:73">
      <c r="A373" s="5" t="s">
        <v>274</v>
      </c>
      <c r="I373" s="38">
        <f>-I32</f>
        <v>43589</v>
      </c>
      <c r="J373" s="38">
        <f>-J32</f>
        <v>33568</v>
      </c>
      <c r="K373" s="38">
        <f>-K32</f>
        <v>31006</v>
      </c>
      <c r="L373" s="38">
        <f>-L32</f>
        <v>52219</v>
      </c>
      <c r="M373" s="38">
        <f t="shared" si="1022"/>
        <v>160382</v>
      </c>
      <c r="N373" s="38">
        <f>-N32</f>
        <v>72889</v>
      </c>
      <c r="O373" s="38">
        <f>-O32</f>
        <v>126868</v>
      </c>
      <c r="P373" s="38">
        <f>-P32</f>
        <v>253772</v>
      </c>
      <c r="Q373" s="38">
        <f>-Q32</f>
        <v>132623</v>
      </c>
      <c r="R373" s="38">
        <f>SUM(N373:Q373)</f>
        <v>586152</v>
      </c>
      <c r="S373" s="38">
        <f>-S32</f>
        <v>184488</v>
      </c>
      <c r="T373" s="38">
        <f>-T32</f>
        <v>-365263</v>
      </c>
      <c r="U373" s="38">
        <f>-U32</f>
        <v>-9230</v>
      </c>
      <c r="V373" s="38">
        <f>-V32</f>
        <v>-350925</v>
      </c>
      <c r="W373" s="38">
        <f>SUM(S373:V373)</f>
        <v>-540930</v>
      </c>
      <c r="X373" s="38">
        <f>-X32</f>
        <v>147643</v>
      </c>
      <c r="Y373" s="38">
        <f>-Y32</f>
        <v>309894</v>
      </c>
      <c r="Z373" s="38">
        <f>-Z32</f>
        <v>499199</v>
      </c>
      <c r="AA373" s="38">
        <f>-AA32</f>
        <v>1289681</v>
      </c>
      <c r="AB373" s="38">
        <f>SUM(X373:AA373)</f>
        <v>2246417</v>
      </c>
      <c r="AC373" s="38">
        <f>-AC32</f>
        <v>134093</v>
      </c>
      <c r="AD373" s="55">
        <f>-AD52</f>
        <v>-330376</v>
      </c>
      <c r="AE373" s="38">
        <f>-AE52</f>
        <v>19382</v>
      </c>
      <c r="AF373" s="38">
        <f>-AF52</f>
        <v>-733681</v>
      </c>
      <c r="AG373" s="38">
        <f>SUM(AC373:AF373)</f>
        <v>-910582</v>
      </c>
      <c r="AH373" s="38">
        <f>-AH52</f>
        <v>-408818</v>
      </c>
      <c r="AI373" s="38">
        <f>-AI52</f>
        <v>-286976</v>
      </c>
      <c r="AJ373" s="38">
        <f>-AJ52</f>
        <v>-114765</v>
      </c>
      <c r="AK373" s="38">
        <f>-AK52</f>
        <v>33244</v>
      </c>
      <c r="AL373" s="38">
        <f>SUM(AH373:AK373)</f>
        <v>-777315</v>
      </c>
      <c r="AM373" s="38">
        <f>-AM52</f>
        <v>61286</v>
      </c>
      <c r="AN373" s="38">
        <f>-AN52</f>
        <v>173722</v>
      </c>
      <c r="AO373" s="38">
        <f>-AO52</f>
        <v>154482</v>
      </c>
      <c r="AP373" s="38">
        <f>-AP52</f>
        <v>17904</v>
      </c>
      <c r="AQ373" s="38">
        <f>SUM(AM373:AP373)</f>
        <v>407394</v>
      </c>
      <c r="AR373" s="38">
        <f>-AR52</f>
        <v>210545</v>
      </c>
      <c r="AS373" s="38">
        <f>-AS52</f>
        <v>214436</v>
      </c>
      <c r="AT373" s="38">
        <f>-AT52</f>
        <v>-59124</v>
      </c>
      <c r="AU373" s="38">
        <f>-AU52</f>
        <v>135127</v>
      </c>
      <c r="AV373" s="38">
        <f>SUM(AR373:AU373)</f>
        <v>500984</v>
      </c>
      <c r="AW373" s="38">
        <f>-AW52</f>
        <v>230353</v>
      </c>
      <c r="AX373" s="38">
        <f>-AX52</f>
        <v>384857</v>
      </c>
      <c r="AY373" s="38">
        <f>-AY52</f>
        <v>-265838</v>
      </c>
      <c r="AZ373" s="36">
        <f>SUM(AZ374:AZ375)</f>
        <v>-131059.5</v>
      </c>
      <c r="BA373" s="36">
        <f>SUM(AW373:AZ373)</f>
        <v>218312.5</v>
      </c>
      <c r="BB373" s="36">
        <f>SUM(BB374:BB375)</f>
        <v>30940.000000000007</v>
      </c>
      <c r="BC373" s="36">
        <f>SUM(BC374:BC375)</f>
        <v>28545.5</v>
      </c>
      <c r="BD373" s="36">
        <f>SUM(BD374:BD375)</f>
        <v>26163</v>
      </c>
      <c r="BE373" s="36">
        <f>SUM(BE374:BE375)</f>
        <v>23792.5</v>
      </c>
      <c r="BF373" s="36">
        <f>SUM(BB373:BE373)</f>
        <v>109441</v>
      </c>
      <c r="BG373" s="36">
        <f>SUM(BG374:BG375)</f>
        <v>21434</v>
      </c>
      <c r="BH373" s="36">
        <f>SUM(BH374:BH375)</f>
        <v>19851.000000000004</v>
      </c>
      <c r="BI373" s="36">
        <f>SUM(BI374:BI375)</f>
        <v>17514.5</v>
      </c>
      <c r="BJ373" s="36">
        <f>SUM(BJ374:BJ375)</f>
        <v>15949.5</v>
      </c>
      <c r="BK373" s="36">
        <f>SUM(BG373:BJ373)</f>
        <v>74749</v>
      </c>
      <c r="BL373" s="36">
        <f>SUM(BL374:BL375)</f>
        <v>11362.5</v>
      </c>
      <c r="BM373" s="36">
        <f>SUM(BM374:BM375)</f>
        <v>9821.5</v>
      </c>
      <c r="BN373" s="36">
        <f>SUM(BN374:BN375)</f>
        <v>8288.5000000000018</v>
      </c>
      <c r="BO373" s="36">
        <f>SUM(BO374:BO375)</f>
        <v>6763.5000000000009</v>
      </c>
      <c r="BP373" s="36">
        <f>SUM(BL373:BO373)</f>
        <v>36236</v>
      </c>
      <c r="BQ373" s="36">
        <f>SUM(BQ374:BQ375)</f>
        <v>5246.5</v>
      </c>
      <c r="BR373" s="36">
        <f>SUM(BR374:BR375)</f>
        <v>2990</v>
      </c>
      <c r="BS373" s="36">
        <f>SUM(BS374:BS375)</f>
        <v>1491</v>
      </c>
      <c r="BT373" s="36">
        <f>SUM(BT374:BT375)</f>
        <v>0</v>
      </c>
      <c r="BU373" s="36">
        <f>SUM(BQ373:BT373)</f>
        <v>9727.5</v>
      </c>
    </row>
    <row r="374" spans="1:73">
      <c r="A374" s="34" t="s">
        <v>208</v>
      </c>
      <c r="I374" s="38"/>
      <c r="J374" s="38">
        <f>J389</f>
        <v>5586.9442699414139</v>
      </c>
      <c r="K374" s="38">
        <f>K389</f>
        <v>14920.037112042221</v>
      </c>
      <c r="L374" s="38">
        <f>L389</f>
        <v>19531.461696054026</v>
      </c>
      <c r="M374" s="38">
        <f t="shared" si="1022"/>
        <v>40038.443078037657</v>
      </c>
      <c r="N374" s="99">
        <v>19473</v>
      </c>
      <c r="O374" s="101">
        <f>40657-N374</f>
        <v>21184</v>
      </c>
      <c r="P374" s="101">
        <f>66739-O374-N374</f>
        <v>26082</v>
      </c>
      <c r="Q374" s="38">
        <f>R374-SUM(N374:P374)</f>
        <v>35973</v>
      </c>
      <c r="R374" s="101">
        <v>102712</v>
      </c>
      <c r="S374" s="101">
        <v>38997</v>
      </c>
      <c r="T374" s="101">
        <f>85506-S374</f>
        <v>46509</v>
      </c>
      <c r="U374" s="101">
        <f>131703-T374-S374</f>
        <v>46197</v>
      </c>
      <c r="V374" s="38">
        <f>W374-SUM(S374:U374)</f>
        <v>48075</v>
      </c>
      <c r="W374" s="101">
        <v>179778</v>
      </c>
      <c r="X374" s="101">
        <v>49981</v>
      </c>
      <c r="Y374" s="101">
        <f>102913-X374</f>
        <v>52932</v>
      </c>
      <c r="Z374" s="101">
        <f>152379-Y374-X374</f>
        <v>49466</v>
      </c>
      <c r="AA374" s="38">
        <f>AB374-SUM(X374:Z374)</f>
        <v>45417</v>
      </c>
      <c r="AB374" s="101">
        <v>197796</v>
      </c>
      <c r="AC374" s="101">
        <v>39701</v>
      </c>
      <c r="AD374" s="55">
        <f>78179-AC374</f>
        <v>38478</v>
      </c>
      <c r="AE374" s="101">
        <f>115158-AD374-AC374</f>
        <v>36979</v>
      </c>
      <c r="AF374" s="38">
        <f>AG374-SUM(AC374:AE374)</f>
        <v>38351</v>
      </c>
      <c r="AG374" s="101">
        <v>153509</v>
      </c>
      <c r="AH374" s="101">
        <v>40697</v>
      </c>
      <c r="AI374" s="101">
        <f>84306-AH374</f>
        <v>43609</v>
      </c>
      <c r="AJ374" s="101">
        <f>127957-AI374-AH374</f>
        <v>43651</v>
      </c>
      <c r="AK374" s="38">
        <f>AL374-SUM(AH374:AJ374)</f>
        <v>39473</v>
      </c>
      <c r="AL374" s="101">
        <v>167430</v>
      </c>
      <c r="AM374" s="101">
        <v>40718</v>
      </c>
      <c r="AN374" s="101">
        <f>83189-AM374</f>
        <v>42471</v>
      </c>
      <c r="AO374" s="101">
        <f>124670-AN374-AM374</f>
        <v>41481</v>
      </c>
      <c r="AP374" s="38">
        <f>AQ374-SUM(AM374:AO374)</f>
        <v>37229</v>
      </c>
      <c r="AQ374" s="101">
        <v>161899</v>
      </c>
      <c r="AR374" s="101">
        <v>34953</v>
      </c>
      <c r="AS374" s="101">
        <f>61852-AR374</f>
        <v>26899</v>
      </c>
      <c r="AT374" s="101">
        <f>82346-AS374-AR374</f>
        <v>20494</v>
      </c>
      <c r="AU374" s="38">
        <f>AV374-SUM(AR374:AT374)</f>
        <v>15855</v>
      </c>
      <c r="AV374" s="101">
        <v>98201</v>
      </c>
      <c r="AW374" s="101">
        <v>11935</v>
      </c>
      <c r="AX374" s="101">
        <f>21794-AW374</f>
        <v>9859</v>
      </c>
      <c r="AY374" s="101">
        <f>32157-AX374-AW374</f>
        <v>10363</v>
      </c>
      <c r="AZ374" s="36">
        <f>AZ389</f>
        <v>10081.5</v>
      </c>
      <c r="BA374" s="36">
        <f>SUM(AW374:AZ374)</f>
        <v>42238.5</v>
      </c>
      <c r="BB374" s="36">
        <f>BB389</f>
        <v>10055.500000000002</v>
      </c>
      <c r="BC374" s="36">
        <f>BC389</f>
        <v>9258</v>
      </c>
      <c r="BD374" s="36">
        <f>BD389</f>
        <v>8464.5</v>
      </c>
      <c r="BE374" s="36">
        <f>BE389</f>
        <v>7675</v>
      </c>
      <c r="BF374" s="36">
        <f>SUM(BB374:BE374)</f>
        <v>35453</v>
      </c>
      <c r="BG374" s="36">
        <f>BG389</f>
        <v>6889.5</v>
      </c>
      <c r="BH374" s="36">
        <f>BH389</f>
        <v>6108.0000000000009</v>
      </c>
      <c r="BI374" s="36">
        <f>BI389</f>
        <v>5330.5</v>
      </c>
      <c r="BJ374" s="36">
        <f>BJ389</f>
        <v>4557</v>
      </c>
      <c r="BK374" s="36">
        <f>SUM(BG374:BJ374)</f>
        <v>22885</v>
      </c>
      <c r="BL374" s="36">
        <f>BL389</f>
        <v>0</v>
      </c>
      <c r="BM374" s="36">
        <f>BM389</f>
        <v>0</v>
      </c>
      <c r="BN374" s="36">
        <f>BN389</f>
        <v>0</v>
      </c>
      <c r="BO374" s="36">
        <f>BO389</f>
        <v>0</v>
      </c>
      <c r="BP374" s="36">
        <f>SUM(BL374:BO374)</f>
        <v>0</v>
      </c>
      <c r="BQ374" s="36">
        <f>BQ389</f>
        <v>0</v>
      </c>
      <c r="BR374" s="36">
        <f>BR389</f>
        <v>0</v>
      </c>
      <c r="BS374" s="36">
        <f>BS389</f>
        <v>0</v>
      </c>
      <c r="BT374" s="36">
        <f>BT389</f>
        <v>0</v>
      </c>
      <c r="BU374" s="36">
        <f>SUM(BQ374:BT374)</f>
        <v>0</v>
      </c>
    </row>
    <row r="375" spans="1:73">
      <c r="A375" s="34" t="s">
        <v>209</v>
      </c>
      <c r="I375" s="55">
        <f>-I32</f>
        <v>43589</v>
      </c>
      <c r="J375" s="38">
        <f>J373-J374</f>
        <v>27981.055730058586</v>
      </c>
      <c r="K375" s="38">
        <f>K373-K374</f>
        <v>16085.962887957779</v>
      </c>
      <c r="L375" s="38">
        <f>L373-L374</f>
        <v>32687.538303945974</v>
      </c>
      <c r="M375" s="38">
        <f t="shared" si="1022"/>
        <v>120343.55692196233</v>
      </c>
      <c r="N375" s="101">
        <v>53416</v>
      </c>
      <c r="O375" s="101">
        <f>159100-N375</f>
        <v>105684</v>
      </c>
      <c r="P375" s="101">
        <f>386790-O375-N375</f>
        <v>227690</v>
      </c>
      <c r="Q375" s="38">
        <f>R375-SUM(N375:P375)</f>
        <v>96650</v>
      </c>
      <c r="R375" s="101">
        <v>483440</v>
      </c>
      <c r="S375" s="101">
        <v>145491</v>
      </c>
      <c r="T375" s="101">
        <f>-266281-S375</f>
        <v>-411772</v>
      </c>
      <c r="U375" s="101">
        <f>-321708-T375-S375</f>
        <v>-55427</v>
      </c>
      <c r="V375" s="38">
        <f>W375-SUM(S375:U375)</f>
        <v>-399000</v>
      </c>
      <c r="W375" s="101">
        <v>-720708</v>
      </c>
      <c r="X375" s="101">
        <v>97662</v>
      </c>
      <c r="Y375" s="101">
        <f>354624-X375</f>
        <v>256962</v>
      </c>
      <c r="Z375" s="101">
        <f>804357-Y375-X375</f>
        <v>449733</v>
      </c>
      <c r="AA375" s="38">
        <f>AB375-SUM(X375:Z375)</f>
        <v>1244264</v>
      </c>
      <c r="AB375" s="101">
        <v>2048621</v>
      </c>
      <c r="AC375" s="101">
        <v>94392</v>
      </c>
      <c r="AD375" s="55">
        <f>-274462-AC375</f>
        <v>-368854</v>
      </c>
      <c r="AE375" s="101">
        <f>-292059-AD375-AC375</f>
        <v>-17597</v>
      </c>
      <c r="AF375" s="38">
        <f>AG375-SUM(AC375:AE375)</f>
        <v>-772032</v>
      </c>
      <c r="AG375" s="101">
        <v>-1064091</v>
      </c>
      <c r="AH375" s="101">
        <v>-449515</v>
      </c>
      <c r="AI375" s="101">
        <f>-780100-AH375</f>
        <v>-330585</v>
      </c>
      <c r="AJ375" s="101">
        <f>-938516-AI375-AH375</f>
        <v>-158416</v>
      </c>
      <c r="AK375" s="38">
        <f>AL375-SUM(AH375:AJ375)</f>
        <v>-6229</v>
      </c>
      <c r="AL375" s="101">
        <v>-944745</v>
      </c>
      <c r="AM375" s="101">
        <v>20568</v>
      </c>
      <c r="AN375" s="101">
        <f>151819-AM375</f>
        <v>131251</v>
      </c>
      <c r="AO375" s="101">
        <f>264820-AN375-AM375</f>
        <v>113001</v>
      </c>
      <c r="AP375" s="38">
        <f>AQ375-SUM(AM375:AO375)</f>
        <v>-19325</v>
      </c>
      <c r="AQ375" s="101">
        <v>245495</v>
      </c>
      <c r="AR375" s="101">
        <v>175592</v>
      </c>
      <c r="AS375" s="101">
        <f>363129-AR375</f>
        <v>187537</v>
      </c>
      <c r="AT375" s="101">
        <f>283511-AS375-AR375</f>
        <v>-79618</v>
      </c>
      <c r="AU375" s="38">
        <f>AV375-SUM(AR375:AT375)</f>
        <v>119272</v>
      </c>
      <c r="AV375" s="101">
        <v>402783</v>
      </c>
      <c r="AW375" s="101">
        <v>218418</v>
      </c>
      <c r="AX375" s="101">
        <f>593416-AW375</f>
        <v>374998</v>
      </c>
      <c r="AY375" s="101">
        <f>317215-AX375-AW375</f>
        <v>-276201</v>
      </c>
      <c r="AZ375" s="36">
        <f>AZ410</f>
        <v>-141141</v>
      </c>
      <c r="BA375" s="36">
        <f>SUM(AW375:AZ375)</f>
        <v>176074</v>
      </c>
      <c r="BB375" s="36">
        <f>BB410</f>
        <v>20884.500000000004</v>
      </c>
      <c r="BC375" s="36">
        <f>BC410</f>
        <v>19287.5</v>
      </c>
      <c r="BD375" s="36">
        <f>BD410</f>
        <v>17698.5</v>
      </c>
      <c r="BE375" s="36">
        <f>BE410</f>
        <v>16117.5</v>
      </c>
      <c r="BF375" s="36">
        <f>SUM(BB375:BE375)</f>
        <v>73988</v>
      </c>
      <c r="BG375" s="36">
        <f>BG410</f>
        <v>14544.5</v>
      </c>
      <c r="BH375" s="36">
        <f>BH410</f>
        <v>13743.000000000002</v>
      </c>
      <c r="BI375" s="36">
        <f>BI410</f>
        <v>12184</v>
      </c>
      <c r="BJ375" s="36">
        <f>BJ410</f>
        <v>11392.5</v>
      </c>
      <c r="BK375" s="36">
        <f>SUM(BG375:BJ375)</f>
        <v>51864</v>
      </c>
      <c r="BL375" s="36">
        <f>BL410</f>
        <v>11362.5</v>
      </c>
      <c r="BM375" s="36">
        <f>BM410</f>
        <v>9821.5</v>
      </c>
      <c r="BN375" s="36">
        <f>BN410</f>
        <v>8288.5000000000018</v>
      </c>
      <c r="BO375" s="36">
        <f>BO410</f>
        <v>6763.5000000000009</v>
      </c>
      <c r="BP375" s="36">
        <f>SUM(BL375:BO375)</f>
        <v>36236</v>
      </c>
      <c r="BQ375" s="36">
        <f>BQ410</f>
        <v>5246.5</v>
      </c>
      <c r="BR375" s="36">
        <f>BR410</f>
        <v>2990</v>
      </c>
      <c r="BS375" s="36">
        <f>BS410</f>
        <v>1491</v>
      </c>
      <c r="BT375" s="36">
        <f>BT410</f>
        <v>0</v>
      </c>
      <c r="BU375" s="36">
        <f>SUM(BQ375:BT375)</f>
        <v>9727.5</v>
      </c>
    </row>
    <row r="376" spans="1:73">
      <c r="A376" s="5" t="s">
        <v>275</v>
      </c>
      <c r="I376" s="38"/>
      <c r="J376" s="38"/>
      <c r="K376" s="55">
        <f>K312</f>
        <v>-20918</v>
      </c>
      <c r="L376" s="36">
        <f>SUM(L377:L378)</f>
        <v>-54827.19</v>
      </c>
      <c r="M376" s="38">
        <f t="shared" si="1022"/>
        <v>-75745.19</v>
      </c>
      <c r="N376" s="38">
        <f>SUM(N377:N378)</f>
        <v>-156649</v>
      </c>
      <c r="O376" s="38">
        <f>SUM(O377:O378)</f>
        <v>-41661</v>
      </c>
      <c r="P376" s="38">
        <f>SUM(P377:P378)</f>
        <v>-63182</v>
      </c>
      <c r="Q376" s="38">
        <f>R376-SUM(N376:P376)</f>
        <v>-5908</v>
      </c>
      <c r="R376" s="38">
        <f>SUM(R377:R378)</f>
        <v>-267400</v>
      </c>
      <c r="S376" s="38">
        <f>SUM(S377:S378)</f>
        <v>-68409</v>
      </c>
      <c r="T376" s="38">
        <f>SUM(T377:T378)</f>
        <v>-69970</v>
      </c>
      <c r="U376" s="38">
        <f>SUM(U377:U378)</f>
        <v>-77358.03</v>
      </c>
      <c r="V376" s="38">
        <f>SUM(V377:V378)</f>
        <v>-37210.25</v>
      </c>
      <c r="W376" s="38">
        <f>SUM(S376:V376)</f>
        <v>-252947.28</v>
      </c>
    </row>
    <row r="377" spans="1:73">
      <c r="A377" s="34" t="s">
        <v>211</v>
      </c>
      <c r="I377" s="38"/>
      <c r="J377" s="38"/>
      <c r="K377" s="56">
        <f>-(J389+K389)</f>
        <v>-20506.981381983634</v>
      </c>
      <c r="L377" s="56">
        <v>0</v>
      </c>
      <c r="M377" s="38">
        <f t="shared" si="1022"/>
        <v>-20506.981381983634</v>
      </c>
      <c r="N377" s="101">
        <v>-37965</v>
      </c>
      <c r="O377" s="101">
        <f>-56910-N377</f>
        <v>-18945</v>
      </c>
      <c r="P377" s="101">
        <f>-85257-O377-N377</f>
        <v>-28347</v>
      </c>
      <c r="Q377" s="38">
        <f t="shared" ref="Q377:Q380" si="1023">R377-SUM(N377:P377)</f>
        <v>-6437</v>
      </c>
      <c r="R377" s="101">
        <v>-91694</v>
      </c>
      <c r="S377" s="101">
        <v>-68409</v>
      </c>
      <c r="T377" s="101">
        <f>-103069-S377</f>
        <v>-34660</v>
      </c>
      <c r="U377" s="107">
        <f>-(0.67*T389+U389)</f>
        <v>-77358.03</v>
      </c>
      <c r="V377" s="107">
        <f>-0.67*V389</f>
        <v>-32210.250000000004</v>
      </c>
      <c r="W377" s="38">
        <f>SUM(S377:V377)</f>
        <v>-212637.28</v>
      </c>
    </row>
    <row r="378" spans="1:73">
      <c r="A378" s="34" t="s">
        <v>212</v>
      </c>
      <c r="I378" s="38"/>
      <c r="J378" s="38"/>
      <c r="K378" s="36">
        <f>K376-K377</f>
        <v>-411.01861801636551</v>
      </c>
      <c r="L378" s="56">
        <f>L312*0.33</f>
        <v>-54827.19</v>
      </c>
      <c r="M378" s="38">
        <f t="shared" si="1022"/>
        <v>-55238.208618016368</v>
      </c>
      <c r="N378" s="101">
        <v>-118684</v>
      </c>
      <c r="O378" s="101">
        <f>-141400-N378</f>
        <v>-22716</v>
      </c>
      <c r="P378" s="101">
        <f>-176235-O378-N378</f>
        <v>-34835</v>
      </c>
      <c r="Q378" s="38">
        <f t="shared" si="1023"/>
        <v>529</v>
      </c>
      <c r="R378" s="101">
        <v>-175706</v>
      </c>
      <c r="S378" s="101">
        <v>0</v>
      </c>
      <c r="T378" s="101">
        <f>-35310-S378</f>
        <v>-35310</v>
      </c>
      <c r="U378" s="56">
        <v>0</v>
      </c>
      <c r="V378" s="56">
        <v>-5000</v>
      </c>
      <c r="W378" s="38">
        <f>SUM(S378:V378)</f>
        <v>-40310</v>
      </c>
    </row>
    <row r="379" spans="1:73">
      <c r="A379" s="5" t="s">
        <v>450</v>
      </c>
      <c r="I379" s="38"/>
      <c r="J379" s="38"/>
      <c r="L379" s="56">
        <f>L312*0.67</f>
        <v>-111315.81000000001</v>
      </c>
      <c r="M379" s="38">
        <f t="shared" si="1022"/>
        <v>-111315.81000000001</v>
      </c>
      <c r="N379" s="101">
        <v>-4610</v>
      </c>
      <c r="O379" s="101">
        <f>-195897-N379</f>
        <v>-191287</v>
      </c>
      <c r="P379" s="101">
        <f>-193788-O379-N379</f>
        <v>2109</v>
      </c>
      <c r="Q379" s="38">
        <f t="shared" si="1023"/>
        <v>-25200</v>
      </c>
      <c r="R379" s="101">
        <v>-218988</v>
      </c>
      <c r="S379" s="101">
        <v>0</v>
      </c>
      <c r="T379" s="101">
        <f>-478311-S379</f>
        <v>-478311</v>
      </c>
      <c r="U379" s="107">
        <f>U312-SUM(U377:U378)</f>
        <v>5352.0299999999988</v>
      </c>
      <c r="V379" s="107">
        <f>V312-SUM(V377:V378)</f>
        <v>-45375.75</v>
      </c>
      <c r="W379" s="38">
        <f>SUM(S379:V379)</f>
        <v>-518334.71999999997</v>
      </c>
      <c r="X379" s="101">
        <v>-217367</v>
      </c>
      <c r="Y379" s="101">
        <f>-421464-X379</f>
        <v>-204097</v>
      </c>
      <c r="Z379" s="101">
        <f>-602731-Y379-X379</f>
        <v>-181267</v>
      </c>
      <c r="AA379" s="38">
        <f>AB379-SUM(X379:Z379)</f>
        <v>-759335</v>
      </c>
      <c r="AB379" s="101">
        <v>-1362066</v>
      </c>
      <c r="AC379" s="101">
        <v>-346746</v>
      </c>
      <c r="AD379" s="55">
        <f>-857907-AC379</f>
        <v>-511161</v>
      </c>
      <c r="AE379" s="101">
        <f>-975999-AD379-AC379</f>
        <v>-118092</v>
      </c>
      <c r="AF379" s="38">
        <f>AG379-SUM(AC379:AE379)</f>
        <v>-252704</v>
      </c>
      <c r="AG379" s="101">
        <v>-1228703</v>
      </c>
      <c r="AH379" s="101">
        <v>-255264</v>
      </c>
      <c r="AI379" s="101">
        <f>-347747-AH379</f>
        <v>-92483</v>
      </c>
      <c r="AJ379" s="101">
        <f>-465606-AI379-AH379</f>
        <v>-117859</v>
      </c>
      <c r="AK379" s="38">
        <f>AL379-SUM(AH379:AJ379)</f>
        <v>-78636</v>
      </c>
      <c r="AL379" s="101">
        <v>-544242</v>
      </c>
      <c r="AM379" s="101">
        <v>-118091</v>
      </c>
      <c r="AN379" s="101">
        <f>-239971-AM379</f>
        <v>-121880</v>
      </c>
      <c r="AO379" s="101">
        <f>-490877-AN379-AM379</f>
        <v>-250906</v>
      </c>
      <c r="AP379" s="38">
        <f>AQ379-SUM(AM379:AO379)</f>
        <v>-292645</v>
      </c>
      <c r="AQ379" s="101">
        <v>-783522</v>
      </c>
      <c r="AR379" s="101">
        <v>-151781</v>
      </c>
      <c r="AS379" s="101">
        <f>-844944-AR379</f>
        <v>-693163</v>
      </c>
      <c r="AT379" s="101">
        <f>-970864-AS379-AR379</f>
        <v>-125920</v>
      </c>
      <c r="AU379" s="38">
        <f>AV379-SUM(AR379:AT379)</f>
        <v>-514910</v>
      </c>
      <c r="AV379" s="101">
        <v>-1485774</v>
      </c>
      <c r="AW379" s="101">
        <v>-122731</v>
      </c>
      <c r="AX379" s="101">
        <f>-471974-AW379</f>
        <v>-349243</v>
      </c>
      <c r="AY379" s="101">
        <f>-550300-AX379-AW379</f>
        <v>-78326</v>
      </c>
      <c r="AZ379" s="36">
        <f>AZ391+AZ392+AZ412</f>
        <v>-6462.0439822331437</v>
      </c>
      <c r="BA379" s="36">
        <f>SUM(AW379:AZ379)</f>
        <v>-556762.04398223315</v>
      </c>
      <c r="BB379" s="36">
        <f>BB391+BB392+BB412</f>
        <v>-298313.62150837225</v>
      </c>
      <c r="BC379" s="36">
        <f>BC391+BC392+BC412</f>
        <v>-291498.64349948883</v>
      </c>
      <c r="BD379" s="36">
        <f>BD391+BD392+BD412</f>
        <v>-290229.52375520853</v>
      </c>
      <c r="BE379" s="36">
        <f>BE391+BE392+BE412</f>
        <v>-283271.34550495294</v>
      </c>
      <c r="BF379" s="36">
        <f>SUM(BB379:BE379)</f>
        <v>-1163313.1342680226</v>
      </c>
      <c r="BG379" s="36">
        <f>BG391+BG392+BG412</f>
        <v>-222696.82086769844</v>
      </c>
      <c r="BH379" s="36">
        <f>BH391+BH392+BH412</f>
        <v>-225200.74362017494</v>
      </c>
      <c r="BI379" s="36">
        <f>BI391+BI392+BI412</f>
        <v>-227720.17319349945</v>
      </c>
      <c r="BJ379" s="36">
        <f>BJ391+BJ392+BJ412</f>
        <v>-337826.06389755162</v>
      </c>
      <c r="BK379" s="36">
        <f>SUM(BG379:BJ379)</f>
        <v>-1013443.8015789244</v>
      </c>
      <c r="BL379" s="36">
        <f>BL391+BL392+BL412</f>
        <v>-202252.5</v>
      </c>
      <c r="BM379" s="36">
        <f>BM391+BM392+BM412</f>
        <v>-203229.5</v>
      </c>
      <c r="BN379" s="36">
        <f>BN391+BN392+BN412</f>
        <v>-204198.50000000003</v>
      </c>
      <c r="BO379" s="36">
        <f>BO391+BO392+BO412</f>
        <v>-205159.50000000003</v>
      </c>
      <c r="BP379" s="36">
        <f>SUM(BL379:BO379)</f>
        <v>-814840</v>
      </c>
      <c r="BQ379" s="36">
        <f>BQ391+BQ392+BQ412</f>
        <v>-206112.5</v>
      </c>
      <c r="BR379" s="36">
        <f>BR391+BR392+BR412</f>
        <v>-208552.5</v>
      </c>
      <c r="BS379" s="36">
        <f>BS391+BS392+BS412</f>
        <v>-207994.5</v>
      </c>
      <c r="BT379" s="36">
        <f>BT391+BT392+BT412</f>
        <v>0</v>
      </c>
      <c r="BU379" s="36">
        <f>SUM(BQ379:BT379)</f>
        <v>-622659.5</v>
      </c>
    </row>
    <row r="380" spans="1:73">
      <c r="A380" s="5" t="s">
        <v>213</v>
      </c>
      <c r="I380" s="38"/>
      <c r="J380" s="38"/>
      <c r="M380" s="38"/>
      <c r="N380" s="101">
        <v>76208</v>
      </c>
      <c r="O380" s="101">
        <f>133334-N380</f>
        <v>57126</v>
      </c>
      <c r="P380" s="101">
        <f>56672-O380-N380</f>
        <v>-76662</v>
      </c>
      <c r="Q380" s="38">
        <f t="shared" si="1023"/>
        <v>2168</v>
      </c>
      <c r="R380" s="101">
        <v>58840</v>
      </c>
      <c r="S380" s="101">
        <v>-128552</v>
      </c>
      <c r="T380" s="101">
        <f>-122974-S380</f>
        <v>5578</v>
      </c>
      <c r="U380" s="101">
        <f>-51937-T380-S380</f>
        <v>71037</v>
      </c>
      <c r="V380" s="38">
        <f>W380-SUM(S380:U380)</f>
        <v>-32057</v>
      </c>
      <c r="W380" s="101">
        <v>-83994</v>
      </c>
      <c r="X380" s="101">
        <v>-45915</v>
      </c>
      <c r="Y380" s="101">
        <f>-140231-X380</f>
        <v>-94316</v>
      </c>
      <c r="Z380" s="101">
        <f>-257234-Y380-X380</f>
        <v>-117003</v>
      </c>
      <c r="AA380" s="38">
        <f>AB380-SUM(X380:Z380)</f>
        <v>410989</v>
      </c>
      <c r="AB380" s="101">
        <v>153755</v>
      </c>
      <c r="AC380" s="101">
        <v>-8506</v>
      </c>
      <c r="AD380" s="55">
        <f>58785-AC380</f>
        <v>67291</v>
      </c>
      <c r="AE380" s="101">
        <f>215835-AD380-AC380</f>
        <v>157050</v>
      </c>
      <c r="AF380" s="38">
        <f>AG380-SUM(AC380:AE380)</f>
        <v>333589</v>
      </c>
      <c r="AG380" s="101">
        <v>549424</v>
      </c>
      <c r="AH380" s="101">
        <v>578759</v>
      </c>
      <c r="AI380" s="101">
        <f>872015-AH380</f>
        <v>293256</v>
      </c>
      <c r="AJ380" s="101">
        <f>456682-AI380-AH380</f>
        <v>-415333</v>
      </c>
      <c r="AK380" s="38">
        <f>AL380-SUM(AH380:AJ380)</f>
        <v>27981</v>
      </c>
      <c r="AL380" s="101">
        <v>484663</v>
      </c>
      <c r="AM380" s="101">
        <v>380862</v>
      </c>
      <c r="AN380" s="101">
        <f>534128-AM380</f>
        <v>153266</v>
      </c>
      <c r="AO380" s="101">
        <f>278467-AN380-AM380</f>
        <v>-255661</v>
      </c>
      <c r="AP380" s="38">
        <f>AQ380-SUM(AM380:AO380)</f>
        <v>307361</v>
      </c>
      <c r="AQ380" s="101">
        <v>585828</v>
      </c>
      <c r="AR380" s="101">
        <v>300316</v>
      </c>
      <c r="AS380" s="101">
        <f>-249508-AR380</f>
        <v>-549824</v>
      </c>
      <c r="AT380" s="101">
        <f>176272-AS380-AR380</f>
        <v>425780</v>
      </c>
      <c r="AU380" s="38">
        <f>AV380-SUM(AR380:AT380)</f>
        <v>-224252</v>
      </c>
      <c r="AV380" s="101">
        <v>-47980</v>
      </c>
      <c r="AW380" s="101">
        <v>-115185</v>
      </c>
      <c r="AX380" s="101">
        <f>-12545-AW380</f>
        <v>102640</v>
      </c>
      <c r="AY380" s="101">
        <f>176732-AX380-AW380</f>
        <v>189277</v>
      </c>
      <c r="AZ380" s="80">
        <f>AZ381-SUM(AZ371:AZ373, AZ379)</f>
        <v>-33790.485820132773</v>
      </c>
      <c r="BA380" s="36">
        <f>SUM(AW380:AZ380)</f>
        <v>142941.51417986723</v>
      </c>
      <c r="BB380" s="80">
        <f>BB381-SUM(BB371:BB373, BB379)</f>
        <v>-8903.0018573752604</v>
      </c>
      <c r="BC380" s="80">
        <f>BC381-SUM(BC371:BC373, BC379)</f>
        <v>-8211.6673479815945</v>
      </c>
      <c r="BD380" s="80">
        <f>BD381-SUM(BD371:BD373, BD379)</f>
        <v>-7530.000093284063</v>
      </c>
      <c r="BE380" s="80">
        <f>BE381-SUM(BE371:BE373, BE379)</f>
        <v>-6843.6673479815945</v>
      </c>
      <c r="BF380" s="36">
        <f>SUM(BB380:BE380)</f>
        <v>-31488.336646622512</v>
      </c>
      <c r="BG380" s="80">
        <f>BG381-SUM(BG371:BG373, BG379)</f>
        <v>-6167.5009753303602</v>
      </c>
      <c r="BH380" s="80">
        <f>BH381-SUM(BH371:BH373, BH379)</f>
        <v>-5641.6673479811288</v>
      </c>
      <c r="BI380" s="80">
        <f>BI381-SUM(BI371:BI373, BI379)</f>
        <v>-5103.7505343074445</v>
      </c>
      <c r="BJ380" s="80">
        <f>BJ381-SUM(BJ371:BJ373, BJ379)</f>
        <v>-4551.6673479815945</v>
      </c>
      <c r="BK380" s="36">
        <f>SUM(BG380:BJ380)</f>
        <v>-21464.586205600528</v>
      </c>
      <c r="BL380" s="80">
        <f>BL381-SUM(BL371:BL373, BL379)</f>
        <v>-3704.0661263952497</v>
      </c>
      <c r="BM380" s="80">
        <f>BM381-SUM(BM371:BM373, BM379)</f>
        <v>-3200.0661263950169</v>
      </c>
      <c r="BN380" s="80">
        <f>BN381-SUM(BN371:BN373, BN379)</f>
        <v>-2688.0661263947841</v>
      </c>
      <c r="BO380" s="80">
        <f>BO381-SUM(BO371:BO373, BO379)</f>
        <v>-2168.0661263949005</v>
      </c>
      <c r="BP380" s="36">
        <f>SUM(BL380:BO380)</f>
        <v>-11760.264505579951</v>
      </c>
      <c r="BQ380" s="80">
        <f>BQ381-SUM(BQ371:BQ373, BQ379)</f>
        <v>-1640.0661263949587</v>
      </c>
      <c r="BR380" s="80">
        <f>BR381-SUM(BR371:BR373, BR379)</f>
        <v>-1104.0661263949296</v>
      </c>
      <c r="BS380" s="80">
        <f>BS381-SUM(BS371:BS373, BS379)</f>
        <v>-554.06612639490049</v>
      </c>
      <c r="BT380" s="80">
        <f>BT381-SUM(BT371:BT373, BT379)</f>
        <v>-24.648613699158886</v>
      </c>
      <c r="BU380" s="36">
        <f>SUM(BQ380:BT380)</f>
        <v>-3322.8469928839477</v>
      </c>
    </row>
    <row r="381" spans="1:73">
      <c r="A381" s="9" t="s">
        <v>214</v>
      </c>
      <c r="B381" s="9"/>
      <c r="C381" s="9"/>
      <c r="D381" s="9"/>
      <c r="E381" s="9"/>
      <c r="F381" s="9"/>
      <c r="G381" s="9"/>
      <c r="H381" s="9"/>
      <c r="I381" s="39">
        <f t="shared" ref="I381:W381" si="1024">SUM(I371:I372)+I373+I376+SUM(I379:I380)</f>
        <v>43589</v>
      </c>
      <c r="J381" s="39">
        <f t="shared" si="1024"/>
        <v>1144860</v>
      </c>
      <c r="K381" s="39">
        <f t="shared" si="1024"/>
        <v>1866432</v>
      </c>
      <c r="L381" s="39">
        <f t="shared" si="1024"/>
        <v>1958704</v>
      </c>
      <c r="M381" s="39">
        <f t="shared" si="1024"/>
        <v>1940512</v>
      </c>
      <c r="N381" s="39">
        <f t="shared" si="1024"/>
        <v>2012729</v>
      </c>
      <c r="O381" s="39">
        <f t="shared" si="1024"/>
        <v>2177757</v>
      </c>
      <c r="P381" s="39">
        <f t="shared" si="1024"/>
        <v>3792014</v>
      </c>
      <c r="Q381" s="39">
        <f t="shared" si="1024"/>
        <v>4136965</v>
      </c>
      <c r="R381" s="39">
        <f t="shared" si="1024"/>
        <v>4136965</v>
      </c>
      <c r="S381" s="39">
        <f t="shared" si="1024"/>
        <v>4470164</v>
      </c>
      <c r="T381" s="39">
        <f t="shared" si="1024"/>
        <v>4573080</v>
      </c>
      <c r="U381" s="39">
        <f t="shared" si="1024"/>
        <v>4789338</v>
      </c>
      <c r="V381" s="39">
        <f t="shared" si="1024"/>
        <v>4584419</v>
      </c>
      <c r="W381" s="39">
        <f t="shared" si="1024"/>
        <v>4584419</v>
      </c>
      <c r="X381" s="39">
        <f t="shared" ref="X381:AT381" si="1025">SUM(X371:X372)+X373+SUM(X379:X380)</f>
        <v>5233440</v>
      </c>
      <c r="Y381" s="39">
        <f t="shared" si="1025"/>
        <v>5244921</v>
      </c>
      <c r="Z381" s="39">
        <f t="shared" si="1025"/>
        <v>5455916</v>
      </c>
      <c r="AA381" s="39">
        <f t="shared" si="1025"/>
        <v>6601791</v>
      </c>
      <c r="AB381" s="39">
        <f t="shared" si="1025"/>
        <v>6601791</v>
      </c>
      <c r="AC381" s="39">
        <f t="shared" si="1025"/>
        <v>6450319</v>
      </c>
      <c r="AD381" s="39">
        <f t="shared" si="1025"/>
        <v>5689194</v>
      </c>
      <c r="AE381" s="39">
        <f t="shared" si="1025"/>
        <v>5803702</v>
      </c>
      <c r="AF381" s="39">
        <f t="shared" si="1025"/>
        <v>5289754</v>
      </c>
      <c r="AG381" s="39">
        <f t="shared" si="1025"/>
        <v>5289754</v>
      </c>
      <c r="AH381" s="39">
        <f t="shared" si="1025"/>
        <v>5212143</v>
      </c>
      <c r="AI381" s="39">
        <f t="shared" si="1025"/>
        <v>5125940</v>
      </c>
      <c r="AJ381" s="39">
        <f t="shared" si="1025"/>
        <v>4488128</v>
      </c>
      <c r="AK381" s="39">
        <f t="shared" ref="AK381" si="1026">SUM(AK371:AK372)+AK373+SUM(AK379:AK380)</f>
        <v>4470717</v>
      </c>
      <c r="AL381" s="39">
        <f t="shared" si="1025"/>
        <v>4470717</v>
      </c>
      <c r="AM381" s="39">
        <f t="shared" si="1025"/>
        <v>4794774</v>
      </c>
      <c r="AN381" s="39">
        <f t="shared" si="1025"/>
        <v>4999882</v>
      </c>
      <c r="AO381" s="39">
        <f t="shared" si="1025"/>
        <v>4647797</v>
      </c>
      <c r="AP381" s="39">
        <f t="shared" ref="AP381" si="1027">SUM(AP371:AP372)+AP373+SUM(AP379:AP380)</f>
        <v>4680417</v>
      </c>
      <c r="AQ381" s="39">
        <f t="shared" si="1025"/>
        <v>4680417</v>
      </c>
      <c r="AR381" s="39">
        <f t="shared" si="1025"/>
        <v>5039497</v>
      </c>
      <c r="AS381" s="39">
        <f t="shared" si="1025"/>
        <v>4010946</v>
      </c>
      <c r="AT381" s="39">
        <f t="shared" si="1025"/>
        <v>4251682</v>
      </c>
      <c r="AU381" s="39">
        <f t="shared" ref="AU381" si="1028">SUM(AU371:AU372)+AU373+SUM(AU379:AU380)</f>
        <v>3647647</v>
      </c>
      <c r="AV381" s="39">
        <f t="shared" ref="AV381" si="1029">SUM(AV371:AV372)+AV373+SUM(AV379:AV380)</f>
        <v>3647647</v>
      </c>
      <c r="AW381" s="39">
        <f t="shared" ref="AW381:AY381" si="1030">SUM(AW371:AW372)+AW373+SUM(AW379:AW380)</f>
        <v>3640084</v>
      </c>
      <c r="AX381" s="39">
        <f t="shared" si="1030"/>
        <v>3778338</v>
      </c>
      <c r="AY381" s="39">
        <f t="shared" si="1030"/>
        <v>3623451</v>
      </c>
      <c r="AZ381" s="39">
        <f>AZ394+AZ414</f>
        <v>3452138.9701976343</v>
      </c>
      <c r="BA381" s="39">
        <f t="shared" ref="BA381" si="1031">SUM(BA371:BA372)+BA373+SUM(BA379:BA380)</f>
        <v>3452138.9701976338</v>
      </c>
      <c r="BB381" s="39">
        <f>BB394+BB414</f>
        <v>3175862.3468318866</v>
      </c>
      <c r="BC381" s="39">
        <f>BC394+BC414</f>
        <v>2904697.535984416</v>
      </c>
      <c r="BD381" s="39">
        <f>BD394+BD414</f>
        <v>2633101.0121359234</v>
      </c>
      <c r="BE381" s="39">
        <f>BE394+BE414</f>
        <v>2366778.4992829887</v>
      </c>
      <c r="BF381" s="39">
        <f t="shared" ref="BF381" si="1032">SUM(BF371:BF372)+BF373+SUM(BF379:BF380)</f>
        <v>2366778.4992829887</v>
      </c>
      <c r="BG381" s="39">
        <f>BG394+BG414</f>
        <v>2159348.1774399597</v>
      </c>
      <c r="BH381" s="39">
        <f>BH394+BH414</f>
        <v>1948356.7664718037</v>
      </c>
      <c r="BI381" s="39">
        <f>BI394+BI414</f>
        <v>1733047.3427439968</v>
      </c>
      <c r="BJ381" s="39">
        <f>BJ394+BJ414</f>
        <v>1406619.1114984634</v>
      </c>
      <c r="BK381" s="39">
        <f t="shared" ref="BK381" si="1033">SUM(BK371:BK372)+BK373+SUM(BK379:BK380)</f>
        <v>1406619.1114984639</v>
      </c>
      <c r="BL381" s="39">
        <f>BL394+BL414</f>
        <v>1212025.0453720686</v>
      </c>
      <c r="BM381" s="39">
        <f>BM394+BM414</f>
        <v>1015416.9792456736</v>
      </c>
      <c r="BN381" s="39">
        <f>BN394+BN414</f>
        <v>816818.91311927885</v>
      </c>
      <c r="BO381" s="39">
        <f>BO394+BO414</f>
        <v>616254.84699288395</v>
      </c>
      <c r="BP381" s="39">
        <f t="shared" ref="BP381" si="1034">SUM(BP371:BP372)+BP373+SUM(BP379:BP380)</f>
        <v>616254.84699288395</v>
      </c>
      <c r="BQ381" s="39">
        <f>BQ394+BQ414</f>
        <v>413748.78086648899</v>
      </c>
      <c r="BR381" s="39">
        <f>BR394+BR414</f>
        <v>207082.21474009406</v>
      </c>
      <c r="BS381" s="39">
        <f>BS394+BS414</f>
        <v>24.648613699158886</v>
      </c>
      <c r="BT381" s="39">
        <f>BT394+BT414</f>
        <v>0</v>
      </c>
      <c r="BU381" s="39">
        <f t="shared" ref="BU381" si="1035">SUM(BU371:BU372)+BU373+SUM(BU379:BU380)</f>
        <v>0</v>
      </c>
    </row>
    <row r="382" spans="1:73">
      <c r="U382" s="98" t="s">
        <v>403</v>
      </c>
      <c r="V382" s="71"/>
      <c r="W382" s="71"/>
      <c r="X382" s="71"/>
      <c r="Y382" s="71"/>
      <c r="Z382" s="71"/>
      <c r="AA382" s="71"/>
      <c r="AB382" s="71"/>
      <c r="AD382" s="98" t="s">
        <v>590</v>
      </c>
      <c r="AE382" s="71"/>
      <c r="AF382" s="71"/>
      <c r="AG382" s="71"/>
    </row>
    <row r="383" spans="1:73">
      <c r="A383" s="5" t="s">
        <v>287</v>
      </c>
      <c r="I383" s="38"/>
      <c r="J383" s="38">
        <f t="shared" ref="J383:U383" si="1036">J384-J381</f>
        <v>13783</v>
      </c>
      <c r="K383" s="38">
        <f t="shared" si="1036"/>
        <v>4409</v>
      </c>
      <c r="L383" s="38">
        <f t="shared" si="1036"/>
        <v>-114025</v>
      </c>
      <c r="M383" s="38">
        <f t="shared" si="1036"/>
        <v>-95833</v>
      </c>
      <c r="N383" s="38">
        <f t="shared" si="1036"/>
        <v>0</v>
      </c>
      <c r="O383" s="38">
        <f t="shared" si="1036"/>
        <v>0</v>
      </c>
      <c r="P383" s="38">
        <f t="shared" si="1036"/>
        <v>0</v>
      </c>
      <c r="Q383" s="38">
        <f t="shared" si="1036"/>
        <v>0</v>
      </c>
      <c r="R383" s="38">
        <f t="shared" si="1036"/>
        <v>0</v>
      </c>
      <c r="S383" s="38">
        <f t="shared" si="1036"/>
        <v>0</v>
      </c>
      <c r="T383" s="38">
        <f t="shared" si="1036"/>
        <v>0</v>
      </c>
      <c r="U383" s="38">
        <f t="shared" si="1036"/>
        <v>0</v>
      </c>
      <c r="V383" s="38">
        <f t="shared" ref="V383:X383" si="1037">V384-V381</f>
        <v>0</v>
      </c>
      <c r="W383" s="38">
        <f t="shared" si="1037"/>
        <v>0</v>
      </c>
      <c r="X383" s="38">
        <f t="shared" si="1037"/>
        <v>0</v>
      </c>
      <c r="Y383" s="38">
        <f t="shared" ref="Y383:Z383" si="1038">Y384-Y381</f>
        <v>0</v>
      </c>
      <c r="Z383" s="38">
        <f t="shared" si="1038"/>
        <v>0</v>
      </c>
      <c r="AA383" s="38">
        <f t="shared" ref="AA383:AH383" si="1039">AA384-AA381</f>
        <v>0</v>
      </c>
      <c r="AB383" s="38">
        <f t="shared" si="1039"/>
        <v>0</v>
      </c>
      <c r="AC383" s="38">
        <f t="shared" si="1039"/>
        <v>0</v>
      </c>
      <c r="AD383" s="38">
        <f t="shared" si="1039"/>
        <v>0</v>
      </c>
      <c r="AE383" s="38">
        <f t="shared" si="1039"/>
        <v>0</v>
      </c>
      <c r="AF383" s="38">
        <f t="shared" si="1039"/>
        <v>0</v>
      </c>
      <c r="AG383" s="38">
        <f t="shared" si="1039"/>
        <v>0</v>
      </c>
      <c r="AH383" s="38">
        <f t="shared" si="1039"/>
        <v>0</v>
      </c>
      <c r="AI383" s="38">
        <f t="shared" ref="AI383:AJ383" si="1040">AI384-AI381</f>
        <v>0</v>
      </c>
      <c r="AJ383" s="38">
        <f t="shared" si="1040"/>
        <v>0</v>
      </c>
      <c r="AK383" s="38">
        <f t="shared" ref="AK383:AN383" si="1041">AK384-AK381</f>
        <v>0</v>
      </c>
      <c r="AL383" s="38">
        <f t="shared" si="1041"/>
        <v>0</v>
      </c>
      <c r="AM383" s="38">
        <f t="shared" si="1041"/>
        <v>0</v>
      </c>
      <c r="AN383" s="38">
        <f t="shared" si="1041"/>
        <v>0</v>
      </c>
      <c r="AO383" s="38">
        <f t="shared" ref="AO383:AS383" si="1042">AO384-AO381</f>
        <v>0</v>
      </c>
      <c r="AP383" s="38">
        <f t="shared" si="1042"/>
        <v>0</v>
      </c>
      <c r="AQ383" s="38">
        <f t="shared" si="1042"/>
        <v>0</v>
      </c>
      <c r="AR383" s="38">
        <f t="shared" si="1042"/>
        <v>0</v>
      </c>
      <c r="AS383" s="38">
        <f t="shared" si="1042"/>
        <v>0</v>
      </c>
      <c r="AT383" s="38">
        <f t="shared" ref="AT383:AY383" si="1043">AT384-AT381</f>
        <v>0</v>
      </c>
      <c r="AU383" s="38">
        <f t="shared" si="1043"/>
        <v>0</v>
      </c>
      <c r="AV383" s="38">
        <f t="shared" si="1043"/>
        <v>0</v>
      </c>
      <c r="AW383" s="38">
        <f t="shared" si="1043"/>
        <v>0</v>
      </c>
      <c r="AX383" s="38">
        <f t="shared" si="1043"/>
        <v>0</v>
      </c>
      <c r="AY383" s="38">
        <f t="shared" si="1043"/>
        <v>0</v>
      </c>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row>
    <row r="384" spans="1:73">
      <c r="A384" s="9" t="s">
        <v>277</v>
      </c>
      <c r="B384" s="9"/>
      <c r="C384" s="9"/>
      <c r="D384" s="9"/>
      <c r="E384" s="9"/>
      <c r="F384" s="9"/>
      <c r="G384" s="9"/>
      <c r="H384" s="9"/>
      <c r="I384" s="58">
        <f>I381</f>
        <v>43589</v>
      </c>
      <c r="J384" s="39">
        <f>J215</f>
        <v>1158643</v>
      </c>
      <c r="K384" s="39">
        <f>K215</f>
        <v>1870841</v>
      </c>
      <c r="L384" s="97">
        <v>1844679</v>
      </c>
      <c r="M384" s="97">
        <v>1844679</v>
      </c>
      <c r="N384" s="39">
        <f t="shared" ref="N384:AC384" si="1044">N215</f>
        <v>2012729</v>
      </c>
      <c r="O384" s="39">
        <f t="shared" si="1044"/>
        <v>2177757</v>
      </c>
      <c r="P384" s="39">
        <f t="shared" si="1044"/>
        <v>3792014</v>
      </c>
      <c r="Q384" s="39">
        <f t="shared" si="1044"/>
        <v>4136965</v>
      </c>
      <c r="R384" s="39">
        <f t="shared" si="1044"/>
        <v>4136965</v>
      </c>
      <c r="S384" s="39">
        <f t="shared" si="1044"/>
        <v>4470164</v>
      </c>
      <c r="T384" s="39">
        <f t="shared" si="1044"/>
        <v>4573080</v>
      </c>
      <c r="U384" s="39">
        <f t="shared" si="1044"/>
        <v>4789338</v>
      </c>
      <c r="V384" s="39">
        <f t="shared" si="1044"/>
        <v>4584419</v>
      </c>
      <c r="W384" s="39">
        <f t="shared" si="1044"/>
        <v>4584419</v>
      </c>
      <c r="X384" s="39">
        <f t="shared" si="1044"/>
        <v>5233440</v>
      </c>
      <c r="Y384" s="39">
        <f t="shared" si="1044"/>
        <v>5244921</v>
      </c>
      <c r="Z384" s="39">
        <f t="shared" si="1044"/>
        <v>5455916</v>
      </c>
      <c r="AA384" s="39">
        <f t="shared" si="1044"/>
        <v>6601791</v>
      </c>
      <c r="AB384" s="39">
        <f t="shared" si="1044"/>
        <v>6601791</v>
      </c>
      <c r="AC384" s="39">
        <f t="shared" si="1044"/>
        <v>6450319</v>
      </c>
      <c r="AD384" s="97">
        <f t="shared" ref="AD384:AI384" si="1045">AD211</f>
        <v>5689194</v>
      </c>
      <c r="AE384" s="81">
        <f t="shared" si="1045"/>
        <v>5803702</v>
      </c>
      <c r="AF384" s="81">
        <f t="shared" si="1045"/>
        <v>5289754</v>
      </c>
      <c r="AG384" s="81">
        <f t="shared" si="1045"/>
        <v>5289754</v>
      </c>
      <c r="AH384" s="81">
        <f t="shared" si="1045"/>
        <v>5212143</v>
      </c>
      <c r="AI384" s="81">
        <f t="shared" si="1045"/>
        <v>5125940</v>
      </c>
      <c r="AJ384" s="81">
        <f t="shared" ref="AJ384" si="1046">AJ211</f>
        <v>4488128</v>
      </c>
      <c r="AK384" s="81">
        <f t="shared" ref="AK384:AN384" si="1047">AK211</f>
        <v>4470717</v>
      </c>
      <c r="AL384" s="81">
        <f t="shared" si="1047"/>
        <v>4470717</v>
      </c>
      <c r="AM384" s="81">
        <f t="shared" si="1047"/>
        <v>4794774</v>
      </c>
      <c r="AN384" s="81">
        <f t="shared" si="1047"/>
        <v>4999882</v>
      </c>
      <c r="AO384" s="81">
        <f t="shared" ref="AO384:AQ384" si="1048">AO211</f>
        <v>4647797</v>
      </c>
      <c r="AP384" s="81">
        <f t="shared" si="1048"/>
        <v>4680417</v>
      </c>
      <c r="AQ384" s="81">
        <f t="shared" si="1048"/>
        <v>4680417</v>
      </c>
      <c r="AR384" s="81">
        <f>AR211</f>
        <v>5039497</v>
      </c>
      <c r="AS384" s="81">
        <f t="shared" ref="AS384:AV384" si="1049">AS211</f>
        <v>4010946</v>
      </c>
      <c r="AT384" s="81">
        <f t="shared" si="1049"/>
        <v>4251682</v>
      </c>
      <c r="AU384" s="81">
        <f t="shared" si="1049"/>
        <v>3647647</v>
      </c>
      <c r="AV384" s="81">
        <f t="shared" si="1049"/>
        <v>3647647</v>
      </c>
      <c r="AW384" s="81">
        <f>AW211</f>
        <v>3640084</v>
      </c>
      <c r="AX384" s="81">
        <f t="shared" ref="AX384:AY384" si="1050">AX211</f>
        <v>3778338</v>
      </c>
      <c r="AY384" s="81">
        <f t="shared" si="1050"/>
        <v>3623451</v>
      </c>
      <c r="AZ384" s="81">
        <f t="shared" ref="AZ384:BU384" si="1051">AZ381+AZ383</f>
        <v>3452138.9701976343</v>
      </c>
      <c r="BA384" s="81">
        <f t="shared" si="1051"/>
        <v>3452138.9701976338</v>
      </c>
      <c r="BB384" s="81">
        <f t="shared" si="1051"/>
        <v>3175862.3468318866</v>
      </c>
      <c r="BC384" s="81">
        <f t="shared" si="1051"/>
        <v>2904697.535984416</v>
      </c>
      <c r="BD384" s="81">
        <f t="shared" si="1051"/>
        <v>2633101.0121359234</v>
      </c>
      <c r="BE384" s="81">
        <f t="shared" si="1051"/>
        <v>2366778.4992829887</v>
      </c>
      <c r="BF384" s="81">
        <f t="shared" si="1051"/>
        <v>2366778.4992829887</v>
      </c>
      <c r="BG384" s="81">
        <f t="shared" si="1051"/>
        <v>2159348.1774399597</v>
      </c>
      <c r="BH384" s="81">
        <f t="shared" si="1051"/>
        <v>1948356.7664718037</v>
      </c>
      <c r="BI384" s="81">
        <f t="shared" si="1051"/>
        <v>1733047.3427439968</v>
      </c>
      <c r="BJ384" s="81">
        <f t="shared" si="1051"/>
        <v>1406619.1114984634</v>
      </c>
      <c r="BK384" s="81">
        <f t="shared" si="1051"/>
        <v>1406619.1114984639</v>
      </c>
      <c r="BL384" s="81">
        <f t="shared" si="1051"/>
        <v>1212025.0453720686</v>
      </c>
      <c r="BM384" s="81">
        <f t="shared" si="1051"/>
        <v>1015416.9792456736</v>
      </c>
      <c r="BN384" s="81">
        <f t="shared" si="1051"/>
        <v>816818.91311927885</v>
      </c>
      <c r="BO384" s="81">
        <f t="shared" si="1051"/>
        <v>616254.84699288395</v>
      </c>
      <c r="BP384" s="81">
        <f t="shared" si="1051"/>
        <v>616254.84699288395</v>
      </c>
      <c r="BQ384" s="81">
        <f t="shared" si="1051"/>
        <v>413748.78086648899</v>
      </c>
      <c r="BR384" s="81">
        <f t="shared" si="1051"/>
        <v>207082.21474009406</v>
      </c>
      <c r="BS384" s="81">
        <f t="shared" si="1051"/>
        <v>24.648613699158886</v>
      </c>
      <c r="BT384" s="81">
        <f t="shared" si="1051"/>
        <v>0</v>
      </c>
      <c r="BU384" s="81">
        <f t="shared" si="1051"/>
        <v>0</v>
      </c>
    </row>
    <row r="385" spans="1:68">
      <c r="L385" s="22"/>
      <c r="M385" s="42"/>
      <c r="S385" s="123" t="s">
        <v>545</v>
      </c>
      <c r="T385" s="12"/>
      <c r="U385" s="12"/>
      <c r="V385" s="12"/>
      <c r="W385" s="12"/>
      <c r="X385" s="12"/>
      <c r="AC385" s="116" t="s">
        <v>672</v>
      </c>
      <c r="AD385" s="115"/>
      <c r="AE385" s="115"/>
      <c r="AF385" s="115"/>
      <c r="AG385" s="115"/>
      <c r="AH385" s="115"/>
      <c r="AI385" s="115"/>
      <c r="AJ385" s="168"/>
      <c r="AK385" s="115"/>
    </row>
    <row r="386" spans="1:68">
      <c r="A386" s="3" t="s">
        <v>217</v>
      </c>
      <c r="N386" s="100" t="s">
        <v>347</v>
      </c>
      <c r="O386" s="2"/>
      <c r="P386" s="2"/>
      <c r="Q386" s="2"/>
      <c r="R386" s="2"/>
      <c r="S386" s="2"/>
      <c r="T386" s="84" t="s">
        <v>348</v>
      </c>
      <c r="U386" s="84"/>
      <c r="V386" s="84"/>
      <c r="W386" s="84"/>
      <c r="X386" s="98" t="s">
        <v>451</v>
      </c>
      <c r="Y386" s="71"/>
      <c r="Z386" s="71"/>
      <c r="AA386" s="71"/>
      <c r="AB386" s="71"/>
      <c r="AC386" s="71"/>
      <c r="AD386" s="71"/>
    </row>
    <row r="387" spans="1:68">
      <c r="J387" s="25" t="s">
        <v>286</v>
      </c>
      <c r="X387" s="98" t="s">
        <v>452</v>
      </c>
      <c r="Y387" s="71"/>
      <c r="Z387" s="71"/>
      <c r="AA387" s="71"/>
      <c r="AB387" s="71"/>
      <c r="AC387" s="71"/>
      <c r="AD387" s="71"/>
      <c r="AF387" s="53" t="s">
        <v>618</v>
      </c>
      <c r="AG387" s="44"/>
      <c r="AH387" s="44"/>
      <c r="AI387" s="44"/>
      <c r="AJ387" s="44"/>
      <c r="AK387" s="44"/>
    </row>
    <row r="388" spans="1:68">
      <c r="A388" s="1" t="s">
        <v>218</v>
      </c>
      <c r="J388" s="38">
        <f>I394</f>
        <v>0</v>
      </c>
      <c r="K388" s="38">
        <f>J394</f>
        <v>660619.45960736473</v>
      </c>
      <c r="L388" s="38">
        <f>K394</f>
        <v>1083069.9386503065</v>
      </c>
      <c r="M388" s="76">
        <v>0</v>
      </c>
      <c r="N388" s="38">
        <f>M394</f>
        <v>1158105.197892373</v>
      </c>
      <c r="O388" s="38">
        <f>N394</f>
        <v>1295122.5417049124</v>
      </c>
      <c r="P388" s="38">
        <f>O394</f>
        <v>1342310.8094249235</v>
      </c>
      <c r="Q388" s="38">
        <f>P394</f>
        <v>2209036.8579627508</v>
      </c>
      <c r="R388" s="59">
        <f>M394</f>
        <v>1158105.197892373</v>
      </c>
      <c r="S388" s="141">
        <f>R397</f>
        <v>2268138</v>
      </c>
      <c r="T388" s="38">
        <f>S394</f>
        <v>2357764.5034826254</v>
      </c>
      <c r="U388" s="38">
        <f>T394</f>
        <v>2613641.6666452293</v>
      </c>
      <c r="V388" s="38">
        <f>U394</f>
        <v>2755775.0986854676</v>
      </c>
      <c r="W388" s="141">
        <f>R397</f>
        <v>2268138</v>
      </c>
      <c r="X388" s="141">
        <f>W397</f>
        <v>2881868</v>
      </c>
      <c r="Y388" s="38">
        <f>X394</f>
        <v>3083100.9322551833</v>
      </c>
      <c r="Z388" s="38">
        <f>Y394</f>
        <v>2893490.3216715939</v>
      </c>
      <c r="AA388" s="38">
        <f>Z394</f>
        <v>2713353.9119615424</v>
      </c>
      <c r="AB388" s="141">
        <f>W397</f>
        <v>2881868</v>
      </c>
      <c r="AC388" s="141">
        <f>AB397</f>
        <v>2348005</v>
      </c>
      <c r="AD388" s="38">
        <f>AC394</f>
        <v>2222809.3730620686</v>
      </c>
      <c r="AE388" s="38">
        <f>AD394</f>
        <v>2112631.7500950228</v>
      </c>
      <c r="AF388" s="38">
        <f>AE394</f>
        <v>2140805.5739007732</v>
      </c>
      <c r="AG388" s="141">
        <f>AB397</f>
        <v>2348005</v>
      </c>
      <c r="AH388" s="141">
        <f>AG397</f>
        <v>2259090.8138202056</v>
      </c>
      <c r="AI388" s="38">
        <f>AH394</f>
        <v>2459035.6462156638</v>
      </c>
      <c r="AJ388" s="38">
        <f>AI394</f>
        <v>2572438.5166387893</v>
      </c>
      <c r="AK388" s="38">
        <f>AJ394</f>
        <v>2311193.5779098356</v>
      </c>
      <c r="AL388" s="141">
        <f>AG397</f>
        <v>2259090.8138202056</v>
      </c>
      <c r="AM388" s="141">
        <f>AL397</f>
        <v>2315727</v>
      </c>
      <c r="AN388" s="38">
        <f>AM394</f>
        <v>2448438.9692713064</v>
      </c>
      <c r="AO388" s="38">
        <f>AN394</f>
        <v>2485979.03046729</v>
      </c>
      <c r="AP388" s="38">
        <f>AO394</f>
        <v>2120911.27970629</v>
      </c>
      <c r="AQ388" s="141">
        <f>AL397</f>
        <v>2315727</v>
      </c>
      <c r="AR388" s="141">
        <f>AQ397</f>
        <v>2015272</v>
      </c>
      <c r="AS388" s="38">
        <f>AR394</f>
        <v>2011593.7416668334</v>
      </c>
      <c r="AT388" s="38">
        <f>AS394</f>
        <v>1136519.9694019335</v>
      </c>
      <c r="AU388" s="38">
        <f>AT394</f>
        <v>1145701.6443429946</v>
      </c>
      <c r="AV388" s="141">
        <f>AQ397</f>
        <v>2015272</v>
      </c>
      <c r="AW388" s="141">
        <f>AV397</f>
        <v>736324.88892597519</v>
      </c>
      <c r="AX388" s="38">
        <f>AW394</f>
        <v>623121.8234447256</v>
      </c>
      <c r="AY388" s="38">
        <f>AX394</f>
        <v>628414.84476406267</v>
      </c>
      <c r="AZ388" s="38">
        <f>AY394</f>
        <v>611210.71812903672</v>
      </c>
      <c r="BA388" s="141">
        <f>AV397</f>
        <v>736324.88892597519</v>
      </c>
      <c r="BB388" s="38">
        <f>BA394</f>
        <v>609402.8070266674</v>
      </c>
      <c r="BC388" s="38">
        <f>BB394</f>
        <v>549804.27244865859</v>
      </c>
      <c r="BD388" s="38">
        <f>BC394</f>
        <v>496820.52772758313</v>
      </c>
      <c r="BE388" s="38">
        <f>BD394</f>
        <v>439231.07000548515</v>
      </c>
      <c r="BF388" s="141">
        <f>BA397</f>
        <v>609130.32968801213</v>
      </c>
      <c r="BG388" s="38">
        <f>BF394</f>
        <v>386603.12327894545</v>
      </c>
      <c r="BH388" s="38">
        <f>BG394</f>
        <v>345087.8675623117</v>
      </c>
      <c r="BI388" s="38">
        <f>BH394</f>
        <v>299935.02272055019</v>
      </c>
      <c r="BJ388" s="38">
        <f>BI394</f>
        <v>251904.66511913834</v>
      </c>
      <c r="BK388" s="141">
        <f>BF397</f>
        <v>386603.12327894557</v>
      </c>
      <c r="BL388" s="38">
        <f>BK394</f>
        <v>0</v>
      </c>
      <c r="BM388" s="38">
        <f>BL394</f>
        <v>0</v>
      </c>
      <c r="BN388" s="38">
        <f>BM394</f>
        <v>0</v>
      </c>
      <c r="BO388" s="38">
        <f>BN394</f>
        <v>0</v>
      </c>
      <c r="BP388" s="141">
        <f>BK397</f>
        <v>0</v>
      </c>
    </row>
    <row r="389" spans="1:68">
      <c r="A389" s="1" t="s">
        <v>229</v>
      </c>
      <c r="J389" s="55">
        <f>$I$365*I394+($I$365*0.5*J390)</f>
        <v>5586.9442699414139</v>
      </c>
      <c r="K389" s="55">
        <f>$I$365*J394+($I$365*0.5*K390)</f>
        <v>14920.037112042221</v>
      </c>
      <c r="L389" s="55">
        <f>$I$365*K394+($I$365*0.5*L390)</f>
        <v>19531.461696054026</v>
      </c>
      <c r="M389" s="38">
        <f>SUM(I389:L389)</f>
        <v>40038.443078037657</v>
      </c>
      <c r="N389" s="99">
        <f>N374</f>
        <v>19473</v>
      </c>
      <c r="O389" s="38">
        <f>O374</f>
        <v>21184</v>
      </c>
      <c r="P389" s="38">
        <f>P374</f>
        <v>26082</v>
      </c>
      <c r="Q389" s="38">
        <f>Q374</f>
        <v>35973</v>
      </c>
      <c r="R389" s="38">
        <f>SUM(N389:Q389)</f>
        <v>102712</v>
      </c>
      <c r="S389" s="38">
        <f>S374</f>
        <v>38997</v>
      </c>
      <c r="T389" s="38">
        <f>T374</f>
        <v>46509</v>
      </c>
      <c r="U389" s="38">
        <f>U374</f>
        <v>46197</v>
      </c>
      <c r="V389" s="38">
        <f>V374</f>
        <v>48075</v>
      </c>
      <c r="W389" s="38">
        <f>SUM(S389:V389)</f>
        <v>179778</v>
      </c>
      <c r="X389" s="38">
        <f>X374</f>
        <v>49981</v>
      </c>
      <c r="Y389" s="38">
        <f>Y374</f>
        <v>52932</v>
      </c>
      <c r="Z389" s="38">
        <f>Z374</f>
        <v>49466</v>
      </c>
      <c r="AA389" s="38">
        <f>AA374</f>
        <v>45417</v>
      </c>
      <c r="AB389" s="38">
        <f>SUM(X389:AA389)</f>
        <v>197796</v>
      </c>
      <c r="AC389" s="38">
        <f>AC374</f>
        <v>39701</v>
      </c>
      <c r="AD389" s="38">
        <f>AD374</f>
        <v>38478</v>
      </c>
      <c r="AE389" s="38">
        <f>AE374</f>
        <v>36979</v>
      </c>
      <c r="AF389" s="38">
        <f>AF374</f>
        <v>38351</v>
      </c>
      <c r="AG389" s="38">
        <f>SUM(AC389:AF389)</f>
        <v>153509</v>
      </c>
      <c r="AH389" s="38">
        <f>AH374</f>
        <v>40697</v>
      </c>
      <c r="AI389" s="38">
        <f>AI374</f>
        <v>43609</v>
      </c>
      <c r="AJ389" s="38">
        <f>AJ374</f>
        <v>43651</v>
      </c>
      <c r="AK389" s="38">
        <f>AK374</f>
        <v>39473</v>
      </c>
      <c r="AL389" s="38">
        <f>SUM(AH389:AK389)</f>
        <v>167430</v>
      </c>
      <c r="AM389" s="38">
        <f>AM374</f>
        <v>40718</v>
      </c>
      <c r="AN389" s="38">
        <f>AN374</f>
        <v>42471</v>
      </c>
      <c r="AO389" s="38">
        <f>AO374</f>
        <v>41481</v>
      </c>
      <c r="AP389" s="38">
        <f>AP374</f>
        <v>37229</v>
      </c>
      <c r="AQ389" s="38">
        <f>SUM(AM389:AP389)</f>
        <v>161899</v>
      </c>
      <c r="AR389" s="38">
        <f>AR374</f>
        <v>34953</v>
      </c>
      <c r="AS389" s="38">
        <f>AS374</f>
        <v>26899</v>
      </c>
      <c r="AT389" s="38">
        <f>AT374</f>
        <v>20494</v>
      </c>
      <c r="AU389" s="38">
        <f>AU374</f>
        <v>15855</v>
      </c>
      <c r="AV389" s="38">
        <f>SUM(AR389:AU389)</f>
        <v>98201</v>
      </c>
      <c r="AW389" s="38">
        <f>AW374</f>
        <v>11935</v>
      </c>
      <c r="AX389" s="38">
        <f>AX374</f>
        <v>9859</v>
      </c>
      <c r="AY389" s="38">
        <f>AY374</f>
        <v>10363</v>
      </c>
      <c r="AZ389" s="80">
        <f t="shared" ref="AZ389:AZ392" si="1052">AZ464*AZ$102</f>
        <v>10081.5</v>
      </c>
      <c r="BA389" s="38">
        <f>SUM(AW389:AZ389)</f>
        <v>42238.5</v>
      </c>
      <c r="BB389" s="80">
        <f t="shared" ref="BB389:BE392" si="1053">BB464*BB$102</f>
        <v>10055.500000000002</v>
      </c>
      <c r="BC389" s="80">
        <f t="shared" si="1053"/>
        <v>9258</v>
      </c>
      <c r="BD389" s="80">
        <f t="shared" si="1053"/>
        <v>8464.5</v>
      </c>
      <c r="BE389" s="80">
        <f t="shared" si="1053"/>
        <v>7675</v>
      </c>
      <c r="BF389" s="38">
        <f>SUM(BB389:BE389)</f>
        <v>35453</v>
      </c>
      <c r="BG389" s="80">
        <f t="shared" ref="BG389:BJ392" si="1054">BG464*BG$102</f>
        <v>6889.5</v>
      </c>
      <c r="BH389" s="80">
        <f t="shared" si="1054"/>
        <v>6108.0000000000009</v>
      </c>
      <c r="BI389" s="80">
        <f t="shared" si="1054"/>
        <v>5330.5</v>
      </c>
      <c r="BJ389" s="80">
        <f t="shared" si="1054"/>
        <v>4557</v>
      </c>
      <c r="BK389" s="38">
        <f>SUM(BG389:BJ389)</f>
        <v>22885</v>
      </c>
      <c r="BL389" s="80">
        <f t="shared" ref="BL389:BO392" si="1055">BL464*BL$102</f>
        <v>0</v>
      </c>
      <c r="BM389" s="80">
        <f t="shared" si="1055"/>
        <v>0</v>
      </c>
      <c r="BN389" s="80">
        <f t="shared" si="1055"/>
        <v>0</v>
      </c>
      <c r="BO389" s="80">
        <f t="shared" si="1055"/>
        <v>0</v>
      </c>
      <c r="BP389" s="38">
        <f>SUM(BL389:BO389)</f>
        <v>0</v>
      </c>
    </row>
    <row r="390" spans="1:68">
      <c r="A390" s="1" t="s">
        <v>219</v>
      </c>
      <c r="J390" s="38">
        <f>J649*J372</f>
        <v>655032.51533742331</v>
      </c>
      <c r="K390" s="38">
        <f>K649*K372</f>
        <v>428037.42331288342</v>
      </c>
      <c r="L390" s="38">
        <f>L649*L372</f>
        <v>123795.7055214724</v>
      </c>
      <c r="M390" s="38">
        <f>SUM(I390:L390)</f>
        <v>1206865.6441717793</v>
      </c>
      <c r="N390" s="70">
        <f>IF(M405&gt;61%, N649*N372, M405*N372)</f>
        <v>110559.50920245399</v>
      </c>
      <c r="O390" s="38">
        <f>IF(N405&gt;61%, O649*O372, N405*O372)</f>
        <v>131277.30061349695</v>
      </c>
      <c r="P390" s="38">
        <f>IF(O405&gt;61%, P649*P372, O405*P372)</f>
        <v>914943.51145038172</v>
      </c>
      <c r="Q390" s="38">
        <f>IF(P405&gt;61%, Q649*Q372, P405*Q372)</f>
        <v>140550.61628120492</v>
      </c>
      <c r="R390" s="38">
        <f>SUM(N390:Q390)</f>
        <v>1297330.9375475375</v>
      </c>
      <c r="S390" s="38">
        <f>IF(R405&gt;61%, S649*S372, R405*S372)</f>
        <v>189518.59605677106</v>
      </c>
      <c r="T390" s="38">
        <f>IF(S405&gt;61%, T649*T372, S405*T372)</f>
        <v>533184.39699517132</v>
      </c>
      <c r="U390" s="38">
        <f>IF(T405&gt;61%, U649*U372, T405*U372)</f>
        <v>129426.4370847391</v>
      </c>
      <c r="V390" s="38">
        <f>IF(U405&gt;61%, V649*V372, U405*V372)</f>
        <v>149976.89110630081</v>
      </c>
      <c r="W390" s="38">
        <f>SUM(S390:V390)</f>
        <v>1002106.3212429823</v>
      </c>
      <c r="X390" s="141">
        <f>50%*X372</f>
        <v>382330</v>
      </c>
      <c r="Y390" s="141">
        <f>50%*Y372</f>
        <v>0</v>
      </c>
      <c r="Z390" s="141">
        <f>50%*Z372</f>
        <v>5033</v>
      </c>
      <c r="AA390" s="141">
        <f>50%*AA372</f>
        <v>102270</v>
      </c>
      <c r="AB390" s="38">
        <f>SUM(X390:AA390)</f>
        <v>489633</v>
      </c>
      <c r="AC390" s="159">
        <f>61%*AC372</f>
        <v>42509.07</v>
      </c>
      <c r="AD390" s="159">
        <f>61%*AD372</f>
        <v>8003.8099999999995</v>
      </c>
      <c r="AE390" s="159">
        <f>61%*AE372</f>
        <v>34262.479999999996</v>
      </c>
      <c r="AF390" s="175">
        <f>25%*AF372</f>
        <v>34712</v>
      </c>
      <c r="AG390" s="38">
        <f>SUM(AC390:AF390)</f>
        <v>119487.35999999999</v>
      </c>
      <c r="AH390" s="159">
        <f>61%*AH372</f>
        <v>4704.32</v>
      </c>
      <c r="AI390" s="159">
        <f>61%*AI372</f>
        <v>0</v>
      </c>
      <c r="AJ390" s="159">
        <f>61%*AJ372</f>
        <v>6188.45</v>
      </c>
      <c r="AK390" s="159">
        <f>61%*AK372</f>
        <v>0</v>
      </c>
      <c r="AL390" s="38">
        <f>SUM(AH390:AK390)</f>
        <v>10892.77</v>
      </c>
      <c r="AM390" s="159">
        <f>61%*AM372</f>
        <v>0</v>
      </c>
      <c r="AN390" s="159">
        <f>61%*AN372</f>
        <v>0</v>
      </c>
      <c r="AO390" s="159">
        <f>61%*AO372</f>
        <v>0</v>
      </c>
      <c r="AP390" s="159">
        <f>61%*AP372</f>
        <v>0</v>
      </c>
      <c r="AQ390" s="38">
        <f>SUM(AM390:AP390)</f>
        <v>0</v>
      </c>
      <c r="AR390" s="159">
        <f>61%*AR372</f>
        <v>0</v>
      </c>
      <c r="AS390" s="159">
        <f>61%*AS372</f>
        <v>0</v>
      </c>
      <c r="AT390" s="159">
        <f>61%*AT372</f>
        <v>0</v>
      </c>
      <c r="AU390" s="159">
        <f>61%*AU372</f>
        <v>0</v>
      </c>
      <c r="AV390" s="38">
        <f>SUM(AR390:AU390)</f>
        <v>0</v>
      </c>
      <c r="AW390" s="159">
        <f>61%*AW372</f>
        <v>0</v>
      </c>
      <c r="AX390" s="159">
        <f>61%*AX372</f>
        <v>0</v>
      </c>
      <c r="AY390" s="159">
        <f>61%*AY372</f>
        <v>0</v>
      </c>
      <c r="AZ390" s="80">
        <f t="shared" si="1052"/>
        <v>0</v>
      </c>
      <c r="BA390" s="38">
        <f>SUM(AW390:AZ390)</f>
        <v>0</v>
      </c>
      <c r="BB390" s="80">
        <f t="shared" si="1053"/>
        <v>0</v>
      </c>
      <c r="BC390" s="80">
        <f t="shared" si="1053"/>
        <v>0</v>
      </c>
      <c r="BD390" s="80">
        <f t="shared" si="1053"/>
        <v>0</v>
      </c>
      <c r="BE390" s="80">
        <f t="shared" si="1053"/>
        <v>0</v>
      </c>
      <c r="BF390" s="38">
        <f>SUM(BB390:BE390)</f>
        <v>0</v>
      </c>
      <c r="BG390" s="80">
        <f t="shared" si="1054"/>
        <v>0</v>
      </c>
      <c r="BH390" s="80">
        <f t="shared" si="1054"/>
        <v>0</v>
      </c>
      <c r="BI390" s="80">
        <f t="shared" si="1054"/>
        <v>0</v>
      </c>
      <c r="BJ390" s="80">
        <f t="shared" si="1054"/>
        <v>0</v>
      </c>
      <c r="BK390" s="38">
        <f>SUM(BG390:BJ390)</f>
        <v>0</v>
      </c>
      <c r="BL390" s="80">
        <f t="shared" si="1055"/>
        <v>0</v>
      </c>
      <c r="BM390" s="80">
        <f t="shared" si="1055"/>
        <v>0</v>
      </c>
      <c r="BN390" s="80">
        <f t="shared" si="1055"/>
        <v>0</v>
      </c>
      <c r="BO390" s="80">
        <f t="shared" si="1055"/>
        <v>0</v>
      </c>
      <c r="BP390" s="38">
        <f>SUM(BL390:BO390)</f>
        <v>0</v>
      </c>
    </row>
    <row r="391" spans="1:68">
      <c r="A391" s="1" t="s">
        <v>220</v>
      </c>
      <c r="J391" s="38"/>
      <c r="K391" s="38">
        <f>K377</f>
        <v>-20506.981381983634</v>
      </c>
      <c r="L391" s="38">
        <f>L377</f>
        <v>0</v>
      </c>
      <c r="M391" s="38">
        <f t="shared" ref="M391:M392" si="1056">SUM(I391:L391)</f>
        <v>-20506.981381983634</v>
      </c>
      <c r="N391" s="38">
        <f>N377</f>
        <v>-37965</v>
      </c>
      <c r="O391" s="38">
        <f>O377</f>
        <v>-18945</v>
      </c>
      <c r="P391" s="38">
        <f>P377</f>
        <v>-28347</v>
      </c>
      <c r="Q391" s="38">
        <f>Q377</f>
        <v>-6437</v>
      </c>
      <c r="R391" s="38">
        <f>SUM(N391:Q391)</f>
        <v>-91694</v>
      </c>
      <c r="S391" s="38">
        <f>S377</f>
        <v>-68409</v>
      </c>
      <c r="T391" s="38">
        <f>T377</f>
        <v>-34660</v>
      </c>
      <c r="U391" s="38">
        <f>U377</f>
        <v>-77358.03</v>
      </c>
      <c r="V391" s="38">
        <f>V377</f>
        <v>-32210.250000000004</v>
      </c>
      <c r="W391" s="38">
        <f>SUM(S391:V391)</f>
        <v>-212637.28</v>
      </c>
      <c r="X391" s="107">
        <f>-(V389+X389)-V391</f>
        <v>-65845.75</v>
      </c>
      <c r="Y391" s="107">
        <f>0.5*X391</f>
        <v>-32922.875</v>
      </c>
      <c r="Z391" s="107">
        <f>-(Y389+Z389)-Y391</f>
        <v>-69475.125</v>
      </c>
      <c r="AA391" s="107">
        <f>0.5*Z391</f>
        <v>-34737.5625</v>
      </c>
      <c r="AB391" s="38">
        <f>SUM(X391:AA391)</f>
        <v>-202981.3125</v>
      </c>
      <c r="AC391" s="107">
        <f>-(AA389+AC389)-AA391</f>
        <v>-50380.4375</v>
      </c>
      <c r="AD391" s="107">
        <f>0.5*AC391</f>
        <v>-25190.21875</v>
      </c>
      <c r="AE391" s="107">
        <f>-(AD389+AE389)-AD391</f>
        <v>-50266.78125</v>
      </c>
      <c r="AF391" s="107">
        <f>0.5*AE391</f>
        <v>-25133.390625</v>
      </c>
      <c r="AG391" s="38">
        <f>SUM(AC391:AF391)</f>
        <v>-150970.828125</v>
      </c>
      <c r="AH391" s="107">
        <f>-(AF389+AH389)-AF391</f>
        <v>-53914.609375</v>
      </c>
      <c r="AI391" s="107">
        <f>0.5*AH391</f>
        <v>-26957.3046875</v>
      </c>
      <c r="AJ391" s="107">
        <f>-(AI389+AJ389)-AI391</f>
        <v>-60302.6953125</v>
      </c>
      <c r="AK391" s="107">
        <f>0.5*AJ391</f>
        <v>-30151.34765625</v>
      </c>
      <c r="AL391" s="38">
        <f>SUM(AH391:AK391)</f>
        <v>-171325.95703125</v>
      </c>
      <c r="AM391" s="107">
        <f>-(AK389+AM389)-AK391</f>
        <v>-50039.65234375</v>
      </c>
      <c r="AN391" s="107">
        <f>0.5*AM391</f>
        <v>-25019.826171875</v>
      </c>
      <c r="AO391" s="107">
        <f>-(AN389+AO389)-AN391</f>
        <v>-58932.173828125</v>
      </c>
      <c r="AP391" s="107">
        <f>0.5*AO391</f>
        <v>-29466.0869140625</v>
      </c>
      <c r="AQ391" s="38">
        <f>SUM(AM391:AP391)</f>
        <v>-163457.7392578125</v>
      </c>
      <c r="AR391" s="107">
        <f>-(AP389+AR389)-AP391</f>
        <v>-42715.9130859375</v>
      </c>
      <c r="AS391" s="107">
        <f>0.5*AR391</f>
        <v>-21357.95654296875</v>
      </c>
      <c r="AT391" s="107">
        <f>-(AS389+AT389)-AS391</f>
        <v>-26035.04345703125</v>
      </c>
      <c r="AU391" s="107">
        <f>0.5*AT391</f>
        <v>-13017.521728515625</v>
      </c>
      <c r="AV391" s="38">
        <f>SUM(AR391:AU391)</f>
        <v>-103126.43481445313</v>
      </c>
      <c r="AW391" s="107">
        <f>-(AU389+AW389)-AU391</f>
        <v>-14772.478271484375</v>
      </c>
      <c r="AX391" s="107">
        <f>0.5*AW391</f>
        <v>-7386.2391357421875</v>
      </c>
      <c r="AY391" s="107">
        <f>-(AX389+AY389)-AX391</f>
        <v>-12835.760864257813</v>
      </c>
      <c r="AZ391" s="80">
        <f t="shared" si="1052"/>
        <v>-6462.0439822331437</v>
      </c>
      <c r="BA391" s="38">
        <f>SUM(AW391:AZ391)</f>
        <v>-41456.522253717521</v>
      </c>
      <c r="BB391" s="80">
        <f t="shared" si="1053"/>
        <v>-13665.621508372231</v>
      </c>
      <c r="BC391" s="80">
        <f t="shared" si="1053"/>
        <v>-6815.1434994888014</v>
      </c>
      <c r="BD391" s="80">
        <f t="shared" si="1053"/>
        <v>-10901.023755208513</v>
      </c>
      <c r="BE391" s="80">
        <f t="shared" si="1053"/>
        <v>-5436.345504952913</v>
      </c>
      <c r="BF391" s="38">
        <f>SUM(BB391:BE391)</f>
        <v>-36818.134268022455</v>
      </c>
      <c r="BG391" s="80">
        <f t="shared" si="1054"/>
        <v>-9122.3208676984304</v>
      </c>
      <c r="BH391" s="80">
        <f t="shared" si="1054"/>
        <v>-4549.2436201748869</v>
      </c>
      <c r="BI391" s="80">
        <f t="shared" si="1054"/>
        <v>-6885.1731934994423</v>
      </c>
      <c r="BJ391" s="80">
        <f t="shared" si="1054"/>
        <v>-3433.5450035868853</v>
      </c>
      <c r="BK391" s="38">
        <f>SUM(BG391:BJ391)</f>
        <v>-23990.282684959646</v>
      </c>
      <c r="BL391" s="80">
        <f t="shared" si="1055"/>
        <v>0</v>
      </c>
      <c r="BM391" s="80">
        <f t="shared" si="1055"/>
        <v>0</v>
      </c>
      <c r="BN391" s="80">
        <f t="shared" si="1055"/>
        <v>0</v>
      </c>
      <c r="BO391" s="80">
        <f t="shared" si="1055"/>
        <v>0</v>
      </c>
      <c r="BP391" s="38">
        <f>SUM(BL391:BO391)</f>
        <v>0</v>
      </c>
    </row>
    <row r="392" spans="1:68">
      <c r="A392" s="1" t="s">
        <v>221</v>
      </c>
      <c r="J392" s="38"/>
      <c r="K392" s="38"/>
      <c r="L392" s="38">
        <f>IF(K405&gt;61%, K405*L379, L649*L379)</f>
        <v>-68291.907975460126</v>
      </c>
      <c r="M392" s="38">
        <f t="shared" si="1056"/>
        <v>-68291.907975460126</v>
      </c>
      <c r="N392" s="38">
        <f>IF(M405&gt;61%, M405*N379, N649*N379)</f>
        <v>-2894.197289763606</v>
      </c>
      <c r="O392" s="38">
        <f>IF(N405&gt;61%, N405*O379, O649*O379)</f>
        <v>-123086.66772084449</v>
      </c>
      <c r="P392" s="38">
        <f>IF(O405&gt;61%, O405*P379, P649*P379)</f>
        <v>1299.9308449368611</v>
      </c>
      <c r="Q392" s="38">
        <f>IF(P405&gt;61%, P405*Q379, Q649*Q379)</f>
        <v>-15389.312977099236</v>
      </c>
      <c r="R392" s="38">
        <f>SUM(N392:Q392)</f>
        <v>-140070.24714277047</v>
      </c>
      <c r="S392" s="38">
        <f>IF(R405&gt;61%, R405*S379, S649*S379)</f>
        <v>0</v>
      </c>
      <c r="T392" s="38">
        <f>IF(S405&gt;61%, S405*T379, T649*T379)</f>
        <v>-292098.32061068702</v>
      </c>
      <c r="U392" s="38">
        <f>IF(T405&gt;61%, T405*U379, U649*U379)</f>
        <v>3268.4152671755719</v>
      </c>
      <c r="V392" s="38">
        <f>IF(U405&gt;61%, U405*V379, V649*V379)</f>
        <v>-27710.381679389313</v>
      </c>
      <c r="W392" s="38">
        <f>SUM(S392:V392)</f>
        <v>-316540.28702290077</v>
      </c>
      <c r="X392" s="159">
        <f>90%*(X379-X391)</f>
        <v>-136369.125</v>
      </c>
      <c r="Y392" s="159">
        <f>90%*(Y379-Y391)</f>
        <v>-154056.71249999999</v>
      </c>
      <c r="Z392" s="159">
        <f>90%*(Z379-Z391)</f>
        <v>-100612.6875</v>
      </c>
      <c r="AA392" s="159">
        <f>90%*(AA379-AA391)</f>
        <v>-652137.69374999998</v>
      </c>
      <c r="AB392" s="38">
        <f>SUM(X392:AA392)</f>
        <v>-1043176.21875</v>
      </c>
      <c r="AC392" s="55">
        <f>AC467*AC$102</f>
        <v>-154000</v>
      </c>
      <c r="AD392" s="38">
        <f>AD467*AD$102</f>
        <v>-154658</v>
      </c>
      <c r="AE392" s="121">
        <f>AE467*AE$102</f>
        <v>-51120</v>
      </c>
      <c r="AF392" s="38">
        <f>AF467*AF$102</f>
        <v>-52695</v>
      </c>
      <c r="AG392" s="38">
        <f>SUM(AC392:AF392)</f>
        <v>-412473</v>
      </c>
      <c r="AH392" s="38">
        <f>AH467*AH$102</f>
        <v>-38712</v>
      </c>
      <c r="AI392" s="38">
        <f>AI467*AI$102</f>
        <v>-41604</v>
      </c>
      <c r="AJ392" s="38">
        <f>AJ467*AJ$102</f>
        <v>-42348</v>
      </c>
      <c r="AK392" s="38">
        <f>AK467*AK$102</f>
        <v>-39978</v>
      </c>
      <c r="AL392" s="38">
        <f>SUM(AH392:AK392)</f>
        <v>-162642</v>
      </c>
      <c r="AM392" s="38">
        <f>AM467*AM$102</f>
        <v>-55244.000000000007</v>
      </c>
      <c r="AN392" s="38">
        <f>AN467*AN$102</f>
        <v>-58176</v>
      </c>
      <c r="AO392" s="38">
        <f>AO467*AO$102</f>
        <v>-220500</v>
      </c>
      <c r="AP392" s="38">
        <f>AP467*AP$102</f>
        <v>-251379</v>
      </c>
      <c r="AQ392" s="38">
        <f>SUM(AM392:AP392)</f>
        <v>-585299</v>
      </c>
      <c r="AR392" s="38">
        <f>AR467*AR$102</f>
        <v>-125224</v>
      </c>
      <c r="AS392" s="38">
        <f>AS467*AS$102</f>
        <v>-661144</v>
      </c>
      <c r="AT392" s="38">
        <f>AT467*AT$102</f>
        <v>-105924</v>
      </c>
      <c r="AU392" s="38">
        <f>AU467*AU$102</f>
        <v>-351785</v>
      </c>
      <c r="AV392" s="38">
        <f>SUM(AR392:AU392)</f>
        <v>-1244077</v>
      </c>
      <c r="AW392" s="38">
        <f>AW467*AW$102</f>
        <v>-87114</v>
      </c>
      <c r="AX392" s="38">
        <f>AX467*AX$102</f>
        <v>-14750</v>
      </c>
      <c r="AY392" s="38">
        <f>AY467*AY$102</f>
        <v>-46212</v>
      </c>
      <c r="AZ392" s="80">
        <f t="shared" si="1052"/>
        <v>0</v>
      </c>
      <c r="BA392" s="38">
        <f>SUM(AW392:AZ392)</f>
        <v>-148076</v>
      </c>
      <c r="BB392" s="80">
        <f t="shared" si="1053"/>
        <v>-54145.000000000007</v>
      </c>
      <c r="BC392" s="80">
        <f t="shared" si="1053"/>
        <v>-54005.000000000007</v>
      </c>
      <c r="BD392" s="80">
        <f t="shared" si="1053"/>
        <v>-53865</v>
      </c>
      <c r="BE392" s="80">
        <f t="shared" si="1053"/>
        <v>-53725</v>
      </c>
      <c r="BF392" s="38">
        <f>SUM(BB392:BE392)</f>
        <v>-215740</v>
      </c>
      <c r="BG392" s="80">
        <f t="shared" si="1054"/>
        <v>-38275</v>
      </c>
      <c r="BH392" s="80">
        <f t="shared" si="1054"/>
        <v>-45810.000000000007</v>
      </c>
      <c r="BI392" s="80">
        <f t="shared" si="1054"/>
        <v>-45690</v>
      </c>
      <c r="BJ392" s="80">
        <f t="shared" si="1054"/>
        <v>-252366.51889396473</v>
      </c>
      <c r="BK392" s="38">
        <f>SUM(BG392:BJ392)</f>
        <v>-382141.51889396471</v>
      </c>
      <c r="BL392" s="80">
        <f t="shared" si="1055"/>
        <v>0</v>
      </c>
      <c r="BM392" s="80">
        <f t="shared" si="1055"/>
        <v>0</v>
      </c>
      <c r="BN392" s="80">
        <f t="shared" si="1055"/>
        <v>0</v>
      </c>
      <c r="BO392" s="80">
        <f t="shared" si="1055"/>
        <v>0</v>
      </c>
      <c r="BP392" s="38">
        <f>SUM(BL392:BO392)</f>
        <v>0</v>
      </c>
    </row>
    <row r="393" spans="1:68">
      <c r="A393" s="1" t="s">
        <v>351</v>
      </c>
      <c r="J393" s="38"/>
      <c r="K393" s="38"/>
      <c r="L393" s="38"/>
      <c r="M393" s="38"/>
      <c r="N393" s="38">
        <f>M405*N380</f>
        <v>47844.031899849222</v>
      </c>
      <c r="O393" s="38">
        <f>N405*O380</f>
        <v>36758.634827358692</v>
      </c>
      <c r="P393" s="38">
        <f>O405*P380</f>
        <v>-47252.393757491533</v>
      </c>
      <c r="Q393" s="38">
        <f>P405*Q380</f>
        <v>1262.9678867386153</v>
      </c>
      <c r="R393" s="38">
        <f>SUM(N393:Q393)</f>
        <v>38613.240856455006</v>
      </c>
      <c r="S393" s="38">
        <f>R405*S380</f>
        <v>-70480.092574145528</v>
      </c>
      <c r="T393" s="38">
        <f>S405*T380</f>
        <v>2942.0867781195689</v>
      </c>
      <c r="U393" s="38">
        <f>T405*U380</f>
        <v>40599.609688323224</v>
      </c>
      <c r="V393" s="38">
        <f>U405*V380</f>
        <v>-18445.530956169732</v>
      </c>
      <c r="W393" s="38">
        <f>SUM(S393:V393)</f>
        <v>-45383.92706387247</v>
      </c>
      <c r="X393" s="38">
        <f>W405*X380</f>
        <v>-28863.192744816737</v>
      </c>
      <c r="Y393" s="38">
        <f>X405*Y380</f>
        <v>-55563.023083589353</v>
      </c>
      <c r="Z393" s="38">
        <f>Y405*Z380</f>
        <v>-64547.597210051688</v>
      </c>
      <c r="AA393" s="38">
        <f>Z405*AA380</f>
        <v>204394.38783939532</v>
      </c>
      <c r="AB393" s="38">
        <f>SUM(X393:AA393)</f>
        <v>55420.574800937553</v>
      </c>
      <c r="AC393" s="38">
        <f>AB405*AC380</f>
        <v>-3025.2594379313127</v>
      </c>
      <c r="AD393" s="38">
        <f>AC405*AD380</f>
        <v>23188.785782954248</v>
      </c>
      <c r="AE393" s="38">
        <f>AD405*AE380</f>
        <v>58319.125055750133</v>
      </c>
      <c r="AF393" s="38">
        <f>AE405*AF380</f>
        <v>123050.63054443267</v>
      </c>
      <c r="AG393" s="38">
        <f>SUM(AC393:AF393)</f>
        <v>201533.28194520576</v>
      </c>
      <c r="AH393" s="38">
        <f>AG405*AH380</f>
        <v>247170.12177045821</v>
      </c>
      <c r="AI393" s="38">
        <f>AH405*AI380</f>
        <v>138355.17511062545</v>
      </c>
      <c r="AJ393" s="38">
        <f>AI405*AJ380</f>
        <v>-208433.69341645401</v>
      </c>
      <c r="AK393" s="38">
        <f>AJ405*AK380</f>
        <v>14409.015853267802</v>
      </c>
      <c r="AL393" s="38">
        <f>SUM(AH393:AK393)</f>
        <v>191500.61931789742</v>
      </c>
      <c r="AM393" s="38">
        <f>AL405*AM380</f>
        <v>197277.62161505636</v>
      </c>
      <c r="AN393" s="38">
        <f>AM405*AN380</f>
        <v>78264.887367858435</v>
      </c>
      <c r="AO393" s="38">
        <f>AN405*AO380</f>
        <v>-127116.57693287518</v>
      </c>
      <c r="AP393" s="38">
        <f>AO405*AP380</f>
        <v>140256.85972124105</v>
      </c>
      <c r="AQ393" s="38">
        <f>SUM(AM393:AP393)</f>
        <v>288682.7917712807</v>
      </c>
      <c r="AR393" s="38">
        <f>AQ405*AR380</f>
        <v>129308.65475277096</v>
      </c>
      <c r="AS393" s="38">
        <f>AR405*AS380</f>
        <v>-219470.8157219312</v>
      </c>
      <c r="AT393" s="38">
        <f>AS405*AT380</f>
        <v>120646.71839809242</v>
      </c>
      <c r="AU393" s="38">
        <f>AT405*AU380</f>
        <v>-60429.233688503795</v>
      </c>
      <c r="AV393" s="38">
        <f>SUM(AR393:AU393)</f>
        <v>-29944.676259571614</v>
      </c>
      <c r="AW393" s="38">
        <f>AV405*AW380</f>
        <v>-23251.587209765217</v>
      </c>
      <c r="AX393" s="38">
        <f>AW405*AX380</f>
        <v>17570.260455079235</v>
      </c>
      <c r="AY393" s="38">
        <f>AX405*AY380</f>
        <v>31480.63422923187</v>
      </c>
      <c r="AZ393" s="59">
        <f>AZ394-SUM(AZ388:AZ392)</f>
        <v>-5699.8444587914273</v>
      </c>
      <c r="BA393" s="38">
        <f>SUM(AW393:AZ393)</f>
        <v>20099.46301575446</v>
      </c>
      <c r="BB393" s="59">
        <f>BB394-SUM(BB388:BB392)</f>
        <v>-1843.413069636561</v>
      </c>
      <c r="BC393" s="59">
        <f>BC394-SUM(BC388:BC392)</f>
        <v>-1421.6012215866358</v>
      </c>
      <c r="BD393" s="59">
        <f>BD394-SUM(BD388:BD392)</f>
        <v>-1287.9339668894536</v>
      </c>
      <c r="BE393" s="59">
        <f>BE394-SUM(BE388:BE392)</f>
        <v>-1141.601221586694</v>
      </c>
      <c r="BF393" s="38">
        <f>SUM(BB393:BE393)</f>
        <v>-5694.5494796993444</v>
      </c>
      <c r="BG393" s="59">
        <f>BG394-SUM(BG388:BG392)</f>
        <v>-1007.4348489353433</v>
      </c>
      <c r="BH393" s="59">
        <f>BH394-SUM(BH388:BH392)</f>
        <v>-901.6012215866358</v>
      </c>
      <c r="BI393" s="59">
        <f>BI394-SUM(BI388:BI392)</f>
        <v>-785.68440791239846</v>
      </c>
      <c r="BJ393" s="59">
        <f>BJ394-SUM(BJ388:BJ392)</f>
        <v>-661.60122158672311</v>
      </c>
      <c r="BK393" s="38">
        <f>SUM(BG393:BJ393)</f>
        <v>-3356.3217000211007</v>
      </c>
      <c r="BL393" s="59">
        <f>BL394-SUM(BL388:BL392)</f>
        <v>0</v>
      </c>
      <c r="BM393" s="59">
        <f>BM394-SUM(BM388:BM392)</f>
        <v>0</v>
      </c>
      <c r="BN393" s="59">
        <f>BN394-SUM(BN388:BN392)</f>
        <v>0</v>
      </c>
      <c r="BO393" s="59">
        <f>BO394-SUM(BO388:BO392)</f>
        <v>0</v>
      </c>
      <c r="BP393" s="38">
        <f>SUM(BL393:BO393)</f>
        <v>0</v>
      </c>
    </row>
    <row r="394" spans="1:68">
      <c r="A394" s="9" t="s">
        <v>278</v>
      </c>
      <c r="B394" s="9"/>
      <c r="C394" s="9"/>
      <c r="D394" s="9"/>
      <c r="E394" s="9"/>
      <c r="F394" s="9"/>
      <c r="G394" s="9"/>
      <c r="H394" s="9"/>
      <c r="I394" s="75">
        <v>0</v>
      </c>
      <c r="J394" s="48">
        <f>SUM(J388:J393)</f>
        <v>660619.45960736473</v>
      </c>
      <c r="K394" s="48">
        <f t="shared" ref="K394:U394" si="1057">SUM(K388:K393)</f>
        <v>1083069.9386503065</v>
      </c>
      <c r="L394" s="48">
        <f t="shared" si="1057"/>
        <v>1158105.197892373</v>
      </c>
      <c r="M394" s="48">
        <f t="shared" si="1057"/>
        <v>1158105.197892373</v>
      </c>
      <c r="N394" s="48">
        <f t="shared" si="1057"/>
        <v>1295122.5417049124</v>
      </c>
      <c r="O394" s="48">
        <f t="shared" si="1057"/>
        <v>1342310.8094249235</v>
      </c>
      <c r="P394" s="48">
        <f t="shared" si="1057"/>
        <v>2209036.8579627508</v>
      </c>
      <c r="Q394" s="48">
        <f t="shared" si="1057"/>
        <v>2364997.1291535948</v>
      </c>
      <c r="R394" s="48">
        <f t="shared" si="1057"/>
        <v>2364997.1291535953</v>
      </c>
      <c r="S394" s="48">
        <f t="shared" si="1057"/>
        <v>2357764.5034826254</v>
      </c>
      <c r="T394" s="48">
        <f t="shared" si="1057"/>
        <v>2613641.6666452293</v>
      </c>
      <c r="U394" s="48">
        <f t="shared" si="1057"/>
        <v>2755775.0986854676</v>
      </c>
      <c r="V394" s="48">
        <f t="shared" ref="V394:AA394" si="1058">SUM(V388:V393)</f>
        <v>2875460.8271562099</v>
      </c>
      <c r="W394" s="48">
        <f t="shared" si="1058"/>
        <v>2875460.8271562094</v>
      </c>
      <c r="X394" s="48">
        <f t="shared" si="1058"/>
        <v>3083100.9322551833</v>
      </c>
      <c r="Y394" s="48">
        <f t="shared" si="1058"/>
        <v>2893490.3216715939</v>
      </c>
      <c r="Z394" s="48">
        <f t="shared" si="1058"/>
        <v>2713353.9119615424</v>
      </c>
      <c r="AA394" s="48">
        <f t="shared" si="1058"/>
        <v>2378560.0435509374</v>
      </c>
      <c r="AB394" s="48">
        <f t="shared" ref="AB394:AC394" si="1059">SUM(AB388:AB393)</f>
        <v>2378560.0435509374</v>
      </c>
      <c r="AC394" s="48">
        <f t="shared" si="1059"/>
        <v>2222809.3730620686</v>
      </c>
      <c r="AD394" s="48">
        <f t="shared" ref="AD394:AL394" si="1060">SUM(AD388:AD393)</f>
        <v>2112631.7500950228</v>
      </c>
      <c r="AE394" s="48">
        <f t="shared" si="1060"/>
        <v>2140805.5739007732</v>
      </c>
      <c r="AF394" s="48">
        <f t="shared" si="1060"/>
        <v>2259090.8138202056</v>
      </c>
      <c r="AG394" s="48">
        <f t="shared" si="1060"/>
        <v>2259090.8138202056</v>
      </c>
      <c r="AH394" s="48">
        <f t="shared" si="1060"/>
        <v>2459035.6462156638</v>
      </c>
      <c r="AI394" s="48">
        <f t="shared" si="1060"/>
        <v>2572438.5166387893</v>
      </c>
      <c r="AJ394" s="48">
        <f t="shared" si="1060"/>
        <v>2311193.5779098356</v>
      </c>
      <c r="AK394" s="48">
        <f t="shared" si="1060"/>
        <v>2294946.2461068532</v>
      </c>
      <c r="AL394" s="48">
        <f t="shared" si="1060"/>
        <v>2294946.2461068532</v>
      </c>
      <c r="AM394" s="48">
        <f t="shared" ref="AM394:AP394" si="1061">SUM(AM388:AM393)</f>
        <v>2448438.9692713064</v>
      </c>
      <c r="AN394" s="48">
        <f t="shared" si="1061"/>
        <v>2485979.03046729</v>
      </c>
      <c r="AO394" s="48">
        <f t="shared" si="1061"/>
        <v>2120911.27970629</v>
      </c>
      <c r="AP394" s="48">
        <f t="shared" si="1061"/>
        <v>2017552.0525134685</v>
      </c>
      <c r="AQ394" s="48">
        <f t="shared" ref="AQ394:AV394" si="1062">SUM(AQ388:AQ393)</f>
        <v>2017552.0525134681</v>
      </c>
      <c r="AR394" s="48">
        <f t="shared" si="1062"/>
        <v>2011593.7416668334</v>
      </c>
      <c r="AS394" s="48">
        <f t="shared" si="1062"/>
        <v>1136519.9694019335</v>
      </c>
      <c r="AT394" s="48">
        <f t="shared" si="1062"/>
        <v>1145701.6443429946</v>
      </c>
      <c r="AU394" s="48">
        <f t="shared" si="1062"/>
        <v>736324.88892597519</v>
      </c>
      <c r="AV394" s="48">
        <f t="shared" si="1062"/>
        <v>736324.88892597531</v>
      </c>
      <c r="AW394" s="48">
        <f t="shared" ref="AW394:AY394" si="1063">SUM(AW388:AW393)</f>
        <v>623121.8234447256</v>
      </c>
      <c r="AX394" s="48">
        <f t="shared" si="1063"/>
        <v>628414.84476406267</v>
      </c>
      <c r="AY394" s="48">
        <f t="shared" si="1063"/>
        <v>611210.71812903672</v>
      </c>
      <c r="AZ394" s="48">
        <f t="shared" ref="AZ394:BP394" si="1064">AZ471*AZ$237</f>
        <v>609130.32968801213</v>
      </c>
      <c r="BA394" s="48">
        <f t="shared" si="1064"/>
        <v>609402.8070266674</v>
      </c>
      <c r="BB394" s="48">
        <f t="shared" si="1064"/>
        <v>549804.27244865859</v>
      </c>
      <c r="BC394" s="48">
        <f t="shared" si="1064"/>
        <v>496820.52772758313</v>
      </c>
      <c r="BD394" s="48">
        <f t="shared" si="1064"/>
        <v>439231.07000548515</v>
      </c>
      <c r="BE394" s="48">
        <f t="shared" si="1064"/>
        <v>386603.12327894557</v>
      </c>
      <c r="BF394" s="48">
        <f t="shared" si="1064"/>
        <v>386603.12327894545</v>
      </c>
      <c r="BG394" s="48">
        <f t="shared" si="1064"/>
        <v>345087.8675623117</v>
      </c>
      <c r="BH394" s="48">
        <f t="shared" si="1064"/>
        <v>299935.02272055019</v>
      </c>
      <c r="BI394" s="48">
        <f t="shared" si="1064"/>
        <v>251904.66511913834</v>
      </c>
      <c r="BJ394" s="48">
        <f t="shared" si="1064"/>
        <v>0</v>
      </c>
      <c r="BK394" s="48">
        <f t="shared" si="1064"/>
        <v>0</v>
      </c>
      <c r="BL394" s="48">
        <f t="shared" si="1064"/>
        <v>0</v>
      </c>
      <c r="BM394" s="48">
        <f t="shared" si="1064"/>
        <v>0</v>
      </c>
      <c r="BN394" s="48">
        <f t="shared" si="1064"/>
        <v>0</v>
      </c>
      <c r="BO394" s="48">
        <f t="shared" si="1064"/>
        <v>0</v>
      </c>
      <c r="BP394" s="48">
        <f t="shared" si="1064"/>
        <v>0</v>
      </c>
    </row>
    <row r="395" spans="1:68">
      <c r="L395" s="25" t="s">
        <v>315</v>
      </c>
      <c r="X395" s="123" t="s">
        <v>466</v>
      </c>
      <c r="Y395" s="12"/>
      <c r="Z395" s="12"/>
      <c r="AA395" s="12"/>
      <c r="AB395" s="12"/>
      <c r="AC395" s="12"/>
      <c r="AD395" s="12"/>
    </row>
    <row r="396" spans="1:68">
      <c r="A396" s="5" t="s">
        <v>542</v>
      </c>
      <c r="L396" s="25"/>
      <c r="Q396" s="36">
        <f>Q397-Q394</f>
        <v>-96859.12915359484</v>
      </c>
      <c r="R396" s="36">
        <f>R397-R394</f>
        <v>-96859.129153595306</v>
      </c>
      <c r="V396" s="36">
        <f>V397-V394</f>
        <v>6407.1728437901475</v>
      </c>
      <c r="W396" s="36">
        <f>W397-W394</f>
        <v>6407.1728437906131</v>
      </c>
      <c r="X396" s="22"/>
      <c r="AA396" s="36">
        <f>AA397-AA394</f>
        <v>-30555.043550937437</v>
      </c>
      <c r="AB396" s="36">
        <f>AB397-AB394</f>
        <v>-30555.043550937437</v>
      </c>
      <c r="AC396" s="160" t="s">
        <v>573</v>
      </c>
      <c r="AD396" s="163"/>
      <c r="AF396" s="36"/>
      <c r="AG396" s="36"/>
      <c r="AK396" s="36">
        <f>AK397-AK394</f>
        <v>20780.753893146757</v>
      </c>
      <c r="AL396" s="36">
        <f>AL397-AL394</f>
        <v>20780.753893146757</v>
      </c>
      <c r="AP396" s="36">
        <f>AP397-AP394</f>
        <v>-2280.0525134685449</v>
      </c>
      <c r="AQ396" s="36">
        <f>AQ397-AQ394</f>
        <v>-2280.0525134680793</v>
      </c>
    </row>
    <row r="397" spans="1:68">
      <c r="A397" s="9" t="s">
        <v>543</v>
      </c>
      <c r="B397" s="9"/>
      <c r="C397" s="9"/>
      <c r="D397" s="9"/>
      <c r="E397" s="9"/>
      <c r="F397" s="9"/>
      <c r="G397" s="9"/>
      <c r="H397" s="9"/>
      <c r="I397" s="48"/>
      <c r="J397" s="48"/>
      <c r="K397" s="48"/>
      <c r="L397" s="48"/>
      <c r="M397" s="48"/>
      <c r="N397" s="48"/>
      <c r="O397" s="48"/>
      <c r="P397" s="48"/>
      <c r="Q397" s="156">
        <v>2268138</v>
      </c>
      <c r="R397" s="127">
        <f>Q397</f>
        <v>2268138</v>
      </c>
      <c r="S397" s="48"/>
      <c r="T397" s="48"/>
      <c r="U397" s="48"/>
      <c r="V397" s="156">
        <v>2881868</v>
      </c>
      <c r="W397" s="127">
        <f>V397</f>
        <v>2881868</v>
      </c>
      <c r="X397" s="48"/>
      <c r="Y397" s="48"/>
      <c r="Z397" s="48"/>
      <c r="AA397" s="156">
        <v>2348005</v>
      </c>
      <c r="AB397" s="127">
        <f>AA397</f>
        <v>2348005</v>
      </c>
      <c r="AC397" s="9"/>
      <c r="AD397" s="9"/>
      <c r="AE397" s="9"/>
      <c r="AF397" s="126">
        <f>AF394</f>
        <v>2259090.8138202056</v>
      </c>
      <c r="AG397" s="127">
        <f>AF397</f>
        <v>2259090.8138202056</v>
      </c>
      <c r="AH397" s="9"/>
      <c r="AI397" s="9"/>
      <c r="AJ397" s="9"/>
      <c r="AK397" s="156">
        <v>2315727</v>
      </c>
      <c r="AL397" s="127">
        <f>AK397</f>
        <v>2315727</v>
      </c>
      <c r="AM397" s="9"/>
      <c r="AN397" s="9"/>
      <c r="AO397" s="9"/>
      <c r="AP397" s="156">
        <v>2015272</v>
      </c>
      <c r="AQ397" s="127">
        <f>AP397</f>
        <v>2015272</v>
      </c>
      <c r="AR397" s="9"/>
      <c r="AS397" s="9"/>
      <c r="AT397" s="9"/>
      <c r="AU397" s="39">
        <f>AU394+AU396</f>
        <v>736324.88892597519</v>
      </c>
      <c r="AV397" s="127">
        <f>AU397</f>
        <v>736324.88892597519</v>
      </c>
      <c r="AW397" s="9"/>
      <c r="AX397" s="9"/>
      <c r="AY397" s="9"/>
      <c r="AZ397" s="39">
        <f>AZ394+AZ396</f>
        <v>609130.32968801213</v>
      </c>
      <c r="BA397" s="127">
        <f>AZ397</f>
        <v>609130.32968801213</v>
      </c>
      <c r="BB397" s="9"/>
      <c r="BC397" s="9"/>
      <c r="BD397" s="9"/>
      <c r="BE397" s="39">
        <f>BE394+BE396</f>
        <v>386603.12327894557</v>
      </c>
      <c r="BF397" s="127">
        <f>BE397</f>
        <v>386603.12327894557</v>
      </c>
      <c r="BG397" s="9"/>
      <c r="BH397" s="9"/>
      <c r="BI397" s="9"/>
      <c r="BJ397" s="39">
        <f>BJ394+BJ396</f>
        <v>0</v>
      </c>
      <c r="BK397" s="127">
        <f>BJ397</f>
        <v>0</v>
      </c>
      <c r="BL397" s="9"/>
      <c r="BM397" s="9"/>
      <c r="BN397" s="9"/>
      <c r="BO397" s="39">
        <f>BO394+BO396</f>
        <v>0</v>
      </c>
      <c r="BP397" s="127">
        <f>BO397</f>
        <v>0</v>
      </c>
    </row>
    <row r="398" spans="1:68">
      <c r="L398" s="25"/>
      <c r="N398" s="98" t="s">
        <v>460</v>
      </c>
      <c r="O398" s="71"/>
      <c r="P398" s="71"/>
      <c r="Q398" s="71"/>
      <c r="R398" s="71"/>
      <c r="S398" s="71"/>
      <c r="T398" s="71"/>
      <c r="U398" s="71"/>
      <c r="V398" s="71"/>
      <c r="X398" s="160" t="s">
        <v>547</v>
      </c>
      <c r="Y398" s="163"/>
      <c r="Z398" s="163"/>
      <c r="AA398" s="163"/>
      <c r="AB398" s="163"/>
      <c r="AC398" s="163"/>
      <c r="AD398" s="163"/>
      <c r="AE398" s="163"/>
      <c r="AF398" s="98" t="s">
        <v>616</v>
      </c>
      <c r="AG398" s="71"/>
      <c r="AH398" s="71"/>
      <c r="AI398" s="71"/>
      <c r="AJ398" s="71"/>
      <c r="AK398" s="71"/>
      <c r="AL398" s="71"/>
      <c r="AM398" s="71"/>
    </row>
    <row r="399" spans="1:68">
      <c r="A399" s="3" t="s">
        <v>279</v>
      </c>
      <c r="X399" s="160" t="s">
        <v>548</v>
      </c>
      <c r="Y399" s="163"/>
      <c r="Z399" s="163"/>
      <c r="AA399" s="163"/>
      <c r="AB399" s="163"/>
      <c r="AC399" s="163"/>
      <c r="AD399" s="163"/>
      <c r="AE399" s="163"/>
    </row>
    <row r="401" spans="1:73">
      <c r="A401" s="28" t="s">
        <v>277</v>
      </c>
      <c r="J401" s="36">
        <f t="shared" ref="J401:AG401" si="1065">J384</f>
        <v>1158643</v>
      </c>
      <c r="K401" s="36">
        <f t="shared" si="1065"/>
        <v>1870841</v>
      </c>
      <c r="L401" s="36">
        <f t="shared" si="1065"/>
        <v>1844679</v>
      </c>
      <c r="M401" s="36">
        <f t="shared" si="1065"/>
        <v>1844679</v>
      </c>
      <c r="N401" s="36">
        <f t="shared" si="1065"/>
        <v>2012729</v>
      </c>
      <c r="O401" s="36">
        <f t="shared" si="1065"/>
        <v>2177757</v>
      </c>
      <c r="P401" s="36">
        <f t="shared" si="1065"/>
        <v>3792014</v>
      </c>
      <c r="Q401" s="36">
        <f t="shared" si="1065"/>
        <v>4136965</v>
      </c>
      <c r="R401" s="36">
        <f t="shared" si="1065"/>
        <v>4136965</v>
      </c>
      <c r="S401" s="36">
        <f t="shared" si="1065"/>
        <v>4470164</v>
      </c>
      <c r="T401" s="36">
        <f t="shared" si="1065"/>
        <v>4573080</v>
      </c>
      <c r="U401" s="36">
        <f t="shared" si="1065"/>
        <v>4789338</v>
      </c>
      <c r="V401" s="36">
        <f t="shared" si="1065"/>
        <v>4584419</v>
      </c>
      <c r="W401" s="36">
        <f t="shared" si="1065"/>
        <v>4584419</v>
      </c>
      <c r="X401" s="36">
        <f t="shared" si="1065"/>
        <v>5233440</v>
      </c>
      <c r="Y401" s="36">
        <f t="shared" si="1065"/>
        <v>5244921</v>
      </c>
      <c r="Z401" s="36">
        <f t="shared" si="1065"/>
        <v>5455916</v>
      </c>
      <c r="AA401" s="36">
        <f t="shared" si="1065"/>
        <v>6601791</v>
      </c>
      <c r="AB401" s="36">
        <f t="shared" si="1065"/>
        <v>6601791</v>
      </c>
      <c r="AC401" s="36">
        <f t="shared" si="1065"/>
        <v>6450319</v>
      </c>
      <c r="AD401" s="36">
        <f t="shared" si="1065"/>
        <v>5689194</v>
      </c>
      <c r="AE401" s="36">
        <f t="shared" si="1065"/>
        <v>5803702</v>
      </c>
      <c r="AF401" s="36">
        <f t="shared" si="1065"/>
        <v>5289754</v>
      </c>
      <c r="AG401" s="36">
        <f t="shared" si="1065"/>
        <v>5289754</v>
      </c>
      <c r="AH401" s="36">
        <f t="shared" ref="AH401:AI401" si="1066">AH384</f>
        <v>5212143</v>
      </c>
      <c r="AI401" s="36">
        <f t="shared" si="1066"/>
        <v>5125940</v>
      </c>
      <c r="AJ401" s="36">
        <f t="shared" ref="AJ401:AN401" si="1067">AJ384</f>
        <v>4488128</v>
      </c>
      <c r="AK401" s="36">
        <f t="shared" si="1067"/>
        <v>4470717</v>
      </c>
      <c r="AL401" s="36">
        <f t="shared" si="1067"/>
        <v>4470717</v>
      </c>
      <c r="AM401" s="36">
        <f t="shared" si="1067"/>
        <v>4794774</v>
      </c>
      <c r="AN401" s="36">
        <f t="shared" si="1067"/>
        <v>4999882</v>
      </c>
      <c r="AO401" s="36">
        <f t="shared" ref="AO401:AS401" si="1068">AO384</f>
        <v>4647797</v>
      </c>
      <c r="AP401" s="36">
        <f t="shared" si="1068"/>
        <v>4680417</v>
      </c>
      <c r="AQ401" s="36">
        <f t="shared" si="1068"/>
        <v>4680417</v>
      </c>
      <c r="AR401" s="36">
        <f t="shared" si="1068"/>
        <v>5039497</v>
      </c>
      <c r="AS401" s="36">
        <f t="shared" si="1068"/>
        <v>4010946</v>
      </c>
      <c r="AT401" s="36">
        <f t="shared" ref="AT401" si="1069">AT384</f>
        <v>4251682</v>
      </c>
      <c r="AU401" s="36">
        <f t="shared" ref="AU401" si="1070">AU384</f>
        <v>3647647</v>
      </c>
      <c r="AV401" s="36">
        <f>AV384</f>
        <v>3647647</v>
      </c>
      <c r="AW401" s="36">
        <f t="shared" ref="AW401:AY401" si="1071">AW384</f>
        <v>3640084</v>
      </c>
      <c r="AX401" s="36">
        <f t="shared" si="1071"/>
        <v>3778338</v>
      </c>
      <c r="AY401" s="36">
        <f t="shared" si="1071"/>
        <v>3623451</v>
      </c>
      <c r="AZ401" s="36">
        <f t="shared" ref="AZ401" si="1072">AZ384</f>
        <v>3452138.9701976343</v>
      </c>
      <c r="BA401" s="36">
        <f>BA384</f>
        <v>3452138.9701976338</v>
      </c>
      <c r="BB401" s="36">
        <f t="shared" ref="BB401:BE401" si="1073">BB384</f>
        <v>3175862.3468318866</v>
      </c>
      <c r="BC401" s="36">
        <f t="shared" si="1073"/>
        <v>2904697.535984416</v>
      </c>
      <c r="BD401" s="36">
        <f t="shared" si="1073"/>
        <v>2633101.0121359234</v>
      </c>
      <c r="BE401" s="36">
        <f t="shared" si="1073"/>
        <v>2366778.4992829887</v>
      </c>
      <c r="BF401" s="36">
        <f>BF384</f>
        <v>2366778.4992829887</v>
      </c>
      <c r="BG401" s="36">
        <f t="shared" ref="BG401:BJ401" si="1074">BG384</f>
        <v>2159348.1774399597</v>
      </c>
      <c r="BH401" s="36">
        <f t="shared" si="1074"/>
        <v>1948356.7664718037</v>
      </c>
      <c r="BI401" s="36">
        <f t="shared" si="1074"/>
        <v>1733047.3427439968</v>
      </c>
      <c r="BJ401" s="36">
        <f t="shared" si="1074"/>
        <v>1406619.1114984634</v>
      </c>
      <c r="BK401" s="36">
        <f>BK384</f>
        <v>1406619.1114984639</v>
      </c>
      <c r="BL401" s="36">
        <f t="shared" ref="BL401:BO401" si="1075">BL384</f>
        <v>1212025.0453720686</v>
      </c>
      <c r="BM401" s="36">
        <f t="shared" si="1075"/>
        <v>1015416.9792456736</v>
      </c>
      <c r="BN401" s="36">
        <f t="shared" si="1075"/>
        <v>816818.91311927885</v>
      </c>
      <c r="BO401" s="36">
        <f t="shared" si="1075"/>
        <v>616254.84699288395</v>
      </c>
      <c r="BP401" s="36">
        <f>BP384</f>
        <v>616254.84699288395</v>
      </c>
      <c r="BQ401" s="36">
        <f t="shared" ref="BQ401:BS401" si="1076">BQ384</f>
        <v>413748.78086648899</v>
      </c>
      <c r="BR401" s="36">
        <f t="shared" si="1076"/>
        <v>207082.21474009406</v>
      </c>
      <c r="BS401" s="36">
        <f t="shared" si="1076"/>
        <v>24.648613699158886</v>
      </c>
      <c r="BT401" s="36"/>
      <c r="BU401" s="36"/>
    </row>
    <row r="402" spans="1:73">
      <c r="A402" s="28" t="s">
        <v>280</v>
      </c>
      <c r="I402" s="38"/>
      <c r="J402" s="38">
        <f t="shared" ref="J402:S402" si="1077">-J394</f>
        <v>-660619.45960736473</v>
      </c>
      <c r="K402" s="38">
        <f t="shared" si="1077"/>
        <v>-1083069.9386503065</v>
      </c>
      <c r="L402" s="38">
        <f t="shared" si="1077"/>
        <v>-1158105.197892373</v>
      </c>
      <c r="M402" s="38">
        <f t="shared" si="1077"/>
        <v>-1158105.197892373</v>
      </c>
      <c r="N402" s="38">
        <f t="shared" si="1077"/>
        <v>-1295122.5417049124</v>
      </c>
      <c r="O402" s="38">
        <f t="shared" si="1077"/>
        <v>-1342310.8094249235</v>
      </c>
      <c r="P402" s="38">
        <f t="shared" si="1077"/>
        <v>-2209036.8579627508</v>
      </c>
      <c r="Q402" s="141">
        <f>-Q397</f>
        <v>-2268138</v>
      </c>
      <c r="R402" s="141">
        <f>-R397</f>
        <v>-2268138</v>
      </c>
      <c r="S402" s="38">
        <f t="shared" si="1077"/>
        <v>-2357764.5034826254</v>
      </c>
      <c r="T402" s="38">
        <f t="shared" ref="T402:U402" si="1078">-T394</f>
        <v>-2613641.6666452293</v>
      </c>
      <c r="U402" s="38">
        <f t="shared" si="1078"/>
        <v>-2755775.0986854676</v>
      </c>
      <c r="V402" s="141">
        <f>-V397</f>
        <v>-2881868</v>
      </c>
      <c r="W402" s="141">
        <f>-W397</f>
        <v>-2881868</v>
      </c>
      <c r="X402" s="38">
        <f t="shared" ref="X402:Z402" si="1079">-X394</f>
        <v>-3083100.9322551833</v>
      </c>
      <c r="Y402" s="38">
        <f t="shared" si="1079"/>
        <v>-2893490.3216715939</v>
      </c>
      <c r="Z402" s="38">
        <f t="shared" si="1079"/>
        <v>-2713353.9119615424</v>
      </c>
      <c r="AA402" s="141">
        <f>-AA397</f>
        <v>-2348005</v>
      </c>
      <c r="AB402" s="141">
        <f>-AB397</f>
        <v>-2348005</v>
      </c>
      <c r="AC402" s="38">
        <f t="shared" ref="AC402:AD402" si="1080">-AC394</f>
        <v>-2222809.3730620686</v>
      </c>
      <c r="AD402" s="38">
        <f t="shared" si="1080"/>
        <v>-2112631.7500950228</v>
      </c>
      <c r="AE402" s="38">
        <f t="shared" ref="AE402" si="1081">-AE394</f>
        <v>-2140805.5739007732</v>
      </c>
      <c r="AF402" s="70">
        <f>-AF397</f>
        <v>-2259090.8138202056</v>
      </c>
      <c r="AG402" s="70">
        <f>-AG397</f>
        <v>-2259090.8138202056</v>
      </c>
      <c r="AH402" s="38">
        <f t="shared" ref="AH402:AI402" si="1082">-AH394</f>
        <v>-2459035.6462156638</v>
      </c>
      <c r="AI402" s="38">
        <f t="shared" si="1082"/>
        <v>-2572438.5166387893</v>
      </c>
      <c r="AJ402" s="38">
        <f t="shared" ref="AJ402" si="1083">-AJ394</f>
        <v>-2311193.5779098356</v>
      </c>
      <c r="AK402" s="141">
        <f>-AK397</f>
        <v>-2315727</v>
      </c>
      <c r="AL402" s="141">
        <f>-AL397</f>
        <v>-2315727</v>
      </c>
      <c r="AM402" s="38">
        <f t="shared" ref="AM402:AN402" si="1084">-AM394</f>
        <v>-2448438.9692713064</v>
      </c>
      <c r="AN402" s="38">
        <f t="shared" si="1084"/>
        <v>-2485979.03046729</v>
      </c>
      <c r="AO402" s="38">
        <f t="shared" ref="AO402" si="1085">-AO394</f>
        <v>-2120911.27970629</v>
      </c>
      <c r="AP402" s="141">
        <f>-AP397</f>
        <v>-2015272</v>
      </c>
      <c r="AQ402" s="141">
        <f>-AQ397</f>
        <v>-2015272</v>
      </c>
      <c r="AR402" s="38">
        <f t="shared" ref="AR402:AT402" si="1086">-AR394</f>
        <v>-2011593.7416668334</v>
      </c>
      <c r="AS402" s="38">
        <f t="shared" si="1086"/>
        <v>-1136519.9694019335</v>
      </c>
      <c r="AT402" s="38">
        <f t="shared" si="1086"/>
        <v>-1145701.6443429946</v>
      </c>
      <c r="AU402" s="38">
        <f t="shared" ref="AU402:AY402" si="1087">-AU394</f>
        <v>-736324.88892597519</v>
      </c>
      <c r="AV402" s="38">
        <f t="shared" si="1087"/>
        <v>-736324.88892597531</v>
      </c>
      <c r="AW402" s="38">
        <f t="shared" si="1087"/>
        <v>-623121.8234447256</v>
      </c>
      <c r="AX402" s="38">
        <f t="shared" si="1087"/>
        <v>-628414.84476406267</v>
      </c>
      <c r="AY402" s="38">
        <f t="shared" si="1087"/>
        <v>-611210.71812903672</v>
      </c>
      <c r="AZ402" s="38">
        <f t="shared" ref="AZ402:BS402" si="1088">-AZ394</f>
        <v>-609130.32968801213</v>
      </c>
      <c r="BA402" s="38">
        <f t="shared" si="1088"/>
        <v>-609402.8070266674</v>
      </c>
      <c r="BB402" s="38">
        <f t="shared" si="1088"/>
        <v>-549804.27244865859</v>
      </c>
      <c r="BC402" s="38">
        <f t="shared" si="1088"/>
        <v>-496820.52772758313</v>
      </c>
      <c r="BD402" s="38">
        <f t="shared" si="1088"/>
        <v>-439231.07000548515</v>
      </c>
      <c r="BE402" s="38">
        <f t="shared" si="1088"/>
        <v>-386603.12327894557</v>
      </c>
      <c r="BF402" s="38">
        <f t="shared" si="1088"/>
        <v>-386603.12327894545</v>
      </c>
      <c r="BG402" s="38">
        <f t="shared" si="1088"/>
        <v>-345087.8675623117</v>
      </c>
      <c r="BH402" s="38">
        <f t="shared" si="1088"/>
        <v>-299935.02272055019</v>
      </c>
      <c r="BI402" s="38">
        <f t="shared" si="1088"/>
        <v>-251904.66511913834</v>
      </c>
      <c r="BJ402" s="38">
        <f t="shared" si="1088"/>
        <v>0</v>
      </c>
      <c r="BK402" s="38">
        <f t="shared" si="1088"/>
        <v>0</v>
      </c>
      <c r="BL402" s="38">
        <f t="shared" si="1088"/>
        <v>0</v>
      </c>
      <c r="BM402" s="38">
        <f t="shared" si="1088"/>
        <v>0</v>
      </c>
      <c r="BN402" s="38">
        <f t="shared" si="1088"/>
        <v>0</v>
      </c>
      <c r="BO402" s="38">
        <f t="shared" si="1088"/>
        <v>0</v>
      </c>
      <c r="BP402" s="38">
        <f t="shared" si="1088"/>
        <v>0</v>
      </c>
      <c r="BQ402" s="38">
        <f t="shared" si="1088"/>
        <v>0</v>
      </c>
      <c r="BR402" s="38">
        <f t="shared" si="1088"/>
        <v>0</v>
      </c>
      <c r="BS402" s="38">
        <f t="shared" si="1088"/>
        <v>0</v>
      </c>
      <c r="BT402" s="38"/>
      <c r="BU402" s="38"/>
    </row>
    <row r="403" spans="1:73">
      <c r="A403" s="9" t="s">
        <v>281</v>
      </c>
      <c r="B403" s="9"/>
      <c r="C403" s="9"/>
      <c r="D403" s="9"/>
      <c r="E403" s="9"/>
      <c r="F403" s="9"/>
      <c r="G403" s="9"/>
      <c r="H403" s="9"/>
      <c r="I403" s="58">
        <f>I381</f>
        <v>43589</v>
      </c>
      <c r="J403" s="39">
        <f t="shared" ref="J403:T403" si="1089">SUM(J401:J402)</f>
        <v>498023.54039263527</v>
      </c>
      <c r="K403" s="39">
        <f t="shared" si="1089"/>
        <v>787771.06134969345</v>
      </c>
      <c r="L403" s="39">
        <f t="shared" si="1089"/>
        <v>686573.80210762704</v>
      </c>
      <c r="M403" s="39">
        <f t="shared" si="1089"/>
        <v>686573.80210762704</v>
      </c>
      <c r="N403" s="39">
        <f t="shared" si="1089"/>
        <v>717606.45829508756</v>
      </c>
      <c r="O403" s="39">
        <f t="shared" si="1089"/>
        <v>835446.1905750765</v>
      </c>
      <c r="P403" s="39">
        <f t="shared" si="1089"/>
        <v>1582977.1420372492</v>
      </c>
      <c r="Q403" s="39">
        <f t="shared" si="1089"/>
        <v>1868827</v>
      </c>
      <c r="R403" s="39">
        <f t="shared" si="1089"/>
        <v>1868827</v>
      </c>
      <c r="S403" s="39">
        <f t="shared" si="1089"/>
        <v>2112399.4965173746</v>
      </c>
      <c r="T403" s="39">
        <f t="shared" si="1089"/>
        <v>1959438.3333547707</v>
      </c>
      <c r="U403" s="39">
        <f t="shared" ref="U403:Z403" si="1090">SUM(U401:U402)</f>
        <v>2033562.9013145324</v>
      </c>
      <c r="V403" s="39">
        <f t="shared" si="1090"/>
        <v>1702551</v>
      </c>
      <c r="W403" s="39">
        <f t="shared" si="1090"/>
        <v>1702551</v>
      </c>
      <c r="X403" s="39">
        <f t="shared" si="1090"/>
        <v>2150339.0677448167</v>
      </c>
      <c r="Y403" s="39">
        <f t="shared" si="1090"/>
        <v>2351430.6783284061</v>
      </c>
      <c r="Z403" s="39">
        <f t="shared" si="1090"/>
        <v>2742562.0880384576</v>
      </c>
      <c r="AA403" s="39">
        <f t="shared" ref="AA403:AD403" si="1091">SUM(AA401:AA402)</f>
        <v>4253786</v>
      </c>
      <c r="AB403" s="39">
        <f t="shared" si="1091"/>
        <v>4253786</v>
      </c>
      <c r="AC403" s="39">
        <f t="shared" si="1091"/>
        <v>4227509.6269379314</v>
      </c>
      <c r="AD403" s="39">
        <f t="shared" si="1091"/>
        <v>3576562.2499049772</v>
      </c>
      <c r="AE403" s="39">
        <f t="shared" ref="AE403:AI403" si="1092">SUM(AE401:AE402)</f>
        <v>3662896.4260992268</v>
      </c>
      <c r="AF403" s="39">
        <f t="shared" si="1092"/>
        <v>3030663.1861797944</v>
      </c>
      <c r="AG403" s="39">
        <f t="shared" si="1092"/>
        <v>3030663.1861797944</v>
      </c>
      <c r="AH403" s="39">
        <f t="shared" si="1092"/>
        <v>2753107.3537843362</v>
      </c>
      <c r="AI403" s="39">
        <f t="shared" si="1092"/>
        <v>2553501.4833612107</v>
      </c>
      <c r="AJ403" s="39">
        <f t="shared" ref="AJ403:AN403" si="1093">SUM(AJ401:AJ402)</f>
        <v>2176934.4220901644</v>
      </c>
      <c r="AK403" s="39">
        <f t="shared" si="1093"/>
        <v>2154990</v>
      </c>
      <c r="AL403" s="39">
        <f t="shared" si="1093"/>
        <v>2154990</v>
      </c>
      <c r="AM403" s="39">
        <f t="shared" si="1093"/>
        <v>2346335.0307286936</v>
      </c>
      <c r="AN403" s="39">
        <f t="shared" si="1093"/>
        <v>2513902.96953271</v>
      </c>
      <c r="AO403" s="39">
        <f t="shared" ref="AO403:AS403" si="1094">SUM(AO401:AO402)</f>
        <v>2526885.72029371</v>
      </c>
      <c r="AP403" s="39">
        <f t="shared" si="1094"/>
        <v>2665145</v>
      </c>
      <c r="AQ403" s="39">
        <f t="shared" si="1094"/>
        <v>2665145</v>
      </c>
      <c r="AR403" s="39">
        <f t="shared" si="1094"/>
        <v>3027903.2583331666</v>
      </c>
      <c r="AS403" s="39">
        <f t="shared" si="1094"/>
        <v>2874426.0305980667</v>
      </c>
      <c r="AT403" s="39">
        <f t="shared" ref="AT403" si="1095">SUM(AT401:AT402)</f>
        <v>3105980.3556570057</v>
      </c>
      <c r="AU403" s="39">
        <f t="shared" ref="AU403:AY403" si="1096">SUM(AU401:AU402)</f>
        <v>2911322.1110740248</v>
      </c>
      <c r="AV403" s="39">
        <f t="shared" si="1096"/>
        <v>2911322.1110740248</v>
      </c>
      <c r="AW403" s="39">
        <f t="shared" si="1096"/>
        <v>3016962.1765552745</v>
      </c>
      <c r="AX403" s="39">
        <f t="shared" si="1096"/>
        <v>3149923.1552359373</v>
      </c>
      <c r="AY403" s="39">
        <f t="shared" si="1096"/>
        <v>3012240.2818709631</v>
      </c>
      <c r="AZ403" s="39">
        <f t="shared" ref="AZ403:BS403" si="1097">SUM(AZ401:AZ402)</f>
        <v>2843008.6405096222</v>
      </c>
      <c r="BA403" s="39">
        <f t="shared" si="1097"/>
        <v>2842736.1631709663</v>
      </c>
      <c r="BB403" s="39">
        <f t="shared" si="1097"/>
        <v>2626058.0743832281</v>
      </c>
      <c r="BC403" s="39">
        <f t="shared" si="1097"/>
        <v>2407877.0082568331</v>
      </c>
      <c r="BD403" s="39">
        <f t="shared" si="1097"/>
        <v>2193869.9421304381</v>
      </c>
      <c r="BE403" s="39">
        <f t="shared" si="1097"/>
        <v>1980175.376004043</v>
      </c>
      <c r="BF403" s="39">
        <f t="shared" si="1097"/>
        <v>1980175.3760040433</v>
      </c>
      <c r="BG403" s="39">
        <f t="shared" si="1097"/>
        <v>1814260.309877648</v>
      </c>
      <c r="BH403" s="39">
        <f t="shared" si="1097"/>
        <v>1648421.7437512535</v>
      </c>
      <c r="BI403" s="39">
        <f t="shared" si="1097"/>
        <v>1481142.6776248585</v>
      </c>
      <c r="BJ403" s="39">
        <f t="shared" si="1097"/>
        <v>1406619.1114984634</v>
      </c>
      <c r="BK403" s="39">
        <f t="shared" si="1097"/>
        <v>1406619.1114984639</v>
      </c>
      <c r="BL403" s="39">
        <f t="shared" si="1097"/>
        <v>1212025.0453720686</v>
      </c>
      <c r="BM403" s="39">
        <f t="shared" si="1097"/>
        <v>1015416.9792456736</v>
      </c>
      <c r="BN403" s="39">
        <f t="shared" si="1097"/>
        <v>816818.91311927885</v>
      </c>
      <c r="BO403" s="39">
        <f t="shared" si="1097"/>
        <v>616254.84699288395</v>
      </c>
      <c r="BP403" s="39">
        <f t="shared" si="1097"/>
        <v>616254.84699288395</v>
      </c>
      <c r="BQ403" s="39">
        <f t="shared" si="1097"/>
        <v>413748.78086648899</v>
      </c>
      <c r="BR403" s="39">
        <f t="shared" si="1097"/>
        <v>207082.21474009406</v>
      </c>
      <c r="BS403" s="39">
        <f t="shared" si="1097"/>
        <v>24.648613699158886</v>
      </c>
      <c r="BT403" s="39"/>
      <c r="BU403" s="39"/>
    </row>
    <row r="404" spans="1:73">
      <c r="R404" s="123" t="s">
        <v>544</v>
      </c>
      <c r="S404" s="12"/>
      <c r="T404" s="12"/>
      <c r="U404" s="12"/>
      <c r="V404" s="12"/>
    </row>
    <row r="405" spans="1:73">
      <c r="A405" s="1" t="s">
        <v>282</v>
      </c>
      <c r="J405" s="21">
        <f t="shared" ref="J405:S405" si="1098">-J402/J401</f>
        <v>0.57016653068060197</v>
      </c>
      <c r="K405" s="21">
        <f t="shared" si="1098"/>
        <v>0.57892142552483428</v>
      </c>
      <c r="L405" s="21">
        <f t="shared" si="1098"/>
        <v>0.62780852272529419</v>
      </c>
      <c r="M405" s="21">
        <f t="shared" si="1098"/>
        <v>0.62780852272529419</v>
      </c>
      <c r="N405" s="21">
        <f t="shared" si="1098"/>
        <v>0.64346593192869606</v>
      </c>
      <c r="O405" s="21">
        <f t="shared" si="1098"/>
        <v>0.61637308911183553</v>
      </c>
      <c r="P405" s="21">
        <f t="shared" si="1098"/>
        <v>0.58254976325581886</v>
      </c>
      <c r="Q405" s="21">
        <f t="shared" si="1098"/>
        <v>0.54826134618011024</v>
      </c>
      <c r="R405" s="21">
        <f t="shared" si="1098"/>
        <v>0.54826134618011024</v>
      </c>
      <c r="S405" s="21">
        <f t="shared" si="1098"/>
        <v>0.52744474329859603</v>
      </c>
      <c r="T405" s="21">
        <f t="shared" ref="T405:U405" si="1099">-T402/T401</f>
        <v>0.57152765021500374</v>
      </c>
      <c r="U405" s="21">
        <f t="shared" si="1099"/>
        <v>0.57539791484448743</v>
      </c>
      <c r="V405" s="21">
        <f t="shared" ref="V405:W405" si="1100">-V402/V401</f>
        <v>0.62862229652219836</v>
      </c>
      <c r="W405" s="21">
        <f t="shared" si="1100"/>
        <v>0.62862229652219836</v>
      </c>
      <c r="X405" s="21">
        <f t="shared" ref="X405:Y405" si="1101">-X402/X401</f>
        <v>0.58911555922207637</v>
      </c>
      <c r="Y405" s="21">
        <f t="shared" si="1101"/>
        <v>0.55167471953754765</v>
      </c>
      <c r="Z405" s="21">
        <f t="shared" ref="Z405:AA405" si="1102">-Z402/Z401</f>
        <v>0.49732325643604897</v>
      </c>
      <c r="AA405" s="21">
        <f t="shared" si="1102"/>
        <v>0.35566181964863774</v>
      </c>
      <c r="AB405" s="21">
        <f t="shared" ref="AB405:AC405" si="1103">-AB402/AB401</f>
        <v>0.35566181964863774</v>
      </c>
      <c r="AC405" s="21">
        <f t="shared" si="1103"/>
        <v>0.34460456499315284</v>
      </c>
      <c r="AD405" s="21">
        <f t="shared" ref="AD405:AE405" si="1104">-AD402/AD401</f>
        <v>0.37134113375199068</v>
      </c>
      <c r="AE405" s="21">
        <f t="shared" si="1104"/>
        <v>0.36886896913397227</v>
      </c>
      <c r="AF405" s="21">
        <f t="shared" ref="AF405:AG405" si="1105">-AF402/AF401</f>
        <v>0.42706916310667864</v>
      </c>
      <c r="AG405" s="21">
        <f t="shared" si="1105"/>
        <v>0.42706916310667864</v>
      </c>
      <c r="AH405" s="21">
        <f t="shared" ref="AH405:AI405" si="1106">-AH402/AH401</f>
        <v>0.47178975062957096</v>
      </c>
      <c r="AI405" s="21">
        <f t="shared" si="1106"/>
        <v>0.5018471766424869</v>
      </c>
      <c r="AJ405" s="21">
        <f t="shared" ref="AJ405:AK405" si="1107">-AJ402/AJ401</f>
        <v>0.51495714425030559</v>
      </c>
      <c r="AK405" s="21">
        <f t="shared" si="1107"/>
        <v>0.51797664669895227</v>
      </c>
      <c r="AL405" s="21">
        <f t="shared" ref="AL405:AM405" si="1108">-AL402/AL401</f>
        <v>0.51797664669895227</v>
      </c>
      <c r="AM405" s="21">
        <f t="shared" si="1108"/>
        <v>0.51064741930929514</v>
      </c>
      <c r="AN405" s="21">
        <f t="shared" ref="AN405:AO405" si="1109">-AN402/AN401</f>
        <v>0.49720754019140651</v>
      </c>
      <c r="AO405" s="21">
        <f t="shared" si="1109"/>
        <v>0.45632614326879811</v>
      </c>
      <c r="AP405" s="21">
        <f t="shared" ref="AP405:AS405" si="1110">-AP402/AP401</f>
        <v>0.43057530984952835</v>
      </c>
      <c r="AQ405" s="21">
        <f t="shared" si="1110"/>
        <v>0.43057530984952835</v>
      </c>
      <c r="AR405" s="21">
        <f t="shared" si="1110"/>
        <v>0.39916557975266848</v>
      </c>
      <c r="AS405" s="21">
        <f t="shared" si="1110"/>
        <v>0.28335459250808498</v>
      </c>
      <c r="AT405" s="21">
        <f t="shared" ref="AT405:BE405" si="1111">-AT402/AT401</f>
        <v>0.26947021069379001</v>
      </c>
      <c r="AU405" s="21">
        <f t="shared" si="1111"/>
        <v>0.20186297877123943</v>
      </c>
      <c r="AV405" s="21">
        <f t="shared" si="1111"/>
        <v>0.20186297877123946</v>
      </c>
      <c r="AW405" s="21">
        <f t="shared" si="1111"/>
        <v>0.17118336374784912</v>
      </c>
      <c r="AX405" s="21">
        <f t="shared" si="1111"/>
        <v>0.16632044162382048</v>
      </c>
      <c r="AY405" s="21">
        <f t="shared" ref="AY405" si="1112">-AY402/AY401</f>
        <v>0.16868193281185165</v>
      </c>
      <c r="AZ405" s="21">
        <f t="shared" si="1111"/>
        <v>0.17645011830249102</v>
      </c>
      <c r="BA405" s="21">
        <f t="shared" si="1111"/>
        <v>0.1765290483053118</v>
      </c>
      <c r="BB405" s="21">
        <f t="shared" si="1111"/>
        <v>0.1731196797610329</v>
      </c>
      <c r="BC405" s="21">
        <f t="shared" si="1111"/>
        <v>0.17104036532988218</v>
      </c>
      <c r="BD405" s="21">
        <f t="shared" si="1111"/>
        <v>0.16681132549836702</v>
      </c>
      <c r="BE405" s="21">
        <f t="shared" si="1111"/>
        <v>0.16334571376073692</v>
      </c>
      <c r="BF405" s="21">
        <f t="shared" ref="BF405:BS405" si="1113">-BF402/BF401</f>
        <v>0.16334571376073687</v>
      </c>
      <c r="BG405" s="21">
        <f t="shared" si="1113"/>
        <v>0.15981112780590789</v>
      </c>
      <c r="BH405" s="21">
        <f t="shared" si="1113"/>
        <v>0.15394255707269144</v>
      </c>
      <c r="BI405" s="21">
        <f t="shared" si="1113"/>
        <v>0.14535359704616524</v>
      </c>
      <c r="BJ405" s="21">
        <f t="shared" si="1113"/>
        <v>0</v>
      </c>
      <c r="BK405" s="21">
        <f t="shared" si="1113"/>
        <v>0</v>
      </c>
      <c r="BL405" s="21">
        <f t="shared" si="1113"/>
        <v>0</v>
      </c>
      <c r="BM405" s="21">
        <f t="shared" si="1113"/>
        <v>0</v>
      </c>
      <c r="BN405" s="21">
        <f t="shared" si="1113"/>
        <v>0</v>
      </c>
      <c r="BO405" s="21">
        <f t="shared" si="1113"/>
        <v>0</v>
      </c>
      <c r="BP405" s="21">
        <f t="shared" si="1113"/>
        <v>0</v>
      </c>
      <c r="BQ405" s="21">
        <f t="shared" si="1113"/>
        <v>0</v>
      </c>
      <c r="BR405" s="21">
        <f t="shared" si="1113"/>
        <v>0</v>
      </c>
      <c r="BS405" s="21">
        <f t="shared" si="1113"/>
        <v>0</v>
      </c>
    </row>
    <row r="406" spans="1:73">
      <c r="A406" s="1" t="s">
        <v>283</v>
      </c>
      <c r="J406" s="21">
        <f t="shared" ref="J406:S406" si="1114">J403/J401</f>
        <v>0.42983346931939803</v>
      </c>
      <c r="K406" s="21">
        <f t="shared" si="1114"/>
        <v>0.42107857447516567</v>
      </c>
      <c r="L406" s="21">
        <f t="shared" si="1114"/>
        <v>0.37219147727470581</v>
      </c>
      <c r="M406" s="21">
        <f t="shared" si="1114"/>
        <v>0.37219147727470581</v>
      </c>
      <c r="N406" s="21">
        <f t="shared" si="1114"/>
        <v>0.35653406807130394</v>
      </c>
      <c r="O406" s="21">
        <f t="shared" si="1114"/>
        <v>0.38362691088816453</v>
      </c>
      <c r="P406" s="21">
        <f t="shared" si="1114"/>
        <v>0.41745023674418108</v>
      </c>
      <c r="Q406" s="21">
        <f t="shared" si="1114"/>
        <v>0.4517386538198897</v>
      </c>
      <c r="R406" s="21">
        <f t="shared" si="1114"/>
        <v>0.4517386538198897</v>
      </c>
      <c r="S406" s="21">
        <f t="shared" si="1114"/>
        <v>0.47255525670140391</v>
      </c>
      <c r="T406" s="21">
        <f t="shared" ref="T406:U406" si="1115">T403/T401</f>
        <v>0.42847234978499626</v>
      </c>
      <c r="U406" s="21">
        <f t="shared" si="1115"/>
        <v>0.42460208515551262</v>
      </c>
      <c r="V406" s="21">
        <f t="shared" ref="V406:W406" si="1116">V403/V401</f>
        <v>0.37137770347780164</v>
      </c>
      <c r="W406" s="21">
        <f t="shared" si="1116"/>
        <v>0.37137770347780164</v>
      </c>
      <c r="X406" s="21">
        <f t="shared" ref="X406:Y406" si="1117">X403/X401</f>
        <v>0.41088444077792363</v>
      </c>
      <c r="Y406" s="21">
        <f t="shared" si="1117"/>
        <v>0.44832528046245235</v>
      </c>
      <c r="Z406" s="21">
        <f t="shared" ref="Z406:AA406" si="1118">Z403/Z401</f>
        <v>0.50267674356395109</v>
      </c>
      <c r="AA406" s="21">
        <f t="shared" si="1118"/>
        <v>0.64433818035136226</v>
      </c>
      <c r="AB406" s="21">
        <f t="shared" ref="AB406:AC406" si="1119">AB403/AB401</f>
        <v>0.64433818035136226</v>
      </c>
      <c r="AC406" s="21">
        <f t="shared" si="1119"/>
        <v>0.65539543500684716</v>
      </c>
      <c r="AD406" s="21">
        <f t="shared" ref="AD406:AE406" si="1120">AD403/AD401</f>
        <v>0.62865886624800937</v>
      </c>
      <c r="AE406" s="21">
        <f t="shared" si="1120"/>
        <v>0.63113103086602773</v>
      </c>
      <c r="AF406" s="21">
        <f t="shared" ref="AF406:AG406" si="1121">AF403/AF401</f>
        <v>0.57293083689332136</v>
      </c>
      <c r="AG406" s="21">
        <f t="shared" si="1121"/>
        <v>0.57293083689332136</v>
      </c>
      <c r="AH406" s="21">
        <f t="shared" ref="AH406:AI406" si="1122">AH403/AH401</f>
        <v>0.52821024937042904</v>
      </c>
      <c r="AI406" s="21">
        <f t="shared" si="1122"/>
        <v>0.4981528233575131</v>
      </c>
      <c r="AJ406" s="21">
        <f t="shared" ref="AJ406:AK406" si="1123">AJ403/AJ401</f>
        <v>0.48504285574969441</v>
      </c>
      <c r="AK406" s="21">
        <f t="shared" si="1123"/>
        <v>0.48202335330104767</v>
      </c>
      <c r="AL406" s="21">
        <f t="shared" ref="AL406:AM406" si="1124">AL403/AL401</f>
        <v>0.48202335330104767</v>
      </c>
      <c r="AM406" s="21">
        <f t="shared" si="1124"/>
        <v>0.48935258069070481</v>
      </c>
      <c r="AN406" s="21">
        <f t="shared" ref="AN406:AO406" si="1125">AN403/AN401</f>
        <v>0.50279245980859344</v>
      </c>
      <c r="AO406" s="21">
        <f t="shared" si="1125"/>
        <v>0.54367385673120194</v>
      </c>
      <c r="AP406" s="21">
        <f t="shared" ref="AP406:AS406" si="1126">AP403/AP401</f>
        <v>0.56942469015047159</v>
      </c>
      <c r="AQ406" s="21">
        <f t="shared" si="1126"/>
        <v>0.56942469015047159</v>
      </c>
      <c r="AR406" s="21">
        <f t="shared" si="1126"/>
        <v>0.60083442024733158</v>
      </c>
      <c r="AS406" s="21">
        <f t="shared" si="1126"/>
        <v>0.71664540749191508</v>
      </c>
      <c r="AT406" s="21">
        <f t="shared" ref="AT406:BE406" si="1127">AT403/AT401</f>
        <v>0.73052978930621004</v>
      </c>
      <c r="AU406" s="21">
        <f t="shared" si="1127"/>
        <v>0.79813702122876062</v>
      </c>
      <c r="AV406" s="21">
        <f t="shared" si="1127"/>
        <v>0.79813702122876062</v>
      </c>
      <c r="AW406" s="21">
        <f t="shared" si="1127"/>
        <v>0.82881663625215096</v>
      </c>
      <c r="AX406" s="21">
        <f t="shared" si="1127"/>
        <v>0.83367955837617946</v>
      </c>
      <c r="AY406" s="21">
        <f t="shared" ref="AY406" si="1128">AY403/AY401</f>
        <v>0.83131806718814827</v>
      </c>
      <c r="AZ406" s="21">
        <f t="shared" si="1127"/>
        <v>0.82354988169750898</v>
      </c>
      <c r="BA406" s="21">
        <f t="shared" si="1127"/>
        <v>0.8234709516946882</v>
      </c>
      <c r="BB406" s="21">
        <f t="shared" si="1127"/>
        <v>0.82688032023896718</v>
      </c>
      <c r="BC406" s="21">
        <f t="shared" si="1127"/>
        <v>0.82895963467011791</v>
      </c>
      <c r="BD406" s="21">
        <f t="shared" si="1127"/>
        <v>0.83318867450163292</v>
      </c>
      <c r="BE406" s="21">
        <f t="shared" si="1127"/>
        <v>0.83665428623926308</v>
      </c>
      <c r="BF406" s="21">
        <f t="shared" ref="BF406:BS406" si="1129">BF403/BF401</f>
        <v>0.83665428623926308</v>
      </c>
      <c r="BG406" s="21">
        <f t="shared" si="1129"/>
        <v>0.84018887219409211</v>
      </c>
      <c r="BH406" s="21">
        <f t="shared" si="1129"/>
        <v>0.84605744292730856</v>
      </c>
      <c r="BI406" s="21">
        <f t="shared" si="1129"/>
        <v>0.85464640295383476</v>
      </c>
      <c r="BJ406" s="21">
        <f t="shared" si="1129"/>
        <v>1</v>
      </c>
      <c r="BK406" s="21">
        <f t="shared" si="1129"/>
        <v>1</v>
      </c>
      <c r="BL406" s="21">
        <f t="shared" si="1129"/>
        <v>1</v>
      </c>
      <c r="BM406" s="21">
        <f t="shared" si="1129"/>
        <v>1</v>
      </c>
      <c r="BN406" s="21">
        <f t="shared" si="1129"/>
        <v>1</v>
      </c>
      <c r="BO406" s="21">
        <f t="shared" si="1129"/>
        <v>1</v>
      </c>
      <c r="BP406" s="21">
        <f t="shared" si="1129"/>
        <v>1</v>
      </c>
      <c r="BQ406" s="21">
        <f t="shared" si="1129"/>
        <v>1</v>
      </c>
      <c r="BR406" s="21">
        <f t="shared" si="1129"/>
        <v>1</v>
      </c>
      <c r="BS406" s="21">
        <f t="shared" si="1129"/>
        <v>1</v>
      </c>
    </row>
    <row r="407" spans="1:73">
      <c r="J407" s="25" t="s">
        <v>292</v>
      </c>
      <c r="X407" s="98" t="s">
        <v>451</v>
      </c>
      <c r="Y407" s="71"/>
      <c r="Z407" s="71"/>
      <c r="AA407" s="71"/>
      <c r="AB407" s="71"/>
      <c r="AC407" s="71"/>
      <c r="AD407" s="71"/>
    </row>
    <row r="408" spans="1:73">
      <c r="A408" s="1" t="s">
        <v>289</v>
      </c>
      <c r="I408" s="76">
        <v>0</v>
      </c>
      <c r="J408" s="36">
        <f>I414</f>
        <v>43589</v>
      </c>
      <c r="K408" s="36">
        <f>J414</f>
        <v>498023.54039263527</v>
      </c>
      <c r="L408" s="36">
        <f>K414</f>
        <v>787771.06134969345</v>
      </c>
      <c r="M408" s="76">
        <v>0</v>
      </c>
      <c r="N408" s="36">
        <f>M414</f>
        <v>686573.80210762704</v>
      </c>
      <c r="O408" s="36">
        <f>N414</f>
        <v>717606.45829508756</v>
      </c>
      <c r="P408" s="36">
        <f>O414</f>
        <v>835446.1905750765</v>
      </c>
      <c r="Q408" s="36">
        <f>P414</f>
        <v>1582977.1420372492</v>
      </c>
      <c r="R408" s="36">
        <f>M414</f>
        <v>686573.80210762704</v>
      </c>
      <c r="S408" s="36">
        <f>R414</f>
        <v>1868827</v>
      </c>
      <c r="T408" s="36">
        <f>S414</f>
        <v>2112399.4965173746</v>
      </c>
      <c r="U408" s="36">
        <f>T414</f>
        <v>1959438.3333547707</v>
      </c>
      <c r="V408" s="36">
        <f>U414</f>
        <v>2033562.9013145324</v>
      </c>
      <c r="W408" s="36">
        <f>R414</f>
        <v>1868827</v>
      </c>
      <c r="X408" s="36">
        <f>W414</f>
        <v>1702551</v>
      </c>
      <c r="Y408" s="36">
        <f>X414</f>
        <v>2150339.0677448167</v>
      </c>
      <c r="Z408" s="36">
        <f>Y414</f>
        <v>2351430.6783284061</v>
      </c>
      <c r="AA408" s="36">
        <f>Z414</f>
        <v>2742562.0880384576</v>
      </c>
      <c r="AB408" s="36">
        <f>W414</f>
        <v>1702551</v>
      </c>
      <c r="AC408" s="36">
        <f>AB414</f>
        <v>4253786</v>
      </c>
      <c r="AD408" s="36">
        <f>AC414</f>
        <v>4227509.6269379314</v>
      </c>
      <c r="AE408" s="36">
        <f>AD414</f>
        <v>3576562.2499049772</v>
      </c>
      <c r="AF408" s="36">
        <f>AE414</f>
        <v>3662896.4260992268</v>
      </c>
      <c r="AG408" s="36">
        <f>AB414</f>
        <v>4253786</v>
      </c>
      <c r="AH408" s="36">
        <f>AG414</f>
        <v>3030663.1861797944</v>
      </c>
      <c r="AI408" s="36">
        <f>AH414</f>
        <v>2753107.3537843362</v>
      </c>
      <c r="AJ408" s="36">
        <f>AI414</f>
        <v>2553501.4833612107</v>
      </c>
      <c r="AK408" s="36">
        <f>AJ414</f>
        <v>2176934.4220901644</v>
      </c>
      <c r="AL408" s="36">
        <f>AG414</f>
        <v>3030663.1861797944</v>
      </c>
      <c r="AM408" s="36">
        <f>AL414</f>
        <v>2154990</v>
      </c>
      <c r="AN408" s="36">
        <f>AM414</f>
        <v>2346335.0307286936</v>
      </c>
      <c r="AO408" s="36">
        <f>AN414</f>
        <v>2513902.96953271</v>
      </c>
      <c r="AP408" s="36">
        <f>AO414</f>
        <v>2526885.72029371</v>
      </c>
      <c r="AQ408" s="36">
        <f>AL414</f>
        <v>2154990</v>
      </c>
      <c r="AR408" s="36">
        <f>AQ414</f>
        <v>2665145</v>
      </c>
      <c r="AS408" s="36">
        <f>AR414</f>
        <v>3027903.2583331666</v>
      </c>
      <c r="AT408" s="36">
        <f>AS414</f>
        <v>2874426.0305980667</v>
      </c>
      <c r="AU408" s="36">
        <f>AT414</f>
        <v>3105980.3556570057</v>
      </c>
      <c r="AV408" s="36">
        <f>AQ414</f>
        <v>2665145</v>
      </c>
      <c r="AW408" s="36">
        <f>AV414</f>
        <v>2911322.1110740248</v>
      </c>
      <c r="AX408" s="36">
        <f>AW414</f>
        <v>3016962.1765552745</v>
      </c>
      <c r="AY408" s="36">
        <f>AX414</f>
        <v>3149923.1552359373</v>
      </c>
      <c r="AZ408" s="36">
        <f>AY414</f>
        <v>3012240.2818709631</v>
      </c>
      <c r="BA408" s="36">
        <f>AV414</f>
        <v>2911322.1110740248</v>
      </c>
      <c r="BB408" s="36">
        <f>BA414</f>
        <v>2843008.6405096226</v>
      </c>
      <c r="BC408" s="36">
        <f>BB414</f>
        <v>2626058.0743832281</v>
      </c>
      <c r="BD408" s="36">
        <f>BC414</f>
        <v>2407877.0082568331</v>
      </c>
      <c r="BE408" s="36">
        <f>BD414</f>
        <v>2193869.9421304381</v>
      </c>
      <c r="BF408" s="36">
        <f>BA414</f>
        <v>2843008.6405096226</v>
      </c>
      <c r="BG408" s="36">
        <f>BF414</f>
        <v>1980175.376004043</v>
      </c>
      <c r="BH408" s="36">
        <f>BG414</f>
        <v>1814260.309877648</v>
      </c>
      <c r="BI408" s="36">
        <f>BH414</f>
        <v>1648421.7437512535</v>
      </c>
      <c r="BJ408" s="36">
        <f>BI414</f>
        <v>1481142.6776248585</v>
      </c>
      <c r="BK408" s="36">
        <f>BF414</f>
        <v>1980175.376004043</v>
      </c>
      <c r="BL408" s="36">
        <f>BK414</f>
        <v>1406619.1114984634</v>
      </c>
      <c r="BM408" s="36">
        <f>BL414</f>
        <v>1212025.0453720686</v>
      </c>
      <c r="BN408" s="36">
        <f>BM414</f>
        <v>1015416.9792456736</v>
      </c>
      <c r="BO408" s="36">
        <f>BN414</f>
        <v>816818.91311927885</v>
      </c>
      <c r="BP408" s="36">
        <f>BK414</f>
        <v>1406619.1114984634</v>
      </c>
      <c r="BQ408" s="36">
        <f>BP414</f>
        <v>616254.84699288395</v>
      </c>
      <c r="BR408" s="36">
        <f>BQ414</f>
        <v>413748.78086648899</v>
      </c>
      <c r="BS408" s="36">
        <f>BR414</f>
        <v>207082.21474009406</v>
      </c>
      <c r="BT408" s="36">
        <f>BS414</f>
        <v>24.648613699158886</v>
      </c>
      <c r="BU408" s="36">
        <f>BP414</f>
        <v>616254.84699288395</v>
      </c>
    </row>
    <row r="409" spans="1:73">
      <c r="A409" s="1" t="s">
        <v>290</v>
      </c>
      <c r="I409" s="38"/>
      <c r="J409" s="38">
        <f>J372-J390</f>
        <v>412670.48466257669</v>
      </c>
      <c r="K409" s="38">
        <f>K372-K390</f>
        <v>269663.57668711658</v>
      </c>
      <c r="L409" s="38">
        <f>L372-L390</f>
        <v>77991.294478527605</v>
      </c>
      <c r="M409" s="38">
        <f>SUM(I409:L409)</f>
        <v>760325.35582822084</v>
      </c>
      <c r="N409" s="38">
        <f>N372-N390</f>
        <v>69652.490797546008</v>
      </c>
      <c r="O409" s="38">
        <f>O372-O390</f>
        <v>82704.699386503053</v>
      </c>
      <c r="P409" s="38">
        <f>P372-P390</f>
        <v>583276.48854961828</v>
      </c>
      <c r="Q409" s="38">
        <f>Q372-Q390</f>
        <v>100717.38371879508</v>
      </c>
      <c r="R409" s="38">
        <f>SUM(N409:Q409)</f>
        <v>836351.0624524625</v>
      </c>
      <c r="S409" s="38">
        <f>S372-S390</f>
        <v>156153.40394322894</v>
      </c>
      <c r="T409" s="38">
        <f>T372-T390</f>
        <v>477697.60300482868</v>
      </c>
      <c r="U409" s="38">
        <f>U372-U390</f>
        <v>97030.562915260904</v>
      </c>
      <c r="V409" s="38">
        <f>V372-V390</f>
        <v>110672.10889369919</v>
      </c>
      <c r="W409" s="38">
        <f>SUM(S409:V409)</f>
        <v>841553.67875701771</v>
      </c>
      <c r="X409" s="38">
        <f>X372-X390</f>
        <v>382330</v>
      </c>
      <c r="Y409" s="38">
        <f>Y372-Y390</f>
        <v>0</v>
      </c>
      <c r="Z409" s="38">
        <f>Z372-Z390</f>
        <v>5033</v>
      </c>
      <c r="AA409" s="38">
        <f>AA372-AA390</f>
        <v>102270</v>
      </c>
      <c r="AB409" s="38">
        <f>SUM(X409:AA409)</f>
        <v>489633</v>
      </c>
      <c r="AC409" s="38">
        <f>AC372-AC390</f>
        <v>27177.93</v>
      </c>
      <c r="AD409" s="38">
        <f>AD372-AD390</f>
        <v>5117.1900000000005</v>
      </c>
      <c r="AE409" s="38">
        <f>AE372-AE390</f>
        <v>21905.520000000004</v>
      </c>
      <c r="AF409" s="38">
        <f>AF372-AF390</f>
        <v>104136</v>
      </c>
      <c r="AG409" s="38">
        <f>SUM(AC409:AF409)</f>
        <v>158336.64000000001</v>
      </c>
      <c r="AH409" s="38">
        <f>AH372-AH390</f>
        <v>3007.6800000000003</v>
      </c>
      <c r="AI409" s="38">
        <f>AI372-AI390</f>
        <v>0</v>
      </c>
      <c r="AJ409" s="38">
        <f>AJ372-AJ390</f>
        <v>3956.55</v>
      </c>
      <c r="AK409" s="38">
        <f>AK372-AK390</f>
        <v>0</v>
      </c>
      <c r="AL409" s="38">
        <f>SUM(AH409:AK409)</f>
        <v>6964.2300000000005</v>
      </c>
      <c r="AM409" s="38">
        <f>AM372-AM390</f>
        <v>0</v>
      </c>
      <c r="AN409" s="38">
        <f>AN372-AN390</f>
        <v>0</v>
      </c>
      <c r="AO409" s="38">
        <f>AO372-AO390</f>
        <v>0</v>
      </c>
      <c r="AP409" s="38">
        <f>AP372-AP390</f>
        <v>0</v>
      </c>
      <c r="AQ409" s="38">
        <f>SUM(AM409:AP409)</f>
        <v>0</v>
      </c>
      <c r="AR409" s="38">
        <f>AR372-AR390</f>
        <v>0</v>
      </c>
      <c r="AS409" s="38">
        <f>AS372-AS390</f>
        <v>0</v>
      </c>
      <c r="AT409" s="38">
        <f>AT372-AT390</f>
        <v>0</v>
      </c>
      <c r="AU409" s="38">
        <f>AU372-AU390</f>
        <v>0</v>
      </c>
      <c r="AV409" s="38">
        <f>SUM(AR409:AU409)</f>
        <v>0</v>
      </c>
      <c r="AW409" s="38">
        <f>AW372-AW390</f>
        <v>0</v>
      </c>
      <c r="AX409" s="38">
        <f>AX372-AX390</f>
        <v>0</v>
      </c>
      <c r="AY409" s="38">
        <f>AY372-AY390</f>
        <v>0</v>
      </c>
      <c r="AZ409" s="80">
        <f t="shared" ref="AZ409:AZ410" si="1130">AZ504*AZ$102</f>
        <v>0</v>
      </c>
      <c r="BA409" s="38">
        <f>SUM(AW409:AZ409)</f>
        <v>0</v>
      </c>
      <c r="BB409" s="80">
        <f t="shared" ref="BB409:BE410" si="1131">BB504*BB$102</f>
        <v>0</v>
      </c>
      <c r="BC409" s="80">
        <f t="shared" si="1131"/>
        <v>0</v>
      </c>
      <c r="BD409" s="80">
        <f t="shared" si="1131"/>
        <v>0</v>
      </c>
      <c r="BE409" s="80">
        <f t="shared" si="1131"/>
        <v>0</v>
      </c>
      <c r="BF409" s="38">
        <f>SUM(BB409:BE409)</f>
        <v>0</v>
      </c>
      <c r="BG409" s="80">
        <f t="shared" ref="BG409:BJ410" si="1132">BG504*BG$102</f>
        <v>0</v>
      </c>
      <c r="BH409" s="80">
        <f t="shared" si="1132"/>
        <v>0</v>
      </c>
      <c r="BI409" s="80">
        <f t="shared" si="1132"/>
        <v>0</v>
      </c>
      <c r="BJ409" s="80">
        <f t="shared" si="1132"/>
        <v>0</v>
      </c>
      <c r="BK409" s="38">
        <f>SUM(BG409:BJ409)</f>
        <v>0</v>
      </c>
      <c r="BL409" s="80">
        <f t="shared" ref="BL409:BO410" si="1133">BL504*BL$102</f>
        <v>0</v>
      </c>
      <c r="BM409" s="80">
        <f t="shared" si="1133"/>
        <v>0</v>
      </c>
      <c r="BN409" s="80">
        <f t="shared" si="1133"/>
        <v>0</v>
      </c>
      <c r="BO409" s="80">
        <f t="shared" si="1133"/>
        <v>0</v>
      </c>
      <c r="BP409" s="38">
        <f>SUM(BL409:BO409)</f>
        <v>0</v>
      </c>
      <c r="BQ409" s="80">
        <f t="shared" ref="BQ409:BT410" si="1134">BQ504*BQ$102</f>
        <v>0</v>
      </c>
      <c r="BR409" s="80">
        <f t="shared" si="1134"/>
        <v>0</v>
      </c>
      <c r="BS409" s="80">
        <f t="shared" si="1134"/>
        <v>0</v>
      </c>
      <c r="BT409" s="80">
        <f t="shared" si="1134"/>
        <v>0</v>
      </c>
      <c r="BU409" s="38">
        <f>SUM(BQ409:BT409)</f>
        <v>0</v>
      </c>
    </row>
    <row r="410" spans="1:73">
      <c r="A410" s="1" t="s">
        <v>291</v>
      </c>
      <c r="I410" s="38">
        <f>I375</f>
        <v>43589</v>
      </c>
      <c r="J410" s="38">
        <f>J375</f>
        <v>27981.055730058586</v>
      </c>
      <c r="K410" s="38">
        <f>K375</f>
        <v>16085.962887957779</v>
      </c>
      <c r="L410" s="38">
        <f>L375</f>
        <v>32687.538303945974</v>
      </c>
      <c r="M410" s="38">
        <f>SUM(I410:L410)</f>
        <v>120343.55692196233</v>
      </c>
      <c r="N410" s="38">
        <f>N375</f>
        <v>53416</v>
      </c>
      <c r="O410" s="38">
        <f>O375</f>
        <v>105684</v>
      </c>
      <c r="P410" s="38">
        <f>P375</f>
        <v>227690</v>
      </c>
      <c r="Q410" s="38">
        <f>Q375</f>
        <v>96650</v>
      </c>
      <c r="R410" s="38">
        <f>SUM(N410:Q410)</f>
        <v>483440</v>
      </c>
      <c r="S410" s="38">
        <f>S375</f>
        <v>145491</v>
      </c>
      <c r="T410" s="38">
        <f>T375</f>
        <v>-411772</v>
      </c>
      <c r="U410" s="38">
        <f>U375</f>
        <v>-55427</v>
      </c>
      <c r="V410" s="38">
        <f>V375</f>
        <v>-399000</v>
      </c>
      <c r="W410" s="38">
        <f>SUM(S410:V410)</f>
        <v>-720708</v>
      </c>
      <c r="X410" s="38">
        <f>X375</f>
        <v>97662</v>
      </c>
      <c r="Y410" s="38">
        <f>Y375</f>
        <v>256962</v>
      </c>
      <c r="Z410" s="38">
        <f>Z375</f>
        <v>449733</v>
      </c>
      <c r="AA410" s="38">
        <f>AA375</f>
        <v>1244264</v>
      </c>
      <c r="AB410" s="38">
        <f>SUM(X410:AA410)</f>
        <v>2048621</v>
      </c>
      <c r="AC410" s="38">
        <f>AC375</f>
        <v>94392</v>
      </c>
      <c r="AD410" s="38">
        <f>AD375</f>
        <v>-368854</v>
      </c>
      <c r="AE410" s="38">
        <f>AE375</f>
        <v>-17597</v>
      </c>
      <c r="AF410" s="38">
        <f>AF375</f>
        <v>-772032</v>
      </c>
      <c r="AG410" s="38">
        <f>SUM(AC410:AF410)</f>
        <v>-1064091</v>
      </c>
      <c r="AH410" s="38">
        <f>AH375</f>
        <v>-449515</v>
      </c>
      <c r="AI410" s="38">
        <f>AI375</f>
        <v>-330585</v>
      </c>
      <c r="AJ410" s="38">
        <f>AJ375</f>
        <v>-158416</v>
      </c>
      <c r="AK410" s="38">
        <f>AK375</f>
        <v>-6229</v>
      </c>
      <c r="AL410" s="38">
        <f>SUM(AH410:AK410)</f>
        <v>-944745</v>
      </c>
      <c r="AM410" s="38">
        <f>AM375</f>
        <v>20568</v>
      </c>
      <c r="AN410" s="38">
        <f>AN375</f>
        <v>131251</v>
      </c>
      <c r="AO410" s="38">
        <f>AO375</f>
        <v>113001</v>
      </c>
      <c r="AP410" s="38">
        <f>AP375</f>
        <v>-19325</v>
      </c>
      <c r="AQ410" s="38">
        <f>SUM(AM410:AP410)</f>
        <v>245495</v>
      </c>
      <c r="AR410" s="38">
        <f>AR375</f>
        <v>175592</v>
      </c>
      <c r="AS410" s="38">
        <f>AS375</f>
        <v>187537</v>
      </c>
      <c r="AT410" s="38">
        <f>AT375</f>
        <v>-79618</v>
      </c>
      <c r="AU410" s="38">
        <f>AU375</f>
        <v>119272</v>
      </c>
      <c r="AV410" s="38">
        <f>SUM(AR410:AU410)</f>
        <v>402783</v>
      </c>
      <c r="AW410" s="38">
        <f>AW375</f>
        <v>218418</v>
      </c>
      <c r="AX410" s="38">
        <f>AX375</f>
        <v>374998</v>
      </c>
      <c r="AY410" s="38">
        <f>AY375</f>
        <v>-276201</v>
      </c>
      <c r="AZ410" s="80">
        <f t="shared" si="1130"/>
        <v>-141141</v>
      </c>
      <c r="BA410" s="38">
        <f>SUM(AW410:AZ410)</f>
        <v>176074</v>
      </c>
      <c r="BB410" s="80">
        <f t="shared" si="1131"/>
        <v>20884.500000000004</v>
      </c>
      <c r="BC410" s="80">
        <f t="shared" si="1131"/>
        <v>19287.5</v>
      </c>
      <c r="BD410" s="80">
        <f t="shared" si="1131"/>
        <v>17698.5</v>
      </c>
      <c r="BE410" s="80">
        <f t="shared" si="1131"/>
        <v>16117.5</v>
      </c>
      <c r="BF410" s="38">
        <f>SUM(BB410:BE410)</f>
        <v>73988</v>
      </c>
      <c r="BG410" s="80">
        <f t="shared" si="1132"/>
        <v>14544.5</v>
      </c>
      <c r="BH410" s="80">
        <f t="shared" si="1132"/>
        <v>13743.000000000002</v>
      </c>
      <c r="BI410" s="80">
        <f t="shared" si="1132"/>
        <v>12184</v>
      </c>
      <c r="BJ410" s="80">
        <f t="shared" si="1132"/>
        <v>11392.5</v>
      </c>
      <c r="BK410" s="38">
        <f>SUM(BG410:BJ410)</f>
        <v>51864</v>
      </c>
      <c r="BL410" s="80">
        <f t="shared" si="1133"/>
        <v>11362.5</v>
      </c>
      <c r="BM410" s="80">
        <f t="shared" si="1133"/>
        <v>9821.5</v>
      </c>
      <c r="BN410" s="80">
        <f t="shared" si="1133"/>
        <v>8288.5000000000018</v>
      </c>
      <c r="BO410" s="80">
        <f t="shared" si="1133"/>
        <v>6763.5000000000009</v>
      </c>
      <c r="BP410" s="38">
        <f>SUM(BL410:BO410)</f>
        <v>36236</v>
      </c>
      <c r="BQ410" s="80">
        <f t="shared" si="1134"/>
        <v>5246.5</v>
      </c>
      <c r="BR410" s="80">
        <f t="shared" si="1134"/>
        <v>2990</v>
      </c>
      <c r="BS410" s="80">
        <f t="shared" si="1134"/>
        <v>1491</v>
      </c>
      <c r="BT410" s="80">
        <f t="shared" si="1134"/>
        <v>0</v>
      </c>
      <c r="BU410" s="38">
        <f>SUM(BQ410:BT410)</f>
        <v>9727.5</v>
      </c>
    </row>
    <row r="411" spans="1:73">
      <c r="A411" s="1" t="s">
        <v>293</v>
      </c>
      <c r="J411" s="38"/>
      <c r="K411" s="38">
        <f>K378</f>
        <v>-411.01861801636551</v>
      </c>
      <c r="L411" s="38">
        <f>L378</f>
        <v>-54827.19</v>
      </c>
      <c r="M411" s="38">
        <f>SUM(I411:L411)</f>
        <v>-55238.208618016368</v>
      </c>
      <c r="N411" s="38">
        <f>N378</f>
        <v>-118684</v>
      </c>
      <c r="O411" s="38">
        <f>O378</f>
        <v>-22716</v>
      </c>
      <c r="P411" s="38">
        <f>P378</f>
        <v>-34835</v>
      </c>
      <c r="Q411" s="38">
        <f>Q378</f>
        <v>529</v>
      </c>
      <c r="R411" s="38">
        <f>SUM(N411:Q411)</f>
        <v>-175706</v>
      </c>
      <c r="S411" s="38">
        <f>S378</f>
        <v>0</v>
      </c>
      <c r="T411" s="38">
        <f>T378</f>
        <v>-35310</v>
      </c>
      <c r="U411" s="38">
        <f>U378</f>
        <v>0</v>
      </c>
      <c r="V411" s="38">
        <f>V378</f>
        <v>-5000</v>
      </c>
      <c r="W411" s="38">
        <f>SUM(S411:V411)</f>
        <v>-40310</v>
      </c>
      <c r="AB411" s="38"/>
      <c r="AG411" s="38"/>
      <c r="BB411" s="80"/>
      <c r="BG411" s="80"/>
      <c r="BL411" s="80"/>
      <c r="BQ411" s="80"/>
    </row>
    <row r="412" spans="1:73">
      <c r="A412" s="1" t="s">
        <v>297</v>
      </c>
      <c r="J412" s="38"/>
      <c r="K412" s="38"/>
      <c r="L412" s="38">
        <f>L379-L392</f>
        <v>-43023.902024539886</v>
      </c>
      <c r="M412" s="38">
        <f>SUM(I412:L412)</f>
        <v>-43023.902024539886</v>
      </c>
      <c r="N412" s="38">
        <f>N379-N392</f>
        <v>-1715.802710236394</v>
      </c>
      <c r="O412" s="38">
        <f>O379-O392</f>
        <v>-68200.332279155511</v>
      </c>
      <c r="P412" s="38">
        <f>P379-P392</f>
        <v>809.06915506313885</v>
      </c>
      <c r="Q412" s="38">
        <f>Q379-Q392</f>
        <v>-9810.6870229007636</v>
      </c>
      <c r="R412" s="38">
        <f>SUM(N412:Q412)</f>
        <v>-78917.752857229527</v>
      </c>
      <c r="S412" s="38">
        <f>S379-S392</f>
        <v>0</v>
      </c>
      <c r="T412" s="38">
        <f>T379-T392</f>
        <v>-186212.67938931298</v>
      </c>
      <c r="U412" s="38">
        <f>U379-U392</f>
        <v>2083.6147328244269</v>
      </c>
      <c r="V412" s="38">
        <f>V379-V392</f>
        <v>-17665.368320610687</v>
      </c>
      <c r="W412" s="38">
        <f>SUM(S412:V412)</f>
        <v>-201794.43297709923</v>
      </c>
      <c r="X412" s="107">
        <f>X379-SUM(X391:X392)</f>
        <v>-15152.125</v>
      </c>
      <c r="Y412" s="107">
        <f>Y379-SUM(Y391:Y392)</f>
        <v>-17117.412500000006</v>
      </c>
      <c r="Z412" s="107">
        <f>Z379-SUM(Z391:Z392)</f>
        <v>-11179.1875</v>
      </c>
      <c r="AA412" s="107">
        <f>AA379-SUM(AA391:AA392)</f>
        <v>-72459.743750000023</v>
      </c>
      <c r="AB412" s="38">
        <f>SUM(X412:AA412)</f>
        <v>-115908.46875000003</v>
      </c>
      <c r="AC412" s="107">
        <f>AC379-SUM(AC391:AC392)</f>
        <v>-142365.5625</v>
      </c>
      <c r="AD412" s="107">
        <f>AD379-SUM(AD391:AD392)</f>
        <v>-331312.78125</v>
      </c>
      <c r="AE412" s="107">
        <f>AE379-SUM(AE391:AE392)</f>
        <v>-16705.21875</v>
      </c>
      <c r="AF412" s="107">
        <f>AF379-SUM(AF391:AF392)</f>
        <v>-174875.609375</v>
      </c>
      <c r="AG412" s="38">
        <f>SUM(AC412:AF412)</f>
        <v>-665259.171875</v>
      </c>
      <c r="AH412" s="107">
        <f>AH379-SUM(AH391:AH392)</f>
        <v>-162637.390625</v>
      </c>
      <c r="AI412" s="107">
        <f>AI379-SUM(AI391:AI392)</f>
        <v>-23921.6953125</v>
      </c>
      <c r="AJ412" s="107">
        <f>AJ379-SUM(AJ391:AJ392)</f>
        <v>-15208.3046875</v>
      </c>
      <c r="AK412" s="107">
        <f>AK379-SUM(AK391:AK392)</f>
        <v>-8506.65234375</v>
      </c>
      <c r="AL412" s="38">
        <f>SUM(AH412:AK412)</f>
        <v>-210274.04296875</v>
      </c>
      <c r="AM412" s="107">
        <f>AM379-SUM(AM391:AM392)</f>
        <v>-12807.34765625</v>
      </c>
      <c r="AN412" s="107">
        <f>AN379-SUM(AN391:AN392)</f>
        <v>-38684.173828125</v>
      </c>
      <c r="AO412" s="107">
        <f>AO379-SUM(AO391:AO392)</f>
        <v>28526.173828125</v>
      </c>
      <c r="AP412" s="107">
        <f>AP379-SUM(AP391:AP392)</f>
        <v>-11799.9130859375</v>
      </c>
      <c r="AQ412" s="38">
        <f>SUM(AM412:AP412)</f>
        <v>-34765.2607421875</v>
      </c>
      <c r="AR412" s="107">
        <f>AR379-SUM(AR391:AR392)</f>
        <v>16158.9130859375</v>
      </c>
      <c r="AS412" s="107">
        <f>AS379-SUM(AS391:AS392)</f>
        <v>-10661.04345703125</v>
      </c>
      <c r="AT412" s="107">
        <f>AT379-SUM(AT391:AT392)</f>
        <v>6039.04345703125</v>
      </c>
      <c r="AU412" s="107">
        <f>AU379-SUM(AU391:AU392)</f>
        <v>-150107.47827148438</v>
      </c>
      <c r="AV412" s="38">
        <f>SUM(AR412:AU412)</f>
        <v>-138570.56518554688</v>
      </c>
      <c r="AW412" s="107">
        <f>AW379-SUM(AW391:AW392)</f>
        <v>-20844.521728515625</v>
      </c>
      <c r="AX412" s="107">
        <f>AX379-SUM(AX391:AX392)</f>
        <v>-327106.76086425781</v>
      </c>
      <c r="AY412" s="107">
        <f>AY379-SUM(AY391:AY392)</f>
        <v>-19278.239135742188</v>
      </c>
      <c r="AZ412" s="80">
        <f>AZ507*AZ$102</f>
        <v>0</v>
      </c>
      <c r="BA412" s="38">
        <f>SUM(AW412:AZ412)</f>
        <v>-367229.52172851563</v>
      </c>
      <c r="BB412" s="80">
        <f>BB507*BB$102</f>
        <v>-230503.00000000003</v>
      </c>
      <c r="BC412" s="80">
        <f>BC507*BC$102</f>
        <v>-230678.50000000003</v>
      </c>
      <c r="BD412" s="80">
        <f>BD507*BD$102</f>
        <v>-225463.5</v>
      </c>
      <c r="BE412" s="80">
        <f>BE507*BE$102</f>
        <v>-224110</v>
      </c>
      <c r="BF412" s="38">
        <f>SUM(BB412:BE412)</f>
        <v>-910755</v>
      </c>
      <c r="BG412" s="80">
        <f>BG507*BG$102</f>
        <v>-175299.5</v>
      </c>
      <c r="BH412" s="80">
        <f>BH507*BH$102</f>
        <v>-174841.50000000003</v>
      </c>
      <c r="BI412" s="80">
        <f>BI507*BI$102</f>
        <v>-175145</v>
      </c>
      <c r="BJ412" s="80">
        <f>BJ507*BJ$102</f>
        <v>-82026</v>
      </c>
      <c r="BK412" s="38">
        <f>SUM(BG412:BJ412)</f>
        <v>-607312</v>
      </c>
      <c r="BL412" s="80">
        <f>BL507*BL$102</f>
        <v>-202252.5</v>
      </c>
      <c r="BM412" s="80">
        <f>BM507*BM$102</f>
        <v>-203229.5</v>
      </c>
      <c r="BN412" s="80">
        <f>BN507*BN$102</f>
        <v>-204198.50000000003</v>
      </c>
      <c r="BO412" s="80">
        <f>BO507*BO$102</f>
        <v>-205159.50000000003</v>
      </c>
      <c r="BP412" s="38">
        <f>SUM(BL412:BO412)</f>
        <v>-814840</v>
      </c>
      <c r="BQ412" s="80">
        <f>BQ507*BQ$102</f>
        <v>-206112.5</v>
      </c>
      <c r="BR412" s="80">
        <f>BR507*BR$102</f>
        <v>-208552.5</v>
      </c>
      <c r="BS412" s="80">
        <f>BS507*BS$102</f>
        <v>-207994.5</v>
      </c>
      <c r="BT412" s="80">
        <f>BT507*BT$102</f>
        <v>0</v>
      </c>
      <c r="BU412" s="38">
        <f>SUM(BQ412:BT412)</f>
        <v>-622659.5</v>
      </c>
    </row>
    <row r="413" spans="1:73">
      <c r="A413" s="1" t="s">
        <v>276</v>
      </c>
      <c r="I413" s="36">
        <f t="shared" ref="I413:T413" si="1135">I414-SUM(I408:I412)</f>
        <v>0</v>
      </c>
      <c r="J413" s="36">
        <f t="shared" si="1135"/>
        <v>13783</v>
      </c>
      <c r="K413" s="36">
        <f t="shared" si="1135"/>
        <v>4409.0000000002328</v>
      </c>
      <c r="L413" s="36">
        <f t="shared" si="1135"/>
        <v>-114025.00000000023</v>
      </c>
      <c r="M413" s="36">
        <f t="shared" si="1135"/>
        <v>-95832.999999999884</v>
      </c>
      <c r="N413" s="36">
        <f t="shared" si="1135"/>
        <v>28363.968100150931</v>
      </c>
      <c r="O413" s="36">
        <f t="shared" si="1135"/>
        <v>20367.365172641352</v>
      </c>
      <c r="P413" s="36">
        <f t="shared" si="1135"/>
        <v>-29409.60624250886</v>
      </c>
      <c r="Q413" s="36">
        <f t="shared" si="1135"/>
        <v>97764.161266856361</v>
      </c>
      <c r="R413" s="36">
        <f t="shared" si="1135"/>
        <v>117085.8882971399</v>
      </c>
      <c r="S413" s="36">
        <f t="shared" si="1135"/>
        <v>-58071.907425854355</v>
      </c>
      <c r="T413" s="36">
        <f t="shared" si="1135"/>
        <v>2635.9132218803279</v>
      </c>
      <c r="U413" s="36">
        <f t="shared" ref="U413:Y413" si="1136">U414-SUM(U408:U412)</f>
        <v>30437.39031167631</v>
      </c>
      <c r="V413" s="36">
        <f t="shared" si="1136"/>
        <v>-20018.64188762079</v>
      </c>
      <c r="W413" s="36">
        <f t="shared" si="1136"/>
        <v>-45017.245779918274</v>
      </c>
      <c r="X413" s="36">
        <f t="shared" si="1136"/>
        <v>-17051.807255183347</v>
      </c>
      <c r="Y413" s="36">
        <f t="shared" si="1136"/>
        <v>-38752.976916410495</v>
      </c>
      <c r="Z413" s="36">
        <f t="shared" ref="Z413:AD413" si="1137">Z414-SUM(Z408:Z412)</f>
        <v>-52455.402789948508</v>
      </c>
      <c r="AA413" s="36">
        <f t="shared" si="1137"/>
        <v>237149.65571154235</v>
      </c>
      <c r="AB413" s="36">
        <f t="shared" si="1137"/>
        <v>128889.46875</v>
      </c>
      <c r="AC413" s="36">
        <f t="shared" si="1137"/>
        <v>-5480.7405620682985</v>
      </c>
      <c r="AD413" s="36">
        <f t="shared" si="1137"/>
        <v>44102.214217045344</v>
      </c>
      <c r="AE413" s="36">
        <f t="shared" ref="AE413:AH413" si="1138">AE414-SUM(AE408:AE412)</f>
        <v>98730.874944249634</v>
      </c>
      <c r="AF413" s="36">
        <f t="shared" si="1138"/>
        <v>210538.36945556756</v>
      </c>
      <c r="AG413" s="36">
        <f t="shared" si="1138"/>
        <v>347890.71805479471</v>
      </c>
      <c r="AH413" s="36">
        <f t="shared" si="1138"/>
        <v>331588.8782295417</v>
      </c>
      <c r="AI413" s="36">
        <f t="shared" ref="AI413:AM413" si="1139">AI414-SUM(AI408:AI412)</f>
        <v>154900.82488937443</v>
      </c>
      <c r="AJ413" s="36">
        <f t="shared" si="1139"/>
        <v>-206899.3065835461</v>
      </c>
      <c r="AK413" s="36">
        <f t="shared" si="1139"/>
        <v>-7208.7697464143857</v>
      </c>
      <c r="AL413" s="36">
        <f t="shared" si="1139"/>
        <v>272381.62678895565</v>
      </c>
      <c r="AM413" s="36">
        <f t="shared" si="1139"/>
        <v>183584.37838494359</v>
      </c>
      <c r="AN413" s="36">
        <f t="shared" ref="AN413:AR413" si="1140">AN414-SUM(AN408:AN412)</f>
        <v>75001.112632141449</v>
      </c>
      <c r="AO413" s="36">
        <f t="shared" si="1140"/>
        <v>-128544.42306712503</v>
      </c>
      <c r="AP413" s="36">
        <f t="shared" si="1140"/>
        <v>169384.19279222749</v>
      </c>
      <c r="AQ413" s="36">
        <f t="shared" si="1140"/>
        <v>299425.2607421875</v>
      </c>
      <c r="AR413" s="36">
        <f t="shared" si="1140"/>
        <v>171007.3452472291</v>
      </c>
      <c r="AS413" s="36">
        <f t="shared" ref="AS413:AW413" si="1141">AS414-SUM(AS408:AS412)</f>
        <v>-330353.1842780686</v>
      </c>
      <c r="AT413" s="36">
        <f t="shared" si="1141"/>
        <v>305133.28160190769</v>
      </c>
      <c r="AU413" s="36">
        <f t="shared" si="1141"/>
        <v>-163822.7663114965</v>
      </c>
      <c r="AV413" s="36">
        <f t="shared" si="1141"/>
        <v>-18035.323740428314</v>
      </c>
      <c r="AW413" s="36">
        <f t="shared" si="1141"/>
        <v>-91933.412790234666</v>
      </c>
      <c r="AX413" s="36">
        <f t="shared" ref="AX413:AY413" si="1142">AX414-SUM(AX408:AX412)</f>
        <v>85069.739544920623</v>
      </c>
      <c r="AY413" s="36">
        <f t="shared" si="1142"/>
        <v>157796.36577076791</v>
      </c>
      <c r="AZ413" s="36">
        <f t="shared" ref="AZ413:BP413" si="1143">AZ414-SUM(AZ408:AZ412)</f>
        <v>-28090.64136134088</v>
      </c>
      <c r="BA413" s="36">
        <f t="shared" si="1143"/>
        <v>122842.05116411345</v>
      </c>
      <c r="BB413" s="36">
        <f t="shared" si="1143"/>
        <v>-7332.0661263945512</v>
      </c>
      <c r="BC413" s="36">
        <f t="shared" si="1143"/>
        <v>-6790.0661263950169</v>
      </c>
      <c r="BD413" s="36">
        <f t="shared" si="1143"/>
        <v>-6242.0661263950169</v>
      </c>
      <c r="BE413" s="36">
        <f t="shared" si="1143"/>
        <v>-5702.0661263950169</v>
      </c>
      <c r="BF413" s="36">
        <f t="shared" si="1143"/>
        <v>-26066.264505579602</v>
      </c>
      <c r="BG413" s="36">
        <f t="shared" si="1143"/>
        <v>-5160.0661263950169</v>
      </c>
      <c r="BH413" s="36">
        <f t="shared" si="1143"/>
        <v>-4740.0661263945512</v>
      </c>
      <c r="BI413" s="36">
        <f t="shared" si="1143"/>
        <v>-4318.0661263950169</v>
      </c>
      <c r="BJ413" s="36">
        <f t="shared" si="1143"/>
        <v>-3890.0661263950169</v>
      </c>
      <c r="BK413" s="36">
        <f t="shared" si="1143"/>
        <v>-18108.264505579602</v>
      </c>
      <c r="BL413" s="36">
        <f t="shared" si="1143"/>
        <v>-3704.0661263947841</v>
      </c>
      <c r="BM413" s="36">
        <f t="shared" si="1143"/>
        <v>-3200.0661263950169</v>
      </c>
      <c r="BN413" s="36">
        <f t="shared" si="1143"/>
        <v>-2688.0661263947841</v>
      </c>
      <c r="BO413" s="36">
        <f t="shared" si="1143"/>
        <v>-2168.0661263949005</v>
      </c>
      <c r="BP413" s="36">
        <f t="shared" si="1143"/>
        <v>-11760.264505579486</v>
      </c>
      <c r="BQ413" s="36">
        <f t="shared" ref="BQ413:BU413" si="1144">BQ414-SUM(BQ408:BQ412)</f>
        <v>-1640.0661263949587</v>
      </c>
      <c r="BR413" s="36">
        <f t="shared" si="1144"/>
        <v>-1104.0661263949296</v>
      </c>
      <c r="BS413" s="36">
        <f t="shared" si="1144"/>
        <v>-554.06612639490049</v>
      </c>
      <c r="BT413" s="36">
        <f t="shared" si="1144"/>
        <v>-24.648613699158886</v>
      </c>
      <c r="BU413" s="36">
        <f t="shared" si="1144"/>
        <v>-3322.8469928839477</v>
      </c>
    </row>
    <row r="414" spans="1:73">
      <c r="A414" s="9" t="s">
        <v>281</v>
      </c>
      <c r="B414" s="9"/>
      <c r="C414" s="9"/>
      <c r="D414" s="9"/>
      <c r="E414" s="9"/>
      <c r="F414" s="9"/>
      <c r="G414" s="9"/>
      <c r="H414" s="9"/>
      <c r="I414" s="39">
        <f t="shared" ref="I414:S414" si="1145">I403</f>
        <v>43589</v>
      </c>
      <c r="J414" s="39">
        <f t="shared" si="1145"/>
        <v>498023.54039263527</v>
      </c>
      <c r="K414" s="39">
        <f t="shared" si="1145"/>
        <v>787771.06134969345</v>
      </c>
      <c r="L414" s="39">
        <f t="shared" si="1145"/>
        <v>686573.80210762704</v>
      </c>
      <c r="M414" s="39">
        <f t="shared" si="1145"/>
        <v>686573.80210762704</v>
      </c>
      <c r="N414" s="39">
        <f t="shared" si="1145"/>
        <v>717606.45829508756</v>
      </c>
      <c r="O414" s="39">
        <f t="shared" si="1145"/>
        <v>835446.1905750765</v>
      </c>
      <c r="P414" s="39">
        <f t="shared" si="1145"/>
        <v>1582977.1420372492</v>
      </c>
      <c r="Q414" s="39">
        <f t="shared" si="1145"/>
        <v>1868827</v>
      </c>
      <c r="R414" s="39">
        <f t="shared" si="1145"/>
        <v>1868827</v>
      </c>
      <c r="S414" s="39">
        <f t="shared" si="1145"/>
        <v>2112399.4965173746</v>
      </c>
      <c r="T414" s="39">
        <f t="shared" ref="T414:U414" si="1146">T403</f>
        <v>1959438.3333547707</v>
      </c>
      <c r="U414" s="39">
        <f t="shared" si="1146"/>
        <v>2033562.9013145324</v>
      </c>
      <c r="V414" s="39">
        <f t="shared" ref="V414:Y414" si="1147">V403</f>
        <v>1702551</v>
      </c>
      <c r="W414" s="39">
        <f t="shared" si="1147"/>
        <v>1702551</v>
      </c>
      <c r="X414" s="39">
        <f t="shared" si="1147"/>
        <v>2150339.0677448167</v>
      </c>
      <c r="Y414" s="39">
        <f t="shared" si="1147"/>
        <v>2351430.6783284061</v>
      </c>
      <c r="Z414" s="39">
        <f t="shared" ref="Z414:AD414" si="1148">Z403</f>
        <v>2742562.0880384576</v>
      </c>
      <c r="AA414" s="39">
        <f t="shared" si="1148"/>
        <v>4253786</v>
      </c>
      <c r="AB414" s="39">
        <f t="shared" si="1148"/>
        <v>4253786</v>
      </c>
      <c r="AC414" s="39">
        <f t="shared" si="1148"/>
        <v>4227509.6269379314</v>
      </c>
      <c r="AD414" s="39">
        <f t="shared" si="1148"/>
        <v>3576562.2499049772</v>
      </c>
      <c r="AE414" s="39">
        <f t="shared" ref="AE414:AH414" si="1149">AE403</f>
        <v>3662896.4260992268</v>
      </c>
      <c r="AF414" s="39">
        <f t="shared" si="1149"/>
        <v>3030663.1861797944</v>
      </c>
      <c r="AG414" s="39">
        <f t="shared" si="1149"/>
        <v>3030663.1861797944</v>
      </c>
      <c r="AH414" s="39">
        <f t="shared" si="1149"/>
        <v>2753107.3537843362</v>
      </c>
      <c r="AI414" s="39">
        <f t="shared" ref="AI414:AM414" si="1150">AI403</f>
        <v>2553501.4833612107</v>
      </c>
      <c r="AJ414" s="39">
        <f t="shared" si="1150"/>
        <v>2176934.4220901644</v>
      </c>
      <c r="AK414" s="39">
        <f t="shared" si="1150"/>
        <v>2154990</v>
      </c>
      <c r="AL414" s="39">
        <f t="shared" si="1150"/>
        <v>2154990</v>
      </c>
      <c r="AM414" s="39">
        <f t="shared" si="1150"/>
        <v>2346335.0307286936</v>
      </c>
      <c r="AN414" s="39">
        <f t="shared" ref="AN414:AR414" si="1151">AN403</f>
        <v>2513902.96953271</v>
      </c>
      <c r="AO414" s="39">
        <f t="shared" si="1151"/>
        <v>2526885.72029371</v>
      </c>
      <c r="AP414" s="39">
        <f t="shared" si="1151"/>
        <v>2665145</v>
      </c>
      <c r="AQ414" s="39">
        <f t="shared" si="1151"/>
        <v>2665145</v>
      </c>
      <c r="AR414" s="39">
        <f t="shared" si="1151"/>
        <v>3027903.2583331666</v>
      </c>
      <c r="AS414" s="39">
        <f t="shared" ref="AS414:AW414" si="1152">AS403</f>
        <v>2874426.0305980667</v>
      </c>
      <c r="AT414" s="39">
        <f t="shared" si="1152"/>
        <v>3105980.3556570057</v>
      </c>
      <c r="AU414" s="39">
        <f t="shared" si="1152"/>
        <v>2911322.1110740248</v>
      </c>
      <c r="AV414" s="39">
        <f t="shared" si="1152"/>
        <v>2911322.1110740248</v>
      </c>
      <c r="AW414" s="39">
        <f t="shared" si="1152"/>
        <v>3016962.1765552745</v>
      </c>
      <c r="AX414" s="39">
        <f t="shared" ref="AX414:AY414" si="1153">AX403</f>
        <v>3149923.1552359373</v>
      </c>
      <c r="AY414" s="39">
        <f t="shared" si="1153"/>
        <v>3012240.2818709631</v>
      </c>
      <c r="AZ414" s="39">
        <f t="shared" ref="AZ414:BU414" si="1154">AZ509*AZ$237</f>
        <v>2843008.6405096222</v>
      </c>
      <c r="BA414" s="39">
        <f t="shared" si="1154"/>
        <v>2843008.6405096226</v>
      </c>
      <c r="BB414" s="39">
        <f t="shared" si="1154"/>
        <v>2626058.0743832281</v>
      </c>
      <c r="BC414" s="39">
        <f t="shared" si="1154"/>
        <v>2407877.0082568331</v>
      </c>
      <c r="BD414" s="39">
        <f t="shared" si="1154"/>
        <v>2193869.9421304381</v>
      </c>
      <c r="BE414" s="39">
        <f t="shared" si="1154"/>
        <v>1980175.376004043</v>
      </c>
      <c r="BF414" s="39">
        <f t="shared" si="1154"/>
        <v>1980175.376004043</v>
      </c>
      <c r="BG414" s="39">
        <f t="shared" si="1154"/>
        <v>1814260.309877648</v>
      </c>
      <c r="BH414" s="39">
        <f t="shared" si="1154"/>
        <v>1648421.7437512535</v>
      </c>
      <c r="BI414" s="39">
        <f t="shared" si="1154"/>
        <v>1481142.6776248585</v>
      </c>
      <c r="BJ414" s="39">
        <f t="shared" si="1154"/>
        <v>1406619.1114984634</v>
      </c>
      <c r="BK414" s="39">
        <f t="shared" si="1154"/>
        <v>1406619.1114984634</v>
      </c>
      <c r="BL414" s="39">
        <f t="shared" si="1154"/>
        <v>1212025.0453720686</v>
      </c>
      <c r="BM414" s="39">
        <f t="shared" si="1154"/>
        <v>1015416.9792456736</v>
      </c>
      <c r="BN414" s="39">
        <f t="shared" si="1154"/>
        <v>816818.91311927885</v>
      </c>
      <c r="BO414" s="39">
        <f t="shared" si="1154"/>
        <v>616254.84699288395</v>
      </c>
      <c r="BP414" s="39">
        <f t="shared" si="1154"/>
        <v>616254.84699288395</v>
      </c>
      <c r="BQ414" s="39">
        <f t="shared" si="1154"/>
        <v>413748.78086648899</v>
      </c>
      <c r="BR414" s="39">
        <f t="shared" si="1154"/>
        <v>207082.21474009406</v>
      </c>
      <c r="BS414" s="39">
        <f t="shared" si="1154"/>
        <v>24.648613699158886</v>
      </c>
      <c r="BT414" s="39">
        <f t="shared" si="1154"/>
        <v>0</v>
      </c>
      <c r="BU414" s="39">
        <f t="shared" si="1154"/>
        <v>0</v>
      </c>
    </row>
    <row r="415" spans="1:73">
      <c r="L415" s="25" t="s">
        <v>316</v>
      </c>
      <c r="X415" s="98" t="s">
        <v>453</v>
      </c>
      <c r="Y415" s="71"/>
      <c r="Z415" s="71"/>
      <c r="AA415" s="71"/>
      <c r="AB415" s="71"/>
      <c r="AC415" s="71"/>
    </row>
    <row r="416" spans="1:73">
      <c r="A416" s="3" t="s">
        <v>284</v>
      </c>
    </row>
    <row r="418" spans="1:52">
      <c r="A418" s="1" t="s">
        <v>285</v>
      </c>
      <c r="J418" s="36">
        <f t="shared" ref="J418:X418" si="1155">J217</f>
        <v>694412</v>
      </c>
      <c r="K418" s="36">
        <f t="shared" si="1155"/>
        <v>787202</v>
      </c>
      <c r="L418" s="36">
        <f t="shared" si="1155"/>
        <v>983105</v>
      </c>
      <c r="M418" s="36">
        <f t="shared" si="1155"/>
        <v>983105</v>
      </c>
      <c r="N418" s="36">
        <f t="shared" si="1155"/>
        <v>919624</v>
      </c>
      <c r="O418" s="36">
        <f t="shared" si="1155"/>
        <v>1567719</v>
      </c>
      <c r="P418" s="36">
        <f t="shared" si="1155"/>
        <v>2716424</v>
      </c>
      <c r="Q418" s="36">
        <f t="shared" si="1155"/>
        <v>2978664</v>
      </c>
      <c r="R418" s="36">
        <f t="shared" si="1155"/>
        <v>2978664</v>
      </c>
      <c r="S418" s="36">
        <f t="shared" si="1155"/>
        <v>3610973</v>
      </c>
      <c r="T418" s="36">
        <f t="shared" si="1155"/>
        <v>2911841</v>
      </c>
      <c r="U418" s="36">
        <f t="shared" si="1155"/>
        <v>3244220</v>
      </c>
      <c r="V418" s="36">
        <f t="shared" si="1155"/>
        <v>2307813</v>
      </c>
      <c r="W418" s="36">
        <f t="shared" si="1155"/>
        <v>2307813</v>
      </c>
      <c r="X418" s="146">
        <f t="shared" si="1155"/>
        <v>1805602</v>
      </c>
    </row>
    <row r="419" spans="1:52">
      <c r="J419" s="25" t="s">
        <v>372</v>
      </c>
      <c r="X419" s="144" t="s">
        <v>526</v>
      </c>
      <c r="Y419" s="46"/>
      <c r="Z419" s="46"/>
      <c r="AA419" s="46"/>
      <c r="AB419" s="46"/>
      <c r="AC419" s="46"/>
      <c r="AD419" s="46"/>
    </row>
    <row r="420" spans="1:52">
      <c r="A420" s="1" t="s">
        <v>181</v>
      </c>
      <c r="J420" s="21">
        <f t="shared" ref="J420:S420" si="1156">J418/(J418+J403)</f>
        <v>0.58234762087965752</v>
      </c>
      <c r="K420" s="21">
        <f t="shared" si="1156"/>
        <v>0.49981934251332344</v>
      </c>
      <c r="L420" s="21">
        <f t="shared" si="1156"/>
        <v>0.58879887482492532</v>
      </c>
      <c r="M420" s="21">
        <f t="shared" si="1156"/>
        <v>0.58879887482492532</v>
      </c>
      <c r="N420" s="21">
        <f t="shared" si="1156"/>
        <v>0.56169490088624463</v>
      </c>
      <c r="O420" s="21">
        <f t="shared" si="1156"/>
        <v>0.65235590385064024</v>
      </c>
      <c r="P420" s="21">
        <f t="shared" si="1156"/>
        <v>0.6318145039876033</v>
      </c>
      <c r="Q420" s="21">
        <f t="shared" si="1156"/>
        <v>0.61447540593680317</v>
      </c>
      <c r="R420" s="21">
        <f t="shared" si="1156"/>
        <v>0.61447540593680317</v>
      </c>
      <c r="S420" s="21">
        <f t="shared" si="1156"/>
        <v>0.63091699905907705</v>
      </c>
      <c r="T420" s="21">
        <f t="shared" ref="T420:U420" si="1157">T418/(T418+T403)</f>
        <v>0.59775693421273424</v>
      </c>
      <c r="U420" s="21">
        <f t="shared" si="1157"/>
        <v>0.61469371905994186</v>
      </c>
      <c r="V420" s="21">
        <f t="shared" ref="V420:W420" si="1158">V418/(V418+V403)</f>
        <v>0.57546222736888719</v>
      </c>
      <c r="W420" s="21">
        <f t="shared" si="1158"/>
        <v>0.57546222736888719</v>
      </c>
      <c r="X420" s="147">
        <f>X418/(X418+X403)</f>
        <v>0.45642793183198976</v>
      </c>
    </row>
    <row r="421" spans="1:52">
      <c r="A421" s="1" t="s">
        <v>182</v>
      </c>
      <c r="J421" s="21">
        <f t="shared" ref="J421:S421" si="1159">J403/(J418+J403)</f>
        <v>0.41765237912034237</v>
      </c>
      <c r="K421" s="21">
        <f t="shared" si="1159"/>
        <v>0.50018065748667662</v>
      </c>
      <c r="L421" s="21">
        <f t="shared" si="1159"/>
        <v>0.41120112517507462</v>
      </c>
      <c r="M421" s="21">
        <f t="shared" si="1159"/>
        <v>0.41120112517507462</v>
      </c>
      <c r="N421" s="21">
        <f t="shared" si="1159"/>
        <v>0.43830509911375543</v>
      </c>
      <c r="O421" s="21">
        <f t="shared" si="1159"/>
        <v>0.34764409614935987</v>
      </c>
      <c r="P421" s="21">
        <f t="shared" si="1159"/>
        <v>0.36818549601239664</v>
      </c>
      <c r="Q421" s="21">
        <f t="shared" si="1159"/>
        <v>0.38552459406319683</v>
      </c>
      <c r="R421" s="21">
        <f t="shared" si="1159"/>
        <v>0.38552459406319683</v>
      </c>
      <c r="S421" s="21">
        <f t="shared" si="1159"/>
        <v>0.36908300094092289</v>
      </c>
      <c r="T421" s="21">
        <f t="shared" ref="T421:U421" si="1160">T403/(T418+T403)</f>
        <v>0.40224306578726565</v>
      </c>
      <c r="U421" s="21">
        <f t="shared" si="1160"/>
        <v>0.38530628094005814</v>
      </c>
      <c r="V421" s="21">
        <f t="shared" ref="V421:W421" si="1161">V403/(V418+V403)</f>
        <v>0.42453777263111281</v>
      </c>
      <c r="W421" s="21">
        <f t="shared" si="1161"/>
        <v>0.42453777263111281</v>
      </c>
      <c r="X421" s="147">
        <f>X403/(X418+X403)</f>
        <v>0.54357206816801018</v>
      </c>
    </row>
    <row r="423" spans="1:52" s="46" customFormat="1">
      <c r="A423" s="47" t="s">
        <v>177</v>
      </c>
      <c r="I423" s="144"/>
      <c r="T423" s="144"/>
      <c r="AJ423" s="171"/>
    </row>
    <row r="425" spans="1:52">
      <c r="A425" s="5" t="s">
        <v>205</v>
      </c>
      <c r="AD425" s="136">
        <v>0</v>
      </c>
      <c r="AE425" s="36">
        <f>AD430</f>
        <v>164469</v>
      </c>
      <c r="AF425" s="36">
        <f>AE430</f>
        <v>319178</v>
      </c>
      <c r="AG425" s="136">
        <v>0</v>
      </c>
      <c r="AH425" s="36">
        <f>AG430</f>
        <v>270081</v>
      </c>
      <c r="AI425" s="36">
        <f>AH430</f>
        <v>93244</v>
      </c>
      <c r="AJ425" s="36">
        <f>AI430</f>
        <v>0</v>
      </c>
      <c r="AK425" s="36">
        <f>AJ430</f>
        <v>0</v>
      </c>
      <c r="AL425" s="36">
        <f>AG430</f>
        <v>270081</v>
      </c>
      <c r="AM425" s="36">
        <f>AL430</f>
        <v>0</v>
      </c>
      <c r="AN425" s="36">
        <f>AM430</f>
        <v>0</v>
      </c>
      <c r="AO425" s="36">
        <f>AN430</f>
        <v>0</v>
      </c>
      <c r="AP425" s="36">
        <f>AO430</f>
        <v>0</v>
      </c>
      <c r="AQ425" s="36">
        <f>AL430</f>
        <v>0</v>
      </c>
      <c r="AR425" s="36">
        <f>AQ430</f>
        <v>0</v>
      </c>
      <c r="AS425" s="36">
        <f>AR430</f>
        <v>0</v>
      </c>
      <c r="AT425" s="36">
        <f>AS430</f>
        <v>0</v>
      </c>
      <c r="AU425" s="36">
        <f>AT430</f>
        <v>0</v>
      </c>
      <c r="AV425" s="36">
        <f>AQ430</f>
        <v>0</v>
      </c>
      <c r="AW425" s="36">
        <f>AV430</f>
        <v>0</v>
      </c>
      <c r="AX425" s="36">
        <f>AW430</f>
        <v>0</v>
      </c>
      <c r="AY425" s="36">
        <f>AX430</f>
        <v>0</v>
      </c>
    </row>
    <row r="426" spans="1:52">
      <c r="A426" s="5" t="s">
        <v>619</v>
      </c>
      <c r="AD426" s="136">
        <v>180338</v>
      </c>
      <c r="AE426" s="136">
        <f>325292-AD426</f>
        <v>144954</v>
      </c>
      <c r="AF426" s="36">
        <f>AG426-SUM(AC426:AE426)</f>
        <v>0</v>
      </c>
      <c r="AG426" s="136">
        <v>325292</v>
      </c>
      <c r="AH426" s="136">
        <v>0</v>
      </c>
      <c r="AI426" s="136">
        <v>0</v>
      </c>
      <c r="AJ426" s="136">
        <v>0</v>
      </c>
      <c r="AK426" s="36">
        <f>AL426-SUM(AH426:AJ426)</f>
        <v>0</v>
      </c>
      <c r="AL426" s="136">
        <v>0</v>
      </c>
      <c r="AM426" s="136">
        <v>0</v>
      </c>
      <c r="AN426" s="136">
        <v>0</v>
      </c>
      <c r="AO426" s="136">
        <v>0</v>
      </c>
      <c r="AP426" s="36">
        <f>AQ426-SUM(AM426:AO426)</f>
        <v>0</v>
      </c>
      <c r="AQ426" s="136">
        <v>0</v>
      </c>
      <c r="AR426" s="136">
        <v>0</v>
      </c>
      <c r="AS426" s="136">
        <v>0</v>
      </c>
      <c r="AT426" s="136">
        <v>0</v>
      </c>
      <c r="AU426" s="36">
        <f>AV426-SUM(AR426:AT426)</f>
        <v>0</v>
      </c>
      <c r="AV426" s="136">
        <v>0</v>
      </c>
      <c r="AW426" s="136">
        <v>0</v>
      </c>
      <c r="AX426" s="136">
        <v>0</v>
      </c>
      <c r="AY426" s="136">
        <v>0</v>
      </c>
    </row>
    <row r="427" spans="1:52">
      <c r="A427" s="5" t="s">
        <v>620</v>
      </c>
      <c r="AD427" s="136">
        <v>1104</v>
      </c>
      <c r="AE427" s="136">
        <f>4450-AD427</f>
        <v>3346</v>
      </c>
      <c r="AF427" s="36">
        <f>AG427-SUM(AC427:AE427)</f>
        <v>-66542</v>
      </c>
      <c r="AG427" s="136">
        <v>-62092</v>
      </c>
      <c r="AH427" s="136">
        <v>-196724</v>
      </c>
      <c r="AI427" s="136">
        <f>-291332-AH427</f>
        <v>-94608</v>
      </c>
      <c r="AJ427" s="136">
        <f>-291332-AI427-AH427</f>
        <v>0</v>
      </c>
      <c r="AK427" s="36">
        <f>AL427-SUM(AH427:AJ427)</f>
        <v>0</v>
      </c>
      <c r="AL427" s="136">
        <v>-291332</v>
      </c>
      <c r="AM427" s="136">
        <v>0</v>
      </c>
      <c r="AN427" s="136">
        <v>0</v>
      </c>
      <c r="AO427" s="136">
        <v>0</v>
      </c>
      <c r="AP427" s="36">
        <f>AQ427-SUM(AM427:AO427)</f>
        <v>0</v>
      </c>
      <c r="AQ427" s="136">
        <v>0</v>
      </c>
      <c r="AR427" s="136">
        <v>0</v>
      </c>
      <c r="AS427" s="136">
        <v>0</v>
      </c>
      <c r="AT427" s="136">
        <v>0</v>
      </c>
      <c r="AU427" s="36">
        <f>AV427-SUM(AR427:AT427)</f>
        <v>0</v>
      </c>
      <c r="AV427" s="136">
        <v>0</v>
      </c>
      <c r="AW427" s="136">
        <v>0</v>
      </c>
      <c r="AX427" s="136">
        <v>0</v>
      </c>
      <c r="AY427" s="136">
        <v>0</v>
      </c>
    </row>
    <row r="428" spans="1:52">
      <c r="A428" s="5" t="s">
        <v>621</v>
      </c>
      <c r="AD428" s="136">
        <v>-19104</v>
      </c>
      <c r="AE428" s="136">
        <f>-19104-AD428</f>
        <v>0</v>
      </c>
      <c r="AF428" s="36">
        <f>AG428-SUM(AC428:AE428)</f>
        <v>0</v>
      </c>
      <c r="AG428" s="136">
        <v>-19104</v>
      </c>
      <c r="AH428" s="136">
        <v>0</v>
      </c>
      <c r="AI428" s="136">
        <v>0</v>
      </c>
      <c r="AJ428" s="136">
        <v>0</v>
      </c>
      <c r="AK428" s="36">
        <f>AL428-SUM(AH428:AJ428)</f>
        <v>0</v>
      </c>
      <c r="AL428" s="136">
        <v>0</v>
      </c>
      <c r="AM428" s="136">
        <v>0</v>
      </c>
      <c r="AN428" s="136">
        <v>0</v>
      </c>
      <c r="AO428" s="136">
        <v>0</v>
      </c>
      <c r="AP428" s="36">
        <f>AQ428-SUM(AM428:AO428)</f>
        <v>0</v>
      </c>
      <c r="AQ428" s="136">
        <v>0</v>
      </c>
      <c r="AR428" s="136">
        <v>0</v>
      </c>
      <c r="AS428" s="136">
        <v>0</v>
      </c>
      <c r="AT428" s="136">
        <v>0</v>
      </c>
      <c r="AU428" s="36">
        <f>AV428-SUM(AR428:AT428)</f>
        <v>0</v>
      </c>
      <c r="AV428" s="136">
        <v>0</v>
      </c>
      <c r="AW428" s="136">
        <v>0</v>
      </c>
      <c r="AX428" s="136">
        <v>0</v>
      </c>
      <c r="AY428" s="136">
        <v>0</v>
      </c>
    </row>
    <row r="429" spans="1:52">
      <c r="A429" s="5" t="s">
        <v>213</v>
      </c>
      <c r="AD429" s="136">
        <v>2131</v>
      </c>
      <c r="AE429" s="136">
        <f>8540-AD429</f>
        <v>6409</v>
      </c>
      <c r="AF429" s="36">
        <f>AG429-SUM(AC429:AE429)</f>
        <v>17445</v>
      </c>
      <c r="AG429" s="136">
        <v>25985</v>
      </c>
      <c r="AH429" s="136">
        <v>19887</v>
      </c>
      <c r="AI429" s="136">
        <f>21251-AH429</f>
        <v>1364</v>
      </c>
      <c r="AJ429" s="136">
        <f>21251-AI429-AH429</f>
        <v>0</v>
      </c>
      <c r="AK429" s="36">
        <f>AL429-SUM(AH429:AJ429)</f>
        <v>0</v>
      </c>
      <c r="AL429" s="136">
        <v>21251</v>
      </c>
      <c r="AM429" s="136">
        <v>0</v>
      </c>
      <c r="AN429" s="136">
        <v>0</v>
      </c>
      <c r="AO429" s="136">
        <v>0</v>
      </c>
      <c r="AP429" s="36">
        <f>AQ429-SUM(AM429:AO429)</f>
        <v>0</v>
      </c>
      <c r="AQ429" s="136">
        <v>0</v>
      </c>
      <c r="AR429" s="136">
        <v>0</v>
      </c>
      <c r="AS429" s="136">
        <v>0</v>
      </c>
      <c r="AT429" s="136">
        <v>0</v>
      </c>
      <c r="AU429" s="36">
        <f>AV429-SUM(AR429:AT429)</f>
        <v>0</v>
      </c>
      <c r="AV429" s="136">
        <v>0</v>
      </c>
      <c r="AW429" s="136">
        <v>0</v>
      </c>
      <c r="AX429" s="136">
        <v>0</v>
      </c>
      <c r="AY429" s="136">
        <v>0</v>
      </c>
    </row>
    <row r="430" spans="1:52">
      <c r="A430" s="9" t="s">
        <v>214</v>
      </c>
      <c r="B430" s="9"/>
      <c r="C430" s="9"/>
      <c r="D430" s="9"/>
      <c r="E430" s="9"/>
      <c r="F430" s="9"/>
      <c r="G430" s="9"/>
      <c r="H430" s="9"/>
      <c r="I430" s="39"/>
      <c r="J430" s="39"/>
      <c r="K430" s="39"/>
      <c r="L430" s="39"/>
      <c r="M430" s="39"/>
      <c r="N430" s="39"/>
      <c r="O430" s="39"/>
      <c r="P430" s="39"/>
      <c r="Q430" s="39"/>
      <c r="R430" s="39"/>
      <c r="S430" s="39"/>
      <c r="T430" s="39"/>
      <c r="U430" s="39"/>
      <c r="V430" s="39"/>
      <c r="W430" s="39"/>
      <c r="X430" s="39"/>
      <c r="Y430" s="39"/>
      <c r="Z430" s="39"/>
      <c r="AA430" s="39"/>
      <c r="AB430" s="39"/>
      <c r="AC430" s="39"/>
      <c r="AD430" s="39">
        <f t="shared" ref="AD430:AO430" si="1162">SUM(AD425:AD427)+SUM(AD428:AD429)</f>
        <v>164469</v>
      </c>
      <c r="AE430" s="39">
        <f t="shared" si="1162"/>
        <v>319178</v>
      </c>
      <c r="AF430" s="39">
        <f t="shared" si="1162"/>
        <v>270081</v>
      </c>
      <c r="AG430" s="39">
        <f t="shared" si="1162"/>
        <v>270081</v>
      </c>
      <c r="AH430" s="39">
        <f t="shared" si="1162"/>
        <v>93244</v>
      </c>
      <c r="AI430" s="39">
        <f t="shared" si="1162"/>
        <v>0</v>
      </c>
      <c r="AJ430" s="39">
        <f t="shared" si="1162"/>
        <v>0</v>
      </c>
      <c r="AK430" s="39">
        <f t="shared" si="1162"/>
        <v>0</v>
      </c>
      <c r="AL430" s="39">
        <f t="shared" si="1162"/>
        <v>0</v>
      </c>
      <c r="AM430" s="39">
        <f t="shared" si="1162"/>
        <v>0</v>
      </c>
      <c r="AN430" s="39">
        <f t="shared" si="1162"/>
        <v>0</v>
      </c>
      <c r="AO430" s="39">
        <f t="shared" si="1162"/>
        <v>0</v>
      </c>
      <c r="AP430" s="39">
        <f t="shared" ref="AP430:AQ430" si="1163">SUM(AP425:AP427)+SUM(AP428:AP429)</f>
        <v>0</v>
      </c>
      <c r="AQ430" s="39">
        <f t="shared" si="1163"/>
        <v>0</v>
      </c>
      <c r="AR430" s="39">
        <f t="shared" ref="AR430" si="1164">SUM(AR425:AR427)+SUM(AR428:AR429)</f>
        <v>0</v>
      </c>
      <c r="AS430" s="39">
        <f t="shared" ref="AS430" si="1165">SUM(AS425:AS427)+SUM(AS428:AS429)</f>
        <v>0</v>
      </c>
      <c r="AT430" s="39">
        <f t="shared" ref="AT430" si="1166">SUM(AT425:AT427)+SUM(AT428:AT429)</f>
        <v>0</v>
      </c>
      <c r="AU430" s="39">
        <f t="shared" ref="AU430:AY430" si="1167">SUM(AU425:AU427)+SUM(AU428:AU429)</f>
        <v>0</v>
      </c>
      <c r="AV430" s="39">
        <f t="shared" si="1167"/>
        <v>0</v>
      </c>
      <c r="AW430" s="39">
        <f t="shared" si="1167"/>
        <v>0</v>
      </c>
      <c r="AX430" s="39">
        <f t="shared" si="1167"/>
        <v>0</v>
      </c>
      <c r="AY430" s="39">
        <f t="shared" si="1167"/>
        <v>0</v>
      </c>
      <c r="AZ430" s="25" t="s">
        <v>1335</v>
      </c>
    </row>
    <row r="431" spans="1:52">
      <c r="A431" s="1" t="s">
        <v>609</v>
      </c>
      <c r="AE431" s="136">
        <v>319178</v>
      </c>
      <c r="AF431" s="136">
        <v>270081</v>
      </c>
      <c r="AI431" s="136">
        <v>0</v>
      </c>
      <c r="AJ431" s="136">
        <v>0</v>
      </c>
      <c r="AK431" s="136">
        <v>0</v>
      </c>
      <c r="AM431" s="136">
        <v>0</v>
      </c>
      <c r="AN431" s="136">
        <v>0</v>
      </c>
      <c r="AO431" s="136">
        <v>0</v>
      </c>
      <c r="AP431" s="136">
        <v>0</v>
      </c>
      <c r="AR431" s="136">
        <v>0</v>
      </c>
      <c r="AS431" s="136">
        <v>0</v>
      </c>
      <c r="AT431" s="136">
        <v>0</v>
      </c>
      <c r="AU431" s="136">
        <v>0</v>
      </c>
      <c r="AW431" s="136">
        <v>0</v>
      </c>
      <c r="AX431" s="136">
        <v>0</v>
      </c>
      <c r="AY431" s="136">
        <v>0</v>
      </c>
    </row>
    <row r="432" spans="1:52">
      <c r="A432" s="1" t="s">
        <v>240</v>
      </c>
      <c r="AE432" s="36">
        <f>AE431-AE430</f>
        <v>0</v>
      </c>
      <c r="AF432" s="36">
        <f>AF431-AF430</f>
        <v>0</v>
      </c>
      <c r="AI432" s="36">
        <f>AI431-AI430</f>
        <v>0</v>
      </c>
      <c r="AJ432" s="36">
        <f>AJ431-AJ430</f>
        <v>0</v>
      </c>
      <c r="AK432" s="36">
        <f>AK431-AK430</f>
        <v>0</v>
      </c>
      <c r="AM432" s="36">
        <f>AM431-AM430</f>
        <v>0</v>
      </c>
      <c r="AN432" s="36">
        <f>AN431-AN430</f>
        <v>0</v>
      </c>
      <c r="AO432" s="36">
        <f>AO431-AO430</f>
        <v>0</v>
      </c>
      <c r="AP432" s="36">
        <f>AP431-AP430</f>
        <v>0</v>
      </c>
      <c r="AR432" s="36">
        <f>AR431-AR430</f>
        <v>0</v>
      </c>
      <c r="AS432" s="36">
        <f>AS431-AS430</f>
        <v>0</v>
      </c>
      <c r="AT432" s="36">
        <f>AT431-AT430</f>
        <v>0</v>
      </c>
      <c r="AU432" s="36">
        <f>AU431-AU430</f>
        <v>0</v>
      </c>
      <c r="AW432" s="36">
        <f>AW431-AW430</f>
        <v>0</v>
      </c>
      <c r="AX432" s="36">
        <f>AX431-AX430</f>
        <v>0</v>
      </c>
      <c r="AY432" s="36">
        <f>AY431-AY430</f>
        <v>0</v>
      </c>
    </row>
    <row r="434" spans="1:71" s="12" customFormat="1">
      <c r="A434" s="13" t="s">
        <v>171</v>
      </c>
    </row>
    <row r="436" spans="1:71" s="44" customFormat="1">
      <c r="A436" s="49" t="s">
        <v>176</v>
      </c>
      <c r="I436" s="53"/>
      <c r="T436" s="53"/>
      <c r="AJ436" s="52"/>
    </row>
    <row r="438" spans="1:71">
      <c r="A438" s="44" t="s">
        <v>269</v>
      </c>
      <c r="B438" s="44"/>
      <c r="C438" s="44"/>
      <c r="D438" s="44"/>
      <c r="E438" s="44"/>
      <c r="F438" s="44"/>
      <c r="G438" s="44"/>
      <c r="H438" s="44"/>
      <c r="I438" s="74">
        <v>7.0000000000000007E-2</v>
      </c>
      <c r="J438" s="25" t="s">
        <v>273</v>
      </c>
      <c r="M438" s="25"/>
      <c r="R438" s="42"/>
      <c r="W438" s="57"/>
    </row>
    <row r="439" spans="1:71">
      <c r="A439" s="44" t="s">
        <v>272</v>
      </c>
      <c r="B439" s="44"/>
      <c r="C439" s="44"/>
      <c r="D439" s="44"/>
      <c r="E439" s="44"/>
      <c r="F439" s="44"/>
      <c r="G439" s="44"/>
      <c r="H439" s="44"/>
      <c r="I439" s="77">
        <f>(1+I438)^(1/2)-1</f>
        <v>3.4408043278860045E-2</v>
      </c>
      <c r="M439" s="25"/>
      <c r="R439" s="42"/>
      <c r="W439" s="57"/>
    </row>
    <row r="440" spans="1:71">
      <c r="A440" s="44" t="s">
        <v>270</v>
      </c>
      <c r="B440" s="44"/>
      <c r="C440" s="44"/>
      <c r="D440" s="44"/>
      <c r="E440" s="44"/>
      <c r="F440" s="44"/>
      <c r="G440" s="44"/>
      <c r="H440" s="44"/>
      <c r="I440" s="77">
        <f>(1+I438)^(1/4)-1</f>
        <v>1.7058525001811375E-2</v>
      </c>
      <c r="M440" s="25"/>
      <c r="R440" s="42"/>
      <c r="W440" s="57"/>
    </row>
    <row r="441" spans="1:71">
      <c r="M441" s="25"/>
      <c r="R441" s="42"/>
      <c r="W441" s="57"/>
    </row>
    <row r="442" spans="1:71">
      <c r="A442" s="46" t="s">
        <v>294</v>
      </c>
      <c r="B442" s="46"/>
      <c r="C442" s="46"/>
      <c r="D442" s="46"/>
      <c r="E442" s="46"/>
      <c r="F442" s="46"/>
      <c r="G442" s="46"/>
      <c r="H442" s="46"/>
      <c r="I442" s="74">
        <v>0.08</v>
      </c>
      <c r="M442" s="25"/>
      <c r="R442" s="42"/>
      <c r="W442" s="57"/>
    </row>
    <row r="443" spans="1:71">
      <c r="A443" s="46" t="s">
        <v>295</v>
      </c>
      <c r="B443" s="46"/>
      <c r="C443" s="46"/>
      <c r="D443" s="46"/>
      <c r="E443" s="46"/>
      <c r="F443" s="46"/>
      <c r="G443" s="46"/>
      <c r="H443" s="46"/>
      <c r="I443" s="78">
        <f>(1+I442)^(1/2)-1</f>
        <v>3.9230484541326494E-2</v>
      </c>
      <c r="M443" s="25"/>
      <c r="R443" s="42"/>
      <c r="W443" s="57"/>
    </row>
    <row r="444" spans="1:71">
      <c r="A444" s="46" t="s">
        <v>296</v>
      </c>
      <c r="B444" s="46"/>
      <c r="C444" s="46"/>
      <c r="D444" s="46"/>
      <c r="E444" s="46"/>
      <c r="F444" s="46"/>
      <c r="G444" s="46"/>
      <c r="H444" s="46"/>
      <c r="I444" s="78">
        <f>(1+I442)^(1/4)-1</f>
        <v>1.9426546908273501E-2</v>
      </c>
      <c r="M444" s="25"/>
      <c r="R444" s="42"/>
      <c r="W444" s="57"/>
      <c r="AB444" s="98" t="s">
        <v>541</v>
      </c>
      <c r="AC444" s="72"/>
      <c r="AD444" s="72"/>
      <c r="AE444" s="72"/>
      <c r="AL444" s="98" t="s">
        <v>676</v>
      </c>
      <c r="AM444" s="71"/>
      <c r="AN444" s="71"/>
      <c r="AO444" s="71"/>
      <c r="AP444" s="71"/>
      <c r="AQ444" s="71"/>
      <c r="AR444" s="71"/>
      <c r="AS444" s="71"/>
      <c r="AT444" s="71"/>
      <c r="AU444" s="71"/>
      <c r="AV444" s="71"/>
    </row>
    <row r="445" spans="1:71">
      <c r="M445" s="25"/>
      <c r="R445" s="72" t="s">
        <v>265</v>
      </c>
      <c r="S445" s="71"/>
      <c r="T445" s="71"/>
      <c r="U445" s="71"/>
      <c r="W445" s="57" t="s">
        <v>226</v>
      </c>
      <c r="AG445" s="160" t="s">
        <v>617</v>
      </c>
      <c r="AH445" s="44"/>
      <c r="AI445" s="44"/>
      <c r="AJ445" s="44"/>
      <c r="AK445" s="44"/>
      <c r="AL445" s="44"/>
      <c r="AM445" s="44"/>
      <c r="AN445" s="44"/>
      <c r="AO445" s="44"/>
      <c r="AP445" s="44"/>
      <c r="AQ445" s="443"/>
    </row>
    <row r="446" spans="1:71">
      <c r="A446" s="5" t="s">
        <v>205</v>
      </c>
      <c r="I446" s="76">
        <v>0</v>
      </c>
      <c r="J446" s="65">
        <f>I459</f>
        <v>390.54744198548519</v>
      </c>
      <c r="K446" s="65">
        <f>J459</f>
        <v>10278.036015257696</v>
      </c>
      <c r="L446" s="65">
        <f>K459</f>
        <v>16556.115044247788</v>
      </c>
      <c r="M446" s="76">
        <v>0</v>
      </c>
      <c r="N446" s="65">
        <f>M459</f>
        <v>17363.318900602411</v>
      </c>
      <c r="O446" s="65">
        <f>N459</f>
        <v>18208.150895603401</v>
      </c>
      <c r="P446" s="65">
        <f>O459</f>
        <v>19175.46006868011</v>
      </c>
      <c r="Q446" s="65">
        <f>P459</f>
        <v>34162.288288288291</v>
      </c>
      <c r="R446" s="70">
        <v>16620.226999999999</v>
      </c>
      <c r="S446" s="65">
        <f>R459</f>
        <v>37273.312911073073</v>
      </c>
      <c r="T446" s="65">
        <f>S459</f>
        <v>41471.04555153539</v>
      </c>
      <c r="U446" s="65">
        <f>T459</f>
        <v>42374.722016308377</v>
      </c>
      <c r="V446" s="65">
        <f>U459</f>
        <v>43714.293537787511</v>
      </c>
      <c r="W446" s="37">
        <v>38013.093999999997</v>
      </c>
      <c r="X446" s="65">
        <f>W459</f>
        <v>42124.588808233028</v>
      </c>
      <c r="Y446" s="65">
        <f>X459</f>
        <v>48574.716911082236</v>
      </c>
      <c r="Z446" s="65">
        <f>Y459</f>
        <v>49573.922495274106</v>
      </c>
      <c r="AA446" s="65">
        <f>Z459</f>
        <v>52714.164251207731</v>
      </c>
      <c r="AB446" s="70">
        <v>41409.258000000002</v>
      </c>
      <c r="AC446" s="65">
        <f>AB459</f>
        <v>59631.388311805618</v>
      </c>
      <c r="AD446" s="65">
        <f>AC459</f>
        <v>58331.696509314526</v>
      </c>
      <c r="AE446" s="65">
        <f>AD459</f>
        <v>50832.684060042884</v>
      </c>
      <c r="AF446" s="65">
        <f>AE459</f>
        <v>50458.198574161019</v>
      </c>
      <c r="AG446" s="170">
        <f>AB459</f>
        <v>59631.388311805618</v>
      </c>
      <c r="AH446" s="65">
        <f>AG459</f>
        <v>43220.475529046489</v>
      </c>
      <c r="AI446" s="65">
        <f>AH459</f>
        <v>38133.911325724315</v>
      </c>
      <c r="AJ446" s="65">
        <f>AI459</f>
        <v>35397.693529452386</v>
      </c>
      <c r="AK446" s="65">
        <f>AJ459</f>
        <v>33821.612660135645</v>
      </c>
      <c r="AL446" s="70">
        <v>39614.722999999998</v>
      </c>
      <c r="AM446" s="65">
        <f>AL459</f>
        <v>33480.993035272972</v>
      </c>
      <c r="AN446" s="65">
        <f>AM459</f>
        <v>33069.687564659631</v>
      </c>
      <c r="AO446" s="65">
        <f>AN459</f>
        <v>33426.139858269817</v>
      </c>
      <c r="AP446" s="65">
        <f>AO459</f>
        <v>32770.196714376361</v>
      </c>
      <c r="AQ446" s="70">
        <v>29527.223999999998</v>
      </c>
      <c r="AR446" s="65">
        <f>AQ459</f>
        <v>30912.206129835045</v>
      </c>
      <c r="AS446" s="65">
        <f>AR459</f>
        <v>31287.620289315208</v>
      </c>
      <c r="AT446" s="65">
        <f>AS459</f>
        <v>28101.632452883066</v>
      </c>
      <c r="AU446" s="65">
        <f>AT459</f>
        <v>26878.758376533064</v>
      </c>
      <c r="AV446" s="36">
        <f>AQ459</f>
        <v>30912.206129835045</v>
      </c>
      <c r="AW446" s="65">
        <f>AV459</f>
        <v>24395.712948100583</v>
      </c>
      <c r="AX446" s="65">
        <f>AW459</f>
        <v>25136.965679165802</v>
      </c>
      <c r="AY446" s="65">
        <f>AX459</f>
        <v>25378.412144008598</v>
      </c>
      <c r="AZ446" s="65">
        <f>AY459</f>
        <v>23144.168369954012</v>
      </c>
      <c r="BA446" s="36">
        <f>AV459</f>
        <v>24395.712948100583</v>
      </c>
      <c r="BB446" s="65">
        <f>BA459</f>
        <v>22257.504643440578</v>
      </c>
      <c r="BC446" s="65">
        <f>BB459</f>
        <v>20529.168369954008</v>
      </c>
      <c r="BD446" s="65">
        <f>BC459</f>
        <v>18825.000233210725</v>
      </c>
      <c r="BE446" s="65">
        <f>BD459</f>
        <v>17109.168369954008</v>
      </c>
      <c r="BF446" s="36">
        <f>BA459</f>
        <v>22257.504643440578</v>
      </c>
      <c r="BG446" s="65">
        <f>BF459</f>
        <v>15418.752438325651</v>
      </c>
      <c r="BH446" s="65">
        <f>BG459</f>
        <v>14104.168369954008</v>
      </c>
      <c r="BI446" s="65">
        <f>BH459</f>
        <v>12759.376335768187</v>
      </c>
      <c r="BJ446" s="65">
        <f>BI459</f>
        <v>11379.168369954008</v>
      </c>
      <c r="BK446" s="36">
        <f>BF459</f>
        <v>15418.752438325651</v>
      </c>
      <c r="BL446" s="65">
        <f>BK459</f>
        <v>9260.165315987244</v>
      </c>
      <c r="BM446" s="65">
        <f>BL459</f>
        <v>8000.165315987244</v>
      </c>
      <c r="BN446" s="65">
        <f>BM459</f>
        <v>6720.165315987244</v>
      </c>
      <c r="BO446" s="65">
        <f>BN459</f>
        <v>5420.165315987244</v>
      </c>
      <c r="BP446" s="36">
        <f>BK459</f>
        <v>9260.165315987244</v>
      </c>
      <c r="BQ446" s="65">
        <f>BP459</f>
        <v>4100.165315987244</v>
      </c>
      <c r="BR446" s="65">
        <f>BQ459</f>
        <v>2760.165315987244</v>
      </c>
      <c r="BS446" s="65">
        <f>BR459</f>
        <v>1385.165315987244</v>
      </c>
    </row>
    <row r="447" spans="1:71">
      <c r="A447" s="5" t="s">
        <v>206</v>
      </c>
      <c r="I447" s="38"/>
      <c r="J447" s="38">
        <f t="shared" ref="J447:L450" si="1168">J372/J$102</f>
        <v>9586.1285688633507</v>
      </c>
      <c r="K447" s="38">
        <f t="shared" si="1168"/>
        <v>6188.5843533794578</v>
      </c>
      <c r="L447" s="38">
        <f t="shared" si="1168"/>
        <v>1853.8079926504365</v>
      </c>
      <c r="M447" s="36">
        <f t="shared" ref="M447:M454" si="1169">SUM(I447:L447)</f>
        <v>17628.520914893244</v>
      </c>
      <c r="N447" s="38">
        <f t="shared" ref="N447:Q454" si="1170">N372/N$102</f>
        <v>1657.7315794315152</v>
      </c>
      <c r="O447" s="38">
        <f t="shared" si="1170"/>
        <v>1918.2608695652175</v>
      </c>
      <c r="P447" s="38">
        <f t="shared" si="1170"/>
        <v>13278.560666489409</v>
      </c>
      <c r="Q447" s="38">
        <f t="shared" si="1170"/>
        <v>2184.2114792685138</v>
      </c>
      <c r="R447" s="37">
        <v>19224.092000000001</v>
      </c>
      <c r="S447" s="38">
        <f t="shared" ref="S447:V454" si="1171">S372/S$102</f>
        <v>3142.4727272727273</v>
      </c>
      <c r="T447" s="38">
        <f t="shared" si="1171"/>
        <v>9386.0909935004638</v>
      </c>
      <c r="U447" s="38">
        <f t="shared" si="1171"/>
        <v>2077.9684345751512</v>
      </c>
      <c r="V447" s="38">
        <f t="shared" si="1171"/>
        <v>2386.4585240798388</v>
      </c>
      <c r="W447" s="37">
        <v>16940.733</v>
      </c>
      <c r="X447" s="38">
        <f t="shared" ref="X447:AA450" si="1172">X372/X$102</f>
        <v>7097.2712084648228</v>
      </c>
      <c r="Y447" s="38">
        <f t="shared" si="1172"/>
        <v>0</v>
      </c>
      <c r="Z447" s="38">
        <f t="shared" si="1172"/>
        <v>96.371469602680705</v>
      </c>
      <c r="AA447" s="38">
        <f t="shared" si="1172"/>
        <v>1925.2635542168675</v>
      </c>
      <c r="AB447" s="37">
        <v>8845.3259999999991</v>
      </c>
      <c r="AC447" s="38">
        <f t="shared" ref="AC447:AF450" si="1173">AC372/AC$102</f>
        <v>633.5181818181818</v>
      </c>
      <c r="AD447" s="38">
        <f t="shared" si="1173"/>
        <v>118.7743278718204</v>
      </c>
      <c r="AE447" s="38">
        <f t="shared" si="1173"/>
        <v>494.43661971830988</v>
      </c>
      <c r="AF447" s="38">
        <f t="shared" si="1173"/>
        <v>1185.7216054654143</v>
      </c>
      <c r="AG447" s="170">
        <f>SUM(AC447:AF447)</f>
        <v>2432.4507348737261</v>
      </c>
      <c r="AH447" s="38">
        <f t="shared" ref="AH447" si="1174">AH372/AH$102</f>
        <v>59.764414135151895</v>
      </c>
      <c r="AI447" s="38">
        <f t="shared" ref="AI447:AJ447" si="1175">AI372/AI$102</f>
        <v>0</v>
      </c>
      <c r="AJ447" s="38">
        <f t="shared" si="1175"/>
        <v>71.868801360158685</v>
      </c>
      <c r="AK447" s="38">
        <f t="shared" ref="AK447" si="1176">AK372/AK$102</f>
        <v>0</v>
      </c>
      <c r="AL447" s="37">
        <v>133.72999999999999</v>
      </c>
      <c r="AM447" s="38">
        <f t="shared" ref="AM447:AN450" si="1177">AM372/AM$102</f>
        <v>0</v>
      </c>
      <c r="AN447" s="38">
        <f t="shared" si="1177"/>
        <v>0</v>
      </c>
      <c r="AO447" s="38">
        <f t="shared" ref="AO447:AP450" si="1178">AO372/AO$102</f>
        <v>0</v>
      </c>
      <c r="AP447" s="38">
        <f t="shared" si="1178"/>
        <v>0</v>
      </c>
      <c r="AQ447" s="37">
        <v>0</v>
      </c>
      <c r="AR447" s="38">
        <f t="shared" ref="AR447:AU450" si="1179">AR372/AR$102</f>
        <v>0</v>
      </c>
      <c r="AS447" s="38">
        <f t="shared" si="1179"/>
        <v>0</v>
      </c>
      <c r="AT447" s="38">
        <f t="shared" si="1179"/>
        <v>0</v>
      </c>
      <c r="AU447" s="38">
        <f t="shared" si="1179"/>
        <v>0</v>
      </c>
      <c r="AV447" s="59">
        <f>SUM(AR447:AU447)</f>
        <v>0</v>
      </c>
      <c r="AW447" s="38">
        <f t="shared" ref="AW447:AY447" si="1180">AW372/AW$102</f>
        <v>0</v>
      </c>
      <c r="AX447" s="38">
        <f t="shared" si="1180"/>
        <v>0</v>
      </c>
      <c r="AY447" s="38">
        <f t="shared" si="1180"/>
        <v>0</v>
      </c>
      <c r="AZ447" s="59">
        <f>AZ465+AZ504</f>
        <v>0</v>
      </c>
      <c r="BA447" s="59">
        <f>SUM(AW447:AZ447)</f>
        <v>0</v>
      </c>
      <c r="BB447" s="59">
        <f>BB465+BB504</f>
        <v>0</v>
      </c>
      <c r="BC447" s="59">
        <f>BC465+BC504</f>
        <v>0</v>
      </c>
      <c r="BD447" s="59">
        <f>BD465+BD504</f>
        <v>0</v>
      </c>
      <c r="BE447" s="59">
        <f>BE465+BE504</f>
        <v>0</v>
      </c>
      <c r="BF447" s="59">
        <f>SUM(BB447:BE447)</f>
        <v>0</v>
      </c>
      <c r="BG447" s="59">
        <f>BG465+BG504</f>
        <v>0</v>
      </c>
      <c r="BH447" s="59">
        <f>BH465+BH504</f>
        <v>0</v>
      </c>
      <c r="BI447" s="59">
        <f>BI465+BI504</f>
        <v>0</v>
      </c>
      <c r="BJ447" s="59">
        <f>BJ465+BJ504</f>
        <v>0</v>
      </c>
      <c r="BK447" s="59">
        <f>SUM(BG447:BJ447)</f>
        <v>0</v>
      </c>
      <c r="BL447" s="59">
        <f>BL465+BL504</f>
        <v>0</v>
      </c>
      <c r="BM447" s="59">
        <f>BM465+BM504</f>
        <v>0</v>
      </c>
      <c r="BN447" s="59">
        <f>BN465+BN504</f>
        <v>0</v>
      </c>
      <c r="BO447" s="59">
        <f>BO465+BO504</f>
        <v>0</v>
      </c>
      <c r="BP447" s="59">
        <f>SUM(BL447:BO447)</f>
        <v>0</v>
      </c>
      <c r="BQ447" s="59">
        <f>BQ465+BQ504</f>
        <v>0</v>
      </c>
      <c r="BR447" s="59">
        <f>BR465+BR504</f>
        <v>0</v>
      </c>
      <c r="BS447" s="59">
        <f>BS465+BS504</f>
        <v>0</v>
      </c>
    </row>
    <row r="448" spans="1:71">
      <c r="A448" s="5" t="s">
        <v>207</v>
      </c>
      <c r="I448" s="38">
        <f>I373/I$102</f>
        <v>390.54744198548519</v>
      </c>
      <c r="J448" s="38">
        <f t="shared" si="1168"/>
        <v>301.38265397737479</v>
      </c>
      <c r="K448" s="38">
        <f t="shared" si="1168"/>
        <v>275.02217491573532</v>
      </c>
      <c r="L448" s="38">
        <f t="shared" si="1168"/>
        <v>479.73357831878735</v>
      </c>
      <c r="M448" s="36">
        <f t="shared" si="1169"/>
        <v>1446.6858491973826</v>
      </c>
      <c r="N448" s="38">
        <f t="shared" si="1170"/>
        <v>670.4902952810229</v>
      </c>
      <c r="O448" s="38">
        <f t="shared" si="1170"/>
        <v>1137.319587628866</v>
      </c>
      <c r="P448" s="38">
        <f t="shared" si="1170"/>
        <v>2249.1535939023311</v>
      </c>
      <c r="Q448" s="38">
        <f t="shared" si="1170"/>
        <v>1200.6427666123484</v>
      </c>
      <c r="R448" s="38">
        <f>SUM(R449:R450)</f>
        <v>5281.1240000000007</v>
      </c>
      <c r="S448" s="38">
        <f t="shared" si="1171"/>
        <v>1677.1636363636364</v>
      </c>
      <c r="T448" s="38">
        <f t="shared" si="1171"/>
        <v>-3391.4856081708449</v>
      </c>
      <c r="U448" s="38">
        <f t="shared" si="1171"/>
        <v>-84.694439346669114</v>
      </c>
      <c r="V448" s="38">
        <f t="shared" si="1171"/>
        <v>-3213.0104376487825</v>
      </c>
      <c r="W448" s="38">
        <f>SUM(W449:W450)</f>
        <v>-4970.4129999999996</v>
      </c>
      <c r="X448" s="38">
        <f t="shared" si="1172"/>
        <v>1370.3638388713571</v>
      </c>
      <c r="Y448" s="38">
        <f t="shared" si="1172"/>
        <v>2926.8417075935022</v>
      </c>
      <c r="Z448" s="38">
        <f t="shared" si="1172"/>
        <v>4779.3106749640974</v>
      </c>
      <c r="AA448" s="38">
        <f t="shared" si="1172"/>
        <v>12139.316641566265</v>
      </c>
      <c r="AB448" s="38">
        <f>SUM(AB449:AB450)</f>
        <v>20291.004000000001</v>
      </c>
      <c r="AC448" s="38">
        <f t="shared" si="1173"/>
        <v>1219.0272727272727</v>
      </c>
      <c r="AD448" s="38">
        <f t="shared" si="1173"/>
        <v>-2990.6399927582152</v>
      </c>
      <c r="AE448" s="38">
        <f t="shared" si="1173"/>
        <v>170.61619718309859</v>
      </c>
      <c r="AF448" s="38">
        <f t="shared" si="1173"/>
        <v>-6265.4227156276693</v>
      </c>
      <c r="AG448" s="170">
        <f>SUM(AC448:AF448)</f>
        <v>-7866.4192384755133</v>
      </c>
      <c r="AH448" s="38">
        <f t="shared" ref="AH448" si="1181">AH373/AH$102</f>
        <v>-3168.1494110353383</v>
      </c>
      <c r="AI448" s="38">
        <f t="shared" ref="AI448:AJ448" si="1182">AI373/AI$102</f>
        <v>-2069.3394865878281</v>
      </c>
      <c r="AJ448" s="38">
        <f t="shared" si="1182"/>
        <v>-813.01360158685179</v>
      </c>
      <c r="AK448" s="38">
        <f t="shared" ref="AK448" si="1183">AK373/AK$102</f>
        <v>249.46720696383014</v>
      </c>
      <c r="AL448" s="38">
        <f>SUM(AL449:AL450)</f>
        <v>-5821.2759999999998</v>
      </c>
      <c r="AM448" s="38">
        <f t="shared" si="1177"/>
        <v>443.74773731083917</v>
      </c>
      <c r="AN448" s="38">
        <f t="shared" si="1177"/>
        <v>1194.458195819582</v>
      </c>
      <c r="AO448" s="38">
        <f t="shared" ref="AO448" si="1184">AO373/AO$102</f>
        <v>1050.8979591836735</v>
      </c>
      <c r="AP448" s="38">
        <f t="shared" si="1178"/>
        <v>121.07932643538243</v>
      </c>
      <c r="AQ448" s="38">
        <f>SUM(AQ449:AQ450)</f>
        <v>2690.6680000000001</v>
      </c>
      <c r="AR448" s="38">
        <f t="shared" ref="AR448:AS448" si="1185">AR373/AR$102</f>
        <v>1345.0776209033413</v>
      </c>
      <c r="AS448" s="38">
        <f t="shared" si="1185"/>
        <v>1427.0996938639692</v>
      </c>
      <c r="AT448" s="38">
        <f t="shared" si="1179"/>
        <v>-390.7216494845361</v>
      </c>
      <c r="AU448" s="38">
        <f t="shared" si="1179"/>
        <v>883.47172278522396</v>
      </c>
      <c r="AV448" s="36">
        <f>SUM(AR448:AU448)</f>
        <v>3264.927388067998</v>
      </c>
      <c r="AW448" s="38">
        <f t="shared" ref="AW448:AY448" si="1186">AW373/AW$102</f>
        <v>1586.5624354294373</v>
      </c>
      <c r="AX448" s="38">
        <f t="shared" si="1186"/>
        <v>2609.1999999999998</v>
      </c>
      <c r="AY448" s="38">
        <f t="shared" si="1186"/>
        <v>-1725.7725266164634</v>
      </c>
      <c r="AZ448" s="38">
        <f>SUM(AZ449:AZ450)</f>
        <v>-845</v>
      </c>
      <c r="BA448" s="36">
        <f>SUM(AW448:AZ448)</f>
        <v>1624.9899088129732</v>
      </c>
      <c r="BB448" s="38">
        <f>SUM(BB449:BB450)</f>
        <v>200</v>
      </c>
      <c r="BC448" s="38">
        <f>SUM(BC449:BC450)</f>
        <v>185</v>
      </c>
      <c r="BD448" s="38">
        <f>SUM(BD449:BD450)</f>
        <v>170</v>
      </c>
      <c r="BE448" s="38">
        <f>SUM(BE449:BE450)</f>
        <v>155</v>
      </c>
      <c r="BF448" s="36">
        <f>SUM(BB448:BE448)</f>
        <v>710</v>
      </c>
      <c r="BG448" s="38">
        <f>SUM(BG449:BG450)</f>
        <v>140</v>
      </c>
      <c r="BH448" s="38">
        <f>SUM(BH449:BH450)</f>
        <v>130</v>
      </c>
      <c r="BI448" s="38">
        <f>SUM(BI449:BI450)</f>
        <v>115</v>
      </c>
      <c r="BJ448" s="38">
        <f>SUM(BJ449:BJ450)</f>
        <v>105</v>
      </c>
      <c r="BK448" s="36">
        <f>SUM(BG448:BJ448)</f>
        <v>490</v>
      </c>
      <c r="BL448" s="38">
        <f>SUM(BL449:BL450)</f>
        <v>75</v>
      </c>
      <c r="BM448" s="38">
        <f>SUM(BM449:BM450)</f>
        <v>65</v>
      </c>
      <c r="BN448" s="38">
        <f>SUM(BN449:BN450)</f>
        <v>55</v>
      </c>
      <c r="BO448" s="38">
        <f>SUM(BO449:BO450)</f>
        <v>45</v>
      </c>
      <c r="BP448" s="36">
        <f>SUM(BL448:BO448)</f>
        <v>240</v>
      </c>
      <c r="BQ448" s="38">
        <f>SUM(BQ449:BQ450)</f>
        <v>35</v>
      </c>
      <c r="BR448" s="38">
        <f>SUM(BR449:BR450)</f>
        <v>20</v>
      </c>
      <c r="BS448" s="38">
        <f>SUM(BS449:BS450)</f>
        <v>10</v>
      </c>
    </row>
    <row r="449" spans="1:71">
      <c r="A449" s="34" t="s">
        <v>208</v>
      </c>
      <c r="I449" s="38"/>
      <c r="J449" s="38">
        <f t="shared" si="1168"/>
        <v>50.161108546789499</v>
      </c>
      <c r="K449" s="38">
        <f t="shared" si="1168"/>
        <v>132.3402262909546</v>
      </c>
      <c r="L449" s="38">
        <f t="shared" si="1168"/>
        <v>179.43465040012887</v>
      </c>
      <c r="M449" s="36">
        <f t="shared" si="1169"/>
        <v>361.93598523787296</v>
      </c>
      <c r="N449" s="38">
        <f t="shared" si="1170"/>
        <v>179.12795510992549</v>
      </c>
      <c r="O449" s="38">
        <f t="shared" si="1170"/>
        <v>189.90587180636487</v>
      </c>
      <c r="P449" s="38">
        <f t="shared" si="1170"/>
        <v>231.16192501994152</v>
      </c>
      <c r="Q449" s="38">
        <f t="shared" si="1170"/>
        <v>325.66539923954372</v>
      </c>
      <c r="R449" s="37">
        <v>925.41700000000003</v>
      </c>
      <c r="S449" s="38">
        <f t="shared" si="1171"/>
        <v>354.5181818181818</v>
      </c>
      <c r="T449" s="38">
        <f t="shared" si="1171"/>
        <v>431.8384401114206</v>
      </c>
      <c r="U449" s="38">
        <f t="shared" si="1171"/>
        <v>423.90346852633508</v>
      </c>
      <c r="V449" s="38">
        <f t="shared" si="1171"/>
        <v>440.1666361472258</v>
      </c>
      <c r="W449" s="37">
        <v>1651.9159999999999</v>
      </c>
      <c r="X449" s="38">
        <f t="shared" si="1172"/>
        <v>463.90384258399854</v>
      </c>
      <c r="Y449" s="38">
        <f t="shared" si="1172"/>
        <v>499.92444276539482</v>
      </c>
      <c r="Z449" s="38">
        <f t="shared" si="1172"/>
        <v>473.5854475825754</v>
      </c>
      <c r="AA449" s="38">
        <f t="shared" si="1172"/>
        <v>427.49435240963857</v>
      </c>
      <c r="AB449" s="37">
        <v>1786.614</v>
      </c>
      <c r="AC449" s="38">
        <f t="shared" si="1173"/>
        <v>360.91818181818184</v>
      </c>
      <c r="AD449" s="38">
        <f t="shared" si="1173"/>
        <v>348.31175884855617</v>
      </c>
      <c r="AE449" s="38">
        <f t="shared" si="1173"/>
        <v>325.5193661971831</v>
      </c>
      <c r="AF449" s="38">
        <f t="shared" si="1173"/>
        <v>327.50640478223744</v>
      </c>
      <c r="AG449" s="170">
        <f>SUM(AC449:AF449)</f>
        <v>1362.2557116461585</v>
      </c>
      <c r="AH449" s="38">
        <f t="shared" ref="AH449" si="1187">AH374/AH$102</f>
        <v>315.38282703037822</v>
      </c>
      <c r="AI449" s="38">
        <f t="shared" ref="AI449:AJ449" si="1188">AI374/AI$102</f>
        <v>314.45774444764925</v>
      </c>
      <c r="AJ449" s="38">
        <f t="shared" si="1188"/>
        <v>309.23066024369513</v>
      </c>
      <c r="AK449" s="38">
        <f t="shared" ref="AK449" si="1189">AK374/AK$102</f>
        <v>296.21041572865079</v>
      </c>
      <c r="AL449" s="37">
        <v>1253.876</v>
      </c>
      <c r="AM449" s="38">
        <f t="shared" si="1177"/>
        <v>294.82296720005792</v>
      </c>
      <c r="AN449" s="38">
        <f t="shared" si="1177"/>
        <v>292.01732673267327</v>
      </c>
      <c r="AO449" s="38">
        <f t="shared" ref="AO449" si="1190">AO374/AO$102</f>
        <v>282.18367346938777</v>
      </c>
      <c r="AP449" s="38">
        <f t="shared" si="1178"/>
        <v>251.76844525596806</v>
      </c>
      <c r="AQ449" s="37">
        <v>1069.2750000000001</v>
      </c>
      <c r="AR449" s="38">
        <f t="shared" ref="AR449:AS449" si="1191">AR374/AR$102</f>
        <v>223.29904810579441</v>
      </c>
      <c r="AS449" s="38">
        <f t="shared" si="1191"/>
        <v>179.01637162252098</v>
      </c>
      <c r="AT449" s="38">
        <f t="shared" si="1179"/>
        <v>135.43484007401534</v>
      </c>
      <c r="AU449" s="38">
        <f t="shared" si="1179"/>
        <v>103.66132723112129</v>
      </c>
      <c r="AV449" s="36">
        <f>SUM(AR449:AU449)</f>
        <v>641.41158703345207</v>
      </c>
      <c r="AW449" s="38">
        <f t="shared" ref="AW449:AY449" si="1192">AW374/AW$102</f>
        <v>82.202631035195267</v>
      </c>
      <c r="AX449" s="38">
        <f t="shared" si="1192"/>
        <v>66.840677966101694</v>
      </c>
      <c r="AY449" s="38">
        <f t="shared" si="1192"/>
        <v>67.274733835367442</v>
      </c>
      <c r="AZ449" s="56">
        <f>AZ464</f>
        <v>65</v>
      </c>
      <c r="BA449" s="36">
        <f>SUM(AW449:AZ449)</f>
        <v>281.3180428366644</v>
      </c>
      <c r="BB449" s="56">
        <f>BB464</f>
        <v>65</v>
      </c>
      <c r="BC449" s="56">
        <f>BC464</f>
        <v>60</v>
      </c>
      <c r="BD449" s="56">
        <f>BD464</f>
        <v>55</v>
      </c>
      <c r="BE449" s="56">
        <f>BE464</f>
        <v>50</v>
      </c>
      <c r="BF449" s="36">
        <f>SUM(BB449:BE449)</f>
        <v>230</v>
      </c>
      <c r="BG449" s="56">
        <f>BG464</f>
        <v>45</v>
      </c>
      <c r="BH449" s="56">
        <f>BH464</f>
        <v>40</v>
      </c>
      <c r="BI449" s="56">
        <f>BI464</f>
        <v>35</v>
      </c>
      <c r="BJ449" s="56">
        <f>BJ464</f>
        <v>30</v>
      </c>
      <c r="BK449" s="36">
        <f>SUM(BG449:BJ449)</f>
        <v>150</v>
      </c>
      <c r="BL449" s="56">
        <f>BL464</f>
        <v>0</v>
      </c>
      <c r="BM449" s="56">
        <f>BM464</f>
        <v>0</v>
      </c>
      <c r="BN449" s="56">
        <f>BN464</f>
        <v>0</v>
      </c>
      <c r="BO449" s="56">
        <f>BO464</f>
        <v>0</v>
      </c>
      <c r="BP449" s="36">
        <f>SUM(BL449:BO449)</f>
        <v>0</v>
      </c>
      <c r="BQ449" s="56">
        <f>BQ464</f>
        <v>0</v>
      </c>
      <c r="BR449" s="56">
        <f>BR464</f>
        <v>0</v>
      </c>
      <c r="BS449" s="56">
        <f>BS464</f>
        <v>0</v>
      </c>
    </row>
    <row r="450" spans="1:71">
      <c r="A450" s="34" t="s">
        <v>209</v>
      </c>
      <c r="I450" s="38">
        <f>I375/I$102</f>
        <v>390.54744198548519</v>
      </c>
      <c r="J450" s="38">
        <f t="shared" si="1168"/>
        <v>251.22154543058528</v>
      </c>
      <c r="K450" s="38">
        <f t="shared" si="1168"/>
        <v>142.68194862478074</v>
      </c>
      <c r="L450" s="38">
        <f t="shared" si="1168"/>
        <v>300.29892791865848</v>
      </c>
      <c r="M450" s="36">
        <f t="shared" si="1169"/>
        <v>1084.7498639595096</v>
      </c>
      <c r="N450" s="38">
        <f t="shared" si="1170"/>
        <v>491.36234017109746</v>
      </c>
      <c r="O450" s="38">
        <f t="shared" si="1170"/>
        <v>947.4137158225011</v>
      </c>
      <c r="P450" s="38">
        <f t="shared" si="1170"/>
        <v>2017.9916688823894</v>
      </c>
      <c r="Q450" s="38">
        <f t="shared" si="1170"/>
        <v>874.97736737280468</v>
      </c>
      <c r="R450" s="37">
        <v>4355.7070000000003</v>
      </c>
      <c r="S450" s="38">
        <f t="shared" si="1171"/>
        <v>1322.6454545454546</v>
      </c>
      <c r="T450" s="38">
        <f t="shared" si="1171"/>
        <v>-3823.3240482822653</v>
      </c>
      <c r="U450" s="38">
        <f t="shared" si="1171"/>
        <v>-508.5979078730042</v>
      </c>
      <c r="V450" s="38">
        <f t="shared" si="1171"/>
        <v>-3653.1770737960082</v>
      </c>
      <c r="W450" s="37">
        <v>-6622.3289999999997</v>
      </c>
      <c r="X450" s="38">
        <f t="shared" si="1172"/>
        <v>906.45999628735854</v>
      </c>
      <c r="Y450" s="38">
        <f t="shared" si="1172"/>
        <v>2426.9172648281074</v>
      </c>
      <c r="Z450" s="38">
        <f t="shared" si="1172"/>
        <v>4305.725227381522</v>
      </c>
      <c r="AA450" s="38">
        <f t="shared" si="1172"/>
        <v>11711.822289156627</v>
      </c>
      <c r="AB450" s="37">
        <v>18504.39</v>
      </c>
      <c r="AC450" s="38">
        <f t="shared" si="1173"/>
        <v>858.10909090909092</v>
      </c>
      <c r="AD450" s="38">
        <f t="shared" si="1173"/>
        <v>-3338.9517516067713</v>
      </c>
      <c r="AE450" s="38">
        <f t="shared" si="1173"/>
        <v>-154.90316901408451</v>
      </c>
      <c r="AF450" s="38">
        <f t="shared" si="1173"/>
        <v>-6592.9291204099063</v>
      </c>
      <c r="AG450" s="170">
        <f>SUM(AC450:AF450)</f>
        <v>-9228.6749501216709</v>
      </c>
      <c r="AH450" s="38">
        <f t="shared" ref="AH450" si="1193">AH375/AH$102</f>
        <v>-3483.5322380657162</v>
      </c>
      <c r="AI450" s="38">
        <f t="shared" ref="AI450:AJ450" si="1194">AI375/AI$102</f>
        <v>-2383.7972310354771</v>
      </c>
      <c r="AJ450" s="38">
        <f t="shared" si="1194"/>
        <v>-1122.244261830547</v>
      </c>
      <c r="AK450" s="38">
        <f t="shared" ref="AK450" si="1195">AK375/AK$102</f>
        <v>-46.743208764820658</v>
      </c>
      <c r="AL450" s="37">
        <v>-7075.152</v>
      </c>
      <c r="AM450" s="38">
        <f t="shared" si="1177"/>
        <v>148.92477011078125</v>
      </c>
      <c r="AN450" s="38">
        <f t="shared" si="1177"/>
        <v>902.44086908690872</v>
      </c>
      <c r="AO450" s="38">
        <f t="shared" ref="AO450" si="1196">AO375/AO$102</f>
        <v>768.71428571428567</v>
      </c>
      <c r="AP450" s="38">
        <f t="shared" si="1178"/>
        <v>-130.68911882058563</v>
      </c>
      <c r="AQ450" s="37">
        <v>1621.393</v>
      </c>
      <c r="AR450" s="38">
        <f t="shared" ref="AR450:AS450" si="1197">AR375/AR$102</f>
        <v>1121.7785727975468</v>
      </c>
      <c r="AS450" s="38">
        <f t="shared" si="1197"/>
        <v>1248.0833222414483</v>
      </c>
      <c r="AT450" s="38">
        <f t="shared" si="1179"/>
        <v>-526.15648955855147</v>
      </c>
      <c r="AU450" s="38">
        <f t="shared" si="1179"/>
        <v>779.81039555410268</v>
      </c>
      <c r="AV450" s="36">
        <f>SUM(AR450:AU450)</f>
        <v>2623.5158010345463</v>
      </c>
      <c r="AW450" s="38">
        <f t="shared" ref="AW450:AY450" si="1198">AW375/AW$102</f>
        <v>1504.359804394242</v>
      </c>
      <c r="AX450" s="38">
        <f t="shared" si="1198"/>
        <v>2542.3593220338985</v>
      </c>
      <c r="AY450" s="38">
        <f t="shared" si="1198"/>
        <v>-1793.0472604518309</v>
      </c>
      <c r="AZ450" s="56">
        <f>AZ505</f>
        <v>-910</v>
      </c>
      <c r="BA450" s="36">
        <f>SUM(AW450:AZ450)</f>
        <v>1343.6718659763096</v>
      </c>
      <c r="BB450" s="56">
        <f>BB505</f>
        <v>135</v>
      </c>
      <c r="BC450" s="56">
        <f>BC505</f>
        <v>125</v>
      </c>
      <c r="BD450" s="56">
        <f>BD505</f>
        <v>115</v>
      </c>
      <c r="BE450" s="56">
        <f>BE505</f>
        <v>105</v>
      </c>
      <c r="BF450" s="36">
        <f>SUM(BB450:BE450)</f>
        <v>480</v>
      </c>
      <c r="BG450" s="56">
        <f>BG505</f>
        <v>95</v>
      </c>
      <c r="BH450" s="56">
        <f>BH505</f>
        <v>90</v>
      </c>
      <c r="BI450" s="56">
        <f>BI505</f>
        <v>80</v>
      </c>
      <c r="BJ450" s="56">
        <f>BJ505</f>
        <v>75</v>
      </c>
      <c r="BK450" s="36">
        <f>SUM(BG450:BJ450)</f>
        <v>340</v>
      </c>
      <c r="BL450" s="56">
        <f>BL505</f>
        <v>75</v>
      </c>
      <c r="BM450" s="56">
        <f>BM505</f>
        <v>65</v>
      </c>
      <c r="BN450" s="56">
        <f>BN505</f>
        <v>55</v>
      </c>
      <c r="BO450" s="56">
        <f>BO505</f>
        <v>45</v>
      </c>
      <c r="BP450" s="36">
        <f>SUM(BL450:BO450)</f>
        <v>240</v>
      </c>
      <c r="BQ450" s="56">
        <f>BQ505</f>
        <v>35</v>
      </c>
      <c r="BR450" s="56">
        <f>BR505</f>
        <v>20</v>
      </c>
      <c r="BS450" s="56">
        <f>BS505</f>
        <v>10</v>
      </c>
    </row>
    <row r="451" spans="1:71">
      <c r="A451" s="5" t="s">
        <v>210</v>
      </c>
      <c r="I451" s="38"/>
      <c r="J451" s="38"/>
      <c r="K451" s="38">
        <f t="shared" ref="K451:L453" si="1199">K376/K$102</f>
        <v>-185.54195494057123</v>
      </c>
      <c r="L451" s="38">
        <f t="shared" si="1199"/>
        <v>-503.69490124023889</v>
      </c>
      <c r="M451" s="36">
        <f t="shared" si="1169"/>
        <v>-689.23685618081015</v>
      </c>
      <c r="N451" s="38">
        <f t="shared" si="1170"/>
        <v>-1440.9805905620458</v>
      </c>
      <c r="O451" s="38">
        <f t="shared" si="1170"/>
        <v>-373.47377857463022</v>
      </c>
      <c r="P451" s="38">
        <f t="shared" si="1170"/>
        <v>-559.97518390498976</v>
      </c>
      <c r="Q451" s="38">
        <f t="shared" si="1170"/>
        <v>-53.48542458808619</v>
      </c>
      <c r="R451" s="38">
        <f>SUM(R452:R453)</f>
        <v>-2409.2259999999997</v>
      </c>
      <c r="S451" s="38">
        <f t="shared" si="1171"/>
        <v>-621.9</v>
      </c>
      <c r="T451" s="38">
        <f t="shared" si="1171"/>
        <v>-649.67502321262771</v>
      </c>
      <c r="U451" s="38">
        <f t="shared" si="1171"/>
        <v>-709.83694255826754</v>
      </c>
      <c r="V451" s="38">
        <f t="shared" si="1171"/>
        <v>-340.6908075444058</v>
      </c>
      <c r="W451" s="36">
        <f t="shared" ref="W451:W453" si="1200">SUM(S451:V451)</f>
        <v>-2322.102773315301</v>
      </c>
      <c r="X451" s="38"/>
      <c r="AB451" s="36"/>
      <c r="AC451" s="38"/>
      <c r="AG451" s="163"/>
      <c r="AH451" s="38"/>
      <c r="AI451" s="38"/>
      <c r="AJ451" s="38"/>
      <c r="AK451" s="38"/>
      <c r="AL451" s="36"/>
      <c r="AM451" s="38"/>
      <c r="AN451" s="38"/>
      <c r="AO451" s="38"/>
      <c r="AP451" s="38"/>
      <c r="AQ451" s="36"/>
      <c r="AR451" s="38"/>
      <c r="AS451" s="38"/>
      <c r="AT451" s="38"/>
      <c r="AU451" s="38"/>
      <c r="AW451" s="38"/>
      <c r="AX451" s="38"/>
      <c r="AY451" s="38"/>
    </row>
    <row r="452" spans="1:71">
      <c r="A452" s="34" t="s">
        <v>211</v>
      </c>
      <c r="I452" s="38"/>
      <c r="J452" s="38"/>
      <c r="K452" s="38">
        <f t="shared" si="1199"/>
        <v>-181.89623365250696</v>
      </c>
      <c r="L452" s="38">
        <f t="shared" si="1199"/>
        <v>0</v>
      </c>
      <c r="M452" s="36">
        <f t="shared" si="1169"/>
        <v>-181.89623365250696</v>
      </c>
      <c r="N452" s="38">
        <f t="shared" si="1170"/>
        <v>-349.23190138901668</v>
      </c>
      <c r="O452" s="38">
        <f t="shared" si="1170"/>
        <v>-169.83415508740475</v>
      </c>
      <c r="P452" s="38">
        <f t="shared" si="1170"/>
        <v>-251.23637330497209</v>
      </c>
      <c r="Q452" s="38">
        <f t="shared" si="1170"/>
        <v>-58.274488502625388</v>
      </c>
      <c r="R452" s="37">
        <v>-826.14599999999996</v>
      </c>
      <c r="S452" s="121">
        <f t="shared" si="1171"/>
        <v>-621.9</v>
      </c>
      <c r="T452" s="121">
        <f t="shared" si="1171"/>
        <v>-321.81987000928507</v>
      </c>
      <c r="U452" s="121">
        <f t="shared" si="1171"/>
        <v>-709.83694255826754</v>
      </c>
      <c r="V452" s="121">
        <f t="shared" si="1171"/>
        <v>-294.91164621864129</v>
      </c>
      <c r="W452" s="36">
        <f t="shared" si="1200"/>
        <v>-1948.4684587861939</v>
      </c>
      <c r="X452" s="38"/>
      <c r="AB452" s="36"/>
      <c r="AC452" s="38"/>
      <c r="AG452" s="163"/>
      <c r="AH452" s="38"/>
      <c r="AI452" s="38"/>
      <c r="AJ452" s="38"/>
      <c r="AK452" s="38"/>
      <c r="AL452" s="36"/>
      <c r="AM452" s="38"/>
      <c r="AN452" s="38"/>
      <c r="AO452" s="38"/>
      <c r="AP452" s="38"/>
      <c r="AQ452" s="36"/>
      <c r="AR452" s="38"/>
      <c r="AS452" s="38"/>
      <c r="AT452" s="38"/>
      <c r="AU452" s="38"/>
      <c r="AW452" s="38"/>
      <c r="AX452" s="38"/>
      <c r="AY452" s="38"/>
    </row>
    <row r="453" spans="1:71">
      <c r="A453" s="34" t="s">
        <v>212</v>
      </c>
      <c r="I453" s="38"/>
      <c r="J453" s="38"/>
      <c r="K453" s="38">
        <f t="shared" si="1199"/>
        <v>-3.6457212880642675</v>
      </c>
      <c r="L453" s="38">
        <f t="shared" si="1199"/>
        <v>-503.69490124023889</v>
      </c>
      <c r="M453" s="36">
        <f t="shared" si="1169"/>
        <v>-507.34062252830319</v>
      </c>
      <c r="N453" s="38">
        <f t="shared" si="1170"/>
        <v>-1091.7486891730293</v>
      </c>
      <c r="O453" s="38">
        <f t="shared" si="1170"/>
        <v>-203.63962348722546</v>
      </c>
      <c r="P453" s="38">
        <f t="shared" si="1170"/>
        <v>-308.73881060001776</v>
      </c>
      <c r="Q453" s="38">
        <f t="shared" si="1170"/>
        <v>4.7890639145391996</v>
      </c>
      <c r="R453" s="37">
        <v>-1583.08</v>
      </c>
      <c r="S453" s="121">
        <f t="shared" si="1171"/>
        <v>0</v>
      </c>
      <c r="T453" s="121">
        <f t="shared" si="1171"/>
        <v>-327.85515320334258</v>
      </c>
      <c r="U453" s="121">
        <f t="shared" si="1171"/>
        <v>0</v>
      </c>
      <c r="V453" s="121">
        <f t="shared" si="1171"/>
        <v>-45.779161325764512</v>
      </c>
      <c r="W453" s="36">
        <f t="shared" si="1200"/>
        <v>-373.63431452910709</v>
      </c>
      <c r="X453" s="38"/>
      <c r="AB453" s="36"/>
      <c r="AC453" s="38"/>
      <c r="AG453" s="163"/>
      <c r="AH453" s="38"/>
      <c r="AI453" s="38"/>
      <c r="AJ453" s="38"/>
      <c r="AK453" s="38"/>
      <c r="AL453" s="36"/>
      <c r="AM453" s="38"/>
      <c r="AN453" s="38"/>
      <c r="AO453" s="38"/>
      <c r="AP453" s="38"/>
      <c r="AQ453" s="36"/>
      <c r="AR453" s="38"/>
      <c r="AS453" s="38"/>
      <c r="AT453" s="38"/>
      <c r="AU453" s="38"/>
      <c r="AW453" s="38"/>
      <c r="AX453" s="38"/>
      <c r="AY453" s="38"/>
    </row>
    <row r="454" spans="1:71">
      <c r="A454" s="5" t="s">
        <v>227</v>
      </c>
      <c r="I454" s="38"/>
      <c r="J454" s="38"/>
      <c r="K454" s="38"/>
      <c r="L454" s="38">
        <f>L379/L$102</f>
        <v>-1022.6532843362427</v>
      </c>
      <c r="M454" s="36">
        <f t="shared" si="1169"/>
        <v>-1022.6532843362427</v>
      </c>
      <c r="N454" s="38">
        <f t="shared" si="1170"/>
        <v>-42.40640235488916</v>
      </c>
      <c r="O454" s="38">
        <f t="shared" si="1170"/>
        <v>-1714.8095024652623</v>
      </c>
      <c r="P454" s="38">
        <f t="shared" si="1170"/>
        <v>18.691837277319863</v>
      </c>
      <c r="Q454" s="38">
        <f t="shared" si="1170"/>
        <v>-228.13688212927758</v>
      </c>
      <c r="R454" s="37">
        <v>-1973.0429999999999</v>
      </c>
      <c r="S454" s="121">
        <f t="shared" si="1171"/>
        <v>0</v>
      </c>
      <c r="T454" s="121">
        <f t="shared" si="1171"/>
        <v>-4441.1420612813372</v>
      </c>
      <c r="U454" s="121">
        <f t="shared" si="1171"/>
        <v>49.110203707102208</v>
      </c>
      <c r="V454" s="121">
        <f t="shared" si="1171"/>
        <v>-415.45275590551182</v>
      </c>
      <c r="W454" s="101">
        <v>-7087.0349999999999</v>
      </c>
      <c r="X454" s="38">
        <f>X379/X$102</f>
        <v>-2017.5143864859849</v>
      </c>
      <c r="Y454" s="38">
        <f>Y379/Y$102</f>
        <v>-1927.6256139025313</v>
      </c>
      <c r="Z454" s="38">
        <f>Z379/Z$102</f>
        <v>-1735.4427955959789</v>
      </c>
      <c r="AA454" s="38">
        <f>AA379/AA$102</f>
        <v>-7147.3550451807232</v>
      </c>
      <c r="AB454" s="37">
        <v>-12303.008</v>
      </c>
      <c r="AC454" s="38">
        <f>AC379/AC$102</f>
        <v>-3152.2363636363634</v>
      </c>
      <c r="AD454" s="38">
        <f>AD379/AD$102</f>
        <v>-4627.1476418937273</v>
      </c>
      <c r="AE454" s="38">
        <f>AE379/AE$102</f>
        <v>-1039.5422535211269</v>
      </c>
      <c r="AF454" s="38">
        <f>AF379/AF$102</f>
        <v>-2158.0187873612299</v>
      </c>
      <c r="AG454" s="170">
        <f>SUM(AC454:AF454)</f>
        <v>-10976.945046412447</v>
      </c>
      <c r="AH454" s="38">
        <f>AH379/AH$102</f>
        <v>-1978.1773093614383</v>
      </c>
      <c r="AI454" s="38">
        <f>AI379/AI$102</f>
        <v>-666.88058840496103</v>
      </c>
      <c r="AJ454" s="38">
        <f>AJ379/AJ$102</f>
        <v>-834.93199206574104</v>
      </c>
      <c r="AK454" s="38">
        <f>AK379/AK$102</f>
        <v>-590.09455200360208</v>
      </c>
      <c r="AL454" s="37">
        <v>-4075.8029999999999</v>
      </c>
      <c r="AM454" s="38">
        <f>AM379/AM$102</f>
        <v>-855.05032220693647</v>
      </c>
      <c r="AN454" s="38">
        <f>AN379/AN$102</f>
        <v>-838.00880088008807</v>
      </c>
      <c r="AO454" s="38">
        <f>AO379/AO$102</f>
        <v>-1706.843537414966</v>
      </c>
      <c r="AP454" s="38">
        <f>AP379/AP$102</f>
        <v>-1979.0694528978156</v>
      </c>
      <c r="AQ454" s="37">
        <v>-5174.8370000000004</v>
      </c>
      <c r="AR454" s="38">
        <f>AR379/AR$102</f>
        <v>-969.66076790391617</v>
      </c>
      <c r="AS454" s="38">
        <f>AS379/AS$102</f>
        <v>-4613.0906428856651</v>
      </c>
      <c r="AT454" s="38">
        <f>AT379/AT$102</f>
        <v>-832.14380121596616</v>
      </c>
      <c r="AU454" s="38">
        <f>AU379/AU$102</f>
        <v>-3366.5250081726058</v>
      </c>
      <c r="AV454" s="36">
        <f>SUM(AR454:AU454)</f>
        <v>-9781.4202201781536</v>
      </c>
      <c r="AW454" s="38">
        <f>AW379/AW$102</f>
        <v>-845.31303808802261</v>
      </c>
      <c r="AX454" s="38">
        <f>AX379/AX$102</f>
        <v>-2367.7491525423729</v>
      </c>
      <c r="AY454" s="38">
        <f>AY379/AY$102</f>
        <v>-508.47831732017659</v>
      </c>
      <c r="AZ454" s="56">
        <f t="shared" ref="AZ454:BR454" si="1201">AZ466+AZ467+AZ507</f>
        <v>-41.663726513430973</v>
      </c>
      <c r="BA454" s="36">
        <f>SUM(AW454:AZ454)</f>
        <v>-3763.2042344640031</v>
      </c>
      <c r="BB454" s="56">
        <f t="shared" si="1201"/>
        <v>-1928.3362734865691</v>
      </c>
      <c r="BC454" s="56">
        <f t="shared" si="1201"/>
        <v>-1889.1681367432845</v>
      </c>
      <c r="BD454" s="56">
        <f t="shared" si="1201"/>
        <v>-1885.8318632567155</v>
      </c>
      <c r="BE454" s="56">
        <f t="shared" si="1201"/>
        <v>-1845.4159316283576</v>
      </c>
      <c r="BF454" s="36">
        <f>SUM(BB454:BE454)</f>
        <v>-7548.7522051149263</v>
      </c>
      <c r="BG454" s="56">
        <f t="shared" si="1201"/>
        <v>-1454.5840683716424</v>
      </c>
      <c r="BH454" s="56">
        <f t="shared" si="1201"/>
        <v>-1474.7920341858212</v>
      </c>
      <c r="BI454" s="56">
        <f t="shared" si="1201"/>
        <v>-1495.2079658141788</v>
      </c>
      <c r="BJ454" s="56">
        <f t="shared" si="1201"/>
        <v>-2224.003053966765</v>
      </c>
      <c r="BK454" s="36">
        <f>SUM(BG454:BJ454)</f>
        <v>-6648.5871223384074</v>
      </c>
      <c r="BL454" s="56">
        <f t="shared" si="1201"/>
        <v>-1335</v>
      </c>
      <c r="BM454" s="56">
        <f t="shared" si="1201"/>
        <v>-1345</v>
      </c>
      <c r="BN454" s="56">
        <f t="shared" si="1201"/>
        <v>-1355</v>
      </c>
      <c r="BO454" s="56">
        <f t="shared" si="1201"/>
        <v>-1365</v>
      </c>
      <c r="BP454" s="36">
        <f>SUM(BL454:BO454)</f>
        <v>-5400</v>
      </c>
      <c r="BQ454" s="56">
        <f t="shared" si="1201"/>
        <v>-1375</v>
      </c>
      <c r="BR454" s="56">
        <f t="shared" si="1201"/>
        <v>-1395</v>
      </c>
      <c r="BS454" s="56">
        <f>BS466+BS467+BS507</f>
        <v>-1395</v>
      </c>
    </row>
    <row r="455" spans="1:71">
      <c r="A455" s="5" t="s">
        <v>213</v>
      </c>
      <c r="I455" s="38"/>
      <c r="J455" s="38"/>
      <c r="K455" s="38"/>
      <c r="L455" s="38"/>
      <c r="M455" s="36"/>
      <c r="N455" s="38"/>
      <c r="O455" s="38"/>
      <c r="P455" s="38"/>
      <c r="Q455" s="38"/>
      <c r="R455" s="37">
        <v>530.13800000000003</v>
      </c>
      <c r="S455" s="38"/>
      <c r="W455" s="37">
        <v>-771.79</v>
      </c>
      <c r="X455" s="38"/>
      <c r="AB455" s="37">
        <v>1388.808</v>
      </c>
      <c r="AC455" s="38"/>
      <c r="AG455" s="163"/>
      <c r="AH455" s="38"/>
      <c r="AI455" s="38"/>
      <c r="AJ455" s="38"/>
      <c r="AK455" s="38"/>
      <c r="AL455" s="37">
        <v>3629.6190000000001</v>
      </c>
      <c r="AM455" s="38"/>
      <c r="AN455" s="38"/>
      <c r="AO455" s="38"/>
      <c r="AP455" s="38"/>
      <c r="AQ455" s="37">
        <v>3869.15</v>
      </c>
      <c r="AR455" s="38"/>
      <c r="AS455" s="38"/>
      <c r="AT455" s="38"/>
      <c r="AU455" s="38"/>
      <c r="AW455" s="38"/>
      <c r="AX455" s="38"/>
      <c r="AY455" s="38"/>
    </row>
    <row r="456" spans="1:71">
      <c r="A456" s="9" t="s">
        <v>214</v>
      </c>
      <c r="B456" s="9"/>
      <c r="C456" s="9"/>
      <c r="D456" s="9"/>
      <c r="E456" s="9"/>
      <c r="F456" s="9"/>
      <c r="G456" s="9"/>
      <c r="H456" s="9"/>
      <c r="I456" s="39">
        <f t="shared" ref="I456:Y456" si="1202">SUM(I446:I447)+I448+I451+SUM(I454:I455)</f>
        <v>390.54744198548519</v>
      </c>
      <c r="J456" s="39">
        <f t="shared" si="1202"/>
        <v>10278.058664826211</v>
      </c>
      <c r="K456" s="39">
        <f t="shared" si="1202"/>
        <v>16556.100588612317</v>
      </c>
      <c r="L456" s="39">
        <f t="shared" si="1202"/>
        <v>17363.308429640529</v>
      </c>
      <c r="M456" s="39">
        <f t="shared" si="1202"/>
        <v>17363.316623573573</v>
      </c>
      <c r="N456" s="39">
        <f t="shared" si="1202"/>
        <v>18208.153782398014</v>
      </c>
      <c r="O456" s="39">
        <f t="shared" si="1202"/>
        <v>19175.448071757593</v>
      </c>
      <c r="P456" s="39">
        <f t="shared" si="1202"/>
        <v>34161.89098244418</v>
      </c>
      <c r="Q456" s="39">
        <f t="shared" si="1202"/>
        <v>37265.520227451794</v>
      </c>
      <c r="R456" s="39">
        <f t="shared" si="1202"/>
        <v>37273.312000000005</v>
      </c>
      <c r="S456" s="39">
        <f t="shared" si="1202"/>
        <v>41471.049274709432</v>
      </c>
      <c r="T456" s="39">
        <f t="shared" si="1202"/>
        <v>42374.833852371048</v>
      </c>
      <c r="U456" s="39">
        <f t="shared" si="1202"/>
        <v>43707.269272685699</v>
      </c>
      <c r="V456" s="39">
        <f t="shared" si="1202"/>
        <v>42131.598060768651</v>
      </c>
      <c r="W456" s="97">
        <f>SUM(W446:W447)+W448+SUM(W454:W455)</f>
        <v>42124.589</v>
      </c>
      <c r="X456" s="39">
        <f t="shared" si="1202"/>
        <v>48574.709469083224</v>
      </c>
      <c r="Y456" s="39">
        <f t="shared" si="1202"/>
        <v>49573.933004773207</v>
      </c>
      <c r="Z456" s="39">
        <f t="shared" ref="Z456:AB456" si="1203">SUM(Z446:Z447)+Z448+Z451+SUM(Z454:Z455)</f>
        <v>52714.161844244903</v>
      </c>
      <c r="AA456" s="39">
        <f t="shared" si="1203"/>
        <v>59631.389401810142</v>
      </c>
      <c r="AB456" s="39">
        <f t="shared" si="1203"/>
        <v>59631.388000000006</v>
      </c>
      <c r="AC456" s="39">
        <f t="shared" ref="AC456:AD456" si="1204">SUM(AC446:AC447)+AC448+AC451+SUM(AC454:AC455)</f>
        <v>58331.697402714708</v>
      </c>
      <c r="AD456" s="39">
        <f t="shared" si="1204"/>
        <v>50832.683202534405</v>
      </c>
      <c r="AE456" s="39">
        <f t="shared" ref="AE456:AF456" si="1205">SUM(AE446:AE447)+AE448+AE451+SUM(AE454:AE455)</f>
        <v>50458.194623423165</v>
      </c>
      <c r="AF456" s="39">
        <f t="shared" si="1205"/>
        <v>43220.478676637533</v>
      </c>
      <c r="AG456" s="39">
        <f>SUM(AG446:AG447)+AG448+AG451+SUM(AG454:AG455)</f>
        <v>43220.474761791382</v>
      </c>
      <c r="AH456" s="39">
        <f t="shared" ref="AH456" si="1206">SUM(AH446:AH447)+AH448+AH451+SUM(AH454:AH455)</f>
        <v>38133.91322278486</v>
      </c>
      <c r="AI456" s="39">
        <f t="shared" ref="AI456:AJ456" si="1207">SUM(AI446:AI447)+AI448+AI451+SUM(AI454:AI455)</f>
        <v>35397.691250731528</v>
      </c>
      <c r="AJ456" s="39">
        <f t="shared" si="1207"/>
        <v>33821.616737159951</v>
      </c>
      <c r="AK456" s="39">
        <f t="shared" ref="AK456:AM456" si="1208">SUM(AK446:AK447)+AK448+AK451+SUM(AK454:AK455)</f>
        <v>33480.985315095873</v>
      </c>
      <c r="AL456" s="39">
        <f t="shared" si="1208"/>
        <v>33480.993000000002</v>
      </c>
      <c r="AM456" s="39">
        <f t="shared" si="1208"/>
        <v>33069.690450376875</v>
      </c>
      <c r="AN456" s="39">
        <f t="shared" ref="AN456:AR456" si="1209">SUM(AN446:AN447)+AN448+AN451+SUM(AN454:AN455)</f>
        <v>33426.136959599127</v>
      </c>
      <c r="AO456" s="39">
        <f t="shared" si="1209"/>
        <v>32770.19428003853</v>
      </c>
      <c r="AP456" s="39">
        <f t="shared" si="1209"/>
        <v>30912.20658791393</v>
      </c>
      <c r="AQ456" s="39">
        <f t="shared" si="1209"/>
        <v>30912.204999999998</v>
      </c>
      <c r="AR456" s="39">
        <f t="shared" si="1209"/>
        <v>31287.622982834473</v>
      </c>
      <c r="AS456" s="39">
        <f t="shared" ref="AS456:AU456" si="1210">SUM(AS446:AS447)+AS448+AS451+SUM(AS454:AS455)</f>
        <v>28101.629340293512</v>
      </c>
      <c r="AT456" s="39">
        <f t="shared" si="1210"/>
        <v>26878.767002182565</v>
      </c>
      <c r="AU456" s="39">
        <f t="shared" si="1210"/>
        <v>24395.705091145683</v>
      </c>
      <c r="AV456" s="39">
        <f t="shared" ref="AV456:AY456" si="1211">SUM(AV446:AV447)+AV448+AV451+SUM(AV454:AV455)</f>
        <v>24395.713297724891</v>
      </c>
      <c r="AW456" s="39">
        <f t="shared" si="1211"/>
        <v>25136.962345442</v>
      </c>
      <c r="AX456" s="39">
        <f t="shared" si="1211"/>
        <v>25378.41652662343</v>
      </c>
      <c r="AY456" s="39">
        <f t="shared" si="1211"/>
        <v>23144.161300071959</v>
      </c>
      <c r="AZ456" s="39">
        <f t="shared" ref="AZ456:BP456" si="1212">SUM(AZ446:AZ447)+AZ448+AZ451+SUM(AZ454:AZ455)</f>
        <v>22257.504643440581</v>
      </c>
      <c r="BA456" s="39">
        <f t="shared" si="1212"/>
        <v>22257.498622449555</v>
      </c>
      <c r="BB456" s="39">
        <f t="shared" si="1212"/>
        <v>20529.168369954008</v>
      </c>
      <c r="BC456" s="39">
        <f t="shared" si="1212"/>
        <v>18825.000233210725</v>
      </c>
      <c r="BD456" s="39">
        <f t="shared" si="1212"/>
        <v>17109.168369954008</v>
      </c>
      <c r="BE456" s="39">
        <f t="shared" si="1212"/>
        <v>15418.75243832565</v>
      </c>
      <c r="BF456" s="39">
        <f t="shared" si="1212"/>
        <v>15418.752438325651</v>
      </c>
      <c r="BG456" s="39">
        <f t="shared" si="1212"/>
        <v>14104.168369954008</v>
      </c>
      <c r="BH456" s="39">
        <f t="shared" si="1212"/>
        <v>12759.376335768187</v>
      </c>
      <c r="BI456" s="39">
        <f t="shared" si="1212"/>
        <v>11379.168369954008</v>
      </c>
      <c r="BJ456" s="39">
        <f t="shared" si="1212"/>
        <v>9260.165315987244</v>
      </c>
      <c r="BK456" s="39">
        <f t="shared" si="1212"/>
        <v>9260.165315987244</v>
      </c>
      <c r="BL456" s="39">
        <f t="shared" si="1212"/>
        <v>8000.165315987244</v>
      </c>
      <c r="BM456" s="39">
        <f t="shared" si="1212"/>
        <v>6720.165315987244</v>
      </c>
      <c r="BN456" s="39">
        <f t="shared" si="1212"/>
        <v>5420.165315987244</v>
      </c>
      <c r="BO456" s="39">
        <f t="shared" si="1212"/>
        <v>4100.165315987244</v>
      </c>
      <c r="BP456" s="39">
        <f t="shared" si="1212"/>
        <v>4100.165315987244</v>
      </c>
      <c r="BQ456" s="39">
        <f t="shared" ref="BQ456:BS456" si="1213">SUM(BQ446:BQ447)+BQ448+BQ451+SUM(BQ454:BQ455)</f>
        <v>2760.165315987244</v>
      </c>
      <c r="BR456" s="39">
        <f t="shared" si="1213"/>
        <v>1385.165315987244</v>
      </c>
      <c r="BS456" s="39">
        <f t="shared" si="1213"/>
        <v>0.16531598724395735</v>
      </c>
    </row>
    <row r="457" spans="1:71">
      <c r="N457" s="57" t="s">
        <v>386</v>
      </c>
      <c r="W457" s="66" t="s">
        <v>410</v>
      </c>
      <c r="X457" s="46"/>
      <c r="Y457" s="46"/>
      <c r="Z457" s="46"/>
      <c r="AA457" s="46"/>
      <c r="AB457" s="46"/>
      <c r="AC457" s="98" t="s">
        <v>411</v>
      </c>
      <c r="AD457" s="71"/>
      <c r="AG457" s="42"/>
    </row>
    <row r="458" spans="1:71">
      <c r="A458" s="5" t="s">
        <v>287</v>
      </c>
      <c r="I458" s="38"/>
      <c r="J458" s="38">
        <f t="shared" ref="J458:T458" si="1214">J459-J456</f>
        <v>-2.2649568514680141E-2</v>
      </c>
      <c r="K458" s="38">
        <f t="shared" si="1214"/>
        <v>1.4455635471676942E-2</v>
      </c>
      <c r="L458" s="38">
        <f t="shared" si="1214"/>
        <v>1.0470961882674601E-2</v>
      </c>
      <c r="M458" s="38">
        <f t="shared" si="1214"/>
        <v>2.2770288378524128E-3</v>
      </c>
      <c r="N458" s="38">
        <f t="shared" si="1214"/>
        <v>-2.8867946130048949E-3</v>
      </c>
      <c r="O458" s="38">
        <f t="shared" si="1214"/>
        <v>1.1996922516118502E-2</v>
      </c>
      <c r="P458" s="38">
        <f t="shared" si="1214"/>
        <v>0.39730584411154268</v>
      </c>
      <c r="Q458" s="38">
        <f t="shared" si="1214"/>
        <v>7.7926836212791386</v>
      </c>
      <c r="R458" s="38">
        <f t="shared" si="1214"/>
        <v>9.1107306798221543E-4</v>
      </c>
      <c r="S458" s="38">
        <f t="shared" si="1214"/>
        <v>-3.7231740425340831E-3</v>
      </c>
      <c r="T458" s="38">
        <f t="shared" si="1214"/>
        <v>-0.11183606267150026</v>
      </c>
      <c r="U458" s="38">
        <f t="shared" ref="U458:X458" si="1215">U459-U456</f>
        <v>7.0242651018124889</v>
      </c>
      <c r="V458" s="38">
        <f t="shared" si="1215"/>
        <v>-7.0092525356230908</v>
      </c>
      <c r="W458" s="38">
        <f t="shared" si="1215"/>
        <v>-1.9176697242073715E-4</v>
      </c>
      <c r="X458" s="38">
        <f t="shared" si="1215"/>
        <v>7.4419990123715252E-3</v>
      </c>
      <c r="Y458" s="38">
        <f t="shared" ref="Y458:Z458" si="1216">Y459-Y456</f>
        <v>-1.0509499101317488E-2</v>
      </c>
      <c r="Z458" s="38">
        <f t="shared" si="1216"/>
        <v>2.4069628270808607E-3</v>
      </c>
      <c r="AA458" s="38">
        <f t="shared" ref="AA458:AD458" si="1217">AA459-AA456</f>
        <v>-1.0900045235757716E-3</v>
      </c>
      <c r="AB458" s="38">
        <f t="shared" si="1217"/>
        <v>3.118056120001711E-4</v>
      </c>
      <c r="AC458" s="38">
        <f t="shared" si="1217"/>
        <v>-8.934001816669479E-4</v>
      </c>
      <c r="AD458" s="38">
        <f t="shared" si="1217"/>
        <v>8.5750847938470542E-4</v>
      </c>
      <c r="AE458" s="38">
        <f t="shared" ref="AE458:AH458" si="1218">AE459-AE456</f>
        <v>3.950737853301689E-3</v>
      </c>
      <c r="AF458" s="38">
        <f t="shared" si="1218"/>
        <v>-3.1475910436711274E-3</v>
      </c>
      <c r="AG458" s="38">
        <f t="shared" si="1218"/>
        <v>7.6725510734831914E-4</v>
      </c>
      <c r="AH458" s="38">
        <f t="shared" si="1218"/>
        <v>-1.8970605451613665E-3</v>
      </c>
      <c r="AI458" s="38">
        <f t="shared" ref="AI458:AJ458" si="1219">AI459-AI456</f>
        <v>2.2787208581576124E-3</v>
      </c>
      <c r="AJ458" s="38">
        <f t="shared" si="1219"/>
        <v>-4.077024306752719E-3</v>
      </c>
      <c r="AK458" s="38">
        <f t="shared" ref="AK458:AM458" si="1220">AK459-AK456</f>
        <v>7.7201770982355811E-3</v>
      </c>
      <c r="AL458" s="38">
        <f t="shared" si="1220"/>
        <v>3.5272969398647547E-5</v>
      </c>
      <c r="AM458" s="38">
        <f t="shared" si="1220"/>
        <v>-2.8857172437710688E-3</v>
      </c>
      <c r="AN458" s="38">
        <f t="shared" ref="AN458:AP458" si="1221">AN459-AN456</f>
        <v>2.8986706893192604E-3</v>
      </c>
      <c r="AO458" s="38">
        <f t="shared" si="1221"/>
        <v>2.4343378318008035E-3</v>
      </c>
      <c r="AP458" s="38">
        <f t="shared" si="1221"/>
        <v>-1.317456230026437E-3</v>
      </c>
      <c r="AQ458" s="38">
        <f>SUM(AM458:AP458)</f>
        <v>1.1298350473225582E-3</v>
      </c>
      <c r="AR458" s="38">
        <f t="shared" ref="AR458:AU458" si="1222">AR459-AR456</f>
        <v>-2.6935192654491402E-3</v>
      </c>
      <c r="AS458" s="38">
        <f t="shared" si="1222"/>
        <v>3.1125895548029803E-3</v>
      </c>
      <c r="AT458" s="38">
        <f t="shared" si="1222"/>
        <v>-8.6256495014822576E-3</v>
      </c>
      <c r="AU458" s="38">
        <f t="shared" si="1222"/>
        <v>7.8569549041276332E-3</v>
      </c>
      <c r="AV458" s="36">
        <f>SUM(AR458:AU458)</f>
        <v>-3.4962430800078437E-4</v>
      </c>
      <c r="AW458" s="38">
        <f t="shared" ref="AW458:AY458" si="1223">AW459-AW456</f>
        <v>3.3337238019157667E-3</v>
      </c>
      <c r="AX458" s="38">
        <f t="shared" si="1223"/>
        <v>-4.3826148321386427E-3</v>
      </c>
      <c r="AY458" s="38">
        <f t="shared" si="1223"/>
        <v>7.0698820527468342E-3</v>
      </c>
      <c r="BA458" s="36">
        <f>SUM(AW458:AZ458)</f>
        <v>6.0209910225239582E-3</v>
      </c>
      <c r="BB458" s="79"/>
      <c r="BF458" s="36">
        <f>SUM(BB458:BE458)</f>
        <v>0</v>
      </c>
      <c r="BG458" s="79"/>
      <c r="BK458" s="36">
        <f>SUM(BG458:BJ458)</f>
        <v>0</v>
      </c>
      <c r="BL458" s="79"/>
      <c r="BP458" s="36">
        <f>SUM(BL458:BO458)</f>
        <v>0</v>
      </c>
      <c r="BQ458" s="79"/>
    </row>
    <row r="459" spans="1:71">
      <c r="A459" s="9" t="s">
        <v>277</v>
      </c>
      <c r="B459" s="9"/>
      <c r="C459" s="9"/>
      <c r="D459" s="9"/>
      <c r="E459" s="9"/>
      <c r="F459" s="9"/>
      <c r="G459" s="9"/>
      <c r="H459" s="9"/>
      <c r="I459" s="58">
        <f>I456</f>
        <v>390.54744198548519</v>
      </c>
      <c r="J459" s="39">
        <f t="shared" ref="J459:AG459" si="1224">J384/J$237</f>
        <v>10278.036015257696</v>
      </c>
      <c r="K459" s="39">
        <f t="shared" si="1224"/>
        <v>16556.115044247788</v>
      </c>
      <c r="L459" s="39">
        <f t="shared" si="1224"/>
        <v>17363.318900602411</v>
      </c>
      <c r="M459" s="97">
        <f t="shared" si="1224"/>
        <v>17363.318900602411</v>
      </c>
      <c r="N459" s="39">
        <f t="shared" si="1224"/>
        <v>18208.150895603401</v>
      </c>
      <c r="O459" s="39">
        <f t="shared" si="1224"/>
        <v>19175.46006868011</v>
      </c>
      <c r="P459" s="39">
        <f t="shared" si="1224"/>
        <v>34162.288288288291</v>
      </c>
      <c r="Q459" s="39">
        <f t="shared" si="1224"/>
        <v>37273.312911073073</v>
      </c>
      <c r="R459" s="39">
        <f t="shared" si="1224"/>
        <v>37273.312911073073</v>
      </c>
      <c r="S459" s="39">
        <f t="shared" si="1224"/>
        <v>41471.04555153539</v>
      </c>
      <c r="T459" s="39">
        <f t="shared" si="1224"/>
        <v>42374.722016308377</v>
      </c>
      <c r="U459" s="39">
        <f t="shared" si="1224"/>
        <v>43714.293537787511</v>
      </c>
      <c r="V459" s="39">
        <f t="shared" si="1224"/>
        <v>42124.588808233028</v>
      </c>
      <c r="W459" s="39">
        <f t="shared" si="1224"/>
        <v>42124.588808233028</v>
      </c>
      <c r="X459" s="39">
        <f t="shared" si="1224"/>
        <v>48574.716911082236</v>
      </c>
      <c r="Y459" s="39">
        <f t="shared" si="1224"/>
        <v>49573.922495274106</v>
      </c>
      <c r="Z459" s="39">
        <f t="shared" si="1224"/>
        <v>52714.164251207731</v>
      </c>
      <c r="AA459" s="39">
        <f t="shared" si="1224"/>
        <v>59631.388311805618</v>
      </c>
      <c r="AB459" s="39">
        <f t="shared" si="1224"/>
        <v>59631.388311805618</v>
      </c>
      <c r="AC459" s="39">
        <f t="shared" si="1224"/>
        <v>58331.696509314526</v>
      </c>
      <c r="AD459" s="39">
        <f t="shared" si="1224"/>
        <v>50832.684060042884</v>
      </c>
      <c r="AE459" s="39">
        <f t="shared" si="1224"/>
        <v>50458.198574161019</v>
      </c>
      <c r="AF459" s="39">
        <f t="shared" si="1224"/>
        <v>43220.475529046489</v>
      </c>
      <c r="AG459" s="39">
        <f t="shared" si="1224"/>
        <v>43220.475529046489</v>
      </c>
      <c r="AH459" s="39">
        <f t="shared" ref="AH459" si="1225">AH384/AH$237</f>
        <v>38133.911325724315</v>
      </c>
      <c r="AI459" s="39">
        <f t="shared" ref="AI459:AJ459" si="1226">AI384/AI$237</f>
        <v>35397.693529452386</v>
      </c>
      <c r="AJ459" s="39">
        <f t="shared" si="1226"/>
        <v>33821.612660135645</v>
      </c>
      <c r="AK459" s="39">
        <f t="shared" ref="AK459:AM459" si="1227">AK384/AK$237</f>
        <v>33480.993035272972</v>
      </c>
      <c r="AL459" s="39">
        <f t="shared" si="1227"/>
        <v>33480.993035272972</v>
      </c>
      <c r="AM459" s="39">
        <f t="shared" si="1227"/>
        <v>33069.687564659631</v>
      </c>
      <c r="AN459" s="39">
        <f t="shared" ref="AN459:AP459" si="1228">AN384/AN$237</f>
        <v>33426.139858269817</v>
      </c>
      <c r="AO459" s="39">
        <f t="shared" si="1228"/>
        <v>32770.196714376361</v>
      </c>
      <c r="AP459" s="39">
        <f t="shared" si="1228"/>
        <v>30912.2052704577</v>
      </c>
      <c r="AQ459" s="39">
        <f t="shared" ref="AQ459:BS459" si="1229">AQ456+AQ458</f>
        <v>30912.206129835045</v>
      </c>
      <c r="AR459" s="39">
        <f t="shared" ref="AR459:AU459" si="1230">AR384/AR$237</f>
        <v>31287.620289315208</v>
      </c>
      <c r="AS459" s="39">
        <f t="shared" si="1230"/>
        <v>28101.632452883066</v>
      </c>
      <c r="AT459" s="39">
        <f t="shared" si="1230"/>
        <v>26878.758376533064</v>
      </c>
      <c r="AU459" s="39">
        <f t="shared" si="1230"/>
        <v>24395.712948100587</v>
      </c>
      <c r="AV459" s="39">
        <f t="shared" si="1229"/>
        <v>24395.712948100583</v>
      </c>
      <c r="AW459" s="39">
        <f t="shared" ref="AW459:AY459" si="1231">AW384/AW$237</f>
        <v>25136.965679165802</v>
      </c>
      <c r="AX459" s="39">
        <f t="shared" si="1231"/>
        <v>25378.412144008598</v>
      </c>
      <c r="AY459" s="39">
        <f t="shared" si="1231"/>
        <v>23144.168369954012</v>
      </c>
      <c r="AZ459" s="39">
        <f t="shared" si="1229"/>
        <v>22257.504643440581</v>
      </c>
      <c r="BA459" s="39">
        <f t="shared" si="1229"/>
        <v>22257.504643440578</v>
      </c>
      <c r="BB459" s="39">
        <f t="shared" si="1229"/>
        <v>20529.168369954008</v>
      </c>
      <c r="BC459" s="39">
        <f t="shared" si="1229"/>
        <v>18825.000233210725</v>
      </c>
      <c r="BD459" s="39">
        <f t="shared" si="1229"/>
        <v>17109.168369954008</v>
      </c>
      <c r="BE459" s="39">
        <f t="shared" si="1229"/>
        <v>15418.75243832565</v>
      </c>
      <c r="BF459" s="39">
        <f t="shared" si="1229"/>
        <v>15418.752438325651</v>
      </c>
      <c r="BG459" s="39">
        <f t="shared" si="1229"/>
        <v>14104.168369954008</v>
      </c>
      <c r="BH459" s="39">
        <f t="shared" si="1229"/>
        <v>12759.376335768187</v>
      </c>
      <c r="BI459" s="39">
        <f t="shared" si="1229"/>
        <v>11379.168369954008</v>
      </c>
      <c r="BJ459" s="39">
        <f t="shared" si="1229"/>
        <v>9260.165315987244</v>
      </c>
      <c r="BK459" s="39">
        <f t="shared" si="1229"/>
        <v>9260.165315987244</v>
      </c>
      <c r="BL459" s="39">
        <f t="shared" si="1229"/>
        <v>8000.165315987244</v>
      </c>
      <c r="BM459" s="39">
        <f t="shared" si="1229"/>
        <v>6720.165315987244</v>
      </c>
      <c r="BN459" s="39">
        <f t="shared" si="1229"/>
        <v>5420.165315987244</v>
      </c>
      <c r="BO459" s="39">
        <f t="shared" si="1229"/>
        <v>4100.165315987244</v>
      </c>
      <c r="BP459" s="39">
        <f t="shared" si="1229"/>
        <v>4100.165315987244</v>
      </c>
      <c r="BQ459" s="39">
        <f t="shared" si="1229"/>
        <v>2760.165315987244</v>
      </c>
      <c r="BR459" s="39">
        <f t="shared" si="1229"/>
        <v>1385.165315987244</v>
      </c>
      <c r="BS459" s="39">
        <f t="shared" si="1229"/>
        <v>0.16531598724395735</v>
      </c>
    </row>
    <row r="460" spans="1:71">
      <c r="M460" s="98" t="s">
        <v>387</v>
      </c>
      <c r="N460" s="71"/>
      <c r="O460" s="71"/>
      <c r="P460" s="71"/>
      <c r="Q460" s="71"/>
      <c r="R460" s="71"/>
    </row>
    <row r="461" spans="1:71">
      <c r="A461" s="3" t="s">
        <v>217</v>
      </c>
      <c r="S461" s="123" t="s">
        <v>545</v>
      </c>
      <c r="T461" s="12"/>
      <c r="U461" s="12"/>
      <c r="V461" s="12"/>
      <c r="W461" s="12"/>
      <c r="X461" s="12"/>
    </row>
    <row r="462" spans="1:71">
      <c r="R462" s="98" t="s">
        <v>388</v>
      </c>
      <c r="S462" s="71"/>
      <c r="T462" s="71"/>
      <c r="U462" s="71"/>
      <c r="V462" s="71"/>
      <c r="W462" s="71"/>
      <c r="X462" s="71"/>
      <c r="Y462" s="71"/>
      <c r="Z462" s="71"/>
      <c r="AA462" s="71"/>
      <c r="AH462" s="98" t="s">
        <v>671</v>
      </c>
      <c r="AI462" s="71"/>
      <c r="AJ462" s="71"/>
      <c r="AK462" s="71"/>
      <c r="AL462" s="71"/>
      <c r="AM462" s="71"/>
      <c r="AN462" s="71"/>
      <c r="AO462" s="71"/>
      <c r="AP462" s="71"/>
      <c r="AQ462" s="71"/>
      <c r="AR462" s="71"/>
      <c r="AS462" s="71"/>
      <c r="BE462" s="782" t="s">
        <v>2880</v>
      </c>
      <c r="BF462" s="745"/>
      <c r="BG462" s="745"/>
      <c r="BH462" s="745"/>
      <c r="BI462" s="745"/>
      <c r="BJ462" s="745"/>
      <c r="BK462" s="745"/>
      <c r="BL462" s="745"/>
      <c r="BM462" s="745"/>
      <c r="BN462" s="745"/>
      <c r="BO462" s="745"/>
      <c r="BP462" s="745"/>
    </row>
    <row r="463" spans="1:71">
      <c r="A463" s="1" t="s">
        <v>218</v>
      </c>
      <c r="J463" s="38">
        <f>I471</f>
        <v>0</v>
      </c>
      <c r="K463" s="38">
        <f>J471</f>
        <v>5860.1921370297587</v>
      </c>
      <c r="L463" s="38">
        <f>K471</f>
        <v>9584.6897225690846</v>
      </c>
      <c r="M463" s="76">
        <v>0</v>
      </c>
      <c r="N463" s="38">
        <f>M471</f>
        <v>10900.839588595378</v>
      </c>
      <c r="O463" s="38">
        <f>N471</f>
        <v>11716.324784737764</v>
      </c>
      <c r="P463" s="38">
        <f>O471</f>
        <v>11819.237557673008</v>
      </c>
      <c r="Q463" s="38">
        <f>P471</f>
        <v>19901.232954619376</v>
      </c>
      <c r="R463" s="107">
        <f>R446*M471/M496</f>
        <v>10434.320160229046</v>
      </c>
      <c r="S463" s="141">
        <f>R474</f>
        <v>20435.517</v>
      </c>
      <c r="T463" s="38">
        <f>S471</f>
        <v>21873.684975253967</v>
      </c>
      <c r="U463" s="38">
        <f>T471</f>
        <v>24218.325302494712</v>
      </c>
      <c r="V463" s="38">
        <f>U471</f>
        <v>25153.113350542786</v>
      </c>
      <c r="W463" s="125">
        <f>R474</f>
        <v>20435.517</v>
      </c>
      <c r="X463" s="141">
        <f>W474</f>
        <v>26480.455999999998</v>
      </c>
      <c r="Y463" s="38">
        <f>X471</f>
        <v>28616.121517126263</v>
      </c>
      <c r="Z463" s="38">
        <f>Y471</f>
        <v>27348.679788956466</v>
      </c>
      <c r="AA463" s="38">
        <f>Z471</f>
        <v>26215.979825715385</v>
      </c>
      <c r="AB463" s="125">
        <f>W474</f>
        <v>26480.455999999998</v>
      </c>
      <c r="AC463" s="141">
        <f>AB474</f>
        <v>21208.608</v>
      </c>
      <c r="AD463" s="38">
        <f>AC471</f>
        <v>20101.368900904945</v>
      </c>
      <c r="AE463" s="38">
        <f>AD471</f>
        <v>18876.266530513069</v>
      </c>
      <c r="AF463" s="38">
        <f>AE471</f>
        <v>18612.463692408044</v>
      </c>
      <c r="AG463" s="125">
        <f>AB474</f>
        <v>21208.608</v>
      </c>
      <c r="AH463" s="141">
        <f>AG474</f>
        <v>18458.132313262566</v>
      </c>
      <c r="AI463" s="38">
        <f>AH471</f>
        <v>17991.188514893645</v>
      </c>
      <c r="AJ463" s="38">
        <f>AI471</f>
        <v>17764.232557411706</v>
      </c>
      <c r="AK463" s="38">
        <f>AJ471</f>
        <v>17416.681069403436</v>
      </c>
      <c r="AL463" s="125">
        <f>AG474</f>
        <v>18458.132313262566</v>
      </c>
      <c r="AM463" s="141">
        <f>AL474</f>
        <v>17342.373</v>
      </c>
      <c r="AN463" s="38">
        <f>AM471</f>
        <v>16886.95061225813</v>
      </c>
      <c r="AO463" s="38">
        <f>AN471</f>
        <v>16619.728777024266</v>
      </c>
      <c r="AP463" s="38">
        <f>AO471</f>
        <v>14953.897480831205</v>
      </c>
      <c r="AQ463" s="125">
        <f>AL474</f>
        <v>17342.373</v>
      </c>
      <c r="AR463" s="141">
        <f>AQ474</f>
        <v>13310.031999999999</v>
      </c>
      <c r="AS463" s="38">
        <f>AR471</f>
        <v>12488.941091865856</v>
      </c>
      <c r="AT463" s="38">
        <f>AS471</f>
        <v>7962.7266124986591</v>
      </c>
      <c r="AU463" s="38">
        <f>AT471</f>
        <v>7243.0246829118378</v>
      </c>
      <c r="AV463" s="125">
        <f>AQ474</f>
        <v>13310.031999999999</v>
      </c>
      <c r="AW463" s="141">
        <f>AV474</f>
        <v>4924.5912849516799</v>
      </c>
      <c r="AX463" s="38">
        <f>AW471</f>
        <v>4303.0303393738386</v>
      </c>
      <c r="AY463" s="38">
        <f>AX471</f>
        <v>4220.9487155028391</v>
      </c>
      <c r="AZ463" s="38">
        <f>AY471</f>
        <v>3904.003053966765</v>
      </c>
      <c r="BA463" s="125">
        <f>AV474</f>
        <v>4924.5912849516799</v>
      </c>
      <c r="BB463" s="141">
        <f>BA474</f>
        <v>3927.3393274533341</v>
      </c>
      <c r="BC463" s="38">
        <f>BB471</f>
        <v>3554.003053966765</v>
      </c>
      <c r="BD463" s="38">
        <f>BC471</f>
        <v>3219.8349172234807</v>
      </c>
      <c r="BE463" s="38">
        <f>BD471</f>
        <v>2854.003053966765</v>
      </c>
      <c r="BF463" s="125">
        <f>BA474</f>
        <v>3927.3393274533341</v>
      </c>
      <c r="BG463" s="778">
        <f>BF474</f>
        <v>2518.5871223384074</v>
      </c>
      <c r="BH463" s="778">
        <f>BG471</f>
        <v>2254.003053966765</v>
      </c>
      <c r="BI463" s="778">
        <f>BH471</f>
        <v>1964.2110197809438</v>
      </c>
      <c r="BJ463" s="778">
        <f>BI471</f>
        <v>1654.003053966765</v>
      </c>
      <c r="BK463" s="726">
        <f>BF474</f>
        <v>2518.5871223384074</v>
      </c>
      <c r="BL463" s="778">
        <f>BK474</f>
        <v>0</v>
      </c>
      <c r="BM463" s="778">
        <f>BL471</f>
        <v>0</v>
      </c>
      <c r="BN463" s="778">
        <f>BM471</f>
        <v>0</v>
      </c>
      <c r="BO463" s="778">
        <f>BN471</f>
        <v>0</v>
      </c>
      <c r="BP463" s="726">
        <f>BK474</f>
        <v>0</v>
      </c>
    </row>
    <row r="464" spans="1:71">
      <c r="A464" s="1" t="s">
        <v>229</v>
      </c>
      <c r="J464" s="38">
        <f t="shared" ref="J464:L467" si="1232">J389/J$102</f>
        <v>50.161108546789499</v>
      </c>
      <c r="K464" s="38">
        <f t="shared" si="1232"/>
        <v>132.3402262909546</v>
      </c>
      <c r="L464" s="38">
        <f t="shared" si="1232"/>
        <v>179.43465040012887</v>
      </c>
      <c r="M464" s="38">
        <f>SUM(I464:L464)</f>
        <v>361.93598523787296</v>
      </c>
      <c r="N464" s="38">
        <f t="shared" ref="N464:Q467" si="1233">N389/N$102</f>
        <v>179.12795510992549</v>
      </c>
      <c r="O464" s="38">
        <f t="shared" si="1233"/>
        <v>189.90587180636487</v>
      </c>
      <c r="P464" s="38">
        <f t="shared" si="1233"/>
        <v>231.16192501994152</v>
      </c>
      <c r="Q464" s="38">
        <f t="shared" si="1233"/>
        <v>325.66539923954372</v>
      </c>
      <c r="R464" s="38">
        <f>SUM(N464:Q464)</f>
        <v>925.8611511757756</v>
      </c>
      <c r="S464" s="38">
        <f t="shared" ref="S464:V467" si="1234">S389/S$102</f>
        <v>354.5181818181818</v>
      </c>
      <c r="T464" s="38">
        <f t="shared" si="1234"/>
        <v>431.8384401114206</v>
      </c>
      <c r="U464" s="38">
        <f t="shared" si="1234"/>
        <v>423.90346852633508</v>
      </c>
      <c r="V464" s="38">
        <f t="shared" si="1234"/>
        <v>440.1666361472258</v>
      </c>
      <c r="W464" s="38">
        <f>SUM(S464:V464)</f>
        <v>1650.4267266031632</v>
      </c>
      <c r="X464" s="38">
        <f t="shared" ref="X464:AA467" si="1235">X389/X$102</f>
        <v>463.90384258399854</v>
      </c>
      <c r="Y464" s="38">
        <f t="shared" si="1235"/>
        <v>499.92444276539482</v>
      </c>
      <c r="Z464" s="38">
        <f t="shared" si="1235"/>
        <v>473.5854475825754</v>
      </c>
      <c r="AA464" s="38">
        <f t="shared" si="1235"/>
        <v>427.49435240963857</v>
      </c>
      <c r="AB464" s="38">
        <f>SUM(X464:AA464)</f>
        <v>1864.9080853416074</v>
      </c>
      <c r="AC464" s="38">
        <f t="shared" ref="AC464:AF466" si="1236">AC389/AC$102</f>
        <v>360.91818181818184</v>
      </c>
      <c r="AD464" s="38">
        <f t="shared" si="1236"/>
        <v>348.31175884855617</v>
      </c>
      <c r="AE464" s="38">
        <f t="shared" si="1236"/>
        <v>325.5193661971831</v>
      </c>
      <c r="AF464" s="38">
        <f t="shared" si="1236"/>
        <v>327.50640478223744</v>
      </c>
      <c r="AG464" s="38">
        <f>SUM(AC464:AF464)</f>
        <v>1362.2557116461585</v>
      </c>
      <c r="AH464" s="38">
        <f t="shared" ref="AH464:AI464" si="1237">AH389/AH$102</f>
        <v>315.38282703037822</v>
      </c>
      <c r="AI464" s="38">
        <f t="shared" si="1237"/>
        <v>314.45774444764925</v>
      </c>
      <c r="AJ464" s="38">
        <f t="shared" ref="AJ464:AK464" si="1238">AJ389/AJ$102</f>
        <v>309.23066024369513</v>
      </c>
      <c r="AK464" s="38">
        <f t="shared" si="1238"/>
        <v>296.21041572865079</v>
      </c>
      <c r="AL464" s="38">
        <f>SUM(AH464:AK464)</f>
        <v>1235.2816474503734</v>
      </c>
      <c r="AM464" s="38">
        <f t="shared" ref="AM464:AN464" si="1239">AM389/AM$102</f>
        <v>294.82296720005792</v>
      </c>
      <c r="AN464" s="38">
        <f t="shared" si="1239"/>
        <v>292.01732673267327</v>
      </c>
      <c r="AO464" s="38">
        <f>AO389/AO$102</f>
        <v>282.18367346938777</v>
      </c>
      <c r="AP464" s="38">
        <f t="shared" ref="AP464:AP466" si="1240">AP389/AP$102</f>
        <v>251.76844525596806</v>
      </c>
      <c r="AQ464" s="38">
        <f>SUM(AM464:AP464)</f>
        <v>1120.792412658087</v>
      </c>
      <c r="AR464" s="38">
        <f>AR389/AR$102</f>
        <v>223.29904810579441</v>
      </c>
      <c r="AS464" s="38">
        <f t="shared" ref="AS464" si="1241">AS389/AS$102</f>
        <v>179.01637162252098</v>
      </c>
      <c r="AT464" s="38">
        <f>AT389/AT$102</f>
        <v>135.43484007401534</v>
      </c>
      <c r="AU464" s="38">
        <f t="shared" ref="AU464:AU466" si="1242">AU389/AU$102</f>
        <v>103.66132723112129</v>
      </c>
      <c r="AV464" s="38">
        <f>SUM(AR464:AU464)</f>
        <v>641.41158703345207</v>
      </c>
      <c r="AW464" s="38">
        <f>AW389/AW$102</f>
        <v>82.202631035195267</v>
      </c>
      <c r="AX464" s="38">
        <f t="shared" ref="AX464" si="1243">AX389/AX$102</f>
        <v>66.840677966101694</v>
      </c>
      <c r="AY464" s="38">
        <f>AY389/AY$102</f>
        <v>67.274733835367442</v>
      </c>
      <c r="AZ464" s="55">
        <f>MROUND($I$365*AY471+($I$365*0.5*AZ465), 5)</f>
        <v>65</v>
      </c>
      <c r="BA464" s="38">
        <f>SUM(AW464:AZ464)</f>
        <v>281.3180428366644</v>
      </c>
      <c r="BB464" s="55">
        <f>MROUND($I$365*BA471+($I$365*0.5*BB465), 5)</f>
        <v>65</v>
      </c>
      <c r="BC464" s="55">
        <f>MROUND($I$365*BB471+($I$365*0.5*BC465), 5)</f>
        <v>60</v>
      </c>
      <c r="BD464" s="55">
        <f>MROUND($I$365*BC471+($I$365*0.5*BD465), 5)</f>
        <v>55</v>
      </c>
      <c r="BE464" s="55">
        <f>MROUND($I$365*BD471+($I$365*0.5*BE465), 5)</f>
        <v>50</v>
      </c>
      <c r="BF464" s="38">
        <f>SUM(BB464:BE464)</f>
        <v>230</v>
      </c>
      <c r="BG464" s="55">
        <f>MROUND($I$365*BF471+($I$365*0.5*BG465), 5)</f>
        <v>45</v>
      </c>
      <c r="BH464" s="55">
        <f>MROUND($I$365*BG471+($I$365*0.5*BH465), 5)</f>
        <v>40</v>
      </c>
      <c r="BI464" s="55">
        <f>MROUND($I$365*BH471+($I$365*0.5*BI465), 5)</f>
        <v>35</v>
      </c>
      <c r="BJ464" s="55">
        <f>MROUND($I$365*BI471+($I$365*0.5*BJ465), 5)</f>
        <v>30</v>
      </c>
      <c r="BK464" s="38">
        <f>SUM(BG464:BJ464)</f>
        <v>150</v>
      </c>
      <c r="BL464" s="778"/>
      <c r="BM464" s="778"/>
      <c r="BN464" s="778"/>
      <c r="BO464" s="778"/>
      <c r="BP464" s="777">
        <f>SUM(BL464:BO464)</f>
        <v>0</v>
      </c>
    </row>
    <row r="465" spans="1:68">
      <c r="A465" s="1" t="s">
        <v>219</v>
      </c>
      <c r="J465" s="38">
        <f t="shared" si="1232"/>
        <v>5881.0604716953076</v>
      </c>
      <c r="K465" s="38">
        <f t="shared" si="1232"/>
        <v>3796.6775174107097</v>
      </c>
      <c r="L465" s="38">
        <f t="shared" si="1232"/>
        <v>1137.3055169634579</v>
      </c>
      <c r="M465" s="38">
        <f>SUM(I465:L465)</f>
        <v>10815.043506069474</v>
      </c>
      <c r="N465" s="38">
        <f t="shared" si="1233"/>
        <v>1017.01323891504</v>
      </c>
      <c r="O465" s="38">
        <f t="shared" si="1233"/>
        <v>1176.8471592424648</v>
      </c>
      <c r="P465" s="38">
        <f t="shared" si="1233"/>
        <v>8109.0446818255932</v>
      </c>
      <c r="Q465" s="38">
        <f t="shared" si="1233"/>
        <v>1272.4118801485147</v>
      </c>
      <c r="R465" s="38">
        <f>SUM(N465:Q465)</f>
        <v>11575.316960131613</v>
      </c>
      <c r="S465" s="38">
        <f t="shared" si="1234"/>
        <v>1722.8963277888279</v>
      </c>
      <c r="T465" s="38">
        <f t="shared" si="1234"/>
        <v>4950.644354644116</v>
      </c>
      <c r="U465" s="38">
        <f t="shared" si="1234"/>
        <v>1187.616416633686</v>
      </c>
      <c r="V465" s="38">
        <f t="shared" si="1234"/>
        <v>1373.1632586183923</v>
      </c>
      <c r="W465" s="38">
        <f>SUM(S465:V465)</f>
        <v>9234.320357685021</v>
      </c>
      <c r="X465" s="38">
        <f t="shared" si="1235"/>
        <v>3548.6356042324114</v>
      </c>
      <c r="Y465" s="38">
        <f t="shared" si="1235"/>
        <v>0</v>
      </c>
      <c r="Z465" s="38">
        <f t="shared" si="1235"/>
        <v>48.185734801340352</v>
      </c>
      <c r="AA465" s="38">
        <f t="shared" si="1235"/>
        <v>962.63177710843377</v>
      </c>
      <c r="AB465" s="38">
        <f>SUM(X465:AA465)</f>
        <v>4559.4531161421855</v>
      </c>
      <c r="AC465" s="141">
        <f t="shared" si="1236"/>
        <v>386.44609090909091</v>
      </c>
      <c r="AD465" s="141">
        <f t="shared" si="1236"/>
        <v>72.452340001810441</v>
      </c>
      <c r="AE465" s="141">
        <f t="shared" si="1236"/>
        <v>301.60633802816898</v>
      </c>
      <c r="AF465" s="141">
        <f t="shared" si="1236"/>
        <v>296.43040136635358</v>
      </c>
      <c r="AG465" s="38">
        <f>SUM(AC465:AF465)</f>
        <v>1056.935170305424</v>
      </c>
      <c r="AH465" s="141">
        <f t="shared" ref="AH465:AI465" si="1244">AH390/AH$102</f>
        <v>36.456292622442653</v>
      </c>
      <c r="AI465" s="141">
        <f t="shared" si="1244"/>
        <v>0</v>
      </c>
      <c r="AJ465" s="141">
        <f t="shared" ref="AJ465:AK465" si="1245">AJ390/AJ$102</f>
        <v>43.839968829696801</v>
      </c>
      <c r="AK465" s="141">
        <f t="shared" si="1245"/>
        <v>0</v>
      </c>
      <c r="AL465" s="38">
        <f>SUM(AH465:AK465)</f>
        <v>80.296261452139447</v>
      </c>
      <c r="AM465" s="141">
        <f>AM390/AM$102</f>
        <v>0</v>
      </c>
      <c r="AN465" s="141">
        <f t="shared" ref="AN465:AO465" si="1246">AN390/AN$102</f>
        <v>0</v>
      </c>
      <c r="AO465" s="141">
        <f t="shared" si="1246"/>
        <v>0</v>
      </c>
      <c r="AP465" s="141">
        <f t="shared" si="1240"/>
        <v>0</v>
      </c>
      <c r="AQ465" s="38">
        <f>SUM(AM465:AP465)</f>
        <v>0</v>
      </c>
      <c r="AR465" s="141">
        <f>AR390/AR$102</f>
        <v>0</v>
      </c>
      <c r="AS465" s="141">
        <f t="shared" ref="AS465:AT466" si="1247">AS390/AS$102</f>
        <v>0</v>
      </c>
      <c r="AT465" s="141">
        <f t="shared" si="1247"/>
        <v>0</v>
      </c>
      <c r="AU465" s="141">
        <f t="shared" si="1242"/>
        <v>0</v>
      </c>
      <c r="AV465" s="38">
        <f>SUM(AR465:AU465)</f>
        <v>0</v>
      </c>
      <c r="AW465" s="141">
        <f>AW390/AW$102</f>
        <v>0</v>
      </c>
      <c r="AX465" s="141">
        <f t="shared" ref="AX465:AY465" si="1248">AX390/AX$102</f>
        <v>0</v>
      </c>
      <c r="AY465" s="141">
        <f t="shared" si="1248"/>
        <v>0</v>
      </c>
      <c r="AZ465" s="80">
        <f t="shared" ref="AZ465:BE465" si="1249">AZ346*AZ660</f>
        <v>0</v>
      </c>
      <c r="BA465" s="38">
        <f>SUM(AW465:AZ465)</f>
        <v>0</v>
      </c>
      <c r="BB465" s="80">
        <f t="shared" si="1249"/>
        <v>0</v>
      </c>
      <c r="BC465" s="80">
        <f t="shared" si="1249"/>
        <v>0</v>
      </c>
      <c r="BD465" s="80">
        <f t="shared" si="1249"/>
        <v>0</v>
      </c>
      <c r="BE465" s="80">
        <f t="shared" si="1249"/>
        <v>0</v>
      </c>
      <c r="BF465" s="38">
        <f>SUM(BB465:BE465)</f>
        <v>0</v>
      </c>
      <c r="BG465" s="80">
        <f t="shared" ref="BG465:BJ465" si="1250">BG346*BG660</f>
        <v>0</v>
      </c>
      <c r="BH465" s="80">
        <f t="shared" si="1250"/>
        <v>0</v>
      </c>
      <c r="BI465" s="80">
        <f t="shared" si="1250"/>
        <v>0</v>
      </c>
      <c r="BJ465" s="80">
        <f t="shared" si="1250"/>
        <v>0</v>
      </c>
      <c r="BK465" s="38">
        <f>SUM(BG465:BJ465)</f>
        <v>0</v>
      </c>
      <c r="BL465" s="778"/>
      <c r="BM465" s="778"/>
      <c r="BN465" s="778"/>
      <c r="BO465" s="778"/>
      <c r="BP465" s="777">
        <f>SUM(BL465:BO465)</f>
        <v>0</v>
      </c>
    </row>
    <row r="466" spans="1:68">
      <c r="A466" s="1" t="s">
        <v>220</v>
      </c>
      <c r="J466" s="38">
        <f t="shared" si="1232"/>
        <v>0</v>
      </c>
      <c r="K466" s="38">
        <f t="shared" si="1232"/>
        <v>-181.89623365250696</v>
      </c>
      <c r="L466" s="38">
        <f t="shared" si="1232"/>
        <v>0</v>
      </c>
      <c r="M466" s="38">
        <f>SUM(I466:L466)</f>
        <v>-181.89623365250696</v>
      </c>
      <c r="N466" s="38">
        <f t="shared" si="1233"/>
        <v>-349.23190138901668</v>
      </c>
      <c r="O466" s="38">
        <f t="shared" si="1233"/>
        <v>-169.83415508740475</v>
      </c>
      <c r="P466" s="38">
        <f t="shared" si="1233"/>
        <v>-251.23637330497209</v>
      </c>
      <c r="Q466" s="38">
        <f t="shared" si="1233"/>
        <v>-58.274488502625388</v>
      </c>
      <c r="R466" s="38">
        <f>SUM(N466:Q466)</f>
        <v>-828.5769182840188</v>
      </c>
      <c r="S466" s="38">
        <f t="shared" si="1234"/>
        <v>-621.9</v>
      </c>
      <c r="T466" s="38">
        <f t="shared" si="1234"/>
        <v>-321.81987000928507</v>
      </c>
      <c r="U466" s="38">
        <f t="shared" si="1234"/>
        <v>-709.83694255826754</v>
      </c>
      <c r="V466" s="38">
        <f t="shared" si="1234"/>
        <v>-294.91164621864129</v>
      </c>
      <c r="W466" s="38">
        <f>SUM(S466:V466)</f>
        <v>-1948.4684587861939</v>
      </c>
      <c r="X466" s="38">
        <f t="shared" si="1235"/>
        <v>-611.15416744013373</v>
      </c>
      <c r="Y466" s="38">
        <f t="shared" si="1235"/>
        <v>-310.9451737816396</v>
      </c>
      <c r="Z466" s="38">
        <f t="shared" si="1235"/>
        <v>-665.15198659645762</v>
      </c>
      <c r="AA466" s="38">
        <f t="shared" si="1235"/>
        <v>-326.97253859186748</v>
      </c>
      <c r="AB466" s="38">
        <f>SUM(X466:AA466)</f>
        <v>-1914.2238664100985</v>
      </c>
      <c r="AC466" s="38">
        <f t="shared" si="1236"/>
        <v>-458.0039772727273</v>
      </c>
      <c r="AD466" s="38">
        <f t="shared" si="1236"/>
        <v>-228.02768851271838</v>
      </c>
      <c r="AE466" s="38">
        <f t="shared" si="1236"/>
        <v>-442.48927156690144</v>
      </c>
      <c r="AF466" s="38">
        <f t="shared" si="1236"/>
        <v>-214.63185845431255</v>
      </c>
      <c r="AG466" s="38">
        <f>SUM(AC466:AF466)</f>
        <v>-1343.1527958066597</v>
      </c>
      <c r="AH466" s="38">
        <f>AH391/AH$102</f>
        <v>-417.813153867018</v>
      </c>
      <c r="AI466" s="38">
        <f t="shared" ref="AI466" si="1251">AI391/AI$102</f>
        <v>-194.38494871286414</v>
      </c>
      <c r="AJ466" s="38">
        <f t="shared" ref="AJ466:AK466" si="1252">AJ391/AJ$102</f>
        <v>-427.19393108883537</v>
      </c>
      <c r="AK466" s="38">
        <f t="shared" si="1252"/>
        <v>-226.25955017447097</v>
      </c>
      <c r="AL466" s="38">
        <f>SUM(AH466:AK466)</f>
        <v>-1265.6515838431883</v>
      </c>
      <c r="AM466" s="38">
        <f>AM391/AM$102</f>
        <v>-362.31737270110779</v>
      </c>
      <c r="AN466" s="38">
        <f t="shared" ref="AN466" si="1253">AN391/AN$102</f>
        <v>-172.02850778241887</v>
      </c>
      <c r="AO466" s="38">
        <f>AO391/AO$102</f>
        <v>-400.89914168792518</v>
      </c>
      <c r="AP466" s="38">
        <f t="shared" si="1240"/>
        <v>-199.27021650140324</v>
      </c>
      <c r="AQ466" s="38">
        <f>SUM(AM466:AP466)</f>
        <v>-1134.515238672855</v>
      </c>
      <c r="AR466" s="38">
        <f>AR391/AR$102</f>
        <v>-272.89281981688811</v>
      </c>
      <c r="AS466" s="38">
        <f t="shared" si="1247"/>
        <v>-142.14000095147577</v>
      </c>
      <c r="AT466" s="38">
        <f>AT391/AT$102</f>
        <v>-172.0528909399369</v>
      </c>
      <c r="AU466" s="38">
        <f t="shared" si="1242"/>
        <v>-85.109654975584348</v>
      </c>
      <c r="AV466" s="38">
        <f>SUM(AR466:AU466)</f>
        <v>-672.19536668388514</v>
      </c>
      <c r="AW466" s="38">
        <f>AW391/AW$102</f>
        <v>-101.74583835997228</v>
      </c>
      <c r="AX466" s="38">
        <f t="shared" ref="AX466" si="1254">AX391/AX$102</f>
        <v>-50.076197530455509</v>
      </c>
      <c r="AY466" s="38">
        <f>AY391/AY$102</f>
        <v>-83.327453026861946</v>
      </c>
      <c r="AZ466" s="107">
        <f>0.5*AY466</f>
        <v>-41.663726513430973</v>
      </c>
      <c r="BA466" s="38">
        <f>SUM(AW466:AZ466)</f>
        <v>-276.81321543072073</v>
      </c>
      <c r="BB466" s="107">
        <f>-(AZ464+BB464)-AZ466</f>
        <v>-88.336273486569027</v>
      </c>
      <c r="BC466" s="107">
        <f>0.5*BB466</f>
        <v>-44.168136743284514</v>
      </c>
      <c r="BD466" s="107">
        <f>-(BC464+BD464)-BC466</f>
        <v>-70.831863256715479</v>
      </c>
      <c r="BE466" s="107">
        <f>0.5*BD466</f>
        <v>-35.41593162835774</v>
      </c>
      <c r="BF466" s="38">
        <f>SUM(BB466:BE466)</f>
        <v>-238.75220511492677</v>
      </c>
      <c r="BG466" s="107">
        <f>-(BE464+BG464)-BE466</f>
        <v>-59.58406837164226</v>
      </c>
      <c r="BH466" s="107">
        <f>0.5*BG466</f>
        <v>-29.79203418582113</v>
      </c>
      <c r="BI466" s="107">
        <f>-(BH464+BI464)-BH466</f>
        <v>-45.20796581417887</v>
      </c>
      <c r="BJ466" s="107">
        <f>0.5*BI466</f>
        <v>-22.603982907089435</v>
      </c>
      <c r="BK466" s="38">
        <f>SUM(BG466:BJ466)</f>
        <v>-157.18805127873168</v>
      </c>
      <c r="BL466" s="779"/>
      <c r="BM466" s="779"/>
      <c r="BN466" s="779"/>
      <c r="BO466" s="779"/>
      <c r="BP466" s="777">
        <f>SUM(BL466:BO466)</f>
        <v>0</v>
      </c>
    </row>
    <row r="467" spans="1:68">
      <c r="A467" s="1" t="s">
        <v>221</v>
      </c>
      <c r="J467" s="38">
        <f t="shared" si="1232"/>
        <v>0</v>
      </c>
      <c r="K467" s="38">
        <f t="shared" si="1232"/>
        <v>0</v>
      </c>
      <c r="L467" s="38">
        <f t="shared" si="1232"/>
        <v>-627.39465296702008</v>
      </c>
      <c r="M467" s="38">
        <f>SUM(I467:L467)</f>
        <v>-627.39465296702008</v>
      </c>
      <c r="N467" s="38">
        <f t="shared" si="1233"/>
        <v>-26.623100816517397</v>
      </c>
      <c r="O467" s="38">
        <f t="shared" si="1233"/>
        <v>-1103.4214945839938</v>
      </c>
      <c r="P467" s="38">
        <f t="shared" si="1233"/>
        <v>11.521145483797405</v>
      </c>
      <c r="Q467" s="38">
        <f t="shared" si="1233"/>
        <v>-139.32023336139088</v>
      </c>
      <c r="R467" s="38">
        <f>SUM(N467:Q467)</f>
        <v>-1257.8436832781044</v>
      </c>
      <c r="S467" s="38">
        <f t="shared" si="1234"/>
        <v>0</v>
      </c>
      <c r="T467" s="38">
        <f t="shared" si="1234"/>
        <v>-2712.147823683259</v>
      </c>
      <c r="U467" s="38">
        <f t="shared" si="1234"/>
        <v>29.990964095940281</v>
      </c>
      <c r="V467" s="38">
        <f t="shared" si="1234"/>
        <v>-253.71160665985454</v>
      </c>
      <c r="W467" s="38">
        <f>SUM(S467:V467)</f>
        <v>-2935.8684662471733</v>
      </c>
      <c r="X467" s="38">
        <f t="shared" si="1235"/>
        <v>-1265.7241971412661</v>
      </c>
      <c r="Y467" s="38">
        <f t="shared" si="1235"/>
        <v>-1455.0123961088025</v>
      </c>
      <c r="Z467" s="38">
        <f t="shared" si="1235"/>
        <v>-963.26172809956915</v>
      </c>
      <c r="AA467" s="38">
        <f t="shared" si="1235"/>
        <v>-6138.3442559299701</v>
      </c>
      <c r="AB467" s="38">
        <f>SUM(X467:AA467)</f>
        <v>-9822.3425772796072</v>
      </c>
      <c r="AC467" s="55">
        <f>-AC491</f>
        <v>-1400</v>
      </c>
      <c r="AD467" s="38">
        <f>-AD491</f>
        <v>-1400</v>
      </c>
      <c r="AE467" s="121">
        <f>-AE491</f>
        <v>-450</v>
      </c>
      <c r="AF467" s="38">
        <f>-AF491</f>
        <v>-450</v>
      </c>
      <c r="AG467" s="38">
        <f>SUM(AC467:AF467)</f>
        <v>-3700</v>
      </c>
      <c r="AH467" s="55">
        <f t="shared" ref="AH467:AM467" si="1255">-AH491</f>
        <v>-300</v>
      </c>
      <c r="AI467" s="55">
        <f t="shared" si="1255"/>
        <v>-300</v>
      </c>
      <c r="AJ467" s="38">
        <f>-AJ491</f>
        <v>-300</v>
      </c>
      <c r="AK467" s="55">
        <f>-AK491</f>
        <v>-300</v>
      </c>
      <c r="AL467" s="38">
        <f>SUM(AH467:AK467)</f>
        <v>-1200</v>
      </c>
      <c r="AM467" s="55">
        <f t="shared" si="1255"/>
        <v>-400</v>
      </c>
      <c r="AN467" s="38">
        <f>-AN491</f>
        <v>-400</v>
      </c>
      <c r="AO467" s="38">
        <f>-AO491</f>
        <v>-1500</v>
      </c>
      <c r="AP467" s="38">
        <f>-AP491</f>
        <v>-1700</v>
      </c>
      <c r="AQ467" s="38">
        <f>SUM(AM467:AP467)</f>
        <v>-4000</v>
      </c>
      <c r="AR467" s="38">
        <f>-AR491</f>
        <v>-800</v>
      </c>
      <c r="AS467" s="38">
        <f>-AS491</f>
        <v>-4400</v>
      </c>
      <c r="AT467" s="38">
        <f>-AT491</f>
        <v>-700</v>
      </c>
      <c r="AU467" s="38">
        <f>-AU491</f>
        <v>-2300</v>
      </c>
      <c r="AV467" s="38">
        <f>SUM(AR467:AU467)</f>
        <v>-8200</v>
      </c>
      <c r="AW467" s="38">
        <f>-AW491</f>
        <v>-600</v>
      </c>
      <c r="AX467" s="38">
        <f>-AX491</f>
        <v>-100</v>
      </c>
      <c r="AY467" s="38">
        <f>-AY491</f>
        <v>-300</v>
      </c>
      <c r="AZ467" s="38">
        <f>-AZ491</f>
        <v>0</v>
      </c>
      <c r="BA467" s="38">
        <f>SUM(AW467:AZ467)</f>
        <v>-1000</v>
      </c>
      <c r="BB467" s="38">
        <f>-BB491</f>
        <v>-350</v>
      </c>
      <c r="BC467" s="38">
        <f>-BC491</f>
        <v>-350</v>
      </c>
      <c r="BD467" s="38">
        <f>-BD491</f>
        <v>-350</v>
      </c>
      <c r="BE467" s="38">
        <f>-BE491</f>
        <v>-350</v>
      </c>
      <c r="BF467" s="38">
        <f>SUM(BB467:BE467)</f>
        <v>-1400</v>
      </c>
      <c r="BG467" s="38">
        <f>-BG491</f>
        <v>-250</v>
      </c>
      <c r="BH467" s="38">
        <f>-BH491</f>
        <v>-300</v>
      </c>
      <c r="BI467" s="38">
        <f>-BI491</f>
        <v>-300</v>
      </c>
      <c r="BJ467" s="38">
        <f>-BJ491</f>
        <v>-1661.3990710596756</v>
      </c>
      <c r="BK467" s="38">
        <f>SUM(BG467:BJ467)</f>
        <v>-2511.3990710596754</v>
      </c>
      <c r="BL467" s="778"/>
      <c r="BM467" s="778"/>
      <c r="BN467" s="778"/>
      <c r="BO467" s="778"/>
      <c r="BP467" s="777">
        <f>SUM(BL467:BO467)</f>
        <v>0</v>
      </c>
    </row>
    <row r="468" spans="1:68">
      <c r="A468" s="9" t="s">
        <v>278</v>
      </c>
      <c r="B468" s="9"/>
      <c r="C468" s="9"/>
      <c r="D468" s="9"/>
      <c r="E468" s="9"/>
      <c r="F468" s="9"/>
      <c r="G468" s="9"/>
      <c r="H468" s="9"/>
      <c r="I468" s="75">
        <v>0</v>
      </c>
      <c r="J468" s="48">
        <f t="shared" ref="J468:T468" si="1256">SUM(J463:J467)</f>
        <v>5931.2215802420969</v>
      </c>
      <c r="K468" s="48">
        <f t="shared" si="1256"/>
        <v>9607.3136470789159</v>
      </c>
      <c r="L468" s="48">
        <f t="shared" si="1256"/>
        <v>10274.035236965652</v>
      </c>
      <c r="M468" s="48">
        <f t="shared" si="1256"/>
        <v>10367.688604687821</v>
      </c>
      <c r="N468" s="48">
        <f t="shared" si="1256"/>
        <v>11721.125780414808</v>
      </c>
      <c r="O468" s="48">
        <f t="shared" si="1256"/>
        <v>11809.822166115195</v>
      </c>
      <c r="P468" s="48">
        <f t="shared" si="1256"/>
        <v>19919.728936697371</v>
      </c>
      <c r="Q468" s="48">
        <f t="shared" si="1256"/>
        <v>21301.715512143415</v>
      </c>
      <c r="R468" s="48">
        <f t="shared" si="1256"/>
        <v>20849.077669974311</v>
      </c>
      <c r="S468" s="48">
        <f t="shared" si="1256"/>
        <v>21891.031509607008</v>
      </c>
      <c r="T468" s="48">
        <f t="shared" si="1256"/>
        <v>24222.20007631696</v>
      </c>
      <c r="U468" s="48">
        <f t="shared" ref="U468:X468" si="1257">SUM(U463:U467)</f>
        <v>25149.999209192407</v>
      </c>
      <c r="V468" s="48">
        <f t="shared" si="1257"/>
        <v>26417.819992429908</v>
      </c>
      <c r="W468" s="48">
        <f t="shared" si="1257"/>
        <v>26435.927159254818</v>
      </c>
      <c r="X468" s="48">
        <f t="shared" si="1257"/>
        <v>28616.117082235007</v>
      </c>
      <c r="Y468" s="48">
        <f t="shared" ref="Y468:Z468" si="1258">SUM(Y463:Y467)</f>
        <v>27350.088390001216</v>
      </c>
      <c r="Z468" s="48">
        <f t="shared" si="1258"/>
        <v>26242.037256644355</v>
      </c>
      <c r="AA468" s="48">
        <f t="shared" ref="AA468:AF468" si="1259">SUM(AA463:AA467)</f>
        <v>21140.789160711618</v>
      </c>
      <c r="AB468" s="48">
        <f t="shared" si="1259"/>
        <v>21168.250757794085</v>
      </c>
      <c r="AC468" s="48">
        <f t="shared" si="1259"/>
        <v>20097.968295454546</v>
      </c>
      <c r="AD468" s="48">
        <f t="shared" si="1259"/>
        <v>18894.105311242594</v>
      </c>
      <c r="AE468" s="48">
        <f t="shared" si="1259"/>
        <v>18610.90296317152</v>
      </c>
      <c r="AF468" s="48">
        <f t="shared" si="1259"/>
        <v>18571.768640102324</v>
      </c>
      <c r="AG468" s="48">
        <f t="shared" ref="AG468:AR468" si="1260">SUM(AG463:AG467)</f>
        <v>18584.646086144923</v>
      </c>
      <c r="AH468" s="48">
        <f t="shared" si="1260"/>
        <v>18092.15827904837</v>
      </c>
      <c r="AI468" s="48">
        <f t="shared" si="1260"/>
        <v>17811.26131062843</v>
      </c>
      <c r="AJ468" s="48">
        <f t="shared" si="1260"/>
        <v>17390.109255396263</v>
      </c>
      <c r="AK468" s="48">
        <f t="shared" si="1260"/>
        <v>17186.631934957615</v>
      </c>
      <c r="AL468" s="48">
        <f t="shared" si="1260"/>
        <v>17308.058638321891</v>
      </c>
      <c r="AM468" s="48">
        <f t="shared" si="1260"/>
        <v>16874.878594498947</v>
      </c>
      <c r="AN468" s="48">
        <f t="shared" si="1260"/>
        <v>16606.939431208382</v>
      </c>
      <c r="AO468" s="48">
        <f t="shared" si="1260"/>
        <v>15001.013308805726</v>
      </c>
      <c r="AP468" s="48">
        <f t="shared" si="1260"/>
        <v>13306.39570958577</v>
      </c>
      <c r="AQ468" s="48">
        <f t="shared" ref="AQ468" si="1261">SUM(AQ463:AQ467)</f>
        <v>13328.650173985232</v>
      </c>
      <c r="AR468" s="48">
        <f t="shared" si="1260"/>
        <v>12460.438228288906</v>
      </c>
      <c r="AS468" s="48">
        <f t="shared" ref="AS468:AW468" si="1262">SUM(AS463:AS467)</f>
        <v>8125.8174625369011</v>
      </c>
      <c r="AT468" s="48">
        <f t="shared" si="1262"/>
        <v>7226.1085616327373</v>
      </c>
      <c r="AU468" s="48">
        <f t="shared" si="1262"/>
        <v>4961.5763551673754</v>
      </c>
      <c r="AV468" s="48">
        <f t="shared" si="1262"/>
        <v>5079.2482203495656</v>
      </c>
      <c r="AW468" s="48">
        <f t="shared" si="1262"/>
        <v>4305.0480776269023</v>
      </c>
      <c r="AX468" s="48">
        <f t="shared" ref="AX468:AY468" si="1263">SUM(AX463:AX467)</f>
        <v>4219.7948198094846</v>
      </c>
      <c r="AY468" s="48">
        <f t="shared" si="1263"/>
        <v>3904.8959963113448</v>
      </c>
      <c r="AZ468" s="48">
        <f t="shared" ref="AZ468:BE468" si="1264">SUM(AZ463:AZ467)</f>
        <v>3927.3393274533341</v>
      </c>
      <c r="BA468" s="48">
        <f t="shared" si="1264"/>
        <v>3929.0961123576235</v>
      </c>
      <c r="BB468" s="48">
        <f t="shared" si="1264"/>
        <v>3554.003053966765</v>
      </c>
      <c r="BC468" s="48">
        <f t="shared" si="1264"/>
        <v>3219.8349172234807</v>
      </c>
      <c r="BD468" s="48">
        <f t="shared" si="1264"/>
        <v>2854.003053966765</v>
      </c>
      <c r="BE468" s="48">
        <f t="shared" si="1264"/>
        <v>2518.5871223384074</v>
      </c>
      <c r="BF468" s="48">
        <f t="shared" ref="BF468:BI468" si="1265">SUM(BF463:BF467)</f>
        <v>2518.587122338407</v>
      </c>
      <c r="BG468" s="48">
        <f t="shared" si="1265"/>
        <v>2254.003053966765</v>
      </c>
      <c r="BH468" s="48">
        <f t="shared" si="1265"/>
        <v>1964.2110197809438</v>
      </c>
      <c r="BI468" s="48">
        <f t="shared" si="1265"/>
        <v>1654.003053966765</v>
      </c>
      <c r="BJ468" s="1147">
        <v>0</v>
      </c>
      <c r="BK468" s="48">
        <f t="shared" ref="BK468" si="1266">SUM(BK463:BK467)</f>
        <v>0</v>
      </c>
      <c r="BL468" s="780">
        <f t="shared" ref="BL468:BN468" si="1267">SUM(BL463:BL467)</f>
        <v>0</v>
      </c>
      <c r="BM468" s="780">
        <f t="shared" si="1267"/>
        <v>0</v>
      </c>
      <c r="BN468" s="780">
        <f t="shared" si="1267"/>
        <v>0</v>
      </c>
      <c r="BO468" s="780">
        <f t="shared" ref="BO468:BP468" si="1268">SUM(BO463:BO467)</f>
        <v>0</v>
      </c>
      <c r="BP468" s="781">
        <f t="shared" si="1268"/>
        <v>0</v>
      </c>
    </row>
    <row r="469" spans="1:68">
      <c r="I469" s="65"/>
      <c r="J469" s="65"/>
      <c r="K469" s="65"/>
      <c r="L469" s="65"/>
      <c r="M469" s="65"/>
      <c r="W469" s="36"/>
      <c r="AH469" s="116" t="s">
        <v>648</v>
      </c>
      <c r="AI469" s="115"/>
      <c r="AJ469" s="115"/>
      <c r="AK469" s="115"/>
      <c r="AL469" s="115"/>
      <c r="BI469" s="46"/>
      <c r="BJ469" s="46"/>
      <c r="BK469" s="46"/>
      <c r="BL469" s="46"/>
      <c r="BM469" s="46"/>
      <c r="BN469" s="46"/>
      <c r="BO469" s="155" t="s">
        <v>1252</v>
      </c>
    </row>
    <row r="470" spans="1:68">
      <c r="A470" s="5" t="s">
        <v>287</v>
      </c>
      <c r="I470" s="38"/>
      <c r="J470" s="38">
        <f t="shared" ref="J470:P470" si="1269">J471-J468</f>
        <v>-71.029443212338265</v>
      </c>
      <c r="K470" s="38">
        <f t="shared" si="1269"/>
        <v>-22.62392450983134</v>
      </c>
      <c r="L470" s="38">
        <f t="shared" si="1269"/>
        <v>626.80435162972572</v>
      </c>
      <c r="M470" s="38">
        <f t="shared" si="1269"/>
        <v>533.15098390755702</v>
      </c>
      <c r="N470" s="38">
        <f t="shared" si="1269"/>
        <v>-4.8009956770438293</v>
      </c>
      <c r="O470" s="38">
        <f t="shared" si="1269"/>
        <v>9.4153915578135638</v>
      </c>
      <c r="P470" s="38">
        <f t="shared" si="1269"/>
        <v>-18.495982077994995</v>
      </c>
      <c r="Q470" s="38">
        <f t="shared" ref="Q470" si="1270">Q471-Q468</f>
        <v>-866.19879892600875</v>
      </c>
      <c r="R470" s="38">
        <f t="shared" ref="R470" si="1271">R471-R468</f>
        <v>459.1224305175856</v>
      </c>
      <c r="S470" s="38">
        <f>S471-S468</f>
        <v>-17.346534353040624</v>
      </c>
      <c r="T470" s="38">
        <f>T471-T468</f>
        <v>-3.874773822248244</v>
      </c>
      <c r="U470" s="38">
        <f>U471-U468</f>
        <v>3.1141413503792137</v>
      </c>
      <c r="V470" s="38">
        <f t="shared" ref="V470" si="1272">V471-V468</f>
        <v>62.635764254831884</v>
      </c>
      <c r="W470" s="38">
        <f t="shared" ref="W470" si="1273">W471-W468</f>
        <v>-14.344625429497682</v>
      </c>
      <c r="X470" s="38">
        <f>X471-X468</f>
        <v>4.4348912560963072E-3</v>
      </c>
      <c r="Y470" s="38">
        <f>Y471-Y468</f>
        <v>-1.4086010447499575</v>
      </c>
      <c r="Z470" s="38">
        <f>Z471-Z468</f>
        <v>-26.057430928969552</v>
      </c>
      <c r="AA470" s="38">
        <f t="shared" ref="AA470" si="1274">AA471-AA468</f>
        <v>67.818914439678338</v>
      </c>
      <c r="AB470" s="38">
        <f t="shared" ref="AB470" si="1275">AB471-AB468</f>
        <v>316.34903943234167</v>
      </c>
      <c r="AC470" s="38">
        <f t="shared" ref="AC470:AO470" si="1276">AC471-AC468</f>
        <v>3.4006054503988707</v>
      </c>
      <c r="AD470" s="38">
        <f t="shared" si="1276"/>
        <v>-17.838780729525752</v>
      </c>
      <c r="AE470" s="38">
        <f t="shared" si="1276"/>
        <v>1.5607292365239118</v>
      </c>
      <c r="AF470" s="38">
        <f t="shared" si="1276"/>
        <v>-113.63632683975811</v>
      </c>
      <c r="AG470" s="38">
        <f t="shared" si="1276"/>
        <v>-126.51377288235744</v>
      </c>
      <c r="AH470" s="38">
        <f t="shared" si="1276"/>
        <v>-100.96976415472454</v>
      </c>
      <c r="AI470" s="38">
        <f t="shared" si="1276"/>
        <v>-47.028753216723999</v>
      </c>
      <c r="AJ470" s="38">
        <f t="shared" si="1276"/>
        <v>26.571814007173089</v>
      </c>
      <c r="AK470" s="38">
        <f t="shared" ref="AK470" si="1277">AK471-AK468</f>
        <v>155.74056560405734</v>
      </c>
      <c r="AL470" s="38">
        <f t="shared" ref="AL470" si="1278">AL471-AL468</f>
        <v>-121.31224345292139</v>
      </c>
      <c r="AM470" s="38">
        <f t="shared" si="1276"/>
        <v>12.072017759182927</v>
      </c>
      <c r="AN470" s="38">
        <f t="shared" si="1276"/>
        <v>12.78934581588328</v>
      </c>
      <c r="AO470" s="38">
        <f t="shared" si="1276"/>
        <v>-47.11582797452138</v>
      </c>
      <c r="AP470" s="38">
        <f t="shared" ref="AP470:AT470" si="1279">AP471-AP468</f>
        <v>18.695450268061904</v>
      </c>
      <c r="AQ470" s="38">
        <f t="shared" si="1279"/>
        <v>-3.559014131404183</v>
      </c>
      <c r="AR470" s="38">
        <f t="shared" si="1279"/>
        <v>28.502863576950404</v>
      </c>
      <c r="AS470" s="38">
        <f t="shared" si="1279"/>
        <v>-163.09085003824202</v>
      </c>
      <c r="AT470" s="38">
        <f t="shared" si="1279"/>
        <v>16.91612127910048</v>
      </c>
      <c r="AU470" s="38">
        <f t="shared" ref="AU470:AY470" si="1280">AU471-AU468</f>
        <v>-36.985070215695487</v>
      </c>
      <c r="AV470" s="38">
        <f t="shared" si="1280"/>
        <v>-154.65693539788481</v>
      </c>
      <c r="AW470" s="38">
        <f t="shared" si="1280"/>
        <v>-2.017738253063726</v>
      </c>
      <c r="AX470" s="38">
        <f t="shared" si="1280"/>
        <v>1.1538956933545705</v>
      </c>
      <c r="AY470" s="38">
        <f t="shared" si="1280"/>
        <v>-0.89294234457975108</v>
      </c>
    </row>
    <row r="471" spans="1:68">
      <c r="A471" s="9" t="s">
        <v>278</v>
      </c>
      <c r="B471" s="9"/>
      <c r="C471" s="9"/>
      <c r="D471" s="9"/>
      <c r="E471" s="9"/>
      <c r="F471" s="9"/>
      <c r="G471" s="9"/>
      <c r="H471" s="9"/>
      <c r="I471" s="58">
        <f>I468</f>
        <v>0</v>
      </c>
      <c r="J471" s="39">
        <f t="shared" ref="J471:P471" si="1281">J394/J$237</f>
        <v>5860.1921370297587</v>
      </c>
      <c r="K471" s="39">
        <f t="shared" si="1281"/>
        <v>9584.6897225690846</v>
      </c>
      <c r="L471" s="39">
        <f t="shared" si="1281"/>
        <v>10900.839588595378</v>
      </c>
      <c r="M471" s="39">
        <f t="shared" si="1281"/>
        <v>10900.839588595378</v>
      </c>
      <c r="N471" s="39">
        <f t="shared" si="1281"/>
        <v>11716.324784737764</v>
      </c>
      <c r="O471" s="39">
        <f t="shared" si="1281"/>
        <v>11819.237557673008</v>
      </c>
      <c r="P471" s="39">
        <f t="shared" si="1281"/>
        <v>19901.232954619376</v>
      </c>
      <c r="Q471" s="162">
        <f>Q397/Q$237</f>
        <v>20435.516713217407</v>
      </c>
      <c r="R471" s="39">
        <f t="shared" ref="R471" si="1282">R394/R$237</f>
        <v>21308.200100491897</v>
      </c>
      <c r="S471" s="39">
        <f>S394/S$237</f>
        <v>21873.684975253967</v>
      </c>
      <c r="T471" s="39">
        <f>T394/T$237</f>
        <v>24218.325302494712</v>
      </c>
      <c r="U471" s="39">
        <f>U394/U$237</f>
        <v>25153.113350542786</v>
      </c>
      <c r="V471" s="162">
        <f>V397/V$237</f>
        <v>26480.45575668474</v>
      </c>
      <c r="W471" s="39">
        <f t="shared" ref="W471" si="1283">W394/W$237</f>
        <v>26421.58253382532</v>
      </c>
      <c r="X471" s="39">
        <f>X394/X$237</f>
        <v>28616.121517126263</v>
      </c>
      <c r="Y471" s="39">
        <f>Y394/Y$237</f>
        <v>27348.679788956466</v>
      </c>
      <c r="Z471" s="39">
        <f>Z394/Z$237</f>
        <v>26215.979825715385</v>
      </c>
      <c r="AA471" s="162">
        <f>AA397/AA$237</f>
        <v>21208.608075151296</v>
      </c>
      <c r="AB471" s="39">
        <f t="shared" ref="AB471" si="1284">AB394/AB$237</f>
        <v>21484.599797226427</v>
      </c>
      <c r="AC471" s="39">
        <f t="shared" ref="AC471:AI471" si="1285">AC394/AC$237</f>
        <v>20101.368900904945</v>
      </c>
      <c r="AD471" s="39">
        <f t="shared" si="1285"/>
        <v>18876.266530513069</v>
      </c>
      <c r="AE471" s="39">
        <f t="shared" si="1285"/>
        <v>18612.463692408044</v>
      </c>
      <c r="AF471" s="39">
        <f t="shared" si="1285"/>
        <v>18458.132313262566</v>
      </c>
      <c r="AG471" s="39">
        <f t="shared" si="1285"/>
        <v>18458.132313262566</v>
      </c>
      <c r="AH471" s="39">
        <f t="shared" si="1285"/>
        <v>17991.188514893645</v>
      </c>
      <c r="AI471" s="39">
        <f t="shared" si="1285"/>
        <v>17764.232557411706</v>
      </c>
      <c r="AJ471" s="39">
        <f t="shared" ref="AJ471:AM471" si="1286">AJ394/AJ$237</f>
        <v>17416.681069403436</v>
      </c>
      <c r="AK471" s="162">
        <f>AK397/AK$237</f>
        <v>17342.372500561672</v>
      </c>
      <c r="AL471" s="39">
        <f t="shared" si="1286"/>
        <v>17186.746394868969</v>
      </c>
      <c r="AM471" s="39">
        <f t="shared" si="1286"/>
        <v>16886.95061225813</v>
      </c>
      <c r="AN471" s="39">
        <f>AN394/AN$237</f>
        <v>16619.728777024266</v>
      </c>
      <c r="AO471" s="39">
        <f>AO394/AO$237</f>
        <v>14953.897480831205</v>
      </c>
      <c r="AP471" s="39">
        <f t="shared" ref="AP471:AR471" si="1287">AP394/AP$237</f>
        <v>13325.091159853831</v>
      </c>
      <c r="AQ471" s="39">
        <f t="shared" si="1287"/>
        <v>13325.091159853828</v>
      </c>
      <c r="AR471" s="39">
        <f t="shared" si="1287"/>
        <v>12488.941091865856</v>
      </c>
      <c r="AS471" s="39">
        <f>AS394/AS$237</f>
        <v>7962.7266124986591</v>
      </c>
      <c r="AT471" s="39">
        <f>AT394/AT$237</f>
        <v>7243.0246829118378</v>
      </c>
      <c r="AU471" s="39">
        <f>AU394/AU$237</f>
        <v>4924.5912849516799</v>
      </c>
      <c r="AV471" s="39">
        <f t="shared" ref="AV471:AW471" si="1288">AV394/AV$237</f>
        <v>4924.5912849516808</v>
      </c>
      <c r="AW471" s="39">
        <f t="shared" si="1288"/>
        <v>4303.0303393738386</v>
      </c>
      <c r="AX471" s="39">
        <f>AX394/AX$237</f>
        <v>4220.9487155028391</v>
      </c>
      <c r="AY471" s="39">
        <f>AY394/AY$237</f>
        <v>3904.003053966765</v>
      </c>
      <c r="AZ471" s="39">
        <f t="shared" ref="AZ471:BP471" si="1289">AZ468+AZ470</f>
        <v>3927.3393274533341</v>
      </c>
      <c r="BA471" s="39">
        <f t="shared" si="1289"/>
        <v>3929.0961123576235</v>
      </c>
      <c r="BB471" s="39">
        <f t="shared" si="1289"/>
        <v>3554.003053966765</v>
      </c>
      <c r="BC471" s="39">
        <f t="shared" si="1289"/>
        <v>3219.8349172234807</v>
      </c>
      <c r="BD471" s="39">
        <f t="shared" si="1289"/>
        <v>2854.003053966765</v>
      </c>
      <c r="BE471" s="39">
        <f>BE468+BE470</f>
        <v>2518.5871223384074</v>
      </c>
      <c r="BF471" s="39">
        <f t="shared" si="1289"/>
        <v>2518.587122338407</v>
      </c>
      <c r="BG471" s="39">
        <f t="shared" si="1289"/>
        <v>2254.003053966765</v>
      </c>
      <c r="BH471" s="39">
        <f t="shared" si="1289"/>
        <v>1964.2110197809438</v>
      </c>
      <c r="BI471" s="39">
        <f t="shared" si="1289"/>
        <v>1654.003053966765</v>
      </c>
      <c r="BJ471" s="39">
        <f t="shared" si="1289"/>
        <v>0</v>
      </c>
      <c r="BK471" s="39">
        <f t="shared" si="1289"/>
        <v>0</v>
      </c>
      <c r="BL471" s="39">
        <f t="shared" si="1289"/>
        <v>0</v>
      </c>
      <c r="BM471" s="39">
        <f t="shared" si="1289"/>
        <v>0</v>
      </c>
      <c r="BN471" s="39">
        <f t="shared" si="1289"/>
        <v>0</v>
      </c>
      <c r="BO471" s="39">
        <f t="shared" si="1289"/>
        <v>0</v>
      </c>
      <c r="BP471" s="39">
        <f t="shared" si="1289"/>
        <v>0</v>
      </c>
    </row>
    <row r="472" spans="1:68">
      <c r="I472" s="65"/>
      <c r="J472" s="108"/>
      <c r="K472" s="108"/>
      <c r="L472" s="108"/>
      <c r="M472" s="108"/>
      <c r="N472" s="72"/>
      <c r="O472" s="133" t="s">
        <v>461</v>
      </c>
      <c r="P472" s="44"/>
      <c r="Q472" s="164" t="s">
        <v>546</v>
      </c>
      <c r="R472" s="98" t="s">
        <v>467</v>
      </c>
      <c r="S472" s="72"/>
      <c r="T472" s="72"/>
      <c r="U472" s="72"/>
      <c r="V472" s="71"/>
      <c r="W472" s="112"/>
      <c r="AJ472" s="44"/>
      <c r="AK472" s="164" t="s">
        <v>546</v>
      </c>
      <c r="AQ472" s="26"/>
    </row>
    <row r="473" spans="1:68">
      <c r="A473" s="5" t="s">
        <v>542</v>
      </c>
      <c r="L473" s="25"/>
      <c r="Q473" s="36">
        <f>Q474-Q471</f>
        <v>2.8678259332082234E-4</v>
      </c>
      <c r="R473" s="36">
        <f>R474-R471</f>
        <v>-872.68310049189677</v>
      </c>
      <c r="V473" s="36">
        <f>V474-V471</f>
        <v>2.4331525855814107E-4</v>
      </c>
      <c r="W473" s="36">
        <f>W474-W471</f>
        <v>58.87346617467847</v>
      </c>
      <c r="X473" s="22"/>
      <c r="AA473" s="36">
        <f>AA474-AA471</f>
        <v>-7.5151296186959371E-5</v>
      </c>
      <c r="AB473" s="36">
        <f>AB474-AB471</f>
        <v>-275.99179722642657</v>
      </c>
      <c r="AK473" s="36">
        <f>AK474-AK471</f>
        <v>4.9943832709686831E-4</v>
      </c>
      <c r="AL473" s="36">
        <f>AL474-AL471</f>
        <v>155.62660513103037</v>
      </c>
      <c r="AP473" s="36">
        <f>AP474-AP471</f>
        <v>-15.05915985383217</v>
      </c>
      <c r="AQ473" s="36">
        <f>AQ474-AQ471</f>
        <v>-15.059159853828533</v>
      </c>
    </row>
    <row r="474" spans="1:68">
      <c r="A474" s="9" t="s">
        <v>543</v>
      </c>
      <c r="B474" s="9"/>
      <c r="C474" s="9"/>
      <c r="D474" s="9"/>
      <c r="E474" s="9"/>
      <c r="F474" s="9"/>
      <c r="G474" s="9"/>
      <c r="H474" s="9"/>
      <c r="I474" s="48"/>
      <c r="J474" s="48"/>
      <c r="K474" s="48"/>
      <c r="L474" s="48"/>
      <c r="M474" s="48"/>
      <c r="N474" s="48"/>
      <c r="O474" s="48"/>
      <c r="P474" s="48"/>
      <c r="Q474" s="156">
        <v>20435.517</v>
      </c>
      <c r="R474" s="127">
        <f>Q474</f>
        <v>20435.517</v>
      </c>
      <c r="S474" s="48"/>
      <c r="T474" s="48"/>
      <c r="U474" s="48"/>
      <c r="V474" s="156">
        <v>26480.455999999998</v>
      </c>
      <c r="W474" s="127">
        <f>V474</f>
        <v>26480.455999999998</v>
      </c>
      <c r="X474" s="48"/>
      <c r="Y474" s="48"/>
      <c r="Z474" s="48"/>
      <c r="AA474" s="156">
        <v>21208.608</v>
      </c>
      <c r="AB474" s="127">
        <f>AA474</f>
        <v>21208.608</v>
      </c>
      <c r="AC474" s="9"/>
      <c r="AD474" s="9"/>
      <c r="AE474" s="9"/>
      <c r="AF474" s="126">
        <f>AF471</f>
        <v>18458.132313262566</v>
      </c>
      <c r="AG474" s="127">
        <f>AF474</f>
        <v>18458.132313262566</v>
      </c>
      <c r="AH474" s="9"/>
      <c r="AI474" s="9"/>
      <c r="AJ474" s="9"/>
      <c r="AK474" s="156">
        <v>17342.373</v>
      </c>
      <c r="AL474" s="127">
        <f>AK474</f>
        <v>17342.373</v>
      </c>
      <c r="AM474" s="9"/>
      <c r="AN474" s="9"/>
      <c r="AO474" s="9"/>
      <c r="AP474" s="156">
        <v>13310.031999999999</v>
      </c>
      <c r="AQ474" s="127">
        <f>AP474</f>
        <v>13310.031999999999</v>
      </c>
      <c r="AR474" s="39"/>
      <c r="AS474" s="39"/>
      <c r="AT474" s="39"/>
      <c r="AU474" s="39">
        <f>AU471+AU473</f>
        <v>4924.5912849516799</v>
      </c>
      <c r="AV474" s="39">
        <f>AU474</f>
        <v>4924.5912849516799</v>
      </c>
      <c r="AW474" s="39"/>
      <c r="AX474" s="39"/>
      <c r="AY474" s="39"/>
      <c r="AZ474" s="39">
        <f>AZ471+AZ473</f>
        <v>3927.3393274533341</v>
      </c>
      <c r="BA474" s="39">
        <f>AZ474</f>
        <v>3927.3393274533341</v>
      </c>
      <c r="BB474" s="39"/>
      <c r="BC474" s="39"/>
      <c r="BD474" s="39"/>
      <c r="BE474" s="39">
        <f>BE471+BE473</f>
        <v>2518.5871223384074</v>
      </c>
      <c r="BF474" s="39">
        <f>BE474</f>
        <v>2518.5871223384074</v>
      </c>
      <c r="BG474" s="39"/>
      <c r="BH474" s="39"/>
      <c r="BI474" s="39"/>
      <c r="BJ474" s="39">
        <f>BJ471+BJ473</f>
        <v>0</v>
      </c>
      <c r="BK474" s="39">
        <f>BJ474</f>
        <v>0</v>
      </c>
      <c r="BL474" s="39"/>
      <c r="BM474" s="39"/>
      <c r="BN474" s="39"/>
      <c r="BO474" s="39">
        <f>BO471+BO473</f>
        <v>0</v>
      </c>
      <c r="BP474" s="39">
        <f>BO474</f>
        <v>0</v>
      </c>
    </row>
    <row r="475" spans="1:68">
      <c r="I475" s="65"/>
      <c r="J475" s="157"/>
      <c r="K475" s="157"/>
      <c r="L475" s="157"/>
      <c r="M475" s="157"/>
      <c r="N475" s="42"/>
      <c r="O475" s="158"/>
      <c r="R475" s="22"/>
      <c r="S475" s="42"/>
      <c r="T475" s="42"/>
      <c r="U475" s="42"/>
      <c r="W475" s="36"/>
      <c r="AF475" s="98" t="s">
        <v>616</v>
      </c>
      <c r="AG475" s="71"/>
      <c r="AH475" s="71"/>
      <c r="AI475" s="71"/>
      <c r="AJ475" s="71"/>
      <c r="AK475" s="71"/>
      <c r="AL475" s="71"/>
    </row>
    <row r="476" spans="1:68">
      <c r="A476" s="1" t="s">
        <v>456</v>
      </c>
      <c r="J476" s="56">
        <f>J465-1600*J649</f>
        <v>4899.465379670768</v>
      </c>
      <c r="K476" s="36">
        <f>J476+K465</f>
        <v>8696.1428970814777</v>
      </c>
      <c r="L476" s="36">
        <f>K476+L465</f>
        <v>9833.4484140449349</v>
      </c>
      <c r="M476" s="36">
        <f>L476</f>
        <v>9833.4484140449349</v>
      </c>
      <c r="N476" s="36">
        <f>M476+N465</f>
        <v>10850.461652959975</v>
      </c>
      <c r="O476" s="107">
        <f>N476+O465-1700*O649</f>
        <v>10984.364026926367</v>
      </c>
      <c r="P476" s="36">
        <f>O476+P465</f>
        <v>19093.408708751958</v>
      </c>
      <c r="Q476" s="36">
        <f>P476+Q465</f>
        <v>20365.820588900475</v>
      </c>
      <c r="R476" s="36">
        <f>Q476</f>
        <v>20365.820588900475</v>
      </c>
      <c r="S476" s="36">
        <f>R476+S465</f>
        <v>22088.716916689304</v>
      </c>
      <c r="T476" s="36">
        <f>S476+T465</f>
        <v>27039.361271333419</v>
      </c>
      <c r="U476" s="36">
        <f>T476+U465</f>
        <v>28226.977687967104</v>
      </c>
      <c r="V476" s="36">
        <f>U476+V465</f>
        <v>29600.140946585496</v>
      </c>
      <c r="W476" s="36">
        <f>V476</f>
        <v>29600.140946585496</v>
      </c>
      <c r="X476" s="36">
        <f>W476+X465</f>
        <v>33148.776550817907</v>
      </c>
      <c r="Y476" s="36">
        <f>X476+Y465</f>
        <v>33148.776550817907</v>
      </c>
      <c r="Z476" s="36">
        <f>Y476+Z465</f>
        <v>33196.962285619251</v>
      </c>
      <c r="AA476" s="36">
        <f>Z476+AA465</f>
        <v>34159.594062727687</v>
      </c>
      <c r="AB476" s="36">
        <f>AA476</f>
        <v>34159.594062727687</v>
      </c>
      <c r="AC476" s="36">
        <f>AB476+AC465</f>
        <v>34546.040153636779</v>
      </c>
      <c r="AD476" s="36">
        <f>AC476+AD465</f>
        <v>34618.492493638587</v>
      </c>
      <c r="AE476" s="36">
        <f>AD476+AE465</f>
        <v>34920.098831666757</v>
      </c>
      <c r="AF476" s="36">
        <f>AE476+AF465</f>
        <v>35216.529233033114</v>
      </c>
      <c r="AG476" s="36">
        <f>AF476</f>
        <v>35216.529233033114</v>
      </c>
      <c r="AH476" s="36">
        <f>AG476+AH465</f>
        <v>35252.98552565556</v>
      </c>
      <c r="AI476" s="36">
        <f>AH476+AI465</f>
        <v>35252.98552565556</v>
      </c>
      <c r="AJ476" s="36">
        <f>AI476+AJ465</f>
        <v>35296.82549448526</v>
      </c>
      <c r="AK476" s="36">
        <f>AJ476+AK465</f>
        <v>35296.82549448526</v>
      </c>
      <c r="AL476" s="36">
        <f>AK476</f>
        <v>35296.82549448526</v>
      </c>
      <c r="AM476" s="36">
        <f>AL476+AM465</f>
        <v>35296.82549448526</v>
      </c>
      <c r="AN476" s="36">
        <f>AM476+AN465</f>
        <v>35296.82549448526</v>
      </c>
      <c r="AO476" s="36">
        <f>AN476+AO465</f>
        <v>35296.82549448526</v>
      </c>
      <c r="AP476" s="36">
        <f>AO476+AP465</f>
        <v>35296.82549448526</v>
      </c>
      <c r="AQ476" s="36">
        <f>AP476</f>
        <v>35296.82549448526</v>
      </c>
      <c r="AR476" s="36">
        <f>AQ476+AR465</f>
        <v>35296.82549448526</v>
      </c>
      <c r="AS476" s="36">
        <f>AR476+AS465</f>
        <v>35296.82549448526</v>
      </c>
      <c r="AT476" s="36">
        <f>AS476+AT465</f>
        <v>35296.82549448526</v>
      </c>
      <c r="AU476" s="36">
        <f>AT476+AU465</f>
        <v>35296.82549448526</v>
      </c>
      <c r="AV476" s="36">
        <f>AU476</f>
        <v>35296.82549448526</v>
      </c>
      <c r="AW476" s="36">
        <f>AV476+AW465</f>
        <v>35296.82549448526</v>
      </c>
      <c r="AX476" s="36">
        <f>AW476+AX465</f>
        <v>35296.82549448526</v>
      </c>
      <c r="AY476" s="36">
        <f>AX476+AY465</f>
        <v>35296.82549448526</v>
      </c>
      <c r="AZ476" s="36">
        <f>AY476+AZ465</f>
        <v>35296.82549448526</v>
      </c>
      <c r="BA476" s="36">
        <f>AZ476</f>
        <v>35296.82549448526</v>
      </c>
      <c r="BB476" s="36">
        <f>BA476+BB465</f>
        <v>35296.82549448526</v>
      </c>
      <c r="BC476" s="36">
        <f>BB476+BC465</f>
        <v>35296.82549448526</v>
      </c>
      <c r="BD476" s="36">
        <f>BC476+BD465</f>
        <v>35296.82549448526</v>
      </c>
      <c r="BE476" s="36">
        <f>BD476+BE465</f>
        <v>35296.82549448526</v>
      </c>
      <c r="BF476" s="36">
        <f>BE476</f>
        <v>35296.82549448526</v>
      </c>
      <c r="BG476" s="36">
        <f>BF476+BG465</f>
        <v>35296.82549448526</v>
      </c>
      <c r="BH476" s="36">
        <f>BG476+BH465</f>
        <v>35296.82549448526</v>
      </c>
      <c r="BI476" s="36">
        <f>BH476+BI465</f>
        <v>35296.82549448526</v>
      </c>
      <c r="BJ476" s="36">
        <f>BI476+BJ465</f>
        <v>35296.82549448526</v>
      </c>
      <c r="BK476" s="36">
        <f>BJ476</f>
        <v>35296.82549448526</v>
      </c>
      <c r="BL476" s="36">
        <f>BK476+BL465</f>
        <v>35296.82549448526</v>
      </c>
      <c r="BM476" s="36">
        <f>BL476+BM465</f>
        <v>35296.82549448526</v>
      </c>
      <c r="BN476" s="36">
        <f>BM476+BN465</f>
        <v>35296.82549448526</v>
      </c>
      <c r="BO476" s="36">
        <f>BN476+BO465</f>
        <v>35296.82549448526</v>
      </c>
      <c r="BP476" s="36">
        <f>BO476</f>
        <v>35296.82549448526</v>
      </c>
    </row>
    <row r="477" spans="1:68">
      <c r="A477" s="135" t="s">
        <v>458</v>
      </c>
      <c r="J477" s="36">
        <f>MROUND(J476, 10)</f>
        <v>4900</v>
      </c>
      <c r="K477" s="36">
        <f t="shared" ref="K477:Z477" si="1290">MROUND(K476, 10)</f>
        <v>8700</v>
      </c>
      <c r="L477" s="36">
        <f t="shared" si="1290"/>
        <v>9830</v>
      </c>
      <c r="M477" s="36">
        <f t="shared" si="1290"/>
        <v>9830</v>
      </c>
      <c r="N477" s="36">
        <f t="shared" si="1290"/>
        <v>10850</v>
      </c>
      <c r="O477" s="36">
        <f t="shared" si="1290"/>
        <v>10980</v>
      </c>
      <c r="P477" s="36">
        <f t="shared" si="1290"/>
        <v>19090</v>
      </c>
      <c r="Q477" s="36">
        <f t="shared" si="1290"/>
        <v>20370</v>
      </c>
      <c r="R477" s="36">
        <f t="shared" si="1290"/>
        <v>20370</v>
      </c>
      <c r="S477" s="36">
        <f t="shared" si="1290"/>
        <v>22090</v>
      </c>
      <c r="T477" s="36">
        <f t="shared" si="1290"/>
        <v>27040</v>
      </c>
      <c r="U477" s="36">
        <f t="shared" si="1290"/>
        <v>28230</v>
      </c>
      <c r="V477" s="36">
        <f t="shared" si="1290"/>
        <v>29600</v>
      </c>
      <c r="W477" s="36">
        <f t="shared" si="1290"/>
        <v>29600</v>
      </c>
      <c r="X477" s="36">
        <f t="shared" si="1290"/>
        <v>33150</v>
      </c>
      <c r="Y477" s="36">
        <f t="shared" si="1290"/>
        <v>33150</v>
      </c>
      <c r="Z477" s="36">
        <f t="shared" si="1290"/>
        <v>33200</v>
      </c>
      <c r="AA477" s="36">
        <f t="shared" ref="AA477:AC477" si="1291">MROUND(AA476, 10)</f>
        <v>34160</v>
      </c>
      <c r="AB477" s="36">
        <f t="shared" si="1291"/>
        <v>34160</v>
      </c>
      <c r="AC477" s="36">
        <f t="shared" si="1291"/>
        <v>34550</v>
      </c>
      <c r="AD477" s="36">
        <f t="shared" ref="AD477:AI477" si="1292">MROUND(AD476, 10)</f>
        <v>34620</v>
      </c>
      <c r="AE477" s="36">
        <f t="shared" si="1292"/>
        <v>34920</v>
      </c>
      <c r="AF477" s="36">
        <f t="shared" si="1292"/>
        <v>35220</v>
      </c>
      <c r="AG477" s="36">
        <f t="shared" si="1292"/>
        <v>35220</v>
      </c>
      <c r="AH477" s="36">
        <f t="shared" si="1292"/>
        <v>35250</v>
      </c>
      <c r="AI477" s="36">
        <f t="shared" si="1292"/>
        <v>35250</v>
      </c>
      <c r="AJ477" s="36">
        <f t="shared" ref="AJ477:AO477" si="1293">MROUND(AJ476, 10)</f>
        <v>35300</v>
      </c>
      <c r="AK477" s="36">
        <f t="shared" si="1293"/>
        <v>35300</v>
      </c>
      <c r="AL477" s="36">
        <f t="shared" si="1293"/>
        <v>35300</v>
      </c>
      <c r="AM477" s="36">
        <f t="shared" si="1293"/>
        <v>35300</v>
      </c>
      <c r="AN477" s="36">
        <f t="shared" si="1293"/>
        <v>35300</v>
      </c>
      <c r="AO477" s="36">
        <f t="shared" si="1293"/>
        <v>35300</v>
      </c>
      <c r="AP477" s="36">
        <f t="shared" ref="AP477:AT477" si="1294">MROUND(AP476, 10)</f>
        <v>35300</v>
      </c>
      <c r="AQ477" s="36">
        <f t="shared" si="1294"/>
        <v>35300</v>
      </c>
      <c r="AR477" s="36">
        <f t="shared" si="1294"/>
        <v>35300</v>
      </c>
      <c r="AS477" s="36">
        <f t="shared" si="1294"/>
        <v>35300</v>
      </c>
      <c r="AT477" s="36">
        <f t="shared" si="1294"/>
        <v>35300</v>
      </c>
      <c r="AU477" s="36">
        <f t="shared" ref="AU477" si="1295">MROUND(AU476, 10)</f>
        <v>35300</v>
      </c>
      <c r="AV477" s="36">
        <f t="shared" ref="AV477:AY477" si="1296">MROUND(AV476, 10)</f>
        <v>35300</v>
      </c>
      <c r="AW477" s="36">
        <f t="shared" si="1296"/>
        <v>35300</v>
      </c>
      <c r="AX477" s="36">
        <f t="shared" si="1296"/>
        <v>35300</v>
      </c>
      <c r="AY477" s="36">
        <f t="shared" si="1296"/>
        <v>35300</v>
      </c>
      <c r="AZ477" s="36">
        <f t="shared" ref="AZ477:BK477" si="1297">MROUND(AZ476, 10)</f>
        <v>35300</v>
      </c>
      <c r="BA477" s="36">
        <f t="shared" si="1297"/>
        <v>35300</v>
      </c>
      <c r="BB477" s="36">
        <f t="shared" si="1297"/>
        <v>35300</v>
      </c>
      <c r="BC477" s="36">
        <f t="shared" si="1297"/>
        <v>35300</v>
      </c>
      <c r="BD477" s="36">
        <f t="shared" si="1297"/>
        <v>35300</v>
      </c>
      <c r="BE477" s="36">
        <f t="shared" si="1297"/>
        <v>35300</v>
      </c>
      <c r="BF477" s="36">
        <f t="shared" si="1297"/>
        <v>35300</v>
      </c>
      <c r="BG477" s="36">
        <f t="shared" si="1297"/>
        <v>35300</v>
      </c>
      <c r="BH477" s="36">
        <f t="shared" si="1297"/>
        <v>35300</v>
      </c>
      <c r="BI477" s="36">
        <f t="shared" si="1297"/>
        <v>35300</v>
      </c>
      <c r="BJ477" s="36">
        <f t="shared" si="1297"/>
        <v>35300</v>
      </c>
      <c r="BK477" s="36">
        <f t="shared" si="1297"/>
        <v>35300</v>
      </c>
      <c r="BL477" s="36">
        <f t="shared" ref="BL477:BP477" si="1298">MROUND(BL476, 10)</f>
        <v>35300</v>
      </c>
      <c r="BM477" s="36">
        <f t="shared" si="1298"/>
        <v>35300</v>
      </c>
      <c r="BN477" s="36">
        <f t="shared" si="1298"/>
        <v>35300</v>
      </c>
      <c r="BO477" s="36">
        <f t="shared" si="1298"/>
        <v>35300</v>
      </c>
      <c r="BP477" s="36">
        <f t="shared" si="1298"/>
        <v>35300</v>
      </c>
    </row>
    <row r="478" spans="1:68">
      <c r="A478" s="1" t="s">
        <v>276</v>
      </c>
      <c r="J478" s="116" t="s">
        <v>465</v>
      </c>
      <c r="K478" s="115"/>
      <c r="L478" s="115"/>
      <c r="M478" s="139"/>
      <c r="N478" s="115"/>
      <c r="O478" s="115"/>
      <c r="P478" s="115"/>
      <c r="Q478" s="115"/>
      <c r="R478" s="84"/>
      <c r="S478" s="115"/>
      <c r="W478" s="57"/>
      <c r="X478" s="36">
        <f>X479-X477</f>
        <v>850</v>
      </c>
      <c r="Y478" s="56">
        <f>X478+60</f>
        <v>910</v>
      </c>
      <c r="Z478" s="56">
        <f>Y478+60</f>
        <v>970</v>
      </c>
      <c r="AA478" s="36">
        <f t="shared" ref="AA478:AI478" si="1299">AA479-AA477</f>
        <v>1040</v>
      </c>
      <c r="AB478" s="36">
        <f t="shared" si="1299"/>
        <v>1040</v>
      </c>
      <c r="AC478" s="36">
        <f t="shared" si="1299"/>
        <v>1050</v>
      </c>
      <c r="AD478" s="36">
        <f t="shared" si="1299"/>
        <v>1080</v>
      </c>
      <c r="AE478" s="36">
        <f t="shared" si="1299"/>
        <v>1030</v>
      </c>
      <c r="AF478" s="36">
        <f t="shared" si="1299"/>
        <v>980</v>
      </c>
      <c r="AG478" s="36">
        <f t="shared" si="1299"/>
        <v>980</v>
      </c>
      <c r="AH478" s="36">
        <f t="shared" si="1299"/>
        <v>950</v>
      </c>
      <c r="AI478" s="36">
        <f t="shared" si="1299"/>
        <v>950</v>
      </c>
      <c r="AJ478" s="36">
        <f t="shared" ref="AJ478:AO478" si="1300">AJ479-AJ477</f>
        <v>900</v>
      </c>
      <c r="AK478" s="36">
        <f t="shared" si="1300"/>
        <v>900</v>
      </c>
      <c r="AL478" s="36">
        <f t="shared" si="1300"/>
        <v>900</v>
      </c>
      <c r="AM478" s="36">
        <f t="shared" si="1300"/>
        <v>900</v>
      </c>
      <c r="AN478" s="36">
        <f t="shared" si="1300"/>
        <v>900</v>
      </c>
      <c r="AO478" s="36">
        <f t="shared" si="1300"/>
        <v>900</v>
      </c>
      <c r="AP478" s="36">
        <f t="shared" ref="AP478:AT478" si="1301">AP479-AP477</f>
        <v>900</v>
      </c>
      <c r="AQ478" s="36">
        <f t="shared" si="1301"/>
        <v>900</v>
      </c>
      <c r="AR478" s="36">
        <f t="shared" si="1301"/>
        <v>900</v>
      </c>
      <c r="AS478" s="36">
        <f t="shared" si="1301"/>
        <v>900</v>
      </c>
      <c r="AT478" s="36">
        <f t="shared" si="1301"/>
        <v>900</v>
      </c>
      <c r="AU478" s="36">
        <f t="shared" ref="AU478" si="1302">AU479-AU477</f>
        <v>900</v>
      </c>
      <c r="AV478" s="36">
        <f t="shared" ref="AV478:AY478" si="1303">AV479-AV477</f>
        <v>900</v>
      </c>
      <c r="AW478" s="36">
        <f t="shared" si="1303"/>
        <v>900</v>
      </c>
      <c r="AX478" s="36">
        <f t="shared" si="1303"/>
        <v>900</v>
      </c>
      <c r="AY478" s="36">
        <f t="shared" si="1303"/>
        <v>900</v>
      </c>
      <c r="AZ478" s="56">
        <f>AY478</f>
        <v>900</v>
      </c>
      <c r="BA478" s="36">
        <f t="shared" ref="BA478" si="1304">BA479-BA477</f>
        <v>900</v>
      </c>
      <c r="BB478" s="56">
        <f>BA478</f>
        <v>900</v>
      </c>
      <c r="BC478" s="56">
        <f>BB478</f>
        <v>900</v>
      </c>
      <c r="BD478" s="56">
        <f>BC478</f>
        <v>900</v>
      </c>
      <c r="BE478" s="56">
        <f>BD478</f>
        <v>900</v>
      </c>
      <c r="BF478" s="36">
        <f t="shared" ref="BF478" si="1305">BF479-BF477</f>
        <v>900</v>
      </c>
      <c r="BG478" s="56">
        <f>BF478</f>
        <v>900</v>
      </c>
      <c r="BH478" s="56">
        <f>BG478</f>
        <v>900</v>
      </c>
      <c r="BI478" s="56">
        <f>BH478</f>
        <v>900</v>
      </c>
      <c r="BJ478" s="56">
        <f>BI478</f>
        <v>900</v>
      </c>
      <c r="BK478" s="36">
        <f t="shared" ref="BK478" si="1306">BK479-BK477</f>
        <v>900</v>
      </c>
      <c r="BL478" s="56">
        <f>BK478</f>
        <v>900</v>
      </c>
      <c r="BM478" s="56">
        <f>BL478</f>
        <v>900</v>
      </c>
      <c r="BN478" s="56">
        <f>BM478</f>
        <v>900</v>
      </c>
      <c r="BO478" s="56">
        <f>BN478</f>
        <v>900</v>
      </c>
      <c r="BP478" s="36">
        <f t="shared" ref="BP478" si="1307">BP479-BP477</f>
        <v>900</v>
      </c>
    </row>
    <row r="479" spans="1:68">
      <c r="A479" s="9" t="s">
        <v>459</v>
      </c>
      <c r="B479" s="9"/>
      <c r="C479" s="9"/>
      <c r="D479" s="9"/>
      <c r="E479" s="9"/>
      <c r="F479" s="9"/>
      <c r="G479" s="9"/>
      <c r="H479" s="9"/>
      <c r="I479" s="9"/>
      <c r="J479" s="9"/>
      <c r="K479" s="9"/>
      <c r="L479" s="9"/>
      <c r="M479" s="137"/>
      <c r="N479" s="9"/>
      <c r="O479" s="9"/>
      <c r="P479" s="9"/>
      <c r="Q479" s="9"/>
      <c r="R479" s="128"/>
      <c r="S479" s="9"/>
      <c r="T479" s="9"/>
      <c r="U479" s="9"/>
      <c r="V479" s="9"/>
      <c r="W479" s="149" t="s">
        <v>535</v>
      </c>
      <c r="X479" s="67">
        <v>34000</v>
      </c>
      <c r="Y479" s="130">
        <f>SUM(Y477:Y478)</f>
        <v>34060</v>
      </c>
      <c r="Z479" s="130">
        <f>SUM(Z477:Z478)</f>
        <v>34170</v>
      </c>
      <c r="AA479" s="67">
        <v>35200</v>
      </c>
      <c r="AB479" s="81">
        <f>AA479</f>
        <v>35200</v>
      </c>
      <c r="AC479" s="67">
        <v>35600</v>
      </c>
      <c r="AD479" s="67">
        <v>35700</v>
      </c>
      <c r="AE479" s="130">
        <f>AVERAGE(AD479, AF479)</f>
        <v>35950</v>
      </c>
      <c r="AF479" s="67">
        <v>36200</v>
      </c>
      <c r="AG479" s="81">
        <f>AF479</f>
        <v>36200</v>
      </c>
      <c r="AH479" s="58">
        <f>AG479</f>
        <v>36200</v>
      </c>
      <c r="AI479" s="58">
        <f>AH479</f>
        <v>36200</v>
      </c>
      <c r="AJ479" s="67">
        <v>36200</v>
      </c>
      <c r="AK479" s="58">
        <f>AJ479</f>
        <v>36200</v>
      </c>
      <c r="AL479" s="81">
        <f>AK479</f>
        <v>36200</v>
      </c>
      <c r="AM479" s="58">
        <f>AL479</f>
        <v>36200</v>
      </c>
      <c r="AN479" s="67">
        <v>36200</v>
      </c>
      <c r="AO479" s="67">
        <v>36200</v>
      </c>
      <c r="AP479" s="67">
        <v>36200</v>
      </c>
      <c r="AQ479" s="81">
        <f>AP479</f>
        <v>36200</v>
      </c>
      <c r="AR479" s="67">
        <v>36200</v>
      </c>
      <c r="AS479" s="67">
        <v>36200</v>
      </c>
      <c r="AT479" s="67">
        <v>36200</v>
      </c>
      <c r="AU479" s="67">
        <v>36200</v>
      </c>
      <c r="AV479" s="81">
        <f>AU479</f>
        <v>36200</v>
      </c>
      <c r="AW479" s="67">
        <v>36200</v>
      </c>
      <c r="AX479" s="67">
        <v>36200</v>
      </c>
      <c r="AY479" s="67">
        <v>36200</v>
      </c>
      <c r="AZ479" s="39">
        <f>SUM(AZ477:AZ478)</f>
        <v>36200</v>
      </c>
      <c r="BA479" s="81">
        <f>AZ479</f>
        <v>36200</v>
      </c>
      <c r="BB479" s="39">
        <f>SUM(BB477:BB478)</f>
        <v>36200</v>
      </c>
      <c r="BC479" s="39">
        <f>SUM(BC477:BC478)</f>
        <v>36200</v>
      </c>
      <c r="BD479" s="39">
        <f>SUM(BD477:BD478)</f>
        <v>36200</v>
      </c>
      <c r="BE479" s="39">
        <f>SUM(BE477:BE478)</f>
        <v>36200</v>
      </c>
      <c r="BF479" s="81">
        <f>BE479</f>
        <v>36200</v>
      </c>
      <c r="BG479" s="39">
        <f>SUM(BG477:BG478)</f>
        <v>36200</v>
      </c>
      <c r="BH479" s="39">
        <f>SUM(BH477:BH478)</f>
        <v>36200</v>
      </c>
      <c r="BI479" s="39">
        <f>SUM(BI477:BI478)</f>
        <v>36200</v>
      </c>
      <c r="BJ479" s="39">
        <f>SUM(BJ477:BJ478)</f>
        <v>36200</v>
      </c>
      <c r="BK479" s="81">
        <f>BJ479</f>
        <v>36200</v>
      </c>
      <c r="BL479" s="39">
        <f>SUM(BL477:BL478)</f>
        <v>36200</v>
      </c>
      <c r="BM479" s="39">
        <f>SUM(BM477:BM478)</f>
        <v>36200</v>
      </c>
      <c r="BN479" s="39">
        <f>SUM(BN477:BN478)</f>
        <v>36200</v>
      </c>
      <c r="BO479" s="39">
        <f>SUM(BO477:BO478)</f>
        <v>36200</v>
      </c>
      <c r="BP479" s="81">
        <f>BO479</f>
        <v>36200</v>
      </c>
    </row>
    <row r="480" spans="1:68">
      <c r="M480" s="25"/>
      <c r="R480" s="42"/>
      <c r="W480" s="142"/>
      <c r="X480" s="142"/>
      <c r="Y480" s="66" t="s">
        <v>530</v>
      </c>
      <c r="Z480" s="46"/>
      <c r="AA480" s="46"/>
      <c r="AB480" s="46"/>
      <c r="AC480" s="125">
        <f>AC479-AB479</f>
        <v>400</v>
      </c>
      <c r="AD480" s="125">
        <f>AD479-AC479</f>
        <v>100</v>
      </c>
      <c r="AE480" s="125">
        <f>AE479-AD479</f>
        <v>250</v>
      </c>
      <c r="AF480" s="176">
        <f>AF479-AE479</f>
        <v>250</v>
      </c>
      <c r="AH480" s="125">
        <f>AH479-AG479</f>
        <v>0</v>
      </c>
      <c r="AI480" s="125">
        <f>AI479-AH479</f>
        <v>0</v>
      </c>
      <c r="AJ480" s="125">
        <f>AJ479-AI479</f>
        <v>0</v>
      </c>
    </row>
    <row r="481" spans="1:71">
      <c r="M481" s="25"/>
      <c r="R481" s="42"/>
      <c r="W481" s="57"/>
      <c r="AC481" s="123" t="s">
        <v>572</v>
      </c>
      <c r="AD481" s="12"/>
      <c r="AE481" s="12"/>
      <c r="AF481" s="12"/>
      <c r="AG481" s="12"/>
      <c r="AH481" s="12"/>
    </row>
    <row r="482" spans="1:71">
      <c r="A482" s="1" t="s">
        <v>462</v>
      </c>
      <c r="J482" s="56">
        <f>-J466</f>
        <v>0</v>
      </c>
      <c r="K482" s="36">
        <f>J482-K466</f>
        <v>181.89623365250696</v>
      </c>
      <c r="L482" s="36">
        <f>K482-L466</f>
        <v>181.89623365250696</v>
      </c>
      <c r="M482" s="36">
        <f>L482</f>
        <v>181.89623365250696</v>
      </c>
      <c r="N482" s="36">
        <f>M482-N466</f>
        <v>531.12813504152359</v>
      </c>
      <c r="O482" s="36">
        <f>N482-O466</f>
        <v>700.96229012892832</v>
      </c>
      <c r="P482" s="36">
        <f>O482-P466</f>
        <v>952.19866343390038</v>
      </c>
      <c r="Q482" s="36">
        <f>P482-Q466</f>
        <v>1010.4731519365257</v>
      </c>
      <c r="R482" s="36">
        <f>Q482</f>
        <v>1010.4731519365257</v>
      </c>
      <c r="S482" s="36">
        <f>R482-S466</f>
        <v>1632.3731519365256</v>
      </c>
      <c r="T482" s="36">
        <f>S482-T466</f>
        <v>1954.1930219458106</v>
      </c>
      <c r="U482" s="36">
        <f>T482-U466</f>
        <v>2664.0299645040782</v>
      </c>
      <c r="V482" s="36">
        <f>U482-V466</f>
        <v>2958.9416107227194</v>
      </c>
      <c r="W482" s="36">
        <f>V482</f>
        <v>2958.9416107227194</v>
      </c>
      <c r="X482" s="36">
        <f>W482-X466</f>
        <v>3570.0957781628531</v>
      </c>
      <c r="Y482" s="36">
        <f>X482-Y466</f>
        <v>3881.0409519444929</v>
      </c>
      <c r="Z482" s="36">
        <f>Y482-Z466</f>
        <v>4546.1929385409503</v>
      </c>
      <c r="AA482" s="36">
        <f>Z482-AA466</f>
        <v>4873.1654771328176</v>
      </c>
      <c r="AB482" s="36">
        <f>AA482</f>
        <v>4873.1654771328176</v>
      </c>
      <c r="AC482" s="36">
        <f>AB482-AC466</f>
        <v>5331.1694544055445</v>
      </c>
      <c r="AD482" s="36">
        <f>AC482-AD466</f>
        <v>5559.1971429182631</v>
      </c>
      <c r="AE482" s="36">
        <f>AD482-AE466</f>
        <v>6001.6864144851643</v>
      </c>
      <c r="AF482" s="36">
        <f>AE482-AF466</f>
        <v>6216.3182729394766</v>
      </c>
      <c r="AG482" s="36">
        <f>AF482</f>
        <v>6216.3182729394766</v>
      </c>
      <c r="AH482" s="36">
        <f>AG482-AH466</f>
        <v>6634.1314268064943</v>
      </c>
      <c r="AI482" s="36">
        <f>AH482-AI466</f>
        <v>6828.5163755193589</v>
      </c>
      <c r="AJ482" s="36">
        <f>AI482-AJ466</f>
        <v>7255.7103066081945</v>
      </c>
      <c r="AK482" s="36">
        <f>AJ482-AK466</f>
        <v>7481.9698567826654</v>
      </c>
      <c r="AL482" s="36">
        <f>AK482</f>
        <v>7481.9698567826654</v>
      </c>
      <c r="AM482" s="36">
        <f>AL482-AM466</f>
        <v>7844.2872294837734</v>
      </c>
      <c r="AN482" s="36">
        <f>AM482-AN466</f>
        <v>8016.3157372661926</v>
      </c>
      <c r="AO482" s="36">
        <f>AN482-AO466</f>
        <v>8417.214878954117</v>
      </c>
      <c r="AP482" s="36">
        <f>AO482-AP466</f>
        <v>8616.4850954555204</v>
      </c>
      <c r="AQ482" s="36">
        <f>AP482</f>
        <v>8616.4850954555204</v>
      </c>
      <c r="AR482" s="36">
        <f>AQ482-AR466</f>
        <v>8889.3779152724092</v>
      </c>
      <c r="AS482" s="36">
        <f>AR482-AS466</f>
        <v>9031.5179162238855</v>
      </c>
      <c r="AT482" s="36">
        <f>AS482-AT466</f>
        <v>9203.5708071638219</v>
      </c>
      <c r="AU482" s="36">
        <f>AT482-AU466</f>
        <v>9288.6804621394058</v>
      </c>
      <c r="AV482" s="36">
        <f>AU482</f>
        <v>9288.6804621394058</v>
      </c>
      <c r="AW482" s="36">
        <f>AV482-AW466</f>
        <v>9390.4263004993772</v>
      </c>
      <c r="AX482" s="36">
        <f>AW482-AX466</f>
        <v>9440.5024980298331</v>
      </c>
      <c r="AY482" s="36">
        <f>AX482-AY466</f>
        <v>9523.8299510566958</v>
      </c>
      <c r="AZ482" s="36">
        <f>AY482-AZ466</f>
        <v>9565.4936775701262</v>
      </c>
      <c r="BA482" s="36">
        <f>AZ482</f>
        <v>9565.4936775701262</v>
      </c>
      <c r="BB482" s="36">
        <f>BA482-BB466</f>
        <v>9653.8299510566958</v>
      </c>
      <c r="BC482" s="36">
        <f>BB482-BC466</f>
        <v>9697.9980877999806</v>
      </c>
      <c r="BD482" s="36">
        <f>BC482-BD466</f>
        <v>9768.8299510566958</v>
      </c>
      <c r="BE482" s="36">
        <f>BD482-BE466</f>
        <v>9804.2458826850543</v>
      </c>
      <c r="BF482" s="36">
        <f>BE482</f>
        <v>9804.2458826850543</v>
      </c>
      <c r="BG482" s="36">
        <f>BF482-BG466</f>
        <v>9863.8299510566958</v>
      </c>
      <c r="BH482" s="36">
        <f>BG482-BH466</f>
        <v>9893.6219852425165</v>
      </c>
      <c r="BI482" s="36">
        <f>BH482-BI466</f>
        <v>9938.8299510566958</v>
      </c>
      <c r="BJ482" s="36">
        <f>BI482-BJ466</f>
        <v>9961.4339339637845</v>
      </c>
      <c r="BK482" s="36">
        <f>BJ482</f>
        <v>9961.4339339637845</v>
      </c>
      <c r="BL482" s="36">
        <f>BK482-BL466</f>
        <v>9961.4339339637845</v>
      </c>
      <c r="BM482" s="36">
        <f>BL482-BM466</f>
        <v>9961.4339339637845</v>
      </c>
      <c r="BN482" s="36">
        <f>BM482-BN466</f>
        <v>9961.4339339637845</v>
      </c>
      <c r="BO482" s="36">
        <f>BN482-BO466</f>
        <v>9961.4339339637845</v>
      </c>
      <c r="BP482" s="36">
        <f>BO482</f>
        <v>9961.4339339637845</v>
      </c>
    </row>
    <row r="483" spans="1:71">
      <c r="A483" s="135" t="s">
        <v>458</v>
      </c>
      <c r="J483" s="36">
        <f>MROUND(J482, 10)</f>
        <v>0</v>
      </c>
      <c r="K483" s="36">
        <f t="shared" ref="K483" si="1308">MROUND(K482, 10)</f>
        <v>180</v>
      </c>
      <c r="L483" s="36">
        <f t="shared" ref="L483" si="1309">MROUND(L482, 10)</f>
        <v>180</v>
      </c>
      <c r="M483" s="36">
        <f t="shared" ref="M483" si="1310">MROUND(M482, 10)</f>
        <v>180</v>
      </c>
      <c r="N483" s="36">
        <f t="shared" ref="N483" si="1311">MROUND(N482, 10)</f>
        <v>530</v>
      </c>
      <c r="O483" s="36">
        <f t="shared" ref="O483" si="1312">MROUND(O482, 10)</f>
        <v>700</v>
      </c>
      <c r="P483" s="36">
        <f t="shared" ref="P483" si="1313">MROUND(P482, 10)</f>
        <v>950</v>
      </c>
      <c r="Q483" s="36">
        <f t="shared" ref="Q483" si="1314">MROUND(Q482, 10)</f>
        <v>1010</v>
      </c>
      <c r="R483" s="36">
        <f t="shared" ref="R483" si="1315">MROUND(R482, 10)</f>
        <v>1010</v>
      </c>
      <c r="S483" s="36">
        <f t="shared" ref="S483" si="1316">MROUND(S482, 10)</f>
        <v>1630</v>
      </c>
      <c r="T483" s="36">
        <f t="shared" ref="T483" si="1317">MROUND(T482, 10)</f>
        <v>1950</v>
      </c>
      <c r="U483" s="36">
        <f t="shared" ref="U483" si="1318">MROUND(U482, 10)</f>
        <v>2660</v>
      </c>
      <c r="V483" s="36">
        <f t="shared" ref="V483" si="1319">MROUND(V482, 10)</f>
        <v>2960</v>
      </c>
      <c r="W483" s="36">
        <f t="shared" ref="W483" si="1320">MROUND(W482, 10)</f>
        <v>2960</v>
      </c>
      <c r="X483" s="36">
        <f t="shared" ref="X483:Z483" si="1321">MROUND(X482, 10)</f>
        <v>3570</v>
      </c>
      <c r="Y483" s="36">
        <f t="shared" si="1321"/>
        <v>3880</v>
      </c>
      <c r="Z483" s="36">
        <f t="shared" si="1321"/>
        <v>4550</v>
      </c>
      <c r="AA483" s="36">
        <f t="shared" ref="AA483:AC483" si="1322">MROUND(AA482, 10)</f>
        <v>4870</v>
      </c>
      <c r="AB483" s="36">
        <f t="shared" si="1322"/>
        <v>4870</v>
      </c>
      <c r="AC483" s="36">
        <f t="shared" si="1322"/>
        <v>5330</v>
      </c>
      <c r="AD483" s="36">
        <f t="shared" ref="AD483:AH483" si="1323">MROUND(AD482, 10)</f>
        <v>5560</v>
      </c>
      <c r="AE483" s="36">
        <f t="shared" si="1323"/>
        <v>6000</v>
      </c>
      <c r="AF483" s="36">
        <f t="shared" si="1323"/>
        <v>6220</v>
      </c>
      <c r="AG483" s="36">
        <f t="shared" si="1323"/>
        <v>6220</v>
      </c>
      <c r="AH483" s="36">
        <f t="shared" si="1323"/>
        <v>6630</v>
      </c>
      <c r="AI483" s="36">
        <f t="shared" ref="AI483:AO483" si="1324">MROUND(AI482, 10)</f>
        <v>6830</v>
      </c>
      <c r="AJ483" s="36">
        <f t="shared" si="1324"/>
        <v>7260</v>
      </c>
      <c r="AK483" s="36">
        <f t="shared" si="1324"/>
        <v>7480</v>
      </c>
      <c r="AL483" s="36">
        <f t="shared" si="1324"/>
        <v>7480</v>
      </c>
      <c r="AM483" s="36">
        <f t="shared" si="1324"/>
        <v>7840</v>
      </c>
      <c r="AN483" s="36">
        <f t="shared" si="1324"/>
        <v>8020</v>
      </c>
      <c r="AO483" s="36">
        <f t="shared" si="1324"/>
        <v>8420</v>
      </c>
      <c r="AP483" s="36">
        <f t="shared" ref="AP483:AT483" si="1325">MROUND(AP482, 10)</f>
        <v>8620</v>
      </c>
      <c r="AQ483" s="36">
        <f t="shared" si="1325"/>
        <v>8620</v>
      </c>
      <c r="AR483" s="36">
        <f t="shared" si="1325"/>
        <v>8890</v>
      </c>
      <c r="AS483" s="36">
        <f t="shared" si="1325"/>
        <v>9030</v>
      </c>
      <c r="AT483" s="36">
        <f t="shared" si="1325"/>
        <v>9200</v>
      </c>
      <c r="AU483" s="36">
        <f t="shared" ref="AU483" si="1326">MROUND(AU482, 10)</f>
        <v>9290</v>
      </c>
      <c r="AV483" s="36">
        <f t="shared" ref="AV483:AY483" si="1327">MROUND(AV482, 10)</f>
        <v>9290</v>
      </c>
      <c r="AW483" s="36">
        <f t="shared" si="1327"/>
        <v>9390</v>
      </c>
      <c r="AX483" s="36">
        <f t="shared" si="1327"/>
        <v>9440</v>
      </c>
      <c r="AY483" s="36">
        <f t="shared" si="1327"/>
        <v>9520</v>
      </c>
      <c r="AZ483" s="36">
        <f t="shared" ref="AZ483:BK483" si="1328">MROUND(AZ482, 10)</f>
        <v>9570</v>
      </c>
      <c r="BA483" s="36">
        <f t="shared" si="1328"/>
        <v>9570</v>
      </c>
      <c r="BB483" s="36">
        <f t="shared" si="1328"/>
        <v>9650</v>
      </c>
      <c r="BC483" s="36">
        <f t="shared" si="1328"/>
        <v>9700</v>
      </c>
      <c r="BD483" s="36">
        <f t="shared" si="1328"/>
        <v>9770</v>
      </c>
      <c r="BE483" s="36">
        <f t="shared" si="1328"/>
        <v>9800</v>
      </c>
      <c r="BF483" s="36">
        <f t="shared" si="1328"/>
        <v>9800</v>
      </c>
      <c r="BG483" s="36">
        <f t="shared" si="1328"/>
        <v>9860</v>
      </c>
      <c r="BH483" s="36">
        <f t="shared" si="1328"/>
        <v>9890</v>
      </c>
      <c r="BI483" s="36">
        <f t="shared" si="1328"/>
        <v>9940</v>
      </c>
      <c r="BJ483" s="36">
        <f t="shared" si="1328"/>
        <v>9960</v>
      </c>
      <c r="BK483" s="36">
        <f t="shared" si="1328"/>
        <v>9960</v>
      </c>
      <c r="BL483" s="36">
        <f t="shared" ref="BL483:BN483" si="1329">MROUND(BL482, 10)</f>
        <v>9960</v>
      </c>
      <c r="BM483" s="36">
        <f t="shared" si="1329"/>
        <v>9960</v>
      </c>
      <c r="BN483" s="36">
        <f t="shared" si="1329"/>
        <v>9960</v>
      </c>
      <c r="BO483" s="36">
        <f t="shared" ref="BO483:BP483" si="1330">MROUND(BO482, 10)</f>
        <v>9960</v>
      </c>
      <c r="BP483" s="36">
        <f t="shared" si="1330"/>
        <v>9960</v>
      </c>
    </row>
    <row r="484" spans="1:71">
      <c r="A484" s="1" t="s">
        <v>276</v>
      </c>
      <c r="M484" s="25"/>
      <c r="R484" s="42"/>
      <c r="W484" s="57"/>
      <c r="X484" s="36">
        <f>X485-X483</f>
        <v>-70</v>
      </c>
      <c r="Y484" s="56">
        <f>X484-35</f>
        <v>-105</v>
      </c>
      <c r="Z484" s="56">
        <f>Y484-35</f>
        <v>-140</v>
      </c>
      <c r="AA484" s="36">
        <f>AA485-AA483</f>
        <v>-170</v>
      </c>
      <c r="AB484" s="36">
        <f>AB485-AB483</f>
        <v>-170</v>
      </c>
      <c r="AC484" s="36">
        <f>AC485-AC483</f>
        <v>-30</v>
      </c>
      <c r="AD484" s="36">
        <f>AD485-AD483</f>
        <v>-160</v>
      </c>
      <c r="AE484" s="56">
        <f>AD484</f>
        <v>-160</v>
      </c>
      <c r="AF484" s="36">
        <f>AF485-AF483</f>
        <v>-220</v>
      </c>
      <c r="AG484" s="36">
        <f>AG485-AG483</f>
        <v>-220</v>
      </c>
      <c r="AH484" s="56">
        <f>AG484-15</f>
        <v>-235</v>
      </c>
      <c r="AI484" s="56">
        <f>AH484-15</f>
        <v>-250</v>
      </c>
      <c r="AJ484" s="36">
        <f>AJ485-AJ483</f>
        <v>-260</v>
      </c>
      <c r="AK484" s="56">
        <f>AJ484</f>
        <v>-260</v>
      </c>
      <c r="AL484" s="36">
        <f>AL485-AL483</f>
        <v>-260</v>
      </c>
      <c r="AM484" s="56">
        <f>AL484</f>
        <v>-260</v>
      </c>
      <c r="AN484" s="36">
        <f t="shared" ref="AN484:AS484" si="1331">AN485-AN483</f>
        <v>-120</v>
      </c>
      <c r="AO484" s="36">
        <f t="shared" si="1331"/>
        <v>-220</v>
      </c>
      <c r="AP484" s="36">
        <f t="shared" si="1331"/>
        <v>-120</v>
      </c>
      <c r="AQ484" s="36">
        <f t="shared" si="1331"/>
        <v>-120</v>
      </c>
      <c r="AR484" s="36">
        <f t="shared" si="1331"/>
        <v>-190</v>
      </c>
      <c r="AS484" s="36">
        <f t="shared" si="1331"/>
        <v>-130</v>
      </c>
      <c r="AT484" s="36">
        <f t="shared" ref="AT484:AY484" si="1332">AT485-AT483</f>
        <v>-200</v>
      </c>
      <c r="AU484" s="36">
        <f t="shared" si="1332"/>
        <v>-190</v>
      </c>
      <c r="AV484" s="36">
        <f t="shared" si="1332"/>
        <v>-190</v>
      </c>
      <c r="AW484" s="36">
        <f t="shared" si="1332"/>
        <v>-190</v>
      </c>
      <c r="AX484" s="36">
        <f t="shared" si="1332"/>
        <v>-40</v>
      </c>
      <c r="AY484" s="36">
        <f t="shared" si="1332"/>
        <v>-120</v>
      </c>
      <c r="AZ484" s="56">
        <f>AY484</f>
        <v>-120</v>
      </c>
      <c r="BA484" s="36">
        <f>BA485-BA483</f>
        <v>-120</v>
      </c>
      <c r="BB484" s="56">
        <f>BA484</f>
        <v>-120</v>
      </c>
      <c r="BC484" s="56">
        <f>BB484</f>
        <v>-120</v>
      </c>
      <c r="BD484" s="56">
        <f>BC484</f>
        <v>-120</v>
      </c>
      <c r="BE484" s="56">
        <f>BD484</f>
        <v>-120</v>
      </c>
      <c r="BF484" s="36">
        <f>BF485-BF483</f>
        <v>-120</v>
      </c>
      <c r="BG484" s="56">
        <f>BF484</f>
        <v>-120</v>
      </c>
      <c r="BH484" s="56">
        <f>BG484</f>
        <v>-120</v>
      </c>
      <c r="BI484" s="56">
        <f>BH484</f>
        <v>-120</v>
      </c>
      <c r="BJ484" s="56">
        <f>BI484</f>
        <v>-120</v>
      </c>
      <c r="BK484" s="36">
        <f>BK485-BK483</f>
        <v>-120</v>
      </c>
      <c r="BL484" s="56">
        <f>BK484</f>
        <v>-120</v>
      </c>
      <c r="BM484" s="56">
        <f>BL484</f>
        <v>-120</v>
      </c>
      <c r="BN484" s="56">
        <f>BM484</f>
        <v>-120</v>
      </c>
      <c r="BO484" s="56">
        <f>BN484</f>
        <v>-120</v>
      </c>
      <c r="BP484" s="36">
        <f>BP485-BP483</f>
        <v>-120</v>
      </c>
    </row>
    <row r="485" spans="1:71">
      <c r="A485" s="9" t="s">
        <v>459</v>
      </c>
      <c r="B485" s="9"/>
      <c r="C485" s="9"/>
      <c r="D485" s="9"/>
      <c r="E485" s="9"/>
      <c r="F485" s="9"/>
      <c r="G485" s="9"/>
      <c r="H485" s="9"/>
      <c r="I485" s="9"/>
      <c r="J485" s="9"/>
      <c r="K485" s="9"/>
      <c r="L485" s="9"/>
      <c r="M485" s="137"/>
      <c r="N485" s="9"/>
      <c r="O485" s="9"/>
      <c r="P485" s="9"/>
      <c r="Q485" s="9"/>
      <c r="R485" s="128"/>
      <c r="S485" s="9"/>
      <c r="T485" s="9"/>
      <c r="U485" s="9"/>
      <c r="V485" s="9"/>
      <c r="W485" s="149" t="s">
        <v>535</v>
      </c>
      <c r="X485" s="67">
        <v>3500</v>
      </c>
      <c r="Y485" s="130">
        <f>SUM(Y483:Y484)</f>
        <v>3775</v>
      </c>
      <c r="Z485" s="130">
        <f>SUM(Z483:Z484)</f>
        <v>4410</v>
      </c>
      <c r="AA485" s="161">
        <v>4700</v>
      </c>
      <c r="AB485" s="81">
        <f>AA485</f>
        <v>4700</v>
      </c>
      <c r="AC485" s="67">
        <v>5300</v>
      </c>
      <c r="AD485" s="67">
        <v>5400</v>
      </c>
      <c r="AE485" s="39">
        <f>SUM(AE483:AE484)</f>
        <v>5840</v>
      </c>
      <c r="AF485" s="67">
        <v>6000</v>
      </c>
      <c r="AG485" s="81">
        <f>AF485</f>
        <v>6000</v>
      </c>
      <c r="AH485" s="39">
        <f>SUM(AH483:AH484)</f>
        <v>6395</v>
      </c>
      <c r="AI485" s="39">
        <f>SUM(AI483:AI484)</f>
        <v>6580</v>
      </c>
      <c r="AJ485" s="67">
        <v>7000</v>
      </c>
      <c r="AK485" s="39">
        <f>SUM(AK483:AK484)</f>
        <v>7220</v>
      </c>
      <c r="AL485" s="39">
        <f>AK485</f>
        <v>7220</v>
      </c>
      <c r="AM485" s="39">
        <f>SUM(AM483:AM484)</f>
        <v>7580</v>
      </c>
      <c r="AN485" s="67">
        <v>7900</v>
      </c>
      <c r="AO485" s="67">
        <v>8200</v>
      </c>
      <c r="AP485" s="67">
        <v>8500</v>
      </c>
      <c r="AQ485" s="39">
        <f>AP485</f>
        <v>8500</v>
      </c>
      <c r="AR485" s="67">
        <v>8700</v>
      </c>
      <c r="AS485" s="67">
        <v>8900</v>
      </c>
      <c r="AT485" s="67">
        <v>9000</v>
      </c>
      <c r="AU485" s="67">
        <v>9100</v>
      </c>
      <c r="AV485" s="39">
        <f>AU485</f>
        <v>9100</v>
      </c>
      <c r="AW485" s="67">
        <v>9200</v>
      </c>
      <c r="AX485" s="67">
        <v>9400</v>
      </c>
      <c r="AY485" s="67">
        <v>9400</v>
      </c>
      <c r="AZ485" s="39">
        <f>SUM(AZ483:AZ484)</f>
        <v>9450</v>
      </c>
      <c r="BA485" s="39">
        <f>AZ485</f>
        <v>9450</v>
      </c>
      <c r="BB485" s="39">
        <f>SUM(BB483:BB484)</f>
        <v>9530</v>
      </c>
      <c r="BC485" s="39">
        <f>SUM(BC483:BC484)</f>
        <v>9580</v>
      </c>
      <c r="BD485" s="39">
        <f>SUM(BD483:BD484)</f>
        <v>9650</v>
      </c>
      <c r="BE485" s="39">
        <f>SUM(BE483:BE484)</f>
        <v>9680</v>
      </c>
      <c r="BF485" s="39">
        <f>BE485</f>
        <v>9680</v>
      </c>
      <c r="BG485" s="39">
        <f>SUM(BG483:BG484)</f>
        <v>9740</v>
      </c>
      <c r="BH485" s="39">
        <f>SUM(BH483:BH484)</f>
        <v>9770</v>
      </c>
      <c r="BI485" s="39">
        <f>SUM(BI483:BI484)</f>
        <v>9820</v>
      </c>
      <c r="BJ485" s="39">
        <f>SUM(BJ483:BJ484)</f>
        <v>9840</v>
      </c>
      <c r="BK485" s="39">
        <f>BJ485</f>
        <v>9840</v>
      </c>
      <c r="BL485" s="39">
        <f>SUM(BL483:BL484)</f>
        <v>9840</v>
      </c>
      <c r="BM485" s="39">
        <f>SUM(BM483:BM484)</f>
        <v>9840</v>
      </c>
      <c r="BN485" s="39">
        <f>SUM(BN483:BN484)</f>
        <v>9840</v>
      </c>
      <c r="BO485" s="39">
        <f>SUM(BO483:BO484)</f>
        <v>9840</v>
      </c>
      <c r="BP485" s="39">
        <f>BO485</f>
        <v>9840</v>
      </c>
    </row>
    <row r="486" spans="1:71">
      <c r="M486" s="25"/>
      <c r="R486" s="42"/>
      <c r="W486" s="57"/>
      <c r="Y486" s="66" t="s">
        <v>530</v>
      </c>
      <c r="Z486" s="46"/>
      <c r="AA486" s="46"/>
      <c r="AB486" s="46"/>
      <c r="AE486" s="66" t="s">
        <v>612</v>
      </c>
      <c r="AF486" s="46"/>
      <c r="AG486" s="46"/>
      <c r="AH486" s="46"/>
      <c r="AI486" s="46"/>
      <c r="AJ486" s="46"/>
      <c r="AK486" s="46"/>
    </row>
    <row r="487" spans="1:71">
      <c r="A487" s="1" t="s">
        <v>463</v>
      </c>
      <c r="J487" s="56">
        <f>-J467</f>
        <v>0</v>
      </c>
      <c r="K487" s="36">
        <f>J487-K467</f>
        <v>0</v>
      </c>
      <c r="L487" s="59">
        <f>K487-L467</f>
        <v>627.39465296702008</v>
      </c>
      <c r="M487" s="138">
        <f>L487</f>
        <v>627.39465296702008</v>
      </c>
      <c r="N487" s="59">
        <f>M487-N467</f>
        <v>654.0177537835375</v>
      </c>
      <c r="O487" s="59">
        <f>N487-O467</f>
        <v>1757.4392483675313</v>
      </c>
      <c r="P487" s="59">
        <f>O487-P467</f>
        <v>1745.9181028837338</v>
      </c>
      <c r="Q487" s="59">
        <f>P487-Q467</f>
        <v>1885.2383362451246</v>
      </c>
      <c r="R487" s="138">
        <f>Q487</f>
        <v>1885.2383362451246</v>
      </c>
      <c r="S487" s="59">
        <f>R487-S467</f>
        <v>1885.2383362451246</v>
      </c>
      <c r="T487" s="59">
        <f>S487-T467</f>
        <v>4597.3861599283837</v>
      </c>
      <c r="U487" s="59">
        <f>T487-U467</f>
        <v>4567.3951958324433</v>
      </c>
      <c r="V487" s="59">
        <f>U487-V467</f>
        <v>4821.1068024922979</v>
      </c>
      <c r="W487" s="138">
        <f>V487</f>
        <v>4821.1068024922979</v>
      </c>
      <c r="X487" s="59">
        <f>W487-X467</f>
        <v>6086.8309996335638</v>
      </c>
      <c r="Y487" s="59">
        <f>X487-Y467</f>
        <v>7541.8433957423658</v>
      </c>
      <c r="Z487" s="59">
        <f>Y487-Z467</f>
        <v>8505.105123841935</v>
      </c>
      <c r="AA487" s="59">
        <f>Z487-AA467</f>
        <v>14643.449379771904</v>
      </c>
      <c r="AB487" s="138">
        <f>AA487</f>
        <v>14643.449379771904</v>
      </c>
      <c r="AC487" s="59">
        <f>AB487-AC467</f>
        <v>16043.449379771904</v>
      </c>
      <c r="AD487" s="59">
        <f>AC487-AD467</f>
        <v>17443.449379771904</v>
      </c>
      <c r="AE487" s="59">
        <f>AD487-AE467</f>
        <v>17893.449379771904</v>
      </c>
      <c r="AF487" s="59">
        <f>AE487-AF467</f>
        <v>18343.449379771904</v>
      </c>
      <c r="AG487" s="138">
        <f>AF487</f>
        <v>18343.449379771904</v>
      </c>
      <c r="AH487" s="59">
        <f>AG487-AH467</f>
        <v>18643.449379771904</v>
      </c>
      <c r="AI487" s="59">
        <f>AH487-AI467</f>
        <v>18943.449379771904</v>
      </c>
      <c r="AJ487" s="59">
        <f>AI487-AJ467</f>
        <v>19243.449379771904</v>
      </c>
      <c r="AK487" s="59">
        <f>AJ487-AK467</f>
        <v>19543.449379771904</v>
      </c>
      <c r="AL487" s="138">
        <f>AK487</f>
        <v>19543.449379771904</v>
      </c>
      <c r="AM487" s="59">
        <f>AL487-AM467</f>
        <v>19943.449379771904</v>
      </c>
      <c r="AN487" s="59">
        <f>AM487-AN467</f>
        <v>20343.449379771904</v>
      </c>
      <c r="AO487" s="59">
        <f>AN487-AO467</f>
        <v>21843.449379771904</v>
      </c>
      <c r="AP487" s="59">
        <f>AO487-AP467</f>
        <v>23543.449379771904</v>
      </c>
      <c r="AQ487" s="138">
        <f>AP487</f>
        <v>23543.449379771904</v>
      </c>
      <c r="AR487" s="59">
        <f>AQ487-AR467</f>
        <v>24343.449379771904</v>
      </c>
      <c r="AS487" s="59">
        <f>AR487-AS467</f>
        <v>28743.449379771904</v>
      </c>
      <c r="AT487" s="59">
        <f>AS487-AT467</f>
        <v>29443.449379771904</v>
      </c>
      <c r="AU487" s="59">
        <f>AT487-AU467</f>
        <v>31743.449379771904</v>
      </c>
      <c r="AV487" s="138">
        <f>AU487</f>
        <v>31743.449379771904</v>
      </c>
      <c r="AW487" s="59">
        <f>AV487-AW467</f>
        <v>32343.449379771904</v>
      </c>
      <c r="AX487" s="59">
        <f>AW487-AX467</f>
        <v>32443.449379771904</v>
      </c>
      <c r="AY487" s="59">
        <f>AX487-AY467</f>
        <v>32743.449379771904</v>
      </c>
      <c r="AZ487" s="59">
        <f>AY487-AZ467</f>
        <v>32743.449379771904</v>
      </c>
      <c r="BA487" s="138">
        <f>AZ487</f>
        <v>32743.449379771904</v>
      </c>
      <c r="BB487" s="59">
        <f>BA487-BB467</f>
        <v>33093.449379771904</v>
      </c>
      <c r="BC487" s="59">
        <f>BB487-BC467</f>
        <v>33443.449379771904</v>
      </c>
      <c r="BD487" s="59">
        <f>BC487-BD467</f>
        <v>33793.449379771904</v>
      </c>
      <c r="BE487" s="59">
        <f>BD487-BE467</f>
        <v>34143.449379771904</v>
      </c>
      <c r="BF487" s="138">
        <f>BE487</f>
        <v>34143.449379771904</v>
      </c>
      <c r="BG487" s="59">
        <f>BF487-BG467</f>
        <v>34393.449379771904</v>
      </c>
      <c r="BH487" s="59">
        <f>BG487-BH467</f>
        <v>34693.449379771904</v>
      </c>
      <c r="BI487" s="59">
        <f>BH487-BI467</f>
        <v>34993.449379771904</v>
      </c>
      <c r="BJ487" s="59">
        <f>BI487-BJ467</f>
        <v>36654.848450831581</v>
      </c>
      <c r="BK487" s="138">
        <f>BJ487</f>
        <v>36654.848450831581</v>
      </c>
      <c r="BL487" s="59">
        <f>BK487-BL467</f>
        <v>36654.848450831581</v>
      </c>
      <c r="BM487" s="59">
        <f>BL487-BM467</f>
        <v>36654.848450831581</v>
      </c>
      <c r="BN487" s="59">
        <f>BM487-BN467</f>
        <v>36654.848450831581</v>
      </c>
      <c r="BO487" s="59">
        <f>BN487-BO467</f>
        <v>36654.848450831581</v>
      </c>
      <c r="BP487" s="138">
        <f>BO487</f>
        <v>36654.848450831581</v>
      </c>
    </row>
    <row r="488" spans="1:71">
      <c r="A488" s="135" t="s">
        <v>458</v>
      </c>
      <c r="J488" s="36">
        <f>MROUND(J487, 10)</f>
        <v>0</v>
      </c>
      <c r="K488" s="36">
        <f t="shared" ref="K488" si="1333">MROUND(K487, 10)</f>
        <v>0</v>
      </c>
      <c r="L488" s="36">
        <f t="shared" ref="L488" si="1334">MROUND(L487, 10)</f>
        <v>630</v>
      </c>
      <c r="M488" s="36">
        <f t="shared" ref="M488" si="1335">MROUND(M487, 10)</f>
        <v>630</v>
      </c>
      <c r="N488" s="36">
        <f t="shared" ref="N488" si="1336">MROUND(N487, 10)</f>
        <v>650</v>
      </c>
      <c r="O488" s="36">
        <f t="shared" ref="O488" si="1337">MROUND(O487, 10)</f>
        <v>1760</v>
      </c>
      <c r="P488" s="36">
        <f t="shared" ref="P488" si="1338">MROUND(P487, 10)</f>
        <v>1750</v>
      </c>
      <c r="Q488" s="36">
        <f t="shared" ref="Q488" si="1339">MROUND(Q487, 10)</f>
        <v>1890</v>
      </c>
      <c r="R488" s="36">
        <f t="shared" ref="R488" si="1340">MROUND(R487, 10)</f>
        <v>1890</v>
      </c>
      <c r="S488" s="36">
        <f t="shared" ref="S488" si="1341">MROUND(S487, 10)</f>
        <v>1890</v>
      </c>
      <c r="T488" s="36">
        <f t="shared" ref="T488" si="1342">MROUND(T487, 10)</f>
        <v>4600</v>
      </c>
      <c r="U488" s="36">
        <f t="shared" ref="U488" si="1343">MROUND(U487, 10)</f>
        <v>4570</v>
      </c>
      <c r="V488" s="36">
        <f t="shared" ref="V488" si="1344">MROUND(V487, 10)</f>
        <v>4820</v>
      </c>
      <c r="W488" s="36">
        <f t="shared" ref="W488" si="1345">MROUND(W487, 10)</f>
        <v>4820</v>
      </c>
      <c r="X488" s="36">
        <f t="shared" ref="X488:AB488" si="1346">MROUND(X487, 10)</f>
        <v>6090</v>
      </c>
      <c r="Y488" s="36">
        <f t="shared" si="1346"/>
        <v>7540</v>
      </c>
      <c r="Z488" s="36">
        <f t="shared" si="1346"/>
        <v>8510</v>
      </c>
      <c r="AA488" s="36">
        <f t="shared" si="1346"/>
        <v>14640</v>
      </c>
      <c r="AB488" s="36">
        <f t="shared" si="1346"/>
        <v>14640</v>
      </c>
      <c r="AC488" s="36">
        <f t="shared" ref="AC488:AD488" si="1347">MROUND(AC487, 10)</f>
        <v>16040</v>
      </c>
      <c r="AD488" s="36">
        <f t="shared" si="1347"/>
        <v>17440</v>
      </c>
      <c r="AE488" s="36">
        <f t="shared" ref="AE488:AI488" si="1348">MROUND(AE487, 10)</f>
        <v>17890</v>
      </c>
      <c r="AF488" s="36">
        <f t="shared" si="1348"/>
        <v>18340</v>
      </c>
      <c r="AG488" s="36">
        <f t="shared" si="1348"/>
        <v>18340</v>
      </c>
      <c r="AH488" s="36">
        <f t="shared" si="1348"/>
        <v>18640</v>
      </c>
      <c r="AI488" s="36">
        <f t="shared" si="1348"/>
        <v>18940</v>
      </c>
      <c r="AJ488" s="36">
        <f t="shared" ref="AJ488:AP488" si="1349">MROUND(AJ487, 10)</f>
        <v>19240</v>
      </c>
      <c r="AK488" s="36">
        <f t="shared" si="1349"/>
        <v>19540</v>
      </c>
      <c r="AL488" s="36">
        <f t="shared" si="1349"/>
        <v>19540</v>
      </c>
      <c r="AM488" s="36">
        <f t="shared" si="1349"/>
        <v>19940</v>
      </c>
      <c r="AN488" s="36">
        <f t="shared" si="1349"/>
        <v>20340</v>
      </c>
      <c r="AO488" s="36">
        <f t="shared" si="1349"/>
        <v>21840</v>
      </c>
      <c r="AP488" s="36">
        <f t="shared" si="1349"/>
        <v>23540</v>
      </c>
      <c r="AQ488" s="36">
        <f t="shared" ref="AQ488" si="1350">MROUND(AQ487, 10)</f>
        <v>23540</v>
      </c>
      <c r="AR488" s="36">
        <f t="shared" ref="AR488:AV488" si="1351">MROUND(AR487, 10)</f>
        <v>24340</v>
      </c>
      <c r="AS488" s="36">
        <f t="shared" si="1351"/>
        <v>28740</v>
      </c>
      <c r="AT488" s="36">
        <f t="shared" si="1351"/>
        <v>29440</v>
      </c>
      <c r="AU488" s="36">
        <f t="shared" si="1351"/>
        <v>31740</v>
      </c>
      <c r="AV488" s="36">
        <f t="shared" si="1351"/>
        <v>31740</v>
      </c>
      <c r="AW488" s="36">
        <f t="shared" ref="AW488:BK488" si="1352">MROUND(AW487, 10)</f>
        <v>32340</v>
      </c>
      <c r="AX488" s="36">
        <f t="shared" si="1352"/>
        <v>32440</v>
      </c>
      <c r="AY488" s="36">
        <f t="shared" ref="AY488" si="1353">MROUND(AY487, 10)</f>
        <v>32740</v>
      </c>
      <c r="AZ488" s="36">
        <f t="shared" si="1352"/>
        <v>32740</v>
      </c>
      <c r="BA488" s="36">
        <f t="shared" si="1352"/>
        <v>32740</v>
      </c>
      <c r="BB488" s="36">
        <f t="shared" si="1352"/>
        <v>33090</v>
      </c>
      <c r="BC488" s="36">
        <f t="shared" si="1352"/>
        <v>33440</v>
      </c>
      <c r="BD488" s="36">
        <f t="shared" si="1352"/>
        <v>33790</v>
      </c>
      <c r="BE488" s="36">
        <f t="shared" si="1352"/>
        <v>34140</v>
      </c>
      <c r="BF488" s="36">
        <f t="shared" si="1352"/>
        <v>34140</v>
      </c>
      <c r="BG488" s="36">
        <f t="shared" si="1352"/>
        <v>34390</v>
      </c>
      <c r="BH488" s="36">
        <f t="shared" si="1352"/>
        <v>34690</v>
      </c>
      <c r="BI488" s="36">
        <f t="shared" si="1352"/>
        <v>34990</v>
      </c>
      <c r="BJ488" s="36">
        <f t="shared" si="1352"/>
        <v>36650</v>
      </c>
      <c r="BK488" s="36">
        <f t="shared" si="1352"/>
        <v>36650</v>
      </c>
      <c r="BL488" s="36">
        <f t="shared" ref="BL488:BN488" si="1354">MROUND(BL487, 10)</f>
        <v>36650</v>
      </c>
      <c r="BM488" s="36">
        <f t="shared" si="1354"/>
        <v>36650</v>
      </c>
      <c r="BN488" s="36">
        <f t="shared" si="1354"/>
        <v>36650</v>
      </c>
      <c r="BO488" s="36">
        <f t="shared" ref="BO488:BP488" si="1355">MROUND(BO487, 10)</f>
        <v>36650</v>
      </c>
      <c r="BP488" s="36">
        <f t="shared" si="1355"/>
        <v>36650</v>
      </c>
    </row>
    <row r="489" spans="1:71">
      <c r="A489" s="1" t="s">
        <v>276</v>
      </c>
      <c r="M489" s="25"/>
      <c r="R489" s="42"/>
      <c r="W489" s="57"/>
      <c r="X489" s="36">
        <f>X490-X488</f>
        <v>-1590</v>
      </c>
      <c r="Y489" s="56">
        <f>X489+325</f>
        <v>-1265</v>
      </c>
      <c r="Z489" s="56">
        <f>Y489+325</f>
        <v>-940</v>
      </c>
      <c r="AA489" s="36">
        <f t="shared" ref="AA489:AI489" si="1356">AA490-AA488</f>
        <v>-640</v>
      </c>
      <c r="AB489" s="36">
        <f t="shared" si="1356"/>
        <v>-640</v>
      </c>
      <c r="AC489" s="36">
        <f t="shared" si="1356"/>
        <v>-640</v>
      </c>
      <c r="AD489" s="36">
        <f t="shared" si="1356"/>
        <v>-640</v>
      </c>
      <c r="AE489" s="36">
        <f t="shared" si="1356"/>
        <v>-640</v>
      </c>
      <c r="AF489" s="36">
        <f t="shared" si="1356"/>
        <v>-640</v>
      </c>
      <c r="AG489" s="36">
        <f t="shared" si="1356"/>
        <v>-640</v>
      </c>
      <c r="AH489" s="36">
        <f t="shared" si="1356"/>
        <v>-640</v>
      </c>
      <c r="AI489" s="36">
        <f t="shared" si="1356"/>
        <v>-640</v>
      </c>
      <c r="AJ489" s="36">
        <f t="shared" ref="AJ489:AP489" si="1357">AJ490-AJ488</f>
        <v>-640</v>
      </c>
      <c r="AK489" s="36">
        <f t="shared" si="1357"/>
        <v>-640</v>
      </c>
      <c r="AL489" s="36">
        <f t="shared" si="1357"/>
        <v>-640</v>
      </c>
      <c r="AM489" s="36">
        <f t="shared" si="1357"/>
        <v>-640</v>
      </c>
      <c r="AN489" s="36">
        <f t="shared" si="1357"/>
        <v>-640</v>
      </c>
      <c r="AO489" s="36">
        <f t="shared" si="1357"/>
        <v>-640</v>
      </c>
      <c r="AP489" s="36">
        <f t="shared" si="1357"/>
        <v>-640</v>
      </c>
      <c r="AQ489" s="36">
        <f t="shared" ref="AQ489" si="1358">AQ490-AQ488</f>
        <v>-640</v>
      </c>
      <c r="AR489" s="36">
        <f t="shared" ref="AR489:AV489" si="1359">AR490-AR488</f>
        <v>-640</v>
      </c>
      <c r="AS489" s="36">
        <f t="shared" si="1359"/>
        <v>-640</v>
      </c>
      <c r="AT489" s="36">
        <f t="shared" si="1359"/>
        <v>-640</v>
      </c>
      <c r="AU489" s="36">
        <f t="shared" si="1359"/>
        <v>-640</v>
      </c>
      <c r="AV489" s="36">
        <f t="shared" si="1359"/>
        <v>-640</v>
      </c>
      <c r="AW489" s="36">
        <f t="shared" ref="AW489:BK489" si="1360">AW490-AW488</f>
        <v>-640</v>
      </c>
      <c r="AX489" s="36">
        <f t="shared" si="1360"/>
        <v>-640</v>
      </c>
      <c r="AY489" s="36">
        <f t="shared" ref="AY489" si="1361">AY490-AY488</f>
        <v>-640</v>
      </c>
      <c r="AZ489" s="36">
        <f t="shared" si="1360"/>
        <v>-640</v>
      </c>
      <c r="BA489" s="36">
        <f t="shared" si="1360"/>
        <v>-640</v>
      </c>
      <c r="BB489" s="36">
        <f t="shared" si="1360"/>
        <v>-640</v>
      </c>
      <c r="BC489" s="36">
        <f t="shared" si="1360"/>
        <v>-640</v>
      </c>
      <c r="BD489" s="36">
        <f t="shared" si="1360"/>
        <v>-640</v>
      </c>
      <c r="BE489" s="36">
        <f t="shared" si="1360"/>
        <v>-640</v>
      </c>
      <c r="BF489" s="36">
        <f t="shared" si="1360"/>
        <v>-640</v>
      </c>
      <c r="BG489" s="36">
        <f t="shared" si="1360"/>
        <v>-640</v>
      </c>
      <c r="BH489" s="36">
        <f t="shared" si="1360"/>
        <v>-640</v>
      </c>
      <c r="BI489" s="36">
        <f t="shared" si="1360"/>
        <v>-640</v>
      </c>
      <c r="BJ489" s="36">
        <f t="shared" si="1360"/>
        <v>-638.60092894032277</v>
      </c>
      <c r="BK489" s="36">
        <f t="shared" si="1360"/>
        <v>-638.60092894032277</v>
      </c>
      <c r="BL489" s="36">
        <f t="shared" ref="BL489:BN489" si="1362">BL490-BL488</f>
        <v>-638.60092894032277</v>
      </c>
      <c r="BM489" s="36">
        <f t="shared" si="1362"/>
        <v>-638.60092894032277</v>
      </c>
      <c r="BN489" s="36">
        <f t="shared" si="1362"/>
        <v>-638.60092894032277</v>
      </c>
      <c r="BO489" s="36">
        <f t="shared" ref="BO489:BP489" si="1363">BO490-BO488</f>
        <v>-638.60092894032277</v>
      </c>
      <c r="BP489" s="36">
        <f t="shared" si="1363"/>
        <v>-638.60092894032277</v>
      </c>
    </row>
    <row r="490" spans="1:71">
      <c r="A490" s="9" t="s">
        <v>459</v>
      </c>
      <c r="B490" s="9"/>
      <c r="C490" s="9"/>
      <c r="D490" s="9"/>
      <c r="E490" s="9"/>
      <c r="F490" s="9"/>
      <c r="G490" s="9"/>
      <c r="H490" s="9"/>
      <c r="I490" s="9"/>
      <c r="J490" s="9"/>
      <c r="K490" s="9"/>
      <c r="L490" s="9"/>
      <c r="M490" s="137"/>
      <c r="N490" s="9"/>
      <c r="O490" s="9"/>
      <c r="P490" s="9"/>
      <c r="Q490" s="9"/>
      <c r="R490" s="128"/>
      <c r="S490" s="9"/>
      <c r="T490" s="9"/>
      <c r="U490" s="9"/>
      <c r="V490" s="9"/>
      <c r="W490" s="149" t="s">
        <v>535</v>
      </c>
      <c r="X490" s="67">
        <v>4500</v>
      </c>
      <c r="Y490" s="130">
        <f>SUM(Y488:Y489)</f>
        <v>6275</v>
      </c>
      <c r="Z490" s="130">
        <f>SUM(Z488:Z489)</f>
        <v>7570</v>
      </c>
      <c r="AA490" s="67">
        <v>14000</v>
      </c>
      <c r="AB490" s="81">
        <f>AA490</f>
        <v>14000</v>
      </c>
      <c r="AC490" s="67">
        <v>15400</v>
      </c>
      <c r="AD490" s="67">
        <v>16800</v>
      </c>
      <c r="AE490" s="130">
        <f>AVERAGE(AD490, AF490)</f>
        <v>17250</v>
      </c>
      <c r="AF490" s="67">
        <v>17700</v>
      </c>
      <c r="AG490" s="81">
        <f>AF490</f>
        <v>17700</v>
      </c>
      <c r="AH490" s="58">
        <f>AG490+300</f>
        <v>18000</v>
      </c>
      <c r="AI490" s="58">
        <f>AH490+300</f>
        <v>18300</v>
      </c>
      <c r="AJ490" s="67">
        <v>18600</v>
      </c>
      <c r="AK490" s="58">
        <f>AJ490+300</f>
        <v>18900</v>
      </c>
      <c r="AL490" s="81">
        <f>AK490</f>
        <v>18900</v>
      </c>
      <c r="AM490" s="58">
        <f>AL490+400</f>
        <v>19300</v>
      </c>
      <c r="AN490" s="67">
        <v>19700</v>
      </c>
      <c r="AO490" s="67">
        <v>21200</v>
      </c>
      <c r="AP490" s="67">
        <v>22900</v>
      </c>
      <c r="AQ490" s="81">
        <f>AP490</f>
        <v>22900</v>
      </c>
      <c r="AR490" s="67">
        <v>23700</v>
      </c>
      <c r="AS490" s="67">
        <v>28100</v>
      </c>
      <c r="AT490" s="67">
        <v>28800</v>
      </c>
      <c r="AU490" s="67">
        <v>31100</v>
      </c>
      <c r="AV490" s="81">
        <f>AU490</f>
        <v>31100</v>
      </c>
      <c r="AW490" s="67">
        <v>31700</v>
      </c>
      <c r="AX490" s="67">
        <v>31800</v>
      </c>
      <c r="AY490" s="67">
        <v>32100</v>
      </c>
      <c r="AZ490" s="81">
        <f>AY490+AZ491</f>
        <v>32100</v>
      </c>
      <c r="BA490" s="81">
        <f>AZ490</f>
        <v>32100</v>
      </c>
      <c r="BB490" s="81">
        <f>BA490+BB491</f>
        <v>32450</v>
      </c>
      <c r="BC490" s="81">
        <f>BB490+BC491</f>
        <v>32800</v>
      </c>
      <c r="BD490" s="81">
        <f>BC490+BD491</f>
        <v>33150</v>
      </c>
      <c r="BE490" s="81">
        <f>BD490+BE491</f>
        <v>33500</v>
      </c>
      <c r="BF490" s="81">
        <f>BE490</f>
        <v>33500</v>
      </c>
      <c r="BG490" s="81">
        <f>BF490+BG491</f>
        <v>33750</v>
      </c>
      <c r="BH490" s="81">
        <f>BG490+BH491</f>
        <v>34050</v>
      </c>
      <c r="BI490" s="81">
        <f>BH490+BI491</f>
        <v>34350</v>
      </c>
      <c r="BJ490" s="81">
        <f>BI490+BJ491</f>
        <v>36011.399071059677</v>
      </c>
      <c r="BK490" s="81">
        <f>BJ490</f>
        <v>36011.399071059677</v>
      </c>
      <c r="BL490" s="81">
        <f>BK490+BL491</f>
        <v>36011.399071059677</v>
      </c>
      <c r="BM490" s="81">
        <f>BL490+BM491</f>
        <v>36011.399071059677</v>
      </c>
      <c r="BN490" s="81">
        <f>BM490+BN491</f>
        <v>36011.399071059677</v>
      </c>
      <c r="BO490" s="81">
        <f>BN490+BO491</f>
        <v>36011.399071059677</v>
      </c>
      <c r="BP490" s="81">
        <f>BO490</f>
        <v>36011.399071059677</v>
      </c>
    </row>
    <row r="491" spans="1:71">
      <c r="A491" s="1" t="s">
        <v>570</v>
      </c>
      <c r="M491" s="25"/>
      <c r="R491" s="42"/>
      <c r="W491" s="57"/>
      <c r="Y491" s="66" t="s">
        <v>530</v>
      </c>
      <c r="Z491" s="46"/>
      <c r="AA491" s="46"/>
      <c r="AB491" s="46"/>
      <c r="AC491" s="56">
        <f>AC490-AB490</f>
        <v>1400</v>
      </c>
      <c r="AD491" s="36">
        <f>AD490-AC490</f>
        <v>1400</v>
      </c>
      <c r="AE491" s="36">
        <f>AE490-AD490</f>
        <v>450</v>
      </c>
      <c r="AF491" s="36">
        <f>AF490-AE490</f>
        <v>450</v>
      </c>
      <c r="AG491" s="36">
        <f>SUM(AC491:AF491)</f>
        <v>3700</v>
      </c>
      <c r="AH491" s="36">
        <f>AH490-AG490</f>
        <v>300</v>
      </c>
      <c r="AI491" s="36">
        <f>AI490-AH490</f>
        <v>300</v>
      </c>
      <c r="AJ491" s="36">
        <f>AJ490-AI490</f>
        <v>300</v>
      </c>
      <c r="AK491" s="36">
        <f>AK490-AJ490</f>
        <v>300</v>
      </c>
      <c r="AL491" s="36">
        <f>SUM(AH491:AK491)</f>
        <v>1200</v>
      </c>
      <c r="AM491" s="36">
        <f>AM490-AL490</f>
        <v>400</v>
      </c>
      <c r="AN491" s="36">
        <f>AN490-AM490</f>
        <v>400</v>
      </c>
      <c r="AO491" s="36">
        <f>AO490-AN490</f>
        <v>1500</v>
      </c>
      <c r="AP491" s="36">
        <f>AP490-AO490</f>
        <v>1700</v>
      </c>
      <c r="AQ491" s="36">
        <f>SUM(AM491:AP491)</f>
        <v>4000</v>
      </c>
      <c r="AR491" s="36">
        <f>AR490-AQ490</f>
        <v>800</v>
      </c>
      <c r="AS491" s="36">
        <f>AS490-AR490</f>
        <v>4400</v>
      </c>
      <c r="AT491" s="36">
        <f>AT490-AS490</f>
        <v>700</v>
      </c>
      <c r="AU491" s="36">
        <f>AU490-AT490</f>
        <v>2300</v>
      </c>
      <c r="AV491" s="36">
        <f>SUM(AR491:AU491)</f>
        <v>8200</v>
      </c>
      <c r="AW491" s="36">
        <f>AW490-AV490</f>
        <v>600</v>
      </c>
      <c r="AX491" s="36">
        <f>AX490-AW490</f>
        <v>100</v>
      </c>
      <c r="AY491" s="36">
        <f>AY490-AX490</f>
        <v>300</v>
      </c>
      <c r="AZ491" s="36">
        <f t="shared" ref="AZ491" si="1364">IF(AZ347+AZ466&gt;0, MROUND(AZ492*(AZ347+AZ466), 50), 0)</f>
        <v>0</v>
      </c>
      <c r="BA491" s="36">
        <f>SUM(AW491:AZ491)</f>
        <v>1000</v>
      </c>
      <c r="BB491" s="36">
        <f>IF(BB347+BB466&gt;0, MROUND(BB492*(BB347+BB466), 50), 0)</f>
        <v>350</v>
      </c>
      <c r="BC491" s="36">
        <f t="shared" ref="BC491" si="1365">IF(BC347+BC466&gt;0, MROUND(BC492*(BC347+BC466), 50), 0)</f>
        <v>350</v>
      </c>
      <c r="BD491" s="36">
        <f t="shared" ref="BD491:BE491" si="1366">IF(BD347+BD466&gt;0, MROUND(BD492*(BD347+BD466), 50), 0)</f>
        <v>350</v>
      </c>
      <c r="BE491" s="36">
        <f t="shared" si="1366"/>
        <v>350</v>
      </c>
      <c r="BF491" s="36">
        <f>SUM(BB491:BE491)</f>
        <v>1400</v>
      </c>
      <c r="BG491" s="36">
        <f>IF(BG347+BG466&gt;0, MROUND(BG492*(BG347+BG466), 50), 0)</f>
        <v>250</v>
      </c>
      <c r="BH491" s="36">
        <f t="shared" ref="BH491" si="1367">IF(BH347+BH466&gt;0, MROUND(BH492*(BH347+BH466), 50), 0)</f>
        <v>300</v>
      </c>
      <c r="BI491" s="36">
        <f t="shared" ref="BI491" si="1368">IF(BI347+BI466&gt;0, MROUND(BI492*(BI347+BI466), 50), 0)</f>
        <v>300</v>
      </c>
      <c r="BJ491" s="112">
        <f>SUM(BJ463:BJ466)</f>
        <v>1661.3990710596756</v>
      </c>
      <c r="BK491" s="36">
        <f>SUM(BG491:BJ491)</f>
        <v>2511.3990710596754</v>
      </c>
      <c r="BL491" s="36">
        <f>IF(BL347+BL466&gt;0, MROUND(BL492*(BL347+BL466), 50), 0)</f>
        <v>0</v>
      </c>
      <c r="BM491" s="36">
        <f t="shared" ref="BM491" si="1369">IF(BM347+BM466&gt;0, MROUND(BM492*(BM347+BM466), 50), 0)</f>
        <v>0</v>
      </c>
      <c r="BN491" s="36">
        <f t="shared" ref="BN491" si="1370">IF(BN347+BN466&gt;0, MROUND(BN492*(BN347+BN466), 50), 0)</f>
        <v>0</v>
      </c>
      <c r="BO491" s="60">
        <f>-BO467</f>
        <v>0</v>
      </c>
      <c r="BP491" s="36">
        <f>SUM(BL491:BO491)</f>
        <v>0</v>
      </c>
    </row>
    <row r="492" spans="1:71">
      <c r="A492" s="1" t="s">
        <v>1100</v>
      </c>
      <c r="M492" s="25"/>
      <c r="R492" s="42"/>
      <c r="W492" s="57"/>
      <c r="X492" s="79"/>
      <c r="Y492" s="82"/>
      <c r="Z492" s="79"/>
      <c r="AA492" s="79"/>
      <c r="AB492" s="79"/>
      <c r="AC492" s="114">
        <f>AC491/(AC491+AC519-AB519)</f>
        <v>0.34146341463414637</v>
      </c>
      <c r="AD492" s="114">
        <f>AD491/(AD491+AD519-AC519)</f>
        <v>0.16470588235294117</v>
      </c>
      <c r="AE492" s="114">
        <f>AE491/(AE491+AE519-AD519)</f>
        <v>0.52941176470588236</v>
      </c>
      <c r="AF492" s="114">
        <f>AF491/(AF491+AF519-AE519)</f>
        <v>0.27272727272727271</v>
      </c>
      <c r="AG492" s="114">
        <f>AG491/(AG491+AG519-AB519)</f>
        <v>0.24503311258278146</v>
      </c>
      <c r="AH492" s="114">
        <f>AH491/(AH491+AH519-AG519)</f>
        <v>0.10344827586206896</v>
      </c>
      <c r="AI492" s="114">
        <f>AI491/(AI491+AI519-AH519)</f>
        <v>0.5</v>
      </c>
      <c r="AJ492" s="114">
        <f>AJ491/(AJ491+AJ519-AI519)</f>
        <v>0.3</v>
      </c>
      <c r="AK492" s="114">
        <f>AK491/(AK491+AK519-AJ519)</f>
        <v>0.75</v>
      </c>
      <c r="AL492" s="114">
        <f>AL491/(AL491+AL519-AG519)</f>
        <v>0.24489795918367346</v>
      </c>
      <c r="AM492" s="114">
        <f>AM491/(AM491+AM519-AL519)</f>
        <v>0.66666666666666663</v>
      </c>
      <c r="AN492" s="114">
        <f>AN491/(AN491+AN519-AM519)</f>
        <v>4</v>
      </c>
      <c r="AO492" s="114">
        <f>AO491/(AO491+AO519-AN519)</f>
        <v>1</v>
      </c>
      <c r="AP492" s="114">
        <f>AP491/(AP491+AP519-AO519)</f>
        <v>1</v>
      </c>
      <c r="AQ492" s="114">
        <f>AQ491/(AQ491+AQ519-AL519)</f>
        <v>1.0256410256410255</v>
      </c>
      <c r="AR492" s="114">
        <f>AR491/(AR491+AR519-AQ519)</f>
        <v>1</v>
      </c>
      <c r="AS492" s="114">
        <f>AS491/(AS491+AS519-AR519)</f>
        <v>1</v>
      </c>
      <c r="AT492" s="114">
        <f>AT491/(AT491+AT519-AS519)</f>
        <v>1</v>
      </c>
      <c r="AU492" s="114">
        <f>AU491/(AU491+AU519-AT519)</f>
        <v>0.5</v>
      </c>
      <c r="AV492" s="114">
        <f>AV491/(AV491+AV519-AQ519)</f>
        <v>0.78095238095238095</v>
      </c>
      <c r="AW492" s="114">
        <f>AW491/(AW491+AW519-AV519)</f>
        <v>0.66666666666666663</v>
      </c>
      <c r="AX492" s="114">
        <f>AX491/(AX491+AX519-AW519)</f>
        <v>2.0408163265306121E-2</v>
      </c>
      <c r="AY492" s="114">
        <f>AY491/(AY491+AY519-AX519)</f>
        <v>0.42857142857142855</v>
      </c>
      <c r="AZ492" s="743">
        <v>0.5</v>
      </c>
      <c r="BB492" s="1150">
        <v>0.1</v>
      </c>
      <c r="BC492" s="1150">
        <v>0.1</v>
      </c>
      <c r="BD492" s="1150">
        <v>0.1</v>
      </c>
      <c r="BE492" s="1150">
        <v>0.1</v>
      </c>
      <c r="BG492" s="1150">
        <v>0.1</v>
      </c>
      <c r="BH492" s="1150">
        <v>0.1</v>
      </c>
      <c r="BI492" s="1150">
        <v>0.1</v>
      </c>
      <c r="BJ492" s="1150">
        <v>0.1</v>
      </c>
      <c r="BL492" s="743">
        <v>0</v>
      </c>
      <c r="BM492" s="743">
        <v>0</v>
      </c>
      <c r="BN492" s="743">
        <v>0</v>
      </c>
      <c r="BO492" s="743">
        <v>0</v>
      </c>
    </row>
    <row r="493" spans="1:71">
      <c r="M493" s="25"/>
      <c r="R493" s="42"/>
      <c r="W493" s="57"/>
      <c r="Y493" s="22"/>
      <c r="AC493" s="116" t="s">
        <v>571</v>
      </c>
      <c r="AD493" s="115"/>
      <c r="AE493" s="115"/>
      <c r="AF493" s="115"/>
      <c r="AG493" s="115"/>
      <c r="AH493" s="115"/>
      <c r="AI493" s="115"/>
      <c r="AJ493" s="115"/>
    </row>
    <row r="494" spans="1:71">
      <c r="A494" s="3" t="s">
        <v>279</v>
      </c>
    </row>
    <row r="496" spans="1:71">
      <c r="A496" s="28" t="s">
        <v>277</v>
      </c>
      <c r="I496" s="79"/>
      <c r="J496" s="59">
        <f t="shared" ref="J496:AO496" si="1371">J459</f>
        <v>10278.036015257696</v>
      </c>
      <c r="K496" s="59">
        <f t="shared" si="1371"/>
        <v>16556.115044247788</v>
      </c>
      <c r="L496" s="59">
        <f t="shared" si="1371"/>
        <v>17363.318900602411</v>
      </c>
      <c r="M496" s="59">
        <f t="shared" si="1371"/>
        <v>17363.318900602411</v>
      </c>
      <c r="N496" s="59">
        <f t="shared" si="1371"/>
        <v>18208.150895603401</v>
      </c>
      <c r="O496" s="59">
        <f t="shared" si="1371"/>
        <v>19175.46006868011</v>
      </c>
      <c r="P496" s="59">
        <f t="shared" si="1371"/>
        <v>34162.288288288291</v>
      </c>
      <c r="Q496" s="59">
        <f t="shared" si="1371"/>
        <v>37273.312911073073</v>
      </c>
      <c r="R496" s="59">
        <f t="shared" si="1371"/>
        <v>37273.312911073073</v>
      </c>
      <c r="S496" s="59">
        <f t="shared" si="1371"/>
        <v>41471.04555153539</v>
      </c>
      <c r="T496" s="59">
        <f t="shared" si="1371"/>
        <v>42374.722016308377</v>
      </c>
      <c r="U496" s="59">
        <f t="shared" si="1371"/>
        <v>43714.293537787511</v>
      </c>
      <c r="V496" s="59">
        <f t="shared" si="1371"/>
        <v>42124.588808233028</v>
      </c>
      <c r="W496" s="59">
        <f t="shared" si="1371"/>
        <v>42124.588808233028</v>
      </c>
      <c r="X496" s="59">
        <f t="shared" si="1371"/>
        <v>48574.716911082236</v>
      </c>
      <c r="Y496" s="59">
        <f t="shared" si="1371"/>
        <v>49573.922495274106</v>
      </c>
      <c r="Z496" s="59">
        <f t="shared" si="1371"/>
        <v>52714.164251207731</v>
      </c>
      <c r="AA496" s="59">
        <f t="shared" si="1371"/>
        <v>59631.388311805618</v>
      </c>
      <c r="AB496" s="59">
        <f t="shared" si="1371"/>
        <v>59631.388311805618</v>
      </c>
      <c r="AC496" s="59">
        <f t="shared" si="1371"/>
        <v>58331.696509314526</v>
      </c>
      <c r="AD496" s="59">
        <f t="shared" si="1371"/>
        <v>50832.684060042884</v>
      </c>
      <c r="AE496" s="59">
        <f t="shared" si="1371"/>
        <v>50458.198574161019</v>
      </c>
      <c r="AF496" s="59">
        <f t="shared" si="1371"/>
        <v>43220.475529046489</v>
      </c>
      <c r="AG496" s="59">
        <f t="shared" si="1371"/>
        <v>43220.475529046489</v>
      </c>
      <c r="AH496" s="59">
        <f t="shared" si="1371"/>
        <v>38133.911325724315</v>
      </c>
      <c r="AI496" s="59">
        <f t="shared" si="1371"/>
        <v>35397.693529452386</v>
      </c>
      <c r="AJ496" s="59">
        <f t="shared" si="1371"/>
        <v>33821.612660135645</v>
      </c>
      <c r="AK496" s="59">
        <f t="shared" si="1371"/>
        <v>33480.993035272972</v>
      </c>
      <c r="AL496" s="59">
        <f t="shared" si="1371"/>
        <v>33480.993035272972</v>
      </c>
      <c r="AM496" s="59">
        <f>AM459</f>
        <v>33069.687564659631</v>
      </c>
      <c r="AN496" s="59">
        <f t="shared" si="1371"/>
        <v>33426.139858269817</v>
      </c>
      <c r="AO496" s="59">
        <f t="shared" si="1371"/>
        <v>32770.196714376361</v>
      </c>
      <c r="AP496" s="59">
        <f t="shared" ref="AP496:AQ496" si="1372">AP459</f>
        <v>30912.2052704577</v>
      </c>
      <c r="AQ496" s="59">
        <f t="shared" si="1372"/>
        <v>30912.206129835045</v>
      </c>
      <c r="AR496" s="59">
        <f>AR459</f>
        <v>31287.620289315208</v>
      </c>
      <c r="AS496" s="59">
        <f t="shared" ref="AS496" si="1373">AS459</f>
        <v>28101.632452883066</v>
      </c>
      <c r="AT496" s="59">
        <f>AT459</f>
        <v>26878.758376533064</v>
      </c>
      <c r="AU496" s="59">
        <f t="shared" ref="AU496" si="1374">AU459</f>
        <v>24395.712948100587</v>
      </c>
      <c r="AV496" s="36">
        <f>AU496</f>
        <v>24395.712948100587</v>
      </c>
      <c r="AW496" s="59">
        <f>AW459</f>
        <v>25136.965679165802</v>
      </c>
      <c r="AX496" s="59">
        <f t="shared" ref="AX496" si="1375">AX459</f>
        <v>25378.412144008598</v>
      </c>
      <c r="AY496" s="59">
        <f>AY459</f>
        <v>23144.168369954012</v>
      </c>
      <c r="AZ496" s="36">
        <f t="shared" ref="AZ496" si="1376">AZ498-AZ497</f>
        <v>22257.504643440581</v>
      </c>
      <c r="BA496" s="36">
        <f>AZ496</f>
        <v>22257.504643440581</v>
      </c>
      <c r="BB496" s="36">
        <f>BB498-BB497</f>
        <v>20529.168369954015</v>
      </c>
      <c r="BC496" s="36">
        <f>BC498-BC497</f>
        <v>18825.000233210732</v>
      </c>
      <c r="BD496" s="36">
        <f t="shared" ref="BD496" si="1377">BD498-BD497</f>
        <v>17109.168369954015</v>
      </c>
      <c r="BE496" s="36">
        <f t="shared" ref="BE496" si="1378">BE498-BE497</f>
        <v>15418.752438325659</v>
      </c>
      <c r="BF496" s="36">
        <f>BE496</f>
        <v>15418.752438325659</v>
      </c>
      <c r="BG496" s="36">
        <f>BG498-BG497</f>
        <v>14104.168369954015</v>
      </c>
      <c r="BH496" s="36">
        <f>BH498-BH497</f>
        <v>12759.376335768195</v>
      </c>
      <c r="BI496" s="36">
        <f t="shared" ref="BI496" si="1379">BI498-BI497</f>
        <v>11379.168369954015</v>
      </c>
      <c r="BJ496" s="36">
        <f t="shared" ref="BJ496" si="1380">BJ498-BJ497</f>
        <v>9260.1653159872512</v>
      </c>
      <c r="BK496" s="36">
        <f>BJ496</f>
        <v>9260.1653159872512</v>
      </c>
      <c r="BL496" s="36">
        <f>BL498-BL497</f>
        <v>8000.1653159872512</v>
      </c>
      <c r="BM496" s="36">
        <f>BM498-BM497</f>
        <v>6720.1653159872512</v>
      </c>
      <c r="BN496" s="36">
        <f t="shared" ref="BN496" si="1381">BN498-BN497</f>
        <v>5420.1653159872512</v>
      </c>
      <c r="BO496" s="36">
        <f t="shared" ref="BO496" si="1382">BO498-BO497</f>
        <v>4100.1653159872512</v>
      </c>
      <c r="BP496" s="36">
        <f>BO496</f>
        <v>4100.1653159872512</v>
      </c>
      <c r="BQ496" s="36">
        <f>BQ498-BQ497</f>
        <v>2760.1653159872512</v>
      </c>
      <c r="BR496" s="36">
        <f>BR498-BR497</f>
        <v>1385.1653159872512</v>
      </c>
      <c r="BS496" s="36">
        <f t="shared" ref="BS496" si="1383">BS498-BS497</f>
        <v>0.16531598725123331</v>
      </c>
    </row>
    <row r="497" spans="1:71">
      <c r="A497" s="28" t="s">
        <v>280</v>
      </c>
      <c r="I497" s="80"/>
      <c r="J497" s="80">
        <f t="shared" ref="J497:Q497" si="1384">-J471</f>
        <v>-5860.1921370297587</v>
      </c>
      <c r="K497" s="80">
        <f t="shared" si="1384"/>
        <v>-9584.6897225690846</v>
      </c>
      <c r="L497" s="80">
        <f t="shared" si="1384"/>
        <v>-10900.839588595378</v>
      </c>
      <c r="M497" s="80">
        <f t="shared" si="1384"/>
        <v>-10900.839588595378</v>
      </c>
      <c r="N497" s="80">
        <f t="shared" si="1384"/>
        <v>-11716.324784737764</v>
      </c>
      <c r="O497" s="80">
        <f t="shared" si="1384"/>
        <v>-11819.237557673008</v>
      </c>
      <c r="P497" s="80">
        <f t="shared" si="1384"/>
        <v>-19901.232954619376</v>
      </c>
      <c r="Q497" s="80">
        <f t="shared" si="1384"/>
        <v>-20435.516713217407</v>
      </c>
      <c r="R497" s="141">
        <f>-R474</f>
        <v>-20435.517</v>
      </c>
      <c r="S497" s="80">
        <f>-S471</f>
        <v>-21873.684975253967</v>
      </c>
      <c r="T497" s="80">
        <f>-T471</f>
        <v>-24218.325302494712</v>
      </c>
      <c r="U497" s="80">
        <f>-U471</f>
        <v>-25153.113350542786</v>
      </c>
      <c r="V497" s="80">
        <f>-V471</f>
        <v>-26480.45575668474</v>
      </c>
      <c r="W497" s="141">
        <f>-W474</f>
        <v>-26480.455999999998</v>
      </c>
      <c r="X497" s="80">
        <f>-X471</f>
        <v>-28616.121517126263</v>
      </c>
      <c r="Y497" s="80">
        <f>-Y471</f>
        <v>-27348.679788956466</v>
      </c>
      <c r="Z497" s="80">
        <f>-Z471</f>
        <v>-26215.979825715385</v>
      </c>
      <c r="AA497" s="80">
        <f>-AA471</f>
        <v>-21208.608075151296</v>
      </c>
      <c r="AB497" s="141">
        <f>-AB474</f>
        <v>-21208.608</v>
      </c>
      <c r="AC497" s="80">
        <f>-AC471</f>
        <v>-20101.368900904945</v>
      </c>
      <c r="AD497" s="80">
        <f>-AD471</f>
        <v>-18876.266530513069</v>
      </c>
      <c r="AE497" s="80">
        <f>-AE471</f>
        <v>-18612.463692408044</v>
      </c>
      <c r="AF497" s="80">
        <f>-AF471</f>
        <v>-18458.132313262566</v>
      </c>
      <c r="AG497" s="70">
        <f>-AG474</f>
        <v>-18458.132313262566</v>
      </c>
      <c r="AH497" s="80">
        <f>-AH471</f>
        <v>-17991.188514893645</v>
      </c>
      <c r="AI497" s="80">
        <f>-AI471</f>
        <v>-17764.232557411706</v>
      </c>
      <c r="AJ497" s="80">
        <f>-AJ471</f>
        <v>-17416.681069403436</v>
      </c>
      <c r="AK497" s="80">
        <f>-AK471</f>
        <v>-17342.372500561672</v>
      </c>
      <c r="AL497" s="141">
        <f>-AL474</f>
        <v>-17342.373</v>
      </c>
      <c r="AM497" s="80">
        <f>-AM471</f>
        <v>-16886.95061225813</v>
      </c>
      <c r="AN497" s="80">
        <f>-AN471</f>
        <v>-16619.728777024266</v>
      </c>
      <c r="AO497" s="80">
        <f>-AO471</f>
        <v>-14953.897480831205</v>
      </c>
      <c r="AP497" s="80">
        <f>-AP471</f>
        <v>-13325.091159853831</v>
      </c>
      <c r="AQ497" s="141">
        <f>-AQ474</f>
        <v>-13310.031999999999</v>
      </c>
      <c r="AR497" s="80">
        <f>-AR471</f>
        <v>-12488.941091865856</v>
      </c>
      <c r="AS497" s="80">
        <f>-AS471</f>
        <v>-7962.7266124986591</v>
      </c>
      <c r="AT497" s="80">
        <f>-AT471</f>
        <v>-7243.0246829118378</v>
      </c>
      <c r="AU497" s="80">
        <f>-AU471</f>
        <v>-4924.5912849516799</v>
      </c>
      <c r="AV497" s="36">
        <f>AU497</f>
        <v>-4924.5912849516799</v>
      </c>
      <c r="AW497" s="80">
        <f>-AW471</f>
        <v>-4303.0303393738386</v>
      </c>
      <c r="AX497" s="80">
        <f>-AX471</f>
        <v>-4220.9487155028391</v>
      </c>
      <c r="AY497" s="80">
        <f>-AY471</f>
        <v>-3904.003053966765</v>
      </c>
      <c r="AZ497" s="80">
        <f t="shared" ref="AZ497" si="1385">-AZ471</f>
        <v>-3927.3393274533341</v>
      </c>
      <c r="BA497" s="36">
        <f>AZ497</f>
        <v>-3927.3393274533341</v>
      </c>
      <c r="BB497" s="80">
        <f>-BB471</f>
        <v>-3554.003053966765</v>
      </c>
      <c r="BC497" s="80">
        <f>-BC471</f>
        <v>-3219.8349172234807</v>
      </c>
      <c r="BD497" s="80">
        <f t="shared" ref="BD497:BE497" si="1386">-BD471</f>
        <v>-2854.003053966765</v>
      </c>
      <c r="BE497" s="80">
        <f t="shared" si="1386"/>
        <v>-2518.5871223384074</v>
      </c>
      <c r="BF497" s="36">
        <f>BE497</f>
        <v>-2518.5871223384074</v>
      </c>
      <c r="BG497" s="80">
        <f>-BG471</f>
        <v>-2254.003053966765</v>
      </c>
      <c r="BH497" s="80">
        <f>-BH471</f>
        <v>-1964.2110197809438</v>
      </c>
      <c r="BI497" s="80">
        <f t="shared" ref="BI497:BJ497" si="1387">-BI471</f>
        <v>-1654.003053966765</v>
      </c>
      <c r="BJ497" s="80">
        <f t="shared" si="1387"/>
        <v>0</v>
      </c>
      <c r="BK497" s="36">
        <f>BJ497</f>
        <v>0</v>
      </c>
      <c r="BL497" s="80">
        <f>-BL471</f>
        <v>0</v>
      </c>
      <c r="BM497" s="80">
        <f>-BM471</f>
        <v>0</v>
      </c>
      <c r="BN497" s="80">
        <f t="shared" ref="BN497:BO497" si="1388">-BN471</f>
        <v>0</v>
      </c>
      <c r="BO497" s="80">
        <f t="shared" si="1388"/>
        <v>0</v>
      </c>
      <c r="BP497" s="36">
        <f>BO497</f>
        <v>0</v>
      </c>
      <c r="BQ497" s="80">
        <f>-BQ471</f>
        <v>0</v>
      </c>
      <c r="BR497" s="80">
        <f>-BR471</f>
        <v>0</v>
      </c>
      <c r="BS497" s="80">
        <f t="shared" ref="BS497" si="1389">-BS471</f>
        <v>0</v>
      </c>
    </row>
    <row r="498" spans="1:71">
      <c r="A498" s="9" t="s">
        <v>327</v>
      </c>
      <c r="B498" s="9"/>
      <c r="C498" s="9"/>
      <c r="D498" s="9"/>
      <c r="E498" s="9"/>
      <c r="F498" s="9"/>
      <c r="G498" s="9"/>
      <c r="H498" s="9"/>
      <c r="I498" s="81">
        <f>I403/I$237</f>
        <v>389.1875</v>
      </c>
      <c r="J498" s="81">
        <f>SUM(J496:J497)</f>
        <v>4417.8438782279372</v>
      </c>
      <c r="K498" s="81">
        <f t="shared" ref="K498:P498" si="1390">SUM(K496:K497)</f>
        <v>6971.4253216787038</v>
      </c>
      <c r="L498" s="81">
        <f t="shared" si="1390"/>
        <v>6462.4793120070335</v>
      </c>
      <c r="M498" s="81">
        <f t="shared" si="1390"/>
        <v>6462.4793120070335</v>
      </c>
      <c r="N498" s="81">
        <f t="shared" si="1390"/>
        <v>6491.826110865637</v>
      </c>
      <c r="O498" s="81">
        <f t="shared" si="1390"/>
        <v>7356.2225110071013</v>
      </c>
      <c r="P498" s="81">
        <f t="shared" si="1390"/>
        <v>14261.055333668915</v>
      </c>
      <c r="Q498" s="81">
        <f t="shared" ref="Q498" si="1391">SUM(Q496:Q497)</f>
        <v>16837.796197855667</v>
      </c>
      <c r="R498" s="81">
        <f t="shared" ref="R498:S498" si="1392">SUM(R496:R497)</f>
        <v>16837.795911073074</v>
      </c>
      <c r="S498" s="81">
        <f t="shared" si="1392"/>
        <v>19597.360576281422</v>
      </c>
      <c r="T498" s="81">
        <f t="shared" ref="T498:U498" si="1393">SUM(T496:T497)</f>
        <v>18156.396713813665</v>
      </c>
      <c r="U498" s="81">
        <f t="shared" si="1393"/>
        <v>18561.180187244725</v>
      </c>
      <c r="V498" s="81">
        <f t="shared" ref="V498:Z498" si="1394">SUM(V496:V497)</f>
        <v>15644.133051548288</v>
      </c>
      <c r="W498" s="81">
        <f t="shared" si="1394"/>
        <v>15644.132808233029</v>
      </c>
      <c r="X498" s="81">
        <f t="shared" si="1394"/>
        <v>19958.595393955973</v>
      </c>
      <c r="Y498" s="81">
        <f t="shared" si="1394"/>
        <v>22225.24270631764</v>
      </c>
      <c r="Z498" s="81">
        <f t="shared" si="1394"/>
        <v>26498.184425492345</v>
      </c>
      <c r="AA498" s="81">
        <f t="shared" ref="AA498:AC498" si="1395">SUM(AA496:AA497)</f>
        <v>38422.780236654318</v>
      </c>
      <c r="AB498" s="81">
        <f t="shared" si="1395"/>
        <v>38422.780311805618</v>
      </c>
      <c r="AC498" s="81">
        <f t="shared" si="1395"/>
        <v>38230.327608409585</v>
      </c>
      <c r="AD498" s="81">
        <f t="shared" ref="AD498:AE498" si="1396">SUM(AD496:AD497)</f>
        <v>31956.417529529816</v>
      </c>
      <c r="AE498" s="81">
        <f t="shared" si="1396"/>
        <v>31845.734881752975</v>
      </c>
      <c r="AF498" s="81">
        <f t="shared" ref="AF498:AH498" si="1397">SUM(AF496:AF497)</f>
        <v>24762.343215783923</v>
      </c>
      <c r="AG498" s="81">
        <f t="shared" si="1397"/>
        <v>24762.343215783923</v>
      </c>
      <c r="AH498" s="81">
        <f t="shared" si="1397"/>
        <v>20142.72281083067</v>
      </c>
      <c r="AI498" s="81">
        <f t="shared" ref="AI498:AJ498" si="1398">SUM(AI496:AI497)</f>
        <v>17633.460972040681</v>
      </c>
      <c r="AJ498" s="81">
        <f t="shared" si="1398"/>
        <v>16404.931590732209</v>
      </c>
      <c r="AK498" s="81">
        <f t="shared" ref="AK498:AN498" si="1399">SUM(AK496:AK497)</f>
        <v>16138.620534711299</v>
      </c>
      <c r="AL498" s="81">
        <f t="shared" si="1399"/>
        <v>16138.620035272972</v>
      </c>
      <c r="AM498" s="81">
        <f t="shared" si="1399"/>
        <v>16182.736952401501</v>
      </c>
      <c r="AN498" s="81">
        <f t="shared" si="1399"/>
        <v>16806.411081245551</v>
      </c>
      <c r="AO498" s="81">
        <f t="shared" ref="AO498:AS498" si="1400">SUM(AO496:AO497)</f>
        <v>17816.299233545156</v>
      </c>
      <c r="AP498" s="81">
        <f t="shared" si="1400"/>
        <v>17587.11411060387</v>
      </c>
      <c r="AQ498" s="81">
        <f t="shared" si="1400"/>
        <v>17602.174129835046</v>
      </c>
      <c r="AR498" s="81">
        <f t="shared" si="1400"/>
        <v>18798.679197449354</v>
      </c>
      <c r="AS498" s="81">
        <f t="shared" si="1400"/>
        <v>20138.905840384406</v>
      </c>
      <c r="AT498" s="81">
        <f t="shared" ref="AT498:AU498" si="1401">SUM(AT496:AT497)</f>
        <v>19635.733693621227</v>
      </c>
      <c r="AU498" s="81">
        <f t="shared" si="1401"/>
        <v>19471.121663148908</v>
      </c>
      <c r="AV498" s="81">
        <f>AU498</f>
        <v>19471.121663148908</v>
      </c>
      <c r="AW498" s="81">
        <f t="shared" ref="AW498:AY498" si="1402">SUM(AW496:AW497)</f>
        <v>20833.935339791962</v>
      </c>
      <c r="AX498" s="81">
        <f t="shared" si="1402"/>
        <v>21157.463428505758</v>
      </c>
      <c r="AY498" s="81">
        <f t="shared" si="1402"/>
        <v>19240.165315987248</v>
      </c>
      <c r="AZ498" s="58">
        <f t="shared" ref="AZ498" si="1403">AZ509</f>
        <v>18330.165315987248</v>
      </c>
      <c r="BA498" s="81">
        <f>AZ498</f>
        <v>18330.165315987248</v>
      </c>
      <c r="BB498" s="58">
        <f>BB509</f>
        <v>16975.165315987251</v>
      </c>
      <c r="BC498" s="58">
        <f>BC509</f>
        <v>15605.165315987251</v>
      </c>
      <c r="BD498" s="58">
        <f t="shared" ref="BD498:BE498" si="1404">BD509</f>
        <v>14255.165315987251</v>
      </c>
      <c r="BE498" s="58">
        <f t="shared" si="1404"/>
        <v>12900.165315987251</v>
      </c>
      <c r="BF498" s="81">
        <f>BE498</f>
        <v>12900.165315987251</v>
      </c>
      <c r="BG498" s="58">
        <f>BG509</f>
        <v>11850.165315987251</v>
      </c>
      <c r="BH498" s="58">
        <f>BH509</f>
        <v>10795.165315987251</v>
      </c>
      <c r="BI498" s="58">
        <f t="shared" ref="BI498:BJ498" si="1405">BI509</f>
        <v>9725.1653159872512</v>
      </c>
      <c r="BJ498" s="58">
        <f t="shared" si="1405"/>
        <v>9260.1653159872512</v>
      </c>
      <c r="BK498" s="81">
        <f>BJ498</f>
        <v>9260.1653159872512</v>
      </c>
      <c r="BL498" s="58">
        <f>BL509</f>
        <v>8000.1653159872512</v>
      </c>
      <c r="BM498" s="58">
        <f>BM509</f>
        <v>6720.1653159872512</v>
      </c>
      <c r="BN498" s="58">
        <f t="shared" ref="BN498:BO498" si="1406">BN509</f>
        <v>5420.1653159872512</v>
      </c>
      <c r="BO498" s="58">
        <f t="shared" si="1406"/>
        <v>4100.1653159872512</v>
      </c>
      <c r="BP498" s="81">
        <f>BO498</f>
        <v>4100.1653159872512</v>
      </c>
      <c r="BQ498" s="58">
        <f>BQ509</f>
        <v>2760.1653159872512</v>
      </c>
      <c r="BR498" s="58">
        <f>BR509</f>
        <v>1385.1653159872512</v>
      </c>
      <c r="BS498" s="58">
        <f t="shared" ref="BS498" si="1407">BS509</f>
        <v>0.16531598725123331</v>
      </c>
    </row>
    <row r="499" spans="1:71">
      <c r="I499" s="79"/>
      <c r="J499" s="79"/>
      <c r="K499" s="79"/>
      <c r="L499" s="79"/>
      <c r="M499" s="79"/>
      <c r="N499" s="79"/>
      <c r="O499" s="79"/>
      <c r="P499" s="79"/>
      <c r="Q499" s="79"/>
      <c r="R499" s="79"/>
    </row>
    <row r="500" spans="1:71">
      <c r="A500" s="1" t="s">
        <v>282</v>
      </c>
      <c r="I500" s="79"/>
      <c r="J500" s="21">
        <f t="shared" ref="J500:S500" si="1408">-J497/J496</f>
        <v>0.57016653068060197</v>
      </c>
      <c r="K500" s="21">
        <f t="shared" si="1408"/>
        <v>0.57892142552483428</v>
      </c>
      <c r="L500" s="21">
        <f t="shared" si="1408"/>
        <v>0.62780852272529408</v>
      </c>
      <c r="M500" s="21">
        <f t="shared" si="1408"/>
        <v>0.62780852272529408</v>
      </c>
      <c r="N500" s="21">
        <f t="shared" si="1408"/>
        <v>0.64346593192869606</v>
      </c>
      <c r="O500" s="21">
        <f t="shared" si="1408"/>
        <v>0.61637308911183553</v>
      </c>
      <c r="P500" s="21">
        <f t="shared" si="1408"/>
        <v>0.58254976325581886</v>
      </c>
      <c r="Q500" s="21">
        <f t="shared" si="1408"/>
        <v>0.54826134618011024</v>
      </c>
      <c r="R500" s="21">
        <f t="shared" si="1408"/>
        <v>0.54826135387415653</v>
      </c>
      <c r="S500" s="21">
        <f t="shared" si="1408"/>
        <v>0.52744474329859603</v>
      </c>
      <c r="T500" s="21">
        <f t="shared" ref="T500:U500" si="1409">-T497/T496</f>
        <v>0.57152765021500374</v>
      </c>
      <c r="U500" s="21">
        <f t="shared" si="1409"/>
        <v>0.57539791484448743</v>
      </c>
      <c r="V500" s="21">
        <f t="shared" ref="V500:X500" si="1410">-V497/V496</f>
        <v>0.62862229652219836</v>
      </c>
      <c r="W500" s="21">
        <f t="shared" si="1410"/>
        <v>0.62862230229828464</v>
      </c>
      <c r="X500" s="21">
        <f t="shared" si="1410"/>
        <v>0.58911555922207637</v>
      </c>
      <c r="Y500" s="21">
        <f t="shared" ref="Y500:Z500" si="1411">-Y497/Y496</f>
        <v>0.55167471953754765</v>
      </c>
      <c r="Z500" s="21">
        <f t="shared" si="1411"/>
        <v>0.49732325643604891</v>
      </c>
      <c r="AA500" s="21">
        <f t="shared" ref="AA500:AB500" si="1412">-AA497/AA496</f>
        <v>0.3556618196486378</v>
      </c>
      <c r="AB500" s="21">
        <f t="shared" si="1412"/>
        <v>0.35566181838837369</v>
      </c>
      <c r="AC500" s="21">
        <f t="shared" ref="AC500:AD500" si="1413">-AC497/AC496</f>
        <v>0.34460456499315284</v>
      </c>
      <c r="AD500" s="21">
        <f t="shared" si="1413"/>
        <v>0.37134113375199068</v>
      </c>
      <c r="AE500" s="21">
        <f t="shared" ref="AE500:AH500" si="1414">-AE497/AE496</f>
        <v>0.36886896913397227</v>
      </c>
      <c r="AF500" s="21">
        <f t="shared" si="1414"/>
        <v>0.42706916310667858</v>
      </c>
      <c r="AG500" s="21">
        <f t="shared" si="1414"/>
        <v>0.42706916310667858</v>
      </c>
      <c r="AH500" s="21">
        <f t="shared" si="1414"/>
        <v>0.47178975062957096</v>
      </c>
      <c r="AI500" s="21">
        <f t="shared" ref="AI500:AJ500" si="1415">-AI497/AI496</f>
        <v>0.5018471766424869</v>
      </c>
      <c r="AJ500" s="21">
        <f t="shared" si="1415"/>
        <v>0.5149571442503057</v>
      </c>
      <c r="AK500" s="21">
        <f t="shared" ref="AK500:AM500" si="1416">-AK497/AK496</f>
        <v>0.51797664669895238</v>
      </c>
      <c r="AL500" s="21">
        <f t="shared" si="1416"/>
        <v>0.51797666161602263</v>
      </c>
      <c r="AM500" s="21">
        <f t="shared" si="1416"/>
        <v>0.51064741930929514</v>
      </c>
      <c r="AN500" s="21">
        <f t="shared" ref="AN500:AO500" si="1417">-AN497/AN496</f>
        <v>0.49720754019140651</v>
      </c>
      <c r="AO500" s="21">
        <f t="shared" si="1417"/>
        <v>0.45632614326879811</v>
      </c>
      <c r="AP500" s="21">
        <f t="shared" ref="AP500:AQ500" si="1418">-AP497/AP496</f>
        <v>0.43106245715146074</v>
      </c>
      <c r="AQ500" s="21">
        <f t="shared" si="1418"/>
        <v>0.43057528615383311</v>
      </c>
      <c r="AR500" s="21">
        <f t="shared" ref="AR500:AS500" si="1419">-AR497/AR496</f>
        <v>0.39916557975266842</v>
      </c>
      <c r="AS500" s="21">
        <f t="shared" si="1419"/>
        <v>0.28335459250808503</v>
      </c>
      <c r="AT500" s="21">
        <f t="shared" ref="AT500:AU500" si="1420">-AT497/AT496</f>
        <v>0.26947021069379001</v>
      </c>
      <c r="AU500" s="21">
        <f t="shared" si="1420"/>
        <v>0.20186297877123943</v>
      </c>
      <c r="AV500" s="21">
        <f t="shared" ref="AV500:AX500" si="1421">-AV497/AV496</f>
        <v>0.20186297877123943</v>
      </c>
      <c r="AW500" s="21">
        <f t="shared" si="1421"/>
        <v>0.17118336374784912</v>
      </c>
      <c r="AX500" s="21">
        <f t="shared" si="1421"/>
        <v>0.16632044162382048</v>
      </c>
      <c r="AY500" s="21">
        <f t="shared" ref="AY500:BS500" si="1422">-AY497/AY496</f>
        <v>0.16868193281185168</v>
      </c>
      <c r="AZ500" s="21">
        <f t="shared" si="1422"/>
        <v>0.17645011830249105</v>
      </c>
      <c r="BA500" s="21">
        <f t="shared" si="1422"/>
        <v>0.17645011830249105</v>
      </c>
      <c r="BB500" s="21">
        <f t="shared" si="1422"/>
        <v>0.1731196797610329</v>
      </c>
      <c r="BC500" s="21">
        <f t="shared" si="1422"/>
        <v>0.17104036532988218</v>
      </c>
      <c r="BD500" s="21">
        <f t="shared" si="1422"/>
        <v>0.16681132549836702</v>
      </c>
      <c r="BE500" s="21">
        <f t="shared" si="1422"/>
        <v>0.16334571376073692</v>
      </c>
      <c r="BF500" s="21">
        <f t="shared" si="1422"/>
        <v>0.16334571376073692</v>
      </c>
      <c r="BG500" s="21">
        <f t="shared" si="1422"/>
        <v>0.15981112780590792</v>
      </c>
      <c r="BH500" s="21">
        <f t="shared" si="1422"/>
        <v>0.15394255707269144</v>
      </c>
      <c r="BI500" s="21">
        <f t="shared" si="1422"/>
        <v>0.14535359704616524</v>
      </c>
      <c r="BJ500" s="21">
        <f t="shared" si="1422"/>
        <v>0</v>
      </c>
      <c r="BK500" s="21">
        <f t="shared" si="1422"/>
        <v>0</v>
      </c>
      <c r="BL500" s="21">
        <f t="shared" si="1422"/>
        <v>0</v>
      </c>
      <c r="BM500" s="21">
        <f t="shared" si="1422"/>
        <v>0</v>
      </c>
      <c r="BN500" s="21">
        <f t="shared" si="1422"/>
        <v>0</v>
      </c>
      <c r="BO500" s="21">
        <f t="shared" si="1422"/>
        <v>0</v>
      </c>
      <c r="BP500" s="21">
        <f t="shared" si="1422"/>
        <v>0</v>
      </c>
      <c r="BQ500" s="21">
        <f t="shared" si="1422"/>
        <v>0</v>
      </c>
      <c r="BR500" s="21">
        <f t="shared" si="1422"/>
        <v>0</v>
      </c>
      <c r="BS500" s="21">
        <f t="shared" si="1422"/>
        <v>0</v>
      </c>
    </row>
    <row r="501" spans="1:71">
      <c r="A501" s="1" t="s">
        <v>283</v>
      </c>
      <c r="I501" s="79"/>
      <c r="J501" s="21">
        <f t="shared" ref="J501:S501" si="1423">J498/J496</f>
        <v>0.42983346931939809</v>
      </c>
      <c r="K501" s="21">
        <f t="shared" si="1423"/>
        <v>0.42107857447516572</v>
      </c>
      <c r="L501" s="21">
        <f t="shared" si="1423"/>
        <v>0.37219147727470586</v>
      </c>
      <c r="M501" s="21">
        <f t="shared" si="1423"/>
        <v>0.37219147727470586</v>
      </c>
      <c r="N501" s="21">
        <f t="shared" si="1423"/>
        <v>0.35653406807130394</v>
      </c>
      <c r="O501" s="21">
        <f t="shared" si="1423"/>
        <v>0.38362691088816453</v>
      </c>
      <c r="P501" s="21">
        <f t="shared" si="1423"/>
        <v>0.41745023674418119</v>
      </c>
      <c r="Q501" s="21">
        <f t="shared" si="1423"/>
        <v>0.45173865381988976</v>
      </c>
      <c r="R501" s="21">
        <f t="shared" si="1423"/>
        <v>0.45173864612584352</v>
      </c>
      <c r="S501" s="21">
        <f t="shared" si="1423"/>
        <v>0.47255525670140397</v>
      </c>
      <c r="T501" s="21">
        <f t="shared" ref="T501:U501" si="1424">T498/T496</f>
        <v>0.42847234978499626</v>
      </c>
      <c r="U501" s="21">
        <f t="shared" si="1424"/>
        <v>0.42460208515551257</v>
      </c>
      <c r="V501" s="21">
        <f t="shared" ref="V501:X501" si="1425">V498/V496</f>
        <v>0.37137770347780164</v>
      </c>
      <c r="W501" s="21">
        <f t="shared" si="1425"/>
        <v>0.37137769770171541</v>
      </c>
      <c r="X501" s="21">
        <f t="shared" si="1425"/>
        <v>0.41088444077792358</v>
      </c>
      <c r="Y501" s="21">
        <f t="shared" ref="Y501:Z501" si="1426">Y498/Y496</f>
        <v>0.44832528046245235</v>
      </c>
      <c r="Z501" s="21">
        <f t="shared" si="1426"/>
        <v>0.50267674356395109</v>
      </c>
      <c r="AA501" s="21">
        <f t="shared" ref="AA501:AB501" si="1427">AA498/AA496</f>
        <v>0.64433818035136214</v>
      </c>
      <c r="AB501" s="21">
        <f t="shared" si="1427"/>
        <v>0.64433818161162626</v>
      </c>
      <c r="AC501" s="21">
        <f t="shared" ref="AC501:AD501" si="1428">AC498/AC496</f>
        <v>0.65539543500684716</v>
      </c>
      <c r="AD501" s="21">
        <f t="shared" si="1428"/>
        <v>0.62865886624800937</v>
      </c>
      <c r="AE501" s="21">
        <f t="shared" ref="AE501:AH501" si="1429">AE498/AE496</f>
        <v>0.63113103086602773</v>
      </c>
      <c r="AF501" s="21">
        <f t="shared" si="1429"/>
        <v>0.57293083689332136</v>
      </c>
      <c r="AG501" s="21">
        <f t="shared" si="1429"/>
        <v>0.57293083689332136</v>
      </c>
      <c r="AH501" s="21">
        <f t="shared" si="1429"/>
        <v>0.52821024937042904</v>
      </c>
      <c r="AI501" s="21">
        <f t="shared" ref="AI501:AJ501" si="1430">AI498/AI496</f>
        <v>0.49815282335751315</v>
      </c>
      <c r="AJ501" s="21">
        <f t="shared" si="1430"/>
        <v>0.4850428557496943</v>
      </c>
      <c r="AK501" s="21">
        <f t="shared" ref="AK501:AM501" si="1431">AK498/AK496</f>
        <v>0.48202335330104762</v>
      </c>
      <c r="AL501" s="21">
        <f t="shared" si="1431"/>
        <v>0.48202333838397732</v>
      </c>
      <c r="AM501" s="21">
        <f t="shared" si="1431"/>
        <v>0.48935258069070486</v>
      </c>
      <c r="AN501" s="21">
        <f t="shared" ref="AN501:AO501" si="1432">AN498/AN496</f>
        <v>0.50279245980859344</v>
      </c>
      <c r="AO501" s="21">
        <f t="shared" si="1432"/>
        <v>0.54367385673120183</v>
      </c>
      <c r="AP501" s="21">
        <f t="shared" ref="AP501:AQ501" si="1433">AP498/AP496</f>
        <v>0.56893754284853926</v>
      </c>
      <c r="AQ501" s="21">
        <f t="shared" si="1433"/>
        <v>0.56942471384616689</v>
      </c>
      <c r="AR501" s="21">
        <f t="shared" ref="AR501:AS501" si="1434">AR498/AR496</f>
        <v>0.60083442024733169</v>
      </c>
      <c r="AS501" s="21">
        <f t="shared" si="1434"/>
        <v>0.71664540749191497</v>
      </c>
      <c r="AT501" s="21">
        <f t="shared" ref="AT501:AU501" si="1435">AT498/AT496</f>
        <v>0.73052978930621004</v>
      </c>
      <c r="AU501" s="21">
        <f t="shared" si="1435"/>
        <v>0.79813702122876062</v>
      </c>
      <c r="AV501" s="21">
        <f t="shared" ref="AV501:AX501" si="1436">AV498/AV496</f>
        <v>0.79813702122876062</v>
      </c>
      <c r="AW501" s="21">
        <f t="shared" si="1436"/>
        <v>0.82881663625215085</v>
      </c>
      <c r="AX501" s="21">
        <f t="shared" si="1436"/>
        <v>0.83367955837617946</v>
      </c>
      <c r="AY501" s="21">
        <f t="shared" ref="AY501:BS501" si="1437">AY498/AY496</f>
        <v>0.83131806718814838</v>
      </c>
      <c r="AZ501" s="21">
        <f t="shared" si="1437"/>
        <v>0.82354988169750898</v>
      </c>
      <c r="BA501" s="21">
        <f t="shared" si="1437"/>
        <v>0.82354988169750898</v>
      </c>
      <c r="BB501" s="21">
        <f t="shared" si="1437"/>
        <v>0.82688032023896718</v>
      </c>
      <c r="BC501" s="21">
        <f t="shared" si="1437"/>
        <v>0.8289596346701178</v>
      </c>
      <c r="BD501" s="21">
        <f t="shared" si="1437"/>
        <v>0.83318867450163303</v>
      </c>
      <c r="BE501" s="21">
        <f t="shared" si="1437"/>
        <v>0.83665428623926308</v>
      </c>
      <c r="BF501" s="21">
        <f t="shared" si="1437"/>
        <v>0.83665428623926308</v>
      </c>
      <c r="BG501" s="21">
        <f t="shared" si="1437"/>
        <v>0.84018887219409211</v>
      </c>
      <c r="BH501" s="21">
        <f t="shared" si="1437"/>
        <v>0.84605744292730856</v>
      </c>
      <c r="BI501" s="21">
        <f t="shared" si="1437"/>
        <v>0.85464640295383487</v>
      </c>
      <c r="BJ501" s="21">
        <f t="shared" si="1437"/>
        <v>1</v>
      </c>
      <c r="BK501" s="21">
        <f t="shared" si="1437"/>
        <v>1</v>
      </c>
      <c r="BL501" s="21">
        <f t="shared" si="1437"/>
        <v>1</v>
      </c>
      <c r="BM501" s="21">
        <f t="shared" si="1437"/>
        <v>1</v>
      </c>
      <c r="BN501" s="21">
        <f t="shared" si="1437"/>
        <v>1</v>
      </c>
      <c r="BO501" s="21">
        <f t="shared" si="1437"/>
        <v>1</v>
      </c>
      <c r="BP501" s="21">
        <f t="shared" si="1437"/>
        <v>1</v>
      </c>
      <c r="BQ501" s="21">
        <f t="shared" si="1437"/>
        <v>1</v>
      </c>
      <c r="BR501" s="21">
        <f t="shared" si="1437"/>
        <v>1</v>
      </c>
      <c r="BS501" s="21">
        <f t="shared" si="1437"/>
        <v>1</v>
      </c>
    </row>
    <row r="502" spans="1:71">
      <c r="I502" s="79"/>
      <c r="J502" s="82"/>
      <c r="K502" s="79"/>
      <c r="L502" s="79"/>
      <c r="M502" s="79"/>
      <c r="N502" s="79"/>
      <c r="O502" s="79"/>
      <c r="P502" s="79"/>
      <c r="Q502" s="79"/>
      <c r="R502" s="98" t="s">
        <v>389</v>
      </c>
      <c r="S502" s="71"/>
      <c r="T502" s="71"/>
      <c r="U502" s="71"/>
      <c r="V502" s="71"/>
      <c r="W502" s="71"/>
      <c r="X502" s="71"/>
      <c r="AS502" s="160" t="s">
        <v>1263</v>
      </c>
      <c r="AT502" s="44"/>
      <c r="AU502" s="44"/>
      <c r="AV502" s="44"/>
      <c r="AW502" s="44"/>
    </row>
    <row r="503" spans="1:71">
      <c r="A503" s="1" t="s">
        <v>289</v>
      </c>
      <c r="I503" s="76">
        <v>0</v>
      </c>
      <c r="J503" s="36">
        <f>I509</f>
        <v>389.1875</v>
      </c>
      <c r="K503" s="36">
        <f>J509</f>
        <v>4417.8438782279372</v>
      </c>
      <c r="L503" s="36">
        <f>K509</f>
        <v>6971.4253216787038</v>
      </c>
      <c r="M503" s="76">
        <v>0</v>
      </c>
      <c r="N503" s="36">
        <f>M509</f>
        <v>6462.4793120070335</v>
      </c>
      <c r="O503" s="36">
        <f>N509</f>
        <v>6491.826110865637</v>
      </c>
      <c r="P503" s="36">
        <f>O509</f>
        <v>7356.2225110071013</v>
      </c>
      <c r="Q503" s="36">
        <f>P509</f>
        <v>14261.055333668915</v>
      </c>
      <c r="R503" s="107">
        <f>R446-R463</f>
        <v>6185.9068397709525</v>
      </c>
      <c r="S503" s="36">
        <f>R509</f>
        <v>16837.795911073074</v>
      </c>
      <c r="T503" s="36">
        <f>S509</f>
        <v>19597.360576281422</v>
      </c>
      <c r="U503" s="36">
        <f>T509</f>
        <v>18156.396713813665</v>
      </c>
      <c r="V503" s="36">
        <f>U509</f>
        <v>18561.180187244725</v>
      </c>
      <c r="W503" s="107">
        <f>W446-W463</f>
        <v>17577.576999999997</v>
      </c>
      <c r="X503" s="36">
        <f>W509</f>
        <v>15644.132808233029</v>
      </c>
      <c r="Y503" s="36">
        <f>X509</f>
        <v>19958.595393955973</v>
      </c>
      <c r="Z503" s="36">
        <f>Y509</f>
        <v>22225.24270631764</v>
      </c>
      <c r="AA503" s="36">
        <f>Z509</f>
        <v>26498.184425492345</v>
      </c>
      <c r="AB503" s="107">
        <f>AB446-AB463</f>
        <v>14928.802000000003</v>
      </c>
      <c r="AC503" s="36">
        <f>AB509</f>
        <v>38422.780311805618</v>
      </c>
      <c r="AD503" s="36">
        <f>AC509</f>
        <v>38230.327608409585</v>
      </c>
      <c r="AE503" s="36">
        <f>AD509</f>
        <v>31956.417529529816</v>
      </c>
      <c r="AF503" s="36">
        <f>AE509</f>
        <v>31845.734881752975</v>
      </c>
      <c r="AG503" s="107">
        <f>AG446-AG463</f>
        <v>38422.780311805618</v>
      </c>
      <c r="AH503" s="36">
        <f>AG509</f>
        <v>24762.343215783923</v>
      </c>
      <c r="AI503" s="36">
        <f>AH509</f>
        <v>20142.72281083067</v>
      </c>
      <c r="AJ503" s="36">
        <f>AI509</f>
        <v>17633.460972040681</v>
      </c>
      <c r="AK503" s="36">
        <f>AJ509</f>
        <v>16404.931590732209</v>
      </c>
      <c r="AL503" s="107">
        <f>AL446-AL463</f>
        <v>21156.590686737432</v>
      </c>
      <c r="AM503" s="36">
        <f>AL509</f>
        <v>16138.620035272972</v>
      </c>
      <c r="AN503" s="36">
        <f>AM509</f>
        <v>16182.736952401501</v>
      </c>
      <c r="AO503" s="36">
        <f>AN509</f>
        <v>16806.411081245551</v>
      </c>
      <c r="AP503" s="36">
        <f>AO509</f>
        <v>17816.299233545156</v>
      </c>
      <c r="AQ503" s="107">
        <f>AQ446-AQ463</f>
        <v>12184.850999999999</v>
      </c>
      <c r="AR503" s="36">
        <f>AQ509</f>
        <v>17602.174129835046</v>
      </c>
      <c r="AS503" s="36">
        <f>AR509</f>
        <v>18798.679197449354</v>
      </c>
      <c r="AT503" s="36">
        <f>AS509</f>
        <v>20138.905840384406</v>
      </c>
      <c r="AU503" s="36">
        <f>AT509</f>
        <v>19635.733693621227</v>
      </c>
      <c r="AV503" s="36">
        <f>AQ509</f>
        <v>17602.174129835046</v>
      </c>
      <c r="AW503" s="36">
        <f>AV509</f>
        <v>19471.121663148915</v>
      </c>
      <c r="AX503" s="36">
        <f>AW509</f>
        <v>20833.935339791962</v>
      </c>
      <c r="AY503" s="36">
        <f>AX509</f>
        <v>21157.463428505758</v>
      </c>
      <c r="AZ503" s="36">
        <f>AY509</f>
        <v>19240.165315987248</v>
      </c>
      <c r="BA503" s="36">
        <f>AV509</f>
        <v>19471.121663148915</v>
      </c>
      <c r="BB503" s="36">
        <f>BA509</f>
        <v>18330.165315987251</v>
      </c>
      <c r="BC503" s="36">
        <f>BB509</f>
        <v>16975.165315987251</v>
      </c>
      <c r="BD503" s="36">
        <f>BC509</f>
        <v>15605.165315987251</v>
      </c>
      <c r="BE503" s="36">
        <f>BD509</f>
        <v>14255.165315987251</v>
      </c>
      <c r="BF503" s="36">
        <f>BA509</f>
        <v>18330.165315987251</v>
      </c>
      <c r="BG503" s="36">
        <f>BF509</f>
        <v>12900.165315987251</v>
      </c>
      <c r="BH503" s="36">
        <f>BG509</f>
        <v>11850.165315987251</v>
      </c>
      <c r="BI503" s="36">
        <f>BH509</f>
        <v>10795.165315987251</v>
      </c>
      <c r="BJ503" s="36">
        <f>BI509</f>
        <v>9725.1653159872512</v>
      </c>
      <c r="BK503" s="36">
        <f>BF509</f>
        <v>12900.165315987251</v>
      </c>
      <c r="BL503" s="36">
        <f>BK509</f>
        <v>9260.1653159872512</v>
      </c>
      <c r="BM503" s="36">
        <f>BL509</f>
        <v>8000.1653159872512</v>
      </c>
      <c r="BN503" s="36">
        <f>BM509</f>
        <v>6720.1653159872512</v>
      </c>
      <c r="BO503" s="36">
        <f>BN509</f>
        <v>5420.1653159872512</v>
      </c>
      <c r="BP503" s="36">
        <f>BK509</f>
        <v>9260.1653159872512</v>
      </c>
      <c r="BQ503" s="36">
        <f>BP509</f>
        <v>4100.1653159872512</v>
      </c>
      <c r="BR503" s="36">
        <f>BQ509</f>
        <v>2760.1653159872512</v>
      </c>
      <c r="BS503" s="36">
        <f>BR509</f>
        <v>1385.1653159872512</v>
      </c>
    </row>
    <row r="504" spans="1:71">
      <c r="A504" s="1" t="s">
        <v>290</v>
      </c>
      <c r="I504" s="80"/>
      <c r="J504" s="80">
        <f t="shared" ref="J504:L505" si="1438">J409/J$102</f>
        <v>3705.0680971680436</v>
      </c>
      <c r="K504" s="80">
        <f t="shared" si="1438"/>
        <v>2391.9068359687476</v>
      </c>
      <c r="L504" s="80">
        <f t="shared" si="1438"/>
        <v>716.50247568697853</v>
      </c>
      <c r="M504" s="38">
        <f>SUM(I504:L504)</f>
        <v>6813.47740882377</v>
      </c>
      <c r="N504" s="80">
        <f t="shared" ref="N504:Q507" si="1439">N409/N$102</f>
        <v>640.71834051647511</v>
      </c>
      <c r="O504" s="80">
        <f t="shared" si="1439"/>
        <v>741.41371032275265</v>
      </c>
      <c r="P504" s="80">
        <f t="shared" si="1439"/>
        <v>5169.5159846638153</v>
      </c>
      <c r="Q504" s="80">
        <f t="shared" si="1439"/>
        <v>911.79959911999902</v>
      </c>
      <c r="R504" s="38">
        <f>SUM(N504:Q504)</f>
        <v>7463.4476346230422</v>
      </c>
      <c r="S504" s="80">
        <f t="shared" ref="S504:V507" si="1440">S409/S$102</f>
        <v>1419.5763994838994</v>
      </c>
      <c r="T504" s="80">
        <f t="shared" si="1440"/>
        <v>4435.4466388563478</v>
      </c>
      <c r="U504" s="80">
        <f t="shared" si="1440"/>
        <v>890.35201794146542</v>
      </c>
      <c r="V504" s="80">
        <f t="shared" si="1440"/>
        <v>1013.2952654614465</v>
      </c>
      <c r="W504" s="38">
        <f>SUM(S504:V504)</f>
        <v>7758.6703217431586</v>
      </c>
      <c r="X504" s="80">
        <f t="shared" ref="X504:AA505" si="1441">X409/X$102</f>
        <v>3548.6356042324114</v>
      </c>
      <c r="Y504" s="80">
        <f t="shared" si="1441"/>
        <v>0</v>
      </c>
      <c r="Z504" s="80">
        <f t="shared" si="1441"/>
        <v>48.185734801340352</v>
      </c>
      <c r="AA504" s="80">
        <f t="shared" si="1441"/>
        <v>962.63177710843377</v>
      </c>
      <c r="AB504" s="38">
        <f>SUM(X504:AA504)</f>
        <v>4559.4531161421855</v>
      </c>
      <c r="AC504" s="80">
        <f t="shared" ref="AC504:AF505" si="1442">AC409/AC$102</f>
        <v>247.07209090909092</v>
      </c>
      <c r="AD504" s="80">
        <f t="shared" si="1442"/>
        <v>46.321987870009963</v>
      </c>
      <c r="AE504" s="80">
        <f t="shared" si="1442"/>
        <v>192.83028169014088</v>
      </c>
      <c r="AF504" s="80">
        <f t="shared" si="1442"/>
        <v>889.29120409906068</v>
      </c>
      <c r="AG504" s="38">
        <f>SUM(AC504:AF504)</f>
        <v>1375.5155645683026</v>
      </c>
      <c r="AH504" s="80">
        <f t="shared" ref="AH504:AK505" si="1443">AH409/AH$102</f>
        <v>23.308121512709242</v>
      </c>
      <c r="AI504" s="80">
        <f t="shared" si="1443"/>
        <v>0</v>
      </c>
      <c r="AJ504" s="80">
        <f t="shared" si="1443"/>
        <v>28.028832530461891</v>
      </c>
      <c r="AK504" s="80">
        <f t="shared" si="1443"/>
        <v>0</v>
      </c>
      <c r="AL504" s="38">
        <f>SUM(AH504:AK504)</f>
        <v>51.336954043171133</v>
      </c>
      <c r="AM504" s="80">
        <f t="shared" ref="AM504:AO505" si="1444">AM409/AM$102</f>
        <v>0</v>
      </c>
      <c r="AN504" s="80">
        <f t="shared" si="1444"/>
        <v>0</v>
      </c>
      <c r="AO504" s="80">
        <f t="shared" si="1444"/>
        <v>0</v>
      </c>
      <c r="AP504" s="80">
        <f t="shared" ref="AP504" si="1445">AP409/AP$102</f>
        <v>0</v>
      </c>
      <c r="AQ504" s="38">
        <f>SUM(AM504:AP504)</f>
        <v>0</v>
      </c>
      <c r="AR504" s="80">
        <f t="shared" ref="AR504:AU505" si="1446">AR409/AR$102</f>
        <v>0</v>
      </c>
      <c r="AS504" s="80">
        <f t="shared" si="1446"/>
        <v>0</v>
      </c>
      <c r="AT504" s="80">
        <f t="shared" si="1446"/>
        <v>0</v>
      </c>
      <c r="AU504" s="80">
        <f t="shared" si="1446"/>
        <v>0</v>
      </c>
      <c r="AV504" s="38">
        <f>SUM(AR504:AU504)</f>
        <v>0</v>
      </c>
      <c r="AW504" s="80">
        <f t="shared" ref="AW504:AY504" si="1447">AW409/AW$102</f>
        <v>0</v>
      </c>
      <c r="AX504" s="80">
        <f t="shared" si="1447"/>
        <v>0</v>
      </c>
      <c r="AY504" s="80">
        <f t="shared" si="1447"/>
        <v>0</v>
      </c>
      <c r="AZ504" s="80">
        <f>AZ346*AZ662</f>
        <v>0</v>
      </c>
      <c r="BA504" s="38">
        <f>SUM(AW504:AZ504)</f>
        <v>0</v>
      </c>
      <c r="BB504" s="80">
        <f>BB346*BB662</f>
        <v>0</v>
      </c>
      <c r="BC504" s="80">
        <f>BC346*BC662</f>
        <v>0</v>
      </c>
      <c r="BD504" s="80">
        <f>BD346*BD662</f>
        <v>0</v>
      </c>
      <c r="BE504" s="80">
        <f>BE346*BE662</f>
        <v>0</v>
      </c>
      <c r="BF504" s="38">
        <f>SUM(BB504:BE504)</f>
        <v>0</v>
      </c>
      <c r="BG504" s="80">
        <f>BG346*BG662</f>
        <v>0</v>
      </c>
      <c r="BH504" s="80">
        <f>BH346*BH662</f>
        <v>0</v>
      </c>
      <c r="BI504" s="80">
        <f>BI346*BI662</f>
        <v>0</v>
      </c>
      <c r="BJ504" s="80">
        <f>BJ346*BJ662</f>
        <v>0</v>
      </c>
      <c r="BK504" s="38">
        <f>SUM(BG504:BJ504)</f>
        <v>0</v>
      </c>
      <c r="BL504" s="80">
        <f>BL346*BL662</f>
        <v>0</v>
      </c>
      <c r="BM504" s="80">
        <f>BM346*BM662</f>
        <v>0</v>
      </c>
      <c r="BN504" s="80">
        <f>BN346*BN662</f>
        <v>0</v>
      </c>
      <c r="BO504" s="80">
        <f>BO346*BO662</f>
        <v>0</v>
      </c>
      <c r="BP504" s="38">
        <f>SUM(BL504:BO504)</f>
        <v>0</v>
      </c>
      <c r="BQ504" s="80">
        <f>BQ346*BQ662</f>
        <v>0</v>
      </c>
      <c r="BR504" s="80">
        <f>BR346*BR662</f>
        <v>0</v>
      </c>
      <c r="BS504" s="80">
        <f>BS346*BS662</f>
        <v>0</v>
      </c>
    </row>
    <row r="505" spans="1:71">
      <c r="A505" s="1" t="s">
        <v>291</v>
      </c>
      <c r="I505" s="80">
        <f>I410/I$102</f>
        <v>390.54744198548519</v>
      </c>
      <c r="J505" s="80">
        <f t="shared" si="1438"/>
        <v>251.22154543058528</v>
      </c>
      <c r="K505" s="80">
        <f t="shared" si="1438"/>
        <v>142.68194862478074</v>
      </c>
      <c r="L505" s="80">
        <f t="shared" si="1438"/>
        <v>300.29892791865848</v>
      </c>
      <c r="M505" s="38">
        <f>SUM(I505:L505)</f>
        <v>1084.7498639595096</v>
      </c>
      <c r="N505" s="80">
        <f t="shared" si="1439"/>
        <v>491.36234017109746</v>
      </c>
      <c r="O505" s="80">
        <f t="shared" si="1439"/>
        <v>947.4137158225011</v>
      </c>
      <c r="P505" s="80">
        <f t="shared" si="1439"/>
        <v>2017.9916688823894</v>
      </c>
      <c r="Q505" s="80">
        <f t="shared" si="1439"/>
        <v>874.97736737280468</v>
      </c>
      <c r="R505" s="38">
        <f>SUM(N505:Q505)</f>
        <v>4331.7450922487933</v>
      </c>
      <c r="S505" s="80">
        <f t="shared" si="1440"/>
        <v>1322.6454545454546</v>
      </c>
      <c r="T505" s="80">
        <f t="shared" si="1440"/>
        <v>-3823.3240482822653</v>
      </c>
      <c r="U505" s="80">
        <f t="shared" si="1440"/>
        <v>-508.5979078730042</v>
      </c>
      <c r="V505" s="80">
        <f t="shared" si="1440"/>
        <v>-3653.1770737960082</v>
      </c>
      <c r="W505" s="38">
        <f>SUM(S505:V505)</f>
        <v>-6662.4535754058234</v>
      </c>
      <c r="X505" s="80">
        <f t="shared" si="1441"/>
        <v>906.45999628735854</v>
      </c>
      <c r="Y505" s="80">
        <f t="shared" si="1441"/>
        <v>2426.9172648281074</v>
      </c>
      <c r="Z505" s="80">
        <f t="shared" si="1441"/>
        <v>4305.725227381522</v>
      </c>
      <c r="AA505" s="80">
        <f t="shared" si="1441"/>
        <v>11711.822289156627</v>
      </c>
      <c r="AB505" s="38">
        <f>SUM(X505:AA505)</f>
        <v>19350.924777653614</v>
      </c>
      <c r="AC505" s="80">
        <f t="shared" si="1442"/>
        <v>858.10909090909092</v>
      </c>
      <c r="AD505" s="80">
        <f t="shared" si="1442"/>
        <v>-3338.9517516067713</v>
      </c>
      <c r="AE505" s="80">
        <f t="shared" si="1442"/>
        <v>-154.90316901408451</v>
      </c>
      <c r="AF505" s="80">
        <f t="shared" si="1442"/>
        <v>-6592.9291204099063</v>
      </c>
      <c r="AG505" s="38">
        <f>SUM(AC505:AF505)</f>
        <v>-9228.6749501216709</v>
      </c>
      <c r="AH505" s="80">
        <f t="shared" si="1443"/>
        <v>-3483.5322380657162</v>
      </c>
      <c r="AI505" s="80">
        <f t="shared" si="1443"/>
        <v>-2383.7972310354771</v>
      </c>
      <c r="AJ505" s="80">
        <f t="shared" si="1443"/>
        <v>-1122.244261830547</v>
      </c>
      <c r="AK505" s="80">
        <f t="shared" si="1443"/>
        <v>-46.743208764820658</v>
      </c>
      <c r="AL505" s="38">
        <f>SUM(AH505:AK505)</f>
        <v>-7036.3169396965604</v>
      </c>
      <c r="AM505" s="80">
        <f t="shared" si="1444"/>
        <v>148.92477011078125</v>
      </c>
      <c r="AN505" s="80">
        <f t="shared" si="1444"/>
        <v>902.44086908690872</v>
      </c>
      <c r="AO505" s="80">
        <f t="shared" si="1444"/>
        <v>768.71428571428567</v>
      </c>
      <c r="AP505" s="80">
        <f t="shared" ref="AP505" si="1448">AP410/AP$102</f>
        <v>-130.68911882058563</v>
      </c>
      <c r="AQ505" s="38">
        <f>SUM(AM505:AP505)</f>
        <v>1689.3908060913898</v>
      </c>
      <c r="AR505" s="80">
        <f t="shared" ref="AR505:AT505" si="1449">AR410/AR$102</f>
        <v>1121.7785727975468</v>
      </c>
      <c r="AS505" s="80">
        <f t="shared" si="1449"/>
        <v>1248.0833222414483</v>
      </c>
      <c r="AT505" s="80">
        <f t="shared" si="1449"/>
        <v>-526.15648955855147</v>
      </c>
      <c r="AU505" s="80">
        <f t="shared" si="1446"/>
        <v>779.81039555410268</v>
      </c>
      <c r="AV505" s="38">
        <f>SUM(AR505:AU505)</f>
        <v>2623.5158010345463</v>
      </c>
      <c r="AW505" s="80">
        <f t="shared" ref="AW505:AY505" si="1450">AW410/AW$102</f>
        <v>1504.359804394242</v>
      </c>
      <c r="AX505" s="80">
        <f t="shared" si="1450"/>
        <v>2542.3593220338985</v>
      </c>
      <c r="AY505" s="80">
        <f t="shared" si="1450"/>
        <v>-1793.0472604518309</v>
      </c>
      <c r="AZ505" s="56">
        <f>'SVF1'!AZ30</f>
        <v>-910</v>
      </c>
      <c r="BA505" s="38">
        <f>SUM(AW505:AZ505)</f>
        <v>1343.6718659763096</v>
      </c>
      <c r="BB505" s="56">
        <f>'SVF1'!BB30</f>
        <v>135</v>
      </c>
      <c r="BC505" s="56">
        <f>'SVF1'!BC30</f>
        <v>125</v>
      </c>
      <c r="BD505" s="56">
        <f>'SVF1'!BD30</f>
        <v>115</v>
      </c>
      <c r="BE505" s="56">
        <f>'SVF1'!BE30</f>
        <v>105</v>
      </c>
      <c r="BF505" s="38">
        <f>SUM(BB505:BE505)</f>
        <v>480</v>
      </c>
      <c r="BG505" s="56">
        <f>'SVF1'!BG30</f>
        <v>95</v>
      </c>
      <c r="BH505" s="56">
        <f>'SVF1'!BH30</f>
        <v>90</v>
      </c>
      <c r="BI505" s="56">
        <f>'SVF1'!BI30</f>
        <v>80</v>
      </c>
      <c r="BJ505" s="56">
        <f>'SVF1'!BJ30</f>
        <v>75</v>
      </c>
      <c r="BK505" s="38">
        <f>SUM(BG505:BJ505)</f>
        <v>340</v>
      </c>
      <c r="BL505" s="56">
        <f>'SVF1'!BL30</f>
        <v>75</v>
      </c>
      <c r="BM505" s="56">
        <f>'SVF1'!BM30</f>
        <v>65</v>
      </c>
      <c r="BN505" s="56">
        <f>'SVF1'!BN30</f>
        <v>55</v>
      </c>
      <c r="BO505" s="56">
        <f>'SVF1'!BO30</f>
        <v>45</v>
      </c>
      <c r="BP505" s="38">
        <f>SUM(BL505:BO505)</f>
        <v>240</v>
      </c>
      <c r="BQ505" s="56">
        <f>'SVF1'!BQ30</f>
        <v>35</v>
      </c>
      <c r="BR505" s="56">
        <f>'SVF1'!BR30</f>
        <v>20</v>
      </c>
      <c r="BS505" s="56">
        <f>'SVF1'!BS30</f>
        <v>10</v>
      </c>
    </row>
    <row r="506" spans="1:71">
      <c r="A506" s="1" t="s">
        <v>293</v>
      </c>
      <c r="I506" s="80"/>
      <c r="J506" s="80"/>
      <c r="K506" s="80">
        <f>K411/K$102</f>
        <v>-3.6457212880642675</v>
      </c>
      <c r="L506" s="80">
        <f>L411/L$102</f>
        <v>-503.69490124023889</v>
      </c>
      <c r="M506" s="38">
        <f>SUM(I506:L506)</f>
        <v>-507.34062252830319</v>
      </c>
      <c r="N506" s="80">
        <f t="shared" si="1439"/>
        <v>-1091.7486891730293</v>
      </c>
      <c r="O506" s="80">
        <f t="shared" si="1439"/>
        <v>-203.63962348722546</v>
      </c>
      <c r="P506" s="80">
        <f t="shared" si="1439"/>
        <v>-308.73881060001776</v>
      </c>
      <c r="Q506" s="80">
        <f t="shared" si="1439"/>
        <v>4.7890639145391996</v>
      </c>
      <c r="R506" s="38">
        <f>SUM(N506:Q506)</f>
        <v>-1599.3380593457334</v>
      </c>
      <c r="S506" s="80">
        <f t="shared" si="1440"/>
        <v>0</v>
      </c>
      <c r="T506" s="80">
        <f t="shared" si="1440"/>
        <v>-327.85515320334258</v>
      </c>
      <c r="U506" s="80">
        <f t="shared" si="1440"/>
        <v>0</v>
      </c>
      <c r="V506" s="80">
        <f t="shared" si="1440"/>
        <v>-45.779161325764512</v>
      </c>
      <c r="W506" s="38">
        <f>SUM(S506:V506)</f>
        <v>-373.63431452910709</v>
      </c>
      <c r="X506" s="80"/>
      <c r="Y506" s="80"/>
      <c r="Z506" s="80"/>
      <c r="AA506" s="80"/>
      <c r="AB506" s="38"/>
      <c r="AC506" s="80"/>
      <c r="AD506" s="80"/>
      <c r="AE506" s="80"/>
      <c r="AF506" s="80"/>
      <c r="AG506" s="38"/>
      <c r="AH506" s="80"/>
      <c r="AI506" s="80"/>
      <c r="AJ506" s="80"/>
      <c r="AK506" s="80"/>
      <c r="AL506" s="38"/>
      <c r="AQ506" s="38"/>
      <c r="AV506" s="38"/>
      <c r="BA506" s="38"/>
      <c r="BF506" s="38"/>
      <c r="BK506" s="38"/>
      <c r="BP506" s="38"/>
    </row>
    <row r="507" spans="1:71">
      <c r="A507" s="1" t="s">
        <v>297</v>
      </c>
      <c r="I507" s="80"/>
      <c r="J507" s="80"/>
      <c r="K507" s="80"/>
      <c r="L507" s="80">
        <f>L412/L$102</f>
        <v>-395.25863136922266</v>
      </c>
      <c r="M507" s="38">
        <f>SUM(I507:L507)</f>
        <v>-395.25863136922266</v>
      </c>
      <c r="N507" s="80">
        <f t="shared" si="1439"/>
        <v>-15.783301538371761</v>
      </c>
      <c r="O507" s="80">
        <f t="shared" si="1439"/>
        <v>-611.38800788126855</v>
      </c>
      <c r="P507" s="80">
        <f t="shared" si="1439"/>
        <v>7.1706917935224572</v>
      </c>
      <c r="Q507" s="80">
        <f t="shared" si="1439"/>
        <v>-88.81664876788669</v>
      </c>
      <c r="R507" s="38">
        <f>SUM(N507:Q507)</f>
        <v>-708.8172663940046</v>
      </c>
      <c r="S507" s="80">
        <f t="shared" si="1440"/>
        <v>0</v>
      </c>
      <c r="T507" s="80">
        <f t="shared" si="1440"/>
        <v>-1728.9942375980777</v>
      </c>
      <c r="U507" s="80">
        <f t="shared" si="1440"/>
        <v>19.119239611161927</v>
      </c>
      <c r="V507" s="80">
        <f t="shared" si="1440"/>
        <v>-161.74114924565728</v>
      </c>
      <c r="W507" s="38">
        <f>SUM(S507:V507)</f>
        <v>-1871.616147232573</v>
      </c>
      <c r="X507" s="80">
        <f>X412/X$102</f>
        <v>-140.63602190458511</v>
      </c>
      <c r="Y507" s="80">
        <f>Y412/Y$102</f>
        <v>-161.66804401208921</v>
      </c>
      <c r="Z507" s="80">
        <f>Z412/Z$102</f>
        <v>-107.02908089995212</v>
      </c>
      <c r="AA507" s="80">
        <f>AA412/AA$102</f>
        <v>-682.03825065888577</v>
      </c>
      <c r="AB507" s="38">
        <f>SUM(X507:AA507)</f>
        <v>-1091.3713974755121</v>
      </c>
      <c r="AC507" s="80">
        <f>AC412/AC$102</f>
        <v>-1294.2323863636364</v>
      </c>
      <c r="AD507" s="80">
        <f>AD412/AD$102</f>
        <v>-2999.1199533810086</v>
      </c>
      <c r="AE507" s="80">
        <f>AE412/AE$102</f>
        <v>-147.05298195422537</v>
      </c>
      <c r="AF507" s="80">
        <f>AF412/AF$102</f>
        <v>-1493.3869289069173</v>
      </c>
      <c r="AG507" s="38">
        <f>SUM(AC507:AF507)</f>
        <v>-5933.7922506057876</v>
      </c>
      <c r="AH507" s="121">
        <f>AH412/AH$102</f>
        <v>-1260.3641554944204</v>
      </c>
      <c r="AI507" s="121">
        <f>AI412/AI$102</f>
        <v>-172.49563969209692</v>
      </c>
      <c r="AJ507" s="121">
        <f>AJ412/AJ$102</f>
        <v>-107.73806097690564</v>
      </c>
      <c r="AK507" s="36">
        <f>AK412/AK$102</f>
        <v>-63.835001829131023</v>
      </c>
      <c r="AL507" s="38">
        <f>SUM(AH507:AK507)</f>
        <v>-1604.4328579925539</v>
      </c>
      <c r="AM507" s="36">
        <f>AM412/AM$102</f>
        <v>-92.732949505828671</v>
      </c>
      <c r="AN507" s="36">
        <f>AN412/AN$102</f>
        <v>-265.98029309766912</v>
      </c>
      <c r="AO507" s="36">
        <f>AO412/AO$102</f>
        <v>194.05560427295919</v>
      </c>
      <c r="AP507" s="36">
        <f>AP412/AP$102</f>
        <v>-79.799236396412383</v>
      </c>
      <c r="AQ507" s="38">
        <f>SUM(AM507:AP507)</f>
        <v>-244.45687472695101</v>
      </c>
      <c r="AR507" s="36">
        <f>AR412/AR$102</f>
        <v>103.23205191297195</v>
      </c>
      <c r="AS507" s="36">
        <f>AS412/AS$102</f>
        <v>-70.950641934189079</v>
      </c>
      <c r="AT507" s="36">
        <f>AT412/AT$102</f>
        <v>39.909089723970723</v>
      </c>
      <c r="AU507" s="36">
        <f>AU412/AU$102</f>
        <v>-981.4153531970212</v>
      </c>
      <c r="AV507" s="38">
        <f>SUM(AR507:AU507)</f>
        <v>-909.22485349426756</v>
      </c>
      <c r="AW507" s="36">
        <f>AW412/AW$102</f>
        <v>-143.56719972805033</v>
      </c>
      <c r="AX507" s="36">
        <f>AX412/AX$102</f>
        <v>-2217.6729550119176</v>
      </c>
      <c r="AY507" s="36">
        <f>AY412/AY$102</f>
        <v>-125.15086429331465</v>
      </c>
      <c r="AZ507" s="56">
        <f>IF(AZ347+AZ466+AZ467&gt;0, -MROUND(AY597*(AZ347+AZ466+AZ467), 5), 0)</f>
        <v>0</v>
      </c>
      <c r="BA507" s="38">
        <f>SUM(AW507:AZ507)</f>
        <v>-2486.3910190332822</v>
      </c>
      <c r="BB507" s="56">
        <f>IF(BB347+BB466+BB467&gt;0, -MROUND(BA597*(BB347+BB466+BB467), 5), 0)</f>
        <v>-1490</v>
      </c>
      <c r="BC507" s="56">
        <f>IF(BC347+BC466+BC467&gt;0, -MROUND(BB597*(BC347+BC466+BC467), 5), 0)</f>
        <v>-1495</v>
      </c>
      <c r="BD507" s="56">
        <f>IF(BD347+BD466+BD467&gt;0, -MROUND(BC597*(BD347+BD466+BD467), 5), 0)</f>
        <v>-1465</v>
      </c>
      <c r="BE507" s="56">
        <f>IF(BE347+BE466+BE467&gt;0, -MROUND(BD597*(BE347+BE466+BE467), 5), 0)</f>
        <v>-1460</v>
      </c>
      <c r="BF507" s="38">
        <f>SUM(BB507:BE507)</f>
        <v>-5910</v>
      </c>
      <c r="BG507" s="56">
        <f>IF(BG347+BG466+BG467&gt;0, -MROUND(BF597*(BG347+BG466+BG467), 5), 0)</f>
        <v>-1145</v>
      </c>
      <c r="BH507" s="56">
        <f>IF(BH347+BH466+BH467&gt;0, -MROUND(BG597*(BH347+BH466+BH467), 5), 0)</f>
        <v>-1145</v>
      </c>
      <c r="BI507" s="56">
        <f>IF(BI347+BI466+BI467&gt;0, -MROUND(BH597*(BI347+BI466+BI467), 5), 0)</f>
        <v>-1150</v>
      </c>
      <c r="BJ507" s="56">
        <f>IF(BJ347+BJ466+BJ467&gt;0, -MROUND(BI597*(BJ347+BJ466+BJ467), 5), 0)</f>
        <v>-540</v>
      </c>
      <c r="BK507" s="38">
        <f>SUM(BG507:BJ507)</f>
        <v>-3980</v>
      </c>
      <c r="BL507" s="56">
        <f>IF(BL347+BL466+BL467&gt;0, -MROUND(BK597*(BL347+BL466+BL467), 5), 0)</f>
        <v>-1335</v>
      </c>
      <c r="BM507" s="56">
        <f>IF(BM347+BM466+BM467&gt;0, -MROUND(BL597*(BM347+BM466+BM467), 5), 0)</f>
        <v>-1345</v>
      </c>
      <c r="BN507" s="56">
        <f>IF(BN347+BN466+BN467&gt;0, -MROUND(BM597*(BN347+BN466+BN467), 5), 0)</f>
        <v>-1355</v>
      </c>
      <c r="BO507" s="56">
        <f>IF(BO347+BO466+BO467&gt;0, -MROUND(BN597*(BO347+BO466+BO467), 5), 0)</f>
        <v>-1365</v>
      </c>
      <c r="BP507" s="38">
        <f>SUM(BL507:BO507)</f>
        <v>-5400</v>
      </c>
      <c r="BQ507" s="56">
        <f>IF(BQ347+BQ466+BQ467&gt;0, -MROUND(BP597*(BQ347+BQ466+BQ467), 5), 0)</f>
        <v>-1375</v>
      </c>
      <c r="BR507" s="56">
        <f>IF(BR347+BR466+BR467&gt;0, -MROUND(BQ597*(BR347+BR466+BR467), 5), 0)</f>
        <v>-1395</v>
      </c>
      <c r="BS507" s="56">
        <f>IF(BS347+BS466+BS467&gt;0, -MROUND(BR597*(BS347+BS466+BS467), 5), 0)</f>
        <v>-1395</v>
      </c>
    </row>
    <row r="508" spans="1:71">
      <c r="A508" s="1" t="s">
        <v>276</v>
      </c>
      <c r="I508" s="36">
        <f t="shared" ref="I508:S508" si="1451">I509-SUM(I503:I507)</f>
        <v>-1.3599419854851931</v>
      </c>
      <c r="J508" s="36">
        <f t="shared" si="1451"/>
        <v>72.366735629308096</v>
      </c>
      <c r="K508" s="36">
        <f t="shared" si="1451"/>
        <v>22.638380145302108</v>
      </c>
      <c r="L508" s="36">
        <f t="shared" si="1451"/>
        <v>-626.79388066784577</v>
      </c>
      <c r="M508" s="36">
        <f>M509-SUM(M503:M507)</f>
        <v>-533.14870687872008</v>
      </c>
      <c r="N508" s="36">
        <f t="shared" si="1451"/>
        <v>4.7981088824326434</v>
      </c>
      <c r="O508" s="36">
        <f t="shared" si="1451"/>
        <v>-9.4033946352956264</v>
      </c>
      <c r="P508" s="36">
        <f t="shared" si="1451"/>
        <v>18.893287922104719</v>
      </c>
      <c r="Q508" s="36">
        <f t="shared" si="1451"/>
        <v>873.99148254729516</v>
      </c>
      <c r="R508" s="107">
        <f>R509-SUM(R503:R507)</f>
        <v>1164.8516701700228</v>
      </c>
      <c r="S508" s="36">
        <f t="shared" si="1451"/>
        <v>17.342811178994452</v>
      </c>
      <c r="T508" s="36">
        <f>T509-SUM(T503:T507)</f>
        <v>3.7629377595803817</v>
      </c>
      <c r="U508" s="36">
        <f>U509-SUM(U503:U507)</f>
        <v>3.9101237514369132</v>
      </c>
      <c r="V508" s="36">
        <f>V509-SUM(V503:V507)</f>
        <v>-69.645016790451336</v>
      </c>
      <c r="W508" s="107">
        <f>W509-SUM(W503:W507)</f>
        <v>-784.41047634262213</v>
      </c>
      <c r="X508" s="36">
        <f t="shared" ref="X508:Y508" si="1452">X509-SUM(X503:X507)</f>
        <v>3.0071077599131968E-3</v>
      </c>
      <c r="Y508" s="36">
        <f t="shared" si="1452"/>
        <v>1.398091545652278</v>
      </c>
      <c r="Z508" s="36">
        <f t="shared" ref="Z508:AA508" si="1453">Z509-SUM(Z503:Z507)</f>
        <v>26.059837891796633</v>
      </c>
      <c r="AA508" s="36">
        <f t="shared" si="1453"/>
        <v>-67.820004444198275</v>
      </c>
      <c r="AB508" s="107">
        <f>AB509-SUM(AB503:AB507)</f>
        <v>674.97181548533263</v>
      </c>
      <c r="AC508" s="36">
        <f t="shared" ref="AC508:AD508" si="1454">AC509-SUM(AC503:AC507)</f>
        <v>-3.4014988505805377</v>
      </c>
      <c r="AD508" s="36">
        <f t="shared" si="1454"/>
        <v>17.83963823799786</v>
      </c>
      <c r="AE508" s="36">
        <f t="shared" ref="AE508:AF508" si="1455">AE509-SUM(AE503:AE507)</f>
        <v>-1.5567784986742481</v>
      </c>
      <c r="AF508" s="36">
        <f t="shared" si="1455"/>
        <v>113.63317924871444</v>
      </c>
      <c r="AG508" s="107">
        <f>AG509-SUM(AG503:AG507)</f>
        <v>126.51454013745752</v>
      </c>
      <c r="AH508" s="36">
        <f t="shared" ref="AH508:AI508" si="1456">AH509-SUM(AH503:AH507)</f>
        <v>100.96786709417211</v>
      </c>
      <c r="AI508" s="36">
        <f t="shared" si="1456"/>
        <v>47.031031937585794</v>
      </c>
      <c r="AJ508" s="36">
        <f t="shared" ref="AJ508:AK508" si="1457">AJ509-SUM(AJ503:AJ507)</f>
        <v>-26.575891031479841</v>
      </c>
      <c r="AK508" s="36">
        <f t="shared" si="1457"/>
        <v>-155.73284542695728</v>
      </c>
      <c r="AL508" s="107">
        <f>AL509-SUM(AL503:AL507)</f>
        <v>3571.4421921814828</v>
      </c>
      <c r="AM508" s="36">
        <f t="shared" ref="AM508:AN508" si="1458">AM509-SUM(AM503:AM507)</f>
        <v>-12.07490347642306</v>
      </c>
      <c r="AN508" s="36">
        <f t="shared" si="1458"/>
        <v>-12.786447145190323</v>
      </c>
      <c r="AO508" s="36">
        <f t="shared" ref="AO508:AP508" si="1459">AO509-SUM(AO503:AO507)</f>
        <v>47.118262312360457</v>
      </c>
      <c r="AP508" s="36">
        <f t="shared" si="1459"/>
        <v>-18.696767724290112</v>
      </c>
      <c r="AQ508" s="107">
        <f>AQ509-SUM(AQ503:AQ507)</f>
        <v>3972.3891984706097</v>
      </c>
      <c r="AR508" s="36">
        <f t="shared" ref="AR508:AU508" si="1460">AR509-SUM(AR503:AR507)</f>
        <v>-28.505557096210396</v>
      </c>
      <c r="AS508" s="36">
        <f t="shared" si="1460"/>
        <v>163.0939626277941</v>
      </c>
      <c r="AT508" s="36">
        <f t="shared" si="1460"/>
        <v>-16.924746928598324</v>
      </c>
      <c r="AU508" s="36">
        <f t="shared" si="1460"/>
        <v>36.992927170602343</v>
      </c>
      <c r="AV508" s="38">
        <f>SUM(AR508:AU508)</f>
        <v>154.65658577358772</v>
      </c>
      <c r="AW508" s="36">
        <f t="shared" ref="AW508:AY508" si="1461">AW509-SUM(AW503:AW507)</f>
        <v>2.0210719768583658</v>
      </c>
      <c r="AX508" s="36">
        <f t="shared" si="1461"/>
        <v>-1.1582783081867092</v>
      </c>
      <c r="AY508" s="36">
        <f t="shared" si="1461"/>
        <v>0.90001222663704539</v>
      </c>
      <c r="AZ508" s="59"/>
      <c r="BA508" s="38">
        <f>SUM(AW508:AZ508)</f>
        <v>1.762805895308702</v>
      </c>
      <c r="BB508" s="59"/>
      <c r="BC508" s="59"/>
      <c r="BD508" s="59"/>
      <c r="BE508" s="59"/>
      <c r="BF508" s="38">
        <f>SUM(BB508:BE508)</f>
        <v>0</v>
      </c>
      <c r="BG508" s="59"/>
      <c r="BH508" s="59"/>
      <c r="BI508" s="59"/>
      <c r="BJ508" s="59"/>
      <c r="BK508" s="38">
        <f>SUM(BG508:BJ508)</f>
        <v>0</v>
      </c>
      <c r="BL508" s="59"/>
      <c r="BM508" s="59"/>
      <c r="BN508" s="59"/>
      <c r="BO508" s="59"/>
      <c r="BP508" s="38">
        <f>SUM(BL508:BO508)</f>
        <v>0</v>
      </c>
      <c r="BQ508" s="59"/>
      <c r="BR508" s="59"/>
      <c r="BS508" s="59"/>
    </row>
    <row r="509" spans="1:71">
      <c r="A509" s="9" t="s">
        <v>281</v>
      </c>
      <c r="B509" s="9"/>
      <c r="C509" s="9"/>
      <c r="D509" s="9"/>
      <c r="E509" s="9"/>
      <c r="F509" s="9"/>
      <c r="G509" s="9"/>
      <c r="H509" s="9"/>
      <c r="I509" s="81">
        <f t="shared" ref="I509:S509" si="1462">I498</f>
        <v>389.1875</v>
      </c>
      <c r="J509" s="81">
        <f t="shared" si="1462"/>
        <v>4417.8438782279372</v>
      </c>
      <c r="K509" s="81">
        <f t="shared" si="1462"/>
        <v>6971.4253216787038</v>
      </c>
      <c r="L509" s="81">
        <f t="shared" si="1462"/>
        <v>6462.4793120070335</v>
      </c>
      <c r="M509" s="81">
        <f t="shared" si="1462"/>
        <v>6462.4793120070335</v>
      </c>
      <c r="N509" s="81">
        <f t="shared" si="1462"/>
        <v>6491.826110865637</v>
      </c>
      <c r="O509" s="81">
        <f t="shared" si="1462"/>
        <v>7356.2225110071013</v>
      </c>
      <c r="P509" s="81">
        <f t="shared" si="1462"/>
        <v>14261.055333668915</v>
      </c>
      <c r="Q509" s="81">
        <f t="shared" si="1462"/>
        <v>16837.796197855667</v>
      </c>
      <c r="R509" s="81">
        <f>R498</f>
        <v>16837.795911073074</v>
      </c>
      <c r="S509" s="81">
        <f t="shared" si="1462"/>
        <v>19597.360576281422</v>
      </c>
      <c r="T509" s="81">
        <f t="shared" ref="T509:U509" si="1463">T498</f>
        <v>18156.396713813665</v>
      </c>
      <c r="U509" s="81">
        <f t="shared" si="1463"/>
        <v>18561.180187244725</v>
      </c>
      <c r="V509" s="81">
        <f t="shared" ref="V509:X509" si="1464">V498</f>
        <v>15644.133051548288</v>
      </c>
      <c r="W509" s="81">
        <f t="shared" si="1464"/>
        <v>15644.132808233029</v>
      </c>
      <c r="X509" s="81">
        <f t="shared" si="1464"/>
        <v>19958.595393955973</v>
      </c>
      <c r="Y509" s="81">
        <f t="shared" ref="Y509:Z509" si="1465">Y498</f>
        <v>22225.24270631764</v>
      </c>
      <c r="Z509" s="81">
        <f t="shared" si="1465"/>
        <v>26498.184425492345</v>
      </c>
      <c r="AA509" s="81">
        <f t="shared" ref="AA509:AC509" si="1466">AA498</f>
        <v>38422.780236654318</v>
      </c>
      <c r="AB509" s="81">
        <f t="shared" si="1466"/>
        <v>38422.780311805618</v>
      </c>
      <c r="AC509" s="81">
        <f t="shared" si="1466"/>
        <v>38230.327608409585</v>
      </c>
      <c r="AD509" s="81">
        <f t="shared" ref="AD509:AE509" si="1467">AD498</f>
        <v>31956.417529529816</v>
      </c>
      <c r="AE509" s="81">
        <f t="shared" si="1467"/>
        <v>31845.734881752975</v>
      </c>
      <c r="AF509" s="81">
        <f t="shared" ref="AF509:AH509" si="1468">AF498</f>
        <v>24762.343215783923</v>
      </c>
      <c r="AG509" s="81">
        <f t="shared" si="1468"/>
        <v>24762.343215783923</v>
      </c>
      <c r="AH509" s="81">
        <f t="shared" si="1468"/>
        <v>20142.72281083067</v>
      </c>
      <c r="AI509" s="81">
        <f t="shared" ref="AI509:AJ509" si="1469">AI498</f>
        <v>17633.460972040681</v>
      </c>
      <c r="AJ509" s="81">
        <f t="shared" si="1469"/>
        <v>16404.931590732209</v>
      </c>
      <c r="AK509" s="81">
        <f t="shared" ref="AK509" si="1470">AK498</f>
        <v>16138.620534711299</v>
      </c>
      <c r="AL509" s="81">
        <f>AL498</f>
        <v>16138.620035272972</v>
      </c>
      <c r="AM509" s="81">
        <f t="shared" ref="AM509:AN509" si="1471">AM498</f>
        <v>16182.736952401501</v>
      </c>
      <c r="AN509" s="81">
        <f t="shared" si="1471"/>
        <v>16806.411081245551</v>
      </c>
      <c r="AO509" s="81">
        <f t="shared" ref="AO509:AP509" si="1472">AO498</f>
        <v>17816.299233545156</v>
      </c>
      <c r="AP509" s="81">
        <f t="shared" si="1472"/>
        <v>17587.11411060387</v>
      </c>
      <c r="AQ509" s="81">
        <f>AQ498</f>
        <v>17602.174129835046</v>
      </c>
      <c r="AR509" s="81">
        <f t="shared" ref="AR509:AU509" si="1473">AR498</f>
        <v>18798.679197449354</v>
      </c>
      <c r="AS509" s="81">
        <f t="shared" si="1473"/>
        <v>20138.905840384406</v>
      </c>
      <c r="AT509" s="81">
        <f t="shared" si="1473"/>
        <v>19635.733693621227</v>
      </c>
      <c r="AU509" s="81">
        <f t="shared" si="1473"/>
        <v>19471.121663148908</v>
      </c>
      <c r="AV509" s="81">
        <f t="shared" ref="AV509:BS509" si="1474">SUM(AV503:AV508)</f>
        <v>19471.121663148915</v>
      </c>
      <c r="AW509" s="81">
        <f t="shared" ref="AW509:AY509" si="1475">AW498</f>
        <v>20833.935339791962</v>
      </c>
      <c r="AX509" s="81">
        <f t="shared" si="1475"/>
        <v>21157.463428505758</v>
      </c>
      <c r="AY509" s="81">
        <f t="shared" si="1475"/>
        <v>19240.165315987248</v>
      </c>
      <c r="AZ509" s="81">
        <f t="shared" si="1474"/>
        <v>18330.165315987248</v>
      </c>
      <c r="BA509" s="81">
        <f t="shared" si="1474"/>
        <v>18330.165315987251</v>
      </c>
      <c r="BB509" s="81">
        <f t="shared" si="1474"/>
        <v>16975.165315987251</v>
      </c>
      <c r="BC509" s="81">
        <f t="shared" si="1474"/>
        <v>15605.165315987251</v>
      </c>
      <c r="BD509" s="81">
        <f t="shared" si="1474"/>
        <v>14255.165315987251</v>
      </c>
      <c r="BE509" s="81">
        <f t="shared" si="1474"/>
        <v>12900.165315987251</v>
      </c>
      <c r="BF509" s="81">
        <f t="shared" si="1474"/>
        <v>12900.165315987251</v>
      </c>
      <c r="BG509" s="81">
        <f t="shared" si="1474"/>
        <v>11850.165315987251</v>
      </c>
      <c r="BH509" s="81">
        <f t="shared" si="1474"/>
        <v>10795.165315987251</v>
      </c>
      <c r="BI509" s="81">
        <f t="shared" si="1474"/>
        <v>9725.1653159872512</v>
      </c>
      <c r="BJ509" s="81">
        <f t="shared" si="1474"/>
        <v>9260.1653159872512</v>
      </c>
      <c r="BK509" s="81">
        <f t="shared" si="1474"/>
        <v>9260.1653159872512</v>
      </c>
      <c r="BL509" s="81">
        <f t="shared" si="1474"/>
        <v>8000.1653159872512</v>
      </c>
      <c r="BM509" s="81">
        <f t="shared" si="1474"/>
        <v>6720.1653159872512</v>
      </c>
      <c r="BN509" s="81">
        <f t="shared" si="1474"/>
        <v>5420.1653159872512</v>
      </c>
      <c r="BO509" s="81">
        <f t="shared" si="1474"/>
        <v>4100.1653159872512</v>
      </c>
      <c r="BP509" s="81">
        <f t="shared" si="1474"/>
        <v>4100.1653159872512</v>
      </c>
      <c r="BQ509" s="81">
        <f t="shared" si="1474"/>
        <v>2760.1653159872512</v>
      </c>
      <c r="BR509" s="81">
        <f t="shared" si="1474"/>
        <v>1385.1653159872512</v>
      </c>
      <c r="BS509" s="81">
        <f t="shared" si="1474"/>
        <v>0.16531598725123331</v>
      </c>
    </row>
    <row r="510" spans="1:71">
      <c r="I510" s="65"/>
      <c r="J510" s="134"/>
      <c r="K510" s="134"/>
      <c r="L510" s="134"/>
      <c r="M510" s="134"/>
      <c r="N510" s="71"/>
      <c r="O510" s="133" t="s">
        <v>461</v>
      </c>
      <c r="R510" s="36"/>
      <c r="W510" s="36"/>
      <c r="AL510" s="98" t="s">
        <v>677</v>
      </c>
      <c r="AM510" s="71"/>
      <c r="AN510" s="71"/>
      <c r="AO510" s="71"/>
      <c r="AP510" s="71"/>
      <c r="AQ510" s="71"/>
      <c r="AR510" s="71"/>
    </row>
    <row r="511" spans="1:71">
      <c r="A511" s="1" t="s">
        <v>457</v>
      </c>
      <c r="I511" s="65"/>
      <c r="J511" s="56">
        <f>J504-1600*J650</f>
        <v>3086.6631891925836</v>
      </c>
      <c r="K511" s="36">
        <f>J511+K504</f>
        <v>5478.5700251613307</v>
      </c>
      <c r="L511" s="36">
        <f>K511+L504</f>
        <v>6195.0725008483096</v>
      </c>
      <c r="M511" s="65">
        <f>L511</f>
        <v>6195.0725008483096</v>
      </c>
      <c r="N511" s="36">
        <f t="shared" ref="N511:Y511" si="1476">M511+N504</f>
        <v>6835.7908413647847</v>
      </c>
      <c r="O511" s="107">
        <f>N511+O503-1700*O650</f>
        <v>12670.561737506496</v>
      </c>
      <c r="P511" s="36">
        <f t="shared" si="1476"/>
        <v>17840.07772217031</v>
      </c>
      <c r="Q511" s="36">
        <f t="shared" si="1476"/>
        <v>18751.877321290311</v>
      </c>
      <c r="R511" s="65">
        <f>Q511</f>
        <v>18751.877321290311</v>
      </c>
      <c r="S511" s="36">
        <f t="shared" si="1476"/>
        <v>20171.453720774211</v>
      </c>
      <c r="T511" s="36">
        <f t="shared" si="1476"/>
        <v>24606.900359630559</v>
      </c>
      <c r="U511" s="36">
        <f t="shared" si="1476"/>
        <v>25497.252377572026</v>
      </c>
      <c r="V511" s="36">
        <f t="shared" si="1476"/>
        <v>26510.547643033471</v>
      </c>
      <c r="W511" s="65">
        <f>V511</f>
        <v>26510.547643033471</v>
      </c>
      <c r="X511" s="36">
        <f t="shared" si="1476"/>
        <v>30059.183247265883</v>
      </c>
      <c r="Y511" s="36">
        <f t="shared" si="1476"/>
        <v>30059.183247265883</v>
      </c>
      <c r="Z511" s="36">
        <f t="shared" ref="Z511:AE511" si="1477">Y511+Z504</f>
        <v>30107.368982067223</v>
      </c>
      <c r="AA511" s="36">
        <f t="shared" si="1477"/>
        <v>31070.000759175655</v>
      </c>
      <c r="AB511" s="36">
        <f t="shared" si="1477"/>
        <v>35629.453875317842</v>
      </c>
      <c r="AC511" s="36">
        <f t="shared" si="1477"/>
        <v>35876.525966226931</v>
      </c>
      <c r="AD511" s="36">
        <f t="shared" si="1477"/>
        <v>35922.847954096942</v>
      </c>
      <c r="AE511" s="36">
        <f t="shared" si="1477"/>
        <v>36115.678235787083</v>
      </c>
      <c r="AF511" s="36">
        <f t="shared" ref="AF511" si="1478">AE511+AF504</f>
        <v>37004.969439886147</v>
      </c>
      <c r="AG511" s="36">
        <f t="shared" ref="AG511:AY511" si="1479">AF511+AG504</f>
        <v>38380.485004454451</v>
      </c>
      <c r="AH511" s="36">
        <f t="shared" si="1479"/>
        <v>38403.79312596716</v>
      </c>
      <c r="AI511" s="36">
        <f t="shared" si="1479"/>
        <v>38403.79312596716</v>
      </c>
      <c r="AJ511" s="36">
        <f t="shared" si="1479"/>
        <v>38431.821958497625</v>
      </c>
      <c r="AK511" s="36">
        <f t="shared" si="1479"/>
        <v>38431.821958497625</v>
      </c>
      <c r="AL511" s="36">
        <f t="shared" si="1479"/>
        <v>38483.158912540799</v>
      </c>
      <c r="AM511" s="36">
        <f t="shared" si="1479"/>
        <v>38483.158912540799</v>
      </c>
      <c r="AN511" s="36">
        <f t="shared" si="1479"/>
        <v>38483.158912540799</v>
      </c>
      <c r="AO511" s="36">
        <f t="shared" si="1479"/>
        <v>38483.158912540799</v>
      </c>
      <c r="AP511" s="36">
        <f t="shared" si="1479"/>
        <v>38483.158912540799</v>
      </c>
      <c r="AQ511" s="36">
        <f t="shared" si="1479"/>
        <v>38483.158912540799</v>
      </c>
      <c r="AR511" s="36">
        <f t="shared" si="1479"/>
        <v>38483.158912540799</v>
      </c>
      <c r="AS511" s="36">
        <f t="shared" si="1479"/>
        <v>38483.158912540799</v>
      </c>
      <c r="AT511" s="36">
        <f t="shared" si="1479"/>
        <v>38483.158912540799</v>
      </c>
      <c r="AU511" s="36">
        <f t="shared" si="1479"/>
        <v>38483.158912540799</v>
      </c>
      <c r="AV511" s="36">
        <f t="shared" si="1479"/>
        <v>38483.158912540799</v>
      </c>
      <c r="AW511" s="36">
        <f t="shared" si="1479"/>
        <v>38483.158912540799</v>
      </c>
      <c r="AX511" s="36">
        <f t="shared" ref="AX511" si="1480">AW511+AX504</f>
        <v>38483.158912540799</v>
      </c>
      <c r="AY511" s="36">
        <f t="shared" si="1479"/>
        <v>38483.158912540799</v>
      </c>
      <c r="AZ511" s="36">
        <f t="shared" ref="AZ511:BA511" si="1481">AY511+AZ504</f>
        <v>38483.158912540799</v>
      </c>
      <c r="BA511" s="36">
        <f t="shared" si="1481"/>
        <v>38483.158912540799</v>
      </c>
      <c r="BB511" s="36">
        <f t="shared" ref="BB511" si="1482">BA511+BB504</f>
        <v>38483.158912540799</v>
      </c>
      <c r="BC511" s="36">
        <f t="shared" ref="BC511" si="1483">BB511+BC504</f>
        <v>38483.158912540799</v>
      </c>
      <c r="BD511" s="36">
        <f t="shared" ref="BD511" si="1484">BC511+BD504</f>
        <v>38483.158912540799</v>
      </c>
      <c r="BE511" s="36">
        <f t="shared" ref="BE511:BF511" si="1485">BD511+BE504</f>
        <v>38483.158912540799</v>
      </c>
      <c r="BF511" s="36">
        <f t="shared" si="1485"/>
        <v>38483.158912540799</v>
      </c>
      <c r="BG511" s="36">
        <f t="shared" ref="BG511" si="1486">BF511+BG504</f>
        <v>38483.158912540799</v>
      </c>
      <c r="BH511" s="36">
        <f t="shared" ref="BH511" si="1487">BG511+BH504</f>
        <v>38483.158912540799</v>
      </c>
      <c r="BI511" s="36">
        <f t="shared" ref="BI511" si="1488">BH511+BI504</f>
        <v>38483.158912540799</v>
      </c>
      <c r="BJ511" s="36">
        <f t="shared" ref="BJ511" si="1489">BI511+BJ504</f>
        <v>38483.158912540799</v>
      </c>
      <c r="BK511" s="36">
        <f t="shared" ref="BK511" si="1490">BJ511+BK504</f>
        <v>38483.158912540799</v>
      </c>
      <c r="BL511" s="36">
        <f t="shared" ref="BL511" si="1491">BK511+BL504</f>
        <v>38483.158912540799</v>
      </c>
      <c r="BM511" s="36">
        <f t="shared" ref="BM511" si="1492">BL511+BM504</f>
        <v>38483.158912540799</v>
      </c>
      <c r="BN511" s="36">
        <f t="shared" ref="BN511" si="1493">BM511+BN504</f>
        <v>38483.158912540799</v>
      </c>
      <c r="BO511" s="36">
        <f t="shared" ref="BO511" si="1494">BN511+BO504</f>
        <v>38483.158912540799</v>
      </c>
      <c r="BP511" s="36">
        <f t="shared" ref="BP511" si="1495">BO511+BP504</f>
        <v>38483.158912540799</v>
      </c>
      <c r="BQ511" s="36">
        <f t="shared" ref="BQ511" si="1496">BP511+BQ504</f>
        <v>38483.158912540799</v>
      </c>
      <c r="BR511" s="36">
        <f t="shared" ref="BR511" si="1497">BQ511+BR504</f>
        <v>38483.158912540799</v>
      </c>
      <c r="BS511" s="36">
        <f t="shared" ref="BS511" si="1498">BR511+BS504</f>
        <v>38483.158912540799</v>
      </c>
    </row>
    <row r="512" spans="1:71">
      <c r="A512" s="135" t="s">
        <v>458</v>
      </c>
      <c r="I512" s="65"/>
      <c r="J512" s="36">
        <f>MROUND(J511, 10)</f>
        <v>3090</v>
      </c>
      <c r="K512" s="36">
        <f t="shared" ref="K512" si="1499">MROUND(K511, 10)</f>
        <v>5480</v>
      </c>
      <c r="L512" s="36">
        <f t="shared" ref="L512" si="1500">MROUND(L511, 10)</f>
        <v>6200</v>
      </c>
      <c r="M512" s="36">
        <f t="shared" ref="M512" si="1501">MROUND(M511, 10)</f>
        <v>6200</v>
      </c>
      <c r="N512" s="36">
        <f t="shared" ref="N512" si="1502">MROUND(N511, 10)</f>
        <v>6840</v>
      </c>
      <c r="O512" s="36">
        <f t="shared" ref="O512" si="1503">MROUND(O511, 10)</f>
        <v>12670</v>
      </c>
      <c r="P512" s="36">
        <f t="shared" ref="P512" si="1504">MROUND(P511, 10)</f>
        <v>17840</v>
      </c>
      <c r="Q512" s="36">
        <f t="shared" ref="Q512" si="1505">MROUND(Q511, 10)</f>
        <v>18750</v>
      </c>
      <c r="R512" s="36">
        <f t="shared" ref="R512" si="1506">MROUND(R511, 10)</f>
        <v>18750</v>
      </c>
      <c r="S512" s="36">
        <f t="shared" ref="S512" si="1507">MROUND(S511, 10)</f>
        <v>20170</v>
      </c>
      <c r="T512" s="36">
        <f t="shared" ref="T512" si="1508">MROUND(T511, 10)</f>
        <v>24610</v>
      </c>
      <c r="U512" s="36">
        <f t="shared" ref="U512" si="1509">MROUND(U511, 10)</f>
        <v>25500</v>
      </c>
      <c r="V512" s="36">
        <f t="shared" ref="V512" si="1510">MROUND(V511, 10)</f>
        <v>26510</v>
      </c>
      <c r="W512" s="36">
        <f t="shared" ref="W512" si="1511">MROUND(W511, 10)</f>
        <v>26510</v>
      </c>
      <c r="X512" s="36">
        <f t="shared" ref="X512:Z512" si="1512">MROUND(X511, 10)</f>
        <v>30060</v>
      </c>
      <c r="Y512" s="36">
        <f t="shared" si="1512"/>
        <v>30060</v>
      </c>
      <c r="Z512" s="36">
        <f t="shared" si="1512"/>
        <v>30110</v>
      </c>
      <c r="AA512" s="36">
        <f t="shared" ref="AA512:AC512" si="1513">MROUND(AA511, 10)</f>
        <v>31070</v>
      </c>
      <c r="AB512" s="36">
        <f t="shared" si="1513"/>
        <v>35630</v>
      </c>
      <c r="AC512" s="36">
        <f t="shared" si="1513"/>
        <v>35880</v>
      </c>
      <c r="AD512" s="36">
        <f t="shared" ref="AD512:AH512" si="1514">MROUND(AD511, 10)</f>
        <v>35920</v>
      </c>
      <c r="AE512" s="36">
        <f t="shared" si="1514"/>
        <v>36120</v>
      </c>
      <c r="AF512" s="36">
        <f t="shared" si="1514"/>
        <v>37000</v>
      </c>
      <c r="AG512" s="36">
        <f t="shared" si="1514"/>
        <v>38380</v>
      </c>
      <c r="AH512" s="36">
        <f t="shared" si="1514"/>
        <v>38400</v>
      </c>
      <c r="AI512" s="36">
        <f t="shared" ref="AI512:AJ512" si="1515">MROUND(AI511, 10)</f>
        <v>38400</v>
      </c>
      <c r="AJ512" s="36">
        <f t="shared" si="1515"/>
        <v>38430</v>
      </c>
      <c r="AK512" s="36">
        <f t="shared" ref="AK512:AO512" si="1516">MROUND(AK511, 10)</f>
        <v>38430</v>
      </c>
      <c r="AL512" s="36">
        <f t="shared" si="1516"/>
        <v>38480</v>
      </c>
      <c r="AM512" s="36">
        <f t="shared" si="1516"/>
        <v>38480</v>
      </c>
      <c r="AN512" s="36">
        <f t="shared" si="1516"/>
        <v>38480</v>
      </c>
      <c r="AO512" s="36">
        <f t="shared" si="1516"/>
        <v>38480</v>
      </c>
      <c r="AP512" s="36">
        <f t="shared" ref="AP512:AQ512" si="1517">MROUND(AP511, 10)</f>
        <v>38480</v>
      </c>
      <c r="AQ512" s="36">
        <f t="shared" si="1517"/>
        <v>38480</v>
      </c>
      <c r="AR512" s="36">
        <f t="shared" ref="AR512:AS512" si="1518">MROUND(AR511, 10)</f>
        <v>38480</v>
      </c>
      <c r="AS512" s="36">
        <f t="shared" si="1518"/>
        <v>38480</v>
      </c>
      <c r="AT512" s="36">
        <f t="shared" ref="AT512:AX512" si="1519">MROUND(AT511, 10)</f>
        <v>38480</v>
      </c>
      <c r="AU512" s="36">
        <f t="shared" si="1519"/>
        <v>38480</v>
      </c>
      <c r="AV512" s="36">
        <f t="shared" si="1519"/>
        <v>38480</v>
      </c>
      <c r="AW512" s="36">
        <f t="shared" si="1519"/>
        <v>38480</v>
      </c>
      <c r="AX512" s="36">
        <f t="shared" si="1519"/>
        <v>38480</v>
      </c>
      <c r="AY512" s="36">
        <f t="shared" ref="AY512" si="1520">MROUND(AY511, 10)</f>
        <v>38480</v>
      </c>
      <c r="AZ512" s="36">
        <f t="shared" ref="AZ512:BA512" si="1521">MROUND(AZ511, 10)</f>
        <v>38480</v>
      </c>
      <c r="BA512" s="36">
        <f t="shared" si="1521"/>
        <v>38480</v>
      </c>
      <c r="BB512" s="36">
        <f t="shared" ref="BB512:BF512" si="1522">MROUND(BB511, 10)</f>
        <v>38480</v>
      </c>
      <c r="BC512" s="36">
        <f t="shared" si="1522"/>
        <v>38480</v>
      </c>
      <c r="BD512" s="36">
        <f t="shared" si="1522"/>
        <v>38480</v>
      </c>
      <c r="BE512" s="36">
        <f t="shared" si="1522"/>
        <v>38480</v>
      </c>
      <c r="BF512" s="36">
        <f t="shared" si="1522"/>
        <v>38480</v>
      </c>
      <c r="BG512" s="36">
        <f t="shared" ref="BG512:BP512" si="1523">MROUND(BG511, 10)</f>
        <v>38480</v>
      </c>
      <c r="BH512" s="36">
        <f t="shared" si="1523"/>
        <v>38480</v>
      </c>
      <c r="BI512" s="36">
        <f t="shared" si="1523"/>
        <v>38480</v>
      </c>
      <c r="BJ512" s="36">
        <f t="shared" si="1523"/>
        <v>38480</v>
      </c>
      <c r="BK512" s="36">
        <f t="shared" si="1523"/>
        <v>38480</v>
      </c>
      <c r="BL512" s="36">
        <f t="shared" si="1523"/>
        <v>38480</v>
      </c>
      <c r="BM512" s="36">
        <f t="shared" si="1523"/>
        <v>38480</v>
      </c>
      <c r="BN512" s="36">
        <f t="shared" si="1523"/>
        <v>38480</v>
      </c>
      <c r="BO512" s="36">
        <f t="shared" si="1523"/>
        <v>38480</v>
      </c>
      <c r="BP512" s="36">
        <f t="shared" si="1523"/>
        <v>38480</v>
      </c>
      <c r="BQ512" s="36">
        <f t="shared" ref="BQ512:BS512" si="1524">MROUND(BQ511, 10)</f>
        <v>38480</v>
      </c>
      <c r="BR512" s="36">
        <f t="shared" si="1524"/>
        <v>38480</v>
      </c>
      <c r="BS512" s="36">
        <f t="shared" si="1524"/>
        <v>38480</v>
      </c>
    </row>
    <row r="513" spans="1:71">
      <c r="I513" s="65"/>
      <c r="J513" s="116" t="s">
        <v>464</v>
      </c>
      <c r="K513" s="140"/>
      <c r="L513" s="140"/>
      <c r="M513" s="140"/>
      <c r="N513" s="115"/>
      <c r="O513" s="115"/>
      <c r="P513" s="115"/>
      <c r="Q513" s="115"/>
      <c r="R513" s="129"/>
      <c r="S513" s="115"/>
      <c r="W513" s="36"/>
    </row>
    <row r="514" spans="1:71">
      <c r="A514" s="1" t="s">
        <v>555</v>
      </c>
      <c r="I514" s="65"/>
      <c r="J514" s="22"/>
      <c r="K514" s="65"/>
      <c r="L514" s="65"/>
      <c r="M514" s="65"/>
      <c r="R514" s="36"/>
      <c r="W514" s="36"/>
      <c r="X514" s="36">
        <f>X691+X693-X479</f>
        <v>50100</v>
      </c>
      <c r="AA514" s="36">
        <f t="shared" ref="AA514:BS514" si="1525">AA691+AA693-AA479</f>
        <v>50200</v>
      </c>
      <c r="AB514" s="36">
        <f t="shared" si="1525"/>
        <v>50200</v>
      </c>
      <c r="AC514" s="36">
        <f t="shared" si="1525"/>
        <v>50700</v>
      </c>
      <c r="AD514" s="36">
        <f t="shared" si="1525"/>
        <v>50700</v>
      </c>
      <c r="AE514" s="36">
        <f t="shared" si="1525"/>
        <v>51150</v>
      </c>
      <c r="AF514" s="36">
        <f t="shared" si="1525"/>
        <v>51000</v>
      </c>
      <c r="AG514" s="36">
        <f t="shared" si="1525"/>
        <v>51000</v>
      </c>
      <c r="AH514" s="36">
        <f t="shared" si="1525"/>
        <v>50900</v>
      </c>
      <c r="AI514" s="36">
        <f t="shared" si="1525"/>
        <v>50900</v>
      </c>
      <c r="AJ514" s="36">
        <f t="shared" si="1525"/>
        <v>51000</v>
      </c>
      <c r="AK514" s="36">
        <f t="shared" si="1525"/>
        <v>51000</v>
      </c>
      <c r="AL514" s="36">
        <f t="shared" si="1525"/>
        <v>51000</v>
      </c>
      <c r="AM514" s="36">
        <f t="shared" si="1525"/>
        <v>51000</v>
      </c>
      <c r="AN514" s="36">
        <f t="shared" si="1525"/>
        <v>51000</v>
      </c>
      <c r="AO514" s="36">
        <f t="shared" si="1525"/>
        <v>51000</v>
      </c>
      <c r="AP514" s="36">
        <f t="shared" si="1525"/>
        <v>51000</v>
      </c>
      <c r="AQ514" s="36">
        <f t="shared" si="1525"/>
        <v>51000</v>
      </c>
      <c r="AR514" s="36">
        <f t="shared" si="1525"/>
        <v>51000</v>
      </c>
      <c r="AS514" s="36">
        <f t="shared" si="1525"/>
        <v>51000</v>
      </c>
      <c r="AT514" s="36">
        <f t="shared" si="1525"/>
        <v>51000</v>
      </c>
      <c r="AU514" s="36">
        <f t="shared" si="1525"/>
        <v>51000</v>
      </c>
      <c r="AV514" s="36">
        <f t="shared" si="1525"/>
        <v>51000</v>
      </c>
      <c r="AW514" s="36">
        <f t="shared" si="1525"/>
        <v>51000</v>
      </c>
      <c r="AX514" s="36">
        <f t="shared" si="1525"/>
        <v>51000</v>
      </c>
      <c r="AY514" s="36">
        <f t="shared" ref="AY514" si="1526">AY691+AY693-AY479</f>
        <v>51000</v>
      </c>
      <c r="AZ514" s="36">
        <f t="shared" si="1525"/>
        <v>51000</v>
      </c>
      <c r="BA514" s="36">
        <f t="shared" si="1525"/>
        <v>51000</v>
      </c>
      <c r="BB514" s="36">
        <f t="shared" si="1525"/>
        <v>51000</v>
      </c>
      <c r="BC514" s="36">
        <f t="shared" si="1525"/>
        <v>51000</v>
      </c>
      <c r="BD514" s="36">
        <f t="shared" si="1525"/>
        <v>51000</v>
      </c>
      <c r="BE514" s="36">
        <f t="shared" si="1525"/>
        <v>51000</v>
      </c>
      <c r="BF514" s="36">
        <f t="shared" si="1525"/>
        <v>51000</v>
      </c>
      <c r="BG514" s="36">
        <f t="shared" si="1525"/>
        <v>51000</v>
      </c>
      <c r="BH514" s="36">
        <f t="shared" si="1525"/>
        <v>51000</v>
      </c>
      <c r="BI514" s="36">
        <f t="shared" si="1525"/>
        <v>51000</v>
      </c>
      <c r="BJ514" s="36">
        <f t="shared" si="1525"/>
        <v>51000</v>
      </c>
      <c r="BK514" s="36">
        <f t="shared" si="1525"/>
        <v>51000</v>
      </c>
      <c r="BL514" s="36">
        <f t="shared" si="1525"/>
        <v>51000</v>
      </c>
      <c r="BM514" s="36">
        <f t="shared" si="1525"/>
        <v>51000</v>
      </c>
      <c r="BN514" s="36">
        <f t="shared" si="1525"/>
        <v>51000</v>
      </c>
      <c r="BO514" s="36">
        <f t="shared" si="1525"/>
        <v>51000</v>
      </c>
      <c r="BP514" s="36">
        <f t="shared" si="1525"/>
        <v>51000</v>
      </c>
      <c r="BQ514" s="36" t="e">
        <f t="shared" si="1525"/>
        <v>#NUM!</v>
      </c>
      <c r="BR514" s="36" t="e">
        <f t="shared" si="1525"/>
        <v>#NUM!</v>
      </c>
      <c r="BS514" s="36" t="e">
        <f t="shared" si="1525"/>
        <v>#NUM!</v>
      </c>
    </row>
    <row r="515" spans="1:71">
      <c r="I515" s="65"/>
      <c r="J515" s="22"/>
      <c r="K515" s="65"/>
      <c r="L515" s="65"/>
      <c r="M515" s="65"/>
      <c r="R515" s="36"/>
      <c r="W515" s="36"/>
    </row>
    <row r="516" spans="1:71">
      <c r="A516" s="1" t="s">
        <v>276</v>
      </c>
      <c r="I516" s="65"/>
      <c r="J516" s="22"/>
      <c r="K516" s="65"/>
      <c r="L516" s="65"/>
      <c r="M516" s="65"/>
      <c r="R516" s="36"/>
      <c r="W516" s="36"/>
      <c r="X516" s="36">
        <f>X517-X514</f>
        <v>0</v>
      </c>
      <c r="AA516" s="36">
        <f>AA517-AA514</f>
        <v>1600</v>
      </c>
      <c r="AB516" s="36">
        <f>AB517-AB514</f>
        <v>1600</v>
      </c>
      <c r="AC516" s="36">
        <f>AC517-AC514</f>
        <v>1700</v>
      </c>
      <c r="AD516" s="36">
        <f>AD517-AD514</f>
        <v>1700</v>
      </c>
      <c r="AE516" s="56">
        <f>AD516</f>
        <v>1700</v>
      </c>
      <c r="AF516" s="36">
        <f>AF517-AF514</f>
        <v>1900</v>
      </c>
      <c r="AG516" s="36">
        <f>AG517-AG514</f>
        <v>1900</v>
      </c>
      <c r="AH516" s="56">
        <f>AG516+25</f>
        <v>1925</v>
      </c>
      <c r="AI516" s="56">
        <f>AH516+25</f>
        <v>1950</v>
      </c>
      <c r="AJ516" s="36">
        <f t="shared" ref="AJ516:AX516" si="1527">AJ517-AJ514</f>
        <v>2000</v>
      </c>
      <c r="AK516" s="36">
        <f t="shared" si="1527"/>
        <v>2000</v>
      </c>
      <c r="AL516" s="36">
        <f t="shared" si="1527"/>
        <v>2000</v>
      </c>
      <c r="AM516" s="36">
        <f t="shared" si="1527"/>
        <v>2000</v>
      </c>
      <c r="AN516" s="36">
        <f t="shared" si="1527"/>
        <v>2000</v>
      </c>
      <c r="AO516" s="36">
        <f t="shared" si="1527"/>
        <v>2000</v>
      </c>
      <c r="AP516" s="36">
        <f t="shared" si="1527"/>
        <v>2000</v>
      </c>
      <c r="AQ516" s="36">
        <f t="shared" ref="AQ516" si="1528">AQ517-AQ514</f>
        <v>2000</v>
      </c>
      <c r="AR516" s="36">
        <f t="shared" si="1527"/>
        <v>2000</v>
      </c>
      <c r="AS516" s="36">
        <f t="shared" si="1527"/>
        <v>2000</v>
      </c>
      <c r="AT516" s="36">
        <f t="shared" si="1527"/>
        <v>2000</v>
      </c>
      <c r="AU516" s="36">
        <f t="shared" si="1527"/>
        <v>2000</v>
      </c>
      <c r="AV516" s="36">
        <f t="shared" ref="AV516" si="1529">AV517-AV514</f>
        <v>2000</v>
      </c>
      <c r="AW516" s="36">
        <f t="shared" si="1527"/>
        <v>2000</v>
      </c>
      <c r="AX516" s="36">
        <f t="shared" si="1527"/>
        <v>2000</v>
      </c>
      <c r="AY516" s="36">
        <f t="shared" ref="AY516" si="1530">AY517-AY514</f>
        <v>2000</v>
      </c>
      <c r="AZ516" s="56">
        <f>AY516</f>
        <v>2000</v>
      </c>
      <c r="BA516" s="36">
        <f t="shared" ref="BA516" si="1531">BA517-BA514</f>
        <v>2000</v>
      </c>
      <c r="BB516" s="56">
        <f>BA516</f>
        <v>2000</v>
      </c>
      <c r="BC516" s="56">
        <f>BB516</f>
        <v>2000</v>
      </c>
      <c r="BD516" s="56">
        <f>BC516</f>
        <v>2000</v>
      </c>
      <c r="BE516" s="56">
        <f>BD516</f>
        <v>2000</v>
      </c>
      <c r="BF516" s="36">
        <f t="shared" ref="BF516" si="1532">BF517-BF514</f>
        <v>2000</v>
      </c>
      <c r="BG516" s="56">
        <f>BF516</f>
        <v>2000</v>
      </c>
      <c r="BH516" s="56">
        <f>BG516</f>
        <v>2000</v>
      </c>
      <c r="BI516" s="56">
        <f>BH516</f>
        <v>2000</v>
      </c>
      <c r="BJ516" s="56">
        <f>BI516</f>
        <v>2000</v>
      </c>
      <c r="BK516" s="36">
        <f t="shared" ref="BK516" si="1533">BK517-BK514</f>
        <v>2000</v>
      </c>
      <c r="BL516" s="56">
        <f>BK516</f>
        <v>2000</v>
      </c>
      <c r="BM516" s="56">
        <f>BL516</f>
        <v>2000</v>
      </c>
      <c r="BN516" s="56">
        <f>BM516</f>
        <v>2000</v>
      </c>
      <c r="BO516" s="56">
        <f>BN516</f>
        <v>2000</v>
      </c>
      <c r="BP516" s="36">
        <f t="shared" ref="BP516" si="1534">BP517-BP514</f>
        <v>2000</v>
      </c>
      <c r="BQ516" s="56">
        <f>BP516</f>
        <v>2000</v>
      </c>
      <c r="BR516" s="56">
        <f>BQ516</f>
        <v>2000</v>
      </c>
      <c r="BS516" s="56">
        <f>BR516</f>
        <v>2000</v>
      </c>
    </row>
    <row r="517" spans="1:71">
      <c r="A517" s="9" t="s">
        <v>552</v>
      </c>
      <c r="B517" s="9"/>
      <c r="C517" s="9"/>
      <c r="D517" s="9"/>
      <c r="E517" s="9"/>
      <c r="F517" s="9"/>
      <c r="G517" s="9"/>
      <c r="H517" s="9"/>
      <c r="I517" s="48"/>
      <c r="J517" s="48"/>
      <c r="K517" s="48"/>
      <c r="L517" s="48"/>
      <c r="M517" s="48"/>
      <c r="N517" s="48"/>
      <c r="O517" s="48"/>
      <c r="P517" s="48"/>
      <c r="Q517" s="48"/>
      <c r="R517" s="48"/>
      <c r="S517" s="48"/>
      <c r="T517" s="48"/>
      <c r="U517" s="9"/>
      <c r="V517" s="9"/>
      <c r="W517" s="39"/>
      <c r="X517" s="67">
        <v>50100</v>
      </c>
      <c r="Y517" s="9"/>
      <c r="Z517" s="9"/>
      <c r="AA517" s="67">
        <v>51800</v>
      </c>
      <c r="AB517" s="39">
        <f>AA517</f>
        <v>51800</v>
      </c>
      <c r="AC517" s="67">
        <v>52400</v>
      </c>
      <c r="AD517" s="67">
        <v>52400</v>
      </c>
      <c r="AE517" s="39">
        <f>AE514+AE516</f>
        <v>52850</v>
      </c>
      <c r="AF517" s="67">
        <v>52900</v>
      </c>
      <c r="AG517" s="39">
        <f>AF517</f>
        <v>52900</v>
      </c>
      <c r="AH517" s="39">
        <f>AH514+AH516</f>
        <v>52825</v>
      </c>
      <c r="AI517" s="39">
        <f>AI514+AI516</f>
        <v>52850</v>
      </c>
      <c r="AJ517" s="67">
        <v>53000</v>
      </c>
      <c r="AK517" s="58">
        <f>AJ517</f>
        <v>53000</v>
      </c>
      <c r="AL517" s="39">
        <f>AK517</f>
        <v>53000</v>
      </c>
      <c r="AM517" s="58">
        <f>AL517</f>
        <v>53000</v>
      </c>
      <c r="AN517" s="67">
        <v>53000</v>
      </c>
      <c r="AO517" s="67">
        <v>53000</v>
      </c>
      <c r="AP517" s="67">
        <v>53000</v>
      </c>
      <c r="AQ517" s="39">
        <f>AP517</f>
        <v>53000</v>
      </c>
      <c r="AR517" s="67">
        <v>53000</v>
      </c>
      <c r="AS517" s="67">
        <v>53000</v>
      </c>
      <c r="AT517" s="67">
        <v>53000</v>
      </c>
      <c r="AU517" s="67">
        <v>53000</v>
      </c>
      <c r="AV517" s="39">
        <f>AU517</f>
        <v>53000</v>
      </c>
      <c r="AW517" s="67">
        <v>53000</v>
      </c>
      <c r="AX517" s="67">
        <v>53000</v>
      </c>
      <c r="AY517" s="67">
        <v>53000</v>
      </c>
      <c r="AZ517" s="39">
        <f>AZ514+AZ516</f>
        <v>53000</v>
      </c>
      <c r="BA517" s="39">
        <f>AZ517</f>
        <v>53000</v>
      </c>
      <c r="BB517" s="39">
        <f>BB514+BB516</f>
        <v>53000</v>
      </c>
      <c r="BC517" s="39">
        <f>BC514+BC516</f>
        <v>53000</v>
      </c>
      <c r="BD517" s="39">
        <f>BD514+BD516</f>
        <v>53000</v>
      </c>
      <c r="BE517" s="39">
        <f>BE514+BE516</f>
        <v>53000</v>
      </c>
      <c r="BF517" s="39">
        <f>BE517</f>
        <v>53000</v>
      </c>
      <c r="BG517" s="39">
        <f>BG514+BG516</f>
        <v>53000</v>
      </c>
      <c r="BH517" s="39">
        <f>BH514+BH516</f>
        <v>53000</v>
      </c>
      <c r="BI517" s="39">
        <f>BI514+BI516</f>
        <v>53000</v>
      </c>
      <c r="BJ517" s="39">
        <f>BJ514+BJ516</f>
        <v>53000</v>
      </c>
      <c r="BK517" s="39">
        <f>BJ517</f>
        <v>53000</v>
      </c>
      <c r="BL517" s="39">
        <f>BL514+BL516</f>
        <v>53000</v>
      </c>
      <c r="BM517" s="39">
        <f>BM514+BM516</f>
        <v>53000</v>
      </c>
      <c r="BN517" s="39">
        <f>BN514+BN516</f>
        <v>53000</v>
      </c>
      <c r="BO517" s="39">
        <f>BO514+BO516</f>
        <v>53000</v>
      </c>
      <c r="BP517" s="39">
        <f>BO517</f>
        <v>53000</v>
      </c>
      <c r="BQ517" s="39" t="e">
        <f>BQ514+BQ516</f>
        <v>#NUM!</v>
      </c>
      <c r="BR517" s="39" t="e">
        <f>BR514+BR516</f>
        <v>#NUM!</v>
      </c>
      <c r="BS517" s="39" t="e">
        <f>BS514+BS516</f>
        <v>#NUM!</v>
      </c>
    </row>
    <row r="518" spans="1:71">
      <c r="I518" s="65"/>
      <c r="J518" s="65"/>
      <c r="K518" s="65"/>
      <c r="L518" s="65"/>
      <c r="M518" s="65"/>
      <c r="N518" s="65"/>
      <c r="O518" s="65"/>
      <c r="P518" s="65"/>
      <c r="Q518" s="65"/>
      <c r="R518" s="65"/>
      <c r="S518" s="65"/>
      <c r="T518" s="65"/>
      <c r="W518" s="36"/>
    </row>
    <row r="519" spans="1:71">
      <c r="A519" s="1" t="s">
        <v>553</v>
      </c>
      <c r="I519" s="65"/>
      <c r="J519" s="65"/>
      <c r="K519" s="65"/>
      <c r="L519" s="65"/>
      <c r="M519" s="65"/>
      <c r="N519" s="65"/>
      <c r="O519" s="65"/>
      <c r="P519" s="65"/>
      <c r="Q519" s="65"/>
      <c r="R519" s="65"/>
      <c r="S519" s="65"/>
      <c r="T519" s="65"/>
      <c r="W519" s="36"/>
      <c r="X519" s="136">
        <v>1500</v>
      </c>
      <c r="AA519" s="136">
        <v>1500</v>
      </c>
      <c r="AB519" s="36">
        <f>AA519</f>
        <v>1500</v>
      </c>
      <c r="AC519" s="136">
        <v>4200</v>
      </c>
      <c r="AD519" s="136">
        <v>11300</v>
      </c>
      <c r="AE519" s="56">
        <f>MROUND(AD519-(AE507/AD597), 100)</f>
        <v>11700</v>
      </c>
      <c r="AF519" s="136">
        <v>12900</v>
      </c>
      <c r="AG519" s="36">
        <f>AF519</f>
        <v>12900</v>
      </c>
      <c r="AH519" s="56">
        <f>MROUND(AG519-(AH507/AG597), 100)</f>
        <v>15500</v>
      </c>
      <c r="AI519" s="56">
        <f>MROUND(AH519-(AI507/AH597), 100)</f>
        <v>15800</v>
      </c>
      <c r="AJ519" s="60">
        <v>16500</v>
      </c>
      <c r="AK519" s="56">
        <f>MROUND(AJ519-(AK507/AJ597), 100)</f>
        <v>16600</v>
      </c>
      <c r="AL519" s="36">
        <f>AK519</f>
        <v>16600</v>
      </c>
      <c r="AM519" s="56">
        <f>MROUND(AL519-(AM507/AL597), 100)</f>
        <v>16800</v>
      </c>
      <c r="AN519" s="136">
        <v>16500</v>
      </c>
      <c r="AO519" s="136">
        <v>16500</v>
      </c>
      <c r="AP519" s="136">
        <v>16500</v>
      </c>
      <c r="AQ519" s="36">
        <f>AP519</f>
        <v>16500</v>
      </c>
      <c r="AR519" s="136">
        <v>16500</v>
      </c>
      <c r="AS519" s="136">
        <v>16500</v>
      </c>
      <c r="AT519" s="136">
        <v>16500</v>
      </c>
      <c r="AU519" s="136">
        <v>18800</v>
      </c>
      <c r="AV519" s="36">
        <f>AU519</f>
        <v>18800</v>
      </c>
      <c r="AW519" s="136">
        <v>19100</v>
      </c>
      <c r="AX519" s="136">
        <v>23900</v>
      </c>
      <c r="AY519" s="136">
        <v>24300</v>
      </c>
      <c r="AZ519" s="36">
        <f>AY519+MROUND('SVF1'!AZ22-'SVF Segment'!AZ491, 5)</f>
        <v>24300</v>
      </c>
      <c r="BA519" s="36">
        <f>AZ519</f>
        <v>24300</v>
      </c>
      <c r="BB519" s="36">
        <f>BA519+MROUND('SVF1'!BB22-'SVF Segment'!BB491, 5)</f>
        <v>27590</v>
      </c>
      <c r="BC519" s="36">
        <f>BB519+MROUND('SVF1'!BC22-'SVF Segment'!BC491, 5)</f>
        <v>30845</v>
      </c>
      <c r="BD519" s="36">
        <f>BC519+MROUND('SVF1'!BD22-'SVF Segment'!BD491, 5)</f>
        <v>34065</v>
      </c>
      <c r="BE519" s="36">
        <f>BD519+MROUND('SVF1'!BE22-'SVF Segment'!BE491, 5)</f>
        <v>37240</v>
      </c>
      <c r="BF519" s="36">
        <f>BE519</f>
        <v>37240</v>
      </c>
      <c r="BG519" s="36">
        <f>BF519+MROUND('SVF1'!BG22-'SVF Segment'!BG491, 5)</f>
        <v>39770</v>
      </c>
      <c r="BH519" s="36">
        <f>BG519+MROUND('SVF1'!BH22-'SVF Segment'!BH491, 5)</f>
        <v>42270</v>
      </c>
      <c r="BI519" s="36">
        <f>BH519+MROUND('SVF1'!BI22-'SVF Segment'!BI491, 5)</f>
        <v>44795</v>
      </c>
      <c r="BJ519" s="36">
        <f>BI519+MROUND('SVF1'!BJ22-'SVF Segment'!BJ491, 5)</f>
        <v>45985</v>
      </c>
      <c r="BK519" s="36">
        <f>BJ519</f>
        <v>45985</v>
      </c>
      <c r="BL519" s="36">
        <f>BK519+MROUND('SVF1'!BL22-'SVF Segment'!BL491, 5)</f>
        <v>48860</v>
      </c>
      <c r="BM519" s="36">
        <f>BL519+MROUND('SVF1'!BM22-'SVF Segment'!BM491, 5)</f>
        <v>51760</v>
      </c>
      <c r="BN519" s="36">
        <f>BM519+MROUND('SVF1'!BN22-'SVF Segment'!BN491, 5)</f>
        <v>54685</v>
      </c>
      <c r="BO519" s="36">
        <f>BN519+MROUND('SVF1'!BO22-'SVF Segment'!BO491, 5)</f>
        <v>57635</v>
      </c>
      <c r="BP519" s="36">
        <f>BO519</f>
        <v>57635</v>
      </c>
      <c r="BQ519" s="36">
        <f>BP519+MROUND('SVF1'!BQ22-'SVF Segment'!BQ491, 5)</f>
        <v>60610</v>
      </c>
      <c r="BR519" s="36">
        <f>BQ519+MROUND('SVF1'!BR22-'SVF Segment'!BR491, 5)</f>
        <v>63615</v>
      </c>
      <c r="BS519" s="36">
        <f>BR519+MROUND('SVF1'!BS22-'SVF Segment'!BS491, 5)</f>
        <v>66640</v>
      </c>
    </row>
    <row r="520" spans="1:71">
      <c r="A520" s="9" t="s">
        <v>554</v>
      </c>
      <c r="B520" s="9"/>
      <c r="C520" s="9"/>
      <c r="D520" s="9"/>
      <c r="E520" s="9"/>
      <c r="F520" s="9"/>
      <c r="G520" s="9"/>
      <c r="H520" s="9"/>
      <c r="I520" s="48"/>
      <c r="J520" s="48"/>
      <c r="K520" s="48"/>
      <c r="L520" s="48"/>
      <c r="M520" s="48"/>
      <c r="N520" s="48"/>
      <c r="O520" s="48"/>
      <c r="P520" s="48"/>
      <c r="Q520" s="48"/>
      <c r="R520" s="48"/>
      <c r="S520" s="48"/>
      <c r="T520" s="48"/>
      <c r="U520" s="9"/>
      <c r="V520" s="9"/>
      <c r="W520" s="39"/>
      <c r="X520" s="39">
        <f>X517-X519</f>
        <v>48600</v>
      </c>
      <c r="Y520" s="9"/>
      <c r="Z520" s="9"/>
      <c r="AA520" s="39">
        <f t="shared" ref="AA520:AP520" si="1535">AA517-AA519</f>
        <v>50300</v>
      </c>
      <c r="AB520" s="39">
        <f t="shared" si="1535"/>
        <v>50300</v>
      </c>
      <c r="AC520" s="39">
        <f t="shared" si="1535"/>
        <v>48200</v>
      </c>
      <c r="AD520" s="39">
        <f t="shared" si="1535"/>
        <v>41100</v>
      </c>
      <c r="AE520" s="39">
        <f t="shared" si="1535"/>
        <v>41150</v>
      </c>
      <c r="AF520" s="39">
        <f t="shared" si="1535"/>
        <v>40000</v>
      </c>
      <c r="AG520" s="39">
        <f t="shared" si="1535"/>
        <v>40000</v>
      </c>
      <c r="AH520" s="39">
        <f t="shared" si="1535"/>
        <v>37325</v>
      </c>
      <c r="AI520" s="39">
        <f t="shared" si="1535"/>
        <v>37050</v>
      </c>
      <c r="AJ520" s="39">
        <f t="shared" si="1535"/>
        <v>36500</v>
      </c>
      <c r="AK520" s="39">
        <f t="shared" si="1535"/>
        <v>36400</v>
      </c>
      <c r="AL520" s="39">
        <f t="shared" si="1535"/>
        <v>36400</v>
      </c>
      <c r="AM520" s="39">
        <f t="shared" si="1535"/>
        <v>36200</v>
      </c>
      <c r="AN520" s="39">
        <f t="shared" si="1535"/>
        <v>36500</v>
      </c>
      <c r="AO520" s="39">
        <f t="shared" si="1535"/>
        <v>36500</v>
      </c>
      <c r="AP520" s="39">
        <f t="shared" si="1535"/>
        <v>36500</v>
      </c>
      <c r="AQ520" s="39">
        <f t="shared" ref="AQ520" si="1536">AQ517-AQ519</f>
        <v>36500</v>
      </c>
      <c r="AR520" s="39">
        <f t="shared" ref="AR520" si="1537">AR517-AR519</f>
        <v>36500</v>
      </c>
      <c r="AS520" s="39">
        <f t="shared" ref="AS520:AT520" si="1538">AS517-AS519</f>
        <v>36500</v>
      </c>
      <c r="AT520" s="39">
        <f t="shared" si="1538"/>
        <v>36500</v>
      </c>
      <c r="AU520" s="39">
        <f t="shared" ref="AU520:AY520" si="1539">AU517-AU519</f>
        <v>34200</v>
      </c>
      <c r="AV520" s="39">
        <f t="shared" si="1539"/>
        <v>34200</v>
      </c>
      <c r="AW520" s="39">
        <f t="shared" si="1539"/>
        <v>33900</v>
      </c>
      <c r="AX520" s="39">
        <f t="shared" si="1539"/>
        <v>29100</v>
      </c>
      <c r="AY520" s="39">
        <f t="shared" si="1539"/>
        <v>28700</v>
      </c>
      <c r="AZ520" s="39">
        <f t="shared" ref="AZ520:BA520" si="1540">AZ517-AZ519</f>
        <v>28700</v>
      </c>
      <c r="BA520" s="39">
        <f t="shared" si="1540"/>
        <v>28700</v>
      </c>
      <c r="BB520" s="39">
        <f t="shared" ref="BB520:BF520" si="1541">BB517-BB519</f>
        <v>25410</v>
      </c>
      <c r="BC520" s="39">
        <f t="shared" si="1541"/>
        <v>22155</v>
      </c>
      <c r="BD520" s="39">
        <f t="shared" si="1541"/>
        <v>18935</v>
      </c>
      <c r="BE520" s="39">
        <f t="shared" si="1541"/>
        <v>15760</v>
      </c>
      <c r="BF520" s="39">
        <f t="shared" si="1541"/>
        <v>15760</v>
      </c>
      <c r="BG520" s="39">
        <f t="shared" ref="BG520:BP520" si="1542">BG517-BG519</f>
        <v>13230</v>
      </c>
      <c r="BH520" s="39">
        <f t="shared" si="1542"/>
        <v>10730</v>
      </c>
      <c r="BI520" s="39">
        <f t="shared" si="1542"/>
        <v>8205</v>
      </c>
      <c r="BJ520" s="39">
        <f t="shared" si="1542"/>
        <v>7015</v>
      </c>
      <c r="BK520" s="39">
        <f t="shared" si="1542"/>
        <v>7015</v>
      </c>
      <c r="BL520" s="39">
        <f t="shared" si="1542"/>
        <v>4140</v>
      </c>
      <c r="BM520" s="39">
        <f t="shared" si="1542"/>
        <v>1240</v>
      </c>
      <c r="BN520" s="39">
        <f t="shared" si="1542"/>
        <v>-1685</v>
      </c>
      <c r="BO520" s="39">
        <f t="shared" si="1542"/>
        <v>-4635</v>
      </c>
      <c r="BP520" s="39">
        <f t="shared" si="1542"/>
        <v>-4635</v>
      </c>
      <c r="BQ520" s="39" t="e">
        <f t="shared" ref="BQ520:BS520" si="1543">BQ517-BQ519</f>
        <v>#NUM!</v>
      </c>
      <c r="BR520" s="39" t="e">
        <f t="shared" si="1543"/>
        <v>#NUM!</v>
      </c>
      <c r="BS520" s="39" t="e">
        <f t="shared" si="1543"/>
        <v>#NUM!</v>
      </c>
    </row>
    <row r="521" spans="1:71">
      <c r="I521" s="65"/>
      <c r="J521" s="65"/>
      <c r="K521" s="65"/>
      <c r="L521" s="65"/>
      <c r="M521" s="65"/>
      <c r="N521" s="65"/>
      <c r="O521" s="65"/>
      <c r="P521" s="65"/>
      <c r="Q521" s="65"/>
      <c r="R521" s="65"/>
      <c r="S521" s="65"/>
      <c r="T521" s="65"/>
      <c r="W521" s="36"/>
      <c r="AJ521" s="66" t="s">
        <v>673</v>
      </c>
      <c r="AK521" s="46"/>
      <c r="AL521" s="46"/>
      <c r="AM521" s="46"/>
      <c r="AN521" s="46"/>
      <c r="AO521" s="46"/>
      <c r="AP521" s="46"/>
      <c r="AQ521" s="46"/>
      <c r="AR521" s="46"/>
    </row>
    <row r="522" spans="1:71">
      <c r="A522" s="3" t="s">
        <v>298</v>
      </c>
      <c r="I522" s="65"/>
      <c r="J522" s="65"/>
      <c r="K522" s="65"/>
      <c r="L522" s="65"/>
      <c r="M522" s="65"/>
      <c r="R522" s="36"/>
      <c r="W522" s="36"/>
    </row>
    <row r="523" spans="1:71">
      <c r="I523" s="65"/>
      <c r="J523" s="65"/>
      <c r="K523" s="65"/>
      <c r="L523" s="65"/>
      <c r="M523" s="65"/>
      <c r="R523" s="36"/>
      <c r="W523" s="36"/>
      <c r="X523" s="98" t="s">
        <v>454</v>
      </c>
      <c r="Y523" s="71"/>
      <c r="Z523" s="71"/>
      <c r="AA523" s="71"/>
      <c r="AB523" s="71"/>
      <c r="AC523" s="71"/>
      <c r="AD523" s="71"/>
    </row>
    <row r="524" spans="1:71">
      <c r="A524" s="1" t="s">
        <v>312</v>
      </c>
      <c r="J524" s="76">
        <v>0</v>
      </c>
      <c r="K524" s="65">
        <f>J527</f>
        <v>11110</v>
      </c>
      <c r="L524" s="65">
        <f>K527</f>
        <v>16110</v>
      </c>
      <c r="M524" s="76">
        <v>0</v>
      </c>
      <c r="N524" s="65">
        <f>M527</f>
        <v>16360</v>
      </c>
      <c r="O524" s="65">
        <f>N527</f>
        <v>17680</v>
      </c>
      <c r="P524" s="65">
        <f>O527</f>
        <v>19310</v>
      </c>
      <c r="Q524" s="65">
        <f>P527</f>
        <v>32650</v>
      </c>
      <c r="R524" s="36">
        <f>M527</f>
        <v>16360</v>
      </c>
      <c r="S524" s="65">
        <f>R527</f>
        <v>34690</v>
      </c>
      <c r="T524" s="65">
        <f>S527</f>
        <v>38140</v>
      </c>
      <c r="U524" s="65">
        <f>T527</f>
        <v>47320</v>
      </c>
      <c r="V524" s="65">
        <f>U527</f>
        <v>49340</v>
      </c>
      <c r="W524" s="36">
        <f>R527</f>
        <v>34690</v>
      </c>
      <c r="X524" s="65">
        <f>W527</f>
        <v>51700</v>
      </c>
      <c r="Y524" s="65">
        <f>X527</f>
        <v>54440</v>
      </c>
      <c r="Z524" s="65">
        <f>Y527</f>
        <v>54360</v>
      </c>
      <c r="AA524" s="65">
        <f>Z527</f>
        <v>54900</v>
      </c>
      <c r="AB524" s="36">
        <f>W527</f>
        <v>51700</v>
      </c>
      <c r="AC524" s="65">
        <f>AB527</f>
        <v>55490</v>
      </c>
      <c r="AD524" s="65">
        <f>AC527</f>
        <v>56020</v>
      </c>
      <c r="AE524" s="65">
        <f>AD527</f>
        <v>56060</v>
      </c>
      <c r="AF524" s="65">
        <f>AE527</f>
        <v>56450</v>
      </c>
      <c r="AG524" s="36">
        <f>AB527</f>
        <v>55490</v>
      </c>
      <c r="AH524" s="65">
        <f>AG527</f>
        <v>56550</v>
      </c>
      <c r="AI524" s="65">
        <f>AH527</f>
        <v>56450</v>
      </c>
      <c r="AJ524" s="65">
        <f>AI527</f>
        <v>56450</v>
      </c>
      <c r="AK524" s="65">
        <f>AJ527</f>
        <v>56550</v>
      </c>
      <c r="AL524" s="36">
        <f>AG527</f>
        <v>56550</v>
      </c>
      <c r="AM524" s="65">
        <f>AL527</f>
        <v>56550</v>
      </c>
      <c r="AN524" s="65">
        <f>AM527</f>
        <v>56550</v>
      </c>
      <c r="AO524" s="65">
        <f>AN527</f>
        <v>56550</v>
      </c>
      <c r="AP524" s="65">
        <f>AO527</f>
        <v>56550</v>
      </c>
      <c r="AQ524" s="36">
        <f>AL527</f>
        <v>56550</v>
      </c>
      <c r="AR524" s="65">
        <f>AQ527</f>
        <v>56550</v>
      </c>
      <c r="AS524" s="65">
        <f>AR527</f>
        <v>56550</v>
      </c>
      <c r="AT524" s="65">
        <f>AS527</f>
        <v>56550</v>
      </c>
      <c r="AU524" s="65">
        <f>AT527</f>
        <v>56550</v>
      </c>
      <c r="AV524" s="36">
        <f>AQ527</f>
        <v>56550</v>
      </c>
      <c r="AW524" s="65">
        <f>AV527</f>
        <v>56550</v>
      </c>
      <c r="AX524" s="65">
        <f>AW527</f>
        <v>56550</v>
      </c>
      <c r="AY524" s="65">
        <f>AX527</f>
        <v>56550</v>
      </c>
      <c r="AZ524" s="65">
        <f>AY527</f>
        <v>56550</v>
      </c>
      <c r="BA524" s="36">
        <f>AV527</f>
        <v>56550</v>
      </c>
      <c r="BB524" s="65">
        <f>BA527</f>
        <v>56550</v>
      </c>
      <c r="BC524" s="65">
        <f>BB527</f>
        <v>56550</v>
      </c>
      <c r="BD524" s="65">
        <f>BC527</f>
        <v>56550</v>
      </c>
      <c r="BE524" s="65">
        <f>BD527</f>
        <v>56550</v>
      </c>
      <c r="BF524" s="36">
        <f>BA527</f>
        <v>56550</v>
      </c>
      <c r="BG524" s="65">
        <f>BF527</f>
        <v>56550</v>
      </c>
      <c r="BH524" s="65">
        <f>BG527</f>
        <v>56550</v>
      </c>
      <c r="BI524" s="65">
        <f>BH527</f>
        <v>56550</v>
      </c>
      <c r="BJ524" s="65">
        <f>BI527</f>
        <v>56550</v>
      </c>
      <c r="BK524" s="36">
        <f>BF527</f>
        <v>56550</v>
      </c>
      <c r="BL524" s="65">
        <f>BK527</f>
        <v>56550</v>
      </c>
      <c r="BM524" s="65">
        <f>BL527</f>
        <v>56550</v>
      </c>
      <c r="BN524" s="65">
        <f>BM527</f>
        <v>56550</v>
      </c>
      <c r="BO524" s="65">
        <f>BN527</f>
        <v>56550</v>
      </c>
      <c r="BP524" s="36">
        <f>BK527</f>
        <v>56550</v>
      </c>
      <c r="BQ524" s="65">
        <f>BP527</f>
        <v>56550</v>
      </c>
      <c r="BR524" s="65">
        <f>BQ527</f>
        <v>56550</v>
      </c>
      <c r="BS524" s="65">
        <f>BR527</f>
        <v>56550</v>
      </c>
    </row>
    <row r="525" spans="1:71">
      <c r="A525" s="1" t="s">
        <v>309</v>
      </c>
      <c r="I525" s="65"/>
      <c r="J525" s="65">
        <f>J707-I707</f>
        <v>7400</v>
      </c>
      <c r="K525" s="65">
        <f>K707-J707</f>
        <v>2600</v>
      </c>
      <c r="L525" s="65">
        <f>L707-K707</f>
        <v>100</v>
      </c>
      <c r="M525" s="65">
        <f>SUM(I525:L525)</f>
        <v>10100</v>
      </c>
      <c r="N525" s="65">
        <f>N707-M707</f>
        <v>700</v>
      </c>
      <c r="O525" s="65">
        <f>O707-N707</f>
        <v>900</v>
      </c>
      <c r="P525" s="65">
        <f>P707-O707</f>
        <v>8200</v>
      </c>
      <c r="Q525" s="65">
        <f>Q707-P707</f>
        <v>1300</v>
      </c>
      <c r="R525" s="65">
        <f>SUM(N525:Q525)</f>
        <v>11100</v>
      </c>
      <c r="S525" s="65">
        <f>S707-R707</f>
        <v>2200</v>
      </c>
      <c r="T525" s="65">
        <f>T707-S707</f>
        <v>6100</v>
      </c>
      <c r="U525" s="65">
        <f>U707-T707</f>
        <v>1200</v>
      </c>
      <c r="V525" s="65">
        <f>V707-U707</f>
        <v>1700</v>
      </c>
      <c r="W525" s="65">
        <f>SUM(S525:V525)</f>
        <v>11200</v>
      </c>
      <c r="X525" s="108">
        <f>W708-X708</f>
        <v>400</v>
      </c>
      <c r="Y525" s="65">
        <f t="shared" ref="Y525:AO525" si="1544">X708-Y708</f>
        <v>0</v>
      </c>
      <c r="Z525" s="65">
        <f t="shared" si="1544"/>
        <v>500</v>
      </c>
      <c r="AA525" s="65">
        <f t="shared" si="1544"/>
        <v>400</v>
      </c>
      <c r="AB525" s="65">
        <f>SUM(X525:AA525)</f>
        <v>1300</v>
      </c>
      <c r="AC525" s="65">
        <f t="shared" si="1544"/>
        <v>300</v>
      </c>
      <c r="AD525" s="65">
        <f t="shared" si="1544"/>
        <v>0</v>
      </c>
      <c r="AE525" s="65">
        <f t="shared" si="1544"/>
        <v>200</v>
      </c>
      <c r="AF525" s="65">
        <f t="shared" si="1544"/>
        <v>100</v>
      </c>
      <c r="AG525" s="65">
        <f>SUM(AC525:AF525)</f>
        <v>600</v>
      </c>
      <c r="AH525" s="65">
        <f t="shared" si="1544"/>
        <v>-100</v>
      </c>
      <c r="AI525" s="65">
        <f t="shared" si="1544"/>
        <v>0</v>
      </c>
      <c r="AJ525" s="65">
        <f t="shared" si="1544"/>
        <v>100</v>
      </c>
      <c r="AK525" s="65">
        <f t="shared" si="1544"/>
        <v>0</v>
      </c>
      <c r="AL525" s="65">
        <f>SUM(AH525:AK525)</f>
        <v>0</v>
      </c>
      <c r="AM525" s="65">
        <f t="shared" si="1544"/>
        <v>0</v>
      </c>
      <c r="AN525" s="65">
        <f t="shared" si="1544"/>
        <v>0</v>
      </c>
      <c r="AO525" s="65">
        <f t="shared" si="1544"/>
        <v>0</v>
      </c>
      <c r="AP525" s="65">
        <f t="shared" ref="AP525" si="1545">AO708-AP708</f>
        <v>0</v>
      </c>
      <c r="AQ525" s="65">
        <f>SUM(AM525:AP525)</f>
        <v>0</v>
      </c>
      <c r="AR525" s="65">
        <f t="shared" ref="AR525:AT525" si="1546">AQ708-AR708</f>
        <v>0</v>
      </c>
      <c r="AS525" s="65">
        <f t="shared" si="1546"/>
        <v>0</v>
      </c>
      <c r="AT525" s="65">
        <f t="shared" si="1546"/>
        <v>0</v>
      </c>
      <c r="AU525" s="65">
        <f t="shared" ref="AU525" si="1547">AT708-AU708</f>
        <v>0</v>
      </c>
      <c r="AV525" s="65">
        <f>SUM(AR525:AU525)</f>
        <v>0</v>
      </c>
      <c r="AW525" s="65">
        <f t="shared" ref="AW525:AY525" si="1548">AV708-AW708</f>
        <v>0</v>
      </c>
      <c r="AX525" s="65">
        <f t="shared" si="1548"/>
        <v>0</v>
      </c>
      <c r="AY525" s="65">
        <f t="shared" si="1548"/>
        <v>0</v>
      </c>
      <c r="AZ525" s="65">
        <f>AY708-AZ708</f>
        <v>0</v>
      </c>
      <c r="BA525" s="65">
        <f>SUM(AW525:AZ525)</f>
        <v>0</v>
      </c>
      <c r="BB525" s="65">
        <f>BA708-BB708</f>
        <v>0</v>
      </c>
      <c r="BC525" s="65">
        <f>BB708-BC708</f>
        <v>0</v>
      </c>
      <c r="BD525" s="65">
        <f>BC708-BD708</f>
        <v>0</v>
      </c>
      <c r="BE525" s="65">
        <f>BD708-BE708</f>
        <v>0</v>
      </c>
      <c r="BF525" s="65">
        <f>SUM(BB525:BE525)</f>
        <v>0</v>
      </c>
      <c r="BG525" s="65">
        <f>BF708-BG708</f>
        <v>0</v>
      </c>
      <c r="BH525" s="65">
        <f>BG708-BH708</f>
        <v>0</v>
      </c>
      <c r="BI525" s="65">
        <f>BH708-BI708</f>
        <v>0</v>
      </c>
      <c r="BJ525" s="65">
        <f>BI708-BJ708</f>
        <v>0</v>
      </c>
      <c r="BK525" s="65">
        <f>SUM(BG525:BJ525)</f>
        <v>0</v>
      </c>
      <c r="BL525" s="65">
        <f>BK708-BL708</f>
        <v>0</v>
      </c>
      <c r="BM525" s="65">
        <f>BL708-BM708</f>
        <v>0</v>
      </c>
      <c r="BN525" s="65">
        <f>BM708-BN708</f>
        <v>0</v>
      </c>
      <c r="BO525" s="65">
        <f>BN708-BO708</f>
        <v>0</v>
      </c>
      <c r="BP525" s="65">
        <f>SUM(BL525:BO525)</f>
        <v>0</v>
      </c>
      <c r="BQ525" s="65">
        <f>BP708-BQ708</f>
        <v>0</v>
      </c>
      <c r="BR525" s="65">
        <f>BQ708-BR708</f>
        <v>0</v>
      </c>
      <c r="BS525" s="65">
        <f>BR708-BS708</f>
        <v>0</v>
      </c>
    </row>
    <row r="526" spans="1:71">
      <c r="A526" s="1" t="s">
        <v>310</v>
      </c>
      <c r="I526" s="65"/>
      <c r="J526" s="65">
        <f>MROUND(J650*(J716-I716), 10)</f>
        <v>3710</v>
      </c>
      <c r="K526" s="65">
        <f>MROUND(K650*(K716-J716), 10)</f>
        <v>2400</v>
      </c>
      <c r="L526" s="65">
        <f>MROUND(L650*(L716-K716), 10)</f>
        <v>150</v>
      </c>
      <c r="M526" s="65">
        <f>SUM(I526:L526)</f>
        <v>6260</v>
      </c>
      <c r="N526" s="65">
        <f>MROUND(N650*(N716-M716), 10)</f>
        <v>620</v>
      </c>
      <c r="O526" s="65">
        <f>MROUND(O650*(O716-N716), 10)</f>
        <v>730</v>
      </c>
      <c r="P526" s="65">
        <f>MROUND(P650*(P716-O716), 10)</f>
        <v>5140</v>
      </c>
      <c r="Q526" s="65">
        <f>MROUND(Q650*(Q716-P716), 10)</f>
        <v>740</v>
      </c>
      <c r="R526" s="65">
        <f>SUM(N526:Q526)</f>
        <v>7230</v>
      </c>
      <c r="S526" s="65">
        <f>MROUND(S650*(S716-R716), 10)</f>
        <v>1250</v>
      </c>
      <c r="T526" s="65">
        <f>MROUND(T650*(T716-S716), 10)</f>
        <v>3080</v>
      </c>
      <c r="U526" s="65">
        <f>MROUND(U650*(U716-T716), 10)</f>
        <v>820</v>
      </c>
      <c r="V526" s="65">
        <f>MROUND(V650*(V716-U716), 10)</f>
        <v>660</v>
      </c>
      <c r="W526" s="65">
        <f>SUM(S526:V526)</f>
        <v>5810</v>
      </c>
      <c r="X526" s="65">
        <f>MROUND(X650*(X716-W716), 10)</f>
        <v>2340</v>
      </c>
      <c r="Y526" s="65">
        <f>-MROUND(-Y650*(Y716-X716), 10)</f>
        <v>-80</v>
      </c>
      <c r="Z526" s="65">
        <f>MROUND(Z650*(Z716-Y716), 10)</f>
        <v>40</v>
      </c>
      <c r="AA526" s="65">
        <f>MROUND(AA650*(AA716-Z716), 10)</f>
        <v>190</v>
      </c>
      <c r="AB526" s="65">
        <f>SUM(X526:AA526)</f>
        <v>2490</v>
      </c>
      <c r="AC526" s="65">
        <f>MROUND(AC650*(AC716-AB716), 10)</f>
        <v>230</v>
      </c>
      <c r="AD526" s="65">
        <f>MROUND(AD650*(AD716-AC716), 10)</f>
        <v>40</v>
      </c>
      <c r="AE526" s="65">
        <f>MROUND(AE650*(AE716-AD716), 10)</f>
        <v>190</v>
      </c>
      <c r="AF526" s="65">
        <f>MROUND(AF650*(AF716-AE716), 10)</f>
        <v>0</v>
      </c>
      <c r="AG526" s="65">
        <f>SUM(AC526:AF526)</f>
        <v>460</v>
      </c>
      <c r="AH526" s="65">
        <f>MROUND(AH650*(AH716-AG716), 10)</f>
        <v>0</v>
      </c>
      <c r="AI526" s="65">
        <f>MROUND(AI650*(AI716-AH716), 10)</f>
        <v>0</v>
      </c>
      <c r="AJ526" s="65">
        <f>MROUND(AJ650*(AJ716-AI716), 10)</f>
        <v>0</v>
      </c>
      <c r="AK526" s="65">
        <f>MROUND(AK650*(AK716-AJ716), 10)</f>
        <v>0</v>
      </c>
      <c r="AL526" s="65">
        <f>SUM(AH526:AK526)</f>
        <v>0</v>
      </c>
      <c r="AM526" s="65">
        <f>MROUND(AM650*(AM716-AL716), 10)</f>
        <v>0</v>
      </c>
      <c r="AN526" s="65">
        <f>MROUND(AN650*(AN716-AM716), 10)</f>
        <v>0</v>
      </c>
      <c r="AO526" s="65">
        <f>MROUND(AO650*(AO716-AN716), 10)</f>
        <v>0</v>
      </c>
      <c r="AP526" s="65">
        <f>MROUND(AP650*(AP716-AO716), 10)</f>
        <v>0</v>
      </c>
      <c r="AQ526" s="65">
        <f>SUM(AM526:AP526)</f>
        <v>0</v>
      </c>
      <c r="AR526" s="65">
        <f>MROUND(AR650*(AR716-AQ716), 10)</f>
        <v>0</v>
      </c>
      <c r="AS526" s="65">
        <f>MROUND(AS650*(AS716-AR716), 10)</f>
        <v>0</v>
      </c>
      <c r="AT526" s="65">
        <f>MROUND(AT650*(AT716-AS716), 10)</f>
        <v>0</v>
      </c>
      <c r="AU526" s="65">
        <f>MROUND(AU650*(AU716-AT716), 10)</f>
        <v>0</v>
      </c>
      <c r="AV526" s="65">
        <f>SUM(AR526:AU526)</f>
        <v>0</v>
      </c>
      <c r="AW526" s="65">
        <f>MROUND(AW650*(AW716-AV716), 10)</f>
        <v>0</v>
      </c>
      <c r="AX526" s="65">
        <f>MROUND(AX650*(AX716-AW716), 10)</f>
        <v>0</v>
      </c>
      <c r="AY526" s="65">
        <f>MROUND(AY650*(AY716-AX716), 10)</f>
        <v>0</v>
      </c>
      <c r="AZ526" s="65">
        <f>MROUND(AZ650*(AZ716-AY716), 10)</f>
        <v>0</v>
      </c>
      <c r="BA526" s="65">
        <f>SUM(AW526:AZ526)</f>
        <v>0</v>
      </c>
      <c r="BB526" s="65">
        <f>MROUND(BB650*(BB716-BA716), 10)</f>
        <v>0</v>
      </c>
      <c r="BC526" s="65">
        <f>MROUND(BC650*(BC716-BB716), 10)</f>
        <v>0</v>
      </c>
      <c r="BD526" s="65">
        <f>MROUND(BD650*(BD716-BC716), 10)</f>
        <v>0</v>
      </c>
      <c r="BE526" s="65">
        <f>MROUND(BE650*(BE716-BD716), 10)</f>
        <v>0</v>
      </c>
      <c r="BF526" s="65">
        <f>SUM(BB526:BE526)</f>
        <v>0</v>
      </c>
      <c r="BG526" s="65">
        <f>MROUND(BG650*(BG716-BF716), 10)</f>
        <v>0</v>
      </c>
      <c r="BH526" s="65">
        <f>MROUND(BH650*(BH716-BG716), 10)</f>
        <v>0</v>
      </c>
      <c r="BI526" s="65">
        <f>MROUND(BI650*(BI716-BH716), 10)</f>
        <v>0</v>
      </c>
      <c r="BJ526" s="65">
        <f>MROUND(BJ650*(BJ716-BI716), 10)</f>
        <v>0</v>
      </c>
      <c r="BK526" s="65">
        <f>SUM(BG526:BJ526)</f>
        <v>0</v>
      </c>
      <c r="BL526" s="65">
        <f>MROUND(BL650*(BL716-BK716), 10)</f>
        <v>0</v>
      </c>
      <c r="BM526" s="65">
        <f>MROUND(BM650*(BM716-BL716), 10)</f>
        <v>0</v>
      </c>
      <c r="BN526" s="65">
        <f>MROUND(BN650*(BN716-BM716), 10)</f>
        <v>0</v>
      </c>
      <c r="BO526" s="65">
        <f>MROUND(BO650*(BO716-BN716), 10)</f>
        <v>0</v>
      </c>
      <c r="BP526" s="65">
        <f>SUM(BL526:BO526)</f>
        <v>0</v>
      </c>
      <c r="BQ526" s="65">
        <f>MROUND(BQ650*(BQ716-BP716), 10)</f>
        <v>0</v>
      </c>
      <c r="BR526" s="65">
        <f>MROUND(BR650*(BR716-BQ716), 10)</f>
        <v>0</v>
      </c>
      <c r="BS526" s="65">
        <f>MROUND(BS650*(BS716-BR716), 10)</f>
        <v>0</v>
      </c>
    </row>
    <row r="527" spans="1:71">
      <c r="A527" s="9" t="s">
        <v>311</v>
      </c>
      <c r="B527" s="9"/>
      <c r="C527" s="9"/>
      <c r="D527" s="9"/>
      <c r="E527" s="9"/>
      <c r="F527" s="9"/>
      <c r="G527" s="9"/>
      <c r="H527" s="9"/>
      <c r="I527" s="81"/>
      <c r="J527" s="81">
        <f t="shared" ref="J527:U527" si="1549">SUM(J524:J526)</f>
        <v>11110</v>
      </c>
      <c r="K527" s="81">
        <f t="shared" si="1549"/>
        <v>16110</v>
      </c>
      <c r="L527" s="81">
        <f t="shared" si="1549"/>
        <v>16360</v>
      </c>
      <c r="M527" s="81">
        <f t="shared" si="1549"/>
        <v>16360</v>
      </c>
      <c r="N527" s="81">
        <f t="shared" si="1549"/>
        <v>17680</v>
      </c>
      <c r="O527" s="81">
        <f t="shared" si="1549"/>
        <v>19310</v>
      </c>
      <c r="P527" s="81">
        <f t="shared" si="1549"/>
        <v>32650</v>
      </c>
      <c r="Q527" s="81">
        <f t="shared" si="1549"/>
        <v>34690</v>
      </c>
      <c r="R527" s="81">
        <f t="shared" si="1549"/>
        <v>34690</v>
      </c>
      <c r="S527" s="81">
        <f t="shared" si="1549"/>
        <v>38140</v>
      </c>
      <c r="T527" s="81">
        <f t="shared" si="1549"/>
        <v>47320</v>
      </c>
      <c r="U527" s="81">
        <f t="shared" si="1549"/>
        <v>49340</v>
      </c>
      <c r="V527" s="81">
        <f t="shared" ref="V527:Z527" si="1550">SUM(V524:V526)</f>
        <v>51700</v>
      </c>
      <c r="W527" s="81">
        <f t="shared" si="1550"/>
        <v>51700</v>
      </c>
      <c r="X527" s="81">
        <f t="shared" si="1550"/>
        <v>54440</v>
      </c>
      <c r="Y527" s="81">
        <f t="shared" si="1550"/>
        <v>54360</v>
      </c>
      <c r="Z527" s="81">
        <f t="shared" si="1550"/>
        <v>54900</v>
      </c>
      <c r="AA527" s="81">
        <f t="shared" ref="AA527:AC527" si="1551">SUM(AA524:AA526)</f>
        <v>55490</v>
      </c>
      <c r="AB527" s="81">
        <f t="shared" si="1551"/>
        <v>55490</v>
      </c>
      <c r="AC527" s="81">
        <f t="shared" si="1551"/>
        <v>56020</v>
      </c>
      <c r="AD527" s="81">
        <f t="shared" ref="AD527:AE527" si="1552">SUM(AD524:AD526)</f>
        <v>56060</v>
      </c>
      <c r="AE527" s="81">
        <f t="shared" si="1552"/>
        <v>56450</v>
      </c>
      <c r="AF527" s="81">
        <f t="shared" ref="AF527:AH527" si="1553">SUM(AF524:AF526)</f>
        <v>56550</v>
      </c>
      <c r="AG527" s="81">
        <f t="shared" si="1553"/>
        <v>56550</v>
      </c>
      <c r="AH527" s="81">
        <f t="shared" si="1553"/>
        <v>56450</v>
      </c>
      <c r="AI527" s="81">
        <f t="shared" ref="AI527:AJ527" si="1554">SUM(AI524:AI526)</f>
        <v>56450</v>
      </c>
      <c r="AJ527" s="81">
        <f t="shared" si="1554"/>
        <v>56550</v>
      </c>
      <c r="AK527" s="81">
        <f t="shared" ref="AK527:AM527" si="1555">SUM(AK524:AK526)</f>
        <v>56550</v>
      </c>
      <c r="AL527" s="81">
        <f t="shared" si="1555"/>
        <v>56550</v>
      </c>
      <c r="AM527" s="81">
        <f t="shared" si="1555"/>
        <v>56550</v>
      </c>
      <c r="AN527" s="81">
        <f t="shared" ref="AN527:AR527" si="1556">SUM(AN524:AN526)</f>
        <v>56550</v>
      </c>
      <c r="AO527" s="81">
        <f t="shared" si="1556"/>
        <v>56550</v>
      </c>
      <c r="AP527" s="81">
        <f t="shared" si="1556"/>
        <v>56550</v>
      </c>
      <c r="AQ527" s="81">
        <f t="shared" si="1556"/>
        <v>56550</v>
      </c>
      <c r="AR527" s="81">
        <f t="shared" si="1556"/>
        <v>56550</v>
      </c>
      <c r="AS527" s="81">
        <f t="shared" ref="AS527:AW527" si="1557">SUM(AS524:AS526)</f>
        <v>56550</v>
      </c>
      <c r="AT527" s="81">
        <f t="shared" si="1557"/>
        <v>56550</v>
      </c>
      <c r="AU527" s="81">
        <f t="shared" si="1557"/>
        <v>56550</v>
      </c>
      <c r="AV527" s="81">
        <f t="shared" si="1557"/>
        <v>56550</v>
      </c>
      <c r="AW527" s="81">
        <f t="shared" si="1557"/>
        <v>56550</v>
      </c>
      <c r="AX527" s="81">
        <f t="shared" ref="AX527:AY527" si="1558">SUM(AX524:AX526)</f>
        <v>56550</v>
      </c>
      <c r="AY527" s="81">
        <f t="shared" si="1558"/>
        <v>56550</v>
      </c>
      <c r="AZ527" s="81">
        <f t="shared" ref="AZ527:BA527" si="1559">SUM(AZ524:AZ526)</f>
        <v>56550</v>
      </c>
      <c r="BA527" s="81">
        <f t="shared" si="1559"/>
        <v>56550</v>
      </c>
      <c r="BB527" s="81">
        <f t="shared" ref="BB527:BF527" si="1560">SUM(BB524:BB526)</f>
        <v>56550</v>
      </c>
      <c r="BC527" s="81">
        <f t="shared" si="1560"/>
        <v>56550</v>
      </c>
      <c r="BD527" s="81">
        <f t="shared" si="1560"/>
        <v>56550</v>
      </c>
      <c r="BE527" s="81">
        <f t="shared" si="1560"/>
        <v>56550</v>
      </c>
      <c r="BF527" s="81">
        <f t="shared" si="1560"/>
        <v>56550</v>
      </c>
      <c r="BG527" s="81">
        <f t="shared" ref="BG527:BP527" si="1561">SUM(BG524:BG526)</f>
        <v>56550</v>
      </c>
      <c r="BH527" s="81">
        <f t="shared" si="1561"/>
        <v>56550</v>
      </c>
      <c r="BI527" s="81">
        <f t="shared" si="1561"/>
        <v>56550</v>
      </c>
      <c r="BJ527" s="81">
        <f t="shared" si="1561"/>
        <v>56550</v>
      </c>
      <c r="BK527" s="81">
        <f t="shared" si="1561"/>
        <v>56550</v>
      </c>
      <c r="BL527" s="81">
        <f t="shared" si="1561"/>
        <v>56550</v>
      </c>
      <c r="BM527" s="81">
        <f t="shared" si="1561"/>
        <v>56550</v>
      </c>
      <c r="BN527" s="81">
        <f t="shared" si="1561"/>
        <v>56550</v>
      </c>
      <c r="BO527" s="81">
        <f t="shared" si="1561"/>
        <v>56550</v>
      </c>
      <c r="BP527" s="81">
        <f t="shared" si="1561"/>
        <v>56550</v>
      </c>
      <c r="BQ527" s="81">
        <f t="shared" ref="BQ527:BS527" si="1562">SUM(BQ524:BQ526)</f>
        <v>56550</v>
      </c>
      <c r="BR527" s="81">
        <f t="shared" si="1562"/>
        <v>56550</v>
      </c>
      <c r="BS527" s="81">
        <f t="shared" si="1562"/>
        <v>56550</v>
      </c>
    </row>
    <row r="528" spans="1:71">
      <c r="I528" s="65"/>
      <c r="J528" s="65"/>
      <c r="K528" s="65"/>
      <c r="L528" s="65"/>
      <c r="M528" s="65"/>
      <c r="R528" s="36"/>
      <c r="W528" s="36"/>
    </row>
    <row r="529" spans="1:71">
      <c r="A529" s="1" t="s">
        <v>323</v>
      </c>
      <c r="I529" s="76">
        <v>0</v>
      </c>
      <c r="J529" s="65">
        <f t="shared" ref="J529:L530" si="1563">I529+J525</f>
        <v>7400</v>
      </c>
      <c r="K529" s="65">
        <f t="shared" si="1563"/>
        <v>10000</v>
      </c>
      <c r="L529" s="65">
        <f t="shared" si="1563"/>
        <v>10100</v>
      </c>
      <c r="M529" s="65">
        <f>L529</f>
        <v>10100</v>
      </c>
      <c r="N529" s="65">
        <f t="shared" ref="N529:Q530" si="1564">M529+N525</f>
        <v>10800</v>
      </c>
      <c r="O529" s="65">
        <f t="shared" si="1564"/>
        <v>11700</v>
      </c>
      <c r="P529" s="65">
        <f t="shared" si="1564"/>
        <v>19900</v>
      </c>
      <c r="Q529" s="65">
        <f t="shared" si="1564"/>
        <v>21200</v>
      </c>
      <c r="R529" s="65">
        <f>Q529</f>
        <v>21200</v>
      </c>
      <c r="S529" s="65">
        <f t="shared" ref="S529:U530" si="1565">R529+S525</f>
        <v>23400</v>
      </c>
      <c r="T529" s="65">
        <f t="shared" si="1565"/>
        <v>29500</v>
      </c>
      <c r="U529" s="65">
        <f t="shared" si="1565"/>
        <v>30700</v>
      </c>
      <c r="V529" s="65">
        <f t="shared" ref="V529:V530" si="1566">U529+V525</f>
        <v>32400</v>
      </c>
      <c r="W529" s="65">
        <f>V529</f>
        <v>32400</v>
      </c>
      <c r="X529" s="65">
        <f t="shared" ref="X529:Z530" si="1567">W529+X525</f>
        <v>32800</v>
      </c>
      <c r="Y529" s="65">
        <f t="shared" si="1567"/>
        <v>32800</v>
      </c>
      <c r="Z529" s="65">
        <f t="shared" si="1567"/>
        <v>33300</v>
      </c>
      <c r="AA529" s="65">
        <f t="shared" ref="AA529:AA530" si="1568">Z529+AA525</f>
        <v>33700</v>
      </c>
      <c r="AB529" s="65">
        <f>AA529</f>
        <v>33700</v>
      </c>
      <c r="AC529" s="65">
        <f t="shared" ref="AC529:AD529" si="1569">AB529+AC525</f>
        <v>34000</v>
      </c>
      <c r="AD529" s="65">
        <f t="shared" si="1569"/>
        <v>34000</v>
      </c>
      <c r="AE529" s="65">
        <f t="shared" ref="AE529" si="1570">AD529+AE525</f>
        <v>34200</v>
      </c>
      <c r="AF529" s="65">
        <f t="shared" ref="AF529:AF530" si="1571">AE529+AF525</f>
        <v>34300</v>
      </c>
      <c r="AG529" s="65">
        <f>AF529</f>
        <v>34300</v>
      </c>
      <c r="AH529" s="65">
        <f t="shared" ref="AH529:AY530" si="1572">AG529+AH525</f>
        <v>34200</v>
      </c>
      <c r="AI529" s="65">
        <f t="shared" si="1572"/>
        <v>34200</v>
      </c>
      <c r="AJ529" s="65">
        <f t="shared" si="1572"/>
        <v>34300</v>
      </c>
      <c r="AK529" s="65">
        <f t="shared" si="1572"/>
        <v>34300</v>
      </c>
      <c r="AL529" s="65">
        <f t="shared" si="1572"/>
        <v>34300</v>
      </c>
      <c r="AM529" s="65">
        <f t="shared" si="1572"/>
        <v>34300</v>
      </c>
      <c r="AN529" s="65">
        <f t="shared" si="1572"/>
        <v>34300</v>
      </c>
      <c r="AO529" s="65">
        <f t="shared" si="1572"/>
        <v>34300</v>
      </c>
      <c r="AP529" s="65">
        <f t="shared" ref="AP529:AP530" si="1573">AO529+AP525</f>
        <v>34300</v>
      </c>
      <c r="AQ529" s="65">
        <f t="shared" ref="AQ529:AQ530" si="1574">AP529+AQ525</f>
        <v>34300</v>
      </c>
      <c r="AR529" s="65">
        <f t="shared" si="1572"/>
        <v>34300</v>
      </c>
      <c r="AS529" s="65">
        <f t="shared" si="1572"/>
        <v>34300</v>
      </c>
      <c r="AT529" s="65">
        <f t="shared" si="1572"/>
        <v>34300</v>
      </c>
      <c r="AU529" s="65">
        <f t="shared" si="1572"/>
        <v>34300</v>
      </c>
      <c r="AV529" s="65">
        <f t="shared" si="1572"/>
        <v>34300</v>
      </c>
      <c r="AW529" s="65">
        <f t="shared" si="1572"/>
        <v>34300</v>
      </c>
      <c r="AX529" s="65">
        <f t="shared" si="1572"/>
        <v>34300</v>
      </c>
      <c r="AY529" s="65">
        <f t="shared" si="1572"/>
        <v>34300</v>
      </c>
      <c r="AZ529" s="65">
        <f t="shared" ref="AZ529:BA530" si="1575">AY529+AZ525</f>
        <v>34300</v>
      </c>
      <c r="BA529" s="65">
        <f t="shared" si="1575"/>
        <v>34300</v>
      </c>
      <c r="BB529" s="65">
        <f t="shared" ref="BB529:BB530" si="1576">BA529+BB525</f>
        <v>34300</v>
      </c>
      <c r="BC529" s="65">
        <f t="shared" ref="BC529:BC530" si="1577">BB529+BC525</f>
        <v>34300</v>
      </c>
      <c r="BD529" s="65">
        <f t="shared" ref="BD529:BD530" si="1578">BC529+BD525</f>
        <v>34300</v>
      </c>
      <c r="BE529" s="65">
        <f t="shared" ref="BE529:BF530" si="1579">BD529+BE525</f>
        <v>34300</v>
      </c>
      <c r="BF529" s="65">
        <f t="shared" si="1579"/>
        <v>34300</v>
      </c>
      <c r="BG529" s="65">
        <f t="shared" ref="BG529:BG530" si="1580">BF529+BG525</f>
        <v>34300</v>
      </c>
      <c r="BH529" s="65">
        <f t="shared" ref="BH529:BH530" si="1581">BG529+BH525</f>
        <v>34300</v>
      </c>
      <c r="BI529" s="65">
        <f t="shared" ref="BI529:BI530" si="1582">BH529+BI525</f>
        <v>34300</v>
      </c>
      <c r="BJ529" s="65">
        <f t="shared" ref="BJ529:BJ530" si="1583">BI529+BJ525</f>
        <v>34300</v>
      </c>
      <c r="BK529" s="65">
        <f t="shared" ref="BK529:BK530" si="1584">BJ529+BK525</f>
        <v>34300</v>
      </c>
      <c r="BL529" s="65">
        <f t="shared" ref="BL529:BL530" si="1585">BK529+BL525</f>
        <v>34300</v>
      </c>
      <c r="BM529" s="65">
        <f t="shared" ref="BM529:BM530" si="1586">BL529+BM525</f>
        <v>34300</v>
      </c>
      <c r="BN529" s="65">
        <f t="shared" ref="BN529:BN530" si="1587">BM529+BN525</f>
        <v>34300</v>
      </c>
      <c r="BO529" s="65">
        <f t="shared" ref="BO529:BO530" si="1588">BN529+BO525</f>
        <v>34300</v>
      </c>
      <c r="BP529" s="65">
        <f t="shared" ref="BP529:BP530" si="1589">BO529+BP525</f>
        <v>34300</v>
      </c>
      <c r="BQ529" s="65">
        <f t="shared" ref="BQ529:BQ530" si="1590">BP529+BQ525</f>
        <v>34300</v>
      </c>
      <c r="BR529" s="65">
        <f t="shared" ref="BR529:BR530" si="1591">BQ529+BR525</f>
        <v>34300</v>
      </c>
      <c r="BS529" s="65">
        <f t="shared" ref="BS529:BS530" si="1592">BR529+BS525</f>
        <v>34300</v>
      </c>
    </row>
    <row r="530" spans="1:71">
      <c r="A530" s="1" t="s">
        <v>324</v>
      </c>
      <c r="I530" s="76">
        <v>0</v>
      </c>
      <c r="J530" s="65">
        <f t="shared" si="1563"/>
        <v>3710</v>
      </c>
      <c r="K530" s="65">
        <f t="shared" si="1563"/>
        <v>6110</v>
      </c>
      <c r="L530" s="65">
        <f t="shared" si="1563"/>
        <v>6260</v>
      </c>
      <c r="M530" s="65">
        <f>L530</f>
        <v>6260</v>
      </c>
      <c r="N530" s="65">
        <f t="shared" si="1564"/>
        <v>6880</v>
      </c>
      <c r="O530" s="65">
        <f t="shared" si="1564"/>
        <v>7610</v>
      </c>
      <c r="P530" s="65">
        <f t="shared" si="1564"/>
        <v>12750</v>
      </c>
      <c r="Q530" s="65">
        <f t="shared" si="1564"/>
        <v>13490</v>
      </c>
      <c r="R530" s="65">
        <f>Q530</f>
        <v>13490</v>
      </c>
      <c r="S530" s="65">
        <f t="shared" si="1565"/>
        <v>14740</v>
      </c>
      <c r="T530" s="65">
        <f t="shared" si="1565"/>
        <v>17820</v>
      </c>
      <c r="U530" s="65">
        <f t="shared" si="1565"/>
        <v>18640</v>
      </c>
      <c r="V530" s="65">
        <f t="shared" si="1566"/>
        <v>19300</v>
      </c>
      <c r="W530" s="65">
        <f>V530</f>
        <v>19300</v>
      </c>
      <c r="X530" s="65">
        <f t="shared" si="1567"/>
        <v>21640</v>
      </c>
      <c r="Y530" s="65">
        <f t="shared" si="1567"/>
        <v>21560</v>
      </c>
      <c r="Z530" s="65">
        <f t="shared" si="1567"/>
        <v>21600</v>
      </c>
      <c r="AA530" s="65">
        <f t="shared" si="1568"/>
        <v>21790</v>
      </c>
      <c r="AB530" s="65">
        <f>AA530</f>
        <v>21790</v>
      </c>
      <c r="AC530" s="65">
        <f t="shared" ref="AC530:AD530" si="1593">AB530+AC526</f>
        <v>22020</v>
      </c>
      <c r="AD530" s="65">
        <f t="shared" si="1593"/>
        <v>22060</v>
      </c>
      <c r="AE530" s="65">
        <f t="shared" ref="AE530" si="1594">AD530+AE526</f>
        <v>22250</v>
      </c>
      <c r="AF530" s="65">
        <f t="shared" si="1571"/>
        <v>22250</v>
      </c>
      <c r="AG530" s="65">
        <f>AF530</f>
        <v>22250</v>
      </c>
      <c r="AH530" s="65">
        <f t="shared" si="1572"/>
        <v>22250</v>
      </c>
      <c r="AI530" s="65">
        <f t="shared" si="1572"/>
        <v>22250</v>
      </c>
      <c r="AJ530" s="65">
        <f t="shared" si="1572"/>
        <v>22250</v>
      </c>
      <c r="AK530" s="65">
        <f t="shared" si="1572"/>
        <v>22250</v>
      </c>
      <c r="AL530" s="65">
        <f t="shared" si="1572"/>
        <v>22250</v>
      </c>
      <c r="AM530" s="65">
        <f t="shared" si="1572"/>
        <v>22250</v>
      </c>
      <c r="AN530" s="65">
        <f t="shared" si="1572"/>
        <v>22250</v>
      </c>
      <c r="AO530" s="65">
        <f t="shared" si="1572"/>
        <v>22250</v>
      </c>
      <c r="AP530" s="65">
        <f t="shared" si="1573"/>
        <v>22250</v>
      </c>
      <c r="AQ530" s="65">
        <f t="shared" si="1574"/>
        <v>22250</v>
      </c>
      <c r="AR530" s="65">
        <f t="shared" si="1572"/>
        <v>22250</v>
      </c>
      <c r="AS530" s="65">
        <f t="shared" si="1572"/>
        <v>22250</v>
      </c>
      <c r="AT530" s="65">
        <f t="shared" si="1572"/>
        <v>22250</v>
      </c>
      <c r="AU530" s="65">
        <f t="shared" si="1572"/>
        <v>22250</v>
      </c>
      <c r="AV530" s="65">
        <f t="shared" si="1572"/>
        <v>22250</v>
      </c>
      <c r="AW530" s="65">
        <f t="shared" si="1572"/>
        <v>22250</v>
      </c>
      <c r="AX530" s="65">
        <f t="shared" si="1572"/>
        <v>22250</v>
      </c>
      <c r="AY530" s="65">
        <f t="shared" si="1572"/>
        <v>22250</v>
      </c>
      <c r="AZ530" s="65">
        <f t="shared" si="1575"/>
        <v>22250</v>
      </c>
      <c r="BA530" s="65">
        <f t="shared" si="1575"/>
        <v>22250</v>
      </c>
      <c r="BB530" s="65">
        <f t="shared" si="1576"/>
        <v>22250</v>
      </c>
      <c r="BC530" s="65">
        <f t="shared" si="1577"/>
        <v>22250</v>
      </c>
      <c r="BD530" s="65">
        <f t="shared" si="1578"/>
        <v>22250</v>
      </c>
      <c r="BE530" s="65">
        <f t="shared" si="1579"/>
        <v>22250</v>
      </c>
      <c r="BF530" s="65">
        <f t="shared" si="1579"/>
        <v>22250</v>
      </c>
      <c r="BG530" s="65">
        <f t="shared" si="1580"/>
        <v>22250</v>
      </c>
      <c r="BH530" s="65">
        <f t="shared" si="1581"/>
        <v>22250</v>
      </c>
      <c r="BI530" s="65">
        <f t="shared" si="1582"/>
        <v>22250</v>
      </c>
      <c r="BJ530" s="65">
        <f t="shared" si="1583"/>
        <v>22250</v>
      </c>
      <c r="BK530" s="65">
        <f t="shared" si="1584"/>
        <v>22250</v>
      </c>
      <c r="BL530" s="65">
        <f t="shared" si="1585"/>
        <v>22250</v>
      </c>
      <c r="BM530" s="65">
        <f t="shared" si="1586"/>
        <v>22250</v>
      </c>
      <c r="BN530" s="65">
        <f t="shared" si="1587"/>
        <v>22250</v>
      </c>
      <c r="BO530" s="65">
        <f t="shared" si="1588"/>
        <v>22250</v>
      </c>
      <c r="BP530" s="65">
        <f t="shared" si="1589"/>
        <v>22250</v>
      </c>
      <c r="BQ530" s="65">
        <f t="shared" si="1590"/>
        <v>22250</v>
      </c>
      <c r="BR530" s="65">
        <f t="shared" si="1591"/>
        <v>22250</v>
      </c>
      <c r="BS530" s="65">
        <f t="shared" si="1592"/>
        <v>22250</v>
      </c>
    </row>
    <row r="531" spans="1:71">
      <c r="I531" s="65"/>
      <c r="J531" s="25" t="s">
        <v>288</v>
      </c>
      <c r="K531" s="65"/>
      <c r="L531" s="65"/>
      <c r="M531" s="65"/>
      <c r="R531" s="36"/>
      <c r="W531" s="36"/>
    </row>
    <row r="532" spans="1:71">
      <c r="A532" s="1" t="s">
        <v>321</v>
      </c>
      <c r="I532" s="65"/>
      <c r="J532" s="89">
        <f t="shared" ref="J532:S532" si="1595">J529/J527</f>
        <v>0.66606660666066608</v>
      </c>
      <c r="K532" s="89">
        <f t="shared" si="1595"/>
        <v>0.62073246430788331</v>
      </c>
      <c r="L532" s="89">
        <f t="shared" si="1595"/>
        <v>0.61735941320293397</v>
      </c>
      <c r="M532" s="89">
        <f t="shared" si="1595"/>
        <v>0.61735941320293397</v>
      </c>
      <c r="N532" s="89">
        <f t="shared" si="1595"/>
        <v>0.61085972850678738</v>
      </c>
      <c r="O532" s="89">
        <f t="shared" si="1595"/>
        <v>0.60590367685137236</v>
      </c>
      <c r="P532" s="89">
        <f t="shared" si="1595"/>
        <v>0.60949464012251153</v>
      </c>
      <c r="Q532" s="89">
        <f t="shared" si="1595"/>
        <v>0.61112712597290286</v>
      </c>
      <c r="R532" s="89">
        <f t="shared" si="1595"/>
        <v>0.61112712597290286</v>
      </c>
      <c r="S532" s="89">
        <f t="shared" si="1595"/>
        <v>0.61352910330361821</v>
      </c>
      <c r="T532" s="89">
        <f t="shared" ref="T532:U532" si="1596">T529/T527</f>
        <v>0.62341504649196955</v>
      </c>
      <c r="U532" s="89">
        <f t="shared" si="1596"/>
        <v>0.62221321443048239</v>
      </c>
      <c r="V532" s="89">
        <f t="shared" ref="V532:W532" si="1597">V529/V527</f>
        <v>0.62669245647969052</v>
      </c>
      <c r="W532" s="89">
        <f t="shared" si="1597"/>
        <v>0.62669245647969052</v>
      </c>
      <c r="X532" s="89">
        <f t="shared" ref="X532:Y532" si="1598">X529/X527</f>
        <v>0.60249816311535631</v>
      </c>
      <c r="Y532" s="89">
        <f t="shared" si="1598"/>
        <v>0.60338484179543783</v>
      </c>
      <c r="Z532" s="89">
        <f t="shared" ref="Z532:AA532" si="1599">Z529/Z527</f>
        <v>0.60655737704918034</v>
      </c>
      <c r="AA532" s="89">
        <f t="shared" si="1599"/>
        <v>0.60731663362768062</v>
      </c>
      <c r="AB532" s="89">
        <f t="shared" ref="AB532:AC532" si="1600">AB529/AB527</f>
        <v>0.60731663362768062</v>
      </c>
      <c r="AC532" s="89">
        <f t="shared" si="1600"/>
        <v>0.6069260978222063</v>
      </c>
      <c r="AD532" s="89">
        <f t="shared" ref="AD532:AE532" si="1601">AD529/AD527</f>
        <v>0.60649304316803421</v>
      </c>
      <c r="AE532" s="89">
        <f t="shared" si="1601"/>
        <v>0.60584588131089456</v>
      </c>
      <c r="AF532" s="89">
        <f t="shared" ref="AF532:AH532" si="1602">AF529/AF527</f>
        <v>0.60654288240495136</v>
      </c>
      <c r="AG532" s="89">
        <f t="shared" si="1602"/>
        <v>0.60654288240495136</v>
      </c>
      <c r="AH532" s="89">
        <f t="shared" si="1602"/>
        <v>0.60584588131089456</v>
      </c>
      <c r="AI532" s="89">
        <f t="shared" ref="AI532:AJ532" si="1603">AI529/AI527</f>
        <v>0.60584588131089456</v>
      </c>
      <c r="AJ532" s="89">
        <f t="shared" si="1603"/>
        <v>0.60654288240495136</v>
      </c>
      <c r="AK532" s="89">
        <f t="shared" ref="AK532:AM532" si="1604">AK529/AK527</f>
        <v>0.60654288240495136</v>
      </c>
      <c r="AL532" s="89">
        <f t="shared" si="1604"/>
        <v>0.60654288240495136</v>
      </c>
      <c r="AM532" s="89">
        <f t="shared" si="1604"/>
        <v>0.60654288240495136</v>
      </c>
      <c r="AN532" s="89">
        <f t="shared" ref="AN532:AO532" si="1605">AN529/AN527</f>
        <v>0.60654288240495136</v>
      </c>
      <c r="AO532" s="89">
        <f t="shared" si="1605"/>
        <v>0.60654288240495136</v>
      </c>
      <c r="AP532" s="89">
        <f t="shared" ref="AP532:AT532" si="1606">AP529/AP527</f>
        <v>0.60654288240495136</v>
      </c>
      <c r="AQ532" s="89">
        <f t="shared" si="1606"/>
        <v>0.60654288240495136</v>
      </c>
      <c r="AR532" s="89">
        <f t="shared" si="1606"/>
        <v>0.60654288240495136</v>
      </c>
      <c r="AS532" s="89">
        <f t="shared" si="1606"/>
        <v>0.60654288240495136</v>
      </c>
      <c r="AT532" s="89">
        <f t="shared" si="1606"/>
        <v>0.60654288240495136</v>
      </c>
      <c r="AU532" s="89">
        <f t="shared" ref="AU532:AY532" si="1607">AU529/AU527</f>
        <v>0.60654288240495136</v>
      </c>
      <c r="AV532" s="89">
        <f t="shared" si="1607"/>
        <v>0.60654288240495136</v>
      </c>
      <c r="AW532" s="89">
        <f t="shared" si="1607"/>
        <v>0.60654288240495136</v>
      </c>
      <c r="AX532" s="89">
        <f t="shared" si="1607"/>
        <v>0.60654288240495136</v>
      </c>
      <c r="AY532" s="89">
        <f t="shared" si="1607"/>
        <v>0.60654288240495136</v>
      </c>
      <c r="AZ532" s="89">
        <f t="shared" ref="AZ532:BA532" si="1608">AZ529/AZ527</f>
        <v>0.60654288240495136</v>
      </c>
      <c r="BA532" s="89">
        <f t="shared" si="1608"/>
        <v>0.60654288240495136</v>
      </c>
      <c r="BB532" s="89">
        <f t="shared" ref="BB532:BF532" si="1609">BB529/BB527</f>
        <v>0.60654288240495136</v>
      </c>
      <c r="BC532" s="89">
        <f t="shared" si="1609"/>
        <v>0.60654288240495136</v>
      </c>
      <c r="BD532" s="89">
        <f t="shared" si="1609"/>
        <v>0.60654288240495136</v>
      </c>
      <c r="BE532" s="89">
        <f t="shared" si="1609"/>
        <v>0.60654288240495136</v>
      </c>
      <c r="BF532" s="89">
        <f t="shared" si="1609"/>
        <v>0.60654288240495136</v>
      </c>
      <c r="BG532" s="89">
        <f t="shared" ref="BG532:BP532" si="1610">BG529/BG527</f>
        <v>0.60654288240495136</v>
      </c>
      <c r="BH532" s="89">
        <f t="shared" si="1610"/>
        <v>0.60654288240495136</v>
      </c>
      <c r="BI532" s="89">
        <f t="shared" si="1610"/>
        <v>0.60654288240495136</v>
      </c>
      <c r="BJ532" s="89">
        <f t="shared" si="1610"/>
        <v>0.60654288240495136</v>
      </c>
      <c r="BK532" s="89">
        <f t="shared" si="1610"/>
        <v>0.60654288240495136</v>
      </c>
      <c r="BL532" s="89">
        <f t="shared" si="1610"/>
        <v>0.60654288240495136</v>
      </c>
      <c r="BM532" s="89">
        <f t="shared" si="1610"/>
        <v>0.60654288240495136</v>
      </c>
      <c r="BN532" s="89">
        <f t="shared" si="1610"/>
        <v>0.60654288240495136</v>
      </c>
      <c r="BO532" s="89">
        <f t="shared" si="1610"/>
        <v>0.60654288240495136</v>
      </c>
      <c r="BP532" s="89">
        <f t="shared" si="1610"/>
        <v>0.60654288240495136</v>
      </c>
      <c r="BQ532" s="89">
        <f t="shared" ref="BQ532:BS532" si="1611">BQ529/BQ527</f>
        <v>0.60654288240495136</v>
      </c>
      <c r="BR532" s="89">
        <f t="shared" si="1611"/>
        <v>0.60654288240495136</v>
      </c>
      <c r="BS532" s="89">
        <f t="shared" si="1611"/>
        <v>0.60654288240495136</v>
      </c>
    </row>
    <row r="533" spans="1:71">
      <c r="A533" s="1" t="s">
        <v>322</v>
      </c>
      <c r="I533" s="65"/>
      <c r="J533" s="89">
        <f t="shared" ref="J533:S533" si="1612">J530/J527</f>
        <v>0.33393339333933392</v>
      </c>
      <c r="K533" s="89">
        <f t="shared" si="1612"/>
        <v>0.37926753569211669</v>
      </c>
      <c r="L533" s="89">
        <f t="shared" si="1612"/>
        <v>0.38264058679706603</v>
      </c>
      <c r="M533" s="89">
        <f t="shared" si="1612"/>
        <v>0.38264058679706603</v>
      </c>
      <c r="N533" s="89">
        <f t="shared" si="1612"/>
        <v>0.38914027149321267</v>
      </c>
      <c r="O533" s="89">
        <f t="shared" si="1612"/>
        <v>0.39409632314862764</v>
      </c>
      <c r="P533" s="89">
        <f t="shared" si="1612"/>
        <v>0.39050535987748852</v>
      </c>
      <c r="Q533" s="89">
        <f t="shared" si="1612"/>
        <v>0.38887287402709714</v>
      </c>
      <c r="R533" s="89">
        <f t="shared" si="1612"/>
        <v>0.38887287402709714</v>
      </c>
      <c r="S533" s="89">
        <f t="shared" si="1612"/>
        <v>0.38647089669638174</v>
      </c>
      <c r="T533" s="89">
        <f t="shared" ref="T533:U533" si="1613">T530/T527</f>
        <v>0.37658495350803045</v>
      </c>
      <c r="U533" s="89">
        <f t="shared" si="1613"/>
        <v>0.37778678556951761</v>
      </c>
      <c r="V533" s="89">
        <f t="shared" ref="V533:W533" si="1614">V530/V527</f>
        <v>0.37330754352030948</v>
      </c>
      <c r="W533" s="89">
        <f t="shared" si="1614"/>
        <v>0.37330754352030948</v>
      </c>
      <c r="X533" s="89">
        <f t="shared" ref="X533:Y533" si="1615">X530/X527</f>
        <v>0.39750183688464363</v>
      </c>
      <c r="Y533" s="89">
        <f t="shared" si="1615"/>
        <v>0.39661515820456217</v>
      </c>
      <c r="Z533" s="89">
        <f t="shared" ref="Z533:AA533" si="1616">Z530/Z527</f>
        <v>0.39344262295081966</v>
      </c>
      <c r="AA533" s="89">
        <f t="shared" si="1616"/>
        <v>0.39268336637231932</v>
      </c>
      <c r="AB533" s="89">
        <f t="shared" ref="AB533:AC533" si="1617">AB530/AB527</f>
        <v>0.39268336637231932</v>
      </c>
      <c r="AC533" s="89">
        <f t="shared" si="1617"/>
        <v>0.39307390217779364</v>
      </c>
      <c r="AD533" s="89">
        <f t="shared" ref="AD533:AE533" si="1618">AD530/AD527</f>
        <v>0.39350695683196574</v>
      </c>
      <c r="AE533" s="89">
        <f t="shared" si="1618"/>
        <v>0.39415411868910538</v>
      </c>
      <c r="AF533" s="89">
        <f t="shared" ref="AF533:AH533" si="1619">AF530/AF527</f>
        <v>0.39345711759504864</v>
      </c>
      <c r="AG533" s="89">
        <f t="shared" si="1619"/>
        <v>0.39345711759504864</v>
      </c>
      <c r="AH533" s="89">
        <f t="shared" si="1619"/>
        <v>0.39415411868910538</v>
      </c>
      <c r="AI533" s="89">
        <f t="shared" ref="AI533:AJ533" si="1620">AI530/AI527</f>
        <v>0.39415411868910538</v>
      </c>
      <c r="AJ533" s="89">
        <f t="shared" si="1620"/>
        <v>0.39345711759504864</v>
      </c>
      <c r="AK533" s="89">
        <f t="shared" ref="AK533:AM533" si="1621">AK530/AK527</f>
        <v>0.39345711759504864</v>
      </c>
      <c r="AL533" s="89">
        <f t="shared" si="1621"/>
        <v>0.39345711759504864</v>
      </c>
      <c r="AM533" s="89">
        <f t="shared" si="1621"/>
        <v>0.39345711759504864</v>
      </c>
      <c r="AN533" s="89">
        <f t="shared" ref="AN533:AO533" si="1622">AN530/AN527</f>
        <v>0.39345711759504864</v>
      </c>
      <c r="AO533" s="89">
        <f t="shared" si="1622"/>
        <v>0.39345711759504864</v>
      </c>
      <c r="AP533" s="89">
        <f t="shared" ref="AP533:AT533" si="1623">AP530/AP527</f>
        <v>0.39345711759504864</v>
      </c>
      <c r="AQ533" s="89">
        <f t="shared" si="1623"/>
        <v>0.39345711759504864</v>
      </c>
      <c r="AR533" s="89">
        <f t="shared" si="1623"/>
        <v>0.39345711759504864</v>
      </c>
      <c r="AS533" s="89">
        <f t="shared" si="1623"/>
        <v>0.39345711759504864</v>
      </c>
      <c r="AT533" s="89">
        <f t="shared" si="1623"/>
        <v>0.39345711759504864</v>
      </c>
      <c r="AU533" s="89">
        <f t="shared" ref="AU533:AY533" si="1624">AU530/AU527</f>
        <v>0.39345711759504864</v>
      </c>
      <c r="AV533" s="89">
        <f t="shared" si="1624"/>
        <v>0.39345711759504864</v>
      </c>
      <c r="AW533" s="89">
        <f t="shared" si="1624"/>
        <v>0.39345711759504864</v>
      </c>
      <c r="AX533" s="89">
        <f t="shared" si="1624"/>
        <v>0.39345711759504864</v>
      </c>
      <c r="AY533" s="89">
        <f t="shared" si="1624"/>
        <v>0.39345711759504864</v>
      </c>
      <c r="AZ533" s="89">
        <f t="shared" ref="AZ533:BA533" si="1625">AZ530/AZ527</f>
        <v>0.39345711759504864</v>
      </c>
      <c r="BA533" s="89">
        <f t="shared" si="1625"/>
        <v>0.39345711759504864</v>
      </c>
      <c r="BB533" s="89">
        <f t="shared" ref="BB533:BF533" si="1626">BB530/BB527</f>
        <v>0.39345711759504864</v>
      </c>
      <c r="BC533" s="89">
        <f t="shared" si="1626"/>
        <v>0.39345711759504864</v>
      </c>
      <c r="BD533" s="89">
        <f t="shared" si="1626"/>
        <v>0.39345711759504864</v>
      </c>
      <c r="BE533" s="89">
        <f t="shared" si="1626"/>
        <v>0.39345711759504864</v>
      </c>
      <c r="BF533" s="89">
        <f t="shared" si="1626"/>
        <v>0.39345711759504864</v>
      </c>
      <c r="BG533" s="89">
        <f t="shared" ref="BG533:BP533" si="1627">BG530/BG527</f>
        <v>0.39345711759504864</v>
      </c>
      <c r="BH533" s="89">
        <f t="shared" si="1627"/>
        <v>0.39345711759504864</v>
      </c>
      <c r="BI533" s="89">
        <f t="shared" si="1627"/>
        <v>0.39345711759504864</v>
      </c>
      <c r="BJ533" s="89">
        <f t="shared" si="1627"/>
        <v>0.39345711759504864</v>
      </c>
      <c r="BK533" s="89">
        <f t="shared" si="1627"/>
        <v>0.39345711759504864</v>
      </c>
      <c r="BL533" s="89">
        <f t="shared" si="1627"/>
        <v>0.39345711759504864</v>
      </c>
      <c r="BM533" s="89">
        <f t="shared" si="1627"/>
        <v>0.39345711759504864</v>
      </c>
      <c r="BN533" s="89">
        <f t="shared" si="1627"/>
        <v>0.39345711759504864</v>
      </c>
      <c r="BO533" s="89">
        <f t="shared" si="1627"/>
        <v>0.39345711759504864</v>
      </c>
      <c r="BP533" s="89">
        <f t="shared" si="1627"/>
        <v>0.39345711759504864</v>
      </c>
      <c r="BQ533" s="89">
        <f t="shared" ref="BQ533:BS533" si="1628">BQ530/BQ527</f>
        <v>0.39345711759504864</v>
      </c>
      <c r="BR533" s="89">
        <f t="shared" si="1628"/>
        <v>0.39345711759504864</v>
      </c>
      <c r="BS533" s="89">
        <f t="shared" si="1628"/>
        <v>0.39345711759504864</v>
      </c>
    </row>
    <row r="534" spans="1:71">
      <c r="I534" s="65"/>
      <c r="J534" s="65"/>
      <c r="K534" s="65"/>
      <c r="L534" s="65"/>
      <c r="M534" s="65"/>
      <c r="R534" s="36"/>
      <c r="W534" s="36"/>
    </row>
    <row r="535" spans="1:71">
      <c r="A535" s="1" t="s">
        <v>313</v>
      </c>
      <c r="I535" s="65"/>
      <c r="J535" s="76">
        <v>0</v>
      </c>
      <c r="K535" s="65">
        <f>J544</f>
        <v>11217.91446807546</v>
      </c>
      <c r="L535" s="65">
        <f>K544</f>
        <v>16477.59553341685</v>
      </c>
      <c r="M535" s="76">
        <v>0</v>
      </c>
      <c r="N535" s="65">
        <f t="shared" ref="N535:Q535" si="1629">M544</f>
        <v>15598.636450141707</v>
      </c>
      <c r="O535" s="65">
        <f t="shared" si="1629"/>
        <v>15340.374381993697</v>
      </c>
      <c r="P535" s="65">
        <f t="shared" si="1629"/>
        <v>15549.562646130649</v>
      </c>
      <c r="Q535" s="65">
        <f t="shared" si="1629"/>
        <v>28859.512190696209</v>
      </c>
      <c r="R535" s="36">
        <f>M544</f>
        <v>15598.636450141707</v>
      </c>
      <c r="S535" s="65">
        <f t="shared" ref="S535:AY535" si="1630">R544</f>
        <v>31339.634003319494</v>
      </c>
      <c r="T535" s="65">
        <f t="shared" si="1630"/>
        <v>35431.965666789882</v>
      </c>
      <c r="U535" s="65">
        <f t="shared" si="1630"/>
        <v>42168.152607468175</v>
      </c>
      <c r="V535" s="65">
        <f t="shared" si="1630"/>
        <v>45064.532777758701</v>
      </c>
      <c r="W535" s="36">
        <f>R544</f>
        <v>31339.634003319494</v>
      </c>
      <c r="X535" s="65">
        <f t="shared" si="1630"/>
        <v>47892.356111107903</v>
      </c>
      <c r="Y535" s="65">
        <f t="shared" si="1630"/>
        <v>51237.182611927252</v>
      </c>
      <c r="Z535" s="65">
        <f t="shared" si="1630"/>
        <v>51812.503743950176</v>
      </c>
      <c r="AA535" s="65">
        <f t="shared" ref="AA535" si="1631">Z544</f>
        <v>53156.893531098569</v>
      </c>
      <c r="AB535" s="36">
        <f>W544</f>
        <v>47892.356111107903</v>
      </c>
      <c r="AC535" s="65">
        <f t="shared" si="1630"/>
        <v>53593.660850391454</v>
      </c>
      <c r="AD535" s="65">
        <f t="shared" si="1630"/>
        <v>53514.024295240379</v>
      </c>
      <c r="AE535" s="65">
        <f t="shared" si="1630"/>
        <v>50744.805287105715</v>
      </c>
      <c r="AF535" s="65">
        <f t="shared" si="1630"/>
        <v>51913.602682869088</v>
      </c>
      <c r="AG535" s="36">
        <f>AB544</f>
        <v>53593.660850391454</v>
      </c>
      <c r="AH535" s="65">
        <f t="shared" si="1630"/>
        <v>50832.497708720723</v>
      </c>
      <c r="AI535" s="65">
        <f t="shared" si="1630"/>
        <v>49490.024517763501</v>
      </c>
      <c r="AJ535" s="65">
        <f t="shared" si="1630"/>
        <v>50099.569281084558</v>
      </c>
      <c r="AK535" s="65">
        <f t="shared" si="1630"/>
        <v>50926.300469207185</v>
      </c>
      <c r="AL535" s="36">
        <f>AG544</f>
        <v>50832.497708720723</v>
      </c>
      <c r="AM535" s="65">
        <f t="shared" si="1630"/>
        <v>51758.926591574629</v>
      </c>
      <c r="AN535" s="65">
        <f t="shared" si="1630"/>
        <v>52515.263390558313</v>
      </c>
      <c r="AO535" s="65">
        <f t="shared" si="1630"/>
        <v>52878.171161912775</v>
      </c>
      <c r="AP535" s="65">
        <f t="shared" si="1630"/>
        <v>54332.876356706016</v>
      </c>
      <c r="AQ535" s="36">
        <f>AL544</f>
        <v>51758.926591574629</v>
      </c>
      <c r="AR535" s="65">
        <f t="shared" si="1630"/>
        <v>55230.755992561863</v>
      </c>
      <c r="AS535" s="65">
        <f t="shared" si="1630"/>
        <v>56530.836893463653</v>
      </c>
      <c r="AT535" s="65">
        <f t="shared" si="1630"/>
        <v>57475.78202047669</v>
      </c>
      <c r="AU535" s="65">
        <f t="shared" si="1630"/>
        <v>58686.431023061232</v>
      </c>
      <c r="AV535" s="36">
        <f>AQ544</f>
        <v>55230.755992561863</v>
      </c>
      <c r="AW535" s="65">
        <f t="shared" si="1630"/>
        <v>57422.332111284151</v>
      </c>
      <c r="AX535" s="65">
        <f t="shared" si="1630"/>
        <v>58151.595112982628</v>
      </c>
      <c r="AY535" s="65">
        <f t="shared" si="1630"/>
        <v>53605.959857527661</v>
      </c>
      <c r="AZ535" s="65">
        <f t="shared" ref="AZ535" si="1632">AY544</f>
        <v>54330.247977994914</v>
      </c>
      <c r="BA535" s="36">
        <f>AV544</f>
        <v>57422.332111284151</v>
      </c>
      <c r="BB535" s="65">
        <f t="shared" ref="BB535" si="1633">BA544</f>
        <v>55385.697088877569</v>
      </c>
      <c r="BC535" s="65">
        <f t="shared" ref="BC535" si="1634">BB544</f>
        <v>51959.525305712843</v>
      </c>
      <c r="BD535" s="65">
        <f t="shared" ref="BD535" si="1635">BC544</f>
        <v>48392.852666989958</v>
      </c>
      <c r="BE535" s="65">
        <f t="shared" ref="BE535" si="1636">BD544</f>
        <v>44789.877746496895</v>
      </c>
      <c r="BF535" s="36">
        <f>BA544</f>
        <v>55385.697088877569</v>
      </c>
      <c r="BG535" s="65">
        <f t="shared" ref="BG535" si="1637">BF544</f>
        <v>41072.655216391278</v>
      </c>
      <c r="BH535" s="65">
        <f t="shared" ref="BH535" si="1638">BG544</f>
        <v>38225.005656718757</v>
      </c>
      <c r="BI535" s="65">
        <f t="shared" ref="BI535" si="1639">BH544</f>
        <v>35274.166037312665</v>
      </c>
      <c r="BJ535" s="65">
        <f t="shared" ref="BJ535" si="1640">BI544</f>
        <v>32201.693651765385</v>
      </c>
      <c r="BK535" s="36">
        <f>BF544</f>
        <v>41072.655216391278</v>
      </c>
      <c r="BL535" s="65">
        <f t="shared" ref="BL535" si="1641">BK544</f>
        <v>31039.228563858309</v>
      </c>
      <c r="BM535" s="65">
        <f t="shared" ref="BM535" si="1642">BL544</f>
        <v>27167.41549667322</v>
      </c>
      <c r="BN535" s="65">
        <f t="shared" ref="BN535" si="1643">BM544</f>
        <v>23127.757221412841</v>
      </c>
      <c r="BO535" s="65">
        <f t="shared" ref="BO535" si="1644">BN544</f>
        <v>18913.755021562873</v>
      </c>
      <c r="BP535" s="36">
        <f>BK544</f>
        <v>31039.228563858309</v>
      </c>
      <c r="BQ535" s="65">
        <f t="shared" ref="BQ535" si="1645">BP544</f>
        <v>14517.994270880634</v>
      </c>
      <c r="BR535" s="65">
        <f t="shared" ref="BR535" si="1646">BQ544</f>
        <v>9931.3855339642505</v>
      </c>
      <c r="BS535" s="65">
        <f t="shared" ref="BS535" si="1647">BR544</f>
        <v>5104.9510180553816</v>
      </c>
    </row>
    <row r="536" spans="1:71">
      <c r="A536" s="1" t="s">
        <v>314</v>
      </c>
      <c r="I536" s="65"/>
      <c r="J536" s="65"/>
      <c r="K536" s="65">
        <f>$I$444*K535</f>
        <v>217.92534162706789</v>
      </c>
      <c r="L536" s="65">
        <f>$I$444*L535</f>
        <v>320.10278256548037</v>
      </c>
      <c r="M536" s="65">
        <f>SUM(I536:L536)</f>
        <v>538.02812419254826</v>
      </c>
      <c r="N536" s="65">
        <f>$I$444*N535</f>
        <v>303.0276427037827</v>
      </c>
      <c r="O536" s="65">
        <f>$I$444*O535</f>
        <v>298.01050252227765</v>
      </c>
      <c r="P536" s="65">
        <f>$I$444*P535</f>
        <v>302.07430814819446</v>
      </c>
      <c r="Q536" s="65">
        <f>$I$444*Q535</f>
        <v>560.64066732245089</v>
      </c>
      <c r="R536" s="65">
        <f>SUM(N536:Q536)</f>
        <v>1463.7531206967055</v>
      </c>
      <c r="S536" s="65">
        <f>$I$444*S535</f>
        <v>608.82087005360938</v>
      </c>
      <c r="T536" s="65">
        <f>$I$444*T535</f>
        <v>688.32074307822984</v>
      </c>
      <c r="U536" s="65">
        <f>$I$444*U535</f>
        <v>819.18159466421605</v>
      </c>
      <c r="V536" s="65">
        <f>$I$444*V535</f>
        <v>875.44825990655818</v>
      </c>
      <c r="W536" s="65">
        <f>SUM(S536:V536)</f>
        <v>2991.7714677026133</v>
      </c>
      <c r="X536" s="65">
        <f>$I$444*X535</f>
        <v>930.38310254017676</v>
      </c>
      <c r="Y536" s="65">
        <f>$I$444*Y535</f>
        <v>995.36153145838011</v>
      </c>
      <c r="Z536" s="65">
        <f>$I$444*Z535</f>
        <v>1006.5380344169445</v>
      </c>
      <c r="AA536" s="65">
        <f>$I$444*AA535</f>
        <v>1032.6548856799866</v>
      </c>
      <c r="AB536" s="65">
        <f>SUM(X536:AA536)</f>
        <v>3964.9375540954879</v>
      </c>
      <c r="AC536" s="65">
        <f>$I$444*AC535</f>
        <v>1041.1397664962308</v>
      </c>
      <c r="AD536" s="65">
        <f>$I$444*AD535</f>
        <v>1039.5927032219749</v>
      </c>
      <c r="AE536" s="65">
        <f>$I$444*AE535</f>
        <v>985.79634026116435</v>
      </c>
      <c r="AF536" s="65">
        <f>$I$444*AF535</f>
        <v>1008.5020376962294</v>
      </c>
      <c r="AG536" s="65">
        <f>SUM(AC536:AF536)</f>
        <v>4075.0308476755995</v>
      </c>
      <c r="AH536" s="65">
        <f>$I$444*AH535</f>
        <v>987.49990120316841</v>
      </c>
      <c r="AI536" s="65">
        <f>$I$444*AI535</f>
        <v>961.4202827859383</v>
      </c>
      <c r="AJ536" s="65">
        <f>$I$444*AJ535</f>
        <v>973.26163272328722</v>
      </c>
      <c r="AK536" s="65">
        <f>$I$444*AK535</f>
        <v>989.32216492988414</v>
      </c>
      <c r="AL536" s="65">
        <f>SUM(AH536:AK536)</f>
        <v>3911.5039816422777</v>
      </c>
      <c r="AM536" s="65">
        <f>$I$444*AM535</f>
        <v>1005.4972153531093</v>
      </c>
      <c r="AN536" s="65">
        <f>$I$444*AN535</f>
        <v>1020.1902276570191</v>
      </c>
      <c r="AO536" s="65">
        <f>$I$444*AO535</f>
        <v>1027.2402725006136</v>
      </c>
      <c r="AP536" s="65">
        <f>$I$444*AP535</f>
        <v>1055.5001712049736</v>
      </c>
      <c r="AQ536" s="65">
        <f>SUM(AM536:AP536)</f>
        <v>4108.4278867157154</v>
      </c>
      <c r="AR536" s="65">
        <f>$I$444*AR535</f>
        <v>1072.9428720689107</v>
      </c>
      <c r="AS536" s="65">
        <f>$I$444*AS535</f>
        <v>1098.1989546748298</v>
      </c>
      <c r="AT536" s="65">
        <f>$I$444*AT535</f>
        <v>1116.5559755104932</v>
      </c>
      <c r="AU536" s="65">
        <f>$I$444*AU535</f>
        <v>1140.0747051486562</v>
      </c>
      <c r="AV536" s="65">
        <f>SUM(AR536:AU536)</f>
        <v>4427.7725074028895</v>
      </c>
      <c r="AW536" s="65">
        <f>$I$444*AW535</f>
        <v>1115.5176283423214</v>
      </c>
      <c r="AX536" s="65">
        <f>$I$444*AX535</f>
        <v>1129.684690253285</v>
      </c>
      <c r="AY536" s="65">
        <f>$I$444*AY535</f>
        <v>1041.3786937352875</v>
      </c>
      <c r="AZ536" s="65">
        <f>$I$444*AZ535</f>
        <v>1055.4491108826496</v>
      </c>
      <c r="BA536" s="65">
        <f>SUM(AW536:AZ536)</f>
        <v>4342.0301232135434</v>
      </c>
      <c r="BB536" s="65">
        <f>$I$444*BB535</f>
        <v>1075.9528425445071</v>
      </c>
      <c r="BC536" s="65">
        <f>$I$444*BC535</f>
        <v>1009.3941556830546</v>
      </c>
      <c r="BD536" s="65">
        <f>$I$444*BD535</f>
        <v>940.10602236044883</v>
      </c>
      <c r="BE536" s="65">
        <f>$I$444*BE535</f>
        <v>870.1126610581573</v>
      </c>
      <c r="BF536" s="65">
        <f>SUM(BB536:BE536)</f>
        <v>3895.5656816461683</v>
      </c>
      <c r="BG536" s="65">
        <f>$I$444*BG535</f>
        <v>797.89986320856951</v>
      </c>
      <c r="BH536" s="65">
        <f>$I$444*BH535</f>
        <v>742.5798654592669</v>
      </c>
      <c r="BI536" s="65">
        <f>$I$444*BI535</f>
        <v>685.25524117408247</v>
      </c>
      <c r="BJ536" s="65">
        <f>$I$444*BJ535</f>
        <v>625.56771225187322</v>
      </c>
      <c r="BK536" s="65">
        <f>SUM(BG536:BJ536)</f>
        <v>2851.3026820937921</v>
      </c>
      <c r="BL536" s="65">
        <f>$I$444*BL535</f>
        <v>602.98502969241622</v>
      </c>
      <c r="BM536" s="65">
        <f>$I$444*BM535</f>
        <v>527.7690715226787</v>
      </c>
      <c r="BN536" s="65">
        <f>$I$444*BN535</f>
        <v>449.29246054493774</v>
      </c>
      <c r="BO536" s="65">
        <f>$I$444*BO535</f>
        <v>367.4289491379846</v>
      </c>
      <c r="BP536" s="65">
        <f>SUM(BL536:BO536)</f>
        <v>1947.4755108980173</v>
      </c>
      <c r="BQ536" s="65">
        <f>$I$444*BQ535</f>
        <v>282.03449671730857</v>
      </c>
      <c r="BR536" s="65">
        <f>$I$444*BR535</f>
        <v>192.93252693970538</v>
      </c>
      <c r="BS536" s="65">
        <f>$I$444*BS535</f>
        <v>99.171570416691438</v>
      </c>
    </row>
    <row r="537" spans="1:71">
      <c r="A537" s="1" t="s">
        <v>325</v>
      </c>
      <c r="I537" s="65"/>
      <c r="J537" s="65">
        <f>SUM(J525:J526)</f>
        <v>11110</v>
      </c>
      <c r="K537" s="65">
        <f>SUM(K525:K526)</f>
        <v>5000</v>
      </c>
      <c r="L537" s="65">
        <f>SUM(L525:L526)</f>
        <v>250</v>
      </c>
      <c r="M537" s="65">
        <f>SUM(I537:L537)</f>
        <v>16360</v>
      </c>
      <c r="N537" s="65">
        <f>SUM(N525:N526)</f>
        <v>1320</v>
      </c>
      <c r="O537" s="65">
        <f>SUM(O525:O526)</f>
        <v>1630</v>
      </c>
      <c r="P537" s="65">
        <f>SUM(P525:P526)</f>
        <v>13340</v>
      </c>
      <c r="Q537" s="65">
        <f>SUM(Q525:Q526)</f>
        <v>2040</v>
      </c>
      <c r="R537" s="65">
        <f>SUM(N537:Q537)</f>
        <v>18330</v>
      </c>
      <c r="S537" s="65">
        <f>SUM(S525:S526)</f>
        <v>3450</v>
      </c>
      <c r="T537" s="65">
        <f>SUM(T525:T526)</f>
        <v>9180</v>
      </c>
      <c r="U537" s="65">
        <f>SUM(U525:U526)</f>
        <v>2020</v>
      </c>
      <c r="V537" s="65">
        <f>SUM(V525:V526)</f>
        <v>2360</v>
      </c>
      <c r="W537" s="65">
        <f>SUM(S537:V537)</f>
        <v>17010</v>
      </c>
      <c r="X537" s="65">
        <f>SUM(X525:X526)</f>
        <v>2740</v>
      </c>
      <c r="Y537" s="65">
        <f>SUM(Y525:Y526)</f>
        <v>-80</v>
      </c>
      <c r="Z537" s="65">
        <f>SUM(Z525:Z526)</f>
        <v>540</v>
      </c>
      <c r="AA537" s="65">
        <f>SUM(AA525:AA526)</f>
        <v>590</v>
      </c>
      <c r="AB537" s="65">
        <f>SUM(X537:AA537)</f>
        <v>3790</v>
      </c>
      <c r="AC537" s="65">
        <f>SUM(AC525:AC526)</f>
        <v>530</v>
      </c>
      <c r="AD537" s="65">
        <f>SUM(AD525:AD526)</f>
        <v>40</v>
      </c>
      <c r="AE537" s="65">
        <f>SUM(AE525:AE526)</f>
        <v>390</v>
      </c>
      <c r="AF537" s="65">
        <f>SUM(AF525:AF526)</f>
        <v>100</v>
      </c>
      <c r="AG537" s="65">
        <f>SUM(AC537:AF537)</f>
        <v>1060</v>
      </c>
      <c r="AH537" s="65">
        <f>SUM(AH525:AH526)</f>
        <v>-100</v>
      </c>
      <c r="AI537" s="65">
        <f>SUM(AI525:AI526)</f>
        <v>0</v>
      </c>
      <c r="AJ537" s="65">
        <f>SUM(AJ525:AJ526)</f>
        <v>100</v>
      </c>
      <c r="AK537" s="65">
        <f>SUM(AK525:AK526)</f>
        <v>0</v>
      </c>
      <c r="AL537" s="65">
        <f>SUM(AH537:AK537)</f>
        <v>0</v>
      </c>
      <c r="AM537" s="65">
        <f>SUM(AM525:AM526)</f>
        <v>0</v>
      </c>
      <c r="AN537" s="65">
        <f>SUM(AN525:AN526)</f>
        <v>0</v>
      </c>
      <c r="AO537" s="65">
        <f>SUM(AO525:AO526)</f>
        <v>0</v>
      </c>
      <c r="AP537" s="65">
        <f>SUM(AP525:AP526)</f>
        <v>0</v>
      </c>
      <c r="AQ537" s="65">
        <f>SUM(AM537:AP537)</f>
        <v>0</v>
      </c>
      <c r="AR537" s="65">
        <f>SUM(AR525:AR526)</f>
        <v>0</v>
      </c>
      <c r="AS537" s="65">
        <f>SUM(AS525:AS526)</f>
        <v>0</v>
      </c>
      <c r="AT537" s="65">
        <f>SUM(AT525:AT526)</f>
        <v>0</v>
      </c>
      <c r="AU537" s="65">
        <f>SUM(AU525:AU526)</f>
        <v>0</v>
      </c>
      <c r="AV537" s="65">
        <f>SUM(AR537:AU537)</f>
        <v>0</v>
      </c>
      <c r="AW537" s="65">
        <f>SUM(AW525:AW526)</f>
        <v>0</v>
      </c>
      <c r="AX537" s="65">
        <f>SUM(AX525:AX526)</f>
        <v>0</v>
      </c>
      <c r="AY537" s="65">
        <f>SUM(AY525:AY526)</f>
        <v>0</v>
      </c>
      <c r="AZ537" s="65">
        <f>SUM(AZ525:AZ526)</f>
        <v>0</v>
      </c>
      <c r="BA537" s="65">
        <f>SUM(AW537:AZ537)</f>
        <v>0</v>
      </c>
      <c r="BB537" s="65">
        <f>SUM(BB525:BB526)</f>
        <v>0</v>
      </c>
      <c r="BC537" s="65">
        <f>SUM(BC525:BC526)</f>
        <v>0</v>
      </c>
      <c r="BD537" s="65">
        <f>SUM(BD525:BD526)</f>
        <v>0</v>
      </c>
      <c r="BE537" s="65">
        <f>SUM(BE525:BE526)</f>
        <v>0</v>
      </c>
      <c r="BF537" s="65">
        <f>SUM(BB537:BE537)</f>
        <v>0</v>
      </c>
      <c r="BG537" s="65">
        <f>SUM(BG525:BG526)</f>
        <v>0</v>
      </c>
      <c r="BH537" s="65">
        <f>SUM(BH525:BH526)</f>
        <v>0</v>
      </c>
      <c r="BI537" s="65">
        <f>SUM(BI525:BI526)</f>
        <v>0</v>
      </c>
      <c r="BJ537" s="65">
        <f>SUM(BJ525:BJ526)</f>
        <v>0</v>
      </c>
      <c r="BK537" s="65">
        <f>SUM(BG537:BJ537)</f>
        <v>0</v>
      </c>
      <c r="BL537" s="65">
        <f>SUM(BL525:BL526)</f>
        <v>0</v>
      </c>
      <c r="BM537" s="65">
        <f>SUM(BM525:BM526)</f>
        <v>0</v>
      </c>
      <c r="BN537" s="65">
        <f>SUM(BN525:BN526)</f>
        <v>0</v>
      </c>
      <c r="BO537" s="65">
        <f>SUM(BO525:BO526)</f>
        <v>0</v>
      </c>
      <c r="BP537" s="65">
        <f>SUM(BL537:BO537)</f>
        <v>0</v>
      </c>
      <c r="BQ537" s="65">
        <f>SUM(BQ525:BQ526)</f>
        <v>0</v>
      </c>
      <c r="BR537" s="65">
        <f>SUM(BR525:BR526)</f>
        <v>0</v>
      </c>
      <c r="BS537" s="65">
        <f>SUM(BS525:BS526)</f>
        <v>0</v>
      </c>
    </row>
    <row r="538" spans="1:71">
      <c r="A538" s="1" t="s">
        <v>342</v>
      </c>
      <c r="I538" s="65"/>
      <c r="J538" s="65">
        <f>0.5*$I$444*J537</f>
        <v>107.9144680754593</v>
      </c>
      <c r="K538" s="65">
        <f>0.5*$I$444*K537</f>
        <v>48.566367270683756</v>
      </c>
      <c r="L538" s="65">
        <f>0.5*$I$444*L537</f>
        <v>2.4283183635341876</v>
      </c>
      <c r="M538" s="65">
        <f>SUM(I538:L538)</f>
        <v>158.90915370967724</v>
      </c>
      <c r="N538" s="65">
        <f>0.5*$I$444*N537</f>
        <v>12.821520959460511</v>
      </c>
      <c r="O538" s="65">
        <f>0.5*$I$444*O537</f>
        <v>15.832635730242902</v>
      </c>
      <c r="P538" s="65">
        <f>0.5*$I$444*P537</f>
        <v>129.57506787818426</v>
      </c>
      <c r="Q538" s="65">
        <f>0.5*$I$444*Q537</f>
        <v>19.815077846438971</v>
      </c>
      <c r="R538" s="65">
        <f>SUM(N538:Q538)</f>
        <v>178.04430241432667</v>
      </c>
      <c r="S538" s="65">
        <f>0.5*$I$444*S537</f>
        <v>33.51079341677179</v>
      </c>
      <c r="T538" s="65">
        <f>0.5*$I$444*T537</f>
        <v>89.167850308975375</v>
      </c>
      <c r="U538" s="65">
        <f>0.5*$I$444*U537</f>
        <v>19.620812377356238</v>
      </c>
      <c r="V538" s="65">
        <f>0.5*$I$444*V537</f>
        <v>22.923325351762731</v>
      </c>
      <c r="W538" s="65">
        <f>SUM(S538:V538)</f>
        <v>165.22278145486615</v>
      </c>
      <c r="X538" s="65">
        <f>0.5*$I$444*X537</f>
        <v>26.614369264334698</v>
      </c>
      <c r="Y538" s="65">
        <f>0.5*$I$444*Y537</f>
        <v>-0.77706187633094004</v>
      </c>
      <c r="Z538" s="65">
        <f>0.5*$I$444*Z537</f>
        <v>5.2451676652338453</v>
      </c>
      <c r="AA538" s="65">
        <f>0.5*$I$444*AA537</f>
        <v>5.7308313379406828</v>
      </c>
      <c r="AB538" s="65">
        <f>SUM(X538:AA538)</f>
        <v>36.813306391178287</v>
      </c>
      <c r="AC538" s="65">
        <f>0.5*$I$444*AC537</f>
        <v>5.1480349306924778</v>
      </c>
      <c r="AD538" s="65">
        <f>0.5*$I$444*AD537</f>
        <v>0.38853093816547002</v>
      </c>
      <c r="AE538" s="65">
        <f>0.5*$I$444*AE537</f>
        <v>3.7881766471133327</v>
      </c>
      <c r="AF538" s="65">
        <f>0.5*$I$444*AF537</f>
        <v>0.97132734541367505</v>
      </c>
      <c r="AG538" s="65">
        <f>SUM(AC538:AF538)</f>
        <v>10.296069861384956</v>
      </c>
      <c r="AH538" s="65">
        <f>0.5*$I$444*AH537</f>
        <v>-0.97132734541367505</v>
      </c>
      <c r="AI538" s="65">
        <f>0.5*$I$444*AI537</f>
        <v>0</v>
      </c>
      <c r="AJ538" s="65">
        <f>0.5*$I$444*AJ537</f>
        <v>0.97132734541367505</v>
      </c>
      <c r="AK538" s="65">
        <f>0.5*$I$444*AK537</f>
        <v>0</v>
      </c>
      <c r="AL538" s="65">
        <f>SUM(AH538:AK538)</f>
        <v>0</v>
      </c>
      <c r="AM538" s="65">
        <f>0.5*$I$444*AM537</f>
        <v>0</v>
      </c>
      <c r="AN538" s="65">
        <f>0.5*$I$444*AN537</f>
        <v>0</v>
      </c>
      <c r="AO538" s="65">
        <f>0.5*$I$444*AO537</f>
        <v>0</v>
      </c>
      <c r="AP538" s="65">
        <f>0.5*$I$444*AP537</f>
        <v>0</v>
      </c>
      <c r="AQ538" s="65">
        <f>SUM(AM538:AP538)</f>
        <v>0</v>
      </c>
      <c r="AR538" s="65">
        <f>0.5*$I$444*AR537</f>
        <v>0</v>
      </c>
      <c r="AS538" s="65">
        <f>0.5*$I$444*AS537</f>
        <v>0</v>
      </c>
      <c r="AT538" s="65">
        <f>0.5*$I$444*AT537</f>
        <v>0</v>
      </c>
      <c r="AU538" s="65">
        <f>0.5*$I$444*AU537</f>
        <v>0</v>
      </c>
      <c r="AV538" s="65">
        <f>SUM(AR538:AU538)</f>
        <v>0</v>
      </c>
      <c r="AW538" s="65">
        <f>0.5*$I$444*AW537</f>
        <v>0</v>
      </c>
      <c r="AX538" s="65">
        <f>0.5*$I$444*AX537</f>
        <v>0</v>
      </c>
      <c r="AY538" s="65">
        <f>0.5*$I$444*AY537</f>
        <v>0</v>
      </c>
      <c r="AZ538" s="65">
        <f>0.5*$I$444*AZ537</f>
        <v>0</v>
      </c>
      <c r="BA538" s="65">
        <f>SUM(AW538:AZ538)</f>
        <v>0</v>
      </c>
      <c r="BB538" s="65">
        <f>0.5*$I$444*BB537</f>
        <v>0</v>
      </c>
      <c r="BC538" s="65">
        <f>0.5*$I$444*BC537</f>
        <v>0</v>
      </c>
      <c r="BD538" s="65">
        <f>0.5*$I$444*BD537</f>
        <v>0</v>
      </c>
      <c r="BE538" s="65">
        <f>0.5*$I$444*BE537</f>
        <v>0</v>
      </c>
      <c r="BF538" s="65">
        <f>SUM(BB538:BE538)</f>
        <v>0</v>
      </c>
      <c r="BG538" s="65">
        <f>0.5*$I$444*BG537</f>
        <v>0</v>
      </c>
      <c r="BH538" s="65">
        <f>0.5*$I$444*BH537</f>
        <v>0</v>
      </c>
      <c r="BI538" s="65">
        <f>0.5*$I$444*BI537</f>
        <v>0</v>
      </c>
      <c r="BJ538" s="65">
        <f>0.5*$I$444*BJ537</f>
        <v>0</v>
      </c>
      <c r="BK538" s="65">
        <f>SUM(BG538:BJ538)</f>
        <v>0</v>
      </c>
      <c r="BL538" s="65">
        <f>0.5*$I$444*BL537</f>
        <v>0</v>
      </c>
      <c r="BM538" s="65">
        <f>0.5*$I$444*BM537</f>
        <v>0</v>
      </c>
      <c r="BN538" s="65">
        <f>0.5*$I$444*BN537</f>
        <v>0</v>
      </c>
      <c r="BO538" s="65">
        <f>0.5*$I$444*BO537</f>
        <v>0</v>
      </c>
      <c r="BP538" s="65">
        <f>SUM(BL538:BO538)</f>
        <v>0</v>
      </c>
      <c r="BQ538" s="65">
        <f>0.5*$I$444*BQ537</f>
        <v>0</v>
      </c>
      <c r="BR538" s="65">
        <f>0.5*$I$444*BR537</f>
        <v>0</v>
      </c>
      <c r="BS538" s="65">
        <f>0.5*$I$444*BS537</f>
        <v>0</v>
      </c>
    </row>
    <row r="539" spans="1:71">
      <c r="A539" s="1" t="s">
        <v>334</v>
      </c>
      <c r="I539" s="65"/>
      <c r="J539" s="65"/>
      <c r="K539" s="65">
        <f>K506*J$552*J$560/J$559</f>
        <v>-6.8106435563604357</v>
      </c>
      <c r="L539" s="65">
        <f>L506*K$552*K$560/K$559</f>
        <v>-813.28809383689099</v>
      </c>
      <c r="M539" s="65">
        <f>SUM(I539:L539)</f>
        <v>-820.09873739325144</v>
      </c>
      <c r="N539" s="65">
        <f t="shared" ref="N539:Q540" si="1648">N506*M$552*M$560/M$559</f>
        <v>-1867.1184867080674</v>
      </c>
      <c r="O539" s="65">
        <f t="shared" si="1648"/>
        <v>-323.72727080585452</v>
      </c>
      <c r="P539" s="65">
        <f t="shared" si="1648"/>
        <v>-472.67813780709287</v>
      </c>
      <c r="Q539" s="65">
        <f t="shared" si="1648"/>
        <v>7.9981850425962389</v>
      </c>
      <c r="R539" s="65">
        <f>SUM(N539:Q539)</f>
        <v>-2655.5257102784185</v>
      </c>
      <c r="S539" s="65">
        <f t="shared" ref="S539:V540" si="1649">S506*R$552*R$560/R$559</f>
        <v>0</v>
      </c>
      <c r="T539" s="65">
        <f t="shared" si="1649"/>
        <v>-513.46508479726947</v>
      </c>
      <c r="U539" s="65">
        <f t="shared" si="1649"/>
        <v>0</v>
      </c>
      <c r="V539" s="65">
        <f t="shared" si="1649"/>
        <v>-94.979319510459092</v>
      </c>
      <c r="W539" s="65">
        <f>SUM(S539:V539)</f>
        <v>-608.44440430772852</v>
      </c>
      <c r="X539" s="65"/>
      <c r="Y539" s="65"/>
      <c r="Z539" s="65"/>
      <c r="AA539" s="65"/>
      <c r="AB539" s="65"/>
      <c r="AC539" s="65"/>
      <c r="AD539" s="65"/>
      <c r="AE539" s="65"/>
      <c r="AF539" s="65"/>
      <c r="AG539" s="65"/>
      <c r="AH539" s="65"/>
      <c r="AI539" s="65"/>
      <c r="AJ539" s="65"/>
      <c r="AK539" s="65"/>
      <c r="AL539" s="65"/>
      <c r="AM539" s="65"/>
      <c r="AN539" s="65"/>
      <c r="AO539" s="65"/>
      <c r="AP539" s="65"/>
      <c r="AQ539" s="65"/>
      <c r="AR539" s="65"/>
      <c r="AS539" s="65"/>
      <c r="AT539" s="65"/>
      <c r="AU539" s="65"/>
      <c r="AV539" s="65"/>
      <c r="AW539" s="65"/>
      <c r="AX539" s="65"/>
      <c r="AY539" s="65"/>
      <c r="AZ539" s="65"/>
      <c r="BA539" s="65"/>
      <c r="BB539" s="65"/>
      <c r="BC539" s="65"/>
      <c r="BD539" s="65"/>
      <c r="BE539" s="65"/>
      <c r="BF539" s="65"/>
      <c r="BG539" s="65"/>
      <c r="BH539" s="65"/>
      <c r="BI539" s="65"/>
      <c r="BJ539" s="65"/>
      <c r="BK539" s="65"/>
      <c r="BL539" s="65"/>
      <c r="BM539" s="65"/>
      <c r="BN539" s="65"/>
      <c r="BO539" s="65"/>
      <c r="BP539" s="65"/>
      <c r="BQ539" s="65"/>
      <c r="BR539" s="65"/>
      <c r="BS539" s="65"/>
    </row>
    <row r="540" spans="1:71">
      <c r="A540" s="1" t="s">
        <v>335</v>
      </c>
      <c r="I540" s="65"/>
      <c r="J540" s="65"/>
      <c r="K540" s="65">
        <f>K507*J$552*J$560/J$559</f>
        <v>0</v>
      </c>
      <c r="L540" s="65">
        <f>L507*K$552*K$560/K$559</f>
        <v>-638.20209036726487</v>
      </c>
      <c r="M540" s="65">
        <f>SUM(I540:L540)</f>
        <v>-638.20209036726487</v>
      </c>
      <c r="N540" s="65">
        <f t="shared" si="1648"/>
        <v>-26.992745103183044</v>
      </c>
      <c r="O540" s="65">
        <f t="shared" si="1648"/>
        <v>-971.92760330971282</v>
      </c>
      <c r="P540" s="65">
        <f t="shared" si="1648"/>
        <v>10.978306346272499</v>
      </c>
      <c r="Q540" s="65">
        <f t="shared" si="1648"/>
        <v>-148.33211758820025</v>
      </c>
      <c r="R540" s="65">
        <f>SUM(N540:Q540)</f>
        <v>-1136.2741596548237</v>
      </c>
      <c r="S540" s="65">
        <f t="shared" si="1649"/>
        <v>0</v>
      </c>
      <c r="T540" s="65">
        <f t="shared" si="1649"/>
        <v>-2707.8365679116496</v>
      </c>
      <c r="U540" s="65">
        <f t="shared" si="1649"/>
        <v>37.577763248954675</v>
      </c>
      <c r="V540" s="65">
        <f t="shared" si="1649"/>
        <v>-335.56893239864502</v>
      </c>
      <c r="W540" s="65">
        <f>SUM(S540:V540)</f>
        <v>-3005.8277370613396</v>
      </c>
      <c r="X540" s="65">
        <f t="shared" ref="X540:AA540" si="1650">X507*W$552*W$560/W$559</f>
        <v>-352.17097098516405</v>
      </c>
      <c r="Y540" s="65">
        <f t="shared" si="1650"/>
        <v>-339.26333755912265</v>
      </c>
      <c r="Z540" s="65">
        <f t="shared" si="1650"/>
        <v>-207.39341493378859</v>
      </c>
      <c r="AA540" s="65">
        <f t="shared" si="1650"/>
        <v>-1191.6183977250421</v>
      </c>
      <c r="AB540" s="65">
        <f>SUM(X540:AA540)</f>
        <v>-2090.4461212031174</v>
      </c>
      <c r="AC540" s="65">
        <f t="shared" ref="AC540:AF540" si="1651">AC507*AB$552*AB$560/AB$559</f>
        <v>-1655.9243565779982</v>
      </c>
      <c r="AD540" s="65">
        <f t="shared" si="1651"/>
        <v>-3849.2002422948094</v>
      </c>
      <c r="AE540" s="65">
        <f t="shared" si="1651"/>
        <v>-210.7871211448998</v>
      </c>
      <c r="AF540" s="65">
        <f t="shared" si="1651"/>
        <v>-2190.5783391899986</v>
      </c>
      <c r="AG540" s="65">
        <f>SUM(AC540:AF540)</f>
        <v>-7906.4900592077065</v>
      </c>
      <c r="AH540" s="65">
        <f t="shared" ref="AH540:AY540" si="1652">AH507*AG$552*AG$560/AG$559</f>
        <v>-2229.0017648149783</v>
      </c>
      <c r="AI540" s="65">
        <f t="shared" si="1652"/>
        <v>-351.87551946488225</v>
      </c>
      <c r="AJ540" s="65">
        <f t="shared" si="1652"/>
        <v>-247.50177194607036</v>
      </c>
      <c r="AK540" s="65">
        <f t="shared" si="1652"/>
        <v>-156.69604256244011</v>
      </c>
      <c r="AL540" s="65">
        <f>SUM(AH540:AK540)</f>
        <v>-2985.0750987883712</v>
      </c>
      <c r="AM540" s="65">
        <f t="shared" si="1652"/>
        <v>-234.16041636942592</v>
      </c>
      <c r="AN540" s="65">
        <f t="shared" si="1652"/>
        <v>-657.2824563025589</v>
      </c>
      <c r="AO540" s="65">
        <f t="shared" si="1652"/>
        <v>427.46492229262822</v>
      </c>
      <c r="AP540" s="65">
        <f t="shared" ref="AP540" si="1653">AP507*AO$552*AO$560/AO$559</f>
        <v>-172.62053534912928</v>
      </c>
      <c r="AQ540" s="65">
        <f>SUM(AM540:AP540)</f>
        <v>-636.59848572848591</v>
      </c>
      <c r="AR540" s="65">
        <f t="shared" si="1652"/>
        <v>227.13802883288196</v>
      </c>
      <c r="AS540" s="65">
        <f t="shared" si="1652"/>
        <v>-153.25382766179115</v>
      </c>
      <c r="AT540" s="65">
        <f t="shared" si="1652"/>
        <v>94.093027074051733</v>
      </c>
      <c r="AU540" s="65">
        <f t="shared" si="1652"/>
        <v>-2404.1736169257465</v>
      </c>
      <c r="AV540" s="65">
        <f>SUM(AR540:AU540)</f>
        <v>-2236.1963886806038</v>
      </c>
      <c r="AW540" s="65">
        <f t="shared" si="1652"/>
        <v>-386.25462664384406</v>
      </c>
      <c r="AX540" s="65">
        <f t="shared" si="1652"/>
        <v>-5675.3199457082519</v>
      </c>
      <c r="AY540" s="65">
        <f t="shared" si="1652"/>
        <v>-317.09057326803224</v>
      </c>
      <c r="AZ540" s="65">
        <f t="shared" ref="AZ540" si="1654">AZ507*AY$552*AY$560/AY$559</f>
        <v>0</v>
      </c>
      <c r="BA540" s="65">
        <f>SUM(AW540:AZ540)</f>
        <v>-6378.665145620128</v>
      </c>
      <c r="BB540" s="65">
        <f t="shared" ref="BB540" si="1655">BB507*BA$552*BA$560/BA$559</f>
        <v>-4502.1246257092389</v>
      </c>
      <c r="BC540" s="65">
        <f t="shared" ref="BC540" si="1656">BC507*BB$552*BB$560/BB$559</f>
        <v>-4576.0667944059414</v>
      </c>
      <c r="BD540" s="65">
        <f t="shared" ref="BD540" si="1657">BD507*BC$552*BC$560/BC$559</f>
        <v>-4543.0809428535122</v>
      </c>
      <c r="BE540" s="65">
        <f t="shared" ref="BE540" si="1658">BE507*BD$552*BD$560/BD$559</f>
        <v>-4587.3351911637665</v>
      </c>
      <c r="BF540" s="65">
        <f>SUM(BB540:BE540)</f>
        <v>-18208.607554132461</v>
      </c>
      <c r="BG540" s="65">
        <f t="shared" ref="BG540" si="1659">BG507*BF$552*BF$560/BF$559</f>
        <v>-3645.5494228810931</v>
      </c>
      <c r="BH540" s="65">
        <f t="shared" ref="BH540" si="1660">BH507*BG$552*BG$560/BG$559</f>
        <v>-3693.4194848653583</v>
      </c>
      <c r="BI540" s="65">
        <f t="shared" ref="BI540" si="1661">BI507*BH$552*BH$560/BH$559</f>
        <v>-3757.7276267213642</v>
      </c>
      <c r="BJ540" s="65">
        <f t="shared" ref="BJ540" si="1662">BJ507*BI$552*BI$560/BI$559</f>
        <v>-1788.0328001589421</v>
      </c>
      <c r="BK540" s="65">
        <f>SUM(BG540:BJ540)</f>
        <v>-12884.729334626758</v>
      </c>
      <c r="BL540" s="65">
        <f t="shared" ref="BL540" si="1663">BL507*BK$552*BK$560/BK$559</f>
        <v>-4474.7980968775055</v>
      </c>
      <c r="BM540" s="65">
        <f t="shared" ref="BM540" si="1664">BM507*BL$552*BL$560/BL$559</f>
        <v>-4567.4273467830562</v>
      </c>
      <c r="BN540" s="65">
        <f t="shared" ref="BN540" si="1665">BN507*BM$552*BM$560/BM$559</f>
        <v>-4663.2946603949067</v>
      </c>
      <c r="BO540" s="65">
        <f t="shared" ref="BO540" si="1666">BO507*BN$552*BN$560/BN$559</f>
        <v>-4763.1896998202265</v>
      </c>
      <c r="BP540" s="65">
        <f>SUM(BL540:BO540)</f>
        <v>-18468.709803875696</v>
      </c>
      <c r="BQ540" s="65">
        <f t="shared" ref="BQ540" si="1667">BQ507*BP$552*BP$560/BP$559</f>
        <v>-4868.6432336336902</v>
      </c>
      <c r="BR540" s="65">
        <f t="shared" ref="BR540" si="1668">BR507*BQ$552*BQ$560/BQ$559</f>
        <v>-5019.3670428485739</v>
      </c>
      <c r="BS540" s="65">
        <f t="shared" ref="BS540" si="1669">BS507*BR$552*BR$560/BR$559</f>
        <v>-5141.1962081302945</v>
      </c>
    </row>
    <row r="541" spans="1:71">
      <c r="A541" s="9" t="s">
        <v>317</v>
      </c>
      <c r="B541" s="9"/>
      <c r="C541" s="9"/>
      <c r="D541" s="9"/>
      <c r="E541" s="9"/>
      <c r="F541" s="9"/>
      <c r="G541" s="9"/>
      <c r="H541" s="9"/>
      <c r="I541" s="81"/>
      <c r="J541" s="81">
        <f t="shared" ref="J541:T541" si="1670">SUM(J535:J540)</f>
        <v>11217.91446807546</v>
      </c>
      <c r="K541" s="81">
        <f t="shared" si="1670"/>
        <v>16477.59553341685</v>
      </c>
      <c r="L541" s="81">
        <f t="shared" si="1670"/>
        <v>15598.63645014171</v>
      </c>
      <c r="M541" s="81">
        <f t="shared" si="1670"/>
        <v>15598.636450141707</v>
      </c>
      <c r="N541" s="81">
        <f t="shared" si="1670"/>
        <v>15340.374381993697</v>
      </c>
      <c r="O541" s="81">
        <f t="shared" si="1670"/>
        <v>15988.562646130649</v>
      </c>
      <c r="P541" s="81">
        <f t="shared" si="1670"/>
        <v>28859.512190696209</v>
      </c>
      <c r="Q541" s="81">
        <f t="shared" si="1670"/>
        <v>31339.634003319497</v>
      </c>
      <c r="R541" s="81">
        <f t="shared" si="1670"/>
        <v>31778.634003319494</v>
      </c>
      <c r="S541" s="81">
        <f t="shared" si="1670"/>
        <v>35431.965666789882</v>
      </c>
      <c r="T541" s="81">
        <f t="shared" si="1670"/>
        <v>42168.152607468175</v>
      </c>
      <c r="U541" s="81">
        <f t="shared" ref="U541:X541" si="1671">SUM(U535:U540)</f>
        <v>45064.532777758701</v>
      </c>
      <c r="V541" s="81">
        <f t="shared" si="1671"/>
        <v>47892.356111107918</v>
      </c>
      <c r="W541" s="81">
        <f t="shared" si="1671"/>
        <v>47892.356111107903</v>
      </c>
      <c r="X541" s="81">
        <f t="shared" si="1671"/>
        <v>51237.182611927252</v>
      </c>
      <c r="Y541" s="81">
        <f t="shared" ref="Y541:AC541" si="1672">SUM(Y535:Y540)</f>
        <v>51812.503743950176</v>
      </c>
      <c r="Z541" s="81">
        <f t="shared" si="1672"/>
        <v>53156.893531098569</v>
      </c>
      <c r="AA541" s="81">
        <f t="shared" si="1672"/>
        <v>53593.660850391454</v>
      </c>
      <c r="AB541" s="81">
        <f t="shared" si="1672"/>
        <v>53593.660850391454</v>
      </c>
      <c r="AC541" s="81">
        <f t="shared" si="1672"/>
        <v>53514.024295240379</v>
      </c>
      <c r="AD541" s="81">
        <f t="shared" ref="AD541:AE541" si="1673">SUM(AD535:AD540)</f>
        <v>50744.805287105715</v>
      </c>
      <c r="AE541" s="81">
        <f t="shared" si="1673"/>
        <v>51913.602682869088</v>
      </c>
      <c r="AF541" s="81">
        <f t="shared" ref="AF541:AH541" si="1674">SUM(AF535:AF540)</f>
        <v>50832.49770872073</v>
      </c>
      <c r="AG541" s="81">
        <f t="shared" si="1674"/>
        <v>50832.497708720723</v>
      </c>
      <c r="AH541" s="81">
        <f t="shared" si="1674"/>
        <v>49490.024517763501</v>
      </c>
      <c r="AI541" s="81">
        <f t="shared" ref="AI541:AJ541" si="1675">SUM(AI535:AI540)</f>
        <v>50099.569281084558</v>
      </c>
      <c r="AJ541" s="81">
        <f t="shared" si="1675"/>
        <v>50926.300469207185</v>
      </c>
      <c r="AK541" s="81">
        <f t="shared" ref="AK541:AM541" si="1676">SUM(AK535:AK540)</f>
        <v>51758.926591574629</v>
      </c>
      <c r="AL541" s="81">
        <f t="shared" si="1676"/>
        <v>51758.926591574629</v>
      </c>
      <c r="AM541" s="81">
        <f t="shared" si="1676"/>
        <v>52530.263390558313</v>
      </c>
      <c r="AN541" s="81">
        <f t="shared" ref="AN541:AR541" si="1677">SUM(AN535:AN540)</f>
        <v>52878.171161912775</v>
      </c>
      <c r="AO541" s="81">
        <f t="shared" si="1677"/>
        <v>54332.876356706016</v>
      </c>
      <c r="AP541" s="81">
        <f t="shared" si="1677"/>
        <v>55215.755992561855</v>
      </c>
      <c r="AQ541" s="81">
        <f t="shared" si="1677"/>
        <v>55230.755992561863</v>
      </c>
      <c r="AR541" s="81">
        <f t="shared" si="1677"/>
        <v>56530.836893463653</v>
      </c>
      <c r="AS541" s="81">
        <f t="shared" ref="AS541:AT541" si="1678">SUM(AS535:AS540)</f>
        <v>57475.78202047669</v>
      </c>
      <c r="AT541" s="81">
        <f t="shared" si="1678"/>
        <v>58686.431023061232</v>
      </c>
      <c r="AU541" s="81">
        <f t="shared" ref="AU541:AY541" si="1679">SUM(AU535:AU540)</f>
        <v>57422.332111284137</v>
      </c>
      <c r="AV541" s="81">
        <f t="shared" si="1679"/>
        <v>57422.332111284151</v>
      </c>
      <c r="AW541" s="81">
        <f t="shared" si="1679"/>
        <v>58151.595112982628</v>
      </c>
      <c r="AX541" s="81">
        <f t="shared" si="1679"/>
        <v>53605.959857527661</v>
      </c>
      <c r="AY541" s="81">
        <f t="shared" si="1679"/>
        <v>54330.247977994914</v>
      </c>
      <c r="AZ541" s="81">
        <f t="shared" ref="AZ541:BA541" si="1680">SUM(AZ535:AZ540)</f>
        <v>55385.697088877561</v>
      </c>
      <c r="BA541" s="81">
        <f t="shared" si="1680"/>
        <v>55385.697088877569</v>
      </c>
      <c r="BB541" s="81">
        <f t="shared" ref="BB541:BF541" si="1681">SUM(BB535:BB540)</f>
        <v>51959.525305712843</v>
      </c>
      <c r="BC541" s="81">
        <f t="shared" si="1681"/>
        <v>48392.852666989958</v>
      </c>
      <c r="BD541" s="81">
        <f t="shared" si="1681"/>
        <v>44789.877746496895</v>
      </c>
      <c r="BE541" s="81">
        <f t="shared" si="1681"/>
        <v>41072.655216391286</v>
      </c>
      <c r="BF541" s="81">
        <f t="shared" si="1681"/>
        <v>41072.655216391278</v>
      </c>
      <c r="BG541" s="81">
        <f t="shared" ref="BG541:BP541" si="1682">SUM(BG535:BG540)</f>
        <v>38225.005656718757</v>
      </c>
      <c r="BH541" s="81">
        <f t="shared" si="1682"/>
        <v>35274.166037312665</v>
      </c>
      <c r="BI541" s="81">
        <f t="shared" si="1682"/>
        <v>32201.693651765385</v>
      </c>
      <c r="BJ541" s="81">
        <f t="shared" si="1682"/>
        <v>31039.228563858316</v>
      </c>
      <c r="BK541" s="81">
        <f t="shared" si="1682"/>
        <v>31039.228563858309</v>
      </c>
      <c r="BL541" s="81">
        <f t="shared" si="1682"/>
        <v>27167.41549667322</v>
      </c>
      <c r="BM541" s="81">
        <f t="shared" si="1682"/>
        <v>23127.757221412841</v>
      </c>
      <c r="BN541" s="81">
        <f t="shared" si="1682"/>
        <v>18913.755021562873</v>
      </c>
      <c r="BO541" s="81">
        <f t="shared" si="1682"/>
        <v>14517.994270880632</v>
      </c>
      <c r="BP541" s="81">
        <f t="shared" si="1682"/>
        <v>14517.994270880634</v>
      </c>
      <c r="BQ541" s="81">
        <f t="shared" ref="BQ541:BS541" si="1683">SUM(BQ535:BQ540)</f>
        <v>9931.3855339642505</v>
      </c>
      <c r="BR541" s="81">
        <f t="shared" si="1683"/>
        <v>5104.9510180553816</v>
      </c>
      <c r="BS541" s="81">
        <f t="shared" si="1683"/>
        <v>62.926380341778895</v>
      </c>
    </row>
    <row r="542" spans="1:71">
      <c r="I542" s="65"/>
      <c r="J542" s="65"/>
      <c r="K542" s="65"/>
      <c r="L542" s="65"/>
      <c r="M542" s="65"/>
      <c r="R542" s="36"/>
      <c r="W542" s="36"/>
      <c r="AB542" s="36"/>
      <c r="AG542" s="36"/>
    </row>
    <row r="543" spans="1:71">
      <c r="A543" s="1" t="s">
        <v>341</v>
      </c>
      <c r="I543" s="65"/>
      <c r="J543" s="65"/>
      <c r="K543" s="65"/>
      <c r="L543" s="65"/>
      <c r="M543" s="65"/>
      <c r="O543" s="108">
        <f>-439</f>
        <v>-439</v>
      </c>
      <c r="R543" s="36">
        <f>SUM(N543:Q543)</f>
        <v>-439</v>
      </c>
      <c r="W543" s="36">
        <f>SUM(S543:V543)</f>
        <v>0</v>
      </c>
      <c r="AB543" s="36">
        <f>SUM(X543:AA543)</f>
        <v>0</v>
      </c>
      <c r="AG543" s="36">
        <f>SUM(AC543:AF543)</f>
        <v>0</v>
      </c>
      <c r="AL543" s="36">
        <f>SUM(AH543:AK543)</f>
        <v>0</v>
      </c>
      <c r="AM543" s="108">
        <f>-454-$O$543</f>
        <v>-15</v>
      </c>
    </row>
    <row r="544" spans="1:71">
      <c r="A544" s="9" t="s">
        <v>340</v>
      </c>
      <c r="B544" s="9"/>
      <c r="C544" s="9"/>
      <c r="D544" s="9"/>
      <c r="E544" s="9"/>
      <c r="F544" s="9"/>
      <c r="G544" s="9"/>
      <c r="H544" s="9"/>
      <c r="I544" s="81"/>
      <c r="J544" s="81">
        <f t="shared" ref="J544:N544" si="1684">J541+J543</f>
        <v>11217.91446807546</v>
      </c>
      <c r="K544" s="81">
        <f t="shared" si="1684"/>
        <v>16477.59553341685</v>
      </c>
      <c r="L544" s="81">
        <f t="shared" si="1684"/>
        <v>15598.63645014171</v>
      </c>
      <c r="M544" s="81">
        <f t="shared" si="1684"/>
        <v>15598.636450141707</v>
      </c>
      <c r="N544" s="81">
        <f t="shared" si="1684"/>
        <v>15340.374381993697</v>
      </c>
      <c r="O544" s="81">
        <f>O541+O543</f>
        <v>15549.562646130649</v>
      </c>
      <c r="P544" s="81">
        <f>P541+P543</f>
        <v>28859.512190696209</v>
      </c>
      <c r="Q544" s="81">
        <f>Q541+Q543</f>
        <v>31339.634003319497</v>
      </c>
      <c r="R544" s="81">
        <f>R541+R543</f>
        <v>31339.634003319494</v>
      </c>
      <c r="S544" s="81">
        <f t="shared" ref="S544:Z544" si="1685">S541+S543</f>
        <v>35431.965666789882</v>
      </c>
      <c r="T544" s="81">
        <f t="shared" si="1685"/>
        <v>42168.152607468175</v>
      </c>
      <c r="U544" s="81">
        <f t="shared" si="1685"/>
        <v>45064.532777758701</v>
      </c>
      <c r="V544" s="81">
        <f t="shared" si="1685"/>
        <v>47892.356111107918</v>
      </c>
      <c r="W544" s="81">
        <f>W541+W543</f>
        <v>47892.356111107903</v>
      </c>
      <c r="X544" s="81">
        <f t="shared" si="1685"/>
        <v>51237.182611927252</v>
      </c>
      <c r="Y544" s="81">
        <f t="shared" si="1685"/>
        <v>51812.503743950176</v>
      </c>
      <c r="Z544" s="81">
        <f t="shared" si="1685"/>
        <v>53156.893531098569</v>
      </c>
      <c r="AA544" s="81">
        <f t="shared" ref="AA544" si="1686">AA541+AA543</f>
        <v>53593.660850391454</v>
      </c>
      <c r="AB544" s="81">
        <f>AB541+AB543</f>
        <v>53593.660850391454</v>
      </c>
      <c r="AC544" s="81">
        <f t="shared" ref="AC544:AD544" si="1687">AC541+AC543</f>
        <v>53514.024295240379</v>
      </c>
      <c r="AD544" s="81">
        <f t="shared" si="1687"/>
        <v>50744.805287105715</v>
      </c>
      <c r="AE544" s="81">
        <f t="shared" ref="AE544:AF544" si="1688">AE541+AE543</f>
        <v>51913.602682869088</v>
      </c>
      <c r="AF544" s="81">
        <f t="shared" si="1688"/>
        <v>50832.49770872073</v>
      </c>
      <c r="AG544" s="81">
        <f>AG541+AG543</f>
        <v>50832.497708720723</v>
      </c>
      <c r="AH544" s="81">
        <f t="shared" ref="AH544:AK544" si="1689">AH541+AH543</f>
        <v>49490.024517763501</v>
      </c>
      <c r="AI544" s="81">
        <f t="shared" si="1689"/>
        <v>50099.569281084558</v>
      </c>
      <c r="AJ544" s="81">
        <f t="shared" si="1689"/>
        <v>50926.300469207185</v>
      </c>
      <c r="AK544" s="81">
        <f t="shared" si="1689"/>
        <v>51758.926591574629</v>
      </c>
      <c r="AL544" s="81">
        <f>AL541+AL543</f>
        <v>51758.926591574629</v>
      </c>
      <c r="AM544" s="81">
        <f t="shared" ref="AM544:AQ544" si="1690">AM541+AM543</f>
        <v>52515.263390558313</v>
      </c>
      <c r="AN544" s="81">
        <f t="shared" si="1690"/>
        <v>52878.171161912775</v>
      </c>
      <c r="AO544" s="81">
        <f t="shared" si="1690"/>
        <v>54332.876356706016</v>
      </c>
      <c r="AP544" s="81">
        <f t="shared" si="1690"/>
        <v>55215.755992561855</v>
      </c>
      <c r="AQ544" s="81">
        <f t="shared" si="1690"/>
        <v>55230.755992561863</v>
      </c>
      <c r="AR544" s="81">
        <f t="shared" ref="AR544:AT544" si="1691">AR541+AR543</f>
        <v>56530.836893463653</v>
      </c>
      <c r="AS544" s="81">
        <f t="shared" si="1691"/>
        <v>57475.78202047669</v>
      </c>
      <c r="AT544" s="81">
        <f t="shared" si="1691"/>
        <v>58686.431023061232</v>
      </c>
      <c r="AU544" s="81">
        <f t="shared" ref="AU544:AY544" si="1692">AU541+AU543</f>
        <v>57422.332111284137</v>
      </c>
      <c r="AV544" s="81">
        <f t="shared" si="1692"/>
        <v>57422.332111284151</v>
      </c>
      <c r="AW544" s="81">
        <f t="shared" si="1692"/>
        <v>58151.595112982628</v>
      </c>
      <c r="AX544" s="81">
        <f t="shared" si="1692"/>
        <v>53605.959857527661</v>
      </c>
      <c r="AY544" s="81">
        <f t="shared" si="1692"/>
        <v>54330.247977994914</v>
      </c>
      <c r="AZ544" s="81">
        <f t="shared" ref="AZ544:BA544" si="1693">AZ541+AZ543</f>
        <v>55385.697088877561</v>
      </c>
      <c r="BA544" s="81">
        <f t="shared" si="1693"/>
        <v>55385.697088877569</v>
      </c>
      <c r="BB544" s="81">
        <f t="shared" ref="BB544:BF544" si="1694">BB541+BB543</f>
        <v>51959.525305712843</v>
      </c>
      <c r="BC544" s="81">
        <f t="shared" si="1694"/>
        <v>48392.852666989958</v>
      </c>
      <c r="BD544" s="81">
        <f t="shared" si="1694"/>
        <v>44789.877746496895</v>
      </c>
      <c r="BE544" s="81">
        <f t="shared" si="1694"/>
        <v>41072.655216391286</v>
      </c>
      <c r="BF544" s="81">
        <f t="shared" si="1694"/>
        <v>41072.655216391278</v>
      </c>
      <c r="BG544" s="81">
        <f t="shared" ref="BG544:BP544" si="1695">BG541+BG543</f>
        <v>38225.005656718757</v>
      </c>
      <c r="BH544" s="81">
        <f t="shared" si="1695"/>
        <v>35274.166037312665</v>
      </c>
      <c r="BI544" s="81">
        <f t="shared" si="1695"/>
        <v>32201.693651765385</v>
      </c>
      <c r="BJ544" s="81">
        <f t="shared" si="1695"/>
        <v>31039.228563858316</v>
      </c>
      <c r="BK544" s="81">
        <f t="shared" si="1695"/>
        <v>31039.228563858309</v>
      </c>
      <c r="BL544" s="81">
        <f t="shared" si="1695"/>
        <v>27167.41549667322</v>
      </c>
      <c r="BM544" s="81">
        <f t="shared" si="1695"/>
        <v>23127.757221412841</v>
      </c>
      <c r="BN544" s="81">
        <f t="shared" si="1695"/>
        <v>18913.755021562873</v>
      </c>
      <c r="BO544" s="81">
        <f t="shared" si="1695"/>
        <v>14517.994270880632</v>
      </c>
      <c r="BP544" s="81">
        <f t="shared" si="1695"/>
        <v>14517.994270880634</v>
      </c>
      <c r="BQ544" s="81">
        <f t="shared" ref="BQ544:BS544" si="1696">BQ541+BQ543</f>
        <v>9931.3855339642505</v>
      </c>
      <c r="BR544" s="81">
        <f t="shared" si="1696"/>
        <v>5104.9510180553816</v>
      </c>
      <c r="BS544" s="81">
        <f t="shared" si="1696"/>
        <v>62.926380341778895</v>
      </c>
    </row>
    <row r="545" spans="1:71">
      <c r="I545" s="65"/>
      <c r="J545" s="65"/>
      <c r="K545" s="65"/>
      <c r="L545" s="65"/>
      <c r="M545" s="65"/>
      <c r="O545" s="98" t="s">
        <v>379</v>
      </c>
      <c r="P545" s="71"/>
      <c r="Q545" s="71"/>
      <c r="R545" s="112"/>
      <c r="S545" s="71"/>
      <c r="U545" s="42" t="s">
        <v>409</v>
      </c>
      <c r="W545" s="36"/>
      <c r="AM545" s="98" t="s">
        <v>684</v>
      </c>
      <c r="AN545" s="71"/>
      <c r="AO545" s="71"/>
      <c r="AP545" s="71"/>
      <c r="AQ545" s="71"/>
      <c r="AR545" s="71"/>
      <c r="AS545" s="71"/>
      <c r="AT545" s="71"/>
      <c r="AU545" s="71"/>
    </row>
    <row r="546" spans="1:71">
      <c r="A546" s="1" t="s">
        <v>405</v>
      </c>
      <c r="I546" s="65"/>
      <c r="J546" s="65"/>
      <c r="K546" s="65"/>
      <c r="L546" s="65"/>
      <c r="M546" s="65"/>
      <c r="O546" s="22"/>
      <c r="R546" s="36"/>
      <c r="U546" s="37">
        <v>21681</v>
      </c>
      <c r="V546" s="37">
        <f>47943-U546</f>
        <v>26262</v>
      </c>
      <c r="W546" s="36">
        <f>SUM(S546:V546)</f>
        <v>47943</v>
      </c>
    </row>
    <row r="547" spans="1:71">
      <c r="A547" s="1" t="s">
        <v>406</v>
      </c>
      <c r="I547" s="65"/>
      <c r="J547" s="65"/>
      <c r="K547" s="65"/>
      <c r="L547" s="65"/>
      <c r="M547" s="65"/>
      <c r="O547" s="22"/>
      <c r="R547" s="36"/>
      <c r="U547" s="37">
        <v>199</v>
      </c>
      <c r="V547" s="37">
        <f>439-U547</f>
        <v>240</v>
      </c>
      <c r="W547" s="36">
        <f>SUM(S547:V547)</f>
        <v>439</v>
      </c>
    </row>
    <row r="548" spans="1:71">
      <c r="I548" s="65"/>
      <c r="J548" s="65"/>
      <c r="K548" s="65"/>
      <c r="L548" s="65"/>
      <c r="M548" s="65"/>
      <c r="O548" s="22"/>
      <c r="R548" s="36"/>
      <c r="W548" s="36"/>
    </row>
    <row r="549" spans="1:71">
      <c r="A549" s="1" t="s">
        <v>407</v>
      </c>
      <c r="I549" s="65"/>
      <c r="J549" s="65"/>
      <c r="K549" s="65"/>
      <c r="L549" s="65"/>
      <c r="M549" s="65"/>
      <c r="O549" s="22"/>
      <c r="R549" s="36"/>
      <c r="U549" s="37">
        <v>26343</v>
      </c>
      <c r="V549" s="37">
        <v>0</v>
      </c>
      <c r="W549" s="36">
        <f>SUM(S549:V549)</f>
        <v>26343</v>
      </c>
    </row>
    <row r="550" spans="1:71">
      <c r="A550" s="1" t="s">
        <v>408</v>
      </c>
      <c r="I550" s="65"/>
      <c r="J550" s="65"/>
      <c r="K550" s="65"/>
      <c r="L550" s="65"/>
      <c r="M550" s="65"/>
      <c r="O550" s="22"/>
      <c r="R550" s="36"/>
      <c r="U550" s="37">
        <v>240</v>
      </c>
      <c r="V550" s="37">
        <v>0</v>
      </c>
      <c r="W550" s="36">
        <f>SUM(S550:V550)</f>
        <v>240</v>
      </c>
    </row>
    <row r="551" spans="1:71">
      <c r="I551" s="65"/>
      <c r="J551" s="65"/>
      <c r="K551" s="65"/>
      <c r="L551" s="65"/>
      <c r="M551" s="65"/>
      <c r="O551" s="22"/>
      <c r="R551" s="36"/>
      <c r="W551" s="36"/>
    </row>
    <row r="552" spans="1:71">
      <c r="A552" s="1" t="s">
        <v>333</v>
      </c>
      <c r="I552" s="65"/>
      <c r="J552" s="89">
        <f>J544/(J560+SUM(J564:J565))</f>
        <v>0.78022461397889031</v>
      </c>
      <c r="K552" s="89">
        <f t="shared" ref="K552:O552" si="1697">K544/(K560+SUM(K564:K565))</f>
        <v>0.80761384024294858</v>
      </c>
      <c r="L552" s="89">
        <f t="shared" si="1697"/>
        <v>0.70323988495108625</v>
      </c>
      <c r="M552" s="89">
        <f t="shared" si="1697"/>
        <v>0.70323988495108603</v>
      </c>
      <c r="N552" s="89">
        <f t="shared" si="1697"/>
        <v>0.69677654616802309</v>
      </c>
      <c r="O552" s="89">
        <f t="shared" si="1697"/>
        <v>0.53224200633588858</v>
      </c>
      <c r="P552" s="89">
        <f t="shared" ref="P552" si="1698">P544/(P560+SUM(P564:P565))</f>
        <v>0.61490424426515033</v>
      </c>
      <c r="Q552" s="89">
        <f t="shared" ref="Q552:Y552" si="1699">Q544/(Q560+SUM(Q564:Q565))</f>
        <v>0.60413723440206357</v>
      </c>
      <c r="R552" s="89">
        <f t="shared" si="1699"/>
        <v>0.60413723774193739</v>
      </c>
      <c r="S552" s="89">
        <f t="shared" si="1699"/>
        <v>0.57803341665891972</v>
      </c>
      <c r="T552" s="89">
        <f t="shared" si="1699"/>
        <v>0.7905855568577691</v>
      </c>
      <c r="U552" s="89">
        <f t="shared" si="1699"/>
        <v>0.79940582804421523</v>
      </c>
      <c r="V552" s="89">
        <f t="shared" si="1699"/>
        <v>1.0630980273543067</v>
      </c>
      <c r="W552" s="89">
        <f t="shared" si="1699"/>
        <v>1.063098033096129</v>
      </c>
      <c r="X552" s="89">
        <f t="shared" si="1699"/>
        <v>1.1406958943401577</v>
      </c>
      <c r="Y552" s="89">
        <f t="shared" si="1699"/>
        <v>1.0665846032319342</v>
      </c>
      <c r="Z552" s="89">
        <f t="shared" ref="Z552:AA552" si="1700">Z544/(Z560+SUM(Z564:Z565))</f>
        <v>0.8366798114476669</v>
      </c>
      <c r="AA552" s="89">
        <f t="shared" si="1700"/>
        <v>0.54061933388145478</v>
      </c>
      <c r="AB552" s="89">
        <f t="shared" ref="AB552:AC552" si="1701">AB544/(AB560+SUM(AB564:AB565))</f>
        <v>0.5406193334716225</v>
      </c>
      <c r="AC552" s="89">
        <f t="shared" si="1701"/>
        <v>0.54238641560925083</v>
      </c>
      <c r="AD552" s="89">
        <f t="shared" ref="AD552:AE552" si="1702">AD544/(AD560+SUM(AD564:AD565))</f>
        <v>0.60221673197523773</v>
      </c>
      <c r="AE552" s="89">
        <f t="shared" si="1702"/>
        <v>0.6342203769045337</v>
      </c>
      <c r="AF552" s="89">
        <f t="shared" ref="AF552:AH552" si="1703">AF544/(AF560+SUM(AF564:AF565))</f>
        <v>0.85845798465100587</v>
      </c>
      <c r="AG552" s="89">
        <f t="shared" si="1703"/>
        <v>0.85845798465100576</v>
      </c>
      <c r="AH552" s="89">
        <f t="shared" si="1703"/>
        <v>1.0244743829379543</v>
      </c>
      <c r="AI552" s="89">
        <f t="shared" ref="AI552" si="1704">AI544/(AI560+SUM(AI564:AI565))</f>
        <v>1.1696362643631995</v>
      </c>
      <c r="AJ552" s="89">
        <f t="shared" ref="AJ552:AL552" si="1705">AJ544/(AJ560+SUM(AJ564:AJ565))</f>
        <v>1.2996398973234899</v>
      </c>
      <c r="AK552" s="89">
        <f t="shared" si="1705"/>
        <v>1.3423438357962036</v>
      </c>
      <c r="AL552" s="89">
        <f t="shared" si="1705"/>
        <v>1.3423438531831837</v>
      </c>
      <c r="AM552" s="89">
        <f t="shared" ref="AM552" si="1706">AM544/(AM560+SUM(AM564:AM565))</f>
        <v>1.3324439623155491</v>
      </c>
      <c r="AN552" s="216">
        <f t="shared" ref="AN552:AV552" si="1707">AN544/(AN560+AN576)</f>
        <v>1.4415522632101876</v>
      </c>
      <c r="AO552" s="216">
        <f t="shared" si="1707"/>
        <v>1.4145024365449297</v>
      </c>
      <c r="AP552" s="216">
        <f t="shared" si="1707"/>
        <v>1.4566066894846048</v>
      </c>
      <c r="AQ552" s="216">
        <f t="shared" si="1707"/>
        <v>1.4564237747410529</v>
      </c>
      <c r="AR552" s="216">
        <f t="shared" si="1707"/>
        <v>1.3854347942476082</v>
      </c>
      <c r="AS552" s="216">
        <f t="shared" si="1707"/>
        <v>1.321163718755622</v>
      </c>
      <c r="AT552" s="216">
        <f t="shared" si="1707"/>
        <v>1.3800215992949247</v>
      </c>
      <c r="AU552" s="216">
        <f t="shared" si="1707"/>
        <v>1.3650493518537912</v>
      </c>
      <c r="AV552" s="216">
        <f t="shared" si="1707"/>
        <v>1.3650493518537912</v>
      </c>
      <c r="AW552" s="216">
        <f t="shared" ref="AW552:AX552" si="1708">AW544/(AW560+AW576)</f>
        <v>1.290997215814119</v>
      </c>
      <c r="AX552" s="216">
        <f t="shared" si="1708"/>
        <v>1.1684595409479384</v>
      </c>
      <c r="AY552" s="216">
        <f t="shared" ref="AY552:AZ552" si="1709">AY544/(AY560+AY576)</f>
        <v>1.3156563864622957</v>
      </c>
      <c r="AZ552" s="216">
        <f t="shared" si="1709"/>
        <v>1.406436378427099</v>
      </c>
      <c r="BA552" s="216">
        <f t="shared" ref="BA552:BE552" si="1710">BA544/(BA560+BA576)</f>
        <v>1.406436378427099</v>
      </c>
      <c r="BB552" s="216">
        <f t="shared" si="1710"/>
        <v>1.4239323076716257</v>
      </c>
      <c r="BC552" s="216">
        <f t="shared" si="1710"/>
        <v>1.4417582100791921</v>
      </c>
      <c r="BD552" s="216">
        <f t="shared" si="1710"/>
        <v>1.4598968840352746</v>
      </c>
      <c r="BE552" s="216">
        <f t="shared" si="1710"/>
        <v>1.4784885096689586</v>
      </c>
      <c r="BF552" s="216">
        <f t="shared" ref="BF552:BP552" si="1711">BF544/(BF560+BF576)</f>
        <v>1.4784885096689584</v>
      </c>
      <c r="BG552" s="216">
        <f t="shared" si="1711"/>
        <v>1.4975419427656822</v>
      </c>
      <c r="BH552" s="216">
        <f t="shared" si="1711"/>
        <v>1.5168314461760759</v>
      </c>
      <c r="BI552" s="216">
        <f t="shared" si="1711"/>
        <v>1.5363282286329927</v>
      </c>
      <c r="BJ552" s="216">
        <f t="shared" si="1711"/>
        <v>1.5550586917733193</v>
      </c>
      <c r="BK552" s="216">
        <f t="shared" si="1711"/>
        <v>1.5550586917733189</v>
      </c>
      <c r="BL552" s="216">
        <f t="shared" si="1711"/>
        <v>1.5744511860168662</v>
      </c>
      <c r="BM552" s="216">
        <f t="shared" si="1711"/>
        <v>1.594449750663784</v>
      </c>
      <c r="BN552" s="216">
        <f t="shared" si="1711"/>
        <v>1.6158468941681603</v>
      </c>
      <c r="BO552" s="216">
        <f t="shared" si="1711"/>
        <v>1.6394944366165161</v>
      </c>
      <c r="BP552" s="216">
        <f t="shared" si="1711"/>
        <v>1.6394944366165163</v>
      </c>
      <c r="BQ552" s="216">
        <f t="shared" ref="BQ552:BR552" si="1712">BQ544/(BQ560+BQ576)</f>
        <v>1.6676926679604391</v>
      </c>
      <c r="BR552" s="216">
        <f t="shared" si="1712"/>
        <v>1.7015565745168004</v>
      </c>
    </row>
    <row r="553" spans="1:71">
      <c r="I553" s="65"/>
      <c r="J553" s="65"/>
      <c r="K553" s="65"/>
      <c r="L553" s="65"/>
      <c r="M553" s="65"/>
      <c r="N553" s="65"/>
      <c r="W553" s="36"/>
      <c r="AN553" s="98" t="s">
        <v>703</v>
      </c>
      <c r="AO553" s="71"/>
      <c r="AP553" s="71"/>
      <c r="AQ553" s="71"/>
      <c r="AR553" s="71"/>
      <c r="AS553" s="71"/>
      <c r="AT553" s="71"/>
      <c r="AU553" s="71"/>
      <c r="AV553" s="71"/>
      <c r="AW553" s="71"/>
      <c r="AX553" s="71"/>
      <c r="AY553" s="71"/>
      <c r="AZ553" s="71"/>
      <c r="BA553" s="71"/>
      <c r="BB553" s="71"/>
      <c r="BC553" s="71"/>
      <c r="BD553" s="71"/>
      <c r="BE553" s="71"/>
      <c r="BF553" s="71"/>
      <c r="BG553" s="71"/>
      <c r="BH553" s="71"/>
      <c r="BI553" s="71"/>
      <c r="BJ553" s="71"/>
      <c r="BK553" s="71"/>
      <c r="BL553" s="71"/>
      <c r="BM553" s="71"/>
      <c r="BN553" s="71"/>
      <c r="BO553" s="71"/>
      <c r="BP553" s="71"/>
      <c r="BQ553" s="71"/>
      <c r="BR553" s="71"/>
    </row>
    <row r="554" spans="1:71">
      <c r="A554" s="1" t="s">
        <v>336</v>
      </c>
      <c r="I554" s="65"/>
      <c r="J554" s="89">
        <f>(J560+SUM(J564:J565))/J544</f>
        <v>1.2816822003350128</v>
      </c>
      <c r="K554" s="89">
        <f t="shared" ref="K554:O554" si="1713">(K560+SUM(K564:K565))/K544</f>
        <v>1.2382155309512493</v>
      </c>
      <c r="L554" s="89">
        <f t="shared" si="1713"/>
        <v>1.4219898805505817</v>
      </c>
      <c r="M554" s="89">
        <f t="shared" si="1713"/>
        <v>1.4219898805505822</v>
      </c>
      <c r="N554" s="89">
        <f t="shared" si="1713"/>
        <v>1.4351803393779226</v>
      </c>
      <c r="O554" s="89">
        <f t="shared" si="1713"/>
        <v>1.8788445633675097</v>
      </c>
      <c r="P554" s="89">
        <f t="shared" ref="P554" si="1714">(P560+SUM(P564:P565))/P544</f>
        <v>1.6262694709402494</v>
      </c>
      <c r="Q554" s="89">
        <f t="shared" ref="Q554:Y554" si="1715">(Q560+SUM(Q564:Q565))/Q544</f>
        <v>1.6552530502274638</v>
      </c>
      <c r="R554" s="89">
        <f t="shared" si="1715"/>
        <v>1.6552530410766682</v>
      </c>
      <c r="S554" s="89">
        <f t="shared" si="1715"/>
        <v>1.7300037872898104</v>
      </c>
      <c r="T554" s="89">
        <f t="shared" si="1715"/>
        <v>1.2648852376895949</v>
      </c>
      <c r="U554" s="89">
        <f t="shared" si="1715"/>
        <v>1.2509290837252813</v>
      </c>
      <c r="V554" s="89">
        <f t="shared" si="1715"/>
        <v>0.9406470280907806</v>
      </c>
      <c r="W554" s="89">
        <f t="shared" si="1715"/>
        <v>0.94064702301031955</v>
      </c>
      <c r="X554" s="89">
        <f t="shared" si="1715"/>
        <v>0.87665784102646915</v>
      </c>
      <c r="Y554" s="89">
        <f t="shared" si="1715"/>
        <v>0.93757213161509045</v>
      </c>
      <c r="Z554" s="89">
        <f t="shared" ref="Z554:AA554" si="1716">(Z560+SUM(Z564:Z565))/Z544</f>
        <v>1.1952003458404812</v>
      </c>
      <c r="AA554" s="89">
        <f t="shared" si="1716"/>
        <v>1.8497303690941929</v>
      </c>
      <c r="AB554" s="89">
        <f t="shared" ref="AB554:AC554" si="1717">(AB560+SUM(AB564:AB565))/AB544</f>
        <v>1.8497303704964352</v>
      </c>
      <c r="AC554" s="89">
        <f t="shared" si="1717"/>
        <v>1.8437039926170014</v>
      </c>
      <c r="AD554" s="89">
        <f t="shared" ref="AD554:AE554" si="1718">(AD560+SUM(AD564:AD565))/AD544</f>
        <v>1.6605317436466021</v>
      </c>
      <c r="AE554" s="89">
        <f t="shared" si="1718"/>
        <v>1.5767389954904041</v>
      </c>
      <c r="AF554" s="89">
        <f t="shared" ref="AF554:AH554" si="1719">(AF560+SUM(AF564:AF565))/AF544</f>
        <v>1.1648793742730881</v>
      </c>
      <c r="AG554" s="89">
        <f t="shared" si="1719"/>
        <v>1.1648793742730883</v>
      </c>
      <c r="AH554" s="89">
        <f t="shared" si="1719"/>
        <v>0.97611030266294452</v>
      </c>
      <c r="AI554" s="89">
        <f t="shared" ref="AI554:AL554" si="1720">(AI560+SUM(AI564:AI565))/AI544</f>
        <v>0.85496665114469861</v>
      </c>
      <c r="AJ554" s="89">
        <f t="shared" si="1720"/>
        <v>0.76944390677711905</v>
      </c>
      <c r="AK554" s="89">
        <f t="shared" si="1720"/>
        <v>0.74496561412438389</v>
      </c>
      <c r="AL554" s="89">
        <f t="shared" si="1720"/>
        <v>0.74496560447506621</v>
      </c>
      <c r="AM554" s="89">
        <f t="shared" ref="AM554" si="1721">(AM560+SUM(AM564:AM565))/AM544</f>
        <v>0.75050060511526429</v>
      </c>
      <c r="AN554" s="216">
        <f t="shared" ref="AN554:AV554" si="1722">(AN560+AN576)/AN544</f>
        <v>0.69369666679521114</v>
      </c>
      <c r="AO554" s="216">
        <f t="shared" si="1722"/>
        <v>0.70696237359802971</v>
      </c>
      <c r="AP554" s="216">
        <f t="shared" si="1722"/>
        <v>0.686527123086214</v>
      </c>
      <c r="AQ554" s="216">
        <f t="shared" si="1722"/>
        <v>0.68661334519741446</v>
      </c>
      <c r="AR554" s="216">
        <f t="shared" si="1722"/>
        <v>0.72179506690033202</v>
      </c>
      <c r="AS554" s="216">
        <f t="shared" si="1722"/>
        <v>0.75690846320082139</v>
      </c>
      <c r="AT554" s="216">
        <f t="shared" si="1722"/>
        <v>0.7246263395521606</v>
      </c>
      <c r="AU554" s="216">
        <f t="shared" si="1722"/>
        <v>0.73257424622923739</v>
      </c>
      <c r="AV554" s="216">
        <f t="shared" si="1722"/>
        <v>0.73257424622923728</v>
      </c>
      <c r="AW554" s="216">
        <f t="shared" ref="AW554:AX554" si="1723">(AW560+AW576)/AW544</f>
        <v>0.77459500899805378</v>
      </c>
      <c r="AX554" s="216">
        <f t="shared" si="1723"/>
        <v>0.85582766450666159</v>
      </c>
      <c r="AY554" s="216">
        <f t="shared" ref="AY554:AZ554" si="1724">(AY560+AY576)/AY544</f>
        <v>0.76007687895539899</v>
      </c>
      <c r="AZ554" s="216">
        <f t="shared" si="1724"/>
        <v>0.71101687594170393</v>
      </c>
      <c r="BA554" s="216">
        <f t="shared" ref="BA554:BE554" si="1725">(BA560+BA576)/BA544</f>
        <v>0.71101687594170382</v>
      </c>
      <c r="BB554" s="216">
        <f t="shared" si="1725"/>
        <v>0.7022805751455784</v>
      </c>
      <c r="BC554" s="216">
        <f t="shared" si="1725"/>
        <v>0.69359757621569051</v>
      </c>
      <c r="BD554" s="216">
        <f t="shared" si="1725"/>
        <v>0.68497988517923136</v>
      </c>
      <c r="BE554" s="216">
        <f t="shared" si="1725"/>
        <v>0.67636643332717228</v>
      </c>
      <c r="BF554" s="216">
        <f t="shared" ref="BF554:BP554" si="1726">(BF560+BF576)/BF544</f>
        <v>0.67636643332717239</v>
      </c>
      <c r="BG554" s="216">
        <f t="shared" si="1726"/>
        <v>0.66776092972273315</v>
      </c>
      <c r="BH554" s="216">
        <f t="shared" si="1726"/>
        <v>0.65926903250917868</v>
      </c>
      <c r="BI554" s="216">
        <f t="shared" si="1726"/>
        <v>0.65090257495938131</v>
      </c>
      <c r="BJ554" s="216">
        <f t="shared" si="1726"/>
        <v>0.6430625450282168</v>
      </c>
      <c r="BK554" s="216">
        <f t="shared" si="1726"/>
        <v>0.64306254502821691</v>
      </c>
      <c r="BL554" s="216">
        <f t="shared" si="1726"/>
        <v>0.63514195224423275</v>
      </c>
      <c r="BM554" s="216">
        <f t="shared" si="1726"/>
        <v>0.62717561314408987</v>
      </c>
      <c r="BN554" s="216">
        <f t="shared" si="1726"/>
        <v>0.61887051527539749</v>
      </c>
      <c r="BO554" s="216">
        <f t="shared" si="1726"/>
        <v>0.60994412525347519</v>
      </c>
      <c r="BP554" s="216">
        <f t="shared" si="1726"/>
        <v>0.60994412525347508</v>
      </c>
      <c r="BQ554" s="216">
        <f t="shared" ref="BQ554:BR554" si="1727">(BQ560+BQ576)/BQ544</f>
        <v>0.59963086677294308</v>
      </c>
      <c r="BR554" s="216">
        <f t="shared" si="1727"/>
        <v>0.58769717973319513</v>
      </c>
    </row>
    <row r="555" spans="1:71">
      <c r="A555" s="22" t="s">
        <v>337</v>
      </c>
      <c r="I555" s="65"/>
      <c r="J555" s="65"/>
      <c r="K555" s="65"/>
      <c r="L555" s="65"/>
      <c r="M555" s="65"/>
      <c r="R555" s="36"/>
      <c r="W555" s="36"/>
    </row>
    <row r="556" spans="1:71">
      <c r="A556" s="3" t="s">
        <v>284</v>
      </c>
      <c r="I556" s="65"/>
      <c r="J556" s="65"/>
      <c r="K556" s="65"/>
      <c r="L556" s="65"/>
      <c r="M556" s="65"/>
      <c r="R556" s="36"/>
      <c r="W556" s="36"/>
      <c r="Y556" s="12"/>
      <c r="Z556" s="12"/>
      <c r="AA556" s="12"/>
      <c r="AB556" s="166" t="s">
        <v>556</v>
      </c>
    </row>
    <row r="557" spans="1:71">
      <c r="I557" s="65"/>
      <c r="J557" s="65"/>
      <c r="K557" s="65"/>
      <c r="L557" s="65"/>
      <c r="M557" s="65"/>
      <c r="R557" s="36"/>
      <c r="W557" s="36"/>
      <c r="Y557" s="98" t="s">
        <v>529</v>
      </c>
      <c r="Z557" s="71"/>
      <c r="AA557" s="71"/>
      <c r="AB557" s="71"/>
      <c r="AH557" s="212" t="s">
        <v>667</v>
      </c>
      <c r="AI557" s="179"/>
      <c r="AJ557" s="179"/>
      <c r="AK557" s="179"/>
      <c r="AL557" s="179"/>
    </row>
    <row r="558" spans="1:71">
      <c r="A558" s="1" t="s">
        <v>338</v>
      </c>
      <c r="I558" s="65"/>
      <c r="J558" s="65">
        <f t="shared" ref="J558:X558" si="1728">J418/J$237</f>
        <v>6159.9574203849907</v>
      </c>
      <c r="K558" s="65">
        <f t="shared" si="1728"/>
        <v>6966.3893805309735</v>
      </c>
      <c r="L558" s="65">
        <f t="shared" si="1728"/>
        <v>9253.623870481928</v>
      </c>
      <c r="M558" s="65">
        <f t="shared" si="1728"/>
        <v>9253.623870481928</v>
      </c>
      <c r="N558" s="65">
        <f t="shared" si="1728"/>
        <v>8319.3776008684636</v>
      </c>
      <c r="O558" s="83">
        <f t="shared" si="1728"/>
        <v>13803.988729417981</v>
      </c>
      <c r="P558" s="83">
        <f t="shared" si="1728"/>
        <v>24472.288288288288</v>
      </c>
      <c r="Q558" s="83">
        <f t="shared" si="1728"/>
        <v>26837.228579151277</v>
      </c>
      <c r="R558" s="65">
        <f t="shared" si="1728"/>
        <v>26837.228579151277</v>
      </c>
      <c r="S558" s="65">
        <f t="shared" si="1728"/>
        <v>33500.074218387606</v>
      </c>
      <c r="T558" s="65">
        <f t="shared" si="1728"/>
        <v>26981.477020014827</v>
      </c>
      <c r="U558" s="65">
        <f t="shared" si="1728"/>
        <v>29611.354508944871</v>
      </c>
      <c r="V558" s="65">
        <f t="shared" si="1728"/>
        <v>21205.669392630709</v>
      </c>
      <c r="W558" s="65">
        <f t="shared" si="1728"/>
        <v>21205.669392630709</v>
      </c>
      <c r="X558" s="65">
        <f t="shared" si="1728"/>
        <v>16758.882494895119</v>
      </c>
      <c r="Y558" s="108">
        <f t="shared" ref="Y558:AG558" si="1729">Y250+(Y253*Y250/(Y250+Y251))</f>
        <v>18152.716873212583</v>
      </c>
      <c r="Z558" s="108">
        <f t="shared" si="1729"/>
        <v>28834.953106682296</v>
      </c>
      <c r="AA558" s="108">
        <f t="shared" si="1729"/>
        <v>52511.041829249261</v>
      </c>
      <c r="AB558" s="108">
        <f t="shared" si="1729"/>
        <v>52511.041829249261</v>
      </c>
      <c r="AC558" s="108">
        <f t="shared" si="1729"/>
        <v>52233.692645728319</v>
      </c>
      <c r="AD558" s="108">
        <f t="shared" si="1729"/>
        <v>44106.942474875148</v>
      </c>
      <c r="AE558" s="108">
        <f t="shared" si="1729"/>
        <v>41808.466864721981</v>
      </c>
      <c r="AF558" s="108">
        <f t="shared" si="1729"/>
        <v>26251.384907888863</v>
      </c>
      <c r="AG558" s="108">
        <f t="shared" si="1729"/>
        <v>26251.384907888863</v>
      </c>
      <c r="AH558" s="211">
        <f>AH250</f>
        <v>19965</v>
      </c>
      <c r="AI558" s="211">
        <f t="shared" ref="AI558:AN558" si="1730">AI250</f>
        <v>17000</v>
      </c>
      <c r="AJ558" s="211">
        <f t="shared" si="1730"/>
        <v>14580</v>
      </c>
      <c r="AK558" s="211">
        <f t="shared" si="1730"/>
        <v>14220</v>
      </c>
      <c r="AL558" s="211">
        <f t="shared" si="1730"/>
        <v>14220</v>
      </c>
      <c r="AM558" s="211">
        <f t="shared" si="1730"/>
        <v>13830</v>
      </c>
      <c r="AN558" s="211">
        <f t="shared" si="1730"/>
        <v>8875</v>
      </c>
      <c r="AO558" s="211">
        <f>AO250</f>
        <v>9430</v>
      </c>
      <c r="AP558" s="211">
        <f t="shared" ref="AP558:AQ558" si="1731">AP250</f>
        <v>8990</v>
      </c>
      <c r="AQ558" s="211">
        <f t="shared" si="1731"/>
        <v>8990</v>
      </c>
      <c r="AR558" s="211">
        <f t="shared" ref="AR558" si="1732">AR250</f>
        <v>10510</v>
      </c>
      <c r="AS558" s="211">
        <f>AS250</f>
        <v>15800</v>
      </c>
      <c r="AT558" s="211">
        <f t="shared" ref="AT558" si="1733">AT270</f>
        <v>15220</v>
      </c>
      <c r="AU558" s="211">
        <f t="shared" ref="AU558:AW558" si="1734">AU250</f>
        <v>18905</v>
      </c>
      <c r="AV558" s="211">
        <f t="shared" si="1734"/>
        <v>18905</v>
      </c>
      <c r="AW558" s="211">
        <f t="shared" si="1734"/>
        <v>20465</v>
      </c>
      <c r="AX558" s="211">
        <f>AX250</f>
        <v>24720</v>
      </c>
      <c r="AY558" s="211">
        <f t="shared" ref="AY558" si="1735">AY270</f>
        <v>22055</v>
      </c>
      <c r="AZ558" s="56">
        <f t="shared" ref="AZ558:BS558" si="1736">AZ270</f>
        <v>21050</v>
      </c>
      <c r="BA558" s="56">
        <f t="shared" si="1736"/>
        <v>21050</v>
      </c>
      <c r="BB558" s="56">
        <f t="shared" si="1736"/>
        <v>19515</v>
      </c>
      <c r="BC558" s="56">
        <f t="shared" si="1736"/>
        <v>17960</v>
      </c>
      <c r="BD558" s="56">
        <f t="shared" si="1736"/>
        <v>16425</v>
      </c>
      <c r="BE558" s="56">
        <f t="shared" si="1736"/>
        <v>14880</v>
      </c>
      <c r="BF558" s="56">
        <f t="shared" si="1736"/>
        <v>14880</v>
      </c>
      <c r="BG558" s="56">
        <f t="shared" si="1736"/>
        <v>13675</v>
      </c>
      <c r="BH558" s="56">
        <f t="shared" si="1736"/>
        <v>12460</v>
      </c>
      <c r="BI558" s="56">
        <f t="shared" si="1736"/>
        <v>11235</v>
      </c>
      <c r="BJ558" s="56">
        <f t="shared" si="1736"/>
        <v>10700</v>
      </c>
      <c r="BK558" s="56">
        <f t="shared" si="1736"/>
        <v>10700</v>
      </c>
      <c r="BL558" s="56">
        <f t="shared" si="1736"/>
        <v>9255</v>
      </c>
      <c r="BM558" s="56">
        <f t="shared" si="1736"/>
        <v>7785</v>
      </c>
      <c r="BN558" s="56">
        <f t="shared" si="1736"/>
        <v>6285</v>
      </c>
      <c r="BO558" s="56">
        <f t="shared" si="1736"/>
        <v>4755</v>
      </c>
      <c r="BP558" s="56">
        <f>BP270</f>
        <v>4755</v>
      </c>
      <c r="BQ558" s="56">
        <f>BQ270</f>
        <v>3195</v>
      </c>
      <c r="BR558" s="56">
        <f t="shared" si="1736"/>
        <v>1615</v>
      </c>
      <c r="BS558" s="56">
        <f t="shared" si="1736"/>
        <v>0</v>
      </c>
    </row>
    <row r="559" spans="1:71">
      <c r="A559" s="1" t="s">
        <v>326</v>
      </c>
      <c r="I559" s="65"/>
      <c r="J559" s="65">
        <f t="shared" ref="J559:AG559" si="1737">J509</f>
        <v>4417.8438782279372</v>
      </c>
      <c r="K559" s="65">
        <f t="shared" si="1737"/>
        <v>6971.4253216787038</v>
      </c>
      <c r="L559" s="65">
        <f t="shared" si="1737"/>
        <v>6462.4793120070335</v>
      </c>
      <c r="M559" s="65">
        <f t="shared" si="1737"/>
        <v>6462.4793120070335</v>
      </c>
      <c r="N559" s="65">
        <f t="shared" si="1737"/>
        <v>6491.826110865637</v>
      </c>
      <c r="O559" s="83">
        <f t="shared" si="1737"/>
        <v>7356.2225110071013</v>
      </c>
      <c r="P559" s="83">
        <f t="shared" si="1737"/>
        <v>14261.055333668915</v>
      </c>
      <c r="Q559" s="83">
        <f t="shared" si="1737"/>
        <v>16837.796197855667</v>
      </c>
      <c r="R559" s="65">
        <f t="shared" si="1737"/>
        <v>16837.795911073074</v>
      </c>
      <c r="S559" s="65">
        <f t="shared" si="1737"/>
        <v>19597.360576281422</v>
      </c>
      <c r="T559" s="65">
        <f t="shared" si="1737"/>
        <v>18156.396713813665</v>
      </c>
      <c r="U559" s="65">
        <f t="shared" si="1737"/>
        <v>18561.180187244725</v>
      </c>
      <c r="V559" s="65">
        <f t="shared" si="1737"/>
        <v>15644.133051548288</v>
      </c>
      <c r="W559" s="65">
        <f t="shared" si="1737"/>
        <v>15644.132808233029</v>
      </c>
      <c r="X559" s="65">
        <f t="shared" si="1737"/>
        <v>19958.595393955973</v>
      </c>
      <c r="Y559" s="65">
        <f t="shared" si="1737"/>
        <v>22225.24270631764</v>
      </c>
      <c r="Z559" s="65">
        <f t="shared" si="1737"/>
        <v>26498.184425492345</v>
      </c>
      <c r="AA559" s="65">
        <f t="shared" si="1737"/>
        <v>38422.780236654318</v>
      </c>
      <c r="AB559" s="65">
        <f t="shared" si="1737"/>
        <v>38422.780311805618</v>
      </c>
      <c r="AC559" s="65">
        <f t="shared" si="1737"/>
        <v>38230.327608409585</v>
      </c>
      <c r="AD559" s="65">
        <f t="shared" si="1737"/>
        <v>31956.417529529816</v>
      </c>
      <c r="AE559" s="65">
        <f t="shared" si="1737"/>
        <v>31845.734881752975</v>
      </c>
      <c r="AF559" s="65">
        <f t="shared" si="1737"/>
        <v>24762.343215783923</v>
      </c>
      <c r="AG559" s="65">
        <f t="shared" si="1737"/>
        <v>24762.343215783923</v>
      </c>
      <c r="AH559" s="65">
        <f t="shared" ref="AH559:AI559" si="1738">AH509</f>
        <v>20142.72281083067</v>
      </c>
      <c r="AI559" s="65">
        <f t="shared" si="1738"/>
        <v>17633.460972040681</v>
      </c>
      <c r="AJ559" s="65">
        <f t="shared" ref="AJ559:AK559" si="1739">AJ509</f>
        <v>16404.931590732209</v>
      </c>
      <c r="AK559" s="65">
        <f t="shared" si="1739"/>
        <v>16138.620534711299</v>
      </c>
      <c r="AL559" s="65">
        <f>AL509</f>
        <v>16138.620035272972</v>
      </c>
      <c r="AM559" s="65">
        <f t="shared" ref="AM559" si="1740">AM509</f>
        <v>16182.736952401501</v>
      </c>
      <c r="AN559" s="65">
        <f>AN509</f>
        <v>16806.411081245551</v>
      </c>
      <c r="AO559" s="65">
        <f t="shared" ref="AO559:AP559" si="1741">AO509</f>
        <v>17816.299233545156</v>
      </c>
      <c r="AP559" s="65">
        <f t="shared" si="1741"/>
        <v>17587.11411060387</v>
      </c>
      <c r="AQ559" s="65">
        <f>AQ509</f>
        <v>17602.174129835046</v>
      </c>
      <c r="AR559" s="65">
        <f t="shared" ref="AR559" si="1742">AR509</f>
        <v>18798.679197449354</v>
      </c>
      <c r="AS559" s="65">
        <f>AS509</f>
        <v>20138.905840384406</v>
      </c>
      <c r="AT559" s="65">
        <f>AT509</f>
        <v>19635.733693621227</v>
      </c>
      <c r="AU559" s="65">
        <f t="shared" ref="AU559" si="1743">AU509</f>
        <v>19471.121663148908</v>
      </c>
      <c r="AV559" s="65">
        <f>AV509</f>
        <v>19471.121663148915</v>
      </c>
      <c r="AW559" s="65">
        <f t="shared" ref="AW559" si="1744">AW509</f>
        <v>20833.935339791962</v>
      </c>
      <c r="AX559" s="65">
        <f>AX509</f>
        <v>21157.463428505758</v>
      </c>
      <c r="AY559" s="65">
        <f>AY509</f>
        <v>19240.165315987248</v>
      </c>
      <c r="AZ559" s="65">
        <f t="shared" ref="AZ559:BS559" si="1745">AZ509</f>
        <v>18330.165315987248</v>
      </c>
      <c r="BA559" s="65">
        <f t="shared" si="1745"/>
        <v>18330.165315987251</v>
      </c>
      <c r="BB559" s="65">
        <f t="shared" si="1745"/>
        <v>16975.165315987251</v>
      </c>
      <c r="BC559" s="65">
        <f t="shared" si="1745"/>
        <v>15605.165315987251</v>
      </c>
      <c r="BD559" s="65">
        <f t="shared" si="1745"/>
        <v>14255.165315987251</v>
      </c>
      <c r="BE559" s="65">
        <f t="shared" si="1745"/>
        <v>12900.165315987251</v>
      </c>
      <c r="BF559" s="65">
        <f t="shared" si="1745"/>
        <v>12900.165315987251</v>
      </c>
      <c r="BG559" s="65">
        <f>BG509</f>
        <v>11850.165315987251</v>
      </c>
      <c r="BH559" s="65">
        <f t="shared" si="1745"/>
        <v>10795.165315987251</v>
      </c>
      <c r="BI559" s="65">
        <f t="shared" si="1745"/>
        <v>9725.1653159872512</v>
      </c>
      <c r="BJ559" s="65">
        <f t="shared" si="1745"/>
        <v>9260.1653159872512</v>
      </c>
      <c r="BK559" s="65">
        <f t="shared" si="1745"/>
        <v>9260.1653159872512</v>
      </c>
      <c r="BL559" s="65">
        <f t="shared" si="1745"/>
        <v>8000.1653159872512</v>
      </c>
      <c r="BM559" s="65">
        <f t="shared" si="1745"/>
        <v>6720.1653159872512</v>
      </c>
      <c r="BN559" s="65">
        <f t="shared" si="1745"/>
        <v>5420.1653159872512</v>
      </c>
      <c r="BO559" s="65">
        <f t="shared" si="1745"/>
        <v>4100.1653159872512</v>
      </c>
      <c r="BP559" s="65">
        <f t="shared" si="1745"/>
        <v>4100.1653159872512</v>
      </c>
      <c r="BQ559" s="65">
        <f t="shared" si="1745"/>
        <v>2760.1653159872512</v>
      </c>
      <c r="BR559" s="65">
        <f t="shared" si="1745"/>
        <v>1385.1653159872512</v>
      </c>
      <c r="BS559" s="65">
        <f t="shared" si="1745"/>
        <v>0.16531598725123331</v>
      </c>
    </row>
    <row r="560" spans="1:71">
      <c r="A560" s="9" t="s">
        <v>318</v>
      </c>
      <c r="B560" s="9"/>
      <c r="C560" s="9"/>
      <c r="D560" s="9"/>
      <c r="E560" s="9"/>
      <c r="F560" s="9"/>
      <c r="G560" s="9"/>
      <c r="H560" s="9"/>
      <c r="I560" s="48"/>
      <c r="J560" s="48">
        <f t="shared" ref="J560:T560" si="1746">SUM(J558:J559)</f>
        <v>10577.801298612929</v>
      </c>
      <c r="K560" s="48">
        <f t="shared" si="1746"/>
        <v>13937.814702209678</v>
      </c>
      <c r="L560" s="48">
        <f t="shared" si="1746"/>
        <v>15716.103182488961</v>
      </c>
      <c r="M560" s="48">
        <f t="shared" si="1746"/>
        <v>15716.103182488961</v>
      </c>
      <c r="N560" s="48">
        <f t="shared" si="1746"/>
        <v>14811.203711734101</v>
      </c>
      <c r="O560" s="48">
        <f t="shared" si="1746"/>
        <v>21160.21124042508</v>
      </c>
      <c r="P560" s="48">
        <f t="shared" si="1746"/>
        <v>38733.343621957203</v>
      </c>
      <c r="Q560" s="48">
        <f t="shared" si="1746"/>
        <v>43675.02477700694</v>
      </c>
      <c r="R560" s="48">
        <f t="shared" si="1746"/>
        <v>43675.02449022435</v>
      </c>
      <c r="S560" s="48">
        <f t="shared" si="1746"/>
        <v>53097.434794669025</v>
      </c>
      <c r="T560" s="48">
        <f t="shared" si="1746"/>
        <v>45137.873733828492</v>
      </c>
      <c r="U560" s="48">
        <f t="shared" ref="U560:V560" si="1747">SUM(U558:U559)</f>
        <v>48172.534696189599</v>
      </c>
      <c r="V560" s="48">
        <f t="shared" si="1747"/>
        <v>36849.802444178997</v>
      </c>
      <c r="W560" s="48">
        <f t="shared" ref="W560:Y560" si="1748">SUM(W558:W559)</f>
        <v>36849.802200863734</v>
      </c>
      <c r="X560" s="48">
        <f t="shared" si="1748"/>
        <v>36717.477888851092</v>
      </c>
      <c r="Y560" s="48">
        <f t="shared" si="1748"/>
        <v>40377.959579530223</v>
      </c>
      <c r="Z560" s="48">
        <f t="shared" ref="Z560:AA560" si="1749">SUM(Z558:Z559)</f>
        <v>55333.137532174645</v>
      </c>
      <c r="AA560" s="48">
        <f t="shared" si="1749"/>
        <v>90933.822065903572</v>
      </c>
      <c r="AB560" s="48">
        <f t="shared" ref="AB560:AC560" si="1750">SUM(AB558:AB559)</f>
        <v>90933.822141054872</v>
      </c>
      <c r="AC560" s="48">
        <f t="shared" si="1750"/>
        <v>90464.020254137897</v>
      </c>
      <c r="AD560" s="48">
        <f t="shared" ref="AD560:AH560" si="1751">SUM(AD558:AD559)</f>
        <v>76063.360004404967</v>
      </c>
      <c r="AE560" s="48">
        <f t="shared" si="1751"/>
        <v>73654.201746474952</v>
      </c>
      <c r="AF560" s="48">
        <f t="shared" si="1751"/>
        <v>51013.728123672787</v>
      </c>
      <c r="AG560" s="48">
        <f t="shared" si="1751"/>
        <v>51013.728123672787</v>
      </c>
      <c r="AH560" s="48">
        <f t="shared" si="1751"/>
        <v>40107.722810830674</v>
      </c>
      <c r="AI560" s="48">
        <f t="shared" ref="AI560:AJ560" si="1752">SUM(AI558:AI559)</f>
        <v>34633.460972040681</v>
      </c>
      <c r="AJ560" s="48">
        <f t="shared" si="1752"/>
        <v>30984.931590732209</v>
      </c>
      <c r="AK560" s="48">
        <f t="shared" ref="AK560:AM560" si="1753">SUM(AK558:AK559)</f>
        <v>30358.620534711299</v>
      </c>
      <c r="AL560" s="48">
        <f t="shared" si="1753"/>
        <v>30358.620035272972</v>
      </c>
      <c r="AM560" s="48">
        <f t="shared" si="1753"/>
        <v>30012.736952401501</v>
      </c>
      <c r="AN560" s="48">
        <f t="shared" ref="AN560:AR560" si="1754">SUM(AN558:AN559)</f>
        <v>25681.411081245551</v>
      </c>
      <c r="AO560" s="48">
        <f t="shared" si="1754"/>
        <v>27246.299233545156</v>
      </c>
      <c r="AP560" s="48">
        <f t="shared" si="1754"/>
        <v>26577.11411060387</v>
      </c>
      <c r="AQ560" s="48">
        <f t="shared" si="1754"/>
        <v>26592.174129835046</v>
      </c>
      <c r="AR560" s="48">
        <f t="shared" si="1754"/>
        <v>29308.679197449354</v>
      </c>
      <c r="AS560" s="48">
        <f t="shared" ref="AS560" si="1755">SUM(AS558:AS559)</f>
        <v>35938.90584038441</v>
      </c>
      <c r="AT560" s="48">
        <f t="shared" ref="AT560:AX560" si="1756">SUM(AT558:AT559)</f>
        <v>34855.733693621223</v>
      </c>
      <c r="AU560" s="48">
        <f t="shared" si="1756"/>
        <v>38376.121663148908</v>
      </c>
      <c r="AV560" s="48">
        <f t="shared" si="1756"/>
        <v>38376.121663148915</v>
      </c>
      <c r="AW560" s="48">
        <f t="shared" si="1756"/>
        <v>41298.935339791962</v>
      </c>
      <c r="AX560" s="48">
        <f t="shared" si="1756"/>
        <v>45877.463428505755</v>
      </c>
      <c r="AY560" s="48">
        <f t="shared" ref="AY560" si="1757">SUM(AY558:AY559)</f>
        <v>41295.165315987251</v>
      </c>
      <c r="AZ560" s="48">
        <f t="shared" ref="AZ560:BS560" si="1758">SUM(AZ558:AZ559)</f>
        <v>39380.165315987251</v>
      </c>
      <c r="BA560" s="48">
        <f t="shared" si="1758"/>
        <v>39380.165315987251</v>
      </c>
      <c r="BB560" s="48">
        <f t="shared" si="1758"/>
        <v>36490.165315987251</v>
      </c>
      <c r="BC560" s="48">
        <f t="shared" si="1758"/>
        <v>33565.165315987251</v>
      </c>
      <c r="BD560" s="48">
        <f t="shared" si="1758"/>
        <v>30680.165315987251</v>
      </c>
      <c r="BE560" s="48">
        <f t="shared" si="1758"/>
        <v>27780.165315987251</v>
      </c>
      <c r="BF560" s="48">
        <f t="shared" si="1758"/>
        <v>27780.165315987251</v>
      </c>
      <c r="BG560" s="48">
        <f t="shared" si="1758"/>
        <v>25525.165315987251</v>
      </c>
      <c r="BH560" s="48">
        <f t="shared" si="1758"/>
        <v>23255.165315987251</v>
      </c>
      <c r="BI560" s="48">
        <f t="shared" si="1758"/>
        <v>20960.165315987251</v>
      </c>
      <c r="BJ560" s="48">
        <f t="shared" si="1758"/>
        <v>19960.165315987251</v>
      </c>
      <c r="BK560" s="48">
        <f t="shared" si="1758"/>
        <v>19960.165315987251</v>
      </c>
      <c r="BL560" s="48">
        <f t="shared" si="1758"/>
        <v>17255.165315987251</v>
      </c>
      <c r="BM560" s="48">
        <f t="shared" si="1758"/>
        <v>14505.165315987251</v>
      </c>
      <c r="BN560" s="48">
        <f t="shared" si="1758"/>
        <v>11705.165315987251</v>
      </c>
      <c r="BO560" s="48">
        <f t="shared" si="1758"/>
        <v>8855.1653159872512</v>
      </c>
      <c r="BP560" s="48">
        <f t="shared" si="1758"/>
        <v>8855.1653159872512</v>
      </c>
      <c r="BQ560" s="48">
        <f t="shared" si="1758"/>
        <v>5955.1653159872512</v>
      </c>
      <c r="BR560" s="48">
        <f t="shared" si="1758"/>
        <v>3000.1653159872512</v>
      </c>
      <c r="BS560" s="48">
        <f t="shared" si="1758"/>
        <v>0.16531598725123331</v>
      </c>
    </row>
    <row r="561" spans="1:71">
      <c r="A561" s="1" t="s">
        <v>328</v>
      </c>
      <c r="I561" s="65"/>
      <c r="J561" s="36">
        <f t="shared" ref="J561:Q561" si="1759">J471</f>
        <v>5860.1921370297587</v>
      </c>
      <c r="K561" s="36">
        <f t="shared" si="1759"/>
        <v>9584.6897225690846</v>
      </c>
      <c r="L561" s="36">
        <f t="shared" si="1759"/>
        <v>10900.839588595378</v>
      </c>
      <c r="M561" s="36">
        <f t="shared" si="1759"/>
        <v>10900.839588595378</v>
      </c>
      <c r="N561" s="36">
        <f t="shared" si="1759"/>
        <v>11716.324784737764</v>
      </c>
      <c r="O561" s="36">
        <f t="shared" si="1759"/>
        <v>11819.237557673008</v>
      </c>
      <c r="P561" s="36">
        <f t="shared" si="1759"/>
        <v>19901.232954619376</v>
      </c>
      <c r="Q561" s="36">
        <f t="shared" si="1759"/>
        <v>20435.516713217407</v>
      </c>
      <c r="R561" s="125">
        <f>R474</f>
        <v>20435.517</v>
      </c>
      <c r="S561" s="36">
        <f>S471</f>
        <v>21873.684975253967</v>
      </c>
      <c r="T561" s="36">
        <f>T471</f>
        <v>24218.325302494712</v>
      </c>
      <c r="U561" s="36">
        <f>U471</f>
        <v>25153.113350542786</v>
      </c>
      <c r="V561" s="36">
        <f>V471</f>
        <v>26480.45575668474</v>
      </c>
      <c r="W561" s="125">
        <f>W474</f>
        <v>26480.455999999998</v>
      </c>
      <c r="X561" s="36">
        <f>X471</f>
        <v>28616.121517126263</v>
      </c>
      <c r="Y561" s="36">
        <f>Y471</f>
        <v>27348.679788956466</v>
      </c>
      <c r="Z561" s="36">
        <f>Z471</f>
        <v>26215.979825715385</v>
      </c>
      <c r="AA561" s="36">
        <f>AA471</f>
        <v>21208.608075151296</v>
      </c>
      <c r="AB561" s="125">
        <f>AB474</f>
        <v>21208.608</v>
      </c>
      <c r="AC561" s="36">
        <f>AC471</f>
        <v>20101.368900904945</v>
      </c>
      <c r="AD561" s="36">
        <f>AD471</f>
        <v>18876.266530513069</v>
      </c>
      <c r="AE561" s="36">
        <f>AE471</f>
        <v>18612.463692408044</v>
      </c>
      <c r="AF561" s="36">
        <f>AF471</f>
        <v>18458.132313262566</v>
      </c>
      <c r="AG561" s="125">
        <f>AG474</f>
        <v>18458.132313262566</v>
      </c>
      <c r="AH561" s="36">
        <f>AH471</f>
        <v>17991.188514893645</v>
      </c>
      <c r="AI561" s="36">
        <f>AI471</f>
        <v>17764.232557411706</v>
      </c>
      <c r="AJ561" s="36">
        <f>AJ471</f>
        <v>17416.681069403436</v>
      </c>
      <c r="AK561" s="36">
        <f>AK471</f>
        <v>17342.372500561672</v>
      </c>
      <c r="AL561" s="125">
        <f>AL474</f>
        <v>17342.373</v>
      </c>
      <c r="AM561" s="36">
        <f t="shared" ref="AM561:AO561" si="1760">AM471</f>
        <v>16886.95061225813</v>
      </c>
      <c r="AN561" s="36">
        <f t="shared" si="1760"/>
        <v>16619.728777024266</v>
      </c>
      <c r="AO561" s="36">
        <f t="shared" si="1760"/>
        <v>14953.897480831205</v>
      </c>
      <c r="AP561" s="36">
        <f>AP471</f>
        <v>13325.091159853831</v>
      </c>
      <c r="AQ561" s="125">
        <f>AQ474</f>
        <v>13310.031999999999</v>
      </c>
      <c r="AR561" s="36">
        <f t="shared" ref="AR561" si="1761">AR471</f>
        <v>12488.941091865856</v>
      </c>
      <c r="AS561" s="36">
        <f t="shared" ref="AS561" si="1762">AS471</f>
        <v>7962.7266124986591</v>
      </c>
      <c r="AT561" s="36">
        <f t="shared" ref="AT561:AV561" si="1763">AT471</f>
        <v>7243.0246829118378</v>
      </c>
      <c r="AU561" s="36">
        <f>AU471</f>
        <v>4924.5912849516799</v>
      </c>
      <c r="AV561" s="36">
        <f t="shared" si="1763"/>
        <v>4924.5912849516808</v>
      </c>
      <c r="AW561" s="36">
        <f>AW471</f>
        <v>4303.0303393738386</v>
      </c>
      <c r="AX561" s="36">
        <f t="shared" ref="AX561:AY561" si="1764">AX471</f>
        <v>4220.9487155028391</v>
      </c>
      <c r="AY561" s="36">
        <f t="shared" si="1764"/>
        <v>3904.003053966765</v>
      </c>
      <c r="AZ561" s="36">
        <f t="shared" ref="AZ561:BS561" si="1765">AZ471</f>
        <v>3927.3393274533341</v>
      </c>
      <c r="BA561" s="36">
        <f t="shared" si="1765"/>
        <v>3929.0961123576235</v>
      </c>
      <c r="BB561" s="36">
        <f>BB471</f>
        <v>3554.003053966765</v>
      </c>
      <c r="BC561" s="36">
        <f t="shared" si="1765"/>
        <v>3219.8349172234807</v>
      </c>
      <c r="BD561" s="36">
        <f t="shared" si="1765"/>
        <v>2854.003053966765</v>
      </c>
      <c r="BE561" s="36">
        <f>BE471</f>
        <v>2518.5871223384074</v>
      </c>
      <c r="BF561" s="36">
        <f t="shared" si="1765"/>
        <v>2518.587122338407</v>
      </c>
      <c r="BG561" s="36">
        <f t="shared" si="1765"/>
        <v>2254.003053966765</v>
      </c>
      <c r="BH561" s="36">
        <f t="shared" si="1765"/>
        <v>1964.2110197809438</v>
      </c>
      <c r="BI561" s="36">
        <f t="shared" si="1765"/>
        <v>1654.003053966765</v>
      </c>
      <c r="BJ561" s="36">
        <f t="shared" si="1765"/>
        <v>0</v>
      </c>
      <c r="BK561" s="36">
        <f t="shared" si="1765"/>
        <v>0</v>
      </c>
      <c r="BL561" s="36">
        <f t="shared" si="1765"/>
        <v>0</v>
      </c>
      <c r="BM561" s="36">
        <f t="shared" si="1765"/>
        <v>0</v>
      </c>
      <c r="BN561" s="36">
        <f t="shared" si="1765"/>
        <v>0</v>
      </c>
      <c r="BO561" s="36">
        <f>BO471</f>
        <v>0</v>
      </c>
      <c r="BP561" s="36">
        <f t="shared" si="1765"/>
        <v>0</v>
      </c>
      <c r="BQ561" s="36">
        <f t="shared" si="1765"/>
        <v>0</v>
      </c>
      <c r="BR561" s="36">
        <f t="shared" si="1765"/>
        <v>0</v>
      </c>
      <c r="BS561" s="36">
        <f t="shared" si="1765"/>
        <v>0</v>
      </c>
    </row>
    <row r="562" spans="1:71">
      <c r="A562" s="9" t="s">
        <v>319</v>
      </c>
      <c r="B562" s="9"/>
      <c r="C562" s="9"/>
      <c r="D562" s="9"/>
      <c r="E562" s="9"/>
      <c r="F562" s="9"/>
      <c r="G562" s="9"/>
      <c r="H562" s="9"/>
      <c r="I562" s="48"/>
      <c r="J562" s="48">
        <f t="shared" ref="J562:T562" si="1766">SUM(J560:J561)</f>
        <v>16437.993435642689</v>
      </c>
      <c r="K562" s="48">
        <f t="shared" si="1766"/>
        <v>23522.504424778763</v>
      </c>
      <c r="L562" s="48">
        <f t="shared" si="1766"/>
        <v>26616.942771084337</v>
      </c>
      <c r="M562" s="48">
        <f t="shared" si="1766"/>
        <v>26616.942771084337</v>
      </c>
      <c r="N562" s="48">
        <f t="shared" si="1766"/>
        <v>26527.528496471867</v>
      </c>
      <c r="O562" s="48">
        <f t="shared" si="1766"/>
        <v>32979.448798098092</v>
      </c>
      <c r="P562" s="48">
        <f t="shared" si="1766"/>
        <v>58634.576576576583</v>
      </c>
      <c r="Q562" s="48">
        <f t="shared" si="1766"/>
        <v>64110.54149022435</v>
      </c>
      <c r="R562" s="48">
        <f t="shared" si="1766"/>
        <v>64110.54149022435</v>
      </c>
      <c r="S562" s="48">
        <f t="shared" si="1766"/>
        <v>74971.119769922996</v>
      </c>
      <c r="T562" s="48">
        <f t="shared" si="1766"/>
        <v>69356.199036323203</v>
      </c>
      <c r="U562" s="48">
        <f t="shared" ref="U562:V562" si="1767">SUM(U560:U561)</f>
        <v>73325.648046732385</v>
      </c>
      <c r="V562" s="48">
        <f t="shared" si="1767"/>
        <v>63330.25820086374</v>
      </c>
      <c r="W562" s="48">
        <f t="shared" ref="W562:Y562" si="1768">SUM(W560:W561)</f>
        <v>63330.258200863733</v>
      </c>
      <c r="X562" s="48">
        <f t="shared" si="1768"/>
        <v>65333.599405977351</v>
      </c>
      <c r="Y562" s="48">
        <f t="shared" si="1768"/>
        <v>67726.639368486693</v>
      </c>
      <c r="Z562" s="48">
        <f t="shared" ref="Z562:AC562" si="1769">SUM(Z560:Z561)</f>
        <v>81549.117357890034</v>
      </c>
      <c r="AA562" s="48">
        <f t="shared" si="1769"/>
        <v>112142.43014105487</v>
      </c>
      <c r="AB562" s="48">
        <f t="shared" si="1769"/>
        <v>112142.43014105488</v>
      </c>
      <c r="AC562" s="48">
        <f t="shared" si="1769"/>
        <v>110565.38915504284</v>
      </c>
      <c r="AD562" s="48">
        <f t="shared" ref="AD562:AH562" si="1770">SUM(AD560:AD561)</f>
        <v>94939.626534918032</v>
      </c>
      <c r="AE562" s="48">
        <f t="shared" si="1770"/>
        <v>92266.665438882992</v>
      </c>
      <c r="AF562" s="48">
        <f t="shared" si="1770"/>
        <v>69471.860436935356</v>
      </c>
      <c r="AG562" s="48">
        <f t="shared" si="1770"/>
        <v>69471.860436935356</v>
      </c>
      <c r="AH562" s="48">
        <f t="shared" si="1770"/>
        <v>58098.911325724315</v>
      </c>
      <c r="AI562" s="48">
        <f t="shared" ref="AI562:AJ562" si="1771">SUM(AI560:AI561)</f>
        <v>52397.693529452386</v>
      </c>
      <c r="AJ562" s="48">
        <f t="shared" si="1771"/>
        <v>48401.612660135645</v>
      </c>
      <c r="AK562" s="48">
        <f t="shared" ref="AK562:AM562" si="1772">SUM(AK560:AK561)</f>
        <v>47700.993035272972</v>
      </c>
      <c r="AL562" s="48">
        <f t="shared" si="1772"/>
        <v>47700.993035272972</v>
      </c>
      <c r="AM562" s="48">
        <f t="shared" si="1772"/>
        <v>46899.687564659631</v>
      </c>
      <c r="AN562" s="48">
        <f t="shared" ref="AN562:AR562" si="1773">SUM(AN560:AN561)</f>
        <v>42301.139858269817</v>
      </c>
      <c r="AO562" s="48">
        <f t="shared" si="1773"/>
        <v>42200.196714376361</v>
      </c>
      <c r="AP562" s="48">
        <f t="shared" si="1773"/>
        <v>39902.2052704577</v>
      </c>
      <c r="AQ562" s="48">
        <f t="shared" si="1773"/>
        <v>39902.206129835045</v>
      </c>
      <c r="AR562" s="48">
        <f t="shared" si="1773"/>
        <v>41797.620289315208</v>
      </c>
      <c r="AS562" s="48">
        <f t="shared" ref="AS562" si="1774">SUM(AS560:AS561)</f>
        <v>43901.632452883066</v>
      </c>
      <c r="AT562" s="48">
        <f t="shared" ref="AT562:AX562" si="1775">SUM(AT560:AT561)</f>
        <v>42098.758376533064</v>
      </c>
      <c r="AU562" s="48">
        <f t="shared" si="1775"/>
        <v>43300.71294810059</v>
      </c>
      <c r="AV562" s="48">
        <f t="shared" si="1775"/>
        <v>43300.712948100598</v>
      </c>
      <c r="AW562" s="48">
        <f t="shared" si="1775"/>
        <v>45601.965679165798</v>
      </c>
      <c r="AX562" s="48">
        <f t="shared" si="1775"/>
        <v>50098.412144008595</v>
      </c>
      <c r="AY562" s="48">
        <f t="shared" ref="AY562" si="1776">SUM(AY560:AY561)</f>
        <v>45199.168369954015</v>
      </c>
      <c r="AZ562" s="48">
        <f t="shared" ref="AZ562:BS562" si="1777">SUM(AZ560:AZ561)</f>
        <v>43307.504643440589</v>
      </c>
      <c r="BA562" s="48">
        <f t="shared" si="1777"/>
        <v>43309.261428344878</v>
      </c>
      <c r="BB562" s="48">
        <f t="shared" si="1777"/>
        <v>40044.168369954015</v>
      </c>
      <c r="BC562" s="48">
        <f t="shared" si="1777"/>
        <v>36785.000233210732</v>
      </c>
      <c r="BD562" s="48">
        <f t="shared" si="1777"/>
        <v>33534.168369954015</v>
      </c>
      <c r="BE562" s="48">
        <f t="shared" si="1777"/>
        <v>30298.75243832566</v>
      </c>
      <c r="BF562" s="48">
        <f t="shared" si="1777"/>
        <v>30298.752438325657</v>
      </c>
      <c r="BG562" s="48">
        <f t="shared" si="1777"/>
        <v>27779.168369954015</v>
      </c>
      <c r="BH562" s="48">
        <f t="shared" si="1777"/>
        <v>25219.376335768196</v>
      </c>
      <c r="BI562" s="48">
        <f t="shared" si="1777"/>
        <v>22614.168369954015</v>
      </c>
      <c r="BJ562" s="48">
        <f t="shared" si="1777"/>
        <v>19960.165315987251</v>
      </c>
      <c r="BK562" s="48">
        <f t="shared" si="1777"/>
        <v>19960.165315987251</v>
      </c>
      <c r="BL562" s="48">
        <f t="shared" si="1777"/>
        <v>17255.165315987251</v>
      </c>
      <c r="BM562" s="48">
        <f t="shared" si="1777"/>
        <v>14505.165315987251</v>
      </c>
      <c r="BN562" s="48">
        <f t="shared" si="1777"/>
        <v>11705.165315987251</v>
      </c>
      <c r="BO562" s="48">
        <f t="shared" si="1777"/>
        <v>8855.1653159872512</v>
      </c>
      <c r="BP562" s="48">
        <f t="shared" si="1777"/>
        <v>8855.1653159872512</v>
      </c>
      <c r="BQ562" s="48">
        <f t="shared" si="1777"/>
        <v>5955.1653159872512</v>
      </c>
      <c r="BR562" s="48">
        <f t="shared" si="1777"/>
        <v>3000.1653159872512</v>
      </c>
      <c r="BS562" s="48">
        <f t="shared" si="1777"/>
        <v>0.16531598725123331</v>
      </c>
    </row>
    <row r="563" spans="1:71" s="79" customFormat="1">
      <c r="I563" s="83"/>
      <c r="J563" s="25" t="s">
        <v>468</v>
      </c>
      <c r="R563" s="59"/>
      <c r="U563" s="123" t="s">
        <v>412</v>
      </c>
      <c r="V563" s="124"/>
      <c r="W563" s="125"/>
      <c r="X563" s="124"/>
      <c r="Y563" s="124"/>
      <c r="AQ563" s="443" t="s">
        <v>2454</v>
      </c>
    </row>
    <row r="564" spans="1:71" s="79" customFormat="1">
      <c r="A564" s="102" t="s">
        <v>356</v>
      </c>
      <c r="I564" s="83"/>
      <c r="J564" s="90">
        <f t="shared" ref="J564:AM564" si="1778">MROUND(J596*J571, 5)</f>
        <v>2215</v>
      </c>
      <c r="K564" s="90">
        <f t="shared" si="1778"/>
        <v>3230</v>
      </c>
      <c r="L564" s="90">
        <f t="shared" si="1778"/>
        <v>3805</v>
      </c>
      <c r="M564" s="90">
        <f t="shared" si="1778"/>
        <v>3805</v>
      </c>
      <c r="N564" s="90">
        <f t="shared" si="1778"/>
        <v>4045</v>
      </c>
      <c r="O564" s="90">
        <f t="shared" si="1778"/>
        <v>5255</v>
      </c>
      <c r="P564" s="90">
        <f t="shared" si="1778"/>
        <v>5180</v>
      </c>
      <c r="Q564" s="90">
        <f t="shared" si="1778"/>
        <v>5040</v>
      </c>
      <c r="R564" s="90">
        <f t="shared" si="1778"/>
        <v>5040</v>
      </c>
      <c r="S564" s="90">
        <f t="shared" si="1778"/>
        <v>5175</v>
      </c>
      <c r="T564" s="90">
        <f t="shared" si="1778"/>
        <v>4900</v>
      </c>
      <c r="U564" s="90">
        <f t="shared" si="1778"/>
        <v>5040</v>
      </c>
      <c r="V564" s="90">
        <f t="shared" si="1778"/>
        <v>4720</v>
      </c>
      <c r="W564" s="90">
        <f t="shared" si="1778"/>
        <v>4720</v>
      </c>
      <c r="X564" s="90">
        <f t="shared" si="1778"/>
        <v>3745</v>
      </c>
      <c r="Y564" s="90">
        <f t="shared" si="1778"/>
        <v>3685</v>
      </c>
      <c r="Z564" s="90">
        <f t="shared" si="1778"/>
        <v>4275</v>
      </c>
      <c r="AA564" s="90">
        <f t="shared" si="1778"/>
        <v>4735</v>
      </c>
      <c r="AB564" s="90">
        <f t="shared" si="1778"/>
        <v>4735</v>
      </c>
      <c r="AC564" s="90">
        <f t="shared" si="1778"/>
        <v>4735</v>
      </c>
      <c r="AD564" s="90">
        <f t="shared" si="1778"/>
        <v>4755</v>
      </c>
      <c r="AE564" s="90">
        <f t="shared" si="1778"/>
        <v>4655</v>
      </c>
      <c r="AF564" s="90">
        <f t="shared" si="1778"/>
        <v>4220</v>
      </c>
      <c r="AG564" s="90">
        <f t="shared" si="1778"/>
        <v>4220</v>
      </c>
      <c r="AH564" s="90">
        <f t="shared" si="1778"/>
        <v>4080</v>
      </c>
      <c r="AI564" s="90">
        <f t="shared" si="1778"/>
        <v>4025</v>
      </c>
      <c r="AJ564" s="90">
        <f t="shared" si="1778"/>
        <v>3860</v>
      </c>
      <c r="AK564" s="90">
        <f t="shared" si="1778"/>
        <v>3840</v>
      </c>
      <c r="AL564" s="90">
        <f t="shared" si="1778"/>
        <v>3840</v>
      </c>
      <c r="AM564" s="90">
        <f t="shared" si="1778"/>
        <v>4330</v>
      </c>
      <c r="AN564" s="90"/>
      <c r="AO564" s="90"/>
    </row>
    <row r="565" spans="1:71" s="79" customFormat="1">
      <c r="A565" s="102" t="s">
        <v>357</v>
      </c>
      <c r="I565" s="83"/>
      <c r="J565" s="90">
        <f t="shared" ref="J565:AM565" si="1779">MROUND(J597*J571, 5)</f>
        <v>1585</v>
      </c>
      <c r="K565" s="90">
        <f t="shared" si="1779"/>
        <v>3235</v>
      </c>
      <c r="L565" s="90">
        <f t="shared" si="1779"/>
        <v>2660</v>
      </c>
      <c r="M565" s="90">
        <f t="shared" si="1779"/>
        <v>2660</v>
      </c>
      <c r="N565" s="90">
        <f t="shared" si="1779"/>
        <v>3160</v>
      </c>
      <c r="O565" s="90">
        <f t="shared" si="1779"/>
        <v>2800</v>
      </c>
      <c r="P565" s="90">
        <f t="shared" si="1779"/>
        <v>3020</v>
      </c>
      <c r="Q565" s="90">
        <f t="shared" si="1779"/>
        <v>3160</v>
      </c>
      <c r="R565" s="90">
        <f t="shared" si="1779"/>
        <v>3160</v>
      </c>
      <c r="S565" s="90">
        <f t="shared" si="1779"/>
        <v>3025</v>
      </c>
      <c r="T565" s="90">
        <f t="shared" si="1779"/>
        <v>3300</v>
      </c>
      <c r="U565" s="90">
        <f t="shared" si="1779"/>
        <v>3160</v>
      </c>
      <c r="V565" s="90">
        <f t="shared" si="1779"/>
        <v>3480</v>
      </c>
      <c r="W565" s="90">
        <f t="shared" si="1779"/>
        <v>3480</v>
      </c>
      <c r="X565" s="90">
        <f t="shared" si="1779"/>
        <v>4455</v>
      </c>
      <c r="Y565" s="90">
        <f t="shared" si="1779"/>
        <v>4515</v>
      </c>
      <c r="Z565" s="90">
        <f t="shared" si="1779"/>
        <v>3925</v>
      </c>
      <c r="AA565" s="90">
        <f t="shared" si="1779"/>
        <v>3465</v>
      </c>
      <c r="AB565" s="90">
        <f t="shared" si="1779"/>
        <v>3465</v>
      </c>
      <c r="AC565" s="90">
        <f t="shared" si="1779"/>
        <v>3465</v>
      </c>
      <c r="AD565" s="90">
        <f t="shared" si="1779"/>
        <v>3445</v>
      </c>
      <c r="AE565" s="90">
        <f t="shared" si="1779"/>
        <v>3545</v>
      </c>
      <c r="AF565" s="90">
        <f t="shared" si="1779"/>
        <v>3980</v>
      </c>
      <c r="AG565" s="90">
        <f t="shared" si="1779"/>
        <v>3980</v>
      </c>
      <c r="AH565" s="90">
        <f t="shared" si="1779"/>
        <v>4120</v>
      </c>
      <c r="AI565" s="90">
        <f t="shared" si="1779"/>
        <v>4175</v>
      </c>
      <c r="AJ565" s="90">
        <f t="shared" si="1779"/>
        <v>4340</v>
      </c>
      <c r="AK565" s="90">
        <f t="shared" si="1779"/>
        <v>4360</v>
      </c>
      <c r="AL565" s="90">
        <f t="shared" si="1779"/>
        <v>4360</v>
      </c>
      <c r="AM565" s="90">
        <f t="shared" si="1779"/>
        <v>5070</v>
      </c>
      <c r="AN565" s="90"/>
      <c r="AO565" s="90"/>
    </row>
    <row r="566" spans="1:71" s="57" customFormat="1">
      <c r="A566" s="57" t="s">
        <v>329</v>
      </c>
      <c r="I566" s="91"/>
      <c r="J566" s="90">
        <f t="shared" ref="J566:AG566" si="1780">J567-J562</f>
        <v>3762.0065643573107</v>
      </c>
      <c r="K566" s="90">
        <f t="shared" si="1780"/>
        <v>6277.4955752212372</v>
      </c>
      <c r="L566" s="90">
        <f t="shared" si="1780"/>
        <v>6483.0572289156626</v>
      </c>
      <c r="M566" s="90">
        <f t="shared" si="1780"/>
        <v>6483.0572289156626</v>
      </c>
      <c r="N566" s="109">
        <f t="shared" si="1780"/>
        <v>11072.471503528133</v>
      </c>
      <c r="O566" s="90">
        <f t="shared" si="1780"/>
        <v>7820.5512019019079</v>
      </c>
      <c r="P566" s="109">
        <f t="shared" si="1780"/>
        <v>1665.4234234234173</v>
      </c>
      <c r="Q566" s="90">
        <f t="shared" si="1780"/>
        <v>8189.4585097756499</v>
      </c>
      <c r="R566" s="90">
        <f t="shared" si="1780"/>
        <v>8189.4585097756499</v>
      </c>
      <c r="S566" s="122">
        <f t="shared" si="1780"/>
        <v>7228.8802300770039</v>
      </c>
      <c r="T566" s="90">
        <f t="shared" si="1780"/>
        <v>8243.8009636767965</v>
      </c>
      <c r="U566" s="122">
        <f t="shared" si="1780"/>
        <v>6474.3519532676146</v>
      </c>
      <c r="V566" s="122">
        <f t="shared" si="1780"/>
        <v>6269.7417991362599</v>
      </c>
      <c r="W566" s="122">
        <f t="shared" si="1780"/>
        <v>6269.7417991362672</v>
      </c>
      <c r="X566" s="122">
        <f t="shared" si="1780"/>
        <v>6166.4005940226489</v>
      </c>
      <c r="Y566" s="122">
        <f t="shared" si="1780"/>
        <v>8673.3606315133075</v>
      </c>
      <c r="Z566" s="122">
        <f t="shared" si="1780"/>
        <v>8450.8826421099657</v>
      </c>
      <c r="AA566" s="122">
        <f t="shared" si="1780"/>
        <v>8557.5698589451349</v>
      </c>
      <c r="AB566" s="122">
        <f t="shared" si="1780"/>
        <v>8557.5698589451204</v>
      </c>
      <c r="AC566" s="122">
        <f t="shared" si="1780"/>
        <v>9534.610844957162</v>
      </c>
      <c r="AD566" s="122">
        <f t="shared" si="1780"/>
        <v>9660.3734650819679</v>
      </c>
      <c r="AE566" s="122">
        <f t="shared" si="1780"/>
        <v>9333.334561117008</v>
      </c>
      <c r="AF566" s="122">
        <f t="shared" si="1780"/>
        <v>9128.1395630646439</v>
      </c>
      <c r="AG566" s="122">
        <f t="shared" si="1780"/>
        <v>9128.1395630646439</v>
      </c>
      <c r="AH566" s="122">
        <f t="shared" ref="AH566:AI566" si="1781">AH567-AH562</f>
        <v>8201.0886742756848</v>
      </c>
      <c r="AI566" s="122">
        <f t="shared" si="1781"/>
        <v>8202.3064705476136</v>
      </c>
      <c r="AJ566" s="122">
        <f t="shared" ref="AJ566:AK566" si="1782">AJ567-AJ562</f>
        <v>8198.3873398643555</v>
      </c>
      <c r="AK566" s="122">
        <f t="shared" si="1782"/>
        <v>8199.0069647270284</v>
      </c>
      <c r="AL566" s="122">
        <f t="shared" ref="AL566:AM566" si="1783">AL567-AL562</f>
        <v>8199.0069647270284</v>
      </c>
      <c r="AM566" s="122">
        <f t="shared" si="1783"/>
        <v>9400.3124353403691</v>
      </c>
      <c r="AN566" s="122">
        <f t="shared" ref="AN566:AR566" si="1784">AN567-AN562</f>
        <v>-1.1398582698166138</v>
      </c>
      <c r="AO566" s="122">
        <f t="shared" si="1784"/>
        <v>-0.19671437636134215</v>
      </c>
      <c r="AP566" s="122">
        <f t="shared" si="1784"/>
        <v>-2.2052704576999531</v>
      </c>
      <c r="AQ566" s="122">
        <f t="shared" si="1784"/>
        <v>-2.2061298350454308</v>
      </c>
      <c r="AR566" s="122">
        <f t="shared" si="1784"/>
        <v>2.3797106847923715</v>
      </c>
      <c r="AS566" s="122">
        <f t="shared" ref="AS566:AW566" si="1785">AS567-AS562</f>
        <v>-1.6324528830664349</v>
      </c>
      <c r="AT566" s="122">
        <f t="shared" si="1785"/>
        <v>1.2416234669362893</v>
      </c>
      <c r="AU566" s="122">
        <f t="shared" si="1785"/>
        <v>-0.71294810059043812</v>
      </c>
      <c r="AV566" s="122">
        <f t="shared" si="1785"/>
        <v>-0.71294810059771407</v>
      </c>
      <c r="AW566" s="122">
        <f t="shared" si="1785"/>
        <v>-1.9656791657980648</v>
      </c>
      <c r="AX566" s="122">
        <f t="shared" ref="AX566:AY566" si="1786">AX567-AX562</f>
        <v>1.5878559914053767</v>
      </c>
      <c r="AY566" s="122">
        <f t="shared" si="1786"/>
        <v>0.83163004598463885</v>
      </c>
    </row>
    <row r="567" spans="1:71">
      <c r="A567" s="9" t="s">
        <v>320</v>
      </c>
      <c r="B567" s="9"/>
      <c r="C567" s="9"/>
      <c r="D567" s="9"/>
      <c r="E567" s="9"/>
      <c r="F567" s="9"/>
      <c r="G567" s="9"/>
      <c r="H567" s="9"/>
      <c r="I567" s="48"/>
      <c r="J567" s="48">
        <f t="shared" ref="J567:T567" si="1787">J726</f>
        <v>20200</v>
      </c>
      <c r="K567" s="48">
        <f t="shared" si="1787"/>
        <v>29800</v>
      </c>
      <c r="L567" s="48">
        <f t="shared" si="1787"/>
        <v>33100</v>
      </c>
      <c r="M567" s="48">
        <f t="shared" si="1787"/>
        <v>33100</v>
      </c>
      <c r="N567" s="48">
        <f t="shared" si="1787"/>
        <v>37600</v>
      </c>
      <c r="O567" s="48">
        <f t="shared" si="1787"/>
        <v>40800</v>
      </c>
      <c r="P567" s="48">
        <f t="shared" si="1787"/>
        <v>60300</v>
      </c>
      <c r="Q567" s="48">
        <f t="shared" si="1787"/>
        <v>72300</v>
      </c>
      <c r="R567" s="48">
        <f t="shared" si="1787"/>
        <v>72300</v>
      </c>
      <c r="S567" s="48">
        <f t="shared" si="1787"/>
        <v>82200</v>
      </c>
      <c r="T567" s="48">
        <f t="shared" si="1787"/>
        <v>77600</v>
      </c>
      <c r="U567" s="48">
        <f t="shared" ref="U567:V567" si="1788">U726</f>
        <v>79800</v>
      </c>
      <c r="V567" s="48">
        <f t="shared" si="1788"/>
        <v>69600</v>
      </c>
      <c r="W567" s="48">
        <f t="shared" ref="W567:AG567" si="1789">W726</f>
        <v>69600</v>
      </c>
      <c r="X567" s="48">
        <f t="shared" si="1789"/>
        <v>71500</v>
      </c>
      <c r="Y567" s="48">
        <f t="shared" si="1789"/>
        <v>76400</v>
      </c>
      <c r="Z567" s="48">
        <f t="shared" si="1789"/>
        <v>90000</v>
      </c>
      <c r="AA567" s="48">
        <f t="shared" si="1789"/>
        <v>120700</v>
      </c>
      <c r="AB567" s="48">
        <f t="shared" si="1789"/>
        <v>120700</v>
      </c>
      <c r="AC567" s="48">
        <f t="shared" si="1789"/>
        <v>120100</v>
      </c>
      <c r="AD567" s="48">
        <f t="shared" si="1789"/>
        <v>104600</v>
      </c>
      <c r="AE567" s="48">
        <f t="shared" si="1789"/>
        <v>101600</v>
      </c>
      <c r="AF567" s="48">
        <f t="shared" si="1789"/>
        <v>78600</v>
      </c>
      <c r="AG567" s="48">
        <f t="shared" si="1789"/>
        <v>78600</v>
      </c>
      <c r="AH567" s="48">
        <f t="shared" ref="AH567:AI567" si="1790">AH726</f>
        <v>66300</v>
      </c>
      <c r="AI567" s="48">
        <f t="shared" si="1790"/>
        <v>60600</v>
      </c>
      <c r="AJ567" s="48">
        <f t="shared" ref="AJ567:AK567" si="1791">AJ726</f>
        <v>56600</v>
      </c>
      <c r="AK567" s="48">
        <f t="shared" si="1791"/>
        <v>55900</v>
      </c>
      <c r="AL567" s="48">
        <f t="shared" ref="AL567:AM567" si="1792">AL726</f>
        <v>55900</v>
      </c>
      <c r="AM567" s="48">
        <f t="shared" si="1792"/>
        <v>56300</v>
      </c>
      <c r="AN567" s="48">
        <f t="shared" ref="AN567:AT567" si="1793">AN726</f>
        <v>42300</v>
      </c>
      <c r="AO567" s="48">
        <f t="shared" si="1793"/>
        <v>42200</v>
      </c>
      <c r="AP567" s="48">
        <f t="shared" si="1793"/>
        <v>39900</v>
      </c>
      <c r="AQ567" s="48">
        <f t="shared" si="1793"/>
        <v>39900</v>
      </c>
      <c r="AR567" s="48">
        <f t="shared" si="1793"/>
        <v>41800</v>
      </c>
      <c r="AS567" s="48">
        <f t="shared" ref="AS567" si="1794">AS726</f>
        <v>43900</v>
      </c>
      <c r="AT567" s="48">
        <f t="shared" si="1793"/>
        <v>42100</v>
      </c>
      <c r="AU567" s="48">
        <f t="shared" ref="AU567:BS567" si="1795">AU726</f>
        <v>43300</v>
      </c>
      <c r="AV567" s="48">
        <f t="shared" si="1795"/>
        <v>43300</v>
      </c>
      <c r="AW567" s="48">
        <f t="shared" si="1795"/>
        <v>45600</v>
      </c>
      <c r="AX567" s="48">
        <f t="shared" si="1795"/>
        <v>50100</v>
      </c>
      <c r="AY567" s="48">
        <f t="shared" si="1795"/>
        <v>45200</v>
      </c>
      <c r="AZ567" s="48">
        <f t="shared" si="1795"/>
        <v>43310</v>
      </c>
      <c r="BA567" s="48">
        <f t="shared" si="1795"/>
        <v>43310</v>
      </c>
      <c r="BB567" s="48">
        <f t="shared" si="1795"/>
        <v>40045</v>
      </c>
      <c r="BC567" s="48">
        <f t="shared" si="1795"/>
        <v>36785</v>
      </c>
      <c r="BD567" s="48">
        <f t="shared" si="1795"/>
        <v>33535</v>
      </c>
      <c r="BE567" s="48">
        <f t="shared" si="1795"/>
        <v>30300</v>
      </c>
      <c r="BF567" s="48">
        <f t="shared" si="1795"/>
        <v>30300</v>
      </c>
      <c r="BG567" s="48">
        <f t="shared" si="1795"/>
        <v>27780</v>
      </c>
      <c r="BH567" s="48">
        <f t="shared" si="1795"/>
        <v>25220</v>
      </c>
      <c r="BI567" s="48">
        <f t="shared" si="1795"/>
        <v>22615</v>
      </c>
      <c r="BJ567" s="48">
        <f t="shared" si="1795"/>
        <v>19960</v>
      </c>
      <c r="BK567" s="48">
        <f t="shared" si="1795"/>
        <v>19960</v>
      </c>
      <c r="BL567" s="48">
        <f t="shared" si="1795"/>
        <v>17255</v>
      </c>
      <c r="BM567" s="48">
        <f t="shared" si="1795"/>
        <v>14505</v>
      </c>
      <c r="BN567" s="48">
        <f t="shared" si="1795"/>
        <v>11705</v>
      </c>
      <c r="BO567" s="48">
        <f t="shared" si="1795"/>
        <v>8855</v>
      </c>
      <c r="BP567" s="48">
        <f t="shared" si="1795"/>
        <v>8855</v>
      </c>
      <c r="BQ567" s="48">
        <f t="shared" si="1795"/>
        <v>5955</v>
      </c>
      <c r="BR567" s="48">
        <f t="shared" si="1795"/>
        <v>3000</v>
      </c>
      <c r="BS567" s="48">
        <f t="shared" si="1795"/>
        <v>0</v>
      </c>
    </row>
    <row r="568" spans="1:71">
      <c r="I568" s="65"/>
      <c r="J568" s="65"/>
      <c r="K568" s="65"/>
      <c r="L568" s="65"/>
      <c r="M568" s="65"/>
      <c r="N568" s="65"/>
      <c r="P568" s="66" t="s">
        <v>380</v>
      </c>
      <c r="Q568" s="46"/>
      <c r="R568" s="111"/>
      <c r="S568" s="46"/>
      <c r="T568" s="46"/>
      <c r="W568" s="36"/>
    </row>
    <row r="569" spans="1:71">
      <c r="A569" s="57" t="s">
        <v>330</v>
      </c>
      <c r="I569" s="65"/>
      <c r="J569" s="65"/>
      <c r="K569" s="65"/>
      <c r="L569" s="65"/>
      <c r="M569" s="65"/>
      <c r="N569" s="184" t="s">
        <v>373</v>
      </c>
      <c r="O569" s="185"/>
      <c r="P569" s="185"/>
      <c r="Q569" s="185"/>
      <c r="R569" s="111"/>
      <c r="S569" s="46"/>
      <c r="T569" s="46"/>
      <c r="W569" s="36"/>
      <c r="AM569" s="116" t="s">
        <v>679</v>
      </c>
      <c r="AN569" s="115"/>
      <c r="AO569" s="115"/>
      <c r="AP569" s="115"/>
      <c r="AQ569" s="115"/>
    </row>
    <row r="570" spans="1:71">
      <c r="A570" s="94" t="s">
        <v>331</v>
      </c>
      <c r="B570" s="9"/>
      <c r="C570" s="9"/>
      <c r="D570" s="9"/>
      <c r="E570" s="9"/>
      <c r="F570" s="9"/>
      <c r="G570" s="9"/>
      <c r="H570" s="9"/>
      <c r="I570" s="48"/>
      <c r="J570" s="186">
        <f>24.99%*J571/8200</f>
        <v>0.11580731707317071</v>
      </c>
      <c r="K570" s="187">
        <f>L570</f>
        <v>0.19700000000000001</v>
      </c>
      <c r="L570" s="188">
        <v>0.19700000000000001</v>
      </c>
      <c r="M570" s="186">
        <f>L570</f>
        <v>0.19700000000000001</v>
      </c>
      <c r="N570" s="188">
        <v>0.21959999999999999</v>
      </c>
      <c r="O570" s="188">
        <v>0.24540000000000001</v>
      </c>
      <c r="P570" s="188">
        <v>0.24990000000000001</v>
      </c>
      <c r="Q570" s="188">
        <v>0.24990000000000001</v>
      </c>
      <c r="R570" s="186">
        <f>Q570</f>
        <v>0.24990000000000001</v>
      </c>
      <c r="S570" s="188">
        <v>0.24990000000000001</v>
      </c>
      <c r="T570" s="188">
        <v>0.24990000000000001</v>
      </c>
      <c r="U570" s="188">
        <v>0.24990000000000001</v>
      </c>
      <c r="V570" s="188">
        <v>0.24990000000000001</v>
      </c>
      <c r="W570" s="186">
        <f>V570</f>
        <v>0.24990000000000001</v>
      </c>
      <c r="X570" s="188">
        <v>0.24990000000000001</v>
      </c>
      <c r="Y570" s="188">
        <v>0.24990000000000001</v>
      </c>
      <c r="Z570" s="188">
        <v>0.24990000000000001</v>
      </c>
      <c r="AA570" s="188">
        <v>0.24990000000000001</v>
      </c>
      <c r="AB570" s="186">
        <f>AA570</f>
        <v>0.24990000000000001</v>
      </c>
      <c r="AC570" s="188">
        <v>0.24990000000000001</v>
      </c>
      <c r="AD570" s="188">
        <v>0.24990000000000001</v>
      </c>
      <c r="AE570" s="188">
        <v>0.24990000000000001</v>
      </c>
      <c r="AF570" s="188">
        <v>0.24990000000000001</v>
      </c>
      <c r="AG570" s="186">
        <f>AF570</f>
        <v>0.24990000000000001</v>
      </c>
      <c r="AH570" s="188">
        <v>0.24990000000000001</v>
      </c>
      <c r="AI570" s="188">
        <v>0.24990000000000001</v>
      </c>
      <c r="AJ570" s="188">
        <v>0.24990000000000001</v>
      </c>
      <c r="AK570" s="188">
        <v>0.24990000000000001</v>
      </c>
      <c r="AL570" s="186">
        <f>AK570</f>
        <v>0.24990000000000001</v>
      </c>
      <c r="AM570" s="188">
        <v>0.24990000000000001</v>
      </c>
      <c r="AN570" s="188">
        <v>0</v>
      </c>
      <c r="AO570" s="188">
        <v>0</v>
      </c>
      <c r="AP570" s="188">
        <v>0</v>
      </c>
      <c r="AQ570" s="188">
        <v>0</v>
      </c>
      <c r="AR570" s="188">
        <v>0</v>
      </c>
      <c r="AS570" s="188">
        <v>0</v>
      </c>
      <c r="AT570" s="188">
        <v>0</v>
      </c>
    </row>
    <row r="571" spans="1:71">
      <c r="A571" s="25" t="s">
        <v>332</v>
      </c>
      <c r="I571" s="65"/>
      <c r="J571" s="93">
        <v>3800</v>
      </c>
      <c r="K571" s="91">
        <f>8200*K570/24.99%</f>
        <v>6464.1856742697091</v>
      </c>
      <c r="L571" s="91">
        <f>8200*L570/24.99%</f>
        <v>6464.1856742697091</v>
      </c>
      <c r="M571" s="91">
        <f>L571</f>
        <v>6464.1856742697091</v>
      </c>
      <c r="N571" s="110">
        <f>8200*N570/24.99%</f>
        <v>7205.7623049219692</v>
      </c>
      <c r="O571" s="91">
        <f>8200*O570/24.99%</f>
        <v>8052.3409363745504</v>
      </c>
      <c r="P571" s="91">
        <f>8200*P570/24.99%</f>
        <v>8200.0000000000018</v>
      </c>
      <c r="Q571" s="91">
        <f>8200*Q570/24.99%</f>
        <v>8200.0000000000018</v>
      </c>
      <c r="R571" s="91">
        <f>Q571</f>
        <v>8200.0000000000018</v>
      </c>
      <c r="S571" s="91">
        <f>8200*S570/24.99%</f>
        <v>8200.0000000000018</v>
      </c>
      <c r="T571" s="91">
        <f>8200*T570/24.99%</f>
        <v>8200.0000000000018</v>
      </c>
      <c r="U571" s="91">
        <f>8200*U570/24.99%</f>
        <v>8200.0000000000018</v>
      </c>
      <c r="V571" s="91">
        <f>8200*V570/24.99%</f>
        <v>8200.0000000000018</v>
      </c>
      <c r="W571" s="91">
        <f>V571</f>
        <v>8200.0000000000018</v>
      </c>
      <c r="X571" s="91">
        <f>8200*X570/24.99%</f>
        <v>8200.0000000000018</v>
      </c>
      <c r="Y571" s="91">
        <f>8200*Y570/24.99%</f>
        <v>8200.0000000000018</v>
      </c>
      <c r="Z571" s="91">
        <f>8200*Z570/24.99%</f>
        <v>8200.0000000000018</v>
      </c>
      <c r="AA571" s="91">
        <f>8200*AA570/24.99%</f>
        <v>8200.0000000000018</v>
      </c>
      <c r="AB571" s="91">
        <f>AA571</f>
        <v>8200.0000000000018</v>
      </c>
      <c r="AC571" s="91">
        <f>8200*AC570/24.99%</f>
        <v>8200.0000000000018</v>
      </c>
      <c r="AD571" s="91">
        <f>8200*AD570/24.99%</f>
        <v>8200.0000000000018</v>
      </c>
      <c r="AE571" s="91">
        <f>8200*AE570/24.99%</f>
        <v>8200.0000000000018</v>
      </c>
      <c r="AF571" s="91">
        <f>8200*AF570/24.99%</f>
        <v>8200.0000000000018</v>
      </c>
      <c r="AG571" s="91">
        <f>AF571</f>
        <v>8200.0000000000018</v>
      </c>
      <c r="AH571" s="91">
        <f>8200*AH570/24.99%</f>
        <v>8200.0000000000018</v>
      </c>
      <c r="AI571" s="91">
        <f>8200*AI570/24.99%</f>
        <v>8200.0000000000018</v>
      </c>
      <c r="AJ571" s="91">
        <f>8200*AJ570/24.99%</f>
        <v>8200.0000000000018</v>
      </c>
      <c r="AK571" s="91">
        <f>8200*AK570/24.99%</f>
        <v>8200.0000000000018</v>
      </c>
      <c r="AL571" s="91">
        <f>AK571</f>
        <v>8200.0000000000018</v>
      </c>
      <c r="AM571" s="73">
        <f>8200*AM570/24.99%+1200</f>
        <v>9400.0000000000018</v>
      </c>
      <c r="AN571" s="56">
        <v>0</v>
      </c>
      <c r="AO571" s="36"/>
    </row>
    <row r="572" spans="1:71">
      <c r="I572" s="65"/>
      <c r="J572" s="25" t="s">
        <v>288</v>
      </c>
      <c r="R572" s="36"/>
      <c r="W572" s="36"/>
      <c r="AS572" s="116" t="s">
        <v>1182</v>
      </c>
      <c r="AT572" s="115"/>
      <c r="AU572" s="115"/>
    </row>
    <row r="573" spans="1:71">
      <c r="A573" s="1" t="s">
        <v>687</v>
      </c>
      <c r="I573" s="65"/>
      <c r="J573" s="25"/>
      <c r="R573" s="36"/>
      <c r="W573" s="36"/>
      <c r="AN573" s="214">
        <v>16100</v>
      </c>
      <c r="AO573" s="214">
        <v>16100</v>
      </c>
      <c r="AP573" s="214">
        <v>16100</v>
      </c>
      <c r="AQ573" s="214">
        <v>16100</v>
      </c>
      <c r="AR573" s="214">
        <v>16100</v>
      </c>
      <c r="AS573" s="214">
        <v>16100</v>
      </c>
      <c r="AT573" s="214">
        <v>16100</v>
      </c>
      <c r="AU573" s="214">
        <v>16100</v>
      </c>
      <c r="AV573" s="214">
        <v>16100</v>
      </c>
      <c r="AW573" s="214">
        <v>16100</v>
      </c>
      <c r="AX573" s="214">
        <v>16100</v>
      </c>
    </row>
    <row r="574" spans="1:71">
      <c r="A574" s="1" t="s">
        <v>688</v>
      </c>
      <c r="I574" s="65"/>
      <c r="J574" s="25"/>
      <c r="R574" s="36"/>
      <c r="W574" s="36"/>
      <c r="AN574" s="214">
        <v>-4100</v>
      </c>
      <c r="AO574" s="214">
        <v>-4100</v>
      </c>
      <c r="AP574" s="214">
        <v>-4100</v>
      </c>
      <c r="AQ574" s="214">
        <v>-4100</v>
      </c>
      <c r="AR574" s="214">
        <v>-4100</v>
      </c>
      <c r="AS574" s="73">
        <f t="shared" ref="AS574:AX574" si="1796">AR574-AS579</f>
        <v>-8200</v>
      </c>
      <c r="AT574" s="73">
        <f t="shared" si="1796"/>
        <v>-8200</v>
      </c>
      <c r="AU574" s="73">
        <f t="shared" si="1796"/>
        <v>-12300</v>
      </c>
      <c r="AV574" s="73">
        <f t="shared" si="1796"/>
        <v>-12300</v>
      </c>
      <c r="AW574" s="73">
        <f t="shared" si="1796"/>
        <v>-12300</v>
      </c>
      <c r="AX574" s="73">
        <f t="shared" si="1796"/>
        <v>-16100</v>
      </c>
    </row>
    <row r="575" spans="1:71">
      <c r="A575" s="1" t="s">
        <v>689</v>
      </c>
      <c r="I575" s="65"/>
      <c r="J575" s="25"/>
      <c r="R575" s="36"/>
      <c r="W575" s="36"/>
      <c r="AN575" s="214">
        <v>-1000</v>
      </c>
      <c r="AO575" s="73">
        <f>AN575+165</f>
        <v>-835</v>
      </c>
      <c r="AP575" s="73">
        <f>AO575+165</f>
        <v>-670</v>
      </c>
      <c r="AQ575" s="83">
        <f>AP575</f>
        <v>-670</v>
      </c>
      <c r="AR575" s="73">
        <f>AQ575+165</f>
        <v>-505</v>
      </c>
      <c r="AS575" s="214">
        <f>-(AS573+AS574-(AS585-AS584))</f>
        <v>-335</v>
      </c>
      <c r="AT575" s="73">
        <f>AS575+105</f>
        <v>-230</v>
      </c>
      <c r="AU575" s="214">
        <f>-(AU573+AU574-(AU588-AU587))</f>
        <v>-110</v>
      </c>
      <c r="AV575" s="83">
        <f>AU575</f>
        <v>-110</v>
      </c>
      <c r="AW575" s="73">
        <f>AV575+55</f>
        <v>-55</v>
      </c>
      <c r="AX575" s="214">
        <f>-(AX573+AX574-(AX591-AX590))</f>
        <v>0</v>
      </c>
    </row>
    <row r="576" spans="1:71">
      <c r="A576" s="9" t="s">
        <v>690</v>
      </c>
      <c r="B576" s="9"/>
      <c r="C576" s="9"/>
      <c r="D576" s="9"/>
      <c r="E576" s="9"/>
      <c r="F576" s="9"/>
      <c r="G576" s="9"/>
      <c r="H576" s="9"/>
      <c r="I576" s="48"/>
      <c r="J576" s="137"/>
      <c r="K576" s="9"/>
      <c r="L576" s="9"/>
      <c r="M576" s="9"/>
      <c r="N576" s="9"/>
      <c r="O576" s="9"/>
      <c r="P576" s="9"/>
      <c r="Q576" s="9"/>
      <c r="R576" s="39"/>
      <c r="S576" s="9"/>
      <c r="T576" s="9"/>
      <c r="U576" s="9"/>
      <c r="V576" s="9"/>
      <c r="W576" s="39"/>
      <c r="X576" s="9"/>
      <c r="Y576" s="9"/>
      <c r="Z576" s="9"/>
      <c r="AA576" s="9"/>
      <c r="AB576" s="9"/>
      <c r="AC576" s="9"/>
      <c r="AD576" s="9"/>
      <c r="AE576" s="9"/>
      <c r="AF576" s="9"/>
      <c r="AG576" s="9"/>
      <c r="AH576" s="9"/>
      <c r="AI576" s="9"/>
      <c r="AJ576" s="9"/>
      <c r="AK576" s="9"/>
      <c r="AL576" s="9"/>
      <c r="AM576" s="9"/>
      <c r="AN576" s="39">
        <f t="shared" ref="AN576:AX576" si="1797">SUM(AN573:AN575)</f>
        <v>11000</v>
      </c>
      <c r="AO576" s="39">
        <f t="shared" si="1797"/>
        <v>11165</v>
      </c>
      <c r="AP576" s="39">
        <f t="shared" si="1797"/>
        <v>11330</v>
      </c>
      <c r="AQ576" s="39">
        <f t="shared" si="1797"/>
        <v>11330</v>
      </c>
      <c r="AR576" s="39">
        <f t="shared" si="1797"/>
        <v>11495</v>
      </c>
      <c r="AS576" s="39">
        <f t="shared" si="1797"/>
        <v>7565</v>
      </c>
      <c r="AT576" s="39">
        <f t="shared" si="1797"/>
        <v>7670</v>
      </c>
      <c r="AU576" s="39">
        <f t="shared" si="1797"/>
        <v>3690</v>
      </c>
      <c r="AV576" s="39">
        <f t="shared" si="1797"/>
        <v>3690</v>
      </c>
      <c r="AW576" s="39">
        <f t="shared" si="1797"/>
        <v>3745</v>
      </c>
      <c r="AX576" s="39">
        <f t="shared" si="1797"/>
        <v>0</v>
      </c>
    </row>
    <row r="577" spans="1:53">
      <c r="A577" s="1" t="s">
        <v>691</v>
      </c>
      <c r="I577" s="65"/>
      <c r="J577" s="25"/>
      <c r="R577" s="36"/>
      <c r="W577" s="36"/>
      <c r="AN577" s="36">
        <f t="shared" ref="AN577:AU577" si="1798">MROUND(AN596*AN576, 5)</f>
        <v>5960</v>
      </c>
      <c r="AO577" s="36">
        <f t="shared" si="1798"/>
        <v>5985</v>
      </c>
      <c r="AP577" s="36">
        <f t="shared" si="1798"/>
        <v>6075</v>
      </c>
      <c r="AQ577" s="36">
        <f t="shared" si="1798"/>
        <v>6070</v>
      </c>
      <c r="AR577" s="36">
        <f t="shared" si="1798"/>
        <v>6200</v>
      </c>
      <c r="AS577" s="36">
        <f t="shared" si="1798"/>
        <v>4065</v>
      </c>
      <c r="AT577" s="36">
        <f t="shared" si="1798"/>
        <v>4130</v>
      </c>
      <c r="AU577" s="36">
        <f t="shared" si="1798"/>
        <v>1980</v>
      </c>
    </row>
    <row r="578" spans="1:53">
      <c r="I578" s="65"/>
      <c r="J578" s="25"/>
      <c r="R578" s="36"/>
      <c r="W578" s="36"/>
      <c r="AN578" s="22" t="s">
        <v>1229</v>
      </c>
      <c r="AO578" s="36"/>
      <c r="AP578" s="36"/>
      <c r="AQ578" s="36"/>
      <c r="AR578" s="36"/>
      <c r="AS578" s="22" t="s">
        <v>1226</v>
      </c>
      <c r="AU578" s="22" t="s">
        <v>1227</v>
      </c>
      <c r="AX578" s="22" t="s">
        <v>1237</v>
      </c>
    </row>
    <row r="579" spans="1:53">
      <c r="A579" s="1" t="s">
        <v>1183</v>
      </c>
      <c r="I579" s="65"/>
      <c r="J579" s="25"/>
      <c r="R579" s="36"/>
      <c r="W579" s="36"/>
      <c r="AI579" s="36"/>
      <c r="AJ579" s="36"/>
      <c r="AK579" s="142" t="s">
        <v>1228</v>
      </c>
      <c r="AL579" s="209">
        <v>0.06</v>
      </c>
      <c r="AN579" s="73">
        <v>4100</v>
      </c>
      <c r="AR579" s="36"/>
      <c r="AS579" s="73">
        <v>4100</v>
      </c>
      <c r="AU579" s="73">
        <v>4100</v>
      </c>
      <c r="AX579" s="73">
        <v>3800</v>
      </c>
    </row>
    <row r="580" spans="1:53" outlineLevel="1">
      <c r="A580" s="1" t="s">
        <v>1230</v>
      </c>
      <c r="I580" s="65"/>
      <c r="J580" s="25"/>
      <c r="R580" s="36"/>
      <c r="W580" s="36"/>
      <c r="AN580" s="321"/>
      <c r="AO580" s="322">
        <f>AN580+0.25</f>
        <v>0.25</v>
      </c>
      <c r="AP580" s="322">
        <f>AO580+0.25</f>
        <v>0.5</v>
      </c>
      <c r="AQ580" s="322">
        <f>AP580</f>
        <v>0.5</v>
      </c>
      <c r="AR580" s="322">
        <f>AQ580+0.25</f>
        <v>0.75</v>
      </c>
      <c r="AS580" s="322">
        <f>AR580+0.25</f>
        <v>1</v>
      </c>
      <c r="AT580" s="322">
        <f>AS580+0.25</f>
        <v>1.25</v>
      </c>
      <c r="AU580" s="322">
        <f>AT580+0.25</f>
        <v>1.5</v>
      </c>
      <c r="AV580" s="322">
        <f>AU580</f>
        <v>1.5</v>
      </c>
      <c r="AW580" s="322">
        <f>AV580+0.25</f>
        <v>1.75</v>
      </c>
      <c r="AX580" s="322">
        <f>AW580+0.25</f>
        <v>2</v>
      </c>
      <c r="AY580" s="322"/>
      <c r="AZ580" s="322"/>
      <c r="BA580" s="322"/>
    </row>
    <row r="581" spans="1:53" outlineLevel="1">
      <c r="A581" s="1" t="s">
        <v>1233</v>
      </c>
      <c r="I581" s="65"/>
      <c r="J581" s="25"/>
      <c r="R581" s="36"/>
      <c r="W581" s="36"/>
      <c r="AN581" s="36">
        <f>MROUND(AN579/(1+$AL$579)^(AN580), 5)</f>
        <v>4100</v>
      </c>
      <c r="AO581" s="36"/>
      <c r="AP581" s="36"/>
      <c r="AQ581" s="36"/>
      <c r="AR581" s="36"/>
      <c r="AS581" s="36">
        <f>MROUND(AS579/(1+$AL$579)^(AS580), 5)</f>
        <v>3870</v>
      </c>
      <c r="AU581" s="36">
        <f>MROUND(AU579/(1+$AL$579)^(AU580), 5)</f>
        <v>3755</v>
      </c>
      <c r="AX581" s="36">
        <f>MROUND(AX579/(1+$AL$579)^(AX580), 5)</f>
        <v>3380</v>
      </c>
    </row>
    <row r="582" spans="1:53" outlineLevel="1">
      <c r="A582" s="1" t="s">
        <v>1231</v>
      </c>
      <c r="I582" s="65"/>
      <c r="J582" s="25"/>
      <c r="R582" s="36"/>
      <c r="W582" s="36"/>
      <c r="AH582" s="324"/>
      <c r="AI582" s="323"/>
      <c r="AJ582" s="323"/>
      <c r="AK582" s="323"/>
      <c r="AL582" s="323"/>
      <c r="AM582" s="325" t="s">
        <v>1232</v>
      </c>
      <c r="AN582" s="170">
        <f>AN581+AS581+AU581+AX581</f>
        <v>15105</v>
      </c>
      <c r="AO582" s="59"/>
      <c r="AP582" s="59"/>
      <c r="AQ582" s="59"/>
      <c r="AR582" s="59"/>
      <c r="AS582" s="59"/>
      <c r="AT582" s="59"/>
      <c r="AU582" s="59"/>
      <c r="AV582" s="79"/>
      <c r="AW582" s="59"/>
      <c r="AX582" s="59"/>
    </row>
    <row r="583" spans="1:53" outlineLevel="1">
      <c r="A583" s="1" t="s">
        <v>1230</v>
      </c>
      <c r="I583" s="65"/>
      <c r="J583" s="25"/>
      <c r="R583" s="36"/>
      <c r="W583" s="36"/>
      <c r="AH583" s="320"/>
      <c r="AI583" s="36"/>
      <c r="AJ583" s="36"/>
      <c r="AK583" s="36"/>
      <c r="AL583" s="36"/>
      <c r="AM583" s="142"/>
      <c r="AN583" s="201"/>
      <c r="AO583" s="59"/>
      <c r="AP583" s="59"/>
      <c r="AQ583" s="59"/>
      <c r="AR583" s="59"/>
      <c r="AS583" s="59"/>
      <c r="AT583" s="322">
        <f>AS583+0.25</f>
        <v>0.25</v>
      </c>
      <c r="AU583" s="322">
        <f>AT583+0.25</f>
        <v>0.5</v>
      </c>
      <c r="AV583" s="322">
        <f>AU583</f>
        <v>0.5</v>
      </c>
      <c r="AW583" s="322">
        <f>AV583+0.25</f>
        <v>0.75</v>
      </c>
      <c r="AX583" s="322">
        <f>AW583+0.25</f>
        <v>1</v>
      </c>
    </row>
    <row r="584" spans="1:53" outlineLevel="1">
      <c r="A584" s="1" t="s">
        <v>1234</v>
      </c>
      <c r="I584" s="65"/>
      <c r="J584" s="25"/>
      <c r="R584" s="36"/>
      <c r="W584" s="36"/>
      <c r="AN584" s="36"/>
      <c r="AO584" s="36"/>
      <c r="AP584" s="36"/>
      <c r="AQ584" s="36"/>
      <c r="AR584" s="36"/>
      <c r="AS584" s="36">
        <f>MROUND(AS579/(1+$AL$579)^(AS583), 5)</f>
        <v>4100</v>
      </c>
      <c r="AU584" s="36">
        <f>MROUND(AU579/(1+$AL$579)^(AU583), 5)</f>
        <v>3980</v>
      </c>
      <c r="AX584" s="36">
        <f>MROUND(AX579/(1+$AL$579)^(AX583), 5)</f>
        <v>3585</v>
      </c>
    </row>
    <row r="585" spans="1:53" outlineLevel="1">
      <c r="A585" s="1" t="s">
        <v>1239</v>
      </c>
      <c r="I585" s="65"/>
      <c r="J585" s="25"/>
      <c r="R585" s="36"/>
      <c r="W585" s="36"/>
      <c r="AN585" s="36"/>
      <c r="AO585" s="36"/>
      <c r="AP585" s="36"/>
      <c r="AQ585" s="36"/>
      <c r="AR585" s="36"/>
      <c r="AS585" s="170">
        <f>AS584+AU584+AX584</f>
        <v>11665</v>
      </c>
      <c r="AU585" s="36"/>
      <c r="AX585" s="36"/>
    </row>
    <row r="586" spans="1:53" outlineLevel="1">
      <c r="A586" s="1" t="s">
        <v>1230</v>
      </c>
      <c r="I586" s="65"/>
      <c r="J586" s="25"/>
      <c r="R586" s="36"/>
      <c r="W586" s="36"/>
      <c r="AN586" s="36"/>
      <c r="AO586" s="36"/>
      <c r="AP586" s="36"/>
      <c r="AQ586" s="36"/>
      <c r="AR586" s="36"/>
      <c r="AW586" s="322">
        <f>AV586+0.25</f>
        <v>0.25</v>
      </c>
      <c r="AX586" s="322">
        <f>AW586+0.25</f>
        <v>0.5</v>
      </c>
    </row>
    <row r="587" spans="1:53" outlineLevel="1">
      <c r="A587" s="1" t="s">
        <v>1236</v>
      </c>
      <c r="I587" s="65"/>
      <c r="J587" s="25"/>
      <c r="R587" s="36"/>
      <c r="W587" s="36"/>
      <c r="AN587" s="36"/>
      <c r="AO587" s="36"/>
      <c r="AP587" s="36"/>
      <c r="AQ587" s="36"/>
      <c r="AR587" s="36"/>
      <c r="AU587" s="36">
        <f>MROUND(AU579/(1+$AL$579)^(AU586), 5)</f>
        <v>4100</v>
      </c>
      <c r="AX587" s="36">
        <f>MROUND(AX579/(1+$AL$579)^(AX586), 5)</f>
        <v>3690</v>
      </c>
    </row>
    <row r="588" spans="1:53" outlineLevel="1">
      <c r="A588" s="1" t="s">
        <v>1240</v>
      </c>
      <c r="I588" s="65"/>
      <c r="J588" s="25"/>
      <c r="R588" s="36"/>
      <c r="W588" s="36"/>
      <c r="AN588" s="36"/>
      <c r="AO588" s="36"/>
      <c r="AP588" s="36"/>
      <c r="AQ588" s="36"/>
      <c r="AR588" s="36"/>
      <c r="AU588" s="170">
        <f>AU587+AX587</f>
        <v>7790</v>
      </c>
      <c r="AX588" s="36"/>
    </row>
    <row r="589" spans="1:53" outlineLevel="1">
      <c r="A589" s="1" t="s">
        <v>1230</v>
      </c>
      <c r="I589" s="65"/>
      <c r="J589" s="25"/>
      <c r="R589" s="36"/>
      <c r="W589" s="36"/>
      <c r="AN589" s="36"/>
      <c r="AO589" s="36"/>
      <c r="AP589" s="36"/>
      <c r="AQ589" s="36"/>
      <c r="AR589" s="36"/>
      <c r="AX589" s="326" t="s">
        <v>1238</v>
      </c>
    </row>
    <row r="590" spans="1:53" outlineLevel="1">
      <c r="A590" s="1" t="s">
        <v>1235</v>
      </c>
      <c r="I590" s="65"/>
      <c r="J590" s="25"/>
      <c r="R590" s="36"/>
      <c r="W590" s="36"/>
      <c r="AN590" s="36"/>
      <c r="AO590" s="36"/>
      <c r="AP590" s="36"/>
      <c r="AQ590" s="36"/>
      <c r="AR590" s="36"/>
      <c r="AX590" s="36">
        <f>AX579</f>
        <v>3800</v>
      </c>
    </row>
    <row r="591" spans="1:53" outlineLevel="1">
      <c r="A591" s="1" t="s">
        <v>1241</v>
      </c>
      <c r="I591" s="65"/>
      <c r="J591" s="25"/>
      <c r="R591" s="36"/>
      <c r="W591" s="36"/>
      <c r="AN591" s="36"/>
      <c r="AO591" s="36"/>
      <c r="AP591" s="36"/>
      <c r="AQ591" s="36"/>
      <c r="AR591" s="36"/>
      <c r="AX591" s="170">
        <f>AX590</f>
        <v>3800</v>
      </c>
    </row>
    <row r="592" spans="1:53">
      <c r="I592" s="65"/>
      <c r="J592" s="25"/>
      <c r="R592" s="36"/>
      <c r="W592" s="36"/>
      <c r="AN592" s="36"/>
      <c r="AO592" s="36"/>
      <c r="AP592" s="36"/>
      <c r="AQ592" s="36"/>
      <c r="AR592" s="36"/>
    </row>
    <row r="593" spans="1:71" s="79" customFormat="1">
      <c r="A593" s="82" t="s">
        <v>692</v>
      </c>
      <c r="I593" s="83"/>
      <c r="J593" s="82"/>
      <c r="R593" s="59"/>
      <c r="W593" s="59"/>
      <c r="AN593" s="107">
        <f t="shared" ref="AN593:AS593" si="1799">MROUND(AN558+AN576, 5)</f>
        <v>19875</v>
      </c>
      <c r="AO593" s="107">
        <f t="shared" si="1799"/>
        <v>20595</v>
      </c>
      <c r="AP593" s="107">
        <f t="shared" si="1799"/>
        <v>20320</v>
      </c>
      <c r="AQ593" s="107">
        <f t="shared" si="1799"/>
        <v>20320</v>
      </c>
      <c r="AR593" s="107">
        <f>MROUND(AR558+AR576, 5)</f>
        <v>22005</v>
      </c>
      <c r="AS593" s="107">
        <f t="shared" si="1799"/>
        <v>23365</v>
      </c>
      <c r="AT593" s="107">
        <f>MROUND(AT558+AT576, 5)</f>
        <v>22890</v>
      </c>
      <c r="AU593" s="107">
        <f>MROUND(AU558+AU576, 5)</f>
        <v>22595</v>
      </c>
      <c r="AV593" s="107">
        <f t="shared" ref="AV593:AX593" si="1800">MROUND(AV558+AV576, 5)</f>
        <v>22595</v>
      </c>
      <c r="AW593" s="107">
        <f>MROUND(AW558+AW576, 5)</f>
        <v>24210</v>
      </c>
      <c r="AX593" s="107">
        <f t="shared" si="1800"/>
        <v>24720</v>
      </c>
      <c r="AY593" s="107">
        <f>MROUND(AY558+AY576, 5)</f>
        <v>22055</v>
      </c>
      <c r="AZ593" s="107">
        <f t="shared" ref="AZ593:BA593" si="1801">MROUND(AZ558+AZ576, 5)</f>
        <v>21050</v>
      </c>
      <c r="BA593" s="107">
        <f t="shared" si="1801"/>
        <v>21050</v>
      </c>
      <c r="BB593" s="107">
        <f t="shared" ref="BB593:BE593" si="1802">MROUND(BB558+BB576, 5)</f>
        <v>19515</v>
      </c>
      <c r="BC593" s="107">
        <f t="shared" si="1802"/>
        <v>17960</v>
      </c>
      <c r="BD593" s="107">
        <f t="shared" si="1802"/>
        <v>16425</v>
      </c>
      <c r="BE593" s="107">
        <f t="shared" si="1802"/>
        <v>14880</v>
      </c>
      <c r="BF593" s="107">
        <f t="shared" ref="BF593:BJ593" si="1803">MROUND(BF558+BF576, 5)</f>
        <v>14880</v>
      </c>
      <c r="BG593" s="107">
        <f t="shared" si="1803"/>
        <v>13675</v>
      </c>
      <c r="BH593" s="107">
        <f t="shared" si="1803"/>
        <v>12460</v>
      </c>
      <c r="BI593" s="107">
        <f t="shared" si="1803"/>
        <v>11235</v>
      </c>
      <c r="BJ593" s="107">
        <f t="shared" si="1803"/>
        <v>10700</v>
      </c>
      <c r="BK593" s="107">
        <f t="shared" ref="BK593:BP593" si="1804">MROUND(BK558+BK576, 5)</f>
        <v>10700</v>
      </c>
      <c r="BL593" s="107">
        <f t="shared" si="1804"/>
        <v>9255</v>
      </c>
      <c r="BM593" s="107">
        <f t="shared" si="1804"/>
        <v>7785</v>
      </c>
      <c r="BN593" s="107">
        <f t="shared" si="1804"/>
        <v>6285</v>
      </c>
      <c r="BO593" s="107">
        <f t="shared" si="1804"/>
        <v>4755</v>
      </c>
      <c r="BP593" s="107">
        <f t="shared" si="1804"/>
        <v>4755</v>
      </c>
      <c r="BQ593" s="107">
        <f t="shared" ref="BQ593:BR593" si="1805">MROUND(BQ558+BQ576, 5)</f>
        <v>3195</v>
      </c>
      <c r="BR593" s="107">
        <f t="shared" si="1805"/>
        <v>1615</v>
      </c>
      <c r="BS593" s="1"/>
    </row>
    <row r="594" spans="1:71" s="79" customFormat="1">
      <c r="A594" s="82" t="s">
        <v>693</v>
      </c>
      <c r="I594" s="83"/>
      <c r="J594" s="82"/>
      <c r="R594" s="59"/>
      <c r="W594" s="59"/>
      <c r="AN594" s="107">
        <f t="shared" ref="AN594:AU594" si="1806">MROUND(AN559, 5)</f>
        <v>16805</v>
      </c>
      <c r="AO594" s="107">
        <f t="shared" si="1806"/>
        <v>17815</v>
      </c>
      <c r="AP594" s="107">
        <f t="shared" si="1806"/>
        <v>17585</v>
      </c>
      <c r="AQ594" s="107">
        <f t="shared" si="1806"/>
        <v>17600</v>
      </c>
      <c r="AR594" s="107">
        <f t="shared" si="1806"/>
        <v>18800</v>
      </c>
      <c r="AS594" s="107">
        <f t="shared" si="1806"/>
        <v>20140</v>
      </c>
      <c r="AT594" s="107">
        <f t="shared" si="1806"/>
        <v>19635</v>
      </c>
      <c r="AU594" s="107">
        <f t="shared" si="1806"/>
        <v>19470</v>
      </c>
      <c r="AV594" s="107">
        <f t="shared" ref="AV594:AW594" si="1807">MROUND(AV559, 5)</f>
        <v>19470</v>
      </c>
      <c r="AW594" s="107">
        <f t="shared" si="1807"/>
        <v>20835</v>
      </c>
      <c r="AX594" s="107">
        <f>MROUND(AX559, 5)</f>
        <v>21155</v>
      </c>
      <c r="AY594" s="107">
        <f t="shared" ref="AY594" si="1808">MROUND(AY559, 5)</f>
        <v>19240</v>
      </c>
      <c r="AZ594" s="107">
        <f t="shared" ref="AZ594:BA594" si="1809">MROUND(AZ559, 5)</f>
        <v>18330</v>
      </c>
      <c r="BA594" s="107">
        <f t="shared" si="1809"/>
        <v>18330</v>
      </c>
      <c r="BB594" s="107">
        <f t="shared" ref="BB594:BE594" si="1810">MROUND(BB559, 5)</f>
        <v>16975</v>
      </c>
      <c r="BC594" s="107">
        <f t="shared" si="1810"/>
        <v>15605</v>
      </c>
      <c r="BD594" s="107">
        <f t="shared" si="1810"/>
        <v>14255</v>
      </c>
      <c r="BE594" s="107">
        <f t="shared" si="1810"/>
        <v>12900</v>
      </c>
      <c r="BF594" s="107">
        <f t="shared" ref="BF594:BJ594" si="1811">MROUND(BF559, 5)</f>
        <v>12900</v>
      </c>
      <c r="BG594" s="107">
        <f>MROUND(BG559, 5)</f>
        <v>11850</v>
      </c>
      <c r="BH594" s="107">
        <f t="shared" si="1811"/>
        <v>10795</v>
      </c>
      <c r="BI594" s="107">
        <f t="shared" si="1811"/>
        <v>9725</v>
      </c>
      <c r="BJ594" s="107">
        <f t="shared" si="1811"/>
        <v>9260</v>
      </c>
      <c r="BK594" s="107">
        <f t="shared" ref="BK594:BP594" si="1812">MROUND(BK559, 5)</f>
        <v>9260</v>
      </c>
      <c r="BL594" s="107">
        <f t="shared" si="1812"/>
        <v>8000</v>
      </c>
      <c r="BM594" s="107">
        <f t="shared" si="1812"/>
        <v>6720</v>
      </c>
      <c r="BN594" s="107">
        <f t="shared" si="1812"/>
        <v>5420</v>
      </c>
      <c r="BO594" s="107">
        <f t="shared" si="1812"/>
        <v>4100</v>
      </c>
      <c r="BP594" s="107">
        <f t="shared" si="1812"/>
        <v>4100</v>
      </c>
      <c r="BQ594" s="107">
        <f t="shared" ref="BQ594:BR594" si="1813">MROUND(BQ559, 5)</f>
        <v>2760</v>
      </c>
      <c r="BR594" s="107">
        <f t="shared" si="1813"/>
        <v>1385</v>
      </c>
      <c r="BS594" s="1"/>
    </row>
    <row r="595" spans="1:71" s="79" customFormat="1">
      <c r="A595" s="82"/>
      <c r="I595" s="83"/>
      <c r="J595" s="82"/>
      <c r="R595" s="59"/>
      <c r="W595" s="59"/>
      <c r="AE595" s="57"/>
      <c r="BS595" s="1"/>
    </row>
    <row r="596" spans="1:71">
      <c r="A596" s="1" t="s">
        <v>181</v>
      </c>
      <c r="I596" s="65"/>
      <c r="J596" s="21">
        <f t="shared" ref="J596:AM596" si="1814">J558/(J558+J498)</f>
        <v>0.58234762087965752</v>
      </c>
      <c r="K596" s="21">
        <f t="shared" si="1814"/>
        <v>0.49981934251332338</v>
      </c>
      <c r="L596" s="21">
        <f t="shared" si="1814"/>
        <v>0.58879887482492532</v>
      </c>
      <c r="M596" s="21">
        <f t="shared" si="1814"/>
        <v>0.58879887482492532</v>
      </c>
      <c r="N596" s="21">
        <f t="shared" si="1814"/>
        <v>0.56169490088624463</v>
      </c>
      <c r="O596" s="21">
        <f t="shared" si="1814"/>
        <v>0.65235590385064024</v>
      </c>
      <c r="P596" s="21">
        <f t="shared" si="1814"/>
        <v>0.6318145039876033</v>
      </c>
      <c r="Q596" s="21">
        <f t="shared" si="1814"/>
        <v>0.61447540593680317</v>
      </c>
      <c r="R596" s="21">
        <f t="shared" si="1814"/>
        <v>0.61447540997162287</v>
      </c>
      <c r="S596" s="21">
        <f t="shared" si="1814"/>
        <v>0.63091699905907717</v>
      </c>
      <c r="T596" s="21">
        <f t="shared" si="1814"/>
        <v>0.59775693421273435</v>
      </c>
      <c r="U596" s="21">
        <f t="shared" si="1814"/>
        <v>0.61469371905994186</v>
      </c>
      <c r="V596" s="21">
        <f t="shared" si="1814"/>
        <v>0.57546222736888719</v>
      </c>
      <c r="W596" s="21">
        <f t="shared" si="1814"/>
        <v>0.57546223116860207</v>
      </c>
      <c r="X596" s="21">
        <f t="shared" si="1814"/>
        <v>0.45642793183198982</v>
      </c>
      <c r="Y596" s="21">
        <f t="shared" si="1814"/>
        <v>0.4495699401912121</v>
      </c>
      <c r="Z596" s="21">
        <f t="shared" si="1814"/>
        <v>0.52111545436792905</v>
      </c>
      <c r="AA596" s="21">
        <f t="shared" si="1814"/>
        <v>0.57746436514229327</v>
      </c>
      <c r="AB596" s="21">
        <f t="shared" si="1814"/>
        <v>0.57746436466505391</v>
      </c>
      <c r="AC596" s="21">
        <f t="shared" si="1814"/>
        <v>0.5773974282702643</v>
      </c>
      <c r="AD596" s="21">
        <f t="shared" si="1814"/>
        <v>0.57987107685383388</v>
      </c>
      <c r="AE596" s="21">
        <f t="shared" si="1814"/>
        <v>0.56763179660314367</v>
      </c>
      <c r="AF596" s="21">
        <f t="shared" si="1814"/>
        <v>0.5145945194251933</v>
      </c>
      <c r="AG596" s="21">
        <f t="shared" si="1814"/>
        <v>0.5145945194251933</v>
      </c>
      <c r="AH596" s="21">
        <f t="shared" si="1814"/>
        <v>0.49778443154615248</v>
      </c>
      <c r="AI596" s="21">
        <f t="shared" si="1814"/>
        <v>0.49085478386708059</v>
      </c>
      <c r="AJ596" s="21">
        <f t="shared" si="1814"/>
        <v>0.47055130514991911</v>
      </c>
      <c r="AK596" s="21">
        <f t="shared" si="1814"/>
        <v>0.4684007293329156</v>
      </c>
      <c r="AL596" s="21">
        <f t="shared" si="1814"/>
        <v>0.46840073703870971</v>
      </c>
      <c r="AM596" s="21">
        <f t="shared" si="1814"/>
        <v>0.4608043585606203</v>
      </c>
      <c r="AN596" s="106">
        <f t="shared" ref="AN596:AU596" si="1815">AN593/SUM(AN593:AN594)</f>
        <v>0.54184841875681566</v>
      </c>
      <c r="AO596" s="106">
        <f t="shared" si="1815"/>
        <v>0.5361884925800573</v>
      </c>
      <c r="AP596" s="106">
        <f t="shared" si="1815"/>
        <v>0.53607703469199319</v>
      </c>
      <c r="AQ596" s="106">
        <f t="shared" si="1815"/>
        <v>0.53586497890295359</v>
      </c>
      <c r="AR596" s="106">
        <f t="shared" si="1815"/>
        <v>0.53927214802107581</v>
      </c>
      <c r="AS596" s="106">
        <f t="shared" si="1815"/>
        <v>0.53706470520629812</v>
      </c>
      <c r="AT596" s="106">
        <f t="shared" si="1815"/>
        <v>0.53827160493827164</v>
      </c>
      <c r="AU596" s="106">
        <f t="shared" si="1815"/>
        <v>0.53714489480565786</v>
      </c>
      <c r="AV596" s="106">
        <f t="shared" ref="AV596:AW596" si="1816">AV593/SUM(AV593:AV594)</f>
        <v>0.53714489480565786</v>
      </c>
      <c r="AW596" s="106">
        <f t="shared" si="1816"/>
        <v>0.53746253746253747</v>
      </c>
      <c r="AX596" s="106">
        <f>AX593/SUM(AX593:AX594)</f>
        <v>0.53885558583106263</v>
      </c>
      <c r="AY596" s="106">
        <f t="shared" ref="AY596" si="1817">AY593/SUM(AY593:AY594)</f>
        <v>0.53408402954352829</v>
      </c>
      <c r="AZ596" s="106">
        <f t="shared" ref="AZ596:BA596" si="1818">AZ593/SUM(AZ593:AZ594)</f>
        <v>0.53453529710512948</v>
      </c>
      <c r="BA596" s="106">
        <f t="shared" si="1818"/>
        <v>0.53453529710512948</v>
      </c>
      <c r="BB596" s="106">
        <f t="shared" ref="BB596:BE596" si="1819">BB593/SUM(BB593:BB594)</f>
        <v>0.53480405590572755</v>
      </c>
      <c r="BC596" s="106">
        <f t="shared" si="1819"/>
        <v>0.53508118575897512</v>
      </c>
      <c r="BD596" s="106">
        <f t="shared" si="1819"/>
        <v>0.53536505867014339</v>
      </c>
      <c r="BE596" s="106">
        <f t="shared" si="1819"/>
        <v>0.5356371490280778</v>
      </c>
      <c r="BF596" s="106">
        <f t="shared" ref="BF596:BJ596" si="1820">BF593/SUM(BF593:BF594)</f>
        <v>0.5356371490280778</v>
      </c>
      <c r="BG596" s="106">
        <f t="shared" si="1820"/>
        <v>0.53574926542605283</v>
      </c>
      <c r="BH596" s="106">
        <f t="shared" si="1820"/>
        <v>0.53579875295635349</v>
      </c>
      <c r="BI596" s="106">
        <f t="shared" si="1820"/>
        <v>0.53602099236641221</v>
      </c>
      <c r="BJ596" s="106">
        <f t="shared" si="1820"/>
        <v>0.53607214428857719</v>
      </c>
      <c r="BK596" s="106">
        <f t="shared" ref="BK596:BP596" si="1821">BK593/SUM(BK593:BK594)</f>
        <v>0.53607214428857719</v>
      </c>
      <c r="BL596" s="106">
        <f t="shared" si="1821"/>
        <v>0.53636627064618947</v>
      </c>
      <c r="BM596" s="106">
        <f t="shared" si="1821"/>
        <v>0.5367114788004137</v>
      </c>
      <c r="BN596" s="106">
        <f t="shared" si="1821"/>
        <v>0.53695002135839387</v>
      </c>
      <c r="BO596" s="106">
        <f t="shared" si="1821"/>
        <v>0.53698475437605875</v>
      </c>
      <c r="BP596" s="106">
        <f t="shared" si="1821"/>
        <v>0.53698475437605875</v>
      </c>
      <c r="BQ596" s="106">
        <f t="shared" ref="BQ596:BR596" si="1822">BQ593/SUM(BQ593:BQ594)</f>
        <v>0.53652392947103278</v>
      </c>
      <c r="BR596" s="106">
        <f t="shared" si="1822"/>
        <v>0.53833333333333333</v>
      </c>
    </row>
    <row r="597" spans="1:71">
      <c r="A597" s="1" t="s">
        <v>182</v>
      </c>
      <c r="I597" s="65"/>
      <c r="J597" s="21">
        <f t="shared" ref="J597:AM597" si="1823">J498/(J558+J498)</f>
        <v>0.41765237912034242</v>
      </c>
      <c r="K597" s="21">
        <f t="shared" si="1823"/>
        <v>0.50018065748667651</v>
      </c>
      <c r="L597" s="21">
        <f t="shared" si="1823"/>
        <v>0.41120112517507473</v>
      </c>
      <c r="M597" s="21">
        <f t="shared" si="1823"/>
        <v>0.41120112517507473</v>
      </c>
      <c r="N597" s="21">
        <f t="shared" si="1823"/>
        <v>0.43830509911375543</v>
      </c>
      <c r="O597" s="21">
        <f t="shared" si="1823"/>
        <v>0.34764409614935982</v>
      </c>
      <c r="P597" s="21">
        <f t="shared" si="1823"/>
        <v>0.3681854960123967</v>
      </c>
      <c r="Q597" s="21">
        <f t="shared" si="1823"/>
        <v>0.38552459406319689</v>
      </c>
      <c r="R597" s="21">
        <f t="shared" si="1823"/>
        <v>0.38552459002837713</v>
      </c>
      <c r="S597" s="21">
        <f t="shared" si="1823"/>
        <v>0.36908300094092295</v>
      </c>
      <c r="T597" s="21">
        <f t="shared" si="1823"/>
        <v>0.40224306578726565</v>
      </c>
      <c r="U597" s="21">
        <f t="shared" si="1823"/>
        <v>0.38530628094005809</v>
      </c>
      <c r="V597" s="21">
        <f t="shared" si="1823"/>
        <v>0.42453777263111281</v>
      </c>
      <c r="W597" s="21">
        <f t="shared" si="1823"/>
        <v>0.42453776883139799</v>
      </c>
      <c r="X597" s="21">
        <f t="shared" si="1823"/>
        <v>0.54357206816801018</v>
      </c>
      <c r="Y597" s="21">
        <f t="shared" si="1823"/>
        <v>0.5504300598087879</v>
      </c>
      <c r="Z597" s="21">
        <f t="shared" si="1823"/>
        <v>0.47888454563207095</v>
      </c>
      <c r="AA597" s="21">
        <f t="shared" si="1823"/>
        <v>0.42253563485770684</v>
      </c>
      <c r="AB597" s="21">
        <f t="shared" si="1823"/>
        <v>0.4225356353349462</v>
      </c>
      <c r="AC597" s="21">
        <f t="shared" si="1823"/>
        <v>0.42260257172973581</v>
      </c>
      <c r="AD597" s="21">
        <f t="shared" si="1823"/>
        <v>0.42012892314616607</v>
      </c>
      <c r="AE597" s="21">
        <f t="shared" si="1823"/>
        <v>0.43236820339685633</v>
      </c>
      <c r="AF597" s="21">
        <f t="shared" si="1823"/>
        <v>0.48540548057480676</v>
      </c>
      <c r="AG597" s="21">
        <f t="shared" si="1823"/>
        <v>0.48540548057480676</v>
      </c>
      <c r="AH597" s="21">
        <f t="shared" si="1823"/>
        <v>0.50221556845384741</v>
      </c>
      <c r="AI597" s="21">
        <f t="shared" si="1823"/>
        <v>0.50914521613291941</v>
      </c>
      <c r="AJ597" s="21">
        <f t="shared" si="1823"/>
        <v>0.52944869485008095</v>
      </c>
      <c r="AK597" s="21">
        <f t="shared" si="1823"/>
        <v>0.53159927066708446</v>
      </c>
      <c r="AL597" s="21">
        <f t="shared" si="1823"/>
        <v>0.53159926296129023</v>
      </c>
      <c r="AM597" s="21">
        <f t="shared" si="1823"/>
        <v>0.5391956414393797</v>
      </c>
      <c r="AN597" s="106">
        <f t="shared" ref="AN597:AU597" si="1824">AN594/SUM(AN593:AN594)</f>
        <v>0.45815158124318428</v>
      </c>
      <c r="AO597" s="106">
        <f t="shared" si="1824"/>
        <v>0.4638115074199427</v>
      </c>
      <c r="AP597" s="106">
        <f t="shared" si="1824"/>
        <v>0.46392296530800686</v>
      </c>
      <c r="AQ597" s="106">
        <f t="shared" si="1824"/>
        <v>0.46413502109704641</v>
      </c>
      <c r="AR597" s="106">
        <f t="shared" si="1824"/>
        <v>0.46072785197892413</v>
      </c>
      <c r="AS597" s="106">
        <f t="shared" si="1824"/>
        <v>0.46293529479370188</v>
      </c>
      <c r="AT597" s="106">
        <f t="shared" si="1824"/>
        <v>0.46172839506172841</v>
      </c>
      <c r="AU597" s="106">
        <f t="shared" si="1824"/>
        <v>0.46285510519434209</v>
      </c>
      <c r="AV597" s="106">
        <f t="shared" ref="AV597:AW597" si="1825">AV594/SUM(AV593:AV594)</f>
        <v>0.46285510519434209</v>
      </c>
      <c r="AW597" s="106">
        <f t="shared" si="1825"/>
        <v>0.46253746253746253</v>
      </c>
      <c r="AX597" s="106">
        <f>AX594/SUM(AX593:AX594)</f>
        <v>0.46114441416893731</v>
      </c>
      <c r="AY597" s="106">
        <f t="shared" ref="AY597" si="1826">AY594/SUM(AY593:AY594)</f>
        <v>0.46591597045647171</v>
      </c>
      <c r="AZ597" s="106">
        <f t="shared" ref="AZ597:BA597" si="1827">AZ594/SUM(AZ593:AZ594)</f>
        <v>0.46546470289487052</v>
      </c>
      <c r="BA597" s="106">
        <f t="shared" si="1827"/>
        <v>0.46546470289487052</v>
      </c>
      <c r="BB597" s="106">
        <f t="shared" ref="BB597:BE597" si="1828">BB594/SUM(BB593:BB594)</f>
        <v>0.4651959440942724</v>
      </c>
      <c r="BC597" s="106">
        <f t="shared" si="1828"/>
        <v>0.46491881424102488</v>
      </c>
      <c r="BD597" s="106">
        <f t="shared" si="1828"/>
        <v>0.46463494132985661</v>
      </c>
      <c r="BE597" s="106">
        <f t="shared" si="1828"/>
        <v>0.46436285097192226</v>
      </c>
      <c r="BF597" s="106">
        <f t="shared" ref="BF597:BJ597" si="1829">BF594/SUM(BF593:BF594)</f>
        <v>0.46436285097192226</v>
      </c>
      <c r="BG597" s="106">
        <f t="shared" si="1829"/>
        <v>0.46425073457394711</v>
      </c>
      <c r="BH597" s="106">
        <f t="shared" si="1829"/>
        <v>0.46420124704364651</v>
      </c>
      <c r="BI597" s="106">
        <f t="shared" si="1829"/>
        <v>0.46397900763358779</v>
      </c>
      <c r="BJ597" s="106">
        <f t="shared" si="1829"/>
        <v>0.46392785571142287</v>
      </c>
      <c r="BK597" s="106">
        <f t="shared" ref="BK597:BP597" si="1830">BK594/SUM(BK593:BK594)</f>
        <v>0.46392785571142287</v>
      </c>
      <c r="BL597" s="106">
        <f t="shared" si="1830"/>
        <v>0.46363372935381048</v>
      </c>
      <c r="BM597" s="106">
        <f t="shared" si="1830"/>
        <v>0.46328852119958636</v>
      </c>
      <c r="BN597" s="106">
        <f t="shared" si="1830"/>
        <v>0.46304997864160613</v>
      </c>
      <c r="BO597" s="106">
        <f t="shared" si="1830"/>
        <v>0.46301524562394125</v>
      </c>
      <c r="BP597" s="106">
        <f t="shared" si="1830"/>
        <v>0.46301524562394125</v>
      </c>
      <c r="BQ597" s="106">
        <f t="shared" ref="BQ597:BR597" si="1831">BQ594/SUM(BQ593:BQ594)</f>
        <v>0.46347607052896728</v>
      </c>
      <c r="BR597" s="106">
        <f t="shared" si="1831"/>
        <v>0.46166666666666667</v>
      </c>
    </row>
    <row r="598" spans="1:71">
      <c r="I598" s="65"/>
      <c r="J598" s="65"/>
      <c r="K598" s="65"/>
      <c r="L598" s="65"/>
      <c r="M598" s="65"/>
      <c r="R598" s="36"/>
      <c r="W598" s="36"/>
      <c r="AN598" s="98" t="s">
        <v>694</v>
      </c>
      <c r="AO598" s="71"/>
      <c r="AP598" s="71"/>
      <c r="AQ598" s="71"/>
      <c r="AR598" s="71"/>
      <c r="AS598" s="71"/>
      <c r="AT598" s="71"/>
      <c r="AU598" s="71"/>
      <c r="AV598" s="71"/>
    </row>
    <row r="599" spans="1:71">
      <c r="A599" s="3" t="s">
        <v>470</v>
      </c>
      <c r="I599" s="65"/>
      <c r="J599" s="65"/>
      <c r="K599" s="65"/>
      <c r="L599" s="65"/>
      <c r="M599" s="65"/>
      <c r="R599" s="36"/>
      <c r="W599" s="36"/>
    </row>
    <row r="600" spans="1:71">
      <c r="A600" s="22" t="s">
        <v>455</v>
      </c>
      <c r="I600" s="65"/>
      <c r="J600" s="65"/>
      <c r="K600" s="65"/>
      <c r="L600" s="65"/>
      <c r="M600" s="65"/>
      <c r="R600" s="36"/>
      <c r="Y600" s="66" t="s">
        <v>530</v>
      </c>
      <c r="Z600" s="46"/>
      <c r="AA600" s="46"/>
      <c r="AB600" s="46"/>
    </row>
    <row r="601" spans="1:71">
      <c r="A601" s="1" t="s">
        <v>471</v>
      </c>
      <c r="J601" s="61">
        <f t="shared" ref="J601:AQ601" si="1832">MROUND(J561, 5)</f>
        <v>5860</v>
      </c>
      <c r="K601" s="61">
        <f t="shared" si="1832"/>
        <v>9585</v>
      </c>
      <c r="L601" s="61">
        <f t="shared" si="1832"/>
        <v>10900</v>
      </c>
      <c r="M601" s="61">
        <f t="shared" si="1832"/>
        <v>10900</v>
      </c>
      <c r="N601" s="61">
        <f t="shared" si="1832"/>
        <v>11715</v>
      </c>
      <c r="O601" s="61">
        <f t="shared" si="1832"/>
        <v>11820</v>
      </c>
      <c r="P601" s="61">
        <f t="shared" si="1832"/>
        <v>19900</v>
      </c>
      <c r="Q601" s="61">
        <f t="shared" si="1832"/>
        <v>20435</v>
      </c>
      <c r="R601" s="61">
        <f t="shared" si="1832"/>
        <v>20435</v>
      </c>
      <c r="S601" s="61">
        <f t="shared" si="1832"/>
        <v>21875</v>
      </c>
      <c r="T601" s="61">
        <f t="shared" si="1832"/>
        <v>24220</v>
      </c>
      <c r="U601" s="61">
        <f t="shared" si="1832"/>
        <v>25155</v>
      </c>
      <c r="V601" s="61">
        <f t="shared" si="1832"/>
        <v>26480</v>
      </c>
      <c r="W601" s="61">
        <f t="shared" si="1832"/>
        <v>26480</v>
      </c>
      <c r="X601" s="36">
        <f t="shared" si="1832"/>
        <v>28615</v>
      </c>
      <c r="Y601" s="36">
        <f t="shared" si="1832"/>
        <v>27350</v>
      </c>
      <c r="Z601" s="36">
        <f t="shared" si="1832"/>
        <v>26215</v>
      </c>
      <c r="AA601" s="36">
        <f t="shared" si="1832"/>
        <v>21210</v>
      </c>
      <c r="AB601" s="36">
        <f t="shared" si="1832"/>
        <v>21210</v>
      </c>
      <c r="AC601" s="36">
        <f t="shared" si="1832"/>
        <v>20100</v>
      </c>
      <c r="AD601" s="36">
        <f t="shared" si="1832"/>
        <v>18875</v>
      </c>
      <c r="AE601" s="36">
        <f t="shared" si="1832"/>
        <v>18610</v>
      </c>
      <c r="AF601" s="36">
        <f t="shared" si="1832"/>
        <v>18460</v>
      </c>
      <c r="AG601" s="36">
        <f t="shared" si="1832"/>
        <v>18460</v>
      </c>
      <c r="AH601" s="36">
        <f t="shared" si="1832"/>
        <v>17990</v>
      </c>
      <c r="AI601" s="36">
        <f t="shared" si="1832"/>
        <v>17765</v>
      </c>
      <c r="AJ601" s="36">
        <f t="shared" si="1832"/>
        <v>17415</v>
      </c>
      <c r="AK601" s="36">
        <f t="shared" si="1832"/>
        <v>17340</v>
      </c>
      <c r="AL601" s="36">
        <f t="shared" si="1832"/>
        <v>17340</v>
      </c>
      <c r="AM601" s="36">
        <f t="shared" si="1832"/>
        <v>16885</v>
      </c>
      <c r="AN601" s="36">
        <f t="shared" si="1832"/>
        <v>16620</v>
      </c>
      <c r="AO601" s="36">
        <f t="shared" si="1832"/>
        <v>14955</v>
      </c>
      <c r="AP601" s="36">
        <f t="shared" si="1832"/>
        <v>13325</v>
      </c>
      <c r="AQ601" s="36">
        <f t="shared" si="1832"/>
        <v>13310</v>
      </c>
      <c r="AR601" s="36">
        <f t="shared" ref="AR601:AS601" si="1833">MROUND(AR561, 5)</f>
        <v>12490</v>
      </c>
      <c r="AS601" s="36">
        <f t="shared" si="1833"/>
        <v>7965</v>
      </c>
      <c r="AT601" s="36">
        <f t="shared" ref="AT601:AX601" si="1834">MROUND(AT561, 5)</f>
        <v>7245</v>
      </c>
      <c r="AU601" s="36">
        <f t="shared" si="1834"/>
        <v>4925</v>
      </c>
      <c r="AV601" s="36">
        <f t="shared" si="1834"/>
        <v>4925</v>
      </c>
      <c r="AW601" s="36">
        <f t="shared" si="1834"/>
        <v>4305</v>
      </c>
      <c r="AX601" s="36">
        <f t="shared" si="1834"/>
        <v>4220</v>
      </c>
      <c r="AY601" s="36">
        <f t="shared" ref="AY601" si="1835">MROUND(AY561, 5)</f>
        <v>3905</v>
      </c>
      <c r="AZ601" s="36">
        <f>MROUND(AZ561, 5)</f>
        <v>3925</v>
      </c>
      <c r="BA601" s="36">
        <f>MROUND(BA561, 5)</f>
        <v>3930</v>
      </c>
      <c r="BB601" s="36">
        <f>MROUND(BB561, 5)</f>
        <v>3555</v>
      </c>
      <c r="BC601" s="36">
        <f>MROUND(BC561, 5)</f>
        <v>3220</v>
      </c>
      <c r="BD601" s="36">
        <f t="shared" ref="BD601:BE601" si="1836">MROUND(BD561, 5)</f>
        <v>2855</v>
      </c>
      <c r="BE601" s="36">
        <f t="shared" si="1836"/>
        <v>2520</v>
      </c>
      <c r="BF601" s="36">
        <f>MROUND(BF561, 5)</f>
        <v>2520</v>
      </c>
      <c r="BG601" s="36">
        <f>MROUND(BG561, 5)</f>
        <v>2255</v>
      </c>
      <c r="BH601" s="36">
        <f>MROUND(BH561, 5)</f>
        <v>1965</v>
      </c>
      <c r="BI601" s="36">
        <f t="shared" ref="BI601" si="1837">MROUND(BI561, 5)</f>
        <v>1655</v>
      </c>
      <c r="BJ601" s="36">
        <f>MROUND(BJ561, 5)</f>
        <v>0</v>
      </c>
      <c r="BK601" s="36">
        <f>MROUND(BK561, 5)</f>
        <v>0</v>
      </c>
      <c r="BL601" s="36">
        <f>MROUND(BL561, 5)</f>
        <v>0</v>
      </c>
      <c r="BM601" s="36">
        <f>MROUND(BM561, 5)</f>
        <v>0</v>
      </c>
      <c r="BN601" s="36">
        <f t="shared" ref="BN601:BO601" si="1838">MROUND(BN561, 5)</f>
        <v>0</v>
      </c>
      <c r="BO601" s="36">
        <f t="shared" si="1838"/>
        <v>0</v>
      </c>
      <c r="BP601" s="36">
        <f>MROUND(BP561, 5)</f>
        <v>0</v>
      </c>
      <c r="BQ601" s="36">
        <f>MROUND(BQ561, 5)</f>
        <v>0</v>
      </c>
      <c r="BR601" s="36">
        <f>MROUND(BR561, 5)</f>
        <v>0</v>
      </c>
      <c r="BS601" s="36">
        <f t="shared" ref="BS601" si="1839">MROUND(BS561, 5)</f>
        <v>0</v>
      </c>
    </row>
    <row r="602" spans="1:71">
      <c r="A602" s="1" t="s">
        <v>276</v>
      </c>
      <c r="I602" s="65"/>
      <c r="J602" s="65"/>
      <c r="K602" s="65"/>
      <c r="L602" s="65"/>
      <c r="M602" s="65"/>
      <c r="R602" s="36"/>
      <c r="W602" s="36"/>
      <c r="X602" s="65">
        <f>X603-X601</f>
        <v>885</v>
      </c>
      <c r="Y602" s="56">
        <f>X602-150</f>
        <v>735</v>
      </c>
      <c r="Z602" s="56">
        <f>Y602-150</f>
        <v>585</v>
      </c>
      <c r="AA602" s="65">
        <f>AA603-AA601</f>
        <v>-10</v>
      </c>
      <c r="AB602" s="65">
        <f>AB603-AB601</f>
        <v>-10</v>
      </c>
      <c r="AC602" s="65">
        <f>AC603-AC601</f>
        <v>100</v>
      </c>
      <c r="AD602" s="65">
        <f>AD603-AD601</f>
        <v>25</v>
      </c>
      <c r="AE602" s="73">
        <f>AD602</f>
        <v>25</v>
      </c>
      <c r="AF602" s="65">
        <f>AF603-AF601</f>
        <v>40</v>
      </c>
      <c r="AG602" s="65">
        <f>AG603-AG601</f>
        <v>40</v>
      </c>
      <c r="AH602" s="73">
        <f>AG602+50</f>
        <v>90</v>
      </c>
      <c r="AI602" s="73">
        <f>AH602+50</f>
        <v>140</v>
      </c>
      <c r="AJ602" s="65">
        <f>AJ603-AJ601</f>
        <v>185</v>
      </c>
      <c r="AK602" s="56">
        <f>AJ602</f>
        <v>185</v>
      </c>
      <c r="AL602" s="65">
        <f>AL603-AL601</f>
        <v>185</v>
      </c>
      <c r="AM602" s="56">
        <f>AL602</f>
        <v>185</v>
      </c>
      <c r="AN602" s="65">
        <f t="shared" ref="AN602:AT602" si="1840">AN603-AN601</f>
        <v>-120</v>
      </c>
      <c r="AO602" s="65">
        <f t="shared" si="1840"/>
        <v>45</v>
      </c>
      <c r="AP602" s="65">
        <f t="shared" si="1840"/>
        <v>-25</v>
      </c>
      <c r="AQ602" s="65">
        <f t="shared" si="1840"/>
        <v>-10</v>
      </c>
      <c r="AR602" s="65">
        <f t="shared" si="1840"/>
        <v>110</v>
      </c>
      <c r="AS602" s="65">
        <f t="shared" si="1840"/>
        <v>135</v>
      </c>
      <c r="AT602" s="65">
        <f t="shared" si="1840"/>
        <v>155</v>
      </c>
      <c r="AU602" s="65">
        <f t="shared" ref="AU602:AY602" si="1841">AU603-AU601</f>
        <v>275</v>
      </c>
      <c r="AV602" s="65">
        <f t="shared" si="1841"/>
        <v>275</v>
      </c>
      <c r="AW602" s="65">
        <f t="shared" si="1841"/>
        <v>195</v>
      </c>
      <c r="AX602" s="65">
        <f t="shared" si="1841"/>
        <v>280</v>
      </c>
      <c r="AY602" s="65">
        <f t="shared" si="1841"/>
        <v>195</v>
      </c>
      <c r="AZ602" s="56">
        <f t="shared" ref="AZ602" si="1842">AY602</f>
        <v>195</v>
      </c>
      <c r="BA602" s="65">
        <f>BA603-BA601</f>
        <v>190</v>
      </c>
      <c r="BB602" s="56">
        <f>BA602</f>
        <v>190</v>
      </c>
      <c r="BC602" s="56">
        <f>BB602</f>
        <v>190</v>
      </c>
      <c r="BD602" s="56">
        <f t="shared" ref="BD602:BE602" si="1843">BC602</f>
        <v>190</v>
      </c>
      <c r="BE602" s="56">
        <f t="shared" si="1843"/>
        <v>190</v>
      </c>
      <c r="BF602" s="65">
        <f>BF603-BF601</f>
        <v>190</v>
      </c>
      <c r="BG602" s="56">
        <f>BF602</f>
        <v>190</v>
      </c>
      <c r="BH602" s="56">
        <f>BG602</f>
        <v>190</v>
      </c>
      <c r="BI602" s="56">
        <f t="shared" ref="BI602:BJ602" si="1844">BH602</f>
        <v>190</v>
      </c>
      <c r="BJ602" s="56">
        <f t="shared" si="1844"/>
        <v>190</v>
      </c>
      <c r="BK602" s="65">
        <f>BK603-BK601</f>
        <v>190</v>
      </c>
      <c r="BL602" s="56">
        <f>BK602</f>
        <v>190</v>
      </c>
      <c r="BM602" s="56">
        <f>BL602</f>
        <v>190</v>
      </c>
      <c r="BN602" s="56">
        <f t="shared" ref="BN602:BO602" si="1845">BM602</f>
        <v>190</v>
      </c>
      <c r="BO602" s="56">
        <f t="shared" si="1845"/>
        <v>190</v>
      </c>
      <c r="BP602" s="65">
        <f>BP603-BP601</f>
        <v>190</v>
      </c>
      <c r="BQ602" s="56">
        <f>BP602</f>
        <v>190</v>
      </c>
      <c r="BR602" s="56">
        <f>BQ602</f>
        <v>190</v>
      </c>
      <c r="BS602" s="56">
        <f t="shared" ref="BS602" si="1846">BR602</f>
        <v>190</v>
      </c>
    </row>
    <row r="603" spans="1:71">
      <c r="A603" s="28" t="s">
        <v>472</v>
      </c>
      <c r="I603" s="65"/>
      <c r="J603" s="65"/>
      <c r="K603" s="65"/>
      <c r="L603" s="65"/>
      <c r="M603" s="65"/>
      <c r="R603" s="36"/>
      <c r="W603" s="142" t="s">
        <v>469</v>
      </c>
      <c r="X603" s="76">
        <v>29500</v>
      </c>
      <c r="Y603" s="60">
        <f>SUM(Y601:Y602)</f>
        <v>28085</v>
      </c>
      <c r="Z603" s="60">
        <f>SUM(Z601:Z602)</f>
        <v>26800</v>
      </c>
      <c r="AA603" s="76">
        <v>21200</v>
      </c>
      <c r="AB603" s="65">
        <f>AA603</f>
        <v>21200</v>
      </c>
      <c r="AC603" s="76">
        <v>20200</v>
      </c>
      <c r="AD603" s="76">
        <v>18900</v>
      </c>
      <c r="AE603" s="36">
        <f>SUM(AE601:AE602)</f>
        <v>18635</v>
      </c>
      <c r="AF603" s="76">
        <v>18500</v>
      </c>
      <c r="AG603" s="65">
        <f>AF603</f>
        <v>18500</v>
      </c>
      <c r="AH603" s="36">
        <f>SUM(AH601:AH602)</f>
        <v>18080</v>
      </c>
      <c r="AI603" s="36">
        <f>SUM(AI601:AI602)</f>
        <v>17905</v>
      </c>
      <c r="AJ603" s="76">
        <v>17600</v>
      </c>
      <c r="AK603" s="36">
        <f>SUM(AK601:AK602)</f>
        <v>17525</v>
      </c>
      <c r="AL603" s="36">
        <f>AK603</f>
        <v>17525</v>
      </c>
      <c r="AM603" s="36">
        <f>SUM(AM601:AM602)</f>
        <v>17070</v>
      </c>
      <c r="AN603" s="76">
        <v>16500</v>
      </c>
      <c r="AO603" s="76">
        <v>15000</v>
      </c>
      <c r="AP603" s="76">
        <v>13300</v>
      </c>
      <c r="AQ603" s="36">
        <f>AP603</f>
        <v>13300</v>
      </c>
      <c r="AR603" s="76">
        <v>12600</v>
      </c>
      <c r="AS603" s="76">
        <v>8100</v>
      </c>
      <c r="AT603" s="76">
        <v>7400</v>
      </c>
      <c r="AU603" s="76">
        <v>5200</v>
      </c>
      <c r="AV603" s="36">
        <f>AU603</f>
        <v>5200</v>
      </c>
      <c r="AW603" s="76">
        <v>4500</v>
      </c>
      <c r="AX603" s="76">
        <v>4500</v>
      </c>
      <c r="AY603" s="76">
        <v>4100</v>
      </c>
      <c r="AZ603" s="36">
        <f t="shared" ref="AZ603" si="1847">SUM(AZ601:AZ602)</f>
        <v>4120</v>
      </c>
      <c r="BA603" s="36">
        <f>AZ603</f>
        <v>4120</v>
      </c>
      <c r="BB603" s="36">
        <f>SUM(BB601:BB602)</f>
        <v>3745</v>
      </c>
      <c r="BC603" s="36">
        <f>SUM(BC601:BC602)</f>
        <v>3410</v>
      </c>
      <c r="BD603" s="36">
        <f t="shared" ref="BD603" si="1848">SUM(BD601:BD602)</f>
        <v>3045</v>
      </c>
      <c r="BE603" s="36">
        <f t="shared" ref="BE603" si="1849">SUM(BE601:BE602)</f>
        <v>2710</v>
      </c>
      <c r="BF603" s="36">
        <f>BE603</f>
        <v>2710</v>
      </c>
      <c r="BG603" s="36">
        <f>SUM(BG601:BG602)</f>
        <v>2445</v>
      </c>
      <c r="BH603" s="36">
        <f>SUM(BH601:BH602)</f>
        <v>2155</v>
      </c>
      <c r="BI603" s="36">
        <f t="shared" ref="BI603" si="1850">SUM(BI601:BI602)</f>
        <v>1845</v>
      </c>
      <c r="BJ603" s="36">
        <f t="shared" ref="BJ603" si="1851">SUM(BJ601:BJ602)</f>
        <v>190</v>
      </c>
      <c r="BK603" s="36">
        <f>BJ603</f>
        <v>190</v>
      </c>
      <c r="BL603" s="36">
        <f>SUM(BL601:BL602)</f>
        <v>190</v>
      </c>
      <c r="BM603" s="36">
        <f>SUM(BM601:BM602)</f>
        <v>190</v>
      </c>
      <c r="BN603" s="36">
        <f t="shared" ref="BN603" si="1852">SUM(BN601:BN602)</f>
        <v>190</v>
      </c>
      <c r="BO603" s="36">
        <f t="shared" ref="BO603" si="1853">SUM(BO601:BO602)</f>
        <v>190</v>
      </c>
      <c r="BP603" s="36">
        <f>BO603</f>
        <v>190</v>
      </c>
      <c r="BQ603" s="36">
        <f>SUM(BQ601:BQ602)</f>
        <v>190</v>
      </c>
      <c r="BR603" s="36">
        <f>SUM(BR601:BR602)</f>
        <v>190</v>
      </c>
      <c r="BS603" s="36">
        <f t="shared" ref="BS603" si="1854">SUM(BS601:BS602)</f>
        <v>190</v>
      </c>
    </row>
    <row r="604" spans="1:71">
      <c r="I604" s="65"/>
      <c r="J604" s="65"/>
      <c r="K604" s="65"/>
      <c r="L604" s="65"/>
      <c r="M604" s="65"/>
      <c r="R604" s="36"/>
      <c r="S604" s="26"/>
      <c r="T604" s="26"/>
      <c r="U604" s="26"/>
      <c r="V604" s="26"/>
      <c r="W604" s="182" t="s">
        <v>477</v>
      </c>
      <c r="X604" s="123" t="s">
        <v>476</v>
      </c>
      <c r="Y604" s="12"/>
      <c r="Z604" s="12"/>
      <c r="AA604" s="12"/>
      <c r="AB604" s="12"/>
      <c r="AC604" s="12"/>
      <c r="AD604" s="12"/>
      <c r="AE604" s="12"/>
      <c r="AF604" s="12"/>
      <c r="AG604" s="12"/>
    </row>
    <row r="605" spans="1:71">
      <c r="A605" s="5" t="s">
        <v>474</v>
      </c>
      <c r="I605" s="65"/>
      <c r="J605" s="181">
        <f t="shared" ref="J605:AQ605" si="1855">MROUND(J558, 5)+J564</f>
        <v>8375</v>
      </c>
      <c r="K605" s="181">
        <f t="shared" si="1855"/>
        <v>10195</v>
      </c>
      <c r="L605" s="181">
        <f t="shared" si="1855"/>
        <v>13060</v>
      </c>
      <c r="M605" s="181">
        <f t="shared" si="1855"/>
        <v>13060</v>
      </c>
      <c r="N605" s="181">
        <f t="shared" si="1855"/>
        <v>12365</v>
      </c>
      <c r="O605" s="181">
        <f t="shared" si="1855"/>
        <v>19060</v>
      </c>
      <c r="P605" s="181">
        <f t="shared" si="1855"/>
        <v>29650</v>
      </c>
      <c r="Q605" s="181">
        <f t="shared" si="1855"/>
        <v>31875</v>
      </c>
      <c r="R605" s="181">
        <f t="shared" si="1855"/>
        <v>31875</v>
      </c>
      <c r="S605" s="181">
        <f t="shared" si="1855"/>
        <v>38675</v>
      </c>
      <c r="T605" s="181">
        <f t="shared" si="1855"/>
        <v>31880</v>
      </c>
      <c r="U605" s="181">
        <f t="shared" si="1855"/>
        <v>34650</v>
      </c>
      <c r="V605" s="181">
        <f t="shared" si="1855"/>
        <v>25925</v>
      </c>
      <c r="W605" s="181">
        <f t="shared" si="1855"/>
        <v>25925</v>
      </c>
      <c r="X605" s="125">
        <f t="shared" si="1855"/>
        <v>20505</v>
      </c>
      <c r="Y605" s="125">
        <f t="shared" si="1855"/>
        <v>21840</v>
      </c>
      <c r="Z605" s="125">
        <f t="shared" si="1855"/>
        <v>33110</v>
      </c>
      <c r="AA605" s="125">
        <f t="shared" si="1855"/>
        <v>57245</v>
      </c>
      <c r="AB605" s="125">
        <f t="shared" si="1855"/>
        <v>57245</v>
      </c>
      <c r="AC605" s="125">
        <f t="shared" si="1855"/>
        <v>56970</v>
      </c>
      <c r="AD605" s="125">
        <f t="shared" si="1855"/>
        <v>48860</v>
      </c>
      <c r="AE605" s="125">
        <f t="shared" si="1855"/>
        <v>46465</v>
      </c>
      <c r="AF605" s="125">
        <f t="shared" si="1855"/>
        <v>30470</v>
      </c>
      <c r="AG605" s="125">
        <f t="shared" si="1855"/>
        <v>30470</v>
      </c>
      <c r="AH605" s="125">
        <f t="shared" si="1855"/>
        <v>24045</v>
      </c>
      <c r="AI605" s="125">
        <f t="shared" si="1855"/>
        <v>21025</v>
      </c>
      <c r="AJ605" s="125">
        <f t="shared" si="1855"/>
        <v>18440</v>
      </c>
      <c r="AK605" s="125">
        <f t="shared" si="1855"/>
        <v>18060</v>
      </c>
      <c r="AL605" s="125">
        <f t="shared" si="1855"/>
        <v>18060</v>
      </c>
      <c r="AM605" s="125">
        <f t="shared" si="1855"/>
        <v>18160</v>
      </c>
      <c r="AN605" s="125">
        <f t="shared" si="1855"/>
        <v>8875</v>
      </c>
      <c r="AO605" s="125">
        <f t="shared" si="1855"/>
        <v>9430</v>
      </c>
      <c r="AP605" s="125">
        <f t="shared" ref="AP605" si="1856">MROUND(AP558, 5)+AP564</f>
        <v>8990</v>
      </c>
      <c r="AQ605" s="125">
        <f t="shared" si="1855"/>
        <v>8990</v>
      </c>
      <c r="AR605" s="125">
        <f t="shared" ref="AR605:AT605" si="1857">MROUND(AR558, 5)+AR564</f>
        <v>10510</v>
      </c>
      <c r="AS605" s="125">
        <f t="shared" si="1857"/>
        <v>15800</v>
      </c>
      <c r="AT605" s="125">
        <f t="shared" si="1857"/>
        <v>15220</v>
      </c>
      <c r="AU605" s="125">
        <f t="shared" ref="AU605" si="1858">MROUND(AU558, 5)+AU564</f>
        <v>18905</v>
      </c>
      <c r="AV605" s="125">
        <f>MROUND(AV558, 5)+AV564</f>
        <v>18905</v>
      </c>
      <c r="AW605" s="125">
        <f t="shared" ref="AW605:AX605" si="1859">MROUND(AW558, 5)+AW564</f>
        <v>20465</v>
      </c>
      <c r="AX605" s="125">
        <f t="shared" si="1859"/>
        <v>24720</v>
      </c>
      <c r="AY605" s="125">
        <f t="shared" ref="AY605:AZ605" si="1860">MROUND(AY558, 5)+AY564</f>
        <v>22055</v>
      </c>
      <c r="AZ605" s="125">
        <f t="shared" si="1860"/>
        <v>21050</v>
      </c>
      <c r="BA605" s="125">
        <f>MROUND(BA558, 5)+BA564</f>
        <v>21050</v>
      </c>
      <c r="BB605" s="125">
        <f>MROUND(BB558, 5)+BB564</f>
        <v>19515</v>
      </c>
      <c r="BC605" s="125">
        <f>MROUND(BC558, 5)+BC564</f>
        <v>17960</v>
      </c>
      <c r="BD605" s="125">
        <f t="shared" ref="BD605:BE605" si="1861">MROUND(BD558, 5)+BD564</f>
        <v>16425</v>
      </c>
      <c r="BE605" s="125">
        <f t="shared" si="1861"/>
        <v>14880</v>
      </c>
      <c r="BF605" s="125">
        <f>MROUND(BF558, 5)+BF564</f>
        <v>14880</v>
      </c>
      <c r="BG605" s="125">
        <f>MROUND(BG558, 5)+BG564</f>
        <v>13675</v>
      </c>
      <c r="BH605" s="125">
        <f>MROUND(BH558, 5)+BH564</f>
        <v>12460</v>
      </c>
      <c r="BI605" s="125">
        <f t="shared" ref="BI605:BJ605" si="1862">MROUND(BI558, 5)+BI564</f>
        <v>11235</v>
      </c>
      <c r="BJ605" s="125">
        <f t="shared" si="1862"/>
        <v>10700</v>
      </c>
      <c r="BK605" s="125">
        <f>MROUND(BK558, 5)+BK564</f>
        <v>10700</v>
      </c>
      <c r="BL605" s="125">
        <f>MROUND(BL558, 5)+BL564</f>
        <v>9255</v>
      </c>
      <c r="BM605" s="125">
        <f>MROUND(BM558, 5)+BM564</f>
        <v>7785</v>
      </c>
      <c r="BN605" s="125">
        <f t="shared" ref="BN605:BO605" si="1863">MROUND(BN558, 5)+BN564</f>
        <v>6285</v>
      </c>
      <c r="BO605" s="125">
        <f t="shared" si="1863"/>
        <v>4755</v>
      </c>
      <c r="BP605" s="125">
        <f>MROUND(BP558, 5)+BP564</f>
        <v>4755</v>
      </c>
      <c r="BQ605" s="125">
        <f>MROUND(BQ558, 5)+BQ564</f>
        <v>3195</v>
      </c>
      <c r="BR605" s="125">
        <f>MROUND(BR558, 5)+BR564</f>
        <v>1615</v>
      </c>
    </row>
    <row r="606" spans="1:71">
      <c r="A606" s="5" t="s">
        <v>475</v>
      </c>
      <c r="I606" s="65"/>
      <c r="J606" s="181">
        <f t="shared" ref="J606" si="1864">J607-J605</f>
        <v>6005</v>
      </c>
      <c r="K606" s="181">
        <f t="shared" ref="K606" si="1865">K607-K605</f>
        <v>10210</v>
      </c>
      <c r="L606" s="181">
        <f t="shared" ref="L606" si="1866">L607-L605</f>
        <v>9120</v>
      </c>
      <c r="M606" s="181">
        <f t="shared" ref="M606" si="1867">M607-M605</f>
        <v>9120</v>
      </c>
      <c r="N606" s="181">
        <f t="shared" ref="N606" si="1868">N607-N605</f>
        <v>9650</v>
      </c>
      <c r="O606" s="181">
        <f t="shared" ref="O606" si="1869">O607-O605</f>
        <v>10155</v>
      </c>
      <c r="P606" s="181">
        <f t="shared" ref="P606" si="1870">P607-P605</f>
        <v>17285</v>
      </c>
      <c r="Q606" s="181">
        <f t="shared" ref="Q606" si="1871">Q607-Q605</f>
        <v>20000</v>
      </c>
      <c r="R606" s="181">
        <f t="shared" ref="R606" si="1872">R607-R605</f>
        <v>20000</v>
      </c>
      <c r="S606" s="181">
        <f t="shared" ref="S606" si="1873">S607-S605</f>
        <v>22620</v>
      </c>
      <c r="T606" s="181">
        <f t="shared" ref="T606" si="1874">T607-T605</f>
        <v>21460</v>
      </c>
      <c r="U606" s="181">
        <f t="shared" ref="U606" si="1875">U607-U605</f>
        <v>21725</v>
      </c>
      <c r="V606" s="181">
        <f t="shared" ref="V606:W606" si="1876">V607-V605</f>
        <v>19125</v>
      </c>
      <c r="W606" s="181">
        <f t="shared" si="1876"/>
        <v>19125</v>
      </c>
      <c r="X606" s="125">
        <f t="shared" ref="X606:AH606" si="1877">X607-X605</f>
        <v>23530</v>
      </c>
      <c r="Y606" s="125">
        <f t="shared" si="1877"/>
        <v>26000</v>
      </c>
      <c r="Z606" s="125">
        <f t="shared" si="1877"/>
        <v>29840</v>
      </c>
      <c r="AA606" s="125">
        <f t="shared" si="1877"/>
        <v>41895</v>
      </c>
      <c r="AB606" s="125">
        <f t="shared" si="1877"/>
        <v>41895</v>
      </c>
      <c r="AC606" s="125">
        <f t="shared" si="1877"/>
        <v>41595</v>
      </c>
      <c r="AD606" s="125">
        <f t="shared" si="1877"/>
        <v>35380</v>
      </c>
      <c r="AE606" s="125">
        <f t="shared" si="1877"/>
        <v>35365</v>
      </c>
      <c r="AF606" s="125">
        <f t="shared" si="1877"/>
        <v>28700</v>
      </c>
      <c r="AG606" s="125">
        <f t="shared" si="1877"/>
        <v>28700</v>
      </c>
      <c r="AH606" s="125">
        <f t="shared" si="1877"/>
        <v>24175</v>
      </c>
      <c r="AI606" s="125">
        <f t="shared" ref="AI606:AM606" si="1878">AI607-AI605</f>
        <v>21670</v>
      </c>
      <c r="AJ606" s="125">
        <f t="shared" si="1878"/>
        <v>20560</v>
      </c>
      <c r="AK606" s="125">
        <f t="shared" si="1878"/>
        <v>20315</v>
      </c>
      <c r="AL606" s="125">
        <f t="shared" si="1878"/>
        <v>20315</v>
      </c>
      <c r="AM606" s="125">
        <f t="shared" si="1878"/>
        <v>21070</v>
      </c>
      <c r="AN606" s="125">
        <f t="shared" ref="AN606:AO606" si="1879">AN607-AN605</f>
        <v>16925</v>
      </c>
      <c r="AO606" s="125">
        <f t="shared" si="1879"/>
        <v>17770</v>
      </c>
      <c r="AP606" s="125">
        <f t="shared" ref="AP606" si="1880">AP607-AP605</f>
        <v>17610</v>
      </c>
      <c r="AQ606" s="125">
        <f t="shared" ref="AQ606:AT606" si="1881">AQ607-AQ605</f>
        <v>17610</v>
      </c>
      <c r="AR606" s="125">
        <f t="shared" si="1881"/>
        <v>18690</v>
      </c>
      <c r="AS606" s="125">
        <f t="shared" si="1881"/>
        <v>20000</v>
      </c>
      <c r="AT606" s="125">
        <f t="shared" si="1881"/>
        <v>19480</v>
      </c>
      <c r="AU606" s="125">
        <f t="shared" ref="AU606:AX606" si="1882">AU607-AU605</f>
        <v>19195</v>
      </c>
      <c r="AV606" s="125">
        <f t="shared" si="1882"/>
        <v>19195</v>
      </c>
      <c r="AW606" s="125">
        <f t="shared" si="1882"/>
        <v>20635</v>
      </c>
      <c r="AX606" s="125">
        <f t="shared" si="1882"/>
        <v>20880</v>
      </c>
      <c r="AY606" s="125">
        <f t="shared" ref="AY606:BP606" si="1883">AY607-AY605</f>
        <v>19045</v>
      </c>
      <c r="AZ606" s="125">
        <f t="shared" si="1883"/>
        <v>18140</v>
      </c>
      <c r="BA606" s="125">
        <f t="shared" si="1883"/>
        <v>18140</v>
      </c>
      <c r="BB606" s="125">
        <f t="shared" si="1883"/>
        <v>16785</v>
      </c>
      <c r="BC606" s="125">
        <f t="shared" si="1883"/>
        <v>15415</v>
      </c>
      <c r="BD606" s="125">
        <f t="shared" si="1883"/>
        <v>14065</v>
      </c>
      <c r="BE606" s="125">
        <f t="shared" si="1883"/>
        <v>12710</v>
      </c>
      <c r="BF606" s="125">
        <f t="shared" si="1883"/>
        <v>12710</v>
      </c>
      <c r="BG606" s="125">
        <f t="shared" si="1883"/>
        <v>11660</v>
      </c>
      <c r="BH606" s="125">
        <f t="shared" si="1883"/>
        <v>10605</v>
      </c>
      <c r="BI606" s="125">
        <f t="shared" si="1883"/>
        <v>9535</v>
      </c>
      <c r="BJ606" s="125">
        <f t="shared" si="1883"/>
        <v>9070</v>
      </c>
      <c r="BK606" s="125">
        <f t="shared" si="1883"/>
        <v>9070</v>
      </c>
      <c r="BL606" s="125">
        <f t="shared" si="1883"/>
        <v>7810</v>
      </c>
      <c r="BM606" s="125">
        <f t="shared" si="1883"/>
        <v>6530</v>
      </c>
      <c r="BN606" s="125">
        <f t="shared" si="1883"/>
        <v>5230</v>
      </c>
      <c r="BO606" s="125">
        <f t="shared" si="1883"/>
        <v>3910</v>
      </c>
      <c r="BP606" s="125">
        <f t="shared" si="1883"/>
        <v>3910</v>
      </c>
      <c r="BQ606" s="125">
        <f t="shared" ref="BQ606:BR606" si="1884">BQ607-BQ605</f>
        <v>2570</v>
      </c>
      <c r="BR606" s="125">
        <f t="shared" si="1884"/>
        <v>1195</v>
      </c>
    </row>
    <row r="607" spans="1:71">
      <c r="A607" s="9" t="s">
        <v>473</v>
      </c>
      <c r="B607" s="9"/>
      <c r="C607" s="9"/>
      <c r="D607" s="9"/>
      <c r="E607" s="9"/>
      <c r="F607" s="9"/>
      <c r="G607" s="9"/>
      <c r="H607" s="9"/>
      <c r="I607" s="48"/>
      <c r="J607" s="173">
        <f t="shared" ref="J607:W607" si="1885">MROUND(J562-J561, 5)+SUM(J564:J565)</f>
        <v>14380</v>
      </c>
      <c r="K607" s="173">
        <f t="shared" si="1885"/>
        <v>20405</v>
      </c>
      <c r="L607" s="173">
        <f t="shared" si="1885"/>
        <v>22180</v>
      </c>
      <c r="M607" s="173">
        <f t="shared" si="1885"/>
        <v>22180</v>
      </c>
      <c r="N607" s="173">
        <f t="shared" si="1885"/>
        <v>22015</v>
      </c>
      <c r="O607" s="173">
        <f t="shared" si="1885"/>
        <v>29215</v>
      </c>
      <c r="P607" s="173">
        <f t="shared" si="1885"/>
        <v>46935</v>
      </c>
      <c r="Q607" s="173">
        <f t="shared" si="1885"/>
        <v>51875</v>
      </c>
      <c r="R607" s="173">
        <f t="shared" si="1885"/>
        <v>51875</v>
      </c>
      <c r="S607" s="173">
        <f t="shared" si="1885"/>
        <v>61295</v>
      </c>
      <c r="T607" s="173">
        <f t="shared" si="1885"/>
        <v>53340</v>
      </c>
      <c r="U607" s="173">
        <f t="shared" si="1885"/>
        <v>56375</v>
      </c>
      <c r="V607" s="173">
        <f t="shared" si="1885"/>
        <v>45050</v>
      </c>
      <c r="W607" s="173">
        <f t="shared" si="1885"/>
        <v>45050</v>
      </c>
      <c r="X607" s="39">
        <f t="shared" ref="X607:AQ607" si="1886">MROUND(X562-X603, 5)+SUM(X564:X565)</f>
        <v>44035</v>
      </c>
      <c r="Y607" s="39">
        <f t="shared" si="1886"/>
        <v>47840</v>
      </c>
      <c r="Z607" s="39">
        <f t="shared" si="1886"/>
        <v>62950</v>
      </c>
      <c r="AA607" s="39">
        <f t="shared" si="1886"/>
        <v>99140</v>
      </c>
      <c r="AB607" s="39">
        <f t="shared" si="1886"/>
        <v>99140</v>
      </c>
      <c r="AC607" s="39">
        <f t="shared" si="1886"/>
        <v>98565</v>
      </c>
      <c r="AD607" s="39">
        <f t="shared" si="1886"/>
        <v>84240</v>
      </c>
      <c r="AE607" s="39">
        <f t="shared" si="1886"/>
        <v>81830</v>
      </c>
      <c r="AF607" s="39">
        <f t="shared" si="1886"/>
        <v>59170</v>
      </c>
      <c r="AG607" s="39">
        <f t="shared" si="1886"/>
        <v>59170</v>
      </c>
      <c r="AH607" s="39">
        <f t="shared" si="1886"/>
        <v>48220</v>
      </c>
      <c r="AI607" s="39">
        <f t="shared" si="1886"/>
        <v>42695</v>
      </c>
      <c r="AJ607" s="39">
        <f t="shared" si="1886"/>
        <v>39000</v>
      </c>
      <c r="AK607" s="39">
        <f t="shared" si="1886"/>
        <v>38375</v>
      </c>
      <c r="AL607" s="39">
        <f t="shared" si="1886"/>
        <v>38375</v>
      </c>
      <c r="AM607" s="39">
        <f t="shared" si="1886"/>
        <v>39230</v>
      </c>
      <c r="AN607" s="39">
        <f t="shared" si="1886"/>
        <v>25800</v>
      </c>
      <c r="AO607" s="39">
        <f t="shared" si="1886"/>
        <v>27200</v>
      </c>
      <c r="AP607" s="39">
        <f t="shared" si="1886"/>
        <v>26600</v>
      </c>
      <c r="AQ607" s="39">
        <f t="shared" si="1886"/>
        <v>26600</v>
      </c>
      <c r="AR607" s="39">
        <f t="shared" ref="AR607:AT607" si="1887">MROUND(AR562-AR603, 5)+SUM(AR564:AR565)</f>
        <v>29200</v>
      </c>
      <c r="AS607" s="39">
        <f t="shared" si="1887"/>
        <v>35800</v>
      </c>
      <c r="AT607" s="39">
        <f t="shared" si="1887"/>
        <v>34700</v>
      </c>
      <c r="AU607" s="39">
        <f t="shared" ref="AU607" si="1888">MROUND(AU562-AU603, 5)+SUM(AU564:AU565)</f>
        <v>38100</v>
      </c>
      <c r="AV607" s="39">
        <f>MROUND(AV562-AV603, 5)+SUM(AV564:AV565)</f>
        <v>38100</v>
      </c>
      <c r="AW607" s="39">
        <f t="shared" ref="AW607:AX607" si="1889">MROUND(AW562-AW603, 5)+SUM(AW564:AW565)</f>
        <v>41100</v>
      </c>
      <c r="AX607" s="39">
        <f t="shared" si="1889"/>
        <v>45600</v>
      </c>
      <c r="AY607" s="39">
        <f t="shared" ref="AY607:AZ607" si="1890">MROUND(AY562-AY603, 5)+SUM(AY564:AY565)</f>
        <v>41100</v>
      </c>
      <c r="AZ607" s="39">
        <f t="shared" si="1890"/>
        <v>39190</v>
      </c>
      <c r="BA607" s="39">
        <f>MROUND(BA562-BA603, 5)+SUM(BA564:BA565)</f>
        <v>39190</v>
      </c>
      <c r="BB607" s="39">
        <f>MROUND(BB562-BB603, 5)+SUM(BB564:BB565)</f>
        <v>36300</v>
      </c>
      <c r="BC607" s="39">
        <f>MROUND(BC562-BC603, 5)+SUM(BC564:BC565)</f>
        <v>33375</v>
      </c>
      <c r="BD607" s="39">
        <f t="shared" ref="BD607:BE607" si="1891">MROUND(BD562-BD603, 5)+SUM(BD564:BD565)</f>
        <v>30490</v>
      </c>
      <c r="BE607" s="39">
        <f t="shared" si="1891"/>
        <v>27590</v>
      </c>
      <c r="BF607" s="39">
        <f>MROUND(BF562-BF603, 5)+SUM(BF564:BF565)</f>
        <v>27590</v>
      </c>
      <c r="BG607" s="39">
        <f>MROUND(BG562-BG603, 5)+SUM(BG564:BG565)</f>
        <v>25335</v>
      </c>
      <c r="BH607" s="39">
        <f>MROUND(BH562-BH603, 5)+SUM(BH564:BH565)</f>
        <v>23065</v>
      </c>
      <c r="BI607" s="39">
        <f t="shared" ref="BI607:BJ607" si="1892">MROUND(BI562-BI603, 5)+SUM(BI564:BI565)</f>
        <v>20770</v>
      </c>
      <c r="BJ607" s="39">
        <f t="shared" si="1892"/>
        <v>19770</v>
      </c>
      <c r="BK607" s="39">
        <f>MROUND(BK562-BK603, 5)+SUM(BK564:BK565)</f>
        <v>19770</v>
      </c>
      <c r="BL607" s="39">
        <f>MROUND(BL562-BL603, 5)+SUM(BL564:BL565)</f>
        <v>17065</v>
      </c>
      <c r="BM607" s="39">
        <f>MROUND(BM562-BM603, 5)+SUM(BM564:BM565)</f>
        <v>14315</v>
      </c>
      <c r="BN607" s="39">
        <f t="shared" ref="BN607:BO607" si="1893">MROUND(BN562-BN603, 5)+SUM(BN564:BN565)</f>
        <v>11515</v>
      </c>
      <c r="BO607" s="39">
        <f t="shared" si="1893"/>
        <v>8665</v>
      </c>
      <c r="BP607" s="39">
        <f>MROUND(BP562-BP603, 5)+SUM(BP564:BP565)</f>
        <v>8665</v>
      </c>
      <c r="BQ607" s="39">
        <f>MROUND(BQ562-BQ603, 5)+SUM(BQ564:BQ565)</f>
        <v>5765</v>
      </c>
      <c r="BR607" s="39">
        <f>MROUND(BR562-BR603, 5)+SUM(BR564:BR565)</f>
        <v>2810</v>
      </c>
    </row>
    <row r="608" spans="1:71">
      <c r="A608" s="1" t="s">
        <v>478</v>
      </c>
      <c r="I608" s="65"/>
      <c r="J608" s="65"/>
      <c r="K608" s="65"/>
      <c r="L608" s="65"/>
      <c r="M608" s="65"/>
      <c r="R608" s="36"/>
      <c r="W608" s="142" t="s">
        <v>535</v>
      </c>
      <c r="X608" s="136">
        <v>48600</v>
      </c>
      <c r="AA608" s="36">
        <f t="shared" ref="AA608:AQ608" si="1894">AA520</f>
        <v>50300</v>
      </c>
      <c r="AB608" s="36">
        <f t="shared" si="1894"/>
        <v>50300</v>
      </c>
      <c r="AC608" s="36">
        <f t="shared" si="1894"/>
        <v>48200</v>
      </c>
      <c r="AD608" s="36">
        <f t="shared" si="1894"/>
        <v>41100</v>
      </c>
      <c r="AE608" s="36">
        <f t="shared" si="1894"/>
        <v>41150</v>
      </c>
      <c r="AF608" s="36">
        <f t="shared" si="1894"/>
        <v>40000</v>
      </c>
      <c r="AG608" s="36">
        <f t="shared" si="1894"/>
        <v>40000</v>
      </c>
      <c r="AH608" s="36">
        <f t="shared" si="1894"/>
        <v>37325</v>
      </c>
      <c r="AI608" s="36">
        <f t="shared" si="1894"/>
        <v>37050</v>
      </c>
      <c r="AJ608" s="36">
        <f t="shared" si="1894"/>
        <v>36500</v>
      </c>
      <c r="AK608" s="36">
        <f t="shared" si="1894"/>
        <v>36400</v>
      </c>
      <c r="AL608" s="36">
        <f t="shared" si="1894"/>
        <v>36400</v>
      </c>
      <c r="AM608" s="36">
        <f t="shared" si="1894"/>
        <v>36200</v>
      </c>
      <c r="AN608" s="36">
        <f t="shared" si="1894"/>
        <v>36500</v>
      </c>
      <c r="AO608" s="36">
        <f t="shared" si="1894"/>
        <v>36500</v>
      </c>
      <c r="AP608" s="36">
        <f>AP520</f>
        <v>36500</v>
      </c>
      <c r="AQ608" s="36">
        <f t="shared" si="1894"/>
        <v>36500</v>
      </c>
      <c r="AR608" s="36">
        <f t="shared" ref="AR608:AT608" si="1895">AR520</f>
        <v>36500</v>
      </c>
      <c r="AS608" s="36">
        <f t="shared" si="1895"/>
        <v>36500</v>
      </c>
      <c r="AT608" s="36">
        <f t="shared" si="1895"/>
        <v>36500</v>
      </c>
      <c r="AU608" s="36">
        <f>AU520</f>
        <v>34200</v>
      </c>
      <c r="AV608" s="36">
        <f>AV520</f>
        <v>34200</v>
      </c>
      <c r="AW608" s="36">
        <f t="shared" ref="AW608:AX608" si="1896">AW520</f>
        <v>33900</v>
      </c>
      <c r="AX608" s="36">
        <f t="shared" si="1896"/>
        <v>29100</v>
      </c>
      <c r="AY608" s="36">
        <f t="shared" ref="AY608:AZ608" si="1897">AY520</f>
        <v>28700</v>
      </c>
      <c r="AZ608" s="36">
        <f t="shared" si="1897"/>
        <v>28700</v>
      </c>
      <c r="BA608" s="36">
        <f>BA520</f>
        <v>28700</v>
      </c>
      <c r="BB608" s="36">
        <f>BB520</f>
        <v>25410</v>
      </c>
      <c r="BC608" s="36">
        <f>BC520</f>
        <v>22155</v>
      </c>
      <c r="BD608" s="36">
        <f t="shared" ref="BD608:BE608" si="1898">BD520</f>
        <v>18935</v>
      </c>
      <c r="BE608" s="36">
        <f t="shared" si="1898"/>
        <v>15760</v>
      </c>
      <c r="BF608" s="36">
        <f>BF520</f>
        <v>15760</v>
      </c>
      <c r="BG608" s="36">
        <f>BG520</f>
        <v>13230</v>
      </c>
      <c r="BH608" s="36">
        <f>BH520</f>
        <v>10730</v>
      </c>
      <c r="BI608" s="36">
        <f t="shared" ref="BI608:BJ608" si="1899">BI520</f>
        <v>8205</v>
      </c>
      <c r="BJ608" s="36">
        <f t="shared" si="1899"/>
        <v>7015</v>
      </c>
      <c r="BK608" s="36">
        <f>BK520</f>
        <v>7015</v>
      </c>
      <c r="BL608" s="36">
        <f>BL520</f>
        <v>4140</v>
      </c>
      <c r="BM608" s="36">
        <f>BM520</f>
        <v>1240</v>
      </c>
      <c r="BN608" s="36">
        <f t="shared" ref="BN608:BO608" si="1900">BN520</f>
        <v>-1685</v>
      </c>
      <c r="BO608" s="36">
        <f t="shared" si="1900"/>
        <v>-4635</v>
      </c>
      <c r="BP608" s="36">
        <f>BP520</f>
        <v>-4635</v>
      </c>
      <c r="BQ608" s="36" t="e">
        <f>BQ520</f>
        <v>#NUM!</v>
      </c>
      <c r="BR608" s="36" t="e">
        <f>BR520</f>
        <v>#NUM!</v>
      </c>
    </row>
    <row r="609" spans="1:71">
      <c r="A609" s="79" t="s">
        <v>479</v>
      </c>
      <c r="I609" s="65"/>
      <c r="J609" s="65"/>
      <c r="K609" s="65"/>
      <c r="L609" s="65"/>
      <c r="M609" s="65"/>
      <c r="R609" s="36"/>
      <c r="W609" s="36"/>
      <c r="X609" s="21">
        <f>X607/X608</f>
        <v>0.90606995884773667</v>
      </c>
      <c r="AA609" s="21">
        <f t="shared" ref="AA609:AH609" si="1901">AA607/AA608</f>
        <v>1.9709741550695825</v>
      </c>
      <c r="AB609" s="21">
        <f t="shared" si="1901"/>
        <v>1.9709741550695825</v>
      </c>
      <c r="AC609" s="21">
        <f t="shared" si="1901"/>
        <v>2.0449170124481326</v>
      </c>
      <c r="AD609" s="21">
        <f t="shared" si="1901"/>
        <v>2.0496350364963503</v>
      </c>
      <c r="AE609" s="21">
        <f t="shared" si="1901"/>
        <v>1.9885783718104495</v>
      </c>
      <c r="AF609" s="21">
        <f t="shared" si="1901"/>
        <v>1.47925</v>
      </c>
      <c r="AG609" s="21">
        <f t="shared" si="1901"/>
        <v>1.47925</v>
      </c>
      <c r="AH609" s="21">
        <f t="shared" si="1901"/>
        <v>1.2918955123911589</v>
      </c>
      <c r="AI609" s="21">
        <f t="shared" ref="AI609:AM609" si="1902">AI607/AI608</f>
        <v>1.152361673414305</v>
      </c>
      <c r="AJ609" s="21">
        <f t="shared" si="1902"/>
        <v>1.0684931506849316</v>
      </c>
      <c r="AK609" s="21">
        <f t="shared" si="1902"/>
        <v>1.0542582417582418</v>
      </c>
      <c r="AL609" s="21">
        <f t="shared" si="1902"/>
        <v>1.0542582417582418</v>
      </c>
      <c r="AM609" s="21">
        <f t="shared" si="1902"/>
        <v>1.0837016574585636</v>
      </c>
      <c r="AN609" s="21">
        <f t="shared" ref="AN609:AO609" si="1903">AN607/AN608</f>
        <v>0.70684931506849313</v>
      </c>
      <c r="AO609" s="21">
        <f t="shared" si="1903"/>
        <v>0.74520547945205484</v>
      </c>
      <c r="AP609" s="21">
        <f t="shared" ref="AP609:AT609" si="1904">AP607/AP608</f>
        <v>0.72876712328767124</v>
      </c>
      <c r="AQ609" s="21">
        <f t="shared" si="1904"/>
        <v>0.72876712328767124</v>
      </c>
      <c r="AR609" s="21">
        <f t="shared" si="1904"/>
        <v>0.8</v>
      </c>
      <c r="AS609" s="21">
        <f t="shared" si="1904"/>
        <v>0.98082191780821915</v>
      </c>
      <c r="AT609" s="21">
        <f t="shared" si="1904"/>
        <v>0.9506849315068493</v>
      </c>
      <c r="AU609" s="21">
        <f t="shared" ref="AU609:AX609" si="1905">AU607/AU608</f>
        <v>1.1140350877192982</v>
      </c>
      <c r="AV609" s="21">
        <f t="shared" si="1905"/>
        <v>1.1140350877192982</v>
      </c>
      <c r="AW609" s="21">
        <f t="shared" si="1905"/>
        <v>1.2123893805309736</v>
      </c>
      <c r="AX609" s="21">
        <f t="shared" si="1905"/>
        <v>1.5670103092783505</v>
      </c>
      <c r="AY609" s="21">
        <f t="shared" ref="AY609:BP609" si="1906">AY607/AY608</f>
        <v>1.4320557491289199</v>
      </c>
      <c r="AZ609" s="21">
        <f t="shared" si="1906"/>
        <v>1.3655052264808363</v>
      </c>
      <c r="BA609" s="21">
        <f t="shared" si="1906"/>
        <v>1.3655052264808363</v>
      </c>
      <c r="BB609" s="21">
        <f t="shared" si="1906"/>
        <v>1.4285714285714286</v>
      </c>
      <c r="BC609" s="21">
        <f t="shared" si="1906"/>
        <v>1.5064319566689235</v>
      </c>
      <c r="BD609" s="21">
        <f t="shared" si="1906"/>
        <v>1.610245576973858</v>
      </c>
      <c r="BE609" s="21">
        <f t="shared" si="1906"/>
        <v>1.7506345177664975</v>
      </c>
      <c r="BF609" s="21">
        <f t="shared" si="1906"/>
        <v>1.7506345177664975</v>
      </c>
      <c r="BG609" s="21">
        <f t="shared" si="1906"/>
        <v>1.9149659863945578</v>
      </c>
      <c r="BH609" s="21">
        <f t="shared" si="1906"/>
        <v>2.1495806150978565</v>
      </c>
      <c r="BI609" s="21">
        <f t="shared" si="1906"/>
        <v>2.5313833028641071</v>
      </c>
      <c r="BJ609" s="21">
        <f t="shared" si="1906"/>
        <v>2.8182466143977192</v>
      </c>
      <c r="BK609" s="21">
        <f t="shared" si="1906"/>
        <v>2.8182466143977192</v>
      </c>
      <c r="BL609" s="21">
        <f t="shared" si="1906"/>
        <v>4.1219806763285023</v>
      </c>
      <c r="BM609" s="21">
        <f t="shared" si="1906"/>
        <v>11.544354838709678</v>
      </c>
      <c r="BN609" s="21">
        <f t="shared" si="1906"/>
        <v>-6.8338278931750738</v>
      </c>
      <c r="BO609" s="21">
        <f t="shared" si="1906"/>
        <v>-1.8694714131607335</v>
      </c>
      <c r="BP609" s="21">
        <f t="shared" si="1906"/>
        <v>-1.8694714131607335</v>
      </c>
      <c r="BQ609" s="21" t="e">
        <f t="shared" ref="BQ609:BR609" si="1907">BQ607/BQ608</f>
        <v>#NUM!</v>
      </c>
      <c r="BR609" s="21" t="e">
        <f t="shared" si="1907"/>
        <v>#NUM!</v>
      </c>
    </row>
    <row r="610" spans="1:71">
      <c r="I610" s="65"/>
      <c r="J610" s="65"/>
      <c r="K610" s="65"/>
      <c r="L610" s="65"/>
      <c r="M610" s="65"/>
      <c r="R610" s="36"/>
      <c r="W610" s="36"/>
      <c r="X610" s="25" t="s">
        <v>536</v>
      </c>
    </row>
    <row r="611" spans="1:71">
      <c r="A611" s="1" t="s">
        <v>276</v>
      </c>
      <c r="I611" s="65"/>
      <c r="J611" s="65"/>
      <c r="K611" s="65"/>
      <c r="L611" s="65"/>
      <c r="M611" s="65"/>
      <c r="R611" s="36"/>
      <c r="W611" s="36"/>
      <c r="X611" s="36">
        <f t="shared" ref="X611:AK611" si="1908">X612-X605</f>
        <v>1295</v>
      </c>
      <c r="Y611" s="36">
        <f t="shared" si="1908"/>
        <v>2660</v>
      </c>
      <c r="Z611" s="36">
        <f t="shared" si="1908"/>
        <v>1690</v>
      </c>
      <c r="AA611" s="36">
        <f t="shared" si="1908"/>
        <v>-1545</v>
      </c>
      <c r="AB611" s="36">
        <f t="shared" si="1908"/>
        <v>-1545</v>
      </c>
      <c r="AC611" s="36">
        <f t="shared" si="1908"/>
        <v>-870</v>
      </c>
      <c r="AD611" s="36">
        <f t="shared" si="1908"/>
        <v>-2260</v>
      </c>
      <c r="AE611" s="36">
        <f t="shared" si="1908"/>
        <v>-565</v>
      </c>
      <c r="AF611" s="36">
        <f t="shared" si="1908"/>
        <v>1930</v>
      </c>
      <c r="AG611" s="36">
        <f t="shared" si="1908"/>
        <v>1930</v>
      </c>
      <c r="AH611" s="36">
        <f t="shared" si="1908"/>
        <v>-45</v>
      </c>
      <c r="AI611" s="36">
        <f t="shared" si="1908"/>
        <v>-25</v>
      </c>
      <c r="AJ611" s="36">
        <f t="shared" si="1908"/>
        <v>960</v>
      </c>
      <c r="AK611" s="36">
        <f t="shared" si="1908"/>
        <v>1340</v>
      </c>
      <c r="AL611" s="36">
        <f t="shared" ref="AL611:AM611" si="1909">AL612-AL605</f>
        <v>1340</v>
      </c>
      <c r="AM611" s="36">
        <f t="shared" si="1909"/>
        <v>1140</v>
      </c>
      <c r="AN611" s="107">
        <f t="shared" ref="AN611:AS611" si="1910">AN612-AN593</f>
        <v>525</v>
      </c>
      <c r="AO611" s="107">
        <f t="shared" si="1910"/>
        <v>705</v>
      </c>
      <c r="AP611" s="107">
        <f t="shared" si="1910"/>
        <v>880</v>
      </c>
      <c r="AQ611" s="107">
        <f t="shared" si="1910"/>
        <v>880</v>
      </c>
      <c r="AR611" s="107">
        <f t="shared" si="1910"/>
        <v>495</v>
      </c>
      <c r="AS611" s="107">
        <f t="shared" si="1910"/>
        <v>635</v>
      </c>
      <c r="AT611" s="107">
        <f>AT612-AT593</f>
        <v>510</v>
      </c>
      <c r="AU611" s="107">
        <f>AU612-AU593</f>
        <v>605</v>
      </c>
      <c r="AV611" s="107">
        <f t="shared" ref="AV611" si="1911">AV612-AV593</f>
        <v>605</v>
      </c>
      <c r="AW611" s="107">
        <f>AW612-AW593</f>
        <v>590</v>
      </c>
      <c r="AX611" s="107">
        <f>AX612-AX593</f>
        <v>680</v>
      </c>
      <c r="AY611" s="107">
        <f>AY612-AY593</f>
        <v>945</v>
      </c>
      <c r="AZ611" s="56">
        <f t="shared" ref="AZ611" si="1912">AY611</f>
        <v>945</v>
      </c>
      <c r="BA611" s="107">
        <f>BA612-BA593</f>
        <v>945</v>
      </c>
      <c r="BB611" s="56">
        <f>BA611</f>
        <v>945</v>
      </c>
      <c r="BC611" s="56">
        <f>BB611</f>
        <v>945</v>
      </c>
      <c r="BD611" s="56">
        <f t="shared" ref="BD611:BE611" si="1913">BC611</f>
        <v>945</v>
      </c>
      <c r="BE611" s="56">
        <f t="shared" si="1913"/>
        <v>945</v>
      </c>
      <c r="BF611" s="107">
        <f>BF612-BF593</f>
        <v>945</v>
      </c>
      <c r="BG611" s="56">
        <f>BF611</f>
        <v>945</v>
      </c>
      <c r="BH611" s="56">
        <f>BG611</f>
        <v>945</v>
      </c>
      <c r="BI611" s="56">
        <f t="shared" ref="BI611:BJ611" si="1914">BH611</f>
        <v>945</v>
      </c>
      <c r="BJ611" s="56">
        <f t="shared" si="1914"/>
        <v>945</v>
      </c>
      <c r="BK611" s="107">
        <f>BK612-BK593</f>
        <v>945</v>
      </c>
      <c r="BL611" s="56">
        <f>BK611</f>
        <v>945</v>
      </c>
      <c r="BM611" s="56">
        <f>BL611</f>
        <v>945</v>
      </c>
      <c r="BN611" s="56">
        <f t="shared" ref="BN611:BO611" si="1915">BM611</f>
        <v>945</v>
      </c>
      <c r="BO611" s="56">
        <f t="shared" si="1915"/>
        <v>945</v>
      </c>
      <c r="BP611" s="107">
        <f>BP612-BP593</f>
        <v>945</v>
      </c>
      <c r="BQ611" s="56">
        <f>BP611</f>
        <v>945</v>
      </c>
      <c r="BR611" s="56">
        <f>BQ611</f>
        <v>945</v>
      </c>
      <c r="BS611" s="56">
        <f t="shared" ref="BS611" si="1916">BR611</f>
        <v>945</v>
      </c>
    </row>
    <row r="612" spans="1:71">
      <c r="A612" s="9" t="s">
        <v>481</v>
      </c>
      <c r="B612" s="9"/>
      <c r="C612" s="9"/>
      <c r="D612" s="9"/>
      <c r="E612" s="9"/>
      <c r="F612" s="9"/>
      <c r="G612" s="9"/>
      <c r="H612" s="9"/>
      <c r="I612" s="48"/>
      <c r="J612" s="48"/>
      <c r="K612" s="48"/>
      <c r="L612" s="48"/>
      <c r="M612" s="48"/>
      <c r="N612" s="9"/>
      <c r="O612" s="9"/>
      <c r="P612" s="9"/>
      <c r="Q612" s="9"/>
      <c r="R612" s="39"/>
      <c r="S612" s="9"/>
      <c r="T612" s="9"/>
      <c r="U612" s="9"/>
      <c r="V612" s="9"/>
      <c r="W612" s="149" t="s">
        <v>535</v>
      </c>
      <c r="X612" s="67">
        <v>21800</v>
      </c>
      <c r="Y612" s="67">
        <v>24500</v>
      </c>
      <c r="Z612" s="97">
        <f>31900+2900</f>
        <v>34800</v>
      </c>
      <c r="AA612" s="67">
        <f>46100+9600</f>
        <v>55700</v>
      </c>
      <c r="AB612" s="39">
        <f>AA612</f>
        <v>55700</v>
      </c>
      <c r="AC612" s="67">
        <f>46000+10100</f>
        <v>56100</v>
      </c>
      <c r="AD612" s="67">
        <f>38400+8200</f>
        <v>46600</v>
      </c>
      <c r="AE612" s="67">
        <f>37800+8100</f>
        <v>45900</v>
      </c>
      <c r="AF612" s="67">
        <f>29800+2600</f>
        <v>32400</v>
      </c>
      <c r="AG612" s="39">
        <f>AF612</f>
        <v>32400</v>
      </c>
      <c r="AH612" s="97">
        <v>24000</v>
      </c>
      <c r="AI612" s="67">
        <v>21000</v>
      </c>
      <c r="AJ612" s="67">
        <v>19400</v>
      </c>
      <c r="AK612" s="67">
        <v>19400</v>
      </c>
      <c r="AL612" s="39">
        <f>AK612</f>
        <v>19400</v>
      </c>
      <c r="AM612" s="67">
        <v>19300</v>
      </c>
      <c r="AN612" s="67">
        <v>20400</v>
      </c>
      <c r="AO612" s="67">
        <v>21300</v>
      </c>
      <c r="AP612" s="67">
        <v>21200</v>
      </c>
      <c r="AQ612" s="39">
        <f>AP612</f>
        <v>21200</v>
      </c>
      <c r="AR612" s="67">
        <v>22500</v>
      </c>
      <c r="AS612" s="67">
        <v>24000</v>
      </c>
      <c r="AT612" s="67">
        <v>23400</v>
      </c>
      <c r="AU612" s="67">
        <v>23200</v>
      </c>
      <c r="AV612" s="39">
        <f>AU612</f>
        <v>23200</v>
      </c>
      <c r="AW612" s="67">
        <v>24800</v>
      </c>
      <c r="AX612" s="67">
        <v>25400</v>
      </c>
      <c r="AY612" s="67">
        <v>23000</v>
      </c>
      <c r="AZ612" s="39">
        <f t="shared" ref="AZ612" si="1917">AZ593+AZ611</f>
        <v>21995</v>
      </c>
      <c r="BA612" s="39">
        <f>AZ612</f>
        <v>21995</v>
      </c>
      <c r="BB612" s="39">
        <f>BB593+BB611</f>
        <v>20460</v>
      </c>
      <c r="BC612" s="39">
        <f>BC593+BC611</f>
        <v>18905</v>
      </c>
      <c r="BD612" s="39">
        <f t="shared" ref="BD612" si="1918">BD593+BD611</f>
        <v>17370</v>
      </c>
      <c r="BE612" s="39">
        <f t="shared" ref="BE612" si="1919">BE593+BE611</f>
        <v>15825</v>
      </c>
      <c r="BF612" s="39">
        <f>BE612</f>
        <v>15825</v>
      </c>
      <c r="BG612" s="39">
        <f>BG593+BG611</f>
        <v>14620</v>
      </c>
      <c r="BH612" s="39">
        <f>BH593+BH611</f>
        <v>13405</v>
      </c>
      <c r="BI612" s="39">
        <f t="shared" ref="BI612" si="1920">BI593+BI611</f>
        <v>12180</v>
      </c>
      <c r="BJ612" s="39">
        <f t="shared" ref="BJ612" si="1921">BJ593+BJ611</f>
        <v>11645</v>
      </c>
      <c r="BK612" s="39">
        <f>BJ612</f>
        <v>11645</v>
      </c>
      <c r="BL612" s="39">
        <f>BL593+BL611</f>
        <v>10200</v>
      </c>
      <c r="BM612" s="39">
        <f>BM593+BM611</f>
        <v>8730</v>
      </c>
      <c r="BN612" s="39">
        <f t="shared" ref="BN612" si="1922">BN593+BN611</f>
        <v>7230</v>
      </c>
      <c r="BO612" s="39">
        <f t="shared" ref="BO612" si="1923">BO593+BO611</f>
        <v>5700</v>
      </c>
      <c r="BP612" s="39">
        <f>BO612</f>
        <v>5700</v>
      </c>
      <c r="BQ612" s="39">
        <f>BQ593+BQ611</f>
        <v>4140</v>
      </c>
      <c r="BR612" s="39">
        <f>BR593+BR611</f>
        <v>2560</v>
      </c>
      <c r="BS612" s="39">
        <f t="shared" ref="BS612" si="1924">BS593+BS611</f>
        <v>945</v>
      </c>
    </row>
    <row r="613" spans="1:71">
      <c r="I613" s="65"/>
      <c r="J613" s="65"/>
      <c r="K613" s="65"/>
      <c r="L613" s="65"/>
      <c r="M613" s="65"/>
      <c r="R613" s="36"/>
      <c r="W613" s="36"/>
      <c r="X613" s="22" t="s">
        <v>557</v>
      </c>
      <c r="AH613" s="98" t="s">
        <v>649</v>
      </c>
      <c r="AI613" s="71"/>
      <c r="AJ613" s="71"/>
      <c r="AK613" s="71"/>
      <c r="AL613" s="71"/>
      <c r="AM613" s="71"/>
      <c r="AN613" s="160" t="s">
        <v>685</v>
      </c>
      <c r="AO613" s="44"/>
      <c r="AP613" s="44"/>
      <c r="AQ613" s="44"/>
      <c r="AR613" s="44"/>
      <c r="AS613" s="44"/>
      <c r="AT613" s="44"/>
      <c r="AU613" s="44"/>
      <c r="AV613" s="44"/>
      <c r="AW613" s="44"/>
    </row>
    <row r="614" spans="1:71" s="26" customFormat="1">
      <c r="A614" s="189" t="s">
        <v>653</v>
      </c>
      <c r="I614" s="190"/>
      <c r="J614" s="190"/>
      <c r="K614" s="190"/>
      <c r="L614" s="190"/>
      <c r="M614" s="190"/>
      <c r="R614" s="61"/>
      <c r="W614" s="61"/>
      <c r="Z614" s="98" t="s">
        <v>558</v>
      </c>
      <c r="AA614" s="72"/>
      <c r="AB614" s="72"/>
      <c r="AC614" s="72"/>
      <c r="AD614" s="72"/>
      <c r="AE614" s="72"/>
      <c r="AF614" s="72"/>
    </row>
    <row r="615" spans="1:71" s="26" customFormat="1">
      <c r="A615" s="25" t="s">
        <v>654</v>
      </c>
      <c r="I615" s="190"/>
      <c r="J615" s="190"/>
      <c r="K615" s="190"/>
      <c r="L615" s="190"/>
      <c r="M615" s="190"/>
      <c r="R615" s="61"/>
      <c r="W615" s="61"/>
    </row>
    <row r="616" spans="1:71" s="26" customFormat="1">
      <c r="A616" s="26" t="s">
        <v>650</v>
      </c>
      <c r="I616" s="190"/>
      <c r="J616" s="193">
        <v>0</v>
      </c>
      <c r="K616" s="190">
        <f>J620</f>
        <v>14377.801298612929</v>
      </c>
      <c r="L616" s="190">
        <f>K620</f>
        <v>20402.814702209678</v>
      </c>
      <c r="M616" s="193">
        <v>0</v>
      </c>
      <c r="N616" s="190">
        <f>M620</f>
        <v>22181.103182488961</v>
      </c>
      <c r="O616" s="190">
        <f>N620</f>
        <v>22016.203711734102</v>
      </c>
      <c r="P616" s="190">
        <f>O620</f>
        <v>29215.21124042508</v>
      </c>
      <c r="Q616" s="190">
        <f>P620</f>
        <v>46933.343621957203</v>
      </c>
      <c r="R616" s="61">
        <f>M620</f>
        <v>22181.103182488961</v>
      </c>
      <c r="S616" s="190">
        <f>R620</f>
        <v>51875.02449022435</v>
      </c>
      <c r="T616" s="190">
        <f>S620</f>
        <v>61297.434794669025</v>
      </c>
      <c r="U616" s="190">
        <f>T620</f>
        <v>53337.873733828492</v>
      </c>
      <c r="V616" s="190">
        <f>U620</f>
        <v>56372.534696189599</v>
      </c>
      <c r="W616" s="61">
        <f>R620</f>
        <v>51875.02449022435</v>
      </c>
      <c r="X616" s="190">
        <f>W620</f>
        <v>45049.802200863734</v>
      </c>
      <c r="Y616" s="190">
        <f>X620</f>
        <v>44917.477888851092</v>
      </c>
      <c r="Z616" s="190">
        <f>Y620</f>
        <v>48577.959579530223</v>
      </c>
      <c r="AA616" s="190">
        <f>Z620</f>
        <v>63533.137532174645</v>
      </c>
      <c r="AB616" s="61">
        <f>W620</f>
        <v>45049.802200863734</v>
      </c>
      <c r="AC616" s="190">
        <f>AB620</f>
        <v>99133.822141054872</v>
      </c>
      <c r="AD616" s="190">
        <f>AC620</f>
        <v>98664.020254137897</v>
      </c>
      <c r="AE616" s="190">
        <f>AD620</f>
        <v>84263.360004404967</v>
      </c>
      <c r="AF616" s="190">
        <f>AE620</f>
        <v>81854.201746474952</v>
      </c>
      <c r="AG616" s="61">
        <f>AB620</f>
        <v>99133.822141054872</v>
      </c>
      <c r="AH616" s="190">
        <f>AG620</f>
        <v>59213.728123672787</v>
      </c>
      <c r="AI616" s="190">
        <f>AH620</f>
        <v>48307.722810830674</v>
      </c>
      <c r="AJ616" s="190">
        <f>AI620</f>
        <v>42833.460972040681</v>
      </c>
      <c r="AK616" s="190">
        <f>AJ620</f>
        <v>39184.931590732209</v>
      </c>
      <c r="AL616" s="61">
        <f>AG620</f>
        <v>59213.728123672787</v>
      </c>
      <c r="AM616" s="190">
        <f>AL620</f>
        <v>38558.620035272972</v>
      </c>
      <c r="AN616" s="190">
        <f>AM620</f>
        <v>39412.736952401501</v>
      </c>
      <c r="AO616" s="190">
        <f>AN620</f>
        <v>25681.411081245551</v>
      </c>
      <c r="AP616" s="190">
        <f>AO620</f>
        <v>27246.299233545156</v>
      </c>
      <c r="AQ616" s="61">
        <f>AL620</f>
        <v>38558.620035272972</v>
      </c>
      <c r="AR616" s="190">
        <f>AQ620</f>
        <v>26592.174129835046</v>
      </c>
      <c r="AS616" s="190">
        <f>AR620</f>
        <v>29308.679197449354</v>
      </c>
      <c r="AT616" s="190">
        <f>AS620</f>
        <v>35938.90584038441</v>
      </c>
      <c r="AU616" s="190">
        <f>AT620</f>
        <v>34855.733693621223</v>
      </c>
      <c r="AV616" s="61">
        <f>AQ620</f>
        <v>26592.174129835046</v>
      </c>
      <c r="AW616" s="190">
        <f>AV620</f>
        <v>38376.121663148915</v>
      </c>
      <c r="AX616" s="190">
        <f>AW620</f>
        <v>41298.935339791962</v>
      </c>
      <c r="AY616" s="190">
        <f>AX620</f>
        <v>45877.463428505755</v>
      </c>
      <c r="AZ616" s="190">
        <f>AY620</f>
        <v>41295.165315987251</v>
      </c>
      <c r="BA616" s="61">
        <f>AV620</f>
        <v>38376.121663148915</v>
      </c>
      <c r="BB616" s="190">
        <f>BA620</f>
        <v>39380.165315987251</v>
      </c>
      <c r="BC616" s="190">
        <f>BB620</f>
        <v>36490.165315987251</v>
      </c>
      <c r="BD616" s="190">
        <f>BC620</f>
        <v>33565.165315987251</v>
      </c>
      <c r="BE616" s="190">
        <f>BD620</f>
        <v>30680.165315987251</v>
      </c>
      <c r="BF616" s="61">
        <f>BA620</f>
        <v>39380.165315987251</v>
      </c>
      <c r="BG616" s="190">
        <f>BF620</f>
        <v>27780.165315987251</v>
      </c>
      <c r="BH616" s="190">
        <f>BG620</f>
        <v>25525.165315987251</v>
      </c>
      <c r="BI616" s="190">
        <f>BH620</f>
        <v>23255.165315987251</v>
      </c>
      <c r="BJ616" s="190">
        <f>BI620</f>
        <v>20960.165315987251</v>
      </c>
      <c r="BK616" s="61">
        <f>BF620</f>
        <v>27780.165315987251</v>
      </c>
      <c r="BL616" s="190">
        <f>BK620</f>
        <v>19960.165315987251</v>
      </c>
      <c r="BM616" s="190">
        <f>BL620</f>
        <v>17255.165315987251</v>
      </c>
      <c r="BN616" s="190">
        <f>BM620</f>
        <v>14505.165315987251</v>
      </c>
      <c r="BO616" s="190">
        <f>BN620</f>
        <v>11705.165315987251</v>
      </c>
      <c r="BP616" s="61">
        <f>BK620</f>
        <v>19960.165315987251</v>
      </c>
      <c r="BQ616" s="190">
        <f>BP620</f>
        <v>8855.1653159872512</v>
      </c>
      <c r="BR616" s="190">
        <f>BQ620</f>
        <v>5955.1653159872512</v>
      </c>
      <c r="BS616" s="190">
        <f>BR620</f>
        <v>3000.1653159872512</v>
      </c>
    </row>
    <row r="617" spans="1:71" s="26" customFormat="1">
      <c r="A617" s="26" t="s">
        <v>651</v>
      </c>
      <c r="I617" s="190"/>
      <c r="J617" s="190">
        <f>SUM(J525:J526)</f>
        <v>11110</v>
      </c>
      <c r="K617" s="190">
        <f>SUM(K525:K526)</f>
        <v>5000</v>
      </c>
      <c r="L617" s="190">
        <f>SUM(L525:L526)</f>
        <v>250</v>
      </c>
      <c r="M617" s="190">
        <f>SUM(I617:L617)</f>
        <v>16360</v>
      </c>
      <c r="N617" s="190">
        <f>SUM(N525:N526)</f>
        <v>1320</v>
      </c>
      <c r="O617" s="190">
        <f>SUM(O525:O526)</f>
        <v>1630</v>
      </c>
      <c r="P617" s="190">
        <f>SUM(P525:P526)</f>
        <v>13340</v>
      </c>
      <c r="Q617" s="190">
        <f>SUM(Q525:Q526)</f>
        <v>2040</v>
      </c>
      <c r="R617" s="61">
        <f>SUM(N617:Q617)</f>
        <v>18330</v>
      </c>
      <c r="S617" s="190">
        <f>SUM(S525:S526)</f>
        <v>3450</v>
      </c>
      <c r="T617" s="190">
        <f>SUM(T525:T526)</f>
        <v>9180</v>
      </c>
      <c r="U617" s="190">
        <f>SUM(U525:U526)</f>
        <v>2020</v>
      </c>
      <c r="V617" s="190">
        <f>SUM(V525:V526)</f>
        <v>2360</v>
      </c>
      <c r="W617" s="61">
        <f>SUM(S617:V617)</f>
        <v>17010</v>
      </c>
      <c r="X617" s="190">
        <f>SUM(X525:X526)</f>
        <v>2740</v>
      </c>
      <c r="Y617" s="190">
        <f>SUM(Y525:Y526)</f>
        <v>-80</v>
      </c>
      <c r="Z617" s="190">
        <f>SUM(Z525:Z526)</f>
        <v>540</v>
      </c>
      <c r="AA617" s="190">
        <f>SUM(AA525:AA526)</f>
        <v>590</v>
      </c>
      <c r="AB617" s="61">
        <f>SUM(X617:AA617)</f>
        <v>3790</v>
      </c>
      <c r="AC617" s="190">
        <f>SUM(AC525:AC526)</f>
        <v>530</v>
      </c>
      <c r="AD617" s="190">
        <f>SUM(AD525:AD526)</f>
        <v>40</v>
      </c>
      <c r="AE617" s="190">
        <f>SUM(AE525:AE526)</f>
        <v>390</v>
      </c>
      <c r="AF617" s="190">
        <f>SUM(AF525:AF526)</f>
        <v>100</v>
      </c>
      <c r="AG617" s="61">
        <f>SUM(AC617:AF617)</f>
        <v>1060</v>
      </c>
      <c r="AH617" s="190">
        <f>SUM(AH525:AH526)</f>
        <v>-100</v>
      </c>
      <c r="AI617" s="190">
        <f>SUM(AI525:AI526)</f>
        <v>0</v>
      </c>
      <c r="AJ617" s="190">
        <f>SUM(AJ525:AJ526)</f>
        <v>100</v>
      </c>
      <c r="AK617" s="190">
        <f>SUM(AK525:AK526)</f>
        <v>0</v>
      </c>
      <c r="AL617" s="61">
        <f>SUM(AH617:AK617)</f>
        <v>0</v>
      </c>
      <c r="AM617" s="190">
        <f>SUM(AM525:AM526)</f>
        <v>0</v>
      </c>
      <c r="AN617" s="190">
        <f>SUM(AN525:AN526)</f>
        <v>0</v>
      </c>
      <c r="AO617" s="190">
        <f>SUM(AO525:AO526)</f>
        <v>0</v>
      </c>
      <c r="AP617" s="190">
        <f>SUM(AP525:AP526)</f>
        <v>0</v>
      </c>
      <c r="AQ617" s="61">
        <f>SUM(AM617:AP617)</f>
        <v>0</v>
      </c>
      <c r="AR617" s="190">
        <f>SUM(AR525:AR526)</f>
        <v>0</v>
      </c>
      <c r="AS617" s="190">
        <f>SUM(AS525:AS526)</f>
        <v>0</v>
      </c>
      <c r="AT617" s="190">
        <f>SUM(AT525:AT526)</f>
        <v>0</v>
      </c>
      <c r="AU617" s="190">
        <f>SUM(AU525:AU526)</f>
        <v>0</v>
      </c>
      <c r="AV617" s="61">
        <f>SUM(AR617:AU617)</f>
        <v>0</v>
      </c>
      <c r="AW617" s="190">
        <f>SUM(AW525:AW526)</f>
        <v>0</v>
      </c>
      <c r="AX617" s="190">
        <f>SUM(AX525:AX526)</f>
        <v>0</v>
      </c>
      <c r="AY617" s="190">
        <f>SUM(AY525:AY526)</f>
        <v>0</v>
      </c>
      <c r="AZ617" s="190">
        <f>SUM(AZ525:AZ526)</f>
        <v>0</v>
      </c>
      <c r="BA617" s="61">
        <f>SUM(AW617:AZ617)</f>
        <v>0</v>
      </c>
      <c r="BB617" s="190">
        <f>SUM(BB525:BB526)</f>
        <v>0</v>
      </c>
      <c r="BC617" s="190">
        <f>SUM(BC525:BC526)</f>
        <v>0</v>
      </c>
      <c r="BD617" s="190">
        <f>SUM(BD525:BD526)</f>
        <v>0</v>
      </c>
      <c r="BE617" s="190">
        <f>SUM(BE525:BE526)</f>
        <v>0</v>
      </c>
      <c r="BF617" s="61">
        <f>SUM(BB617:BE617)</f>
        <v>0</v>
      </c>
      <c r="BG617" s="190">
        <f>SUM(BG525:BG526)</f>
        <v>0</v>
      </c>
      <c r="BH617" s="190">
        <f>SUM(BH525:BH526)</f>
        <v>0</v>
      </c>
      <c r="BI617" s="190">
        <f>SUM(BI525:BI526)</f>
        <v>0</v>
      </c>
      <c r="BJ617" s="190">
        <f>SUM(BJ525:BJ526)</f>
        <v>0</v>
      </c>
      <c r="BK617" s="61">
        <f>SUM(BG617:BJ617)</f>
        <v>0</v>
      </c>
      <c r="BL617" s="190">
        <f>SUM(BL525:BL526)</f>
        <v>0</v>
      </c>
      <c r="BM617" s="190">
        <f>SUM(BM525:BM526)</f>
        <v>0</v>
      </c>
      <c r="BN617" s="190">
        <f>SUM(BN525:BN526)</f>
        <v>0</v>
      </c>
      <c r="BO617" s="190">
        <f>SUM(BO525:BO526)</f>
        <v>0</v>
      </c>
      <c r="BP617" s="61">
        <f>SUM(BL617:BO617)</f>
        <v>0</v>
      </c>
      <c r="BQ617" s="190">
        <f>SUM(BQ525:BQ526)</f>
        <v>0</v>
      </c>
      <c r="BR617" s="190">
        <f>SUM(BR525:BR526)</f>
        <v>0</v>
      </c>
      <c r="BS617" s="190">
        <f>SUM(BS525:BS526)</f>
        <v>0</v>
      </c>
    </row>
    <row r="618" spans="1:71" s="26" customFormat="1">
      <c r="A618" s="26" t="s">
        <v>652</v>
      </c>
      <c r="I618" s="190"/>
      <c r="J618" s="190"/>
      <c r="K618" s="190">
        <f>SUM(K453:K454)*J560/J559</f>
        <v>-8.7290806190135193</v>
      </c>
      <c r="L618" s="190">
        <f>SUM(L506:L507)*K560/K559</f>
        <v>-1797.2576891048755</v>
      </c>
      <c r="M618" s="190">
        <f>SUM(I618:L618)</f>
        <v>-1805.986769723889</v>
      </c>
      <c r="N618" s="190">
        <f>SUM(N506:N507)*M560/M559</f>
        <v>-2693.4070042727963</v>
      </c>
      <c r="O618" s="190">
        <f>SUM(O506:O507)*N560/N559</f>
        <v>-1859.498401949839</v>
      </c>
      <c r="P618" s="190">
        <f>SUM(P506:P507)*O560/O559</f>
        <v>-867.462218247858</v>
      </c>
      <c r="Q618" s="190">
        <f>SUM(Q506:Q507)*P560/P559</f>
        <v>-228.2207902359041</v>
      </c>
      <c r="R618" s="61">
        <f>SUM(N618:Q618)</f>
        <v>-5648.5884147063971</v>
      </c>
      <c r="S618" s="190">
        <f>SUM(S506:S507)*R560/R559</f>
        <v>0</v>
      </c>
      <c r="T618" s="190">
        <f>SUM(T506:T507)*S560/S559</f>
        <v>-5572.8640591893545</v>
      </c>
      <c r="U618" s="190">
        <f>SUM(U506:U507)*T560/T559</f>
        <v>47.531557998997357</v>
      </c>
      <c r="V618" s="190">
        <f>SUM(V506:V507)*U560/U559</f>
        <v>-538.5853302601771</v>
      </c>
      <c r="W618" s="61">
        <f>SUM(S618:V618)</f>
        <v>-6063.9178314505343</v>
      </c>
      <c r="X618" s="190">
        <f>SUM(X506:X507)*W560/W559</f>
        <v>-331.26857544784821</v>
      </c>
      <c r="Y618" s="190">
        <f>SUM(Y506:Y507)*X560/X559</f>
        <v>-297.41786504401472</v>
      </c>
      <c r="Z618" s="190">
        <f>SUM(Z506:Z507)*Y560/Y559</f>
        <v>-194.44628612240507</v>
      </c>
      <c r="AA618" s="190">
        <f>SUM(AA506:AA507)*Z560/Z559</f>
        <v>-1424.2227210708502</v>
      </c>
      <c r="AB618" s="61">
        <f>SUM(X618:AA618)</f>
        <v>-2247.3554476851182</v>
      </c>
      <c r="AC618" s="190">
        <f>SUM(AC506:AC507)*AB560/AB559</f>
        <v>-3063.0135736070911</v>
      </c>
      <c r="AD618" s="190">
        <f>SUM(AD506:AD507)*AC560/AC559</f>
        <v>-7096.7858551012696</v>
      </c>
      <c r="AE618" s="190">
        <f>SUM(AE506:AE507)*AD560/AD559</f>
        <v>-350.01870581298806</v>
      </c>
      <c r="AF618" s="190">
        <f>SUM(AF506:AF507)*AE560/AE559</f>
        <v>-3453.9702900774764</v>
      </c>
      <c r="AG618" s="61">
        <f>SUM(AC618:AF618)</f>
        <v>-13963.788424598824</v>
      </c>
      <c r="AH618" s="190">
        <f>SUM(AH506:AH507)*AG560/AG559</f>
        <v>-2596.5181810512818</v>
      </c>
      <c r="AI618" s="190">
        <f>SUM(AI506:AI507)*AH560/AH559</f>
        <v>-343.46931980454707</v>
      </c>
      <c r="AJ618" s="190">
        <f>SUM(AJ506:AJ507)*AI560/AI559</f>
        <v>-211.60576111311067</v>
      </c>
      <c r="AK618" s="190">
        <f>SUM(AK506:AK507)*AJ560/AJ559</f>
        <v>-120.56881516575764</v>
      </c>
      <c r="AL618" s="61">
        <f>SUM(AH618:AK618)</f>
        <v>-3272.162077134697</v>
      </c>
      <c r="AM618" s="190">
        <f>SUM(AM506:AM507)*AL560/AL559</f>
        <v>-174.44145612478258</v>
      </c>
      <c r="AN618" s="190">
        <f>SUM(AN506:AN507)*AM560/AM559</f>
        <v>-493.29088118671774</v>
      </c>
      <c r="AO618" s="190">
        <f>SUM(AO506:AO507)*AN560/AN559</f>
        <v>296.53099176627012</v>
      </c>
      <c r="AP618" s="190">
        <f>SUM(AP506:AP507)*AO560/AO559</f>
        <v>-122.03622340218305</v>
      </c>
      <c r="AQ618" s="61">
        <f>SUM(AM618:AP618)</f>
        <v>-493.23756894741319</v>
      </c>
      <c r="AR618" s="190">
        <f>SUM(AR506:AR507)*AQ560/AQ559</f>
        <v>155.95600179849185</v>
      </c>
      <c r="AS618" s="190">
        <f>SUM(AS506:AS507)*AR560/AR559</f>
        <v>-110.61785678987449</v>
      </c>
      <c r="AT618" s="190">
        <f>SUM(AT506:AT507)*AS560/AS559</f>
        <v>71.219808520533775</v>
      </c>
      <c r="AU618" s="190">
        <f>SUM(AU506:AU507)*AT560/AT559</f>
        <v>-1742.1275276807826</v>
      </c>
      <c r="AV618" s="61">
        <f>SUM(AR618:AU618)</f>
        <v>-1625.5695741516315</v>
      </c>
      <c r="AW618" s="190">
        <f>SUM(AW506:AW507)*AV560/AV559</f>
        <v>-282.96019196616953</v>
      </c>
      <c r="AX618" s="190">
        <f>SUM(AX506:AX507)*AW560/AW559</f>
        <v>-4396.074504412717</v>
      </c>
      <c r="AY618" s="190">
        <f>SUM(AY506:AY507)*AX560/AX559</f>
        <v>-271.37488475705851</v>
      </c>
      <c r="AZ618" s="190">
        <f>SUM(AZ506:AZ507)*AY560/AY559</f>
        <v>0</v>
      </c>
      <c r="BA618" s="61">
        <f>SUM(AW618:AZ618)</f>
        <v>-4950.4095811359457</v>
      </c>
      <c r="BB618" s="190">
        <f>SUM(BB506:BB507)*BA560/BA559</f>
        <v>-3201.0865864719958</v>
      </c>
      <c r="BC618" s="190">
        <f>SUM(BC506:BC507)*BB560/BB559</f>
        <v>-3213.6828202799875</v>
      </c>
      <c r="BD618" s="190">
        <f>SUM(BD506:BD507)*BC560/BC559</f>
        <v>-3151.0699305148901</v>
      </c>
      <c r="BE618" s="190">
        <f>SUM(BE506:BE507)*BD560/BD559</f>
        <v>-3142.2323325220036</v>
      </c>
      <c r="BF618" s="61">
        <f>SUM(BB618:BE618)</f>
        <v>-12708.071669788877</v>
      </c>
      <c r="BG618" s="190">
        <f>SUM(BG506:BG507)*BF560/BF559</f>
        <v>-2465.7272606720167</v>
      </c>
      <c r="BH618" s="190">
        <f>SUM(BH506:BH507)*BG560/BG559</f>
        <v>-2466.3212290697502</v>
      </c>
      <c r="BI618" s="190">
        <f>SUM(BI506:BI507)*BH560/BH559</f>
        <v>-2477.3534569016065</v>
      </c>
      <c r="BJ618" s="190">
        <f>SUM(BJ506:BJ507)*BI560/BI559</f>
        <v>-1163.8351537352883</v>
      </c>
      <c r="BK618" s="61">
        <f>SUM(BG618:BJ618)</f>
        <v>-8573.2371003786611</v>
      </c>
      <c r="BL618" s="190">
        <f>SUM(BL506:BL507)*BK560/BK559</f>
        <v>-2877.5750526654706</v>
      </c>
      <c r="BM618" s="190">
        <f>SUM(BM506:BM507)*BL560/BL559</f>
        <v>-2900.9647217694865</v>
      </c>
      <c r="BN618" s="190">
        <f>SUM(BN506:BN507)*BM560/BM559</f>
        <v>-2924.7046879047361</v>
      </c>
      <c r="BO618" s="190">
        <f>SUM(BO506:BO507)*BN560/BN559</f>
        <v>-2947.7976638822097</v>
      </c>
      <c r="BP618" s="61">
        <f>SUM(BL618:BO618)</f>
        <v>-11651.042126221902</v>
      </c>
      <c r="BQ618" s="190">
        <f>SUM(BQ506:BQ507)*BP560/BP559</f>
        <v>-2969.6003383099514</v>
      </c>
      <c r="BR618" s="190">
        <f>SUM(BR506:BR507)*BQ560/BQ559</f>
        <v>-3009.7674105548344</v>
      </c>
      <c r="BS618" s="190">
        <f>SUM(BS506:BS507)*BR560/BR559</f>
        <v>-3021.4665119731712</v>
      </c>
    </row>
    <row r="619" spans="1:71" s="26" customFormat="1">
      <c r="A619" s="26" t="s">
        <v>355</v>
      </c>
      <c r="I619" s="190"/>
      <c r="J619" s="190">
        <f>J620-SUM(J616:J618)</f>
        <v>3267.8012986129288</v>
      </c>
      <c r="K619" s="190">
        <f>K620-SUM(K616:K618)</f>
        <v>1033.7424842157634</v>
      </c>
      <c r="L619" s="190">
        <f>L620-SUM(L616:L618)</f>
        <v>3325.5461693841571</v>
      </c>
      <c r="M619" s="190">
        <f>SUM(I619:L619)</f>
        <v>7627.0899522128493</v>
      </c>
      <c r="N619" s="190">
        <f>N620-SUM(N616:N618)</f>
        <v>1208.5075335179354</v>
      </c>
      <c r="O619" s="190">
        <f>O620-SUM(O616:O618)</f>
        <v>7428.5059306408184</v>
      </c>
      <c r="P619" s="190">
        <f>P620-SUM(P616:P618)</f>
        <v>5245.594599779979</v>
      </c>
      <c r="Q619" s="190">
        <f>Q620-SUM(Q616:Q618)</f>
        <v>3129.9019452856373</v>
      </c>
      <c r="R619" s="61">
        <f>SUM(N619:Q619)</f>
        <v>17012.51000922437</v>
      </c>
      <c r="S619" s="190">
        <f>S620-SUM(S616:S618)</f>
        <v>5972.4103044446747</v>
      </c>
      <c r="T619" s="190">
        <f>T620-SUM(T616:T618)</f>
        <v>-11566.697001651177</v>
      </c>
      <c r="U619" s="190">
        <f>U620-SUM(U616:U618)</f>
        <v>967.1294043621092</v>
      </c>
      <c r="V619" s="190">
        <f>V620-SUM(V616:V618)</f>
        <v>-13144.146921750427</v>
      </c>
      <c r="W619" s="61">
        <f>SUM(S619:V619)</f>
        <v>-17771.30421459482</v>
      </c>
      <c r="X619" s="190">
        <f>X620-SUM(X616:X618)</f>
        <v>-2541.055736564791</v>
      </c>
      <c r="Y619" s="190">
        <f>Y620-SUM(Y616:Y618)</f>
        <v>4037.8995557231465</v>
      </c>
      <c r="Z619" s="190">
        <f>Z620-SUM(Z616:Z618)</f>
        <v>14609.624238766824</v>
      </c>
      <c r="AA619" s="190">
        <f>AA620-SUM(AA616:AA618)</f>
        <v>36434.907254799778</v>
      </c>
      <c r="AB619" s="61">
        <f>SUM(X619:AA619)</f>
        <v>52541.375312724958</v>
      </c>
      <c r="AC619" s="190">
        <f>AC620-SUM(AC616:AC618)</f>
        <v>2063.2116866901197</v>
      </c>
      <c r="AD619" s="190">
        <f>AD620-SUM(AD616:AD618)</f>
        <v>-7343.8743946316536</v>
      </c>
      <c r="AE619" s="190">
        <f>AE620-SUM(AE616:AE618)</f>
        <v>-2449.1395521170343</v>
      </c>
      <c r="AF619" s="190">
        <f>AF620-SUM(AF616:AF618)</f>
        <v>-19286.503332724693</v>
      </c>
      <c r="AG619" s="61">
        <f>SUM(AC619:AF619)</f>
        <v>-27016.305592783261</v>
      </c>
      <c r="AH619" s="190">
        <f>AH620-SUM(AH616:AH618)</f>
        <v>-8209.4871317908328</v>
      </c>
      <c r="AI619" s="190">
        <f>AI620-SUM(AI616:AI618)</f>
        <v>-5130.7925189854432</v>
      </c>
      <c r="AJ619" s="190">
        <f>AJ620-SUM(AJ616:AJ618)</f>
        <v>-3536.9236201953609</v>
      </c>
      <c r="AK619" s="190">
        <f>AK620-SUM(AK616:AK618)</f>
        <v>-505.74224085515016</v>
      </c>
      <c r="AL619" s="61">
        <f>SUM(AH619:AK619)</f>
        <v>-17382.945511826787</v>
      </c>
      <c r="AM619" s="190">
        <f>AM620-SUM(AM616:AM618)</f>
        <v>1028.5583732533123</v>
      </c>
      <c r="AN619" s="190">
        <f>AN620-SUM(AN616:AN618)</f>
        <v>-13238.034989969234</v>
      </c>
      <c r="AO619" s="190">
        <f>AO620-SUM(AO616:AO618)</f>
        <v>1268.3571605333345</v>
      </c>
      <c r="AP619" s="190">
        <f>AP620-SUM(AP616:AP618)</f>
        <v>-547.1488995391046</v>
      </c>
      <c r="AQ619" s="61">
        <f>SUM(AM619:AP619)</f>
        <v>-11488.268355721691</v>
      </c>
      <c r="AR619" s="190">
        <f>AR620-SUM(AR616:AR618)</f>
        <v>2560.549065815816</v>
      </c>
      <c r="AS619" s="190">
        <f>AS620-SUM(AS616:AS618)</f>
        <v>6740.8444997249317</v>
      </c>
      <c r="AT619" s="190">
        <f>AT620-SUM(AT616:AT618)</f>
        <v>-1154.3919552837178</v>
      </c>
      <c r="AU619" s="190">
        <f>AU620-SUM(AU616:AU618)</f>
        <v>5262.5154972084638</v>
      </c>
      <c r="AV619" s="61">
        <f>SUM(AR619:AU619)</f>
        <v>13409.517107465494</v>
      </c>
      <c r="AW619" s="190">
        <f>AW620-SUM(AW616:AW618)</f>
        <v>3205.7738686092198</v>
      </c>
      <c r="AX619" s="190">
        <f>AX620-SUM(AX616:AX618)</f>
        <v>8974.6025931265103</v>
      </c>
      <c r="AY619" s="190">
        <f>AY620-SUM(AY616:AY618)</f>
        <v>-4310.9232277614428</v>
      </c>
      <c r="AZ619" s="190">
        <f>AZ620-SUM(AZ616:AZ618)</f>
        <v>-1915</v>
      </c>
      <c r="BA619" s="61">
        <f>SUM(AW619:AZ619)</f>
        <v>5954.4532339742873</v>
      </c>
      <c r="BB619" s="190">
        <f>BB620-SUM(BB616:BB618)</f>
        <v>311.08658647199627</v>
      </c>
      <c r="BC619" s="190">
        <f>BC620-SUM(BC616:BC618)</f>
        <v>288.68282027998794</v>
      </c>
      <c r="BD619" s="190">
        <f>BD620-SUM(BD616:BD618)</f>
        <v>266.06993051488826</v>
      </c>
      <c r="BE619" s="190">
        <f>BE620-SUM(BE616:BE618)</f>
        <v>242.23233252200225</v>
      </c>
      <c r="BF619" s="61">
        <f>SUM(BB619:BE619)</f>
        <v>1108.0716697888747</v>
      </c>
      <c r="BG619" s="190">
        <f>BG620-SUM(BG616:BG618)</f>
        <v>210.72726067201802</v>
      </c>
      <c r="BH619" s="190">
        <f>BH620-SUM(BH616:BH618)</f>
        <v>196.32122906974837</v>
      </c>
      <c r="BI619" s="190">
        <f>BI620-SUM(BI616:BI618)</f>
        <v>182.35345690160466</v>
      </c>
      <c r="BJ619" s="190">
        <f>BJ620-SUM(BJ616:BJ618)</f>
        <v>163.83515373528644</v>
      </c>
      <c r="BK619" s="61">
        <f>SUM(BG619:BJ619)</f>
        <v>753.23710037865749</v>
      </c>
      <c r="BL619" s="190">
        <f>BL620-SUM(BL616:BL618)</f>
        <v>172.57505266547014</v>
      </c>
      <c r="BM619" s="190">
        <f>BM620-SUM(BM616:BM618)</f>
        <v>150.96472176948737</v>
      </c>
      <c r="BN619" s="190">
        <f>BN620-SUM(BN616:BN618)</f>
        <v>124.70468790473569</v>
      </c>
      <c r="BO619" s="190">
        <f>BO620-SUM(BO616:BO618)</f>
        <v>97.797663882209235</v>
      </c>
      <c r="BP619" s="61">
        <f>SUM(BL619:BO619)</f>
        <v>546.04212622190244</v>
      </c>
      <c r="BQ619" s="190">
        <f>BQ620-SUM(BQ616:BQ618)</f>
        <v>69.600338309951439</v>
      </c>
      <c r="BR619" s="190">
        <f>BR620-SUM(BR616:BR618)</f>
        <v>54.767410554834441</v>
      </c>
      <c r="BS619" s="190">
        <f>BS620-SUM(BS616:BS618)</f>
        <v>21.466511973171237</v>
      </c>
    </row>
    <row r="620" spans="1:71" s="26" customFormat="1">
      <c r="A620" s="174" t="s">
        <v>354</v>
      </c>
      <c r="B620" s="174"/>
      <c r="C620" s="174"/>
      <c r="D620" s="174"/>
      <c r="E620" s="174"/>
      <c r="F620" s="174"/>
      <c r="G620" s="174"/>
      <c r="H620" s="174"/>
      <c r="I620" s="194"/>
      <c r="J620" s="194">
        <f t="shared" ref="J620:AO620" si="1925">J560+SUM(J564:J565)</f>
        <v>14377.801298612929</v>
      </c>
      <c r="K620" s="194">
        <f t="shared" si="1925"/>
        <v>20402.814702209678</v>
      </c>
      <c r="L620" s="194">
        <f t="shared" si="1925"/>
        <v>22181.103182488961</v>
      </c>
      <c r="M620" s="194">
        <f t="shared" si="1925"/>
        <v>22181.103182488961</v>
      </c>
      <c r="N620" s="194">
        <f t="shared" si="1925"/>
        <v>22016.203711734102</v>
      </c>
      <c r="O620" s="194">
        <f t="shared" si="1925"/>
        <v>29215.21124042508</v>
      </c>
      <c r="P620" s="194">
        <f t="shared" si="1925"/>
        <v>46933.343621957203</v>
      </c>
      <c r="Q620" s="194">
        <f t="shared" si="1925"/>
        <v>51875.02477700694</v>
      </c>
      <c r="R620" s="194">
        <f t="shared" si="1925"/>
        <v>51875.02449022435</v>
      </c>
      <c r="S620" s="194">
        <f t="shared" si="1925"/>
        <v>61297.434794669025</v>
      </c>
      <c r="T620" s="194">
        <f t="shared" si="1925"/>
        <v>53337.873733828492</v>
      </c>
      <c r="U620" s="194">
        <f t="shared" si="1925"/>
        <v>56372.534696189599</v>
      </c>
      <c r="V620" s="194">
        <f t="shared" si="1925"/>
        <v>45049.802444178997</v>
      </c>
      <c r="W620" s="194">
        <f t="shared" si="1925"/>
        <v>45049.802200863734</v>
      </c>
      <c r="X620" s="194">
        <f t="shared" si="1925"/>
        <v>44917.477888851092</v>
      </c>
      <c r="Y620" s="194">
        <f t="shared" si="1925"/>
        <v>48577.959579530223</v>
      </c>
      <c r="Z620" s="194">
        <f t="shared" si="1925"/>
        <v>63533.137532174645</v>
      </c>
      <c r="AA620" s="194">
        <f t="shared" si="1925"/>
        <v>99133.822065903572</v>
      </c>
      <c r="AB620" s="194">
        <f t="shared" si="1925"/>
        <v>99133.822141054872</v>
      </c>
      <c r="AC620" s="194">
        <f t="shared" si="1925"/>
        <v>98664.020254137897</v>
      </c>
      <c r="AD620" s="194">
        <f t="shared" si="1925"/>
        <v>84263.360004404967</v>
      </c>
      <c r="AE620" s="194">
        <f t="shared" si="1925"/>
        <v>81854.201746474952</v>
      </c>
      <c r="AF620" s="194">
        <f t="shared" si="1925"/>
        <v>59213.728123672787</v>
      </c>
      <c r="AG620" s="194">
        <f t="shared" si="1925"/>
        <v>59213.728123672787</v>
      </c>
      <c r="AH620" s="194">
        <f t="shared" si="1925"/>
        <v>48307.722810830674</v>
      </c>
      <c r="AI620" s="194">
        <f t="shared" si="1925"/>
        <v>42833.460972040681</v>
      </c>
      <c r="AJ620" s="194">
        <f t="shared" si="1925"/>
        <v>39184.931590732209</v>
      </c>
      <c r="AK620" s="194">
        <f t="shared" si="1925"/>
        <v>38558.620534711299</v>
      </c>
      <c r="AL620" s="194">
        <f t="shared" si="1925"/>
        <v>38558.620035272972</v>
      </c>
      <c r="AM620" s="194">
        <f>AM560+SUM(AM564:AM565)</f>
        <v>39412.736952401501</v>
      </c>
      <c r="AN620" s="194">
        <f t="shared" si="1925"/>
        <v>25681.411081245551</v>
      </c>
      <c r="AO620" s="194">
        <f t="shared" si="1925"/>
        <v>27246.299233545156</v>
      </c>
      <c r="AP620" s="194">
        <f t="shared" ref="AP620:AQ620" si="1926">AP560+SUM(AP564:AP565)</f>
        <v>26577.11411060387</v>
      </c>
      <c r="AQ620" s="194">
        <f t="shared" si="1926"/>
        <v>26592.174129835046</v>
      </c>
      <c r="AR620" s="194">
        <f t="shared" ref="AR620" si="1927">AR560+SUM(AR564:AR565)</f>
        <v>29308.679197449354</v>
      </c>
      <c r="AS620" s="194">
        <f t="shared" ref="AS620:BS620" si="1928">AS560+SUM(AS564:AS565)</f>
        <v>35938.90584038441</v>
      </c>
      <c r="AT620" s="194">
        <f t="shared" si="1928"/>
        <v>34855.733693621223</v>
      </c>
      <c r="AU620" s="194">
        <f t="shared" ref="AU620:AY620" si="1929">AU560+SUM(AU564:AU565)</f>
        <v>38376.121663148908</v>
      </c>
      <c r="AV620" s="194">
        <f t="shared" si="1929"/>
        <v>38376.121663148915</v>
      </c>
      <c r="AW620" s="194">
        <f t="shared" si="1929"/>
        <v>41298.935339791962</v>
      </c>
      <c r="AX620" s="194">
        <f t="shared" si="1929"/>
        <v>45877.463428505755</v>
      </c>
      <c r="AY620" s="194">
        <f t="shared" si="1929"/>
        <v>41295.165315987251</v>
      </c>
      <c r="AZ620" s="194">
        <f t="shared" si="1928"/>
        <v>39380.165315987251</v>
      </c>
      <c r="BA620" s="194">
        <f t="shared" si="1928"/>
        <v>39380.165315987251</v>
      </c>
      <c r="BB620" s="194">
        <f t="shared" si="1928"/>
        <v>36490.165315987251</v>
      </c>
      <c r="BC620" s="194">
        <f t="shared" si="1928"/>
        <v>33565.165315987251</v>
      </c>
      <c r="BD620" s="194">
        <f t="shared" si="1928"/>
        <v>30680.165315987251</v>
      </c>
      <c r="BE620" s="194">
        <f t="shared" si="1928"/>
        <v>27780.165315987251</v>
      </c>
      <c r="BF620" s="194">
        <f t="shared" si="1928"/>
        <v>27780.165315987251</v>
      </c>
      <c r="BG620" s="194">
        <f t="shared" si="1928"/>
        <v>25525.165315987251</v>
      </c>
      <c r="BH620" s="194">
        <f t="shared" si="1928"/>
        <v>23255.165315987251</v>
      </c>
      <c r="BI620" s="194">
        <f t="shared" si="1928"/>
        <v>20960.165315987251</v>
      </c>
      <c r="BJ620" s="194">
        <f t="shared" si="1928"/>
        <v>19960.165315987251</v>
      </c>
      <c r="BK620" s="194">
        <f t="shared" si="1928"/>
        <v>19960.165315987251</v>
      </c>
      <c r="BL620" s="194">
        <f t="shared" si="1928"/>
        <v>17255.165315987251</v>
      </c>
      <c r="BM620" s="194">
        <f t="shared" si="1928"/>
        <v>14505.165315987251</v>
      </c>
      <c r="BN620" s="194">
        <f t="shared" si="1928"/>
        <v>11705.165315987251</v>
      </c>
      <c r="BO620" s="194">
        <f t="shared" si="1928"/>
        <v>8855.1653159872512</v>
      </c>
      <c r="BP620" s="194">
        <f t="shared" si="1928"/>
        <v>8855.1653159872512</v>
      </c>
      <c r="BQ620" s="194">
        <f t="shared" si="1928"/>
        <v>5955.1653159872512</v>
      </c>
      <c r="BR620" s="194">
        <f t="shared" si="1928"/>
        <v>3000.1653159872512</v>
      </c>
      <c r="BS620" s="194">
        <f t="shared" si="1928"/>
        <v>0.16531598725123331</v>
      </c>
    </row>
    <row r="621" spans="1:71" s="26" customFormat="1">
      <c r="I621" s="190"/>
      <c r="J621" s="190"/>
      <c r="K621" s="190"/>
      <c r="L621" s="190"/>
      <c r="M621" s="190"/>
      <c r="R621" s="61"/>
      <c r="W621" s="61"/>
    </row>
    <row r="622" spans="1:71" s="26" customFormat="1">
      <c r="A622" s="26" t="s">
        <v>305</v>
      </c>
      <c r="I622" s="190"/>
      <c r="J622" s="195">
        <f>J620/(I620+J617+0.5*J618)-1</f>
        <v>0.29413153002816639</v>
      </c>
      <c r="K622" s="195">
        <f>K620/(J620+K617+0.5*K618)-1</f>
        <v>5.3133471192976067E-2</v>
      </c>
      <c r="L622" s="195">
        <f>L620/(K620+L617+0.5*L618)-1</f>
        <v>0.12285585153037237</v>
      </c>
      <c r="M622" s="195"/>
      <c r="N622" s="195">
        <f>N620/(M620+N617+0.5*N618)-1</f>
        <v>-6.237856615948778E-3</v>
      </c>
      <c r="O622" s="195">
        <f>O620/(N620+O617+0.5*O618)-1</f>
        <v>0.2860814713223796</v>
      </c>
      <c r="P622" s="195">
        <f>P620/(O620+P617+0.5*P618)-1</f>
        <v>0.11423775887401177</v>
      </c>
      <c r="Q622" s="195">
        <f>Q620/(P620+Q617+0.5*Q618)-1</f>
        <v>6.172408674868568E-2</v>
      </c>
      <c r="R622" s="61"/>
      <c r="S622" s="195">
        <f>S620/(R620+S617+0.5*S618)-1</f>
        <v>0.10795133593659711</v>
      </c>
      <c r="T622" s="195">
        <f>T620/(S620+T617+0.5*T618)-1</f>
        <v>-0.21203894823451264</v>
      </c>
      <c r="U622" s="195">
        <f>U620/(T620+U617+0.5*U618)-1</f>
        <v>1.7892124394982778E-2</v>
      </c>
      <c r="V622" s="195">
        <f>V620/(U620+V617+0.5*V618)-1</f>
        <v>-0.22943372828613262</v>
      </c>
      <c r="W622" s="61"/>
      <c r="X622" s="195">
        <f>X620/(W620+X617+0.5*X618)-1</f>
        <v>-5.683437932659241E-2</v>
      </c>
      <c r="Y622" s="195">
        <f>Y620/(X620+Y617+0.5*Y618)-1</f>
        <v>8.7028367843422716E-2</v>
      </c>
      <c r="Z622" s="195">
        <f>Z620/(Y620+Z617+0.5*Z618)-1</f>
        <v>0.29604616639151726</v>
      </c>
      <c r="AA622" s="195">
        <f>AA620/(Z620+AA617+0.5*AA618)-1</f>
        <v>0.56335306414330644</v>
      </c>
      <c r="AC622" s="195">
        <f>AC620/(AB620+AC617+0.5*AC618)-1</f>
        <v>5.4182447236381659E-3</v>
      </c>
      <c r="AD622" s="195">
        <f>AD620/(AC620+AD617+0.5*AD618)-1</f>
        <v>-0.11446792615636414</v>
      </c>
      <c r="AE622" s="195">
        <f>AE620/(AD620+AE617+0.5*AE618)-1</f>
        <v>-3.1062975126598058E-2</v>
      </c>
      <c r="AF622" s="195">
        <f>AF620/(AE620+AF617+0.5*AF618)-1</f>
        <v>-0.26192468551111681</v>
      </c>
      <c r="AH622" s="195">
        <f>AH620/(AG620+AH617+0.5*AH618)-1</f>
        <v>-0.16444986750631441</v>
      </c>
      <c r="AI622" s="195">
        <f>AI620/(AH620+AI617+0.5*AI618)-1</f>
        <v>-0.11015723126451393</v>
      </c>
      <c r="AJ622" s="195">
        <f>AJ620/(AI620+AJ617+0.5*AJ618)-1</f>
        <v>-8.5055467963498943E-2</v>
      </c>
      <c r="AK622" s="195">
        <f>AK620/(AJ620+AK617+0.5*AK618)-1</f>
        <v>-1.4467265245571737E-2</v>
      </c>
      <c r="AM622" s="195">
        <f>AM620/(AL620+AM617+0.5*AM618)-1</f>
        <v>2.4468505490895742E-2</v>
      </c>
      <c r="AN622" s="195">
        <f>AN620/(AM620+AN617+0.5*AN618)-1</f>
        <v>-0.34429476902225764</v>
      </c>
      <c r="AO622" s="195">
        <f>AO620/(AN620+AO617+0.5*AO618)-1</f>
        <v>5.4844769433576301E-2</v>
      </c>
      <c r="AP622" s="195">
        <f>AP620/(AO620+AP617+0.5*AP618)-1</f>
        <v>-2.2371187133007675E-2</v>
      </c>
      <c r="AR622" s="195">
        <f>AR620/(AQ620+AR617+0.5*AR618)-1</f>
        <v>9.8931834126077645E-2</v>
      </c>
      <c r="AS622" s="195">
        <f>AS620/(AR620+AS617+0.5*AS618)-1</f>
        <v>0.22853898575926701</v>
      </c>
      <c r="AT622" s="195">
        <f>AT620/(AS620+AT617+0.5*AT618)-1</f>
        <v>-3.1099294260548804E-2</v>
      </c>
      <c r="AU622" s="195">
        <f>AU620/(AT620+AU617+0.5*AU618)-1</f>
        <v>0.12921860775584104</v>
      </c>
      <c r="AW622" s="195">
        <f>AW620/(AV620+AW617+0.5*AW618)-1</f>
        <v>8.0144435700885586E-2</v>
      </c>
      <c r="AX622" s="195">
        <f>AX620/(AW620+AX617+0.5*AX618)-1</f>
        <v>0.17330971083428093</v>
      </c>
      <c r="AY622" s="195">
        <f>AY620/(AX620+AY617+0.5*AY618)-1</f>
        <v>-9.7211150513451083E-2</v>
      </c>
      <c r="AZ622" s="195">
        <f>AZ620/(AY620+AZ617+0.5*AZ618)-1</f>
        <v>-4.6373467338042484E-2</v>
      </c>
      <c r="BB622" s="195">
        <f>BB620/(BA620+BB617+0.5*BB618)-1</f>
        <v>-3.4131011315769122E-2</v>
      </c>
      <c r="BC622" s="195">
        <f>BC620/(BB620+BC617+0.5*BC618)-1</f>
        <v>-3.7787642984304481E-2</v>
      </c>
      <c r="BD622" s="195">
        <f>BD620/(BC620+BD617+0.5*BD618)-1</f>
        <v>-4.0934047076685909E-2</v>
      </c>
      <c r="BE622" s="195">
        <f>BE620/(BD620+BE617+0.5*BE618)-1</f>
        <v>-4.5651914870310839E-2</v>
      </c>
      <c r="BG622" s="195">
        <f>BG620/(BF620+BG617+0.5*BG618)-1</f>
        <v>-3.8502458056460576E-2</v>
      </c>
      <c r="BH622" s="195">
        <f>BH620/(BG620+BH617+0.5*BH618)-1</f>
        <v>-4.2682331005935215E-2</v>
      </c>
      <c r="BI622" s="195">
        <f>BI620/(BH620+BI617+0.5*BI618)-1</f>
        <v>-4.797873499896721E-2</v>
      </c>
      <c r="BJ622" s="195">
        <f>BJ620/(BI620+BJ617+0.5*BJ618)-1</f>
        <v>-2.0516112498219052E-2</v>
      </c>
      <c r="BL622" s="195">
        <f>BL620/(BK620+BL617+0.5*BL618)-1</f>
        <v>-6.8364917990848983E-2</v>
      </c>
      <c r="BM622" s="195">
        <f>BM620/(BL620+BM617+0.5*BM618)-1</f>
        <v>-8.2223581631272746E-2</v>
      </c>
      <c r="BN622" s="195">
        <f>BN620/(BM620+BN617+0.5*BN618)-1</f>
        <v>-0.10255821799451426</v>
      </c>
      <c r="BO622" s="195">
        <f>BO620/(BN620+BO617+0.5*BO618)-1</f>
        <v>-0.13449959203043738</v>
      </c>
      <c r="BQ622" s="195">
        <f>BQ620/(BP620+BQ617+0.5*BQ618)-1</f>
        <v>-0.19201217343393973</v>
      </c>
      <c r="BR622" s="195">
        <f>BR620/(BQ620+BR617+0.5*BR618)-1</f>
        <v>-0.32584820952292159</v>
      </c>
      <c r="BS622" s="195">
        <f>BS620/(BR620+BS617+0.5*BS618)-1</f>
        <v>-0.99988900736616937</v>
      </c>
    </row>
    <row r="623" spans="1:71" s="26" customFormat="1">
      <c r="I623" s="190"/>
      <c r="J623" s="196" t="s">
        <v>358</v>
      </c>
      <c r="K623" s="190"/>
      <c r="L623" s="190"/>
      <c r="M623" s="190"/>
      <c r="R623" s="61"/>
      <c r="W623" s="61"/>
    </row>
    <row r="624" spans="1:71" s="26" customFormat="1">
      <c r="A624" s="26" t="s">
        <v>353</v>
      </c>
      <c r="I624" s="197">
        <v>100</v>
      </c>
      <c r="J624" s="198">
        <f>I624*(1+J622)</f>
        <v>129.41315300281664</v>
      </c>
      <c r="K624" s="198">
        <f>J624*(1+K622)</f>
        <v>136.28932303988401</v>
      </c>
      <c r="L624" s="198">
        <f>K624*(1+L622)</f>
        <v>153.03326387644697</v>
      </c>
      <c r="M624" s="199">
        <f>L624</f>
        <v>153.03326387644697</v>
      </c>
      <c r="N624" s="198">
        <f>M624*(1+N622)</f>
        <v>152.07866431891503</v>
      </c>
      <c r="O624" s="198">
        <f>N624*(1+O622)</f>
        <v>195.58555236401253</v>
      </c>
      <c r="P624" s="198">
        <f>O624*(1+P622)</f>
        <v>217.92880753421301</v>
      </c>
      <c r="Q624" s="198">
        <f>P624*(1+Q622)</f>
        <v>231.3802641554924</v>
      </c>
      <c r="R624" s="199">
        <f>Q624</f>
        <v>231.3802641554924</v>
      </c>
      <c r="S624" s="198">
        <f>R624*(1+S622)</f>
        <v>256.35807278044052</v>
      </c>
      <c r="T624" s="198">
        <f>S624*(1+T622)</f>
        <v>202.00017665664927</v>
      </c>
      <c r="U624" s="198">
        <f>T624*(1+U622)</f>
        <v>205.61438894519853</v>
      </c>
      <c r="V624" s="198">
        <f>U624*(1+V622)</f>
        <v>158.43951310022666</v>
      </c>
      <c r="W624" s="199">
        <f>V624</f>
        <v>158.43951310022666</v>
      </c>
      <c r="X624" s="198">
        <f>W624*(1+X622)</f>
        <v>149.43470171236777</v>
      </c>
      <c r="Y624" s="198">
        <f>X624*(1+Y622)</f>
        <v>162.43975990156386</v>
      </c>
      <c r="Z624" s="198">
        <f>Y624*(1+Z622)</f>
        <v>210.52942808998034</v>
      </c>
      <c r="AA624" s="198">
        <f>Z624*(1+AA622)</f>
        <v>329.13182649680869</v>
      </c>
      <c r="AB624" s="199">
        <f>AA624</f>
        <v>329.13182649680869</v>
      </c>
      <c r="AC624" s="198">
        <f>AB624*(1+AC622)</f>
        <v>330.91514327910642</v>
      </c>
      <c r="AD624" s="198">
        <f>AC624*(1+AD622)</f>
        <v>293.03597309421099</v>
      </c>
      <c r="AE624" s="198">
        <f>AD624*(1+AE622)</f>
        <v>283.93340395078707</v>
      </c>
      <c r="AF624" s="198">
        <f>AE624*(1+AF622)</f>
        <v>209.56423641487626</v>
      </c>
      <c r="AG624" s="199">
        <f>AF624</f>
        <v>209.56423641487626</v>
      </c>
      <c r="AH624" s="198">
        <f>AG624*(1+AH622)</f>
        <v>175.10142550238791</v>
      </c>
      <c r="AI624" s="198">
        <f>AH624*(1+AI622)</f>
        <v>155.8127372785753</v>
      </c>
      <c r="AJ624" s="198">
        <f>AI624*(1+AJ622)</f>
        <v>142.56001199467235</v>
      </c>
      <c r="AK624" s="198">
        <f>AJ624*(1+AK622)</f>
        <v>140.49755848773353</v>
      </c>
      <c r="AL624" s="199">
        <f>AK624</f>
        <v>140.49755848773353</v>
      </c>
      <c r="AM624" s="198">
        <f>AL624*(1+AM622)</f>
        <v>143.93532376904807</v>
      </c>
      <c r="AN624" s="198">
        <f>AM624*(1+AN622)</f>
        <v>94.379144717839793</v>
      </c>
      <c r="AO624" s="198">
        <f>AN624*(1+AO622)</f>
        <v>99.555347149227842</v>
      </c>
      <c r="AP624" s="198">
        <f>AO624*(1+AP622)</f>
        <v>97.328175848060923</v>
      </c>
      <c r="AQ624" s="199">
        <f>AP624</f>
        <v>97.328175848060923</v>
      </c>
      <c r="AR624" s="198">
        <f>AQ624*(1+AR622)</f>
        <v>106.95703079685501</v>
      </c>
      <c r="AS624" s="198">
        <f>AR624*(1+AS622)</f>
        <v>131.40088213499095</v>
      </c>
      <c r="AT624" s="198">
        <f>AS624*(1+AT622)</f>
        <v>127.31440743537918</v>
      </c>
      <c r="AU624" s="198">
        <f>AT624*(1+AU622)</f>
        <v>143.76579791143877</v>
      </c>
      <c r="AV624" s="199">
        <f>AU624</f>
        <v>143.76579791143877</v>
      </c>
      <c r="AW624" s="198">
        <f>AV624*(1+AW622)</f>
        <v>155.28782665813858</v>
      </c>
      <c r="AX624" s="198">
        <f>AW624*(1+AX622)</f>
        <v>182.20071499234453</v>
      </c>
      <c r="AY624" s="198">
        <f>AX624*(1+AY622)</f>
        <v>164.48877386356531</v>
      </c>
      <c r="AZ624" s="198">
        <f>AY624*(1+AZ622)</f>
        <v>156.86085908132861</v>
      </c>
      <c r="BA624" s="199">
        <f>AZ624</f>
        <v>156.86085908132861</v>
      </c>
      <c r="BB624" s="198">
        <f>BA624*(1+BB622)</f>
        <v>151.50703932502253</v>
      </c>
      <c r="BC624" s="198">
        <f>BB624*(1+BC622)</f>
        <v>145.7819454133996</v>
      </c>
      <c r="BD624" s="198">
        <f>BC624*(1+BD622)</f>
        <v>139.81450039691666</v>
      </c>
      <c r="BE624" s="198">
        <f>BD624*(1+BE622)</f>
        <v>133.43170072716157</v>
      </c>
      <c r="BF624" s="199">
        <f>BE624</f>
        <v>133.43170072716157</v>
      </c>
      <c r="BG624" s="198">
        <f>BF624*(1+BG622)</f>
        <v>128.29425226651182</v>
      </c>
      <c r="BH624" s="198">
        <f>BG624*(1+BH622)</f>
        <v>122.81835452511361</v>
      </c>
      <c r="BI624" s="198">
        <f>BH624*(1+BI622)</f>
        <v>116.92568524034398</v>
      </c>
      <c r="BJ624" s="198">
        <f>BI624*(1+BJ622)</f>
        <v>114.52682472802174</v>
      </c>
      <c r="BK624" s="199">
        <f>BJ624</f>
        <v>114.52682472802174</v>
      </c>
      <c r="BL624" s="198">
        <f>BK624*(1+BL622)</f>
        <v>106.69720774773819</v>
      </c>
      <c r="BM624" s="198">
        <f>BL624*(1+BM622)</f>
        <v>97.924181176663168</v>
      </c>
      <c r="BN624" s="198">
        <f>BM624*(1+BN622)</f>
        <v>87.881251656612633</v>
      </c>
      <c r="BO624" s="198">
        <f>BN624*(1+BO622)</f>
        <v>76.06125916167403</v>
      </c>
      <c r="BP624" s="199">
        <f>BO624</f>
        <v>76.06125916167403</v>
      </c>
      <c r="BQ624" s="198">
        <f>BP624*(1+BQ622)</f>
        <v>61.456571475918842</v>
      </c>
      <c r="BR624" s="198">
        <f>BQ624*(1+BR622)</f>
        <v>41.431057697073236</v>
      </c>
      <c r="BS624" s="198">
        <f>BR624*(1+BS622)</f>
        <v>4.5985422161869986E-3</v>
      </c>
    </row>
    <row r="625" spans="1:71" s="26" customFormat="1">
      <c r="A625" s="26" t="s">
        <v>352</v>
      </c>
      <c r="I625" s="197">
        <v>100</v>
      </c>
      <c r="J625" s="198">
        <f>I625*(1+$I$444)</f>
        <v>101.94265469082735</v>
      </c>
      <c r="K625" s="198">
        <f>J625*(1+$I$444)</f>
        <v>103.92304845413264</v>
      </c>
      <c r="L625" s="198">
        <f>K625*(1+$I$444)</f>
        <v>105.94191442977763</v>
      </c>
      <c r="M625" s="198">
        <f>L625</f>
        <v>105.94191442977763</v>
      </c>
      <c r="N625" s="198">
        <f>M625*(1+$I$444)</f>
        <v>108</v>
      </c>
      <c r="O625" s="198">
        <f>N625*(1+$I$444)</f>
        <v>110.09806706609353</v>
      </c>
      <c r="P625" s="198">
        <f>O625*(1+$I$444)</f>
        <v>112.23689233046325</v>
      </c>
      <c r="Q625" s="198">
        <f>P625*(1+$I$444)</f>
        <v>114.41726758415983</v>
      </c>
      <c r="R625" s="198">
        <f>Q625</f>
        <v>114.41726758415983</v>
      </c>
      <c r="S625" s="198">
        <f>R625*(1+$I$444)</f>
        <v>116.63999999999999</v>
      </c>
      <c r="T625" s="198">
        <f>S625*(1+$I$444)</f>
        <v>118.90591243138101</v>
      </c>
      <c r="U625" s="198">
        <f>T625*(1+$I$444)</f>
        <v>121.2158437169003</v>
      </c>
      <c r="V625" s="198">
        <f>U625*(1+$I$444)</f>
        <v>123.57064899089261</v>
      </c>
      <c r="W625" s="198">
        <f>V625</f>
        <v>123.57064899089261</v>
      </c>
      <c r="X625" s="198">
        <f>W625*(1+$I$444)</f>
        <v>125.97119999999998</v>
      </c>
      <c r="Y625" s="198">
        <f>X625*(1+$I$444)</f>
        <v>128.41838542589147</v>
      </c>
      <c r="Z625" s="198">
        <f>Y625*(1+$I$444)</f>
        <v>130.9131112142523</v>
      </c>
      <c r="AA625" s="198">
        <f>Z625*(1+$I$444)</f>
        <v>133.456300910164</v>
      </c>
      <c r="AB625" s="198">
        <f>AA625</f>
        <v>133.456300910164</v>
      </c>
      <c r="AC625" s="198">
        <f>AB625*(1+$I$444)</f>
        <v>136.04889599999996</v>
      </c>
      <c r="AD625" s="198">
        <f>AC625*(1+$I$444)</f>
        <v>138.69185625996278</v>
      </c>
      <c r="AE625" s="198">
        <f>AD625*(1+$I$444)</f>
        <v>141.38616011139246</v>
      </c>
      <c r="AF625" s="198">
        <f>AE625*(1+$I$444)</f>
        <v>144.13280498297709</v>
      </c>
      <c r="AG625" s="198">
        <f>AF625</f>
        <v>144.13280498297709</v>
      </c>
      <c r="AH625" s="198">
        <f>AG625*(1+$I$444)</f>
        <v>146.93280767999994</v>
      </c>
      <c r="AI625" s="198">
        <f>AH625*(1+$I$444)</f>
        <v>149.78720476075978</v>
      </c>
      <c r="AJ625" s="198">
        <f>AI625*(1+$I$444)</f>
        <v>152.69705292030383</v>
      </c>
      <c r="AK625" s="198">
        <f>AJ625*(1+$I$444)</f>
        <v>155.66342938161523</v>
      </c>
      <c r="AL625" s="198">
        <f>AK625</f>
        <v>155.66342938161523</v>
      </c>
      <c r="AM625" s="198">
        <f>AL625*(1+$I$444)</f>
        <v>158.68743229439991</v>
      </c>
      <c r="AN625" s="198">
        <f>AM625*(1+$I$444)</f>
        <v>161.77018114162055</v>
      </c>
      <c r="AO625" s="198">
        <f>AN625*(1+$I$444)</f>
        <v>164.91281715392816</v>
      </c>
      <c r="AP625" s="198">
        <f>AO625*(1+$I$444)</f>
        <v>168.11650373214448</v>
      </c>
      <c r="AQ625" s="198">
        <f>AP625</f>
        <v>168.11650373214448</v>
      </c>
      <c r="AR625" s="198">
        <f>AQ625*(1+$I$444)</f>
        <v>171.38242687795193</v>
      </c>
      <c r="AS625" s="198">
        <f>AR625*(1+$I$444)</f>
        <v>174.71179563295021</v>
      </c>
      <c r="AT625" s="198">
        <f>AS625*(1+$I$444)</f>
        <v>178.10584252624241</v>
      </c>
      <c r="AU625" s="198">
        <f>AT625*(1+$I$444)</f>
        <v>181.56582403071604</v>
      </c>
      <c r="AV625" s="198">
        <f>AU625</f>
        <v>181.56582403071604</v>
      </c>
      <c r="AW625" s="198">
        <f>AV625*(1+$I$444)</f>
        <v>185.09302102818808</v>
      </c>
      <c r="AX625" s="198">
        <f>AW625*(1+$I$444)</f>
        <v>188.68873928358622</v>
      </c>
      <c r="AY625" s="198">
        <f>AX625*(1+$I$444)</f>
        <v>192.35430992834179</v>
      </c>
      <c r="AZ625" s="198">
        <f>AY625*(1+$I$444)</f>
        <v>196.09108995317331</v>
      </c>
      <c r="BA625" s="198">
        <f>AZ625</f>
        <v>196.09108995317331</v>
      </c>
      <c r="BB625" s="198">
        <f>BA625*(1+$I$444)</f>
        <v>199.90046271044312</v>
      </c>
      <c r="BC625" s="198">
        <f>BB625*(1+$I$444)</f>
        <v>203.78383842627312</v>
      </c>
      <c r="BD625" s="198">
        <f>BC625*(1+$I$444)</f>
        <v>207.74265472260913</v>
      </c>
      <c r="BE625" s="198">
        <f>BD625*(1+$I$444)</f>
        <v>211.77837714942717</v>
      </c>
      <c r="BF625" s="198">
        <f>BE625</f>
        <v>211.77837714942717</v>
      </c>
      <c r="BG625" s="198">
        <f>BF625*(1+$I$444)</f>
        <v>215.89249972727856</v>
      </c>
      <c r="BH625" s="198">
        <f>BG625*(1+$I$444)</f>
        <v>220.08654550037497</v>
      </c>
      <c r="BI625" s="198">
        <f>BH625*(1+$I$444)</f>
        <v>224.36206710041787</v>
      </c>
      <c r="BJ625" s="198">
        <f>BI625*(1+$I$444)</f>
        <v>228.72064732138134</v>
      </c>
      <c r="BK625" s="198">
        <f>BJ625</f>
        <v>228.72064732138134</v>
      </c>
      <c r="BL625" s="198">
        <f>BK625*(1+$I$444)</f>
        <v>233.16389970546084</v>
      </c>
      <c r="BM625" s="198">
        <f>BL625*(1+$I$444)</f>
        <v>237.69346914040494</v>
      </c>
      <c r="BN625" s="198">
        <f>BM625*(1+$I$444)</f>
        <v>242.31103246845129</v>
      </c>
      <c r="BO625" s="198">
        <f>BN625*(1+$I$444)</f>
        <v>247.01829910709185</v>
      </c>
      <c r="BP625" s="198">
        <f>BO625</f>
        <v>247.01829910709185</v>
      </c>
      <c r="BQ625" s="198">
        <f>BP625*(1+$I$444)</f>
        <v>251.8170116818977</v>
      </c>
      <c r="BR625" s="198">
        <f>BQ625*(1+$I$444)</f>
        <v>256.70894667163736</v>
      </c>
      <c r="BS625" s="198">
        <f>BR625*(1+$I$444)</f>
        <v>261.69591506592741</v>
      </c>
    </row>
    <row r="626" spans="1:71" s="26" customFormat="1">
      <c r="I626" s="190"/>
      <c r="J626" s="190"/>
      <c r="K626" s="190"/>
      <c r="L626" s="190"/>
      <c r="M626" s="190"/>
      <c r="R626" s="61"/>
      <c r="W626" s="61"/>
      <c r="AB626" s="61"/>
      <c r="AG626" s="61"/>
      <c r="AL626" s="61"/>
      <c r="AQ626" s="61"/>
      <c r="AV626" s="61"/>
      <c r="BA626" s="61"/>
      <c r="BF626" s="61"/>
      <c r="BK626" s="61"/>
      <c r="BP626" s="61"/>
    </row>
    <row r="627" spans="1:71" s="26" customFormat="1">
      <c r="A627" s="26" t="s">
        <v>359</v>
      </c>
      <c r="I627" s="200">
        <f t="shared" ref="I627:AB627" si="1930">I624/I625</f>
        <v>1</v>
      </c>
      <c r="J627" s="200">
        <f t="shared" si="1930"/>
        <v>1.2694701093992704</v>
      </c>
      <c r="K627" s="200">
        <f t="shared" si="1930"/>
        <v>1.3114446224124816</v>
      </c>
      <c r="L627" s="200">
        <f t="shared" si="1930"/>
        <v>1.4445015903302683</v>
      </c>
      <c r="M627" s="200">
        <f t="shared" si="1930"/>
        <v>1.4445015903302683</v>
      </c>
      <c r="N627" s="200">
        <f t="shared" si="1930"/>
        <v>1.4081357807306947</v>
      </c>
      <c r="O627" s="200">
        <f t="shared" si="1930"/>
        <v>1.7764667225865061</v>
      </c>
      <c r="P627" s="200">
        <f t="shared" si="1930"/>
        <v>1.9416860446612967</v>
      </c>
      <c r="Q627" s="200">
        <f t="shared" si="1930"/>
        <v>2.0222495174104749</v>
      </c>
      <c r="R627" s="200">
        <f t="shared" si="1930"/>
        <v>2.0222495174104749</v>
      </c>
      <c r="S627" s="200">
        <f t="shared" si="1930"/>
        <v>2.197857276924216</v>
      </c>
      <c r="T627" s="200">
        <f t="shared" si="1930"/>
        <v>1.6988236541494171</v>
      </c>
      <c r="U627" s="200">
        <f t="shared" si="1930"/>
        <v>1.6962666153230852</v>
      </c>
      <c r="V627" s="200">
        <f t="shared" si="1930"/>
        <v>1.2821775591055118</v>
      </c>
      <c r="W627" s="200">
        <f t="shared" ref="W627" si="1931">W624/W625</f>
        <v>1.2821775591055118</v>
      </c>
      <c r="X627" s="200">
        <f t="shared" si="1930"/>
        <v>1.186260841465095</v>
      </c>
      <c r="Y627" s="200">
        <f t="shared" si="1930"/>
        <v>1.2649260412583654</v>
      </c>
      <c r="Z627" s="200">
        <f t="shared" si="1930"/>
        <v>1.6081615213118574</v>
      </c>
      <c r="AA627" s="200">
        <f t="shared" si="1930"/>
        <v>2.4662142158305698</v>
      </c>
      <c r="AB627" s="200">
        <f t="shared" si="1930"/>
        <v>2.4662142158305698</v>
      </c>
      <c r="AC627" s="200">
        <f t="shared" ref="AC627:AH627" si="1932">AC624/AC625</f>
        <v>2.4323250905255898</v>
      </c>
      <c r="AD627" s="200">
        <f t="shared" si="1932"/>
        <v>2.1128563781347549</v>
      </c>
      <c r="AE627" s="200">
        <f t="shared" si="1932"/>
        <v>2.0082121455670583</v>
      </c>
      <c r="AF627" s="200">
        <f t="shared" si="1932"/>
        <v>1.4539662670106712</v>
      </c>
      <c r="AG627" s="200">
        <f t="shared" si="1932"/>
        <v>1.4539662670106712</v>
      </c>
      <c r="AH627" s="200">
        <f t="shared" si="1932"/>
        <v>1.1917108797358278</v>
      </c>
      <c r="AI627" s="200">
        <f t="shared" ref="AI627:AM627" si="1933">AI624/AI625</f>
        <v>1.0402272846164631</v>
      </c>
      <c r="AJ627" s="200">
        <f t="shared" si="1933"/>
        <v>0.93361338197586408</v>
      </c>
      <c r="AK627" s="200">
        <f t="shared" si="1933"/>
        <v>0.90257267905423078</v>
      </c>
      <c r="AL627" s="200">
        <f t="shared" si="1933"/>
        <v>0.90257267905423078</v>
      </c>
      <c r="AM627" s="200">
        <f t="shared" si="1933"/>
        <v>0.9070366927483996</v>
      </c>
      <c r="AN627" s="200">
        <f t="shared" ref="AN627:AO627" si="1934">AN624/AN625</f>
        <v>0.58341496592141562</v>
      </c>
      <c r="AO627" s="200">
        <f t="shared" si="1934"/>
        <v>0.60368471576289773</v>
      </c>
      <c r="AP627" s="200">
        <f t="shared" ref="AP627:AR627" si="1935">AP624/AP625</f>
        <v>0.5789329047856675</v>
      </c>
      <c r="AQ627" s="200">
        <f t="shared" si="1935"/>
        <v>0.5789329047856675</v>
      </c>
      <c r="AR627" s="200">
        <f t="shared" si="1935"/>
        <v>0.62408400175721201</v>
      </c>
      <c r="AS627" s="200">
        <f t="shared" ref="AS627" si="1936">AS624/AS625</f>
        <v>0.75210080497970144</v>
      </c>
      <c r="AT627" s="200">
        <f t="shared" ref="AT627:AX627" si="1937">AT624/AT625</f>
        <v>0.7148244304036262</v>
      </c>
      <c r="AU627" s="200">
        <f t="shared" si="1937"/>
        <v>0.79181089656563053</v>
      </c>
      <c r="AV627" s="200">
        <f t="shared" si="1937"/>
        <v>0.79181089656563053</v>
      </c>
      <c r="AW627" s="200">
        <f t="shared" si="1937"/>
        <v>0.83897180885328781</v>
      </c>
      <c r="AX627" s="200">
        <f t="shared" si="1937"/>
        <v>0.96561520143769353</v>
      </c>
      <c r="AY627" s="200">
        <f t="shared" ref="AY627" si="1938">AY624/AY625</f>
        <v>0.85513432958607849</v>
      </c>
      <c r="AZ627" s="200">
        <f t="shared" ref="AZ627:BP627" si="1939">AZ624/AZ625</f>
        <v>0.79993873826081086</v>
      </c>
      <c r="BA627" s="200">
        <f t="shared" si="1939"/>
        <v>0.79993873826081086</v>
      </c>
      <c r="BB627" s="200">
        <f t="shared" si="1939"/>
        <v>0.75791239935487931</v>
      </c>
      <c r="BC627" s="200">
        <f t="shared" si="1939"/>
        <v>0.71537540238325614</v>
      </c>
      <c r="BD627" s="200">
        <f t="shared" si="1939"/>
        <v>0.6730177805015809</v>
      </c>
      <c r="BE627" s="200">
        <f t="shared" si="1939"/>
        <v>0.63005346685140784</v>
      </c>
      <c r="BF627" s="200">
        <f t="shared" si="1939"/>
        <v>0.63005346685140784</v>
      </c>
      <c r="BG627" s="200">
        <f t="shared" si="1939"/>
        <v>0.59425062208542079</v>
      </c>
      <c r="BH627" s="200">
        <f t="shared" si="1939"/>
        <v>0.55804571899604993</v>
      </c>
      <c r="BI627" s="200">
        <f t="shared" si="1939"/>
        <v>0.52114729887923295</v>
      </c>
      <c r="BJ627" s="200">
        <f t="shared" si="1939"/>
        <v>0.50072796692944432</v>
      </c>
      <c r="BK627" s="200">
        <f t="shared" si="1939"/>
        <v>0.50072796692944432</v>
      </c>
      <c r="BL627" s="200">
        <f t="shared" si="1939"/>
        <v>0.45760603542195466</v>
      </c>
      <c r="BM627" s="200">
        <f t="shared" si="1939"/>
        <v>0.41197674269636581</v>
      </c>
      <c r="BN627" s="200">
        <f t="shared" si="1939"/>
        <v>0.36267953118500579</v>
      </c>
      <c r="BO627" s="200">
        <f t="shared" si="1939"/>
        <v>0.30791750828426917</v>
      </c>
      <c r="BP627" s="200">
        <f t="shared" si="1939"/>
        <v>0.30791750828426917</v>
      </c>
      <c r="BQ627" s="200">
        <f t="shared" ref="BQ627:BS627" si="1940">BQ624/BQ625</f>
        <v>0.24405250092298175</v>
      </c>
      <c r="BR627" s="200">
        <f t="shared" si="1940"/>
        <v>0.16139311946174087</v>
      </c>
      <c r="BS627" s="200">
        <f t="shared" si="1940"/>
        <v>1.7572082525738E-5</v>
      </c>
    </row>
    <row r="628" spans="1:71">
      <c r="I628" s="65"/>
      <c r="J628" s="65"/>
      <c r="K628" s="65"/>
      <c r="L628" s="65"/>
      <c r="M628" s="65"/>
      <c r="R628" s="36"/>
      <c r="W628" s="36"/>
    </row>
    <row r="629" spans="1:71" s="46" customFormat="1">
      <c r="A629" s="47" t="s">
        <v>177</v>
      </c>
      <c r="I629" s="144"/>
      <c r="T629" s="144"/>
      <c r="AJ629" s="171"/>
    </row>
    <row r="630" spans="1:71">
      <c r="I630" s="65"/>
      <c r="J630" s="65"/>
      <c r="K630" s="65"/>
      <c r="L630" s="65"/>
      <c r="M630" s="65"/>
      <c r="R630" s="36"/>
      <c r="W630" s="36"/>
    </row>
    <row r="631" spans="1:71">
      <c r="A631" s="5" t="s">
        <v>205</v>
      </c>
      <c r="AD631" s="136">
        <v>0</v>
      </c>
      <c r="AE631" s="36">
        <f>AD639</f>
        <v>1469.5228734810578</v>
      </c>
      <c r="AF631" s="36">
        <f>AE639</f>
        <v>2774.9782646496265</v>
      </c>
      <c r="AG631" s="136">
        <v>0</v>
      </c>
      <c r="AH631" s="36">
        <f>AG639</f>
        <v>2206.7244055886918</v>
      </c>
      <c r="AI631" s="36">
        <f>AH639</f>
        <v>682.2066139888791</v>
      </c>
      <c r="AJ631" s="36">
        <f>AI639</f>
        <v>0</v>
      </c>
      <c r="AK631" s="36">
        <f>AJ639</f>
        <v>0</v>
      </c>
      <c r="AL631" s="36">
        <f>AG639</f>
        <v>2206.7244055886918</v>
      </c>
      <c r="AM631" s="36">
        <f>AL639</f>
        <v>0</v>
      </c>
      <c r="AN631" s="36">
        <f>AM639</f>
        <v>0</v>
      </c>
      <c r="AO631" s="36">
        <f>AN639</f>
        <v>0</v>
      </c>
      <c r="AP631" s="36">
        <f>AO639</f>
        <v>0</v>
      </c>
      <c r="AQ631" s="36">
        <f>AL639</f>
        <v>0</v>
      </c>
      <c r="AR631" s="36">
        <f>AQ639</f>
        <v>0</v>
      </c>
      <c r="AS631" s="36">
        <f>AR639</f>
        <v>0</v>
      </c>
      <c r="AT631" s="36">
        <f>AS639</f>
        <v>0</v>
      </c>
      <c r="AU631" s="36">
        <f>AT639</f>
        <v>0</v>
      </c>
      <c r="AV631" s="36">
        <f>AQ639</f>
        <v>0</v>
      </c>
      <c r="AW631" s="36">
        <f>AV639</f>
        <v>0</v>
      </c>
      <c r="AX631" s="36">
        <f>AW639</f>
        <v>0</v>
      </c>
      <c r="AY631" s="36">
        <f>AX639</f>
        <v>0</v>
      </c>
    </row>
    <row r="632" spans="1:71">
      <c r="A632" s="5" t="s">
        <v>619</v>
      </c>
      <c r="AD632" s="36">
        <f t="shared" ref="AD632:AF634" si="1941">AD426/AD$102</f>
        <v>1632.4613017108718</v>
      </c>
      <c r="AE632" s="36">
        <f t="shared" si="1941"/>
        <v>1276.0035211267607</v>
      </c>
      <c r="AF632" s="36">
        <f t="shared" si="1941"/>
        <v>0</v>
      </c>
      <c r="AG632" s="36">
        <f>SUM(AC632:AF632)</f>
        <v>2908.4648228376327</v>
      </c>
      <c r="AH632" s="36">
        <f t="shared" ref="AH632:AK634" si="1942">AH426/AH$102</f>
        <v>0</v>
      </c>
      <c r="AI632" s="36">
        <f t="shared" si="1942"/>
        <v>0</v>
      </c>
      <c r="AJ632" s="36">
        <f t="shared" si="1942"/>
        <v>0</v>
      </c>
      <c r="AK632" s="36">
        <f t="shared" si="1942"/>
        <v>0</v>
      </c>
      <c r="AL632" s="36">
        <f>SUM(AH632:AK632)</f>
        <v>0</v>
      </c>
      <c r="AM632" s="36">
        <f t="shared" ref="AM632:AP634" si="1943">AM426/AM$102</f>
        <v>0</v>
      </c>
      <c r="AN632" s="36">
        <f t="shared" si="1943"/>
        <v>0</v>
      </c>
      <c r="AO632" s="36">
        <f t="shared" si="1943"/>
        <v>0</v>
      </c>
      <c r="AP632" s="36">
        <f t="shared" si="1943"/>
        <v>0</v>
      </c>
      <c r="AQ632" s="36">
        <f>SUM(AM632:AP632)</f>
        <v>0</v>
      </c>
      <c r="AR632" s="36">
        <f t="shared" ref="AR632:AU632" si="1944">AR426/AR$102</f>
        <v>0</v>
      </c>
      <c r="AS632" s="36">
        <f t="shared" si="1944"/>
        <v>0</v>
      </c>
      <c r="AT632" s="36">
        <f t="shared" si="1944"/>
        <v>0</v>
      </c>
      <c r="AU632" s="36">
        <f t="shared" si="1944"/>
        <v>0</v>
      </c>
      <c r="AV632" s="36">
        <f>SUM(AR632:AU632)</f>
        <v>0</v>
      </c>
      <c r="AW632" s="36">
        <f t="shared" ref="AW632:AY632" si="1945">AW426/AW$102</f>
        <v>0</v>
      </c>
      <c r="AX632" s="36">
        <f t="shared" si="1945"/>
        <v>0</v>
      </c>
      <c r="AY632" s="36">
        <f t="shared" si="1945"/>
        <v>0</v>
      </c>
    </row>
    <row r="633" spans="1:71">
      <c r="A633" s="5" t="s">
        <v>620</v>
      </c>
      <c r="AD633" s="36">
        <f t="shared" si="1941"/>
        <v>9.9936634380374763</v>
      </c>
      <c r="AE633" s="36">
        <f t="shared" si="1941"/>
        <v>29.454225352112676</v>
      </c>
      <c r="AF633" s="36">
        <f t="shared" si="1941"/>
        <v>-568.24935952177634</v>
      </c>
      <c r="AG633" s="36">
        <f>SUM(AC633:AF633)</f>
        <v>-528.80147073162618</v>
      </c>
      <c r="AH633" s="36">
        <f t="shared" si="1942"/>
        <v>-1524.5195288282705</v>
      </c>
      <c r="AI633" s="36">
        <f t="shared" si="1942"/>
        <v>-682.20363426593599</v>
      </c>
      <c r="AJ633" s="36">
        <f t="shared" si="1942"/>
        <v>0</v>
      </c>
      <c r="AK633" s="36">
        <f t="shared" si="1942"/>
        <v>0</v>
      </c>
      <c r="AL633" s="36">
        <f>SUM(AH633:AK633)</f>
        <v>-2206.7231630942065</v>
      </c>
      <c r="AM633" s="36">
        <f t="shared" si="1943"/>
        <v>0</v>
      </c>
      <c r="AN633" s="36">
        <f t="shared" si="1943"/>
        <v>0</v>
      </c>
      <c r="AO633" s="36">
        <f t="shared" si="1943"/>
        <v>0</v>
      </c>
      <c r="AP633" s="36">
        <f t="shared" si="1943"/>
        <v>0</v>
      </c>
      <c r="AQ633" s="36">
        <f>SUM(AM633:AP633)</f>
        <v>0</v>
      </c>
      <c r="AR633" s="36">
        <f t="shared" ref="AR633:AU633" si="1946">AR427/AR$102</f>
        <v>0</v>
      </c>
      <c r="AS633" s="36">
        <f t="shared" si="1946"/>
        <v>0</v>
      </c>
      <c r="AT633" s="36">
        <f t="shared" si="1946"/>
        <v>0</v>
      </c>
      <c r="AU633" s="36">
        <f t="shared" si="1946"/>
        <v>0</v>
      </c>
      <c r="AV633" s="36">
        <f>SUM(AR633:AU633)</f>
        <v>0</v>
      </c>
      <c r="AW633" s="36">
        <f t="shared" ref="AW633:AY633" si="1947">AW427/AW$102</f>
        <v>0</v>
      </c>
      <c r="AX633" s="36">
        <f t="shared" si="1947"/>
        <v>0</v>
      </c>
      <c r="AY633" s="36">
        <f t="shared" si="1947"/>
        <v>0</v>
      </c>
    </row>
    <row r="634" spans="1:71">
      <c r="A634" s="5" t="s">
        <v>621</v>
      </c>
      <c r="AD634" s="36">
        <f t="shared" si="1941"/>
        <v>-172.9338281886485</v>
      </c>
      <c r="AE634" s="36">
        <f t="shared" si="1941"/>
        <v>0</v>
      </c>
      <c r="AF634" s="36">
        <f t="shared" si="1941"/>
        <v>0</v>
      </c>
      <c r="AG634" s="36">
        <f>SUM(AC634:AF634)</f>
        <v>-172.9338281886485</v>
      </c>
      <c r="AH634" s="36">
        <f t="shared" si="1942"/>
        <v>0</v>
      </c>
      <c r="AI634" s="36">
        <f t="shared" si="1942"/>
        <v>0</v>
      </c>
      <c r="AJ634" s="36">
        <f t="shared" si="1942"/>
        <v>0</v>
      </c>
      <c r="AK634" s="36">
        <f t="shared" si="1942"/>
        <v>0</v>
      </c>
      <c r="AL634" s="36">
        <f>SUM(AH634:AK634)</f>
        <v>0</v>
      </c>
      <c r="AM634" s="36">
        <f t="shared" si="1943"/>
        <v>0</v>
      </c>
      <c r="AN634" s="36">
        <f t="shared" si="1943"/>
        <v>0</v>
      </c>
      <c r="AO634" s="36">
        <f t="shared" si="1943"/>
        <v>0</v>
      </c>
      <c r="AP634" s="36">
        <f t="shared" si="1943"/>
        <v>0</v>
      </c>
      <c r="AQ634" s="36">
        <f>SUM(AM634:AP634)</f>
        <v>0</v>
      </c>
      <c r="AR634" s="36">
        <f t="shared" ref="AR634:AU634" si="1948">AR428/AR$102</f>
        <v>0</v>
      </c>
      <c r="AS634" s="36">
        <f t="shared" si="1948"/>
        <v>0</v>
      </c>
      <c r="AT634" s="36">
        <f t="shared" si="1948"/>
        <v>0</v>
      </c>
      <c r="AU634" s="36">
        <f t="shared" si="1948"/>
        <v>0</v>
      </c>
      <c r="AV634" s="36">
        <f>SUM(AR634:AU634)</f>
        <v>0</v>
      </c>
      <c r="AW634" s="36">
        <f t="shared" ref="AW634:AY634" si="1949">AW428/AW$102</f>
        <v>0</v>
      </c>
      <c r="AX634" s="36">
        <f t="shared" si="1949"/>
        <v>0</v>
      </c>
      <c r="AY634" s="36">
        <f t="shared" si="1949"/>
        <v>0</v>
      </c>
    </row>
    <row r="635" spans="1:71">
      <c r="A635" s="5" t="s">
        <v>213</v>
      </c>
      <c r="AD635" s="36"/>
      <c r="AE635" s="36"/>
      <c r="AF635" s="36"/>
      <c r="AG635" s="36"/>
      <c r="AH635" s="36"/>
      <c r="AI635" s="36"/>
      <c r="AJ635" s="36"/>
      <c r="AK635" s="36"/>
      <c r="AL635" s="36"/>
      <c r="AM635" s="36"/>
      <c r="AN635" s="36"/>
      <c r="AO635" s="36"/>
      <c r="AP635" s="36"/>
      <c r="AQ635" s="36"/>
      <c r="AR635" s="36"/>
      <c r="AS635" s="36"/>
      <c r="AT635" s="36"/>
      <c r="AU635" s="36"/>
      <c r="AV635" s="36"/>
      <c r="AW635" s="36"/>
      <c r="AX635" s="36"/>
      <c r="AY635" s="36"/>
    </row>
    <row r="636" spans="1:71">
      <c r="A636" s="9" t="s">
        <v>214</v>
      </c>
      <c r="B636" s="9"/>
      <c r="C636" s="9"/>
      <c r="D636" s="9"/>
      <c r="E636" s="9"/>
      <c r="F636" s="9"/>
      <c r="G636" s="9"/>
      <c r="H636" s="9"/>
      <c r="I636" s="39"/>
      <c r="J636" s="39"/>
      <c r="K636" s="39"/>
      <c r="L636" s="39"/>
      <c r="M636" s="39"/>
      <c r="N636" s="39"/>
      <c r="O636" s="39"/>
      <c r="P636" s="39"/>
      <c r="Q636" s="39"/>
      <c r="R636" s="39"/>
      <c r="S636" s="39"/>
      <c r="T636" s="39"/>
      <c r="U636" s="39"/>
      <c r="V636" s="39"/>
      <c r="W636" s="39"/>
      <c r="X636" s="39"/>
      <c r="Y636" s="39"/>
      <c r="Z636" s="39"/>
      <c r="AA636" s="39"/>
      <c r="AB636" s="39"/>
      <c r="AC636" s="39"/>
      <c r="AD636" s="39">
        <f t="shared" ref="AD636:AO636" si="1950">SUM(AD631:AD633)+SUM(AD634:AD635)</f>
        <v>1469.5211369602607</v>
      </c>
      <c r="AE636" s="39">
        <f t="shared" si="1950"/>
        <v>2774.9806199599311</v>
      </c>
      <c r="AF636" s="39">
        <f t="shared" si="1950"/>
        <v>2206.7289051278503</v>
      </c>
      <c r="AG636" s="39">
        <f t="shared" si="1950"/>
        <v>2206.7295239173582</v>
      </c>
      <c r="AH636" s="39">
        <f t="shared" si="1950"/>
        <v>682.20487676042126</v>
      </c>
      <c r="AI636" s="39">
        <f t="shared" si="1950"/>
        <v>2.9797229431096639E-3</v>
      </c>
      <c r="AJ636" s="39">
        <f t="shared" si="1950"/>
        <v>0</v>
      </c>
      <c r="AK636" s="39">
        <f t="shared" si="1950"/>
        <v>0</v>
      </c>
      <c r="AL636" s="39">
        <f t="shared" si="1950"/>
        <v>1.2424944852682529E-3</v>
      </c>
      <c r="AM636" s="39">
        <f t="shared" si="1950"/>
        <v>0</v>
      </c>
      <c r="AN636" s="39">
        <f t="shared" si="1950"/>
        <v>0</v>
      </c>
      <c r="AO636" s="39">
        <f t="shared" si="1950"/>
        <v>0</v>
      </c>
      <c r="AP636" s="39">
        <f t="shared" ref="AP636:AQ636" si="1951">SUM(AP631:AP633)+SUM(AP634:AP635)</f>
        <v>0</v>
      </c>
      <c r="AQ636" s="39">
        <f t="shared" si="1951"/>
        <v>0</v>
      </c>
      <c r="AR636" s="39">
        <f t="shared" ref="AR636" si="1952">SUM(AR631:AR633)+SUM(AR634:AR635)</f>
        <v>0</v>
      </c>
      <c r="AS636" s="39">
        <f t="shared" ref="AS636" si="1953">SUM(AS631:AS633)+SUM(AS634:AS635)</f>
        <v>0</v>
      </c>
      <c r="AT636" s="39">
        <f t="shared" ref="AT636" si="1954">SUM(AT631:AT633)+SUM(AT634:AT635)</f>
        <v>0</v>
      </c>
      <c r="AU636" s="39">
        <f t="shared" ref="AU636:AY636" si="1955">SUM(AU631:AU633)+SUM(AU634:AU635)</f>
        <v>0</v>
      </c>
      <c r="AV636" s="39">
        <f t="shared" si="1955"/>
        <v>0</v>
      </c>
      <c r="AW636" s="39">
        <f t="shared" si="1955"/>
        <v>0</v>
      </c>
      <c r="AX636" s="39">
        <f t="shared" si="1955"/>
        <v>0</v>
      </c>
      <c r="AY636" s="39">
        <f t="shared" si="1955"/>
        <v>0</v>
      </c>
    </row>
    <row r="637" spans="1:71">
      <c r="I637" s="65"/>
      <c r="J637" s="65"/>
      <c r="K637" s="65"/>
      <c r="L637" s="65"/>
      <c r="M637" s="65"/>
      <c r="R637" s="36"/>
      <c r="W637" s="36"/>
    </row>
    <row r="638" spans="1:71">
      <c r="A638" s="5" t="s">
        <v>287</v>
      </c>
      <c r="I638" s="38"/>
      <c r="J638" s="38"/>
      <c r="K638" s="38"/>
      <c r="L638" s="38"/>
      <c r="M638" s="38"/>
      <c r="N638" s="38"/>
      <c r="O638" s="38"/>
      <c r="P638" s="38"/>
      <c r="Q638" s="38"/>
      <c r="R638" s="38"/>
      <c r="S638" s="38"/>
      <c r="T638" s="38"/>
      <c r="U638" s="38"/>
      <c r="V638" s="38"/>
      <c r="W638" s="38"/>
      <c r="X638" s="38"/>
      <c r="Y638" s="38"/>
      <c r="Z638" s="38"/>
      <c r="AA638" s="38"/>
      <c r="AB638" s="38"/>
      <c r="AC638" s="38"/>
      <c r="AD638" s="38">
        <f t="shared" ref="AD638:AO638" si="1956">AD639-AD636</f>
        <v>1.7365207970669871E-3</v>
      </c>
      <c r="AE638" s="38">
        <f t="shared" si="1956"/>
        <v>-2.3553103046651813E-3</v>
      </c>
      <c r="AF638" s="38">
        <f t="shared" si="1956"/>
        <v>-4.4995391585871403E-3</v>
      </c>
      <c r="AG638" s="38">
        <f t="shared" si="1956"/>
        <v>-5.1183286664127081E-3</v>
      </c>
      <c r="AH638" s="38">
        <f t="shared" si="1956"/>
        <v>1.737228457841411E-3</v>
      </c>
      <c r="AI638" s="38">
        <f t="shared" si="1956"/>
        <v>-2.9797229431096639E-3</v>
      </c>
      <c r="AJ638" s="38">
        <f t="shared" si="1956"/>
        <v>0</v>
      </c>
      <c r="AK638" s="38">
        <f t="shared" si="1956"/>
        <v>0</v>
      </c>
      <c r="AL638" s="38">
        <f t="shared" si="1956"/>
        <v>-1.2424944852682529E-3</v>
      </c>
      <c r="AM638" s="38">
        <f t="shared" si="1956"/>
        <v>0</v>
      </c>
      <c r="AN638" s="38">
        <f t="shared" si="1956"/>
        <v>0</v>
      </c>
      <c r="AO638" s="38">
        <f t="shared" si="1956"/>
        <v>0</v>
      </c>
      <c r="AP638" s="38">
        <f t="shared" ref="AP638:AT638" si="1957">AP639-AP636</f>
        <v>0</v>
      </c>
      <c r="AQ638" s="38">
        <f t="shared" si="1957"/>
        <v>0</v>
      </c>
      <c r="AR638" s="38">
        <f t="shared" si="1957"/>
        <v>0</v>
      </c>
      <c r="AS638" s="38">
        <f t="shared" si="1957"/>
        <v>0</v>
      </c>
      <c r="AT638" s="38">
        <f t="shared" si="1957"/>
        <v>0</v>
      </c>
      <c r="AU638" s="38">
        <f t="shared" ref="AU638:AY638" si="1958">AU639-AU636</f>
        <v>0</v>
      </c>
      <c r="AV638" s="38">
        <f t="shared" si="1958"/>
        <v>0</v>
      </c>
      <c r="AW638" s="38">
        <f t="shared" si="1958"/>
        <v>0</v>
      </c>
      <c r="AX638" s="38">
        <f t="shared" si="1958"/>
        <v>0</v>
      </c>
      <c r="AY638" s="38">
        <f t="shared" si="1958"/>
        <v>0</v>
      </c>
    </row>
    <row r="639" spans="1:71">
      <c r="A639" s="9" t="s">
        <v>277</v>
      </c>
      <c r="B639" s="9"/>
      <c r="C639" s="9"/>
      <c r="D639" s="9"/>
      <c r="E639" s="9"/>
      <c r="F639" s="9"/>
      <c r="G639" s="9"/>
      <c r="H639" s="9"/>
      <c r="I639" s="58"/>
      <c r="J639" s="39"/>
      <c r="K639" s="39"/>
      <c r="L639" s="39"/>
      <c r="M639" s="97"/>
      <c r="N639" s="39"/>
      <c r="O639" s="39"/>
      <c r="P639" s="39"/>
      <c r="Q639" s="39"/>
      <c r="R639" s="39"/>
      <c r="S639" s="39"/>
      <c r="T639" s="39"/>
      <c r="U639" s="39"/>
      <c r="V639" s="39"/>
      <c r="W639" s="39"/>
      <c r="X639" s="39"/>
      <c r="Y639" s="39"/>
      <c r="Z639" s="39"/>
      <c r="AA639" s="39"/>
      <c r="AB639" s="39"/>
      <c r="AC639" s="39"/>
      <c r="AD639" s="39">
        <f t="shared" ref="AD639:AO639" si="1959">AD430/AD$237</f>
        <v>1469.5228734810578</v>
      </c>
      <c r="AE639" s="39">
        <f t="shared" si="1959"/>
        <v>2774.9782646496265</v>
      </c>
      <c r="AF639" s="39">
        <f t="shared" si="1959"/>
        <v>2206.7244055886918</v>
      </c>
      <c r="AG639" s="39">
        <f t="shared" si="1959"/>
        <v>2206.7244055886918</v>
      </c>
      <c r="AH639" s="39">
        <f t="shared" si="1959"/>
        <v>682.2066139888791</v>
      </c>
      <c r="AI639" s="39">
        <f t="shared" si="1959"/>
        <v>0</v>
      </c>
      <c r="AJ639" s="39">
        <f t="shared" si="1959"/>
        <v>0</v>
      </c>
      <c r="AK639" s="39">
        <f t="shared" si="1959"/>
        <v>0</v>
      </c>
      <c r="AL639" s="39">
        <f t="shared" si="1959"/>
        <v>0</v>
      </c>
      <c r="AM639" s="39">
        <f t="shared" si="1959"/>
        <v>0</v>
      </c>
      <c r="AN639" s="39">
        <f t="shared" si="1959"/>
        <v>0</v>
      </c>
      <c r="AO639" s="39">
        <f t="shared" si="1959"/>
        <v>0</v>
      </c>
      <c r="AP639" s="39">
        <f t="shared" ref="AP639:AT639" si="1960">AP430/AP$237</f>
        <v>0</v>
      </c>
      <c r="AQ639" s="39">
        <f t="shared" si="1960"/>
        <v>0</v>
      </c>
      <c r="AR639" s="39">
        <f t="shared" si="1960"/>
        <v>0</v>
      </c>
      <c r="AS639" s="39">
        <f t="shared" si="1960"/>
        <v>0</v>
      </c>
      <c r="AT639" s="39">
        <f t="shared" si="1960"/>
        <v>0</v>
      </c>
      <c r="AU639" s="39">
        <f t="shared" ref="AU639:AY639" si="1961">AU430/AU$237</f>
        <v>0</v>
      </c>
      <c r="AV639" s="39">
        <f t="shared" si="1961"/>
        <v>0</v>
      </c>
      <c r="AW639" s="39">
        <f t="shared" si="1961"/>
        <v>0</v>
      </c>
      <c r="AX639" s="39">
        <f t="shared" si="1961"/>
        <v>0</v>
      </c>
      <c r="AY639" s="39">
        <f t="shared" si="1961"/>
        <v>0</v>
      </c>
    </row>
    <row r="640" spans="1:71">
      <c r="I640" s="65"/>
      <c r="J640" s="65"/>
      <c r="K640" s="65"/>
      <c r="L640" s="65"/>
      <c r="M640" s="65"/>
      <c r="R640" s="36"/>
      <c r="W640" s="36"/>
    </row>
    <row r="641" spans="1:71" s="44" customFormat="1">
      <c r="A641" s="49" t="s">
        <v>480</v>
      </c>
      <c r="I641" s="53" t="s">
        <v>204</v>
      </c>
      <c r="T641" s="53" t="s">
        <v>225</v>
      </c>
      <c r="AJ641" s="52"/>
    </row>
    <row r="642" spans="1:71">
      <c r="A642" s="57" t="s">
        <v>222</v>
      </c>
      <c r="T642" s="42"/>
      <c r="W642" s="22" t="s">
        <v>228</v>
      </c>
    </row>
    <row r="643" spans="1:71">
      <c r="A643" s="3" t="s">
        <v>168</v>
      </c>
    </row>
    <row r="644" spans="1:71">
      <c r="P644" s="98" t="s">
        <v>375</v>
      </c>
      <c r="Q644" s="71"/>
      <c r="R644" s="71"/>
      <c r="S644" s="71"/>
      <c r="T644" s="71"/>
      <c r="X644" s="98" t="s">
        <v>449</v>
      </c>
      <c r="Y644" s="71"/>
      <c r="Z644" s="71"/>
      <c r="AA644" s="71"/>
      <c r="AB644" s="71"/>
    </row>
    <row r="645" spans="1:71">
      <c r="A645" s="5" t="s">
        <v>86</v>
      </c>
      <c r="I645" s="37">
        <v>28000</v>
      </c>
      <c r="J645" s="37">
        <v>32500</v>
      </c>
      <c r="K645" s="37">
        <f>28100+4400</f>
        <v>32500</v>
      </c>
      <c r="L645" s="37">
        <f>28100+4400</f>
        <v>32500</v>
      </c>
      <c r="M645" s="38">
        <f>L645</f>
        <v>32500</v>
      </c>
      <c r="N645" s="37">
        <f>28100+4400</f>
        <v>32500</v>
      </c>
      <c r="O645" s="37">
        <f>28100+4400</f>
        <v>32500</v>
      </c>
      <c r="P645" s="70">
        <f>33100+4400</f>
        <v>37500</v>
      </c>
      <c r="Q645" s="37">
        <f>33100+4400</f>
        <v>37500</v>
      </c>
      <c r="R645" s="38">
        <f>Q645</f>
        <v>37500</v>
      </c>
      <c r="S645" s="37">
        <f>33100+4400</f>
        <v>37500</v>
      </c>
      <c r="T645" s="37">
        <f>33100+4400</f>
        <v>37500</v>
      </c>
      <c r="U645" s="37">
        <f>33100+4400</f>
        <v>37500</v>
      </c>
      <c r="V645" s="37">
        <f>33100+4400</f>
        <v>37500</v>
      </c>
      <c r="W645" s="38">
        <f>V645</f>
        <v>37500</v>
      </c>
      <c r="X645" s="70">
        <v>33100</v>
      </c>
      <c r="Y645" s="37">
        <v>33100</v>
      </c>
      <c r="Z645" s="37">
        <v>33100</v>
      </c>
      <c r="AA645" s="37">
        <v>33100</v>
      </c>
      <c r="AB645" s="38">
        <f>AA645</f>
        <v>33100</v>
      </c>
      <c r="AC645" s="37">
        <v>33100</v>
      </c>
      <c r="AD645" s="37">
        <v>33100</v>
      </c>
      <c r="AE645" s="37">
        <v>33100</v>
      </c>
      <c r="AF645" s="37">
        <v>33100</v>
      </c>
      <c r="AG645" s="38">
        <f>AF645</f>
        <v>33100</v>
      </c>
      <c r="AH645" s="37">
        <v>33100</v>
      </c>
      <c r="AI645" s="37">
        <v>33100</v>
      </c>
      <c r="AJ645" s="37">
        <v>33100</v>
      </c>
      <c r="AK645" s="37">
        <v>33100</v>
      </c>
      <c r="AL645" s="38">
        <f>AK645</f>
        <v>33100</v>
      </c>
      <c r="AM645" s="37">
        <v>33100</v>
      </c>
      <c r="AN645" s="37">
        <v>33100</v>
      </c>
      <c r="AO645" s="37">
        <v>33100</v>
      </c>
      <c r="AP645" s="37">
        <v>33100</v>
      </c>
      <c r="AQ645" s="38">
        <f>AP645</f>
        <v>33100</v>
      </c>
      <c r="AR645" s="37">
        <v>33100</v>
      </c>
      <c r="AS645" s="37">
        <v>33100</v>
      </c>
      <c r="AT645" s="37">
        <v>33100</v>
      </c>
      <c r="AU645" s="37">
        <v>33100</v>
      </c>
      <c r="AV645" s="38">
        <f>AU645</f>
        <v>33100</v>
      </c>
      <c r="AW645" s="37">
        <v>33100</v>
      </c>
      <c r="AX645" s="37">
        <v>33100</v>
      </c>
      <c r="AY645" s="37">
        <v>33100</v>
      </c>
      <c r="AZ645" s="73">
        <f t="shared" ref="AZ645" si="1962">AY645</f>
        <v>33100</v>
      </c>
      <c r="BA645" s="38">
        <f>AZ645</f>
        <v>33100</v>
      </c>
      <c r="BB645" s="73">
        <f t="shared" ref="BB645:BE645" si="1963">BA645</f>
        <v>33100</v>
      </c>
      <c r="BC645" s="73">
        <f t="shared" si="1963"/>
        <v>33100</v>
      </c>
      <c r="BD645" s="73">
        <f t="shared" si="1963"/>
        <v>33100</v>
      </c>
      <c r="BE645" s="73">
        <f t="shared" si="1963"/>
        <v>33100</v>
      </c>
      <c r="BF645" s="38">
        <f>BE645</f>
        <v>33100</v>
      </c>
      <c r="BG645" s="73">
        <f t="shared" ref="BG645:BJ645" si="1964">BF645</f>
        <v>33100</v>
      </c>
      <c r="BH645" s="73">
        <f t="shared" si="1964"/>
        <v>33100</v>
      </c>
      <c r="BI645" s="73">
        <f t="shared" si="1964"/>
        <v>33100</v>
      </c>
      <c r="BJ645" s="73">
        <f t="shared" si="1964"/>
        <v>33100</v>
      </c>
      <c r="BK645" s="38">
        <f>BJ645</f>
        <v>33100</v>
      </c>
      <c r="BL645" s="73">
        <f t="shared" ref="BL645:BO645" si="1965">BK645</f>
        <v>33100</v>
      </c>
      <c r="BM645" s="73">
        <f t="shared" si="1965"/>
        <v>33100</v>
      </c>
      <c r="BN645" s="73">
        <f t="shared" si="1965"/>
        <v>33100</v>
      </c>
      <c r="BO645" s="73">
        <f t="shared" si="1965"/>
        <v>33100</v>
      </c>
      <c r="BP645" s="38">
        <f>BO645</f>
        <v>33100</v>
      </c>
      <c r="BQ645" s="73">
        <f t="shared" ref="BQ645:BS645" si="1966">BP645</f>
        <v>33100</v>
      </c>
      <c r="BR645" s="73">
        <f t="shared" si="1966"/>
        <v>33100</v>
      </c>
      <c r="BS645" s="73">
        <f t="shared" si="1966"/>
        <v>33100</v>
      </c>
    </row>
    <row r="646" spans="1:71">
      <c r="A646" s="5" t="s">
        <v>169</v>
      </c>
      <c r="I646" s="37">
        <v>65200</v>
      </c>
      <c r="J646" s="37">
        <v>65200</v>
      </c>
      <c r="K646" s="37">
        <f>63600+1600</f>
        <v>65200</v>
      </c>
      <c r="L646" s="37">
        <f>63600+1600</f>
        <v>65200</v>
      </c>
      <c r="M646" s="38">
        <f>L646</f>
        <v>65200</v>
      </c>
      <c r="N646" s="37">
        <f>63600+1600</f>
        <v>65200</v>
      </c>
      <c r="O646" s="37">
        <f>63600+1600</f>
        <v>65200</v>
      </c>
      <c r="P646" s="37">
        <f>63900+1600</f>
        <v>65500</v>
      </c>
      <c r="Q646" s="37">
        <f>63900+1600</f>
        <v>65500</v>
      </c>
      <c r="R646" s="38">
        <f>Q646</f>
        <v>65500</v>
      </c>
      <c r="S646" s="37">
        <f>63900+1600</f>
        <v>65500</v>
      </c>
      <c r="T646" s="37">
        <v>65500</v>
      </c>
      <c r="U646" s="37">
        <v>65500</v>
      </c>
      <c r="V646" s="37">
        <v>65500</v>
      </c>
      <c r="W646" s="38">
        <f>V646</f>
        <v>65500</v>
      </c>
      <c r="X646" s="37">
        <v>65500</v>
      </c>
      <c r="Y646" s="37">
        <v>65500</v>
      </c>
      <c r="Z646" s="37">
        <v>65500</v>
      </c>
      <c r="AA646" s="37">
        <v>65500</v>
      </c>
      <c r="AB646" s="38">
        <f>AA646</f>
        <v>65500</v>
      </c>
      <c r="AC646" s="37">
        <v>65500</v>
      </c>
      <c r="AD646" s="37">
        <v>65500</v>
      </c>
      <c r="AE646" s="37">
        <v>65500</v>
      </c>
      <c r="AF646" s="37">
        <v>65500</v>
      </c>
      <c r="AG646" s="38">
        <f>AF646</f>
        <v>65500</v>
      </c>
      <c r="AH646" s="37">
        <v>65500</v>
      </c>
      <c r="AI646" s="37">
        <v>65500</v>
      </c>
      <c r="AJ646" s="37">
        <v>65500</v>
      </c>
      <c r="AK646" s="37">
        <v>65500</v>
      </c>
      <c r="AL646" s="38">
        <f>AK646</f>
        <v>65500</v>
      </c>
      <c r="AM646" s="37">
        <v>65500</v>
      </c>
      <c r="AN646" s="37">
        <v>65500</v>
      </c>
      <c r="AO646" s="37">
        <v>65500</v>
      </c>
      <c r="AP646" s="37">
        <v>65500</v>
      </c>
      <c r="AQ646" s="38">
        <f>AP646</f>
        <v>65500</v>
      </c>
      <c r="AR646" s="37">
        <v>65500</v>
      </c>
      <c r="AS646" s="37">
        <v>65500</v>
      </c>
      <c r="AT646" s="37">
        <v>65500</v>
      </c>
      <c r="AU646" s="37">
        <v>65500</v>
      </c>
      <c r="AV646" s="38">
        <f>AU646</f>
        <v>65500</v>
      </c>
      <c r="AW646" s="37">
        <v>65500</v>
      </c>
      <c r="AX646" s="37">
        <v>65500</v>
      </c>
      <c r="AY646" s="37">
        <v>65500</v>
      </c>
      <c r="AZ646" s="73">
        <f t="shared" ref="AZ646" si="1967">AY646</f>
        <v>65500</v>
      </c>
      <c r="BA646" s="38">
        <f>AZ646</f>
        <v>65500</v>
      </c>
      <c r="BB646" s="73">
        <f t="shared" ref="BB646:BE646" si="1968">BA646</f>
        <v>65500</v>
      </c>
      <c r="BC646" s="73">
        <f t="shared" si="1968"/>
        <v>65500</v>
      </c>
      <c r="BD646" s="73">
        <f t="shared" si="1968"/>
        <v>65500</v>
      </c>
      <c r="BE646" s="73">
        <f t="shared" si="1968"/>
        <v>65500</v>
      </c>
      <c r="BF646" s="38">
        <f>BE646</f>
        <v>65500</v>
      </c>
      <c r="BG646" s="73">
        <f t="shared" ref="BG646:BJ646" si="1969">BF646</f>
        <v>65500</v>
      </c>
      <c r="BH646" s="73">
        <f t="shared" si="1969"/>
        <v>65500</v>
      </c>
      <c r="BI646" s="73">
        <f t="shared" si="1969"/>
        <v>65500</v>
      </c>
      <c r="BJ646" s="73">
        <f t="shared" si="1969"/>
        <v>65500</v>
      </c>
      <c r="BK646" s="38">
        <f>BJ646</f>
        <v>65500</v>
      </c>
      <c r="BL646" s="73">
        <f t="shared" ref="BL646:BO646" si="1970">BK646</f>
        <v>65500</v>
      </c>
      <c r="BM646" s="73">
        <f t="shared" si="1970"/>
        <v>65500</v>
      </c>
      <c r="BN646" s="73">
        <f t="shared" si="1970"/>
        <v>65500</v>
      </c>
      <c r="BO646" s="73">
        <f t="shared" si="1970"/>
        <v>65500</v>
      </c>
      <c r="BP646" s="38">
        <f>BO646</f>
        <v>65500</v>
      </c>
      <c r="BQ646" s="73">
        <f t="shared" ref="BQ646:BS646" si="1971">BP646</f>
        <v>65500</v>
      </c>
      <c r="BR646" s="73">
        <f t="shared" si="1971"/>
        <v>65500</v>
      </c>
      <c r="BS646" s="73">
        <f t="shared" si="1971"/>
        <v>65500</v>
      </c>
    </row>
    <row r="647" spans="1:71">
      <c r="A647" s="9" t="s">
        <v>170</v>
      </c>
      <c r="B647" s="9"/>
      <c r="C647" s="9"/>
      <c r="D647" s="9"/>
      <c r="E647" s="9"/>
      <c r="F647" s="9"/>
      <c r="G647" s="9"/>
      <c r="H647" s="9"/>
      <c r="I647" s="39">
        <f>SUM(I645:I646)</f>
        <v>93200</v>
      </c>
      <c r="J647" s="39">
        <f>SUM(J645:J646)</f>
        <v>97700</v>
      </c>
      <c r="K647" s="39">
        <f>SUM(K645:K646)</f>
        <v>97700</v>
      </c>
      <c r="L647" s="39">
        <f>SUM(L645:L646)</f>
        <v>97700</v>
      </c>
      <c r="M647" s="39">
        <f>L647</f>
        <v>97700</v>
      </c>
      <c r="N647" s="39">
        <f>SUM(N645:N646)</f>
        <v>97700</v>
      </c>
      <c r="O647" s="39">
        <f>SUM(O645:O646)</f>
        <v>97700</v>
      </c>
      <c r="P647" s="39">
        <f>SUM(P645:P646)</f>
        <v>103000</v>
      </c>
      <c r="Q647" s="39">
        <f>SUM(Q645:Q646)</f>
        <v>103000</v>
      </c>
      <c r="R647" s="39">
        <f>Q647</f>
        <v>103000</v>
      </c>
      <c r="S647" s="39">
        <f>SUM(S645:S646)</f>
        <v>103000</v>
      </c>
      <c r="T647" s="39">
        <f>SUM(T645:T646)</f>
        <v>103000</v>
      </c>
      <c r="U647" s="39">
        <f>SUM(U645:U646)</f>
        <v>103000</v>
      </c>
      <c r="V647" s="39">
        <f>SUM(V645:V646)</f>
        <v>103000</v>
      </c>
      <c r="W647" s="39">
        <f>V647</f>
        <v>103000</v>
      </c>
      <c r="X647" s="39">
        <f>SUM(X645:X646)</f>
        <v>98600</v>
      </c>
      <c r="Y647" s="39">
        <f>SUM(Y645:Y646)</f>
        <v>98600</v>
      </c>
      <c r="Z647" s="39">
        <f>SUM(Z645:Z646)</f>
        <v>98600</v>
      </c>
      <c r="AA647" s="39">
        <f>SUM(AA645:AA646)</f>
        <v>98600</v>
      </c>
      <c r="AB647" s="39">
        <f>AA647</f>
        <v>98600</v>
      </c>
      <c r="AC647" s="39">
        <f>SUM(AC645:AC646)</f>
        <v>98600</v>
      </c>
      <c r="AD647" s="39">
        <f>SUM(AD645:AD646)</f>
        <v>98600</v>
      </c>
      <c r="AE647" s="39">
        <f>SUM(AE645:AE646)</f>
        <v>98600</v>
      </c>
      <c r="AF647" s="39">
        <f>SUM(AF645:AF646)</f>
        <v>98600</v>
      </c>
      <c r="AG647" s="39">
        <f>AF647</f>
        <v>98600</v>
      </c>
      <c r="AH647" s="39">
        <f>SUM(AH645:AH646)</f>
        <v>98600</v>
      </c>
      <c r="AI647" s="39">
        <f>SUM(AI645:AI646)</f>
        <v>98600</v>
      </c>
      <c r="AJ647" s="39">
        <f>SUM(AJ645:AJ646)</f>
        <v>98600</v>
      </c>
      <c r="AK647" s="39">
        <f>SUM(AK645:AK646)</f>
        <v>98600</v>
      </c>
      <c r="AL647" s="39">
        <f>AK647</f>
        <v>98600</v>
      </c>
      <c r="AM647" s="39">
        <f>SUM(AM645:AM646)</f>
        <v>98600</v>
      </c>
      <c r="AN647" s="39">
        <f>SUM(AN645:AN646)</f>
        <v>98600</v>
      </c>
      <c r="AO647" s="39">
        <f>SUM(AO645:AO646)</f>
        <v>98600</v>
      </c>
      <c r="AP647" s="39">
        <f>SUM(AP645:AP646)</f>
        <v>98600</v>
      </c>
      <c r="AQ647" s="39">
        <f>AP647</f>
        <v>98600</v>
      </c>
      <c r="AR647" s="39">
        <f>SUM(AR645:AR646)</f>
        <v>98600</v>
      </c>
      <c r="AS647" s="39">
        <f>SUM(AS645:AS646)</f>
        <v>98600</v>
      </c>
      <c r="AT647" s="39">
        <f>SUM(AT645:AT646)</f>
        <v>98600</v>
      </c>
      <c r="AU647" s="39">
        <f>SUM(AU645:AU646)</f>
        <v>98600</v>
      </c>
      <c r="AV647" s="39">
        <f>AU647</f>
        <v>98600</v>
      </c>
      <c r="AW647" s="39">
        <f>SUM(AW645:AW646)</f>
        <v>98600</v>
      </c>
      <c r="AX647" s="39">
        <f>SUM(AX645:AX646)</f>
        <v>98600</v>
      </c>
      <c r="AY647" s="39">
        <f>SUM(AY645:AY646)</f>
        <v>98600</v>
      </c>
      <c r="AZ647" s="39">
        <f t="shared" ref="AZ647" si="1972">SUM(AZ645:AZ646)</f>
        <v>98600</v>
      </c>
      <c r="BA647" s="39">
        <f>AZ647</f>
        <v>98600</v>
      </c>
      <c r="BB647" s="39">
        <f t="shared" ref="BB647" si="1973">SUM(BB645:BB646)</f>
        <v>98600</v>
      </c>
      <c r="BC647" s="39">
        <f t="shared" ref="BC647" si="1974">SUM(BC645:BC646)</f>
        <v>98600</v>
      </c>
      <c r="BD647" s="39">
        <f t="shared" ref="BD647" si="1975">SUM(BD645:BD646)</f>
        <v>98600</v>
      </c>
      <c r="BE647" s="39">
        <f t="shared" ref="BE647" si="1976">SUM(BE645:BE646)</f>
        <v>98600</v>
      </c>
      <c r="BF647" s="39">
        <f>BE647</f>
        <v>98600</v>
      </c>
      <c r="BG647" s="39">
        <f t="shared" ref="BG647" si="1977">SUM(BG645:BG646)</f>
        <v>98600</v>
      </c>
      <c r="BH647" s="39">
        <f t="shared" ref="BH647" si="1978">SUM(BH645:BH646)</f>
        <v>98600</v>
      </c>
      <c r="BI647" s="39">
        <f t="shared" ref="BI647" si="1979">SUM(BI645:BI646)</f>
        <v>98600</v>
      </c>
      <c r="BJ647" s="39">
        <f t="shared" ref="BJ647" si="1980">SUM(BJ645:BJ646)</f>
        <v>98600</v>
      </c>
      <c r="BK647" s="39">
        <f>BJ647</f>
        <v>98600</v>
      </c>
      <c r="BL647" s="39">
        <f t="shared" ref="BL647" si="1981">SUM(BL645:BL646)</f>
        <v>98600</v>
      </c>
      <c r="BM647" s="39">
        <f t="shared" ref="BM647" si="1982">SUM(BM645:BM646)</f>
        <v>98600</v>
      </c>
      <c r="BN647" s="39">
        <f t="shared" ref="BN647" si="1983">SUM(BN645:BN646)</f>
        <v>98600</v>
      </c>
      <c r="BO647" s="39">
        <f t="shared" ref="BO647" si="1984">SUM(BO645:BO646)</f>
        <v>98600</v>
      </c>
      <c r="BP647" s="39">
        <f>BO647</f>
        <v>98600</v>
      </c>
      <c r="BQ647" s="39">
        <f t="shared" ref="BQ647" si="1985">SUM(BQ645:BQ646)</f>
        <v>98600</v>
      </c>
      <c r="BR647" s="39">
        <f t="shared" ref="BR647" si="1986">SUM(BR645:BR646)</f>
        <v>98600</v>
      </c>
      <c r="BS647" s="39">
        <f t="shared" ref="BS647" si="1987">SUM(BS645:BS646)</f>
        <v>98600</v>
      </c>
    </row>
    <row r="648" spans="1:71">
      <c r="AH648" s="79"/>
      <c r="AI648" s="79"/>
      <c r="AJ648" s="79"/>
      <c r="AK648" s="79"/>
      <c r="AL648" s="79"/>
      <c r="AM648" s="79"/>
      <c r="AN648" s="79"/>
      <c r="AO648" s="79"/>
      <c r="AP648" s="79"/>
      <c r="AR648" s="79"/>
    </row>
    <row r="649" spans="1:71">
      <c r="A649" s="1" t="s">
        <v>172</v>
      </c>
      <c r="I649" s="21">
        <f t="shared" ref="I649:L649" si="1988">I652/I646</f>
        <v>0.61349693251533743</v>
      </c>
      <c r="J649" s="21">
        <f t="shared" si="1988"/>
        <v>0.61349693251533743</v>
      </c>
      <c r="K649" s="21">
        <f t="shared" si="1988"/>
        <v>0.61349693251533743</v>
      </c>
      <c r="L649" s="21">
        <f t="shared" si="1988"/>
        <v>0.61349693251533743</v>
      </c>
      <c r="M649" s="21">
        <f t="shared" ref="M649:T649" si="1989">M652/M646</f>
        <v>0.61349693251533743</v>
      </c>
      <c r="N649" s="21">
        <f t="shared" si="1989"/>
        <v>0.61349693251533743</v>
      </c>
      <c r="O649" s="21">
        <f t="shared" si="1989"/>
        <v>0.61349693251533743</v>
      </c>
      <c r="P649" s="21">
        <f t="shared" si="1989"/>
        <v>0.61068702290076338</v>
      </c>
      <c r="Q649" s="21">
        <f t="shared" si="1989"/>
        <v>0.61068702290076338</v>
      </c>
      <c r="R649" s="21">
        <f t="shared" si="1989"/>
        <v>0.61068702290076338</v>
      </c>
      <c r="S649" s="21">
        <f t="shared" si="1989"/>
        <v>0.61068702290076338</v>
      </c>
      <c r="T649" s="21">
        <f t="shared" si="1989"/>
        <v>0.61068702290076338</v>
      </c>
      <c r="U649" s="21">
        <f t="shared" ref="U649:W649" si="1990">U652/U646</f>
        <v>0.61068702290076338</v>
      </c>
      <c r="V649" s="21">
        <f t="shared" si="1990"/>
        <v>0.61068702290076338</v>
      </c>
      <c r="W649" s="21">
        <f t="shared" si="1990"/>
        <v>0.61068702290076338</v>
      </c>
      <c r="X649" s="21">
        <f t="shared" ref="X649:Y649" si="1991">X652/X646</f>
        <v>0.61068702290076338</v>
      </c>
      <c r="Y649" s="21">
        <f t="shared" si="1991"/>
        <v>0.61068702290076338</v>
      </c>
      <c r="Z649" s="21">
        <f t="shared" ref="Z649:AB649" si="1992">Z652/Z646</f>
        <v>0.61068702290076338</v>
      </c>
      <c r="AA649" s="21">
        <f t="shared" si="1992"/>
        <v>0.61068702290076338</v>
      </c>
      <c r="AB649" s="21">
        <f t="shared" si="1992"/>
        <v>0.61068702290076338</v>
      </c>
      <c r="AC649" s="21">
        <f t="shared" ref="AC649:AD649" si="1993">AC652/AC646</f>
        <v>0.61068702290076338</v>
      </c>
      <c r="AD649" s="21">
        <f t="shared" si="1993"/>
        <v>0.61068702290076338</v>
      </c>
      <c r="AE649" s="21">
        <f t="shared" ref="AE649:AI649" si="1994">AE652/AE646</f>
        <v>0.61068702290076338</v>
      </c>
      <c r="AF649" s="21">
        <f t="shared" si="1994"/>
        <v>0.61068702290076338</v>
      </c>
      <c r="AG649" s="21">
        <f t="shared" si="1994"/>
        <v>0.61068702290076338</v>
      </c>
      <c r="AH649" s="21">
        <f t="shared" si="1994"/>
        <v>0.61068702290076338</v>
      </c>
      <c r="AI649" s="21">
        <f t="shared" si="1994"/>
        <v>0.61068702290076338</v>
      </c>
      <c r="AJ649" s="21">
        <f t="shared" ref="AJ649:AN649" si="1995">AJ652/AJ646</f>
        <v>0.61068702290076338</v>
      </c>
      <c r="AK649" s="21">
        <f t="shared" si="1995"/>
        <v>0.61068702290076338</v>
      </c>
      <c r="AL649" s="21">
        <f t="shared" si="1995"/>
        <v>0.61068702290076338</v>
      </c>
      <c r="AM649" s="21">
        <f t="shared" si="1995"/>
        <v>0.61068702290076338</v>
      </c>
      <c r="AN649" s="21">
        <f t="shared" si="1995"/>
        <v>0.61068702290076338</v>
      </c>
      <c r="AO649" s="21">
        <f t="shared" ref="AO649:BS649" si="1996">AO652/AO646</f>
        <v>0.61068702290076338</v>
      </c>
      <c r="AP649" s="21">
        <f t="shared" si="1996"/>
        <v>0.61068702290076338</v>
      </c>
      <c r="AQ649" s="21">
        <f t="shared" si="1996"/>
        <v>0.61068702290076338</v>
      </c>
      <c r="AR649" s="21">
        <f t="shared" si="1996"/>
        <v>0.61068702290076338</v>
      </c>
      <c r="AS649" s="21">
        <f t="shared" si="1996"/>
        <v>0.61068702290076338</v>
      </c>
      <c r="AT649" s="21">
        <f t="shared" si="1996"/>
        <v>0.61068702290076338</v>
      </c>
      <c r="AU649" s="21">
        <f t="shared" si="1996"/>
        <v>0.61068702290076338</v>
      </c>
      <c r="AV649" s="21">
        <f t="shared" si="1996"/>
        <v>0.61068702290076338</v>
      </c>
      <c r="AW649" s="21">
        <f t="shared" si="1996"/>
        <v>0.61068702290076338</v>
      </c>
      <c r="AX649" s="21">
        <f t="shared" si="1996"/>
        <v>0.61068702290076338</v>
      </c>
      <c r="AY649" s="21">
        <f t="shared" si="1996"/>
        <v>0.61068702290076338</v>
      </c>
      <c r="AZ649" s="21">
        <f t="shared" si="1996"/>
        <v>0.61068702290076338</v>
      </c>
      <c r="BA649" s="21">
        <f t="shared" si="1996"/>
        <v>0.61068702290076338</v>
      </c>
      <c r="BB649" s="21">
        <f t="shared" si="1996"/>
        <v>0.61068702290076338</v>
      </c>
      <c r="BC649" s="21">
        <f t="shared" si="1996"/>
        <v>0.61068702290076338</v>
      </c>
      <c r="BD649" s="21">
        <f t="shared" si="1996"/>
        <v>0.61068702290076338</v>
      </c>
      <c r="BE649" s="21">
        <f t="shared" si="1996"/>
        <v>0.61068702290076338</v>
      </c>
      <c r="BF649" s="21">
        <f t="shared" si="1996"/>
        <v>0.61068702290076338</v>
      </c>
      <c r="BG649" s="21">
        <f t="shared" si="1996"/>
        <v>0.61068702290076338</v>
      </c>
      <c r="BH649" s="21">
        <f t="shared" si="1996"/>
        <v>0.61068702290076338</v>
      </c>
      <c r="BI649" s="21">
        <f t="shared" si="1996"/>
        <v>0.61068702290076338</v>
      </c>
      <c r="BJ649" s="21">
        <f t="shared" si="1996"/>
        <v>0.61068702290076338</v>
      </c>
      <c r="BK649" s="21">
        <f t="shared" si="1996"/>
        <v>0.61068702290076338</v>
      </c>
      <c r="BL649" s="21">
        <f t="shared" si="1996"/>
        <v>0.61068702290076338</v>
      </c>
      <c r="BM649" s="21">
        <f t="shared" si="1996"/>
        <v>0.61068702290076338</v>
      </c>
      <c r="BN649" s="21">
        <f t="shared" si="1996"/>
        <v>0.61068702290076338</v>
      </c>
      <c r="BO649" s="21">
        <f t="shared" si="1996"/>
        <v>0.61068702290076338</v>
      </c>
      <c r="BP649" s="21">
        <f t="shared" si="1996"/>
        <v>0.61068702290076338</v>
      </c>
      <c r="BQ649" s="21">
        <f t="shared" si="1996"/>
        <v>0.61068702290076338</v>
      </c>
      <c r="BR649" s="21">
        <f t="shared" si="1996"/>
        <v>0.61068702290076338</v>
      </c>
      <c r="BS649" s="21">
        <f t="shared" si="1996"/>
        <v>0.61068702290076338</v>
      </c>
    </row>
    <row r="650" spans="1:71">
      <c r="A650" s="1" t="s">
        <v>173</v>
      </c>
      <c r="I650" s="21">
        <f t="shared" ref="I650:L650" si="1997">I654/I646</f>
        <v>0.38650306748466257</v>
      </c>
      <c r="J650" s="21">
        <f t="shared" si="1997"/>
        <v>0.38650306748466257</v>
      </c>
      <c r="K650" s="21">
        <f t="shared" si="1997"/>
        <v>0.38650306748466257</v>
      </c>
      <c r="L650" s="21">
        <f t="shared" si="1997"/>
        <v>0.38650306748466257</v>
      </c>
      <c r="M650" s="21">
        <f t="shared" ref="M650:T650" si="1998">M654/M646</f>
        <v>0.38650306748466257</v>
      </c>
      <c r="N650" s="21">
        <f t="shared" si="1998"/>
        <v>0.38650306748466257</v>
      </c>
      <c r="O650" s="21">
        <f t="shared" si="1998"/>
        <v>0.38650306748466257</v>
      </c>
      <c r="P650" s="21">
        <f t="shared" si="1998"/>
        <v>0.38931297709923662</v>
      </c>
      <c r="Q650" s="21">
        <f t="shared" si="1998"/>
        <v>0.38931297709923662</v>
      </c>
      <c r="R650" s="21">
        <f t="shared" si="1998"/>
        <v>0.38931297709923662</v>
      </c>
      <c r="S650" s="21">
        <f t="shared" si="1998"/>
        <v>0.38931297709923662</v>
      </c>
      <c r="T650" s="21">
        <f t="shared" si="1998"/>
        <v>0.38931297709923662</v>
      </c>
      <c r="U650" s="21">
        <f t="shared" ref="U650:W650" si="1999">U654/U646</f>
        <v>0.38931297709923662</v>
      </c>
      <c r="V650" s="21">
        <f t="shared" si="1999"/>
        <v>0.38931297709923662</v>
      </c>
      <c r="W650" s="21">
        <f t="shared" si="1999"/>
        <v>0.38931297709923662</v>
      </c>
      <c r="X650" s="21">
        <f t="shared" ref="X650:Y650" si="2000">X654/X646</f>
        <v>0.38931297709923662</v>
      </c>
      <c r="Y650" s="21">
        <f t="shared" si="2000"/>
        <v>0.38931297709923662</v>
      </c>
      <c r="Z650" s="21">
        <f t="shared" ref="Z650:AB650" si="2001">Z654/Z646</f>
        <v>0.38931297709923662</v>
      </c>
      <c r="AA650" s="21">
        <f t="shared" si="2001"/>
        <v>0.38931297709923662</v>
      </c>
      <c r="AB650" s="21">
        <f t="shared" si="2001"/>
        <v>0.38931297709923662</v>
      </c>
      <c r="AC650" s="21">
        <f t="shared" ref="AC650:AD650" si="2002">AC654/AC646</f>
        <v>0.38931297709923662</v>
      </c>
      <c r="AD650" s="21">
        <f t="shared" si="2002"/>
        <v>0.38931297709923662</v>
      </c>
      <c r="AE650" s="21">
        <f t="shared" ref="AE650:AI650" si="2003">AE654/AE646</f>
        <v>0.38931297709923662</v>
      </c>
      <c r="AF650" s="21">
        <f t="shared" si="2003"/>
        <v>0.38931297709923662</v>
      </c>
      <c r="AG650" s="21">
        <f t="shared" si="2003"/>
        <v>0.38931297709923662</v>
      </c>
      <c r="AH650" s="21">
        <f t="shared" si="2003"/>
        <v>0.38931297709923662</v>
      </c>
      <c r="AI650" s="21">
        <f t="shared" si="2003"/>
        <v>0.38931297709923662</v>
      </c>
      <c r="AJ650" s="21">
        <f t="shared" ref="AJ650:AN650" si="2004">AJ654/AJ646</f>
        <v>0.38931297709923662</v>
      </c>
      <c r="AK650" s="21">
        <f t="shared" si="2004"/>
        <v>0.38931297709923662</v>
      </c>
      <c r="AL650" s="21">
        <f t="shared" si="2004"/>
        <v>0.38931297709923662</v>
      </c>
      <c r="AM650" s="21">
        <f t="shared" si="2004"/>
        <v>0.38931297709923662</v>
      </c>
      <c r="AN650" s="21">
        <f t="shared" si="2004"/>
        <v>0.38931297709923662</v>
      </c>
      <c r="AO650" s="21">
        <f t="shared" ref="AO650:BS650" si="2005">AO654/AO646</f>
        <v>0.38931297709923662</v>
      </c>
      <c r="AP650" s="21">
        <f t="shared" si="2005"/>
        <v>0.38931297709923662</v>
      </c>
      <c r="AQ650" s="21">
        <f t="shared" si="2005"/>
        <v>0.38931297709923662</v>
      </c>
      <c r="AR650" s="21">
        <f t="shared" si="2005"/>
        <v>0.38931297709923662</v>
      </c>
      <c r="AS650" s="21">
        <f t="shared" si="2005"/>
        <v>0.38931297709923662</v>
      </c>
      <c r="AT650" s="21">
        <f t="shared" si="2005"/>
        <v>0.38931297709923662</v>
      </c>
      <c r="AU650" s="21">
        <f t="shared" si="2005"/>
        <v>0.38931297709923662</v>
      </c>
      <c r="AV650" s="21">
        <f t="shared" si="2005"/>
        <v>0.38931297709923662</v>
      </c>
      <c r="AW650" s="21">
        <f t="shared" si="2005"/>
        <v>0.38931297709923662</v>
      </c>
      <c r="AX650" s="21">
        <f t="shared" si="2005"/>
        <v>0.38931297709923662</v>
      </c>
      <c r="AY650" s="21">
        <f t="shared" si="2005"/>
        <v>0.38931297709923662</v>
      </c>
      <c r="AZ650" s="21">
        <f t="shared" si="2005"/>
        <v>0.38931297709923662</v>
      </c>
      <c r="BA650" s="21">
        <f t="shared" si="2005"/>
        <v>0.38931297709923662</v>
      </c>
      <c r="BB650" s="21">
        <f t="shared" si="2005"/>
        <v>0.38931297709923662</v>
      </c>
      <c r="BC650" s="21">
        <f t="shared" si="2005"/>
        <v>0.38931297709923662</v>
      </c>
      <c r="BD650" s="21">
        <f t="shared" si="2005"/>
        <v>0.38931297709923662</v>
      </c>
      <c r="BE650" s="21">
        <f t="shared" si="2005"/>
        <v>0.38931297709923662</v>
      </c>
      <c r="BF650" s="21">
        <f t="shared" si="2005"/>
        <v>0.38931297709923662</v>
      </c>
      <c r="BG650" s="21">
        <f t="shared" si="2005"/>
        <v>0.38931297709923662</v>
      </c>
      <c r="BH650" s="21">
        <f t="shared" si="2005"/>
        <v>0.38931297709923662</v>
      </c>
      <c r="BI650" s="21">
        <f t="shared" si="2005"/>
        <v>0.38931297709923662</v>
      </c>
      <c r="BJ650" s="21">
        <f t="shared" si="2005"/>
        <v>0.38931297709923662</v>
      </c>
      <c r="BK650" s="21">
        <f t="shared" si="2005"/>
        <v>0.38931297709923662</v>
      </c>
      <c r="BL650" s="21">
        <f t="shared" si="2005"/>
        <v>0.38931297709923662</v>
      </c>
      <c r="BM650" s="21">
        <f t="shared" si="2005"/>
        <v>0.38931297709923662</v>
      </c>
      <c r="BN650" s="21">
        <f t="shared" si="2005"/>
        <v>0.38931297709923662</v>
      </c>
      <c r="BO650" s="21">
        <f t="shared" si="2005"/>
        <v>0.38931297709923662</v>
      </c>
      <c r="BP650" s="21">
        <f t="shared" si="2005"/>
        <v>0.38931297709923662</v>
      </c>
      <c r="BQ650" s="21">
        <f t="shared" si="2005"/>
        <v>0.38931297709923662</v>
      </c>
      <c r="BR650" s="21">
        <f t="shared" si="2005"/>
        <v>0.38931297709923662</v>
      </c>
      <c r="BS650" s="21">
        <f t="shared" si="2005"/>
        <v>0.38931297709923662</v>
      </c>
    </row>
    <row r="651" spans="1:71">
      <c r="M651" s="72" t="s">
        <v>264</v>
      </c>
      <c r="N651" s="71"/>
      <c r="O651" s="71"/>
      <c r="P651" s="71"/>
      <c r="Q651" s="71"/>
      <c r="AK651" s="79"/>
      <c r="AL651" s="79"/>
      <c r="AN651" s="79"/>
      <c r="AO651" s="79"/>
      <c r="AP651" s="79"/>
    </row>
    <row r="652" spans="1:71">
      <c r="A652" s="5" t="s">
        <v>185</v>
      </c>
      <c r="I652" s="73">
        <f>J652</f>
        <v>40000</v>
      </c>
      <c r="J652" s="73">
        <f>K652</f>
        <v>40000</v>
      </c>
      <c r="K652" s="73">
        <f>L652</f>
        <v>40000</v>
      </c>
      <c r="L652" s="73">
        <f>M652</f>
        <v>40000</v>
      </c>
      <c r="M652" s="70">
        <v>40000</v>
      </c>
      <c r="N652" s="73">
        <f t="shared" ref="N652:AL652" si="2006">M652</f>
        <v>40000</v>
      </c>
      <c r="O652" s="73">
        <f t="shared" si="2006"/>
        <v>40000</v>
      </c>
      <c r="P652" s="73">
        <f t="shared" si="2006"/>
        <v>40000</v>
      </c>
      <c r="Q652" s="73">
        <f t="shared" si="2006"/>
        <v>40000</v>
      </c>
      <c r="R652" s="38">
        <f t="shared" si="2006"/>
        <v>40000</v>
      </c>
      <c r="S652" s="73">
        <f t="shared" si="2006"/>
        <v>40000</v>
      </c>
      <c r="T652" s="73">
        <f t="shared" si="2006"/>
        <v>40000</v>
      </c>
      <c r="U652" s="73">
        <f t="shared" si="2006"/>
        <v>40000</v>
      </c>
      <c r="V652" s="73">
        <f t="shared" si="2006"/>
        <v>40000</v>
      </c>
      <c r="W652" s="38">
        <f t="shared" si="2006"/>
        <v>40000</v>
      </c>
      <c r="X652" s="73">
        <f t="shared" si="2006"/>
        <v>40000</v>
      </c>
      <c r="Y652" s="73">
        <f t="shared" si="2006"/>
        <v>40000</v>
      </c>
      <c r="Z652" s="73">
        <f t="shared" si="2006"/>
        <v>40000</v>
      </c>
      <c r="AA652" s="73">
        <f t="shared" si="2006"/>
        <v>40000</v>
      </c>
      <c r="AB652" s="38">
        <f t="shared" si="2006"/>
        <v>40000</v>
      </c>
      <c r="AC652" s="73">
        <f t="shared" si="2006"/>
        <v>40000</v>
      </c>
      <c r="AD652" s="73">
        <f t="shared" si="2006"/>
        <v>40000</v>
      </c>
      <c r="AE652" s="73">
        <f t="shared" si="2006"/>
        <v>40000</v>
      </c>
      <c r="AF652" s="73">
        <f t="shared" si="2006"/>
        <v>40000</v>
      </c>
      <c r="AG652" s="38">
        <f t="shared" si="2006"/>
        <v>40000</v>
      </c>
      <c r="AH652" s="73">
        <f t="shared" si="2006"/>
        <v>40000</v>
      </c>
      <c r="AI652" s="73">
        <f t="shared" si="2006"/>
        <v>40000</v>
      </c>
      <c r="AJ652" s="73">
        <f t="shared" si="2006"/>
        <v>40000</v>
      </c>
      <c r="AK652" s="73">
        <f t="shared" si="2006"/>
        <v>40000</v>
      </c>
      <c r="AL652" s="38">
        <f t="shared" si="2006"/>
        <v>40000</v>
      </c>
      <c r="AM652" s="73">
        <f t="shared" ref="AM652" si="2007">AL652</f>
        <v>40000</v>
      </c>
      <c r="AN652" s="73">
        <f t="shared" ref="AN652" si="2008">AM652</f>
        <v>40000</v>
      </c>
      <c r="AO652" s="73">
        <f t="shared" ref="AO652" si="2009">AN652</f>
        <v>40000</v>
      </c>
      <c r="AP652" s="73">
        <f t="shared" ref="AP652" si="2010">AO652</f>
        <v>40000</v>
      </c>
      <c r="AQ652" s="38">
        <f t="shared" ref="AQ652:AR652" si="2011">AP652</f>
        <v>40000</v>
      </c>
      <c r="AR652" s="73">
        <f t="shared" si="2011"/>
        <v>40000</v>
      </c>
      <c r="AS652" s="73">
        <f t="shared" ref="AS652" si="2012">AR652</f>
        <v>40000</v>
      </c>
      <c r="AT652" s="73">
        <f t="shared" ref="AT652" si="2013">AS652</f>
        <v>40000</v>
      </c>
      <c r="AU652" s="73">
        <f t="shared" ref="AU652" si="2014">AT652</f>
        <v>40000</v>
      </c>
      <c r="AV652" s="38">
        <f t="shared" ref="AV652" si="2015">AU652</f>
        <v>40000</v>
      </c>
      <c r="AW652" s="73">
        <f t="shared" ref="AW652" si="2016">AV652</f>
        <v>40000</v>
      </c>
      <c r="AX652" s="73">
        <f t="shared" ref="AX652" si="2017">AW652</f>
        <v>40000</v>
      </c>
      <c r="AY652" s="73">
        <f t="shared" ref="AY652" si="2018">AX652</f>
        <v>40000</v>
      </c>
      <c r="AZ652" s="73">
        <f t="shared" ref="AZ652" si="2019">AY652</f>
        <v>40000</v>
      </c>
      <c r="BA652" s="38">
        <f t="shared" ref="BA652" si="2020">AZ652</f>
        <v>40000</v>
      </c>
      <c r="BB652" s="73">
        <f t="shared" ref="BB652" si="2021">BA652</f>
        <v>40000</v>
      </c>
      <c r="BC652" s="73">
        <f t="shared" ref="BC652" si="2022">BB652</f>
        <v>40000</v>
      </c>
      <c r="BD652" s="73">
        <f t="shared" ref="BD652" si="2023">BC652</f>
        <v>40000</v>
      </c>
      <c r="BE652" s="73">
        <f t="shared" ref="BE652" si="2024">BD652</f>
        <v>40000</v>
      </c>
      <c r="BF652" s="38">
        <f t="shared" ref="BF652" si="2025">BE652</f>
        <v>40000</v>
      </c>
      <c r="BG652" s="73">
        <f t="shared" ref="BG652" si="2026">BF652</f>
        <v>40000</v>
      </c>
      <c r="BH652" s="73">
        <f t="shared" ref="BH652" si="2027">BG652</f>
        <v>40000</v>
      </c>
      <c r="BI652" s="73">
        <f t="shared" ref="BI652" si="2028">BH652</f>
        <v>40000</v>
      </c>
      <c r="BJ652" s="73">
        <f t="shared" ref="BJ652" si="2029">BI652</f>
        <v>40000</v>
      </c>
      <c r="BK652" s="38">
        <f t="shared" ref="BK652" si="2030">BJ652</f>
        <v>40000</v>
      </c>
      <c r="BL652" s="73">
        <f t="shared" ref="BL652" si="2031">BK652</f>
        <v>40000</v>
      </c>
      <c r="BM652" s="73">
        <f t="shared" ref="BM652" si="2032">BL652</f>
        <v>40000</v>
      </c>
      <c r="BN652" s="73">
        <f t="shared" ref="BN652" si="2033">BM652</f>
        <v>40000</v>
      </c>
      <c r="BO652" s="73">
        <f t="shared" ref="BO652" si="2034">BN652</f>
        <v>40000</v>
      </c>
      <c r="BP652" s="38">
        <f t="shared" ref="BP652" si="2035">BO652</f>
        <v>40000</v>
      </c>
      <c r="BQ652" s="73">
        <f t="shared" ref="BQ652" si="2036">BP652</f>
        <v>40000</v>
      </c>
      <c r="BR652" s="73">
        <f t="shared" ref="BR652" si="2037">BQ652</f>
        <v>40000</v>
      </c>
      <c r="BS652" s="73">
        <f t="shared" ref="BS652" si="2038">BR652</f>
        <v>40000</v>
      </c>
    </row>
    <row r="653" spans="1:71">
      <c r="A653" s="5" t="s">
        <v>174</v>
      </c>
      <c r="I653" s="38">
        <f t="shared" ref="I653:L653" si="2039">I645</f>
        <v>28000</v>
      </c>
      <c r="J653" s="38">
        <f t="shared" si="2039"/>
        <v>32500</v>
      </c>
      <c r="K653" s="38">
        <f t="shared" si="2039"/>
        <v>32500</v>
      </c>
      <c r="L653" s="38">
        <f t="shared" si="2039"/>
        <v>32500</v>
      </c>
      <c r="M653" s="38">
        <f t="shared" ref="M653:N653" si="2040">M645</f>
        <v>32500</v>
      </c>
      <c r="N653" s="38">
        <f t="shared" si="2040"/>
        <v>32500</v>
      </c>
      <c r="O653" s="38">
        <f t="shared" ref="O653:P653" si="2041">O645</f>
        <v>32500</v>
      </c>
      <c r="P653" s="38">
        <f t="shared" si="2041"/>
        <v>37500</v>
      </c>
      <c r="Q653" s="38">
        <f t="shared" ref="Q653" si="2042">Q645</f>
        <v>37500</v>
      </c>
      <c r="R653" s="38">
        <f t="shared" ref="R653:T653" si="2043">R645</f>
        <v>37500</v>
      </c>
      <c r="S653" s="38">
        <f t="shared" si="2043"/>
        <v>37500</v>
      </c>
      <c r="T653" s="38">
        <f t="shared" si="2043"/>
        <v>37500</v>
      </c>
      <c r="U653" s="38">
        <f t="shared" ref="U653:W653" si="2044">U645</f>
        <v>37500</v>
      </c>
      <c r="V653" s="38">
        <f t="shared" si="2044"/>
        <v>37500</v>
      </c>
      <c r="W653" s="38">
        <f t="shared" si="2044"/>
        <v>37500</v>
      </c>
      <c r="X653" s="38">
        <f>X645</f>
        <v>33100</v>
      </c>
      <c r="Y653" s="38">
        <f>Y645</f>
        <v>33100</v>
      </c>
      <c r="Z653" s="38">
        <f>Z645</f>
        <v>33100</v>
      </c>
      <c r="AA653" s="38">
        <f>AA645</f>
        <v>33100</v>
      </c>
      <c r="AB653" s="38">
        <f t="shared" ref="AB653" si="2045">AB645</f>
        <v>33100</v>
      </c>
      <c r="AC653" s="38">
        <f>AC645</f>
        <v>33100</v>
      </c>
      <c r="AD653" s="38">
        <f>AD645</f>
        <v>33100</v>
      </c>
      <c r="AE653" s="38">
        <f>AE645</f>
        <v>33100</v>
      </c>
      <c r="AF653" s="38">
        <f>AF645</f>
        <v>33100</v>
      </c>
      <c r="AG653" s="38">
        <f t="shared" ref="AG653" si="2046">AG645</f>
        <v>33100</v>
      </c>
      <c r="AH653" s="38">
        <f>AH645</f>
        <v>33100</v>
      </c>
      <c r="AI653" s="38">
        <f>AI645</f>
        <v>33100</v>
      </c>
      <c r="AJ653" s="38">
        <f>AJ645</f>
        <v>33100</v>
      </c>
      <c r="AK653" s="38">
        <f>AK645</f>
        <v>33100</v>
      </c>
      <c r="AL653" s="38">
        <f t="shared" ref="AL653" si="2047">AL645</f>
        <v>33100</v>
      </c>
      <c r="AM653" s="38">
        <f>AM645</f>
        <v>33100</v>
      </c>
      <c r="AN653" s="38">
        <f>AN645</f>
        <v>33100</v>
      </c>
      <c r="AO653" s="38">
        <f>AO645</f>
        <v>33100</v>
      </c>
      <c r="AP653" s="38">
        <f>AP645</f>
        <v>33100</v>
      </c>
      <c r="AQ653" s="38">
        <f t="shared" ref="AQ653" si="2048">AQ645</f>
        <v>33100</v>
      </c>
      <c r="AR653" s="38">
        <f>AR645</f>
        <v>33100</v>
      </c>
      <c r="AS653" s="38">
        <f>AS645</f>
        <v>33100</v>
      </c>
      <c r="AT653" s="38">
        <f>AT645</f>
        <v>33100</v>
      </c>
      <c r="AU653" s="38">
        <f>AU645</f>
        <v>33100</v>
      </c>
      <c r="AV653" s="38">
        <f t="shared" ref="AV653" si="2049">AV645</f>
        <v>33100</v>
      </c>
      <c r="AW653" s="38">
        <f>AW645</f>
        <v>33100</v>
      </c>
      <c r="AX653" s="38">
        <f>AX645</f>
        <v>33100</v>
      </c>
      <c r="AY653" s="38">
        <f>AY645</f>
        <v>33100</v>
      </c>
      <c r="AZ653" s="38">
        <f>AZ645</f>
        <v>33100</v>
      </c>
      <c r="BA653" s="38">
        <f t="shared" ref="BA653" si="2050">BA645</f>
        <v>33100</v>
      </c>
      <c r="BB653" s="38">
        <f>BB645</f>
        <v>33100</v>
      </c>
      <c r="BC653" s="38">
        <f>BC645</f>
        <v>33100</v>
      </c>
      <c r="BD653" s="38">
        <f>BD645</f>
        <v>33100</v>
      </c>
      <c r="BE653" s="38">
        <f>BE645</f>
        <v>33100</v>
      </c>
      <c r="BF653" s="38">
        <f t="shared" ref="BF653" si="2051">BF645</f>
        <v>33100</v>
      </c>
      <c r="BG653" s="38">
        <f>BG645</f>
        <v>33100</v>
      </c>
      <c r="BH653" s="38">
        <f>BH645</f>
        <v>33100</v>
      </c>
      <c r="BI653" s="38">
        <f>BI645</f>
        <v>33100</v>
      </c>
      <c r="BJ653" s="38">
        <f>BJ645</f>
        <v>33100</v>
      </c>
      <c r="BK653" s="38">
        <f t="shared" ref="BK653" si="2052">BK645</f>
        <v>33100</v>
      </c>
      <c r="BL653" s="38">
        <f>BL645</f>
        <v>33100</v>
      </c>
      <c r="BM653" s="38">
        <f>BM645</f>
        <v>33100</v>
      </c>
      <c r="BN653" s="38">
        <f>BN645</f>
        <v>33100</v>
      </c>
      <c r="BO653" s="38">
        <f>BO645</f>
        <v>33100</v>
      </c>
      <c r="BP653" s="38">
        <f t="shared" ref="BP653" si="2053">BP645</f>
        <v>33100</v>
      </c>
      <c r="BQ653" s="38">
        <f>BQ645</f>
        <v>33100</v>
      </c>
      <c r="BR653" s="38">
        <f>BR645</f>
        <v>33100</v>
      </c>
      <c r="BS653" s="38">
        <f>BS645</f>
        <v>33100</v>
      </c>
    </row>
    <row r="654" spans="1:71">
      <c r="A654" s="5" t="s">
        <v>175</v>
      </c>
      <c r="I654" s="38">
        <f t="shared" ref="I654:L654" si="2054">I646-I652</f>
        <v>25200</v>
      </c>
      <c r="J654" s="38">
        <f t="shared" si="2054"/>
        <v>25200</v>
      </c>
      <c r="K654" s="38">
        <f t="shared" si="2054"/>
        <v>25200</v>
      </c>
      <c r="L654" s="38">
        <f t="shared" si="2054"/>
        <v>25200</v>
      </c>
      <c r="M654" s="38">
        <f>M646-M652</f>
        <v>25200</v>
      </c>
      <c r="N654" s="38">
        <f t="shared" ref="N654:P654" si="2055">N646-N652</f>
        <v>25200</v>
      </c>
      <c r="O654" s="38">
        <f t="shared" si="2055"/>
        <v>25200</v>
      </c>
      <c r="P654" s="38">
        <f t="shared" si="2055"/>
        <v>25500</v>
      </c>
      <c r="Q654" s="38">
        <f t="shared" ref="Q654:T654" si="2056">Q646-Q652</f>
        <v>25500</v>
      </c>
      <c r="R654" s="38">
        <f t="shared" si="2056"/>
        <v>25500</v>
      </c>
      <c r="S654" s="38">
        <f t="shared" si="2056"/>
        <v>25500</v>
      </c>
      <c r="T654" s="38">
        <f t="shared" si="2056"/>
        <v>25500</v>
      </c>
      <c r="U654" s="38">
        <f t="shared" ref="U654:X654" si="2057">U646-U652</f>
        <v>25500</v>
      </c>
      <c r="V654" s="38">
        <f t="shared" si="2057"/>
        <v>25500</v>
      </c>
      <c r="W654" s="38">
        <f t="shared" si="2057"/>
        <v>25500</v>
      </c>
      <c r="X654" s="38">
        <f t="shared" si="2057"/>
        <v>25500</v>
      </c>
      <c r="Y654" s="38">
        <f t="shared" ref="Y654:Z654" si="2058">Y646-Y652</f>
        <v>25500</v>
      </c>
      <c r="Z654" s="38">
        <f t="shared" si="2058"/>
        <v>25500</v>
      </c>
      <c r="AA654" s="38">
        <f t="shared" ref="AA654:AC654" si="2059">AA646-AA652</f>
        <v>25500</v>
      </c>
      <c r="AB654" s="38">
        <f t="shared" si="2059"/>
        <v>25500</v>
      </c>
      <c r="AC654" s="38">
        <f t="shared" si="2059"/>
        <v>25500</v>
      </c>
      <c r="AD654" s="38">
        <f t="shared" ref="AD654:AE654" si="2060">AD646-AD652</f>
        <v>25500</v>
      </c>
      <c r="AE654" s="38">
        <f t="shared" si="2060"/>
        <v>25500</v>
      </c>
      <c r="AF654" s="38">
        <f t="shared" ref="AF654:AI654" si="2061">AF646-AF652</f>
        <v>25500</v>
      </c>
      <c r="AG654" s="38">
        <f t="shared" si="2061"/>
        <v>25500</v>
      </c>
      <c r="AH654" s="38">
        <f t="shared" si="2061"/>
        <v>25500</v>
      </c>
      <c r="AI654" s="38">
        <f t="shared" si="2061"/>
        <v>25500</v>
      </c>
      <c r="AJ654" s="38">
        <f t="shared" ref="AJ654:AN654" si="2062">AJ646-AJ652</f>
        <v>25500</v>
      </c>
      <c r="AK654" s="38">
        <f t="shared" si="2062"/>
        <v>25500</v>
      </c>
      <c r="AL654" s="38">
        <f t="shared" si="2062"/>
        <v>25500</v>
      </c>
      <c r="AM654" s="38">
        <f t="shared" si="2062"/>
        <v>25500</v>
      </c>
      <c r="AN654" s="38">
        <f t="shared" si="2062"/>
        <v>25500</v>
      </c>
      <c r="AO654" s="38">
        <f t="shared" ref="AO654:BP654" si="2063">AO646-AO652</f>
        <v>25500</v>
      </c>
      <c r="AP654" s="38">
        <f t="shared" si="2063"/>
        <v>25500</v>
      </c>
      <c r="AQ654" s="38">
        <f t="shared" si="2063"/>
        <v>25500</v>
      </c>
      <c r="AR654" s="38">
        <f t="shared" si="2063"/>
        <v>25500</v>
      </c>
      <c r="AS654" s="38">
        <f t="shared" si="2063"/>
        <v>25500</v>
      </c>
      <c r="AT654" s="38">
        <f t="shared" si="2063"/>
        <v>25500</v>
      </c>
      <c r="AU654" s="38">
        <f t="shared" si="2063"/>
        <v>25500</v>
      </c>
      <c r="AV654" s="38">
        <f t="shared" si="2063"/>
        <v>25500</v>
      </c>
      <c r="AW654" s="38">
        <f t="shared" si="2063"/>
        <v>25500</v>
      </c>
      <c r="AX654" s="38">
        <f t="shared" si="2063"/>
        <v>25500</v>
      </c>
      <c r="AY654" s="38">
        <f t="shared" si="2063"/>
        <v>25500</v>
      </c>
      <c r="AZ654" s="38">
        <f t="shared" si="2063"/>
        <v>25500</v>
      </c>
      <c r="BA654" s="38">
        <f t="shared" si="2063"/>
        <v>25500</v>
      </c>
      <c r="BB654" s="38">
        <f t="shared" si="2063"/>
        <v>25500</v>
      </c>
      <c r="BC654" s="38">
        <f t="shared" si="2063"/>
        <v>25500</v>
      </c>
      <c r="BD654" s="38">
        <f t="shared" si="2063"/>
        <v>25500</v>
      </c>
      <c r="BE654" s="38">
        <f t="shared" si="2063"/>
        <v>25500</v>
      </c>
      <c r="BF654" s="38">
        <f t="shared" si="2063"/>
        <v>25500</v>
      </c>
      <c r="BG654" s="38">
        <f t="shared" si="2063"/>
        <v>25500</v>
      </c>
      <c r="BH654" s="38">
        <f t="shared" si="2063"/>
        <v>25500</v>
      </c>
      <c r="BI654" s="38">
        <f t="shared" si="2063"/>
        <v>25500</v>
      </c>
      <c r="BJ654" s="38">
        <f t="shared" si="2063"/>
        <v>25500</v>
      </c>
      <c r="BK654" s="38">
        <f t="shared" si="2063"/>
        <v>25500</v>
      </c>
      <c r="BL654" s="38">
        <f t="shared" si="2063"/>
        <v>25500</v>
      </c>
      <c r="BM654" s="38">
        <f t="shared" si="2063"/>
        <v>25500</v>
      </c>
      <c r="BN654" s="38">
        <f t="shared" si="2063"/>
        <v>25500</v>
      </c>
      <c r="BO654" s="38">
        <f t="shared" si="2063"/>
        <v>25500</v>
      </c>
      <c r="BP654" s="38">
        <f t="shared" si="2063"/>
        <v>25500</v>
      </c>
      <c r="BQ654" s="38">
        <f t="shared" ref="BQ654:BS654" si="2064">BQ646-BQ652</f>
        <v>25500</v>
      </c>
      <c r="BR654" s="38">
        <f t="shared" si="2064"/>
        <v>25500</v>
      </c>
      <c r="BS654" s="38">
        <f t="shared" si="2064"/>
        <v>25500</v>
      </c>
    </row>
    <row r="655" spans="1:71">
      <c r="A655" s="9" t="s">
        <v>170</v>
      </c>
      <c r="B655" s="9"/>
      <c r="C655" s="9"/>
      <c r="D655" s="9"/>
      <c r="E655" s="9"/>
      <c r="F655" s="9"/>
      <c r="G655" s="9"/>
      <c r="H655" s="9"/>
      <c r="I655" s="48">
        <f t="shared" ref="I655:L655" si="2065">SUM(I652:I654)</f>
        <v>93200</v>
      </c>
      <c r="J655" s="48">
        <f t="shared" si="2065"/>
        <v>97700</v>
      </c>
      <c r="K655" s="48">
        <f t="shared" si="2065"/>
        <v>97700</v>
      </c>
      <c r="L655" s="48">
        <f t="shared" si="2065"/>
        <v>97700</v>
      </c>
      <c r="M655" s="48">
        <f t="shared" ref="M655:N655" si="2066">SUM(M652:M654)</f>
        <v>97700</v>
      </c>
      <c r="N655" s="48">
        <f t="shared" si="2066"/>
        <v>97700</v>
      </c>
      <c r="O655" s="48">
        <f t="shared" ref="O655:P655" si="2067">SUM(O652:O654)</f>
        <v>97700</v>
      </c>
      <c r="P655" s="48">
        <f t="shared" si="2067"/>
        <v>103000</v>
      </c>
      <c r="Q655" s="48">
        <f t="shared" ref="Q655" si="2068">SUM(Q652:Q654)</f>
        <v>103000</v>
      </c>
      <c r="R655" s="48">
        <f t="shared" ref="R655:T655" si="2069">SUM(R652:R654)</f>
        <v>103000</v>
      </c>
      <c r="S655" s="48">
        <f t="shared" si="2069"/>
        <v>103000</v>
      </c>
      <c r="T655" s="48">
        <f t="shared" si="2069"/>
        <v>103000</v>
      </c>
      <c r="U655" s="48">
        <f t="shared" ref="U655:X655" si="2070">SUM(U652:U654)</f>
        <v>103000</v>
      </c>
      <c r="V655" s="48">
        <f t="shared" si="2070"/>
        <v>103000</v>
      </c>
      <c r="W655" s="48">
        <f t="shared" si="2070"/>
        <v>103000</v>
      </c>
      <c r="X655" s="48">
        <f t="shared" si="2070"/>
        <v>98600</v>
      </c>
      <c r="Y655" s="48">
        <f t="shared" ref="Y655:Z655" si="2071">SUM(Y652:Y654)</f>
        <v>98600</v>
      </c>
      <c r="Z655" s="48">
        <f t="shared" si="2071"/>
        <v>98600</v>
      </c>
      <c r="AA655" s="48">
        <f t="shared" ref="AA655:AC655" si="2072">SUM(AA652:AA654)</f>
        <v>98600</v>
      </c>
      <c r="AB655" s="48">
        <f t="shared" si="2072"/>
        <v>98600</v>
      </c>
      <c r="AC655" s="48">
        <f t="shared" si="2072"/>
        <v>98600</v>
      </c>
      <c r="AD655" s="48">
        <f t="shared" ref="AD655:AE655" si="2073">SUM(AD652:AD654)</f>
        <v>98600</v>
      </c>
      <c r="AE655" s="48">
        <f t="shared" si="2073"/>
        <v>98600</v>
      </c>
      <c r="AF655" s="48">
        <f t="shared" ref="AF655:AI655" si="2074">SUM(AF652:AF654)</f>
        <v>98600</v>
      </c>
      <c r="AG655" s="48">
        <f t="shared" si="2074"/>
        <v>98600</v>
      </c>
      <c r="AH655" s="48">
        <f t="shared" si="2074"/>
        <v>98600</v>
      </c>
      <c r="AI655" s="48">
        <f t="shared" si="2074"/>
        <v>98600</v>
      </c>
      <c r="AJ655" s="48">
        <f t="shared" ref="AJ655:AN655" si="2075">SUM(AJ652:AJ654)</f>
        <v>98600</v>
      </c>
      <c r="AK655" s="48">
        <f t="shared" si="2075"/>
        <v>98600</v>
      </c>
      <c r="AL655" s="48">
        <f t="shared" si="2075"/>
        <v>98600</v>
      </c>
      <c r="AM655" s="48">
        <f t="shared" si="2075"/>
        <v>98600</v>
      </c>
      <c r="AN655" s="48">
        <f t="shared" si="2075"/>
        <v>98600</v>
      </c>
      <c r="AO655" s="48">
        <f t="shared" ref="AO655:BP655" si="2076">SUM(AO652:AO654)</f>
        <v>98600</v>
      </c>
      <c r="AP655" s="48">
        <f t="shared" si="2076"/>
        <v>98600</v>
      </c>
      <c r="AQ655" s="48">
        <f t="shared" si="2076"/>
        <v>98600</v>
      </c>
      <c r="AR655" s="48">
        <f t="shared" si="2076"/>
        <v>98600</v>
      </c>
      <c r="AS655" s="48">
        <f t="shared" si="2076"/>
        <v>98600</v>
      </c>
      <c r="AT655" s="48">
        <f t="shared" si="2076"/>
        <v>98600</v>
      </c>
      <c r="AU655" s="48">
        <f t="shared" si="2076"/>
        <v>98600</v>
      </c>
      <c r="AV655" s="48">
        <f t="shared" si="2076"/>
        <v>98600</v>
      </c>
      <c r="AW655" s="48">
        <f t="shared" si="2076"/>
        <v>98600</v>
      </c>
      <c r="AX655" s="48">
        <f t="shared" si="2076"/>
        <v>98600</v>
      </c>
      <c r="AY655" s="48">
        <f t="shared" si="2076"/>
        <v>98600</v>
      </c>
      <c r="AZ655" s="48">
        <f t="shared" si="2076"/>
        <v>98600</v>
      </c>
      <c r="BA655" s="48">
        <f t="shared" si="2076"/>
        <v>98600</v>
      </c>
      <c r="BB655" s="48">
        <f t="shared" si="2076"/>
        <v>98600</v>
      </c>
      <c r="BC655" s="48">
        <f t="shared" si="2076"/>
        <v>98600</v>
      </c>
      <c r="BD655" s="48">
        <f t="shared" si="2076"/>
        <v>98600</v>
      </c>
      <c r="BE655" s="48">
        <f t="shared" si="2076"/>
        <v>98600</v>
      </c>
      <c r="BF655" s="48">
        <f t="shared" si="2076"/>
        <v>98600</v>
      </c>
      <c r="BG655" s="48">
        <f t="shared" si="2076"/>
        <v>98600</v>
      </c>
      <c r="BH655" s="48">
        <f t="shared" si="2076"/>
        <v>98600</v>
      </c>
      <c r="BI655" s="48">
        <f t="shared" si="2076"/>
        <v>98600</v>
      </c>
      <c r="BJ655" s="48">
        <f t="shared" si="2076"/>
        <v>98600</v>
      </c>
      <c r="BK655" s="48">
        <f t="shared" si="2076"/>
        <v>98600</v>
      </c>
      <c r="BL655" s="48">
        <f t="shared" si="2076"/>
        <v>98600</v>
      </c>
      <c r="BM655" s="48">
        <f t="shared" si="2076"/>
        <v>98600</v>
      </c>
      <c r="BN655" s="48">
        <f t="shared" si="2076"/>
        <v>98600</v>
      </c>
      <c r="BO655" s="48">
        <f t="shared" si="2076"/>
        <v>98600</v>
      </c>
      <c r="BP655" s="48">
        <f t="shared" si="2076"/>
        <v>98600</v>
      </c>
      <c r="BQ655" s="48">
        <f t="shared" ref="BQ655:BS655" si="2077">SUM(BQ652:BQ654)</f>
        <v>98600</v>
      </c>
      <c r="BR655" s="48">
        <f t="shared" si="2077"/>
        <v>98600</v>
      </c>
      <c r="BS655" s="48">
        <f t="shared" si="2077"/>
        <v>98600</v>
      </c>
    </row>
    <row r="656" spans="1:71">
      <c r="AH656" s="79"/>
      <c r="AJ656" s="79"/>
      <c r="AK656" s="79"/>
      <c r="AM656" s="79"/>
      <c r="AP656" s="79"/>
      <c r="AR656" s="79"/>
    </row>
    <row r="657" spans="1:73">
      <c r="A657" s="1" t="s">
        <v>181</v>
      </c>
      <c r="I657" s="21">
        <f t="shared" ref="I657:L657" si="2078">I653/SUM(I653:I654)</f>
        <v>0.52631578947368418</v>
      </c>
      <c r="J657" s="21">
        <f t="shared" si="2078"/>
        <v>0.56325823223570193</v>
      </c>
      <c r="K657" s="21">
        <f t="shared" si="2078"/>
        <v>0.56325823223570193</v>
      </c>
      <c r="L657" s="21">
        <f t="shared" si="2078"/>
        <v>0.56325823223570193</v>
      </c>
      <c r="M657" s="21">
        <f>M653/SUM(M653:M654)</f>
        <v>0.56325823223570193</v>
      </c>
      <c r="N657" s="21">
        <f>N653/SUM(N653:N654)</f>
        <v>0.56325823223570193</v>
      </c>
      <c r="O657" s="21">
        <f>O653/SUM(O653:O654)</f>
        <v>0.56325823223570193</v>
      </c>
      <c r="P657" s="21">
        <f>P653/SUM(P653:P654)</f>
        <v>0.59523809523809523</v>
      </c>
      <c r="Q657" s="21">
        <f t="shared" ref="Q657:R657" si="2079">Q653/SUM(Q653:Q654)</f>
        <v>0.59523809523809523</v>
      </c>
      <c r="R657" s="21">
        <f t="shared" si="2079"/>
        <v>0.59523809523809523</v>
      </c>
      <c r="S657" s="21">
        <f t="shared" ref="S657:T657" si="2080">S653/SUM(S653:S654)</f>
        <v>0.59523809523809523</v>
      </c>
      <c r="T657" s="21">
        <f t="shared" si="2080"/>
        <v>0.59523809523809523</v>
      </c>
      <c r="U657" s="21">
        <f t="shared" ref="U657:X657" si="2081">U653/SUM(U653:U654)</f>
        <v>0.59523809523809523</v>
      </c>
      <c r="V657" s="21">
        <f t="shared" si="2081"/>
        <v>0.59523809523809523</v>
      </c>
      <c r="W657" s="21">
        <f t="shared" si="2081"/>
        <v>0.59523809523809523</v>
      </c>
      <c r="X657" s="21">
        <f t="shared" si="2081"/>
        <v>0.56484641638225253</v>
      </c>
      <c r="Y657" s="21">
        <f t="shared" ref="Y657:Z657" si="2082">Y653/SUM(Y653:Y654)</f>
        <v>0.56484641638225253</v>
      </c>
      <c r="Z657" s="21">
        <f t="shared" si="2082"/>
        <v>0.56484641638225253</v>
      </c>
      <c r="AA657" s="21">
        <f t="shared" ref="AA657:AC657" si="2083">AA653/SUM(AA653:AA654)</f>
        <v>0.56484641638225253</v>
      </c>
      <c r="AB657" s="21">
        <f t="shared" si="2083"/>
        <v>0.56484641638225253</v>
      </c>
      <c r="AC657" s="21">
        <f t="shared" si="2083"/>
        <v>0.56484641638225253</v>
      </c>
      <c r="AD657" s="21">
        <f t="shared" ref="AD657:AE657" si="2084">AD653/SUM(AD653:AD654)</f>
        <v>0.56484641638225253</v>
      </c>
      <c r="AE657" s="21">
        <f t="shared" si="2084"/>
        <v>0.56484641638225253</v>
      </c>
      <c r="AF657" s="21">
        <f t="shared" ref="AF657:AI657" si="2085">AF653/SUM(AF653:AF654)</f>
        <v>0.56484641638225253</v>
      </c>
      <c r="AG657" s="21">
        <f t="shared" si="2085"/>
        <v>0.56484641638225253</v>
      </c>
      <c r="AH657" s="21">
        <f t="shared" si="2085"/>
        <v>0.56484641638225253</v>
      </c>
      <c r="AI657" s="21">
        <f t="shared" si="2085"/>
        <v>0.56484641638225253</v>
      </c>
      <c r="AJ657" s="21">
        <f t="shared" ref="AJ657:AN657" si="2086">AJ653/SUM(AJ653:AJ654)</f>
        <v>0.56484641638225253</v>
      </c>
      <c r="AK657" s="21">
        <f t="shared" si="2086"/>
        <v>0.56484641638225253</v>
      </c>
      <c r="AL657" s="21">
        <f t="shared" si="2086"/>
        <v>0.56484641638225253</v>
      </c>
      <c r="AM657" s="21">
        <f t="shared" si="2086"/>
        <v>0.56484641638225253</v>
      </c>
      <c r="AN657" s="21">
        <f t="shared" si="2086"/>
        <v>0.56484641638225253</v>
      </c>
      <c r="AO657" s="21">
        <f t="shared" ref="AO657:BS657" si="2087">AO653/SUM(AO653:AO654)</f>
        <v>0.56484641638225253</v>
      </c>
      <c r="AP657" s="21">
        <f t="shared" si="2087"/>
        <v>0.56484641638225253</v>
      </c>
      <c r="AQ657" s="21">
        <f t="shared" si="2087"/>
        <v>0.56484641638225253</v>
      </c>
      <c r="AR657" s="21">
        <f t="shared" si="2087"/>
        <v>0.56484641638225253</v>
      </c>
      <c r="AS657" s="21">
        <f t="shared" si="2087"/>
        <v>0.56484641638225253</v>
      </c>
      <c r="AT657" s="21">
        <f t="shared" si="2087"/>
        <v>0.56484641638225253</v>
      </c>
      <c r="AU657" s="21">
        <f t="shared" si="2087"/>
        <v>0.56484641638225253</v>
      </c>
      <c r="AV657" s="21">
        <f t="shared" si="2087"/>
        <v>0.56484641638225253</v>
      </c>
      <c r="AW657" s="21">
        <f t="shared" si="2087"/>
        <v>0.56484641638225253</v>
      </c>
      <c r="AX657" s="21">
        <f t="shared" si="2087"/>
        <v>0.56484641638225253</v>
      </c>
      <c r="AY657" s="21">
        <f t="shared" ref="AY657" si="2088">AY653/SUM(AY653:AY654)</f>
        <v>0.56484641638225253</v>
      </c>
      <c r="AZ657" s="21">
        <f t="shared" si="2087"/>
        <v>0.56484641638225253</v>
      </c>
      <c r="BA657" s="21">
        <f t="shared" si="2087"/>
        <v>0.56484641638225253</v>
      </c>
      <c r="BB657" s="21">
        <f t="shared" si="2087"/>
        <v>0.56484641638225253</v>
      </c>
      <c r="BC657" s="21">
        <f t="shared" si="2087"/>
        <v>0.56484641638225253</v>
      </c>
      <c r="BD657" s="21">
        <f t="shared" si="2087"/>
        <v>0.56484641638225253</v>
      </c>
      <c r="BE657" s="21">
        <f t="shared" si="2087"/>
        <v>0.56484641638225253</v>
      </c>
      <c r="BF657" s="21">
        <f t="shared" si="2087"/>
        <v>0.56484641638225253</v>
      </c>
      <c r="BG657" s="21">
        <f t="shared" si="2087"/>
        <v>0.56484641638225253</v>
      </c>
      <c r="BH657" s="21">
        <f t="shared" si="2087"/>
        <v>0.56484641638225253</v>
      </c>
      <c r="BI657" s="21">
        <f t="shared" si="2087"/>
        <v>0.56484641638225253</v>
      </c>
      <c r="BJ657" s="21">
        <f t="shared" si="2087"/>
        <v>0.56484641638225253</v>
      </c>
      <c r="BK657" s="21">
        <f t="shared" si="2087"/>
        <v>0.56484641638225253</v>
      </c>
      <c r="BL657" s="21">
        <f t="shared" si="2087"/>
        <v>0.56484641638225253</v>
      </c>
      <c r="BM657" s="21">
        <f t="shared" si="2087"/>
        <v>0.56484641638225253</v>
      </c>
      <c r="BN657" s="21">
        <f t="shared" si="2087"/>
        <v>0.56484641638225253</v>
      </c>
      <c r="BO657" s="21">
        <f t="shared" si="2087"/>
        <v>0.56484641638225253</v>
      </c>
      <c r="BP657" s="21">
        <f t="shared" si="2087"/>
        <v>0.56484641638225253</v>
      </c>
      <c r="BQ657" s="21">
        <f t="shared" si="2087"/>
        <v>0.56484641638225253</v>
      </c>
      <c r="BR657" s="21">
        <f t="shared" si="2087"/>
        <v>0.56484641638225253</v>
      </c>
      <c r="BS657" s="21">
        <f t="shared" si="2087"/>
        <v>0.56484641638225253</v>
      </c>
    </row>
    <row r="658" spans="1:73">
      <c r="A658" s="1" t="s">
        <v>182</v>
      </c>
      <c r="I658" s="21">
        <f t="shared" ref="I658:L658" si="2089">I654/SUM(I653:I654)</f>
        <v>0.47368421052631576</v>
      </c>
      <c r="J658" s="21">
        <f t="shared" si="2089"/>
        <v>0.43674176776429807</v>
      </c>
      <c r="K658" s="21">
        <f t="shared" si="2089"/>
        <v>0.43674176776429807</v>
      </c>
      <c r="L658" s="21">
        <f t="shared" si="2089"/>
        <v>0.43674176776429807</v>
      </c>
      <c r="M658" s="21">
        <f>M654/SUM(M653:M654)</f>
        <v>0.43674176776429807</v>
      </c>
      <c r="N658" s="21">
        <f>N654/SUM(N653:N654)</f>
        <v>0.43674176776429807</v>
      </c>
      <c r="O658" s="21">
        <f>O654/SUM(O653:O654)</f>
        <v>0.43674176776429807</v>
      </c>
      <c r="P658" s="21">
        <f>P654/SUM(P653:P654)</f>
        <v>0.40476190476190477</v>
      </c>
      <c r="Q658" s="21">
        <f t="shared" ref="Q658:R658" si="2090">Q654/SUM(Q653:Q654)</f>
        <v>0.40476190476190477</v>
      </c>
      <c r="R658" s="21">
        <f t="shared" si="2090"/>
        <v>0.40476190476190477</v>
      </c>
      <c r="S658" s="21">
        <f t="shared" ref="S658:T658" si="2091">S654/SUM(S653:S654)</f>
        <v>0.40476190476190477</v>
      </c>
      <c r="T658" s="21">
        <f t="shared" si="2091"/>
        <v>0.40476190476190477</v>
      </c>
      <c r="U658" s="21">
        <f t="shared" ref="U658:X658" si="2092">U654/SUM(U653:U654)</f>
        <v>0.40476190476190477</v>
      </c>
      <c r="V658" s="21">
        <f t="shared" si="2092"/>
        <v>0.40476190476190477</v>
      </c>
      <c r="W658" s="21">
        <f t="shared" si="2092"/>
        <v>0.40476190476190477</v>
      </c>
      <c r="X658" s="21">
        <f t="shared" si="2092"/>
        <v>0.43515358361774742</v>
      </c>
      <c r="Y658" s="21">
        <f t="shared" ref="Y658:Z658" si="2093">Y654/SUM(Y653:Y654)</f>
        <v>0.43515358361774742</v>
      </c>
      <c r="Z658" s="21">
        <f t="shared" si="2093"/>
        <v>0.43515358361774742</v>
      </c>
      <c r="AA658" s="21">
        <f t="shared" ref="AA658:AC658" si="2094">AA654/SUM(AA653:AA654)</f>
        <v>0.43515358361774742</v>
      </c>
      <c r="AB658" s="21">
        <f t="shared" si="2094"/>
        <v>0.43515358361774742</v>
      </c>
      <c r="AC658" s="21">
        <f t="shared" si="2094"/>
        <v>0.43515358361774742</v>
      </c>
      <c r="AD658" s="21">
        <f t="shared" ref="AD658:AE658" si="2095">AD654/SUM(AD653:AD654)</f>
        <v>0.43515358361774742</v>
      </c>
      <c r="AE658" s="21">
        <f t="shared" si="2095"/>
        <v>0.43515358361774742</v>
      </c>
      <c r="AF658" s="21">
        <f t="shared" ref="AF658:AI658" si="2096">AF654/SUM(AF653:AF654)</f>
        <v>0.43515358361774742</v>
      </c>
      <c r="AG658" s="21">
        <f t="shared" si="2096"/>
        <v>0.43515358361774742</v>
      </c>
      <c r="AH658" s="21">
        <f t="shared" si="2096"/>
        <v>0.43515358361774742</v>
      </c>
      <c r="AI658" s="21">
        <f t="shared" si="2096"/>
        <v>0.43515358361774742</v>
      </c>
      <c r="AJ658" s="21">
        <f t="shared" ref="AJ658:AN658" si="2097">AJ654/SUM(AJ653:AJ654)</f>
        <v>0.43515358361774742</v>
      </c>
      <c r="AK658" s="21">
        <f t="shared" si="2097"/>
        <v>0.43515358361774742</v>
      </c>
      <c r="AL658" s="21">
        <f t="shared" si="2097"/>
        <v>0.43515358361774742</v>
      </c>
      <c r="AM658" s="21">
        <f t="shared" si="2097"/>
        <v>0.43515358361774742</v>
      </c>
      <c r="AN658" s="21">
        <f t="shared" si="2097"/>
        <v>0.43515358361774742</v>
      </c>
      <c r="AO658" s="21">
        <f t="shared" ref="AO658:BS658" si="2098">AO654/SUM(AO653:AO654)</f>
        <v>0.43515358361774742</v>
      </c>
      <c r="AP658" s="21">
        <f t="shared" si="2098"/>
        <v>0.43515358361774742</v>
      </c>
      <c r="AQ658" s="21">
        <f t="shared" si="2098"/>
        <v>0.43515358361774742</v>
      </c>
      <c r="AR658" s="21">
        <f t="shared" si="2098"/>
        <v>0.43515358361774742</v>
      </c>
      <c r="AS658" s="21">
        <f t="shared" si="2098"/>
        <v>0.43515358361774742</v>
      </c>
      <c r="AT658" s="21">
        <f t="shared" si="2098"/>
        <v>0.43515358361774742</v>
      </c>
      <c r="AU658" s="21">
        <f t="shared" si="2098"/>
        <v>0.43515358361774742</v>
      </c>
      <c r="AV658" s="21">
        <f t="shared" si="2098"/>
        <v>0.43515358361774742</v>
      </c>
      <c r="AW658" s="21">
        <f t="shared" si="2098"/>
        <v>0.43515358361774742</v>
      </c>
      <c r="AX658" s="21">
        <f t="shared" si="2098"/>
        <v>0.43515358361774742</v>
      </c>
      <c r="AY658" s="21">
        <f t="shared" ref="AY658" si="2099">AY654/SUM(AY653:AY654)</f>
        <v>0.43515358361774742</v>
      </c>
      <c r="AZ658" s="21">
        <f t="shared" si="2098"/>
        <v>0.43515358361774742</v>
      </c>
      <c r="BA658" s="21">
        <f t="shared" si="2098"/>
        <v>0.43515358361774742</v>
      </c>
      <c r="BB658" s="21">
        <f t="shared" si="2098"/>
        <v>0.43515358361774742</v>
      </c>
      <c r="BC658" s="21">
        <f t="shared" si="2098"/>
        <v>0.43515358361774742</v>
      </c>
      <c r="BD658" s="21">
        <f t="shared" si="2098"/>
        <v>0.43515358361774742</v>
      </c>
      <c r="BE658" s="21">
        <f t="shared" si="2098"/>
        <v>0.43515358361774742</v>
      </c>
      <c r="BF658" s="21">
        <f t="shared" si="2098"/>
        <v>0.43515358361774742</v>
      </c>
      <c r="BG658" s="21">
        <f t="shared" si="2098"/>
        <v>0.43515358361774742</v>
      </c>
      <c r="BH658" s="21">
        <f t="shared" si="2098"/>
        <v>0.43515358361774742</v>
      </c>
      <c r="BI658" s="21">
        <f t="shared" si="2098"/>
        <v>0.43515358361774742</v>
      </c>
      <c r="BJ658" s="21">
        <f t="shared" si="2098"/>
        <v>0.43515358361774742</v>
      </c>
      <c r="BK658" s="21">
        <f t="shared" si="2098"/>
        <v>0.43515358361774742</v>
      </c>
      <c r="BL658" s="21">
        <f t="shared" si="2098"/>
        <v>0.43515358361774742</v>
      </c>
      <c r="BM658" s="21">
        <f t="shared" si="2098"/>
        <v>0.43515358361774742</v>
      </c>
      <c r="BN658" s="21">
        <f t="shared" si="2098"/>
        <v>0.43515358361774742</v>
      </c>
      <c r="BO658" s="21">
        <f t="shared" si="2098"/>
        <v>0.43515358361774742</v>
      </c>
      <c r="BP658" s="21">
        <f t="shared" si="2098"/>
        <v>0.43515358361774742</v>
      </c>
      <c r="BQ658" s="21">
        <f t="shared" si="2098"/>
        <v>0.43515358361774742</v>
      </c>
      <c r="BR658" s="21">
        <f t="shared" si="2098"/>
        <v>0.43515358361774742</v>
      </c>
      <c r="BS658" s="21">
        <f t="shared" si="2098"/>
        <v>0.43515358361774742</v>
      </c>
    </row>
    <row r="659" spans="1:73">
      <c r="AH659" s="79"/>
      <c r="AM659" s="79"/>
      <c r="AR659" s="79"/>
    </row>
    <row r="660" spans="1:73">
      <c r="A660" s="5" t="s">
        <v>185</v>
      </c>
      <c r="I660" s="21">
        <f t="shared" ref="I660" si="2100">I652/I$655</f>
        <v>0.42918454935622319</v>
      </c>
      <c r="J660" s="21">
        <f t="shared" ref="J660" si="2101">J652/J$655</f>
        <v>0.40941658137154557</v>
      </c>
      <c r="K660" s="21">
        <f t="shared" ref="K660" si="2102">K652/K$655</f>
        <v>0.40941658137154557</v>
      </c>
      <c r="L660" s="21">
        <f t="shared" ref="L660:M660" si="2103">L652/L$655</f>
        <v>0.40941658137154557</v>
      </c>
      <c r="M660" s="21">
        <f t="shared" si="2103"/>
        <v>0.40941658137154557</v>
      </c>
      <c r="N660" s="21">
        <f t="shared" ref="N660:O660" si="2104">N652/N$655</f>
        <v>0.40941658137154557</v>
      </c>
      <c r="O660" s="21">
        <f t="shared" si="2104"/>
        <v>0.40941658137154557</v>
      </c>
      <c r="P660" s="21">
        <f t="shared" ref="P660:R660" si="2105">P652/P$655</f>
        <v>0.38834951456310679</v>
      </c>
      <c r="Q660" s="21">
        <f t="shared" si="2105"/>
        <v>0.38834951456310679</v>
      </c>
      <c r="R660" s="21">
        <f t="shared" si="2105"/>
        <v>0.38834951456310679</v>
      </c>
      <c r="S660" s="21">
        <f t="shared" ref="S660:T660" si="2106">S652/S$655</f>
        <v>0.38834951456310679</v>
      </c>
      <c r="T660" s="21">
        <f t="shared" si="2106"/>
        <v>0.38834951456310679</v>
      </c>
      <c r="U660" s="21">
        <f t="shared" ref="U660:X660" si="2107">U652/U$655</f>
        <v>0.38834951456310679</v>
      </c>
      <c r="V660" s="21">
        <f t="shared" si="2107"/>
        <v>0.38834951456310679</v>
      </c>
      <c r="W660" s="21">
        <f t="shared" si="2107"/>
        <v>0.38834951456310679</v>
      </c>
      <c r="X660" s="21">
        <f t="shared" si="2107"/>
        <v>0.40567951318458417</v>
      </c>
      <c r="Y660" s="21">
        <f t="shared" ref="Y660:Z660" si="2108">Y652/Y$655</f>
        <v>0.40567951318458417</v>
      </c>
      <c r="Z660" s="21">
        <f t="shared" si="2108"/>
        <v>0.40567951318458417</v>
      </c>
      <c r="AA660" s="21">
        <f t="shared" ref="AA660:AC660" si="2109">AA652/AA$655</f>
        <v>0.40567951318458417</v>
      </c>
      <c r="AB660" s="21">
        <f t="shared" si="2109"/>
        <v>0.40567951318458417</v>
      </c>
      <c r="AC660" s="21">
        <f t="shared" si="2109"/>
        <v>0.40567951318458417</v>
      </c>
      <c r="AD660" s="21">
        <f t="shared" ref="AD660:AE660" si="2110">AD652/AD$655</f>
        <v>0.40567951318458417</v>
      </c>
      <c r="AE660" s="21">
        <f t="shared" si="2110"/>
        <v>0.40567951318458417</v>
      </c>
      <c r="AF660" s="21">
        <f t="shared" ref="AF660:AI660" si="2111">AF652/AF$655</f>
        <v>0.40567951318458417</v>
      </c>
      <c r="AG660" s="21">
        <f t="shared" si="2111"/>
        <v>0.40567951318458417</v>
      </c>
      <c r="AH660" s="21">
        <f t="shared" si="2111"/>
        <v>0.40567951318458417</v>
      </c>
      <c r="AI660" s="21">
        <f t="shared" si="2111"/>
        <v>0.40567951318458417</v>
      </c>
      <c r="AJ660" s="21">
        <f t="shared" ref="AJ660:AN660" si="2112">AJ652/AJ$655</f>
        <v>0.40567951318458417</v>
      </c>
      <c r="AK660" s="21">
        <f t="shared" si="2112"/>
        <v>0.40567951318458417</v>
      </c>
      <c r="AL660" s="21">
        <f t="shared" si="2112"/>
        <v>0.40567951318458417</v>
      </c>
      <c r="AM660" s="21">
        <f t="shared" si="2112"/>
        <v>0.40567951318458417</v>
      </c>
      <c r="AN660" s="21">
        <f t="shared" si="2112"/>
        <v>0.40567951318458417</v>
      </c>
      <c r="AO660" s="21">
        <f t="shared" ref="AO660:BS660" si="2113">AO652/AO$655</f>
        <v>0.40567951318458417</v>
      </c>
      <c r="AP660" s="21">
        <f t="shared" si="2113"/>
        <v>0.40567951318458417</v>
      </c>
      <c r="AQ660" s="21">
        <f t="shared" si="2113"/>
        <v>0.40567951318458417</v>
      </c>
      <c r="AR660" s="21">
        <f t="shared" si="2113"/>
        <v>0.40567951318458417</v>
      </c>
      <c r="AS660" s="21">
        <f t="shared" si="2113"/>
        <v>0.40567951318458417</v>
      </c>
      <c r="AT660" s="21">
        <f t="shared" si="2113"/>
        <v>0.40567951318458417</v>
      </c>
      <c r="AU660" s="21">
        <f t="shared" si="2113"/>
        <v>0.40567951318458417</v>
      </c>
      <c r="AV660" s="21">
        <f t="shared" si="2113"/>
        <v>0.40567951318458417</v>
      </c>
      <c r="AW660" s="21">
        <f t="shared" si="2113"/>
        <v>0.40567951318458417</v>
      </c>
      <c r="AX660" s="21">
        <f t="shared" si="2113"/>
        <v>0.40567951318458417</v>
      </c>
      <c r="AY660" s="21">
        <f t="shared" ref="AY660" si="2114">AY652/AY$655</f>
        <v>0.40567951318458417</v>
      </c>
      <c r="AZ660" s="21">
        <f t="shared" si="2113"/>
        <v>0.40567951318458417</v>
      </c>
      <c r="BA660" s="21">
        <f t="shared" si="2113"/>
        <v>0.40567951318458417</v>
      </c>
      <c r="BB660" s="21">
        <f t="shared" si="2113"/>
        <v>0.40567951318458417</v>
      </c>
      <c r="BC660" s="21">
        <f t="shared" si="2113"/>
        <v>0.40567951318458417</v>
      </c>
      <c r="BD660" s="21">
        <f t="shared" si="2113"/>
        <v>0.40567951318458417</v>
      </c>
      <c r="BE660" s="21">
        <f t="shared" si="2113"/>
        <v>0.40567951318458417</v>
      </c>
      <c r="BF660" s="21">
        <f t="shared" si="2113"/>
        <v>0.40567951318458417</v>
      </c>
      <c r="BG660" s="21">
        <f t="shared" si="2113"/>
        <v>0.40567951318458417</v>
      </c>
      <c r="BH660" s="21">
        <f t="shared" si="2113"/>
        <v>0.40567951318458417</v>
      </c>
      <c r="BI660" s="21">
        <f t="shared" si="2113"/>
        <v>0.40567951318458417</v>
      </c>
      <c r="BJ660" s="21">
        <f t="shared" si="2113"/>
        <v>0.40567951318458417</v>
      </c>
      <c r="BK660" s="21">
        <f t="shared" si="2113"/>
        <v>0.40567951318458417</v>
      </c>
      <c r="BL660" s="21">
        <f t="shared" si="2113"/>
        <v>0.40567951318458417</v>
      </c>
      <c r="BM660" s="21">
        <f t="shared" si="2113"/>
        <v>0.40567951318458417</v>
      </c>
      <c r="BN660" s="21">
        <f t="shared" si="2113"/>
        <v>0.40567951318458417</v>
      </c>
      <c r="BO660" s="21">
        <f t="shared" si="2113"/>
        <v>0.40567951318458417</v>
      </c>
      <c r="BP660" s="21">
        <f t="shared" si="2113"/>
        <v>0.40567951318458417</v>
      </c>
      <c r="BQ660" s="21">
        <f t="shared" si="2113"/>
        <v>0.40567951318458417</v>
      </c>
      <c r="BR660" s="21">
        <f t="shared" si="2113"/>
        <v>0.40567951318458417</v>
      </c>
      <c r="BS660" s="21">
        <f t="shared" si="2113"/>
        <v>0.40567951318458417</v>
      </c>
    </row>
    <row r="661" spans="1:73">
      <c r="A661" s="5" t="s">
        <v>174</v>
      </c>
      <c r="I661" s="21">
        <f t="shared" ref="I661" si="2115">I653/I$655</f>
        <v>0.30042918454935624</v>
      </c>
      <c r="J661" s="21">
        <f t="shared" ref="J661" si="2116">J653/J$655</f>
        <v>0.33265097236438074</v>
      </c>
      <c r="K661" s="21">
        <f t="shared" ref="K661" si="2117">K653/K$655</f>
        <v>0.33265097236438074</v>
      </c>
      <c r="L661" s="21">
        <f t="shared" ref="L661:M661" si="2118">L653/L$655</f>
        <v>0.33265097236438074</v>
      </c>
      <c r="M661" s="21">
        <f t="shared" si="2118"/>
        <v>0.33265097236438074</v>
      </c>
      <c r="N661" s="21">
        <f t="shared" ref="N661:O661" si="2119">N653/N$655</f>
        <v>0.33265097236438074</v>
      </c>
      <c r="O661" s="21">
        <f t="shared" si="2119"/>
        <v>0.33265097236438074</v>
      </c>
      <c r="P661" s="21">
        <f t="shared" ref="P661:R661" si="2120">P653/P$655</f>
        <v>0.36407766990291263</v>
      </c>
      <c r="Q661" s="21">
        <f t="shared" si="2120"/>
        <v>0.36407766990291263</v>
      </c>
      <c r="R661" s="21">
        <f t="shared" si="2120"/>
        <v>0.36407766990291263</v>
      </c>
      <c r="S661" s="21">
        <f t="shared" ref="S661:T661" si="2121">S653/S$655</f>
        <v>0.36407766990291263</v>
      </c>
      <c r="T661" s="21">
        <f t="shared" si="2121"/>
        <v>0.36407766990291263</v>
      </c>
      <c r="U661" s="21">
        <f t="shared" ref="U661:X661" si="2122">U653/U$655</f>
        <v>0.36407766990291263</v>
      </c>
      <c r="V661" s="21">
        <f t="shared" si="2122"/>
        <v>0.36407766990291263</v>
      </c>
      <c r="W661" s="21">
        <f t="shared" si="2122"/>
        <v>0.36407766990291263</v>
      </c>
      <c r="X661" s="21">
        <f t="shared" si="2122"/>
        <v>0.3356997971602434</v>
      </c>
      <c r="Y661" s="21">
        <f t="shared" ref="Y661:Z661" si="2123">Y653/Y$655</f>
        <v>0.3356997971602434</v>
      </c>
      <c r="Z661" s="21">
        <f t="shared" si="2123"/>
        <v>0.3356997971602434</v>
      </c>
      <c r="AA661" s="21">
        <f t="shared" ref="AA661:AC661" si="2124">AA653/AA$655</f>
        <v>0.3356997971602434</v>
      </c>
      <c r="AB661" s="21">
        <f t="shared" si="2124"/>
        <v>0.3356997971602434</v>
      </c>
      <c r="AC661" s="21">
        <f t="shared" si="2124"/>
        <v>0.3356997971602434</v>
      </c>
      <c r="AD661" s="21">
        <f t="shared" ref="AD661:AE661" si="2125">AD653/AD$655</f>
        <v>0.3356997971602434</v>
      </c>
      <c r="AE661" s="21">
        <f t="shared" si="2125"/>
        <v>0.3356997971602434</v>
      </c>
      <c r="AF661" s="21">
        <f t="shared" ref="AF661:AI661" si="2126">AF653/AF$655</f>
        <v>0.3356997971602434</v>
      </c>
      <c r="AG661" s="21">
        <f t="shared" si="2126"/>
        <v>0.3356997971602434</v>
      </c>
      <c r="AH661" s="21">
        <f t="shared" si="2126"/>
        <v>0.3356997971602434</v>
      </c>
      <c r="AI661" s="21">
        <f t="shared" si="2126"/>
        <v>0.3356997971602434</v>
      </c>
      <c r="AJ661" s="21">
        <f t="shared" ref="AJ661:AN661" si="2127">AJ653/AJ$655</f>
        <v>0.3356997971602434</v>
      </c>
      <c r="AK661" s="21">
        <f t="shared" si="2127"/>
        <v>0.3356997971602434</v>
      </c>
      <c r="AL661" s="21">
        <f t="shared" si="2127"/>
        <v>0.3356997971602434</v>
      </c>
      <c r="AM661" s="21">
        <f t="shared" si="2127"/>
        <v>0.3356997971602434</v>
      </c>
      <c r="AN661" s="21">
        <f t="shared" si="2127"/>
        <v>0.3356997971602434</v>
      </c>
      <c r="AO661" s="21">
        <f t="shared" ref="AO661:BS661" si="2128">AO653/AO$655</f>
        <v>0.3356997971602434</v>
      </c>
      <c r="AP661" s="21">
        <f t="shared" si="2128"/>
        <v>0.3356997971602434</v>
      </c>
      <c r="AQ661" s="21">
        <f t="shared" si="2128"/>
        <v>0.3356997971602434</v>
      </c>
      <c r="AR661" s="21">
        <f t="shared" si="2128"/>
        <v>0.3356997971602434</v>
      </c>
      <c r="AS661" s="21">
        <f t="shared" si="2128"/>
        <v>0.3356997971602434</v>
      </c>
      <c r="AT661" s="21">
        <f t="shared" si="2128"/>
        <v>0.3356997971602434</v>
      </c>
      <c r="AU661" s="21">
        <f t="shared" si="2128"/>
        <v>0.3356997971602434</v>
      </c>
      <c r="AV661" s="21">
        <f t="shared" si="2128"/>
        <v>0.3356997971602434</v>
      </c>
      <c r="AW661" s="21">
        <f t="shared" si="2128"/>
        <v>0.3356997971602434</v>
      </c>
      <c r="AX661" s="21">
        <f t="shared" si="2128"/>
        <v>0.3356997971602434</v>
      </c>
      <c r="AY661" s="21">
        <f t="shared" ref="AY661" si="2129">AY653/AY$655</f>
        <v>0.3356997971602434</v>
      </c>
      <c r="AZ661" s="21">
        <f t="shared" si="2128"/>
        <v>0.3356997971602434</v>
      </c>
      <c r="BA661" s="21">
        <f t="shared" si="2128"/>
        <v>0.3356997971602434</v>
      </c>
      <c r="BB661" s="21">
        <f t="shared" si="2128"/>
        <v>0.3356997971602434</v>
      </c>
      <c r="BC661" s="21">
        <f t="shared" si="2128"/>
        <v>0.3356997971602434</v>
      </c>
      <c r="BD661" s="21">
        <f t="shared" si="2128"/>
        <v>0.3356997971602434</v>
      </c>
      <c r="BE661" s="21">
        <f t="shared" si="2128"/>
        <v>0.3356997971602434</v>
      </c>
      <c r="BF661" s="21">
        <f t="shared" si="2128"/>
        <v>0.3356997971602434</v>
      </c>
      <c r="BG661" s="21">
        <f t="shared" si="2128"/>
        <v>0.3356997971602434</v>
      </c>
      <c r="BH661" s="21">
        <f t="shared" si="2128"/>
        <v>0.3356997971602434</v>
      </c>
      <c r="BI661" s="21">
        <f t="shared" si="2128"/>
        <v>0.3356997971602434</v>
      </c>
      <c r="BJ661" s="21">
        <f t="shared" si="2128"/>
        <v>0.3356997971602434</v>
      </c>
      <c r="BK661" s="21">
        <f t="shared" si="2128"/>
        <v>0.3356997971602434</v>
      </c>
      <c r="BL661" s="21">
        <f t="shared" si="2128"/>
        <v>0.3356997971602434</v>
      </c>
      <c r="BM661" s="21">
        <f t="shared" si="2128"/>
        <v>0.3356997971602434</v>
      </c>
      <c r="BN661" s="21">
        <f t="shared" si="2128"/>
        <v>0.3356997971602434</v>
      </c>
      <c r="BO661" s="21">
        <f t="shared" si="2128"/>
        <v>0.3356997971602434</v>
      </c>
      <c r="BP661" s="21">
        <f t="shared" si="2128"/>
        <v>0.3356997971602434</v>
      </c>
      <c r="BQ661" s="21">
        <f t="shared" si="2128"/>
        <v>0.3356997971602434</v>
      </c>
      <c r="BR661" s="21">
        <f t="shared" si="2128"/>
        <v>0.3356997971602434</v>
      </c>
      <c r="BS661" s="21">
        <f t="shared" si="2128"/>
        <v>0.3356997971602434</v>
      </c>
    </row>
    <row r="662" spans="1:73">
      <c r="A662" s="5" t="s">
        <v>175</v>
      </c>
      <c r="I662" s="21">
        <f t="shared" ref="I662" si="2130">I654/I$655</f>
        <v>0.27038626609442062</v>
      </c>
      <c r="J662" s="21">
        <f t="shared" ref="J662" si="2131">J654/J$655</f>
        <v>0.25793244626407369</v>
      </c>
      <c r="K662" s="21">
        <f t="shared" ref="K662" si="2132">K654/K$655</f>
        <v>0.25793244626407369</v>
      </c>
      <c r="L662" s="21">
        <f t="shared" ref="L662:M662" si="2133">L654/L$655</f>
        <v>0.25793244626407369</v>
      </c>
      <c r="M662" s="21">
        <f t="shared" si="2133"/>
        <v>0.25793244626407369</v>
      </c>
      <c r="N662" s="21">
        <f t="shared" ref="N662:O662" si="2134">N654/N$655</f>
        <v>0.25793244626407369</v>
      </c>
      <c r="O662" s="21">
        <f t="shared" si="2134"/>
        <v>0.25793244626407369</v>
      </c>
      <c r="P662" s="21">
        <f t="shared" ref="P662:R662" si="2135">P654/P$655</f>
        <v>0.24757281553398058</v>
      </c>
      <c r="Q662" s="21">
        <f t="shared" si="2135"/>
        <v>0.24757281553398058</v>
      </c>
      <c r="R662" s="21">
        <f t="shared" si="2135"/>
        <v>0.24757281553398058</v>
      </c>
      <c r="S662" s="21">
        <f t="shared" ref="S662:T662" si="2136">S654/S$655</f>
        <v>0.24757281553398058</v>
      </c>
      <c r="T662" s="21">
        <f t="shared" si="2136"/>
        <v>0.24757281553398058</v>
      </c>
      <c r="U662" s="21">
        <f t="shared" ref="U662:X662" si="2137">U654/U$655</f>
        <v>0.24757281553398058</v>
      </c>
      <c r="V662" s="21">
        <f t="shared" si="2137"/>
        <v>0.24757281553398058</v>
      </c>
      <c r="W662" s="21">
        <f t="shared" si="2137"/>
        <v>0.24757281553398058</v>
      </c>
      <c r="X662" s="21">
        <f t="shared" si="2137"/>
        <v>0.25862068965517243</v>
      </c>
      <c r="Y662" s="21">
        <f t="shared" ref="Y662:Z662" si="2138">Y654/Y$655</f>
        <v>0.25862068965517243</v>
      </c>
      <c r="Z662" s="21">
        <f t="shared" si="2138"/>
        <v>0.25862068965517243</v>
      </c>
      <c r="AA662" s="21">
        <f t="shared" ref="AA662:AC662" si="2139">AA654/AA$655</f>
        <v>0.25862068965517243</v>
      </c>
      <c r="AB662" s="21">
        <f t="shared" si="2139"/>
        <v>0.25862068965517243</v>
      </c>
      <c r="AC662" s="21">
        <f t="shared" si="2139"/>
        <v>0.25862068965517243</v>
      </c>
      <c r="AD662" s="21">
        <f t="shared" ref="AD662:AE662" si="2140">AD654/AD$655</f>
        <v>0.25862068965517243</v>
      </c>
      <c r="AE662" s="21">
        <f t="shared" si="2140"/>
        <v>0.25862068965517243</v>
      </c>
      <c r="AF662" s="21">
        <f t="shared" ref="AF662:AI662" si="2141">AF654/AF$655</f>
        <v>0.25862068965517243</v>
      </c>
      <c r="AG662" s="21">
        <f t="shared" si="2141"/>
        <v>0.25862068965517243</v>
      </c>
      <c r="AH662" s="21">
        <f t="shared" si="2141"/>
        <v>0.25862068965517243</v>
      </c>
      <c r="AI662" s="21">
        <f t="shared" si="2141"/>
        <v>0.25862068965517243</v>
      </c>
      <c r="AJ662" s="21">
        <f t="shared" ref="AJ662:AN662" si="2142">AJ654/AJ$655</f>
        <v>0.25862068965517243</v>
      </c>
      <c r="AK662" s="21">
        <f t="shared" si="2142"/>
        <v>0.25862068965517243</v>
      </c>
      <c r="AL662" s="21">
        <f t="shared" si="2142"/>
        <v>0.25862068965517243</v>
      </c>
      <c r="AM662" s="21">
        <f t="shared" si="2142"/>
        <v>0.25862068965517243</v>
      </c>
      <c r="AN662" s="21">
        <f t="shared" si="2142"/>
        <v>0.25862068965517243</v>
      </c>
      <c r="AO662" s="21">
        <f t="shared" ref="AO662:BS662" si="2143">AO654/AO$655</f>
        <v>0.25862068965517243</v>
      </c>
      <c r="AP662" s="21">
        <f t="shared" si="2143"/>
        <v>0.25862068965517243</v>
      </c>
      <c r="AQ662" s="21">
        <f t="shared" si="2143"/>
        <v>0.25862068965517243</v>
      </c>
      <c r="AR662" s="21">
        <f t="shared" si="2143"/>
        <v>0.25862068965517243</v>
      </c>
      <c r="AS662" s="21">
        <f t="shared" si="2143"/>
        <v>0.25862068965517243</v>
      </c>
      <c r="AT662" s="21">
        <f t="shared" si="2143"/>
        <v>0.25862068965517243</v>
      </c>
      <c r="AU662" s="21">
        <f t="shared" si="2143"/>
        <v>0.25862068965517243</v>
      </c>
      <c r="AV662" s="21">
        <f t="shared" si="2143"/>
        <v>0.25862068965517243</v>
      </c>
      <c r="AW662" s="21">
        <f t="shared" si="2143"/>
        <v>0.25862068965517243</v>
      </c>
      <c r="AX662" s="21">
        <f t="shared" si="2143"/>
        <v>0.25862068965517243</v>
      </c>
      <c r="AY662" s="21">
        <f t="shared" ref="AY662" si="2144">AY654/AY$655</f>
        <v>0.25862068965517243</v>
      </c>
      <c r="AZ662" s="21">
        <f t="shared" si="2143"/>
        <v>0.25862068965517243</v>
      </c>
      <c r="BA662" s="21">
        <f t="shared" si="2143"/>
        <v>0.25862068965517243</v>
      </c>
      <c r="BB662" s="21">
        <f t="shared" si="2143"/>
        <v>0.25862068965517243</v>
      </c>
      <c r="BC662" s="21">
        <f t="shared" si="2143"/>
        <v>0.25862068965517243</v>
      </c>
      <c r="BD662" s="21">
        <f t="shared" si="2143"/>
        <v>0.25862068965517243</v>
      </c>
      <c r="BE662" s="21">
        <f t="shared" si="2143"/>
        <v>0.25862068965517243</v>
      </c>
      <c r="BF662" s="21">
        <f t="shared" si="2143"/>
        <v>0.25862068965517243</v>
      </c>
      <c r="BG662" s="21">
        <f t="shared" si="2143"/>
        <v>0.25862068965517243</v>
      </c>
      <c r="BH662" s="21">
        <f t="shared" si="2143"/>
        <v>0.25862068965517243</v>
      </c>
      <c r="BI662" s="21">
        <f t="shared" si="2143"/>
        <v>0.25862068965517243</v>
      </c>
      <c r="BJ662" s="21">
        <f t="shared" si="2143"/>
        <v>0.25862068965517243</v>
      </c>
      <c r="BK662" s="21">
        <f t="shared" si="2143"/>
        <v>0.25862068965517243</v>
      </c>
      <c r="BL662" s="21">
        <f t="shared" si="2143"/>
        <v>0.25862068965517243</v>
      </c>
      <c r="BM662" s="21">
        <f t="shared" si="2143"/>
        <v>0.25862068965517243</v>
      </c>
      <c r="BN662" s="21">
        <f t="shared" si="2143"/>
        <v>0.25862068965517243</v>
      </c>
      <c r="BO662" s="21">
        <f t="shared" si="2143"/>
        <v>0.25862068965517243</v>
      </c>
      <c r="BP662" s="21">
        <f t="shared" si="2143"/>
        <v>0.25862068965517243</v>
      </c>
      <c r="BQ662" s="21">
        <f t="shared" si="2143"/>
        <v>0.25862068965517243</v>
      </c>
      <c r="BR662" s="21">
        <f t="shared" si="2143"/>
        <v>0.25862068965517243</v>
      </c>
      <c r="BS662" s="21">
        <f t="shared" si="2143"/>
        <v>0.25862068965517243</v>
      </c>
    </row>
    <row r="663" spans="1:73">
      <c r="A663" s="9" t="s">
        <v>170</v>
      </c>
      <c r="B663" s="9"/>
      <c r="C663" s="9"/>
      <c r="D663" s="9"/>
      <c r="E663" s="9"/>
      <c r="F663" s="9"/>
      <c r="G663" s="9"/>
      <c r="H663" s="9"/>
      <c r="I663" s="32">
        <f t="shared" ref="I663" si="2145">I655/I$655</f>
        <v>1</v>
      </c>
      <c r="J663" s="32">
        <f t="shared" ref="J663" si="2146">J655/J$655</f>
        <v>1</v>
      </c>
      <c r="K663" s="32">
        <f t="shared" ref="K663" si="2147">K655/K$655</f>
        <v>1</v>
      </c>
      <c r="L663" s="32">
        <f t="shared" ref="L663:M663" si="2148">L655/L$655</f>
        <v>1</v>
      </c>
      <c r="M663" s="32">
        <f t="shared" si="2148"/>
        <v>1</v>
      </c>
      <c r="N663" s="32">
        <f t="shared" ref="N663:O663" si="2149">N655/N$655</f>
        <v>1</v>
      </c>
      <c r="O663" s="32">
        <f t="shared" si="2149"/>
        <v>1</v>
      </c>
      <c r="P663" s="32">
        <f t="shared" ref="P663:R663" si="2150">P655/P$655</f>
        <v>1</v>
      </c>
      <c r="Q663" s="32">
        <f t="shared" si="2150"/>
        <v>1</v>
      </c>
      <c r="R663" s="32">
        <f t="shared" si="2150"/>
        <v>1</v>
      </c>
      <c r="S663" s="32">
        <f t="shared" ref="S663:T663" si="2151">S655/S$655</f>
        <v>1</v>
      </c>
      <c r="T663" s="32">
        <f t="shared" si="2151"/>
        <v>1</v>
      </c>
      <c r="U663" s="32">
        <f t="shared" ref="U663:X663" si="2152">U655/U$655</f>
        <v>1</v>
      </c>
      <c r="V663" s="32">
        <f t="shared" si="2152"/>
        <v>1</v>
      </c>
      <c r="W663" s="32">
        <f t="shared" si="2152"/>
        <v>1</v>
      </c>
      <c r="X663" s="32">
        <f t="shared" si="2152"/>
        <v>1</v>
      </c>
      <c r="Y663" s="32">
        <f t="shared" ref="Y663:Z663" si="2153">Y655/Y$655</f>
        <v>1</v>
      </c>
      <c r="Z663" s="32">
        <f t="shared" si="2153"/>
        <v>1</v>
      </c>
      <c r="AA663" s="32">
        <f t="shared" ref="AA663:AC663" si="2154">AA655/AA$655</f>
        <v>1</v>
      </c>
      <c r="AB663" s="32">
        <f t="shared" si="2154"/>
        <v>1</v>
      </c>
      <c r="AC663" s="32">
        <f t="shared" si="2154"/>
        <v>1</v>
      </c>
      <c r="AD663" s="32">
        <f t="shared" ref="AD663:AE663" si="2155">AD655/AD$655</f>
        <v>1</v>
      </c>
      <c r="AE663" s="32">
        <f t="shared" si="2155"/>
        <v>1</v>
      </c>
      <c r="AF663" s="32">
        <f t="shared" ref="AF663:AI663" si="2156">AF655/AF$655</f>
        <v>1</v>
      </c>
      <c r="AG663" s="32">
        <f t="shared" si="2156"/>
        <v>1</v>
      </c>
      <c r="AH663" s="32">
        <f t="shared" si="2156"/>
        <v>1</v>
      </c>
      <c r="AI663" s="32">
        <f t="shared" si="2156"/>
        <v>1</v>
      </c>
      <c r="AJ663" s="32">
        <f t="shared" ref="AJ663:AN663" si="2157">AJ655/AJ$655</f>
        <v>1</v>
      </c>
      <c r="AK663" s="32">
        <f t="shared" si="2157"/>
        <v>1</v>
      </c>
      <c r="AL663" s="32">
        <f t="shared" si="2157"/>
        <v>1</v>
      </c>
      <c r="AM663" s="32">
        <f t="shared" si="2157"/>
        <v>1</v>
      </c>
      <c r="AN663" s="32">
        <f t="shared" si="2157"/>
        <v>1</v>
      </c>
      <c r="AO663" s="32">
        <f t="shared" ref="AO663:BS663" si="2158">AO655/AO$655</f>
        <v>1</v>
      </c>
      <c r="AP663" s="32">
        <f t="shared" si="2158"/>
        <v>1</v>
      </c>
      <c r="AQ663" s="32">
        <f t="shared" si="2158"/>
        <v>1</v>
      </c>
      <c r="AR663" s="32">
        <f t="shared" si="2158"/>
        <v>1</v>
      </c>
      <c r="AS663" s="32">
        <f t="shared" si="2158"/>
        <v>1</v>
      </c>
      <c r="AT663" s="32">
        <f t="shared" si="2158"/>
        <v>1</v>
      </c>
      <c r="AU663" s="32">
        <f t="shared" si="2158"/>
        <v>1</v>
      </c>
      <c r="AV663" s="32">
        <f t="shared" si="2158"/>
        <v>1</v>
      </c>
      <c r="AW663" s="32">
        <f t="shared" si="2158"/>
        <v>1</v>
      </c>
      <c r="AX663" s="32">
        <f t="shared" si="2158"/>
        <v>1</v>
      </c>
      <c r="AY663" s="32">
        <f t="shared" ref="AY663" si="2159">AY655/AY$655</f>
        <v>1</v>
      </c>
      <c r="AZ663" s="32">
        <f t="shared" si="2158"/>
        <v>1</v>
      </c>
      <c r="BA663" s="32">
        <f t="shared" si="2158"/>
        <v>1</v>
      </c>
      <c r="BB663" s="32">
        <f t="shared" si="2158"/>
        <v>1</v>
      </c>
      <c r="BC663" s="32">
        <f t="shared" si="2158"/>
        <v>1</v>
      </c>
      <c r="BD663" s="32">
        <f t="shared" si="2158"/>
        <v>1</v>
      </c>
      <c r="BE663" s="32">
        <f t="shared" si="2158"/>
        <v>1</v>
      </c>
      <c r="BF663" s="32">
        <f t="shared" si="2158"/>
        <v>1</v>
      </c>
      <c r="BG663" s="32">
        <f t="shared" si="2158"/>
        <v>1</v>
      </c>
      <c r="BH663" s="32">
        <f t="shared" si="2158"/>
        <v>1</v>
      </c>
      <c r="BI663" s="32">
        <f t="shared" si="2158"/>
        <v>1</v>
      </c>
      <c r="BJ663" s="32">
        <f t="shared" si="2158"/>
        <v>1</v>
      </c>
      <c r="BK663" s="32">
        <f t="shared" si="2158"/>
        <v>1</v>
      </c>
      <c r="BL663" s="32">
        <f t="shared" si="2158"/>
        <v>1</v>
      </c>
      <c r="BM663" s="32">
        <f t="shared" si="2158"/>
        <v>1</v>
      </c>
      <c r="BN663" s="32">
        <f t="shared" si="2158"/>
        <v>1</v>
      </c>
      <c r="BO663" s="32">
        <f t="shared" si="2158"/>
        <v>1</v>
      </c>
      <c r="BP663" s="32">
        <f t="shared" si="2158"/>
        <v>1</v>
      </c>
      <c r="BQ663" s="32">
        <f t="shared" si="2158"/>
        <v>1</v>
      </c>
      <c r="BR663" s="32">
        <f t="shared" si="2158"/>
        <v>1</v>
      </c>
      <c r="BS663" s="32">
        <f t="shared" si="2158"/>
        <v>1</v>
      </c>
    </row>
    <row r="664" spans="1:73">
      <c r="AH664" s="79"/>
      <c r="AM664" s="79"/>
      <c r="AR664" s="79"/>
    </row>
    <row r="665" spans="1:73">
      <c r="A665" s="1" t="s">
        <v>215</v>
      </c>
      <c r="I665" s="21">
        <f t="shared" ref="I665:L665" si="2160">I645/I647</f>
        <v>0.30042918454935624</v>
      </c>
      <c r="J665" s="21">
        <f t="shared" si="2160"/>
        <v>0.33265097236438074</v>
      </c>
      <c r="K665" s="21">
        <f t="shared" si="2160"/>
        <v>0.33265097236438074</v>
      </c>
      <c r="L665" s="21">
        <f t="shared" si="2160"/>
        <v>0.33265097236438074</v>
      </c>
      <c r="M665" s="21">
        <f>M645/M647</f>
        <v>0.33265097236438074</v>
      </c>
      <c r="N665" s="21">
        <f>N645/N647</f>
        <v>0.33265097236438074</v>
      </c>
      <c r="O665" s="21">
        <f>O645/O647</f>
        <v>0.33265097236438074</v>
      </c>
      <c r="P665" s="21">
        <f>P645/P647</f>
        <v>0.36407766990291263</v>
      </c>
      <c r="Q665" s="21">
        <f t="shared" ref="Q665:R665" si="2161">Q645/Q647</f>
        <v>0.36407766990291263</v>
      </c>
      <c r="R665" s="21">
        <f t="shared" si="2161"/>
        <v>0.36407766990291263</v>
      </c>
      <c r="S665" s="21">
        <f t="shared" ref="S665:T665" si="2162">S645/S647</f>
        <v>0.36407766990291263</v>
      </c>
      <c r="T665" s="21">
        <f t="shared" si="2162"/>
        <v>0.36407766990291263</v>
      </c>
      <c r="U665" s="21">
        <f t="shared" ref="U665:X665" si="2163">U645/U647</f>
        <v>0.36407766990291263</v>
      </c>
      <c r="V665" s="21">
        <f t="shared" si="2163"/>
        <v>0.36407766990291263</v>
      </c>
      <c r="W665" s="21">
        <f t="shared" si="2163"/>
        <v>0.36407766990291263</v>
      </c>
      <c r="X665" s="21">
        <f t="shared" si="2163"/>
        <v>0.3356997971602434</v>
      </c>
      <c r="Y665" s="21">
        <f t="shared" ref="Y665:Z665" si="2164">Y645/Y647</f>
        <v>0.3356997971602434</v>
      </c>
      <c r="Z665" s="21">
        <f t="shared" si="2164"/>
        <v>0.3356997971602434</v>
      </c>
      <c r="AA665" s="21">
        <f t="shared" ref="AA665:AC665" si="2165">AA645/AA647</f>
        <v>0.3356997971602434</v>
      </c>
      <c r="AB665" s="21">
        <f t="shared" si="2165"/>
        <v>0.3356997971602434</v>
      </c>
      <c r="AC665" s="21">
        <f t="shared" si="2165"/>
        <v>0.3356997971602434</v>
      </c>
      <c r="AD665" s="21">
        <f t="shared" ref="AD665:AE665" si="2166">AD645/AD647</f>
        <v>0.3356997971602434</v>
      </c>
      <c r="AE665" s="21">
        <f t="shared" si="2166"/>
        <v>0.3356997971602434</v>
      </c>
      <c r="AF665" s="21">
        <f t="shared" ref="AF665:AI665" si="2167">AF645/AF647</f>
        <v>0.3356997971602434</v>
      </c>
      <c r="AG665" s="21">
        <f t="shared" si="2167"/>
        <v>0.3356997971602434</v>
      </c>
      <c r="AH665" s="21">
        <f t="shared" si="2167"/>
        <v>0.3356997971602434</v>
      </c>
      <c r="AI665" s="21">
        <f t="shared" si="2167"/>
        <v>0.3356997971602434</v>
      </c>
      <c r="AJ665" s="21">
        <f t="shared" ref="AJ665:AN665" si="2168">AJ645/AJ647</f>
        <v>0.3356997971602434</v>
      </c>
      <c r="AK665" s="21">
        <f t="shared" si="2168"/>
        <v>0.3356997971602434</v>
      </c>
      <c r="AL665" s="21">
        <f t="shared" si="2168"/>
        <v>0.3356997971602434</v>
      </c>
      <c r="AM665" s="21">
        <f t="shared" si="2168"/>
        <v>0.3356997971602434</v>
      </c>
      <c r="AN665" s="21">
        <f t="shared" si="2168"/>
        <v>0.3356997971602434</v>
      </c>
      <c r="AO665" s="21">
        <f t="shared" ref="AO665:BS665" si="2169">AO645/AO647</f>
        <v>0.3356997971602434</v>
      </c>
      <c r="AP665" s="21">
        <f t="shared" si="2169"/>
        <v>0.3356997971602434</v>
      </c>
      <c r="AQ665" s="21">
        <f t="shared" si="2169"/>
        <v>0.3356997971602434</v>
      </c>
      <c r="AR665" s="21">
        <f t="shared" si="2169"/>
        <v>0.3356997971602434</v>
      </c>
      <c r="AS665" s="21">
        <f t="shared" si="2169"/>
        <v>0.3356997971602434</v>
      </c>
      <c r="AT665" s="21">
        <f t="shared" si="2169"/>
        <v>0.3356997971602434</v>
      </c>
      <c r="AU665" s="21">
        <f t="shared" si="2169"/>
        <v>0.3356997971602434</v>
      </c>
      <c r="AV665" s="21">
        <f t="shared" si="2169"/>
        <v>0.3356997971602434</v>
      </c>
      <c r="AW665" s="21">
        <f t="shared" si="2169"/>
        <v>0.3356997971602434</v>
      </c>
      <c r="AX665" s="21">
        <f t="shared" si="2169"/>
        <v>0.3356997971602434</v>
      </c>
      <c r="AY665" s="21">
        <f t="shared" ref="AY665" si="2170">AY645/AY647</f>
        <v>0.3356997971602434</v>
      </c>
      <c r="AZ665" s="21">
        <f t="shared" si="2169"/>
        <v>0.3356997971602434</v>
      </c>
      <c r="BA665" s="21">
        <f t="shared" si="2169"/>
        <v>0.3356997971602434</v>
      </c>
      <c r="BB665" s="21">
        <f t="shared" si="2169"/>
        <v>0.3356997971602434</v>
      </c>
      <c r="BC665" s="21">
        <f t="shared" si="2169"/>
        <v>0.3356997971602434</v>
      </c>
      <c r="BD665" s="21">
        <f t="shared" si="2169"/>
        <v>0.3356997971602434</v>
      </c>
      <c r="BE665" s="21">
        <f t="shared" si="2169"/>
        <v>0.3356997971602434</v>
      </c>
      <c r="BF665" s="21">
        <f t="shared" si="2169"/>
        <v>0.3356997971602434</v>
      </c>
      <c r="BG665" s="21">
        <f t="shared" si="2169"/>
        <v>0.3356997971602434</v>
      </c>
      <c r="BH665" s="21">
        <f t="shared" si="2169"/>
        <v>0.3356997971602434</v>
      </c>
      <c r="BI665" s="21">
        <f t="shared" si="2169"/>
        <v>0.3356997971602434</v>
      </c>
      <c r="BJ665" s="21">
        <f t="shared" si="2169"/>
        <v>0.3356997971602434</v>
      </c>
      <c r="BK665" s="21">
        <f t="shared" si="2169"/>
        <v>0.3356997971602434</v>
      </c>
      <c r="BL665" s="21">
        <f t="shared" si="2169"/>
        <v>0.3356997971602434</v>
      </c>
      <c r="BM665" s="21">
        <f t="shared" si="2169"/>
        <v>0.3356997971602434</v>
      </c>
      <c r="BN665" s="21">
        <f t="shared" si="2169"/>
        <v>0.3356997971602434</v>
      </c>
      <c r="BO665" s="21">
        <f t="shared" si="2169"/>
        <v>0.3356997971602434</v>
      </c>
      <c r="BP665" s="21">
        <f t="shared" si="2169"/>
        <v>0.3356997971602434</v>
      </c>
      <c r="BQ665" s="21">
        <f t="shared" si="2169"/>
        <v>0.3356997971602434</v>
      </c>
      <c r="BR665" s="21">
        <f t="shared" si="2169"/>
        <v>0.3356997971602434</v>
      </c>
      <c r="BS665" s="21">
        <f t="shared" si="2169"/>
        <v>0.3356997971602434</v>
      </c>
    </row>
    <row r="666" spans="1:73">
      <c r="A666" s="1" t="s">
        <v>216</v>
      </c>
      <c r="I666" s="21">
        <f t="shared" ref="I666:L666" si="2171">I646/I647</f>
        <v>0.69957081545064381</v>
      </c>
      <c r="J666" s="21">
        <f t="shared" si="2171"/>
        <v>0.66734902763561921</v>
      </c>
      <c r="K666" s="21">
        <f t="shared" si="2171"/>
        <v>0.66734902763561921</v>
      </c>
      <c r="L666" s="21">
        <f t="shared" si="2171"/>
        <v>0.66734902763561921</v>
      </c>
      <c r="M666" s="21">
        <f>M646/M647</f>
        <v>0.66734902763561921</v>
      </c>
      <c r="N666" s="21">
        <f>N646/N647</f>
        <v>0.66734902763561921</v>
      </c>
      <c r="O666" s="21">
        <f>O646/O647</f>
        <v>0.66734902763561921</v>
      </c>
      <c r="P666" s="21">
        <f>P646/P647</f>
        <v>0.63592233009708743</v>
      </c>
      <c r="Q666" s="21">
        <f t="shared" ref="Q666:R666" si="2172">Q646/Q647</f>
        <v>0.63592233009708743</v>
      </c>
      <c r="R666" s="21">
        <f t="shared" si="2172"/>
        <v>0.63592233009708743</v>
      </c>
      <c r="S666" s="21">
        <f t="shared" ref="S666:T666" si="2173">S646/S647</f>
        <v>0.63592233009708743</v>
      </c>
      <c r="T666" s="21">
        <f t="shared" si="2173"/>
        <v>0.63592233009708743</v>
      </c>
      <c r="U666" s="21">
        <f t="shared" ref="U666:X666" si="2174">U646/U647</f>
        <v>0.63592233009708743</v>
      </c>
      <c r="V666" s="21">
        <f t="shared" si="2174"/>
        <v>0.63592233009708743</v>
      </c>
      <c r="W666" s="21">
        <f t="shared" si="2174"/>
        <v>0.63592233009708743</v>
      </c>
      <c r="X666" s="21">
        <f t="shared" si="2174"/>
        <v>0.66430020283975655</v>
      </c>
      <c r="Y666" s="21">
        <f t="shared" ref="Y666:Z666" si="2175">Y646/Y647</f>
        <v>0.66430020283975655</v>
      </c>
      <c r="Z666" s="21">
        <f t="shared" si="2175"/>
        <v>0.66430020283975655</v>
      </c>
      <c r="AA666" s="21">
        <f t="shared" ref="AA666:AC666" si="2176">AA646/AA647</f>
        <v>0.66430020283975655</v>
      </c>
      <c r="AB666" s="21">
        <f t="shared" si="2176"/>
        <v>0.66430020283975655</v>
      </c>
      <c r="AC666" s="21">
        <f t="shared" si="2176"/>
        <v>0.66430020283975655</v>
      </c>
      <c r="AD666" s="21">
        <f t="shared" ref="AD666:AE666" si="2177">AD646/AD647</f>
        <v>0.66430020283975655</v>
      </c>
      <c r="AE666" s="21">
        <f t="shared" si="2177"/>
        <v>0.66430020283975655</v>
      </c>
      <c r="AF666" s="21">
        <f t="shared" ref="AF666:AI666" si="2178">AF646/AF647</f>
        <v>0.66430020283975655</v>
      </c>
      <c r="AG666" s="21">
        <f t="shared" si="2178"/>
        <v>0.66430020283975655</v>
      </c>
      <c r="AH666" s="21">
        <f t="shared" si="2178"/>
        <v>0.66430020283975655</v>
      </c>
      <c r="AI666" s="21">
        <f t="shared" si="2178"/>
        <v>0.66430020283975655</v>
      </c>
      <c r="AJ666" s="21">
        <f t="shared" ref="AJ666:AN666" si="2179">AJ646/AJ647</f>
        <v>0.66430020283975655</v>
      </c>
      <c r="AK666" s="21">
        <f t="shared" si="2179"/>
        <v>0.66430020283975655</v>
      </c>
      <c r="AL666" s="21">
        <f t="shared" si="2179"/>
        <v>0.66430020283975655</v>
      </c>
      <c r="AM666" s="21">
        <f t="shared" si="2179"/>
        <v>0.66430020283975655</v>
      </c>
      <c r="AN666" s="21">
        <f t="shared" si="2179"/>
        <v>0.66430020283975655</v>
      </c>
      <c r="AO666" s="21">
        <f t="shared" ref="AO666:BS666" si="2180">AO646/AO647</f>
        <v>0.66430020283975655</v>
      </c>
      <c r="AP666" s="21">
        <f t="shared" si="2180"/>
        <v>0.66430020283975655</v>
      </c>
      <c r="AQ666" s="21">
        <f t="shared" si="2180"/>
        <v>0.66430020283975655</v>
      </c>
      <c r="AR666" s="21">
        <f t="shared" si="2180"/>
        <v>0.66430020283975655</v>
      </c>
      <c r="AS666" s="21">
        <f t="shared" si="2180"/>
        <v>0.66430020283975655</v>
      </c>
      <c r="AT666" s="21">
        <f t="shared" si="2180"/>
        <v>0.66430020283975655</v>
      </c>
      <c r="AU666" s="21">
        <f t="shared" si="2180"/>
        <v>0.66430020283975655</v>
      </c>
      <c r="AV666" s="21">
        <f t="shared" si="2180"/>
        <v>0.66430020283975655</v>
      </c>
      <c r="AW666" s="21">
        <f t="shared" si="2180"/>
        <v>0.66430020283975655</v>
      </c>
      <c r="AX666" s="21">
        <f t="shared" si="2180"/>
        <v>0.66430020283975655</v>
      </c>
      <c r="AY666" s="21">
        <f t="shared" ref="AY666" si="2181">AY646/AY647</f>
        <v>0.66430020283975655</v>
      </c>
      <c r="AZ666" s="21">
        <f t="shared" si="2180"/>
        <v>0.66430020283975655</v>
      </c>
      <c r="BA666" s="21">
        <f t="shared" si="2180"/>
        <v>0.66430020283975655</v>
      </c>
      <c r="BB666" s="21">
        <f t="shared" si="2180"/>
        <v>0.66430020283975655</v>
      </c>
      <c r="BC666" s="21">
        <f t="shared" si="2180"/>
        <v>0.66430020283975655</v>
      </c>
      <c r="BD666" s="21">
        <f t="shared" si="2180"/>
        <v>0.66430020283975655</v>
      </c>
      <c r="BE666" s="21">
        <f t="shared" si="2180"/>
        <v>0.66430020283975655</v>
      </c>
      <c r="BF666" s="21">
        <f t="shared" si="2180"/>
        <v>0.66430020283975655</v>
      </c>
      <c r="BG666" s="21">
        <f t="shared" si="2180"/>
        <v>0.66430020283975655</v>
      </c>
      <c r="BH666" s="21">
        <f t="shared" si="2180"/>
        <v>0.66430020283975655</v>
      </c>
      <c r="BI666" s="21">
        <f t="shared" si="2180"/>
        <v>0.66430020283975655</v>
      </c>
      <c r="BJ666" s="21">
        <f t="shared" si="2180"/>
        <v>0.66430020283975655</v>
      </c>
      <c r="BK666" s="21">
        <f t="shared" si="2180"/>
        <v>0.66430020283975655</v>
      </c>
      <c r="BL666" s="21">
        <f t="shared" si="2180"/>
        <v>0.66430020283975655</v>
      </c>
      <c r="BM666" s="21">
        <f t="shared" si="2180"/>
        <v>0.66430020283975655</v>
      </c>
      <c r="BN666" s="21">
        <f t="shared" si="2180"/>
        <v>0.66430020283975655</v>
      </c>
      <c r="BO666" s="21">
        <f t="shared" si="2180"/>
        <v>0.66430020283975655</v>
      </c>
      <c r="BP666" s="21">
        <f t="shared" si="2180"/>
        <v>0.66430020283975655</v>
      </c>
      <c r="BQ666" s="21">
        <f t="shared" si="2180"/>
        <v>0.66430020283975655</v>
      </c>
      <c r="BR666" s="21">
        <f t="shared" si="2180"/>
        <v>0.66430020283975655</v>
      </c>
      <c r="BS666" s="21">
        <f t="shared" si="2180"/>
        <v>0.66430020283975655</v>
      </c>
    </row>
    <row r="668" spans="1:73">
      <c r="A668" s="3" t="s">
        <v>629</v>
      </c>
    </row>
    <row r="669" spans="1:73">
      <c r="AN669" s="160" t="s">
        <v>1336</v>
      </c>
      <c r="AO669" s="44"/>
      <c r="AP669" s="44"/>
      <c r="AQ669" s="44"/>
      <c r="AR669" s="44"/>
      <c r="AS669" s="44"/>
      <c r="AT669" s="44"/>
    </row>
    <row r="670" spans="1:73">
      <c r="A670" s="5" t="s">
        <v>185</v>
      </c>
      <c r="I670" s="21"/>
      <c r="J670" s="21">
        <f t="shared" ref="J670:AH670" si="2182">J601/(J601+J607)</f>
        <v>0.28952569169960474</v>
      </c>
      <c r="K670" s="21">
        <f t="shared" si="2182"/>
        <v>0.31960653551183726</v>
      </c>
      <c r="L670" s="21">
        <f t="shared" si="2182"/>
        <v>0.3295042321644498</v>
      </c>
      <c r="M670" s="21">
        <f t="shared" si="2182"/>
        <v>0.3295042321644498</v>
      </c>
      <c r="N670" s="21">
        <f t="shared" si="2182"/>
        <v>0.34731692855025198</v>
      </c>
      <c r="O670" s="21">
        <f t="shared" si="2182"/>
        <v>0.28804678932618494</v>
      </c>
      <c r="P670" s="21">
        <f t="shared" si="2182"/>
        <v>0.29774818583077728</v>
      </c>
      <c r="Q670" s="21">
        <f t="shared" si="2182"/>
        <v>0.28260268289309914</v>
      </c>
      <c r="R670" s="21">
        <f t="shared" si="2182"/>
        <v>0.28260268289309914</v>
      </c>
      <c r="S670" s="21">
        <f t="shared" si="2182"/>
        <v>0.26301551040038473</v>
      </c>
      <c r="T670" s="21">
        <f t="shared" si="2182"/>
        <v>0.31227436823104693</v>
      </c>
      <c r="U670" s="21">
        <f t="shared" si="2182"/>
        <v>0.30853673494419231</v>
      </c>
      <c r="V670" s="21">
        <f t="shared" si="2182"/>
        <v>0.37019432405983504</v>
      </c>
      <c r="W670" s="21">
        <f t="shared" si="2182"/>
        <v>0.37019432405983504</v>
      </c>
      <c r="X670" s="21">
        <f t="shared" si="2182"/>
        <v>0.39387474191328287</v>
      </c>
      <c r="Y670" s="21">
        <f t="shared" si="2182"/>
        <v>0.36374517888017022</v>
      </c>
      <c r="Z670" s="21">
        <f t="shared" si="2182"/>
        <v>0.29400549542982113</v>
      </c>
      <c r="AA670" s="21">
        <f t="shared" si="2182"/>
        <v>0.176235978396344</v>
      </c>
      <c r="AB670" s="21">
        <f t="shared" si="2182"/>
        <v>0.176235978396344</v>
      </c>
      <c r="AC670" s="21">
        <f t="shared" si="2182"/>
        <v>0.16938440146631273</v>
      </c>
      <c r="AD670" s="21">
        <f t="shared" si="2182"/>
        <v>0.18304805314454736</v>
      </c>
      <c r="AE670" s="21">
        <f t="shared" si="2182"/>
        <v>0.1852847471127041</v>
      </c>
      <c r="AF670" s="21">
        <f t="shared" si="2182"/>
        <v>0.23779466701017649</v>
      </c>
      <c r="AG670" s="21">
        <f t="shared" si="2182"/>
        <v>0.23779466701017649</v>
      </c>
      <c r="AH670" s="21">
        <f t="shared" si="2182"/>
        <v>0.27171122186980817</v>
      </c>
      <c r="AI670" s="21">
        <f t="shared" ref="AI670:AM670" si="2183">AI601/(AI601+AI607)</f>
        <v>0.2938306318226927</v>
      </c>
      <c r="AJ670" s="21">
        <f t="shared" si="2183"/>
        <v>0.30869449614464239</v>
      </c>
      <c r="AK670" s="21">
        <f t="shared" si="2183"/>
        <v>0.31122677914385716</v>
      </c>
      <c r="AL670" s="21">
        <f t="shared" si="2183"/>
        <v>0.31122677914385716</v>
      </c>
      <c r="AM670" s="21">
        <f t="shared" si="2183"/>
        <v>0.3008999376280852</v>
      </c>
      <c r="AN670" s="346">
        <f>AN601/(AN601+AN607+AN576)</f>
        <v>0.31111943092474731</v>
      </c>
      <c r="AO670" s="21">
        <f t="shared" ref="AO670:AP670" si="2184">AO601/(AO601+AO607+AO576)</f>
        <v>0.28047636909227308</v>
      </c>
      <c r="AP670" s="21">
        <f t="shared" si="2184"/>
        <v>0.25997463662081749</v>
      </c>
      <c r="AQ670" s="21">
        <f t="shared" ref="AQ670:AR670" si="2185">AQ601/(AQ601+AQ607+AQ576)</f>
        <v>0.25975800156128026</v>
      </c>
      <c r="AR670" s="21">
        <f t="shared" si="2185"/>
        <v>0.23484065055936823</v>
      </c>
      <c r="AS670" s="21">
        <f t="shared" ref="AS670" si="2186">AS601/(AS601+AS607+AS576)</f>
        <v>0.15517241379310345</v>
      </c>
      <c r="AT670" s="21">
        <f>AT601/(AT601+AT607+AT576)</f>
        <v>0.14602438778595184</v>
      </c>
      <c r="AU670" s="21">
        <f>AU601/(AU601+AU607+AU576)</f>
        <v>0.10542652253023654</v>
      </c>
      <c r="AV670" s="21">
        <f t="shared" ref="AV670:AX670" si="2187">AV601/(AV601+AV607+AV576)</f>
        <v>0.10542652253023654</v>
      </c>
      <c r="AW670" s="21">
        <f t="shared" si="2187"/>
        <v>8.7589013224821974E-2</v>
      </c>
      <c r="AX670" s="21">
        <f t="shared" si="2187"/>
        <v>8.4704937775993583E-2</v>
      </c>
      <c r="AY670" s="21">
        <f>AY601/(AY601+AY607+AY576)</f>
        <v>8.6768136873680707E-2</v>
      </c>
      <c r="AZ670" s="21">
        <f t="shared" ref="AZ670:BR670" si="2188">AZ601/(AZ601+AZ607+AZ576)</f>
        <v>9.1035602458541115E-2</v>
      </c>
      <c r="BA670" s="21">
        <f t="shared" si="2188"/>
        <v>9.1141001855287576E-2</v>
      </c>
      <c r="BB670" s="21">
        <f t="shared" si="2188"/>
        <v>8.9198343996989088E-2</v>
      </c>
      <c r="BC670" s="21">
        <f t="shared" si="2188"/>
        <v>8.7990162590517826E-2</v>
      </c>
      <c r="BD670" s="21">
        <f t="shared" si="2188"/>
        <v>8.562003298845404E-2</v>
      </c>
      <c r="BE670" s="21">
        <f t="shared" si="2188"/>
        <v>8.369312520757223E-2</v>
      </c>
      <c r="BF670" s="21">
        <f t="shared" si="2188"/>
        <v>8.369312520757223E-2</v>
      </c>
      <c r="BG670" s="21">
        <f t="shared" si="2188"/>
        <v>8.1732511779630299E-2</v>
      </c>
      <c r="BH670" s="21">
        <f t="shared" si="2188"/>
        <v>7.8505793048341987E-2</v>
      </c>
      <c r="BI670" s="21">
        <f t="shared" si="2188"/>
        <v>7.3801560758082502E-2</v>
      </c>
      <c r="BJ670" s="21">
        <f t="shared" si="2188"/>
        <v>0</v>
      </c>
      <c r="BK670" s="21">
        <f t="shared" si="2188"/>
        <v>0</v>
      </c>
      <c r="BL670" s="21">
        <f t="shared" si="2188"/>
        <v>0</v>
      </c>
      <c r="BM670" s="21">
        <f t="shared" si="2188"/>
        <v>0</v>
      </c>
      <c r="BN670" s="21">
        <f t="shared" si="2188"/>
        <v>0</v>
      </c>
      <c r="BO670" s="21">
        <f t="shared" si="2188"/>
        <v>0</v>
      </c>
      <c r="BP670" s="21">
        <f t="shared" si="2188"/>
        <v>0</v>
      </c>
      <c r="BQ670" s="21">
        <f t="shared" si="2188"/>
        <v>0</v>
      </c>
      <c r="BR670" s="21">
        <f t="shared" si="2188"/>
        <v>0</v>
      </c>
      <c r="BS670" s="21"/>
      <c r="BT670" s="89"/>
      <c r="BU670" s="89"/>
    </row>
    <row r="671" spans="1:73">
      <c r="A671" s="5" t="s">
        <v>174</v>
      </c>
      <c r="I671" s="21"/>
      <c r="J671" s="21">
        <f t="shared" ref="J671:AH671" si="2189">J605/(J601+J607)</f>
        <v>0.41378458498023718</v>
      </c>
      <c r="K671" s="21">
        <f t="shared" si="2189"/>
        <v>0.339946648882961</v>
      </c>
      <c r="L671" s="21">
        <f t="shared" si="2189"/>
        <v>0.39480048367593712</v>
      </c>
      <c r="M671" s="21">
        <f t="shared" si="2189"/>
        <v>0.39480048367593712</v>
      </c>
      <c r="N671" s="21">
        <f t="shared" si="2189"/>
        <v>0.36658760747109398</v>
      </c>
      <c r="O671" s="21">
        <f t="shared" si="2189"/>
        <v>0.46448154014865362</v>
      </c>
      <c r="P671" s="21">
        <f t="shared" si="2189"/>
        <v>0.44362983466746464</v>
      </c>
      <c r="Q671" s="21">
        <f t="shared" si="2189"/>
        <v>0.44081039966809571</v>
      </c>
      <c r="R671" s="21">
        <f t="shared" si="2189"/>
        <v>0.44081039966809571</v>
      </c>
      <c r="S671" s="21">
        <f t="shared" si="2189"/>
        <v>0.46501142238788024</v>
      </c>
      <c r="T671" s="21">
        <f t="shared" si="2189"/>
        <v>0.41103661681279008</v>
      </c>
      <c r="U671" s="21">
        <f t="shared" si="2189"/>
        <v>0.42499693364405738</v>
      </c>
      <c r="V671" s="21">
        <f t="shared" si="2189"/>
        <v>0.36243534181462322</v>
      </c>
      <c r="W671" s="21">
        <f t="shared" si="2189"/>
        <v>0.36243534181462322</v>
      </c>
      <c r="X671" s="21">
        <f t="shared" si="2189"/>
        <v>0.28224363386097728</v>
      </c>
      <c r="Y671" s="21">
        <f t="shared" si="2189"/>
        <v>0.2904641574677484</v>
      </c>
      <c r="Z671" s="21">
        <f t="shared" si="2189"/>
        <v>0.37133404362698369</v>
      </c>
      <c r="AA671" s="21">
        <f t="shared" si="2189"/>
        <v>0.47565434150394681</v>
      </c>
      <c r="AB671" s="21">
        <f t="shared" si="2189"/>
        <v>0.47565434150394681</v>
      </c>
      <c r="AC671" s="21">
        <f t="shared" si="2189"/>
        <v>0.48009101251422071</v>
      </c>
      <c r="AD671" s="21">
        <f t="shared" si="2189"/>
        <v>0.47383988750424283</v>
      </c>
      <c r="AE671" s="21">
        <f t="shared" si="2189"/>
        <v>0.46261449621664674</v>
      </c>
      <c r="AF671" s="21">
        <f t="shared" si="2189"/>
        <v>0.39250289836403451</v>
      </c>
      <c r="AG671" s="21">
        <f t="shared" si="2189"/>
        <v>0.39250289836403451</v>
      </c>
      <c r="AH671" s="21">
        <f t="shared" si="2189"/>
        <v>0.36316266425011329</v>
      </c>
      <c r="AI671" s="21">
        <f t="shared" ref="AI671:AM671" si="2190">AI605/(AI601+AI607)</f>
        <v>0.34775057889513727</v>
      </c>
      <c r="AJ671" s="21">
        <f t="shared" si="2190"/>
        <v>0.3268634228485332</v>
      </c>
      <c r="AK671" s="21">
        <f t="shared" si="2190"/>
        <v>0.32414969038858477</v>
      </c>
      <c r="AL671" s="21">
        <f t="shared" si="2190"/>
        <v>0.32414969038858477</v>
      </c>
      <c r="AM671" s="21">
        <f t="shared" si="2190"/>
        <v>0.32362113516884966</v>
      </c>
      <c r="AN671" s="346">
        <f>AN593/(AN601+AN607+AN576)</f>
        <v>0.37205166604268064</v>
      </c>
      <c r="AO671" s="21">
        <f t="shared" ref="AO671:AP671" si="2191">AO593/(AO601+AO607+AO576)</f>
        <v>0.38625281320330085</v>
      </c>
      <c r="AP671" s="21">
        <f t="shared" si="2191"/>
        <v>0.39644912691444739</v>
      </c>
      <c r="AQ671" s="21">
        <f t="shared" ref="AQ671:AR671" si="2192">AQ593/(AQ601+AQ607+AQ576)</f>
        <v>0.39656518345042935</v>
      </c>
      <c r="AR671" s="21">
        <f t="shared" si="2192"/>
        <v>0.41374447682617277</v>
      </c>
      <c r="AS671" s="21">
        <f t="shared" ref="AS671:AT671" si="2193">AS593/(AS601+AS607+AS576)</f>
        <v>0.4551918955776349</v>
      </c>
      <c r="AT671" s="21">
        <f t="shared" si="2193"/>
        <v>0.46135241358460144</v>
      </c>
      <c r="AU671" s="21">
        <f t="shared" ref="AU671:AY671" si="2194">AU593/(AU601+AU607+AU576)</f>
        <v>0.48367761960826289</v>
      </c>
      <c r="AV671" s="21">
        <f t="shared" si="2194"/>
        <v>0.48367761960826289</v>
      </c>
      <c r="AW671" s="21">
        <f t="shared" si="2194"/>
        <v>0.49257375381485247</v>
      </c>
      <c r="AX671" s="21">
        <f t="shared" si="2194"/>
        <v>0.49618627057406661</v>
      </c>
      <c r="AY671" s="21">
        <f t="shared" si="2194"/>
        <v>0.49005666037106987</v>
      </c>
      <c r="AZ671" s="21">
        <f t="shared" ref="AZ671:BR671" si="2195">AZ593/(AZ601+AZ607+AZ576)</f>
        <v>0.48822915458657079</v>
      </c>
      <c r="BA671" s="21">
        <f t="shared" si="2195"/>
        <v>0.48817254174397029</v>
      </c>
      <c r="BB671" s="21">
        <f t="shared" si="2195"/>
        <v>0.48964998118178399</v>
      </c>
      <c r="BC671" s="21">
        <f t="shared" si="2195"/>
        <v>0.49077742861046592</v>
      </c>
      <c r="BD671" s="21">
        <f t="shared" si="2195"/>
        <v>0.49257759784075572</v>
      </c>
      <c r="BE671" s="21">
        <f t="shared" si="2195"/>
        <v>0.49418797741614084</v>
      </c>
      <c r="BF671" s="21">
        <f t="shared" si="2195"/>
        <v>0.49418797741614084</v>
      </c>
      <c r="BG671" s="21">
        <f t="shared" si="2195"/>
        <v>0.49565059804276912</v>
      </c>
      <c r="BH671" s="21">
        <f t="shared" si="2195"/>
        <v>0.49780263683579706</v>
      </c>
      <c r="BI671" s="21">
        <f t="shared" si="2195"/>
        <v>0.50100334448160533</v>
      </c>
      <c r="BJ671" s="21">
        <f t="shared" si="2195"/>
        <v>0.54122407688416796</v>
      </c>
      <c r="BK671" s="21">
        <f t="shared" si="2195"/>
        <v>0.54122407688416796</v>
      </c>
      <c r="BL671" s="21">
        <f t="shared" si="2195"/>
        <v>0.5423381189569294</v>
      </c>
      <c r="BM671" s="21">
        <f t="shared" si="2195"/>
        <v>0.54383513796716731</v>
      </c>
      <c r="BN671" s="21">
        <f t="shared" si="2195"/>
        <v>0.54580981328701694</v>
      </c>
      <c r="BO671" s="21">
        <f t="shared" si="2195"/>
        <v>0.54875937680323139</v>
      </c>
      <c r="BP671" s="21">
        <f t="shared" si="2195"/>
        <v>0.54875937680323139</v>
      </c>
      <c r="BQ671" s="21">
        <f t="shared" si="2195"/>
        <v>0.5542064180398959</v>
      </c>
      <c r="BR671" s="21">
        <f t="shared" si="2195"/>
        <v>0.57473309608540923</v>
      </c>
      <c r="BS671" s="21"/>
      <c r="BT671" s="89"/>
      <c r="BU671" s="89"/>
    </row>
    <row r="672" spans="1:73">
      <c r="A672" s="5" t="s">
        <v>175</v>
      </c>
      <c r="I672" s="21"/>
      <c r="J672" s="21">
        <f t="shared" ref="J672:AH672" si="2196">J606/(J601+J607)</f>
        <v>0.29668972332015808</v>
      </c>
      <c r="K672" s="21">
        <f t="shared" si="2196"/>
        <v>0.34044681560520174</v>
      </c>
      <c r="L672" s="21">
        <f t="shared" si="2196"/>
        <v>0.27569528415961309</v>
      </c>
      <c r="M672" s="21">
        <f t="shared" si="2196"/>
        <v>0.27569528415961309</v>
      </c>
      <c r="N672" s="21">
        <f t="shared" si="2196"/>
        <v>0.28609546397865404</v>
      </c>
      <c r="O672" s="21">
        <f t="shared" si="2196"/>
        <v>0.24747167052516145</v>
      </c>
      <c r="P672" s="21">
        <f t="shared" si="2196"/>
        <v>0.25862197950175808</v>
      </c>
      <c r="Q672" s="21">
        <f t="shared" si="2196"/>
        <v>0.27658691743880515</v>
      </c>
      <c r="R672" s="21">
        <f t="shared" si="2196"/>
        <v>0.27658691743880515</v>
      </c>
      <c r="S672" s="21">
        <f t="shared" si="2196"/>
        <v>0.27197306721173498</v>
      </c>
      <c r="T672" s="21">
        <f t="shared" si="2196"/>
        <v>0.27668901495616299</v>
      </c>
      <c r="U672" s="21">
        <f t="shared" si="2196"/>
        <v>0.2664663314117503</v>
      </c>
      <c r="V672" s="21">
        <f t="shared" si="2196"/>
        <v>0.26737033412554173</v>
      </c>
      <c r="W672" s="21">
        <f t="shared" si="2196"/>
        <v>0.26737033412554173</v>
      </c>
      <c r="X672" s="21">
        <f t="shared" si="2196"/>
        <v>0.32388162422573985</v>
      </c>
      <c r="Y672" s="21">
        <f t="shared" si="2196"/>
        <v>0.34579066365208139</v>
      </c>
      <c r="Z672" s="21">
        <f t="shared" si="2196"/>
        <v>0.33466046094319518</v>
      </c>
      <c r="AA672" s="21">
        <f t="shared" si="2196"/>
        <v>0.34810968009970916</v>
      </c>
      <c r="AB672" s="21">
        <f t="shared" si="2196"/>
        <v>0.34810968009970916</v>
      </c>
      <c r="AC672" s="21">
        <f t="shared" si="2196"/>
        <v>0.35052458601946657</v>
      </c>
      <c r="AD672" s="21">
        <f t="shared" si="2196"/>
        <v>0.34311205935120981</v>
      </c>
      <c r="AE672" s="21">
        <f t="shared" si="2196"/>
        <v>0.35210075667064916</v>
      </c>
      <c r="AF672" s="21">
        <f t="shared" si="2196"/>
        <v>0.369702434625789</v>
      </c>
      <c r="AG672" s="21">
        <f t="shared" si="2196"/>
        <v>0.369702434625789</v>
      </c>
      <c r="AH672" s="21">
        <f t="shared" si="2196"/>
        <v>0.36512611388007854</v>
      </c>
      <c r="AI672" s="21">
        <f t="shared" ref="AI672:AM672" si="2197">AI606/(AI601+AI607)</f>
        <v>0.35841878928217002</v>
      </c>
      <c r="AJ672" s="21">
        <f t="shared" si="2197"/>
        <v>0.3644420810068244</v>
      </c>
      <c r="AK672" s="21">
        <f t="shared" si="2197"/>
        <v>0.36462353046755813</v>
      </c>
      <c r="AL672" s="21">
        <f t="shared" si="2197"/>
        <v>0.36462353046755813</v>
      </c>
      <c r="AM672" s="21">
        <f t="shared" si="2197"/>
        <v>0.37547892720306514</v>
      </c>
      <c r="AN672" s="346">
        <f>AN606/(AN601+AN607+AN576)</f>
        <v>0.31682890303257205</v>
      </c>
      <c r="AO672" s="21">
        <f t="shared" ref="AO672:AP672" si="2198">AO606/(AO601+AO607+AO576)</f>
        <v>0.33327081770442613</v>
      </c>
      <c r="AP672" s="21">
        <f t="shared" si="2198"/>
        <v>0.34357623646473517</v>
      </c>
      <c r="AQ672" s="21">
        <f t="shared" ref="AQ672:AR672" si="2199">AQ606/(AQ601+AQ607+AQ576)</f>
        <v>0.34367681498829039</v>
      </c>
      <c r="AR672" s="21">
        <f t="shared" si="2199"/>
        <v>0.35141487261445897</v>
      </c>
      <c r="AS672" s="21">
        <f t="shared" ref="AS672:AT672" si="2200">AS606/(AS601+AS607+AS576)</f>
        <v>0.38963569062926162</v>
      </c>
      <c r="AT672" s="21">
        <f t="shared" si="2200"/>
        <v>0.39262319862944672</v>
      </c>
      <c r="AU672" s="21">
        <f t="shared" ref="AU672:AY672" si="2201">AU606/(AU601+AU607+AU576)</f>
        <v>0.41089585786150057</v>
      </c>
      <c r="AV672" s="21">
        <f t="shared" si="2201"/>
        <v>0.41089585786150057</v>
      </c>
      <c r="AW672" s="21">
        <f t="shared" si="2201"/>
        <v>0.41983723296032555</v>
      </c>
      <c r="AX672" s="21">
        <f t="shared" si="2201"/>
        <v>0.4191087916499398</v>
      </c>
      <c r="AY672" s="21">
        <f t="shared" si="2201"/>
        <v>0.42317520275524939</v>
      </c>
      <c r="AZ672" s="21">
        <f t="shared" ref="AZ672:BR672" si="2202">AZ606/(AZ601+AZ607+AZ576)</f>
        <v>0.42073524295488807</v>
      </c>
      <c r="BA672" s="21">
        <f t="shared" si="2202"/>
        <v>0.42068645640074209</v>
      </c>
      <c r="BB672" s="21">
        <f t="shared" si="2202"/>
        <v>0.42115167482122695</v>
      </c>
      <c r="BC672" s="21">
        <f t="shared" si="2202"/>
        <v>0.42123240879901624</v>
      </c>
      <c r="BD672" s="21">
        <f t="shared" si="2202"/>
        <v>0.42180236917079023</v>
      </c>
      <c r="BE672" s="21">
        <f t="shared" si="2202"/>
        <v>0.42211889737628694</v>
      </c>
      <c r="BF672" s="21">
        <f t="shared" si="2202"/>
        <v>0.42211889737628694</v>
      </c>
      <c r="BG672" s="21">
        <f t="shared" si="2202"/>
        <v>0.42261689017760057</v>
      </c>
      <c r="BH672" s="21">
        <f t="shared" si="2202"/>
        <v>0.42369157011586095</v>
      </c>
      <c r="BI672" s="21">
        <f t="shared" si="2202"/>
        <v>0.42519509476031214</v>
      </c>
      <c r="BJ672" s="21">
        <f t="shared" si="2202"/>
        <v>0.4587759231158321</v>
      </c>
      <c r="BK672" s="21">
        <f t="shared" si="2202"/>
        <v>0.4587759231158321</v>
      </c>
      <c r="BL672" s="21">
        <f t="shared" si="2202"/>
        <v>0.4576618810430706</v>
      </c>
      <c r="BM672" s="21">
        <f t="shared" si="2202"/>
        <v>0.45616486203283269</v>
      </c>
      <c r="BN672" s="21">
        <f t="shared" si="2202"/>
        <v>0.45419018671298306</v>
      </c>
      <c r="BO672" s="21">
        <f t="shared" si="2202"/>
        <v>0.45124062319676861</v>
      </c>
      <c r="BP672" s="21">
        <f t="shared" si="2202"/>
        <v>0.45124062319676861</v>
      </c>
      <c r="BQ672" s="21">
        <f t="shared" si="2202"/>
        <v>0.4457935819601041</v>
      </c>
      <c r="BR672" s="21">
        <f t="shared" si="2202"/>
        <v>0.42526690391459077</v>
      </c>
      <c r="BS672" s="21"/>
      <c r="BT672" s="89"/>
      <c r="BU672" s="89"/>
    </row>
    <row r="673" spans="1:78">
      <c r="A673" s="9" t="s">
        <v>170</v>
      </c>
      <c r="B673" s="9"/>
      <c r="C673" s="9"/>
      <c r="D673" s="9"/>
      <c r="E673" s="9"/>
      <c r="F673" s="9"/>
      <c r="G673" s="9"/>
      <c r="H673" s="9"/>
      <c r="I673" s="32"/>
      <c r="J673" s="32">
        <f t="shared" ref="J673:AJ673" si="2203">SUM(J670:J672)</f>
        <v>1</v>
      </c>
      <c r="K673" s="32">
        <f t="shared" si="2203"/>
        <v>1</v>
      </c>
      <c r="L673" s="32">
        <f t="shared" si="2203"/>
        <v>1</v>
      </c>
      <c r="M673" s="32">
        <f t="shared" si="2203"/>
        <v>1</v>
      </c>
      <c r="N673" s="32">
        <f t="shared" si="2203"/>
        <v>1</v>
      </c>
      <c r="O673" s="32">
        <f t="shared" si="2203"/>
        <v>1</v>
      </c>
      <c r="P673" s="32">
        <f t="shared" si="2203"/>
        <v>1</v>
      </c>
      <c r="Q673" s="32">
        <f t="shared" si="2203"/>
        <v>1</v>
      </c>
      <c r="R673" s="32">
        <f t="shared" si="2203"/>
        <v>1</v>
      </c>
      <c r="S673" s="32">
        <f t="shared" si="2203"/>
        <v>0.99999999999999989</v>
      </c>
      <c r="T673" s="32">
        <f t="shared" si="2203"/>
        <v>1</v>
      </c>
      <c r="U673" s="32">
        <f t="shared" si="2203"/>
        <v>1</v>
      </c>
      <c r="V673" s="32">
        <f t="shared" si="2203"/>
        <v>1</v>
      </c>
      <c r="W673" s="32">
        <f t="shared" si="2203"/>
        <v>1</v>
      </c>
      <c r="X673" s="32">
        <f t="shared" si="2203"/>
        <v>1</v>
      </c>
      <c r="Y673" s="32">
        <f t="shared" si="2203"/>
        <v>1</v>
      </c>
      <c r="Z673" s="32">
        <f t="shared" si="2203"/>
        <v>1</v>
      </c>
      <c r="AA673" s="32">
        <f t="shared" si="2203"/>
        <v>1</v>
      </c>
      <c r="AB673" s="32">
        <f t="shared" si="2203"/>
        <v>1</v>
      </c>
      <c r="AC673" s="32">
        <f t="shared" si="2203"/>
        <v>1</v>
      </c>
      <c r="AD673" s="32">
        <f t="shared" si="2203"/>
        <v>1</v>
      </c>
      <c r="AE673" s="32">
        <f t="shared" si="2203"/>
        <v>1</v>
      </c>
      <c r="AF673" s="32">
        <f t="shared" si="2203"/>
        <v>1</v>
      </c>
      <c r="AG673" s="32">
        <f t="shared" si="2203"/>
        <v>1</v>
      </c>
      <c r="AH673" s="32">
        <f t="shared" si="2203"/>
        <v>1</v>
      </c>
      <c r="AI673" s="32">
        <f t="shared" si="2203"/>
        <v>1</v>
      </c>
      <c r="AJ673" s="32">
        <f t="shared" si="2203"/>
        <v>1</v>
      </c>
      <c r="AK673" s="32">
        <f t="shared" ref="AK673" si="2204">SUM(AK670:AK672)</f>
        <v>1</v>
      </c>
      <c r="AL673" s="32">
        <f t="shared" ref="AL673:AM673" si="2205">SUM(AL670:AL672)</f>
        <v>1</v>
      </c>
      <c r="AM673" s="32">
        <f t="shared" si="2205"/>
        <v>1</v>
      </c>
      <c r="AN673" s="347">
        <f t="shared" ref="AN673:AO673" si="2206">SUM(AN670:AN672)</f>
        <v>1</v>
      </c>
      <c r="AO673" s="32">
        <f t="shared" si="2206"/>
        <v>1</v>
      </c>
      <c r="AP673" s="32">
        <f t="shared" ref="AP673:AQ673" si="2207">SUM(AP670:AP672)</f>
        <v>1</v>
      </c>
      <c r="AQ673" s="32">
        <f t="shared" si="2207"/>
        <v>1</v>
      </c>
      <c r="AR673" s="32">
        <f t="shared" ref="AR673:AS673" si="2208">SUM(AR670:AR672)</f>
        <v>1</v>
      </c>
      <c r="AS673" s="32">
        <f t="shared" si="2208"/>
        <v>1</v>
      </c>
      <c r="AT673" s="32">
        <f t="shared" ref="AT673:AX673" si="2209">SUM(AT670:AT672)</f>
        <v>1</v>
      </c>
      <c r="AU673" s="32">
        <f t="shared" si="2209"/>
        <v>1</v>
      </c>
      <c r="AV673" s="32">
        <f t="shared" si="2209"/>
        <v>1</v>
      </c>
      <c r="AW673" s="32">
        <f t="shared" si="2209"/>
        <v>1</v>
      </c>
      <c r="AX673" s="32">
        <f t="shared" si="2209"/>
        <v>1</v>
      </c>
      <c r="AY673" s="32">
        <f t="shared" ref="AY673" si="2210">SUM(AY670:AY672)</f>
        <v>1</v>
      </c>
      <c r="AZ673" s="32">
        <f t="shared" ref="AZ673:BR673" si="2211">SUM(AZ670:AZ672)</f>
        <v>1</v>
      </c>
      <c r="BA673" s="32">
        <f t="shared" si="2211"/>
        <v>1</v>
      </c>
      <c r="BB673" s="32">
        <f t="shared" si="2211"/>
        <v>1</v>
      </c>
      <c r="BC673" s="32">
        <f t="shared" si="2211"/>
        <v>1</v>
      </c>
      <c r="BD673" s="32">
        <f t="shared" si="2211"/>
        <v>1</v>
      </c>
      <c r="BE673" s="32">
        <f t="shared" si="2211"/>
        <v>1</v>
      </c>
      <c r="BF673" s="32">
        <f t="shared" si="2211"/>
        <v>1</v>
      </c>
      <c r="BG673" s="32">
        <f t="shared" si="2211"/>
        <v>1</v>
      </c>
      <c r="BH673" s="32">
        <f t="shared" si="2211"/>
        <v>1</v>
      </c>
      <c r="BI673" s="32">
        <f t="shared" si="2211"/>
        <v>1</v>
      </c>
      <c r="BJ673" s="32">
        <f t="shared" si="2211"/>
        <v>1</v>
      </c>
      <c r="BK673" s="32">
        <f t="shared" si="2211"/>
        <v>1</v>
      </c>
      <c r="BL673" s="32">
        <f t="shared" si="2211"/>
        <v>1</v>
      </c>
      <c r="BM673" s="32">
        <f t="shared" si="2211"/>
        <v>1</v>
      </c>
      <c r="BN673" s="32">
        <f t="shared" si="2211"/>
        <v>1</v>
      </c>
      <c r="BO673" s="32">
        <f t="shared" si="2211"/>
        <v>1</v>
      </c>
      <c r="BP673" s="32">
        <f t="shared" si="2211"/>
        <v>1</v>
      </c>
      <c r="BQ673" s="32">
        <f t="shared" si="2211"/>
        <v>1</v>
      </c>
      <c r="BR673" s="32">
        <f t="shared" si="2211"/>
        <v>1</v>
      </c>
      <c r="BS673" s="32"/>
      <c r="BT673" s="89"/>
      <c r="BU673" s="89"/>
    </row>
    <row r="675" spans="1:78">
      <c r="A675" s="1" t="s">
        <v>215</v>
      </c>
      <c r="J675" s="21">
        <f t="shared" ref="J675:AH675" si="2212">J671/(SUM(J671:J672))</f>
        <v>0.58240611961057032</v>
      </c>
      <c r="K675" s="21">
        <f t="shared" si="2212"/>
        <v>0.49963244302866944</v>
      </c>
      <c r="L675" s="21">
        <f t="shared" si="2212"/>
        <v>0.58881875563570785</v>
      </c>
      <c r="M675" s="21">
        <f t="shared" si="2212"/>
        <v>0.58881875563570785</v>
      </c>
      <c r="N675" s="21">
        <f t="shared" si="2212"/>
        <v>0.56166250283897345</v>
      </c>
      <c r="O675" s="21">
        <f t="shared" si="2212"/>
        <v>0.65240458668492207</v>
      </c>
      <c r="P675" s="21">
        <f t="shared" si="2212"/>
        <v>0.63172472568445726</v>
      </c>
      <c r="Q675" s="21">
        <f t="shared" si="2212"/>
        <v>0.6144578313253013</v>
      </c>
      <c r="R675" s="21">
        <f t="shared" si="2212"/>
        <v>0.6144578313253013</v>
      </c>
      <c r="S675" s="21">
        <f t="shared" si="2212"/>
        <v>0.63096500530222699</v>
      </c>
      <c r="T675" s="21">
        <f t="shared" si="2212"/>
        <v>0.59767529058867641</v>
      </c>
      <c r="U675" s="21">
        <f t="shared" si="2212"/>
        <v>0.61463414634146341</v>
      </c>
      <c r="V675" s="21">
        <f t="shared" si="2212"/>
        <v>0.57547169811320764</v>
      </c>
      <c r="W675" s="21">
        <f t="shared" si="2212"/>
        <v>0.57547169811320764</v>
      </c>
      <c r="X675" s="21">
        <f t="shared" si="2212"/>
        <v>0.46565232201657769</v>
      </c>
      <c r="Y675" s="21">
        <f t="shared" si="2212"/>
        <v>0.45652173913043481</v>
      </c>
      <c r="Z675" s="21">
        <f t="shared" si="2212"/>
        <v>0.52597299444003176</v>
      </c>
      <c r="AA675" s="21">
        <f t="shared" si="2212"/>
        <v>0.57741577567076863</v>
      </c>
      <c r="AB675" s="21">
        <f t="shared" si="2212"/>
        <v>0.57741577567076863</v>
      </c>
      <c r="AC675" s="21">
        <f t="shared" si="2212"/>
        <v>0.5779942170141531</v>
      </c>
      <c r="AD675" s="21">
        <f t="shared" si="2212"/>
        <v>0.58000949667616331</v>
      </c>
      <c r="AE675" s="21">
        <f t="shared" si="2212"/>
        <v>0.56782353660026885</v>
      </c>
      <c r="AF675" s="21">
        <f t="shared" si="2212"/>
        <v>0.51495690383640358</v>
      </c>
      <c r="AG675" s="21">
        <f t="shared" si="2212"/>
        <v>0.51495690383640358</v>
      </c>
      <c r="AH675" s="21">
        <f t="shared" si="2212"/>
        <v>0.49865201161343836</v>
      </c>
      <c r="AI675" s="21">
        <f t="shared" ref="AI675:AJ675" si="2213">AI671/(SUM(AI671:AI672))</f>
        <v>0.49244642229769292</v>
      </c>
      <c r="AJ675" s="21">
        <f t="shared" si="2213"/>
        <v>0.47282051282051285</v>
      </c>
      <c r="AK675" s="21">
        <f t="shared" ref="AK675:AN675" si="2214">AK671/(SUM(AK671:AK672))</f>
        <v>0.47061889250814332</v>
      </c>
      <c r="AL675" s="21">
        <f t="shared" si="2214"/>
        <v>0.47061889250814332</v>
      </c>
      <c r="AM675" s="21">
        <f t="shared" si="2214"/>
        <v>0.46291103747132295</v>
      </c>
      <c r="AN675" s="21">
        <f t="shared" si="2214"/>
        <v>0.54008152173913049</v>
      </c>
      <c r="AO675" s="21">
        <f t="shared" ref="AO675:AP675" si="2215">AO671/(SUM(AO671:AO672))</f>
        <v>0.53681741170337549</v>
      </c>
      <c r="AP675" s="21">
        <f t="shared" si="2215"/>
        <v>0.53572370155549698</v>
      </c>
      <c r="AQ675" s="21">
        <f t="shared" ref="AQ675:AR675" si="2216">AQ671/(SUM(AQ671:AQ672))</f>
        <v>0.53572370155549698</v>
      </c>
      <c r="AR675" s="21">
        <f t="shared" si="2216"/>
        <v>0.54072981938813125</v>
      </c>
      <c r="AS675" s="21">
        <f t="shared" ref="AS675:AU675" si="2217">AS671/(SUM(AS671:AS672))</f>
        <v>0.53879857027556788</v>
      </c>
      <c r="AT675" s="21">
        <f t="shared" si="2217"/>
        <v>0.54024073637007319</v>
      </c>
      <c r="AU675" s="21">
        <f t="shared" si="2217"/>
        <v>0.5406795884182819</v>
      </c>
      <c r="AV675" s="21">
        <f t="shared" ref="AV675:AZ675" si="2218">AV671/(SUM(AV671:AV672))</f>
        <v>0.5406795884182819</v>
      </c>
      <c r="AW675" s="21">
        <f t="shared" si="2218"/>
        <v>0.53985951611104921</v>
      </c>
      <c r="AX675" s="21">
        <f t="shared" si="2218"/>
        <v>0.54210526315789476</v>
      </c>
      <c r="AY675" s="21">
        <f t="shared" si="2218"/>
        <v>0.53661800486618005</v>
      </c>
      <c r="AZ675" s="21">
        <f t="shared" si="2218"/>
        <v>0.53712681806583318</v>
      </c>
      <c r="BA675" s="21">
        <f t="shared" ref="BA675:BR675" si="2219">BA671/(SUM(BA671:BA672))</f>
        <v>0.53712681806583307</v>
      </c>
      <c r="BB675" s="21">
        <f t="shared" si="2219"/>
        <v>0.53760330578512394</v>
      </c>
      <c r="BC675" s="21">
        <f t="shared" si="2219"/>
        <v>0.53812734082397007</v>
      </c>
      <c r="BD675" s="21">
        <f t="shared" si="2219"/>
        <v>0.53870121351262701</v>
      </c>
      <c r="BE675" s="21">
        <f t="shared" si="2219"/>
        <v>0.5393258426966292</v>
      </c>
      <c r="BF675" s="21">
        <f t="shared" si="2219"/>
        <v>0.5393258426966292</v>
      </c>
      <c r="BG675" s="21">
        <f t="shared" si="2219"/>
        <v>0.53976712058417209</v>
      </c>
      <c r="BH675" s="21">
        <f t="shared" si="2219"/>
        <v>0.54021244309559935</v>
      </c>
      <c r="BI675" s="21">
        <f t="shared" si="2219"/>
        <v>0.54092441020702942</v>
      </c>
      <c r="BJ675" s="21">
        <f t="shared" si="2219"/>
        <v>0.54122407688416796</v>
      </c>
      <c r="BK675" s="21">
        <f t="shared" si="2219"/>
        <v>0.54122407688416796</v>
      </c>
      <c r="BL675" s="21">
        <f t="shared" si="2219"/>
        <v>0.5423381189569294</v>
      </c>
      <c r="BM675" s="21">
        <f t="shared" si="2219"/>
        <v>0.54383513796716731</v>
      </c>
      <c r="BN675" s="21">
        <f t="shared" si="2219"/>
        <v>0.54580981328701694</v>
      </c>
      <c r="BO675" s="21">
        <f t="shared" si="2219"/>
        <v>0.54875937680323139</v>
      </c>
      <c r="BP675" s="21">
        <f t="shared" si="2219"/>
        <v>0.54875937680323139</v>
      </c>
      <c r="BQ675" s="21">
        <f t="shared" si="2219"/>
        <v>0.5542064180398959</v>
      </c>
      <c r="BR675" s="21">
        <f t="shared" si="2219"/>
        <v>0.57473309608540923</v>
      </c>
      <c r="BS675" s="21"/>
      <c r="BT675" s="89"/>
      <c r="BU675" s="89"/>
    </row>
    <row r="676" spans="1:78">
      <c r="A676" s="1" t="s">
        <v>216</v>
      </c>
      <c r="J676" s="104">
        <f t="shared" ref="J676:AO676" si="2220">1-J675</f>
        <v>0.41759388038942968</v>
      </c>
      <c r="K676" s="104">
        <f t="shared" si="2220"/>
        <v>0.50036755697133062</v>
      </c>
      <c r="L676" s="104">
        <f t="shared" si="2220"/>
        <v>0.41118124436429215</v>
      </c>
      <c r="M676" s="104">
        <f t="shared" si="2220"/>
        <v>0.41118124436429215</v>
      </c>
      <c r="N676" s="104">
        <f t="shared" si="2220"/>
        <v>0.43833749716102655</v>
      </c>
      <c r="O676" s="104">
        <f t="shared" si="2220"/>
        <v>0.34759541331507793</v>
      </c>
      <c r="P676" s="104">
        <f t="shared" si="2220"/>
        <v>0.36827527431554274</v>
      </c>
      <c r="Q676" s="104">
        <f t="shared" si="2220"/>
        <v>0.3855421686746987</v>
      </c>
      <c r="R676" s="104">
        <f t="shared" si="2220"/>
        <v>0.3855421686746987</v>
      </c>
      <c r="S676" s="104">
        <f t="shared" si="2220"/>
        <v>0.36903499469777301</v>
      </c>
      <c r="T676" s="104">
        <f t="shared" si="2220"/>
        <v>0.40232470941132359</v>
      </c>
      <c r="U676" s="104">
        <f t="shared" si="2220"/>
        <v>0.38536585365853659</v>
      </c>
      <c r="V676" s="104">
        <f t="shared" si="2220"/>
        <v>0.42452830188679236</v>
      </c>
      <c r="W676" s="104">
        <f t="shared" si="2220"/>
        <v>0.42452830188679236</v>
      </c>
      <c r="X676" s="104">
        <f t="shared" si="2220"/>
        <v>0.53434767798342231</v>
      </c>
      <c r="Y676" s="104">
        <f t="shared" si="2220"/>
        <v>0.54347826086956519</v>
      </c>
      <c r="Z676" s="104">
        <f t="shared" si="2220"/>
        <v>0.47402700555996824</v>
      </c>
      <c r="AA676" s="104">
        <f t="shared" si="2220"/>
        <v>0.42258422432923137</v>
      </c>
      <c r="AB676" s="104">
        <f t="shared" si="2220"/>
        <v>0.42258422432923137</v>
      </c>
      <c r="AC676" s="104">
        <f t="shared" si="2220"/>
        <v>0.4220057829858469</v>
      </c>
      <c r="AD676" s="104">
        <f t="shared" si="2220"/>
        <v>0.41999050332383669</v>
      </c>
      <c r="AE676" s="104">
        <f t="shared" si="2220"/>
        <v>0.43217646339973115</v>
      </c>
      <c r="AF676" s="104">
        <f t="shared" si="2220"/>
        <v>0.48504309616359642</v>
      </c>
      <c r="AG676" s="104">
        <f t="shared" si="2220"/>
        <v>0.48504309616359642</v>
      </c>
      <c r="AH676" s="104">
        <f t="shared" si="2220"/>
        <v>0.50134798838656169</v>
      </c>
      <c r="AI676" s="104">
        <f t="shared" si="2220"/>
        <v>0.50755357770230702</v>
      </c>
      <c r="AJ676" s="104">
        <f t="shared" si="2220"/>
        <v>0.52717948717948715</v>
      </c>
      <c r="AK676" s="104">
        <f t="shared" si="2220"/>
        <v>0.52938110749185663</v>
      </c>
      <c r="AL676" s="104">
        <f t="shared" si="2220"/>
        <v>0.52938110749185663</v>
      </c>
      <c r="AM676" s="104">
        <f t="shared" si="2220"/>
        <v>0.53708896252867699</v>
      </c>
      <c r="AN676" s="104">
        <f t="shared" si="2220"/>
        <v>0.45991847826086951</v>
      </c>
      <c r="AO676" s="104">
        <f t="shared" si="2220"/>
        <v>0.46318258829662451</v>
      </c>
      <c r="AP676" s="104">
        <f t="shared" ref="AP676:AQ676" si="2221">1-AP675</f>
        <v>0.46427629844450302</v>
      </c>
      <c r="AQ676" s="104">
        <f t="shared" si="2221"/>
        <v>0.46427629844450302</v>
      </c>
      <c r="AR676" s="104">
        <f t="shared" ref="AR676:AU676" si="2222">1-AR675</f>
        <v>0.45927018061186875</v>
      </c>
      <c r="AS676" s="104">
        <f t="shared" si="2222"/>
        <v>0.46120142972443212</v>
      </c>
      <c r="AT676" s="104">
        <f t="shared" si="2222"/>
        <v>0.45975926362992681</v>
      </c>
      <c r="AU676" s="104">
        <f t="shared" si="2222"/>
        <v>0.4593204115817181</v>
      </c>
      <c r="AV676" s="104">
        <f t="shared" ref="AV676:AZ676" si="2223">1-AV675</f>
        <v>0.4593204115817181</v>
      </c>
      <c r="AW676" s="104">
        <f t="shared" si="2223"/>
        <v>0.46014048388895079</v>
      </c>
      <c r="AX676" s="104">
        <f t="shared" si="2223"/>
        <v>0.45789473684210524</v>
      </c>
      <c r="AY676" s="104">
        <f t="shared" si="2223"/>
        <v>0.46338199513381995</v>
      </c>
      <c r="AZ676" s="104">
        <f t="shared" si="2223"/>
        <v>0.46287318193416682</v>
      </c>
      <c r="BA676" s="104">
        <f t="shared" ref="BA676:BR676" si="2224">1-BA675</f>
        <v>0.46287318193416693</v>
      </c>
      <c r="BB676" s="104">
        <f t="shared" si="2224"/>
        <v>0.46239669421487606</v>
      </c>
      <c r="BC676" s="104">
        <f t="shared" si="2224"/>
        <v>0.46187265917602993</v>
      </c>
      <c r="BD676" s="104">
        <f t="shared" si="2224"/>
        <v>0.46129878648737299</v>
      </c>
      <c r="BE676" s="104">
        <f t="shared" si="2224"/>
        <v>0.4606741573033708</v>
      </c>
      <c r="BF676" s="104">
        <f t="shared" si="2224"/>
        <v>0.4606741573033708</v>
      </c>
      <c r="BG676" s="104">
        <f t="shared" si="2224"/>
        <v>0.46023287941582791</v>
      </c>
      <c r="BH676" s="104">
        <f t="shared" si="2224"/>
        <v>0.45978755690440065</v>
      </c>
      <c r="BI676" s="104">
        <f t="shared" si="2224"/>
        <v>0.45907558979297058</v>
      </c>
      <c r="BJ676" s="104">
        <f t="shared" si="2224"/>
        <v>0.45877592311583204</v>
      </c>
      <c r="BK676" s="104">
        <f t="shared" si="2224"/>
        <v>0.45877592311583204</v>
      </c>
      <c r="BL676" s="104">
        <f t="shared" si="2224"/>
        <v>0.4576618810430706</v>
      </c>
      <c r="BM676" s="104">
        <f t="shared" si="2224"/>
        <v>0.45616486203283269</v>
      </c>
      <c r="BN676" s="104">
        <f t="shared" si="2224"/>
        <v>0.45419018671298306</v>
      </c>
      <c r="BO676" s="104">
        <f t="shared" si="2224"/>
        <v>0.45124062319676861</v>
      </c>
      <c r="BP676" s="104">
        <f t="shared" si="2224"/>
        <v>0.45124062319676861</v>
      </c>
      <c r="BQ676" s="104">
        <f t="shared" si="2224"/>
        <v>0.4457935819601041</v>
      </c>
      <c r="BR676" s="104">
        <f t="shared" si="2224"/>
        <v>0.42526690391459077</v>
      </c>
      <c r="BS676" s="104"/>
      <c r="BT676" s="104"/>
      <c r="BU676" s="104"/>
    </row>
    <row r="678" spans="1:78">
      <c r="A678" s="3" t="s">
        <v>1360</v>
      </c>
    </row>
    <row r="679" spans="1:78">
      <c r="AD679" s="98" t="s">
        <v>1366</v>
      </c>
      <c r="AE679" s="71"/>
      <c r="AF679" s="71"/>
      <c r="AG679" s="71"/>
      <c r="AH679" s="71"/>
      <c r="AI679" s="71"/>
      <c r="AJ679" s="71"/>
    </row>
    <row r="680" spans="1:78">
      <c r="A680" s="1" t="s">
        <v>1361</v>
      </c>
      <c r="J680" s="36"/>
      <c r="P680" s="36">
        <f t="shared" ref="P680:AU680" si="2225">P726</f>
        <v>60300</v>
      </c>
      <c r="Q680" s="36">
        <f t="shared" si="2225"/>
        <v>72300</v>
      </c>
      <c r="R680" s="36">
        <f t="shared" si="2225"/>
        <v>72300</v>
      </c>
      <c r="S680" s="36">
        <f t="shared" si="2225"/>
        <v>82200</v>
      </c>
      <c r="T680" s="36">
        <f t="shared" si="2225"/>
        <v>77600</v>
      </c>
      <c r="U680" s="36">
        <f t="shared" si="2225"/>
        <v>79800</v>
      </c>
      <c r="V680" s="36">
        <f t="shared" si="2225"/>
        <v>69600</v>
      </c>
      <c r="W680" s="36">
        <f t="shared" si="2225"/>
        <v>69600</v>
      </c>
      <c r="X680" s="36">
        <f t="shared" si="2225"/>
        <v>71500</v>
      </c>
      <c r="Y680" s="36">
        <f t="shared" si="2225"/>
        <v>76400</v>
      </c>
      <c r="Z680" s="36">
        <f t="shared" si="2225"/>
        <v>90000</v>
      </c>
      <c r="AA680" s="36">
        <f t="shared" si="2225"/>
        <v>120700</v>
      </c>
      <c r="AB680" s="36">
        <f t="shared" si="2225"/>
        <v>120700</v>
      </c>
      <c r="AC680" s="36">
        <f t="shared" si="2225"/>
        <v>120100</v>
      </c>
      <c r="AD680" s="36">
        <f t="shared" si="2225"/>
        <v>104600</v>
      </c>
      <c r="AE680" s="36">
        <f t="shared" si="2225"/>
        <v>101600</v>
      </c>
      <c r="AF680" s="36">
        <f t="shared" si="2225"/>
        <v>78600</v>
      </c>
      <c r="AG680" s="36">
        <f t="shared" si="2225"/>
        <v>78600</v>
      </c>
      <c r="AH680" s="36">
        <f t="shared" si="2225"/>
        <v>66300</v>
      </c>
      <c r="AI680" s="36">
        <f t="shared" si="2225"/>
        <v>60600</v>
      </c>
      <c r="AJ680" s="36">
        <f t="shared" si="2225"/>
        <v>56600</v>
      </c>
      <c r="AK680" s="36">
        <f t="shared" si="2225"/>
        <v>55900</v>
      </c>
      <c r="AL680" s="36">
        <f t="shared" si="2225"/>
        <v>55900</v>
      </c>
      <c r="AM680" s="36">
        <f t="shared" si="2225"/>
        <v>56300</v>
      </c>
      <c r="AN680" s="36">
        <f t="shared" si="2225"/>
        <v>42300</v>
      </c>
      <c r="AO680" s="36">
        <f t="shared" si="2225"/>
        <v>42200</v>
      </c>
      <c r="AP680" s="36">
        <f t="shared" si="2225"/>
        <v>39900</v>
      </c>
      <c r="AQ680" s="36">
        <f t="shared" si="2225"/>
        <v>39900</v>
      </c>
      <c r="AR680" s="36">
        <f t="shared" si="2225"/>
        <v>41800</v>
      </c>
      <c r="AS680" s="36">
        <f t="shared" si="2225"/>
        <v>43900</v>
      </c>
      <c r="AT680" s="36">
        <f t="shared" si="2225"/>
        <v>42100</v>
      </c>
      <c r="AU680" s="36">
        <f t="shared" si="2225"/>
        <v>43300</v>
      </c>
      <c r="AV680" s="36">
        <f t="shared" ref="AV680:BR680" si="2226">AV726</f>
        <v>43300</v>
      </c>
      <c r="AW680" s="36">
        <f t="shared" si="2226"/>
        <v>45600</v>
      </c>
      <c r="AX680" s="36">
        <f t="shared" si="2226"/>
        <v>50100</v>
      </c>
      <c r="AY680" s="36">
        <f t="shared" si="2226"/>
        <v>45200</v>
      </c>
      <c r="AZ680" s="36">
        <f t="shared" si="2226"/>
        <v>43310</v>
      </c>
      <c r="BA680" s="36">
        <f t="shared" si="2226"/>
        <v>43310</v>
      </c>
      <c r="BB680" s="36">
        <f t="shared" si="2226"/>
        <v>40045</v>
      </c>
      <c r="BC680" s="36">
        <f t="shared" si="2226"/>
        <v>36785</v>
      </c>
      <c r="BD680" s="36">
        <f t="shared" si="2226"/>
        <v>33535</v>
      </c>
      <c r="BE680" s="36">
        <f t="shared" si="2226"/>
        <v>30300</v>
      </c>
      <c r="BF680" s="36">
        <f t="shared" si="2226"/>
        <v>30300</v>
      </c>
      <c r="BG680" s="36">
        <f t="shared" si="2226"/>
        <v>27780</v>
      </c>
      <c r="BH680" s="36">
        <f t="shared" si="2226"/>
        <v>25220</v>
      </c>
      <c r="BI680" s="36">
        <f t="shared" si="2226"/>
        <v>22615</v>
      </c>
      <c r="BJ680" s="36">
        <f t="shared" si="2226"/>
        <v>19960</v>
      </c>
      <c r="BK680" s="36">
        <f t="shared" si="2226"/>
        <v>19960</v>
      </c>
      <c r="BL680" s="36">
        <f t="shared" si="2226"/>
        <v>17255</v>
      </c>
      <c r="BM680" s="36">
        <f t="shared" si="2226"/>
        <v>14505</v>
      </c>
      <c r="BN680" s="36">
        <f t="shared" si="2226"/>
        <v>11705</v>
      </c>
      <c r="BO680" s="36">
        <f t="shared" si="2226"/>
        <v>8855</v>
      </c>
      <c r="BP680" s="36">
        <f t="shared" si="2226"/>
        <v>8855</v>
      </c>
      <c r="BQ680" s="36">
        <f t="shared" si="2226"/>
        <v>5955</v>
      </c>
      <c r="BR680" s="36">
        <f t="shared" si="2226"/>
        <v>3000</v>
      </c>
      <c r="BS680" s="36"/>
      <c r="BT680" s="36"/>
      <c r="BU680" s="36"/>
      <c r="BV680" s="36"/>
      <c r="BW680" s="36"/>
      <c r="BX680" s="36"/>
      <c r="BY680" s="36"/>
      <c r="BZ680" s="36"/>
    </row>
    <row r="681" spans="1:78">
      <c r="A681" s="1" t="s">
        <v>1364</v>
      </c>
      <c r="J681" s="36"/>
      <c r="P681" s="36">
        <f t="shared" ref="P681:AC681" si="2227">-P232</f>
        <v>-34160</v>
      </c>
      <c r="Q681" s="36">
        <f t="shared" si="2227"/>
        <v>-37275</v>
      </c>
      <c r="R681" s="36">
        <f t="shared" si="2227"/>
        <v>-37275</v>
      </c>
      <c r="S681" s="36">
        <f t="shared" si="2227"/>
        <v>-41470</v>
      </c>
      <c r="T681" s="36">
        <f t="shared" si="2227"/>
        <v>-42375</v>
      </c>
      <c r="U681" s="36">
        <f t="shared" si="2227"/>
        <v>-43715</v>
      </c>
      <c r="V681" s="36">
        <f t="shared" si="2227"/>
        <v>-42125</v>
      </c>
      <c r="W681" s="36">
        <f t="shared" si="2227"/>
        <v>-42125</v>
      </c>
      <c r="X681" s="36">
        <f t="shared" si="2227"/>
        <v>-48575</v>
      </c>
      <c r="Y681" s="36">
        <f t="shared" si="2227"/>
        <v>-49575</v>
      </c>
      <c r="Z681" s="36">
        <f t="shared" si="2227"/>
        <v>-52715</v>
      </c>
      <c r="AA681" s="36">
        <f t="shared" si="2227"/>
        <v>-59630</v>
      </c>
      <c r="AB681" s="36">
        <f t="shared" si="2227"/>
        <v>-59630</v>
      </c>
      <c r="AC681" s="36">
        <f t="shared" si="2227"/>
        <v>-58330</v>
      </c>
      <c r="AD681" s="107">
        <f t="shared" ref="AD681:BR681" si="2228">AD268</f>
        <v>-50835</v>
      </c>
      <c r="AE681" s="59">
        <f t="shared" si="2228"/>
        <v>-50460</v>
      </c>
      <c r="AF681" s="59">
        <f t="shared" si="2228"/>
        <v>-43220</v>
      </c>
      <c r="AG681" s="59">
        <f t="shared" si="2228"/>
        <v>-43220</v>
      </c>
      <c r="AH681" s="59">
        <f t="shared" si="2228"/>
        <v>-38135</v>
      </c>
      <c r="AI681" s="59">
        <f t="shared" si="2228"/>
        <v>-35400</v>
      </c>
      <c r="AJ681" s="59">
        <f t="shared" si="2228"/>
        <v>-33820</v>
      </c>
      <c r="AK681" s="59">
        <f t="shared" si="2228"/>
        <v>-33480</v>
      </c>
      <c r="AL681" s="59">
        <f t="shared" si="2228"/>
        <v>-33480</v>
      </c>
      <c r="AM681" s="59">
        <f t="shared" si="2228"/>
        <v>-33070</v>
      </c>
      <c r="AN681" s="59">
        <f t="shared" si="2228"/>
        <v>-33425</v>
      </c>
      <c r="AO681" s="59">
        <f t="shared" si="2228"/>
        <v>-32770</v>
      </c>
      <c r="AP681" s="59">
        <f t="shared" si="2228"/>
        <v>-30910</v>
      </c>
      <c r="AQ681" s="59">
        <f t="shared" si="2228"/>
        <v>-30910</v>
      </c>
      <c r="AR681" s="59">
        <f t="shared" si="2228"/>
        <v>-31290</v>
      </c>
      <c r="AS681" s="59">
        <f t="shared" si="2228"/>
        <v>-28100</v>
      </c>
      <c r="AT681" s="59">
        <f t="shared" si="2228"/>
        <v>-26880</v>
      </c>
      <c r="AU681" s="59">
        <f t="shared" si="2228"/>
        <v>-24395</v>
      </c>
      <c r="AV681" s="59">
        <f t="shared" si="2228"/>
        <v>-24395</v>
      </c>
      <c r="AW681" s="59">
        <f t="shared" si="2228"/>
        <v>-25135</v>
      </c>
      <c r="AX681" s="59">
        <f t="shared" ref="AX681:AY681" si="2229">AX268</f>
        <v>-25380</v>
      </c>
      <c r="AY681" s="59">
        <f t="shared" si="2229"/>
        <v>-23145</v>
      </c>
      <c r="AZ681" s="59">
        <f t="shared" si="2228"/>
        <v>-22260</v>
      </c>
      <c r="BA681" s="59">
        <f t="shared" si="2228"/>
        <v>-22260</v>
      </c>
      <c r="BB681" s="59">
        <f t="shared" si="2228"/>
        <v>-20530</v>
      </c>
      <c r="BC681" s="59">
        <f t="shared" si="2228"/>
        <v>-18825</v>
      </c>
      <c r="BD681" s="59">
        <f t="shared" si="2228"/>
        <v>-17110</v>
      </c>
      <c r="BE681" s="59">
        <f t="shared" si="2228"/>
        <v>-15420</v>
      </c>
      <c r="BF681" s="59">
        <f t="shared" si="2228"/>
        <v>-15420</v>
      </c>
      <c r="BG681" s="59">
        <f t="shared" si="2228"/>
        <v>-14105</v>
      </c>
      <c r="BH681" s="59">
        <f t="shared" si="2228"/>
        <v>-12760</v>
      </c>
      <c r="BI681" s="59">
        <f t="shared" si="2228"/>
        <v>-11380</v>
      </c>
      <c r="BJ681" s="59">
        <f t="shared" si="2228"/>
        <v>-9260</v>
      </c>
      <c r="BK681" s="59">
        <f t="shared" si="2228"/>
        <v>-9260</v>
      </c>
      <c r="BL681" s="59">
        <f t="shared" si="2228"/>
        <v>-8000</v>
      </c>
      <c r="BM681" s="59">
        <f t="shared" si="2228"/>
        <v>-6720</v>
      </c>
      <c r="BN681" s="59">
        <f t="shared" si="2228"/>
        <v>-5420</v>
      </c>
      <c r="BO681" s="59">
        <f t="shared" si="2228"/>
        <v>-4100</v>
      </c>
      <c r="BP681" s="59">
        <f t="shared" si="2228"/>
        <v>-4100</v>
      </c>
      <c r="BQ681" s="59">
        <f t="shared" si="2228"/>
        <v>-2760</v>
      </c>
      <c r="BR681" s="59">
        <f t="shared" si="2228"/>
        <v>-1385</v>
      </c>
      <c r="BS681" s="59"/>
      <c r="BT681" s="59"/>
      <c r="BU681" s="59"/>
      <c r="BV681" s="59"/>
      <c r="BW681" s="59"/>
      <c r="BX681" s="36"/>
      <c r="BY681" s="36"/>
      <c r="BZ681" s="36"/>
    </row>
    <row r="682" spans="1:78">
      <c r="A682" s="1" t="s">
        <v>1362</v>
      </c>
      <c r="J682" s="36"/>
      <c r="P682" s="36">
        <f t="shared" ref="P682:AU682" si="2230">-MROUND(P754, 5)</f>
        <v>-5670</v>
      </c>
      <c r="Q682" s="36">
        <f t="shared" si="2230"/>
        <v>-330</v>
      </c>
      <c r="R682" s="36">
        <f t="shared" si="2230"/>
        <v>-330</v>
      </c>
      <c r="S682" s="36">
        <f t="shared" si="2230"/>
        <v>-1180</v>
      </c>
      <c r="T682" s="36">
        <f t="shared" si="2230"/>
        <v>-5785</v>
      </c>
      <c r="U682" s="36">
        <f t="shared" si="2230"/>
        <v>-6585</v>
      </c>
      <c r="V682" s="36">
        <f t="shared" si="2230"/>
        <v>-5345</v>
      </c>
      <c r="W682" s="36">
        <f t="shared" si="2230"/>
        <v>-5345</v>
      </c>
      <c r="X682" s="36">
        <f t="shared" si="2230"/>
        <v>-1475</v>
      </c>
      <c r="Y682" s="36">
        <f t="shared" si="2230"/>
        <v>-1480</v>
      </c>
      <c r="Z682" s="36">
        <f t="shared" si="2230"/>
        <v>-2515</v>
      </c>
      <c r="AA682" s="36">
        <f t="shared" si="2230"/>
        <v>-4015</v>
      </c>
      <c r="AB682" s="36">
        <f t="shared" si="2230"/>
        <v>-4015</v>
      </c>
      <c r="AC682" s="36">
        <f t="shared" si="2230"/>
        <v>-4015</v>
      </c>
      <c r="AD682" s="36">
        <f t="shared" si="2230"/>
        <v>-6390</v>
      </c>
      <c r="AE682" s="36">
        <f t="shared" si="2230"/>
        <v>-5785</v>
      </c>
      <c r="AF682" s="36">
        <f t="shared" si="2230"/>
        <v>-2750</v>
      </c>
      <c r="AG682" s="36">
        <f t="shared" si="2230"/>
        <v>-2750</v>
      </c>
      <c r="AH682" s="36">
        <f t="shared" si="2230"/>
        <v>-4465</v>
      </c>
      <c r="AI682" s="36">
        <f t="shared" si="2230"/>
        <v>-4460</v>
      </c>
      <c r="AJ682" s="36">
        <f t="shared" si="2230"/>
        <v>-4180</v>
      </c>
      <c r="AK682" s="36">
        <f t="shared" si="2230"/>
        <v>-4140</v>
      </c>
      <c r="AL682" s="36">
        <f t="shared" si="2230"/>
        <v>-4140</v>
      </c>
      <c r="AM682" s="36">
        <f t="shared" si="2230"/>
        <v>-4075</v>
      </c>
      <c r="AN682" s="36">
        <f t="shared" si="2230"/>
        <v>0</v>
      </c>
      <c r="AO682" s="36">
        <f t="shared" si="2230"/>
        <v>0</v>
      </c>
      <c r="AP682" s="36">
        <f t="shared" si="2230"/>
        <v>0</v>
      </c>
      <c r="AQ682" s="36">
        <f t="shared" si="2230"/>
        <v>0</v>
      </c>
      <c r="AR682" s="36">
        <f t="shared" si="2230"/>
        <v>0</v>
      </c>
      <c r="AS682" s="36">
        <f t="shared" si="2230"/>
        <v>0</v>
      </c>
      <c r="AT682" s="36">
        <f t="shared" si="2230"/>
        <v>0</v>
      </c>
      <c r="AU682" s="36">
        <f t="shared" si="2230"/>
        <v>0</v>
      </c>
      <c r="AV682" s="36">
        <f t="shared" ref="AV682:BR682" si="2231">-MROUND(AV754, 5)</f>
        <v>0</v>
      </c>
      <c r="AW682" s="36">
        <f t="shared" si="2231"/>
        <v>0</v>
      </c>
      <c r="AX682" s="36">
        <f t="shared" si="2231"/>
        <v>0</v>
      </c>
      <c r="AY682" s="36">
        <f t="shared" si="2231"/>
        <v>0</v>
      </c>
      <c r="AZ682" s="36">
        <f t="shared" si="2231"/>
        <v>0</v>
      </c>
      <c r="BA682" s="36">
        <f t="shared" si="2231"/>
        <v>0</v>
      </c>
      <c r="BB682" s="36">
        <f t="shared" si="2231"/>
        <v>0</v>
      </c>
      <c r="BC682" s="36">
        <f t="shared" si="2231"/>
        <v>0</v>
      </c>
      <c r="BD682" s="36">
        <f t="shared" si="2231"/>
        <v>0</v>
      </c>
      <c r="BE682" s="36">
        <f t="shared" si="2231"/>
        <v>0</v>
      </c>
      <c r="BF682" s="36">
        <f t="shared" si="2231"/>
        <v>0</v>
      </c>
      <c r="BG682" s="36">
        <f t="shared" si="2231"/>
        <v>0</v>
      </c>
      <c r="BH682" s="36">
        <f t="shared" si="2231"/>
        <v>0</v>
      </c>
      <c r="BI682" s="36">
        <f t="shared" si="2231"/>
        <v>0</v>
      </c>
      <c r="BJ682" s="36">
        <f t="shared" si="2231"/>
        <v>0</v>
      </c>
      <c r="BK682" s="36">
        <f t="shared" si="2231"/>
        <v>0</v>
      </c>
      <c r="BL682" s="36">
        <f t="shared" si="2231"/>
        <v>0</v>
      </c>
      <c r="BM682" s="36">
        <f t="shared" si="2231"/>
        <v>0</v>
      </c>
      <c r="BN682" s="36">
        <f t="shared" si="2231"/>
        <v>0</v>
      </c>
      <c r="BO682" s="36">
        <f t="shared" si="2231"/>
        <v>0</v>
      </c>
      <c r="BP682" s="36">
        <f t="shared" si="2231"/>
        <v>0</v>
      </c>
      <c r="BQ682" s="36">
        <f t="shared" si="2231"/>
        <v>0</v>
      </c>
      <c r="BR682" s="36">
        <f t="shared" si="2231"/>
        <v>0</v>
      </c>
      <c r="BS682" s="36"/>
      <c r="BT682" s="36"/>
      <c r="BU682" s="36"/>
      <c r="BV682" s="36"/>
      <c r="BW682" s="36"/>
      <c r="BX682" s="36"/>
      <c r="BY682" s="36"/>
      <c r="BZ682" s="36"/>
    </row>
    <row r="683" spans="1:78">
      <c r="A683" s="9" t="s">
        <v>1363</v>
      </c>
      <c r="B683" s="9"/>
      <c r="C683" s="9"/>
      <c r="D683" s="9"/>
      <c r="E683" s="9"/>
      <c r="F683" s="9"/>
      <c r="G683" s="9"/>
      <c r="H683" s="9"/>
      <c r="I683" s="9"/>
      <c r="J683" s="39"/>
      <c r="K683" s="9"/>
      <c r="L683" s="9"/>
      <c r="M683" s="9"/>
      <c r="N683" s="9"/>
      <c r="O683" s="9"/>
      <c r="P683" s="39">
        <f t="shared" ref="P683:AU683" si="2232">SUM(P680:P682)</f>
        <v>20470</v>
      </c>
      <c r="Q683" s="39">
        <f t="shared" si="2232"/>
        <v>34695</v>
      </c>
      <c r="R683" s="39">
        <f t="shared" si="2232"/>
        <v>34695</v>
      </c>
      <c r="S683" s="39">
        <f t="shared" si="2232"/>
        <v>39550</v>
      </c>
      <c r="T683" s="39">
        <f t="shared" si="2232"/>
        <v>29440</v>
      </c>
      <c r="U683" s="39">
        <f t="shared" si="2232"/>
        <v>29500</v>
      </c>
      <c r="V683" s="39">
        <f t="shared" si="2232"/>
        <v>22130</v>
      </c>
      <c r="W683" s="39">
        <f t="shared" si="2232"/>
        <v>22130</v>
      </c>
      <c r="X683" s="39">
        <f t="shared" si="2232"/>
        <v>21450</v>
      </c>
      <c r="Y683" s="39">
        <f t="shared" si="2232"/>
        <v>25345</v>
      </c>
      <c r="Z683" s="39">
        <f t="shared" si="2232"/>
        <v>34770</v>
      </c>
      <c r="AA683" s="39">
        <f t="shared" si="2232"/>
        <v>57055</v>
      </c>
      <c r="AB683" s="39">
        <f t="shared" si="2232"/>
        <v>57055</v>
      </c>
      <c r="AC683" s="39">
        <f t="shared" si="2232"/>
        <v>57755</v>
      </c>
      <c r="AD683" s="39">
        <f t="shared" si="2232"/>
        <v>47375</v>
      </c>
      <c r="AE683" s="39">
        <f t="shared" si="2232"/>
        <v>45355</v>
      </c>
      <c r="AF683" s="39">
        <f t="shared" si="2232"/>
        <v>32630</v>
      </c>
      <c r="AG683" s="39">
        <f t="shared" si="2232"/>
        <v>32630</v>
      </c>
      <c r="AH683" s="39">
        <f t="shared" si="2232"/>
        <v>23700</v>
      </c>
      <c r="AI683" s="39">
        <f t="shared" si="2232"/>
        <v>20740</v>
      </c>
      <c r="AJ683" s="39">
        <f t="shared" si="2232"/>
        <v>18600</v>
      </c>
      <c r="AK683" s="39">
        <f t="shared" si="2232"/>
        <v>18280</v>
      </c>
      <c r="AL683" s="39">
        <f t="shared" si="2232"/>
        <v>18280</v>
      </c>
      <c r="AM683" s="39">
        <f t="shared" si="2232"/>
        <v>19155</v>
      </c>
      <c r="AN683" s="39">
        <f t="shared" si="2232"/>
        <v>8875</v>
      </c>
      <c r="AO683" s="39">
        <f t="shared" si="2232"/>
        <v>9430</v>
      </c>
      <c r="AP683" s="39">
        <f t="shared" si="2232"/>
        <v>8990</v>
      </c>
      <c r="AQ683" s="39">
        <f t="shared" si="2232"/>
        <v>8990</v>
      </c>
      <c r="AR683" s="39">
        <f>SUM(AR680:AR682)</f>
        <v>10510</v>
      </c>
      <c r="AS683" s="39">
        <f t="shared" si="2232"/>
        <v>15800</v>
      </c>
      <c r="AT683" s="39">
        <f t="shared" si="2232"/>
        <v>15220</v>
      </c>
      <c r="AU683" s="39">
        <f t="shared" si="2232"/>
        <v>18905</v>
      </c>
      <c r="AV683" s="39">
        <f t="shared" ref="AV683:BR683" si="2233">SUM(AV680:AV682)</f>
        <v>18905</v>
      </c>
      <c r="AW683" s="39">
        <f t="shared" si="2233"/>
        <v>20465</v>
      </c>
      <c r="AX683" s="39">
        <f t="shared" ref="AX683:AY683" si="2234">SUM(AX680:AX682)</f>
        <v>24720</v>
      </c>
      <c r="AY683" s="39">
        <f t="shared" si="2234"/>
        <v>22055</v>
      </c>
      <c r="AZ683" s="39">
        <f t="shared" si="2233"/>
        <v>21050</v>
      </c>
      <c r="BA683" s="39">
        <f t="shared" si="2233"/>
        <v>21050</v>
      </c>
      <c r="BB683" s="39">
        <f t="shared" si="2233"/>
        <v>19515</v>
      </c>
      <c r="BC683" s="39">
        <f t="shared" si="2233"/>
        <v>17960</v>
      </c>
      <c r="BD683" s="39">
        <f t="shared" si="2233"/>
        <v>16425</v>
      </c>
      <c r="BE683" s="39">
        <f t="shared" si="2233"/>
        <v>14880</v>
      </c>
      <c r="BF683" s="39">
        <f t="shared" si="2233"/>
        <v>14880</v>
      </c>
      <c r="BG683" s="39">
        <f t="shared" si="2233"/>
        <v>13675</v>
      </c>
      <c r="BH683" s="39">
        <f t="shared" si="2233"/>
        <v>12460</v>
      </c>
      <c r="BI683" s="39">
        <f t="shared" si="2233"/>
        <v>11235</v>
      </c>
      <c r="BJ683" s="39">
        <f t="shared" si="2233"/>
        <v>10700</v>
      </c>
      <c r="BK683" s="39">
        <f t="shared" si="2233"/>
        <v>10700</v>
      </c>
      <c r="BL683" s="39">
        <f t="shared" si="2233"/>
        <v>9255</v>
      </c>
      <c r="BM683" s="39">
        <f t="shared" si="2233"/>
        <v>7785</v>
      </c>
      <c r="BN683" s="39">
        <f t="shared" si="2233"/>
        <v>6285</v>
      </c>
      <c r="BO683" s="39">
        <f t="shared" si="2233"/>
        <v>4755</v>
      </c>
      <c r="BP683" s="39">
        <f t="shared" si="2233"/>
        <v>4755</v>
      </c>
      <c r="BQ683" s="39">
        <f t="shared" si="2233"/>
        <v>3195</v>
      </c>
      <c r="BR683" s="39">
        <f t="shared" si="2233"/>
        <v>1615</v>
      </c>
      <c r="BS683" s="39"/>
      <c r="BT683" s="39"/>
      <c r="BU683" s="39"/>
      <c r="BV683" s="39"/>
      <c r="BW683" s="39"/>
      <c r="BX683" s="39"/>
      <c r="BY683" s="39"/>
      <c r="BZ683" s="39"/>
    </row>
    <row r="684" spans="1:78">
      <c r="AN684" s="42"/>
    </row>
    <row r="685" spans="1:78">
      <c r="A685" s="1" t="s">
        <v>1367</v>
      </c>
      <c r="AN685" s="651">
        <f t="shared" ref="AN685:BR685" si="2235">AN576</f>
        <v>11000</v>
      </c>
      <c r="AO685" s="36">
        <f t="shared" si="2235"/>
        <v>11165</v>
      </c>
      <c r="AP685" s="36">
        <f t="shared" ref="AP685" si="2236">AP576</f>
        <v>11330</v>
      </c>
      <c r="AQ685" s="36">
        <f t="shared" ref="AQ685" si="2237">AQ576</f>
        <v>11330</v>
      </c>
      <c r="AR685" s="36">
        <f t="shared" si="2235"/>
        <v>11495</v>
      </c>
      <c r="AS685" s="36">
        <f t="shared" si="2235"/>
        <v>7565</v>
      </c>
      <c r="AT685" s="36">
        <f t="shared" si="2235"/>
        <v>7670</v>
      </c>
      <c r="AU685" s="36">
        <f t="shared" si="2235"/>
        <v>3690</v>
      </c>
      <c r="AV685" s="36">
        <f t="shared" si="2235"/>
        <v>3690</v>
      </c>
      <c r="AW685" s="36">
        <f t="shared" ref="AW685:AY685" si="2238">AW576</f>
        <v>3745</v>
      </c>
      <c r="AX685" s="36">
        <f t="shared" si="2238"/>
        <v>0</v>
      </c>
      <c r="AY685" s="36">
        <f t="shared" si="2238"/>
        <v>0</v>
      </c>
      <c r="AZ685" s="36">
        <f t="shared" si="2235"/>
        <v>0</v>
      </c>
      <c r="BA685" s="36">
        <f t="shared" si="2235"/>
        <v>0</v>
      </c>
      <c r="BB685" s="36">
        <f t="shared" si="2235"/>
        <v>0</v>
      </c>
      <c r="BC685" s="36">
        <f t="shared" si="2235"/>
        <v>0</v>
      </c>
      <c r="BD685" s="36">
        <f t="shared" si="2235"/>
        <v>0</v>
      </c>
      <c r="BE685" s="36">
        <f t="shared" si="2235"/>
        <v>0</v>
      </c>
      <c r="BF685" s="36">
        <f t="shared" si="2235"/>
        <v>0</v>
      </c>
      <c r="BG685" s="36">
        <f t="shared" si="2235"/>
        <v>0</v>
      </c>
      <c r="BH685" s="36">
        <f t="shared" si="2235"/>
        <v>0</v>
      </c>
      <c r="BI685" s="36">
        <f t="shared" si="2235"/>
        <v>0</v>
      </c>
      <c r="BJ685" s="36">
        <f t="shared" si="2235"/>
        <v>0</v>
      </c>
      <c r="BK685" s="36">
        <f t="shared" si="2235"/>
        <v>0</v>
      </c>
      <c r="BL685" s="36">
        <f t="shared" si="2235"/>
        <v>0</v>
      </c>
      <c r="BM685" s="36">
        <f t="shared" si="2235"/>
        <v>0</v>
      </c>
      <c r="BN685" s="36">
        <f t="shared" si="2235"/>
        <v>0</v>
      </c>
      <c r="BO685" s="36">
        <f t="shared" si="2235"/>
        <v>0</v>
      </c>
      <c r="BP685" s="36">
        <f t="shared" si="2235"/>
        <v>0</v>
      </c>
      <c r="BQ685" s="36">
        <f t="shared" si="2235"/>
        <v>0</v>
      </c>
      <c r="BR685" s="36">
        <f t="shared" si="2235"/>
        <v>0</v>
      </c>
      <c r="BS685" s="36"/>
      <c r="BT685" s="36"/>
      <c r="BU685" s="36"/>
      <c r="BV685" s="36"/>
      <c r="BW685" s="36"/>
    </row>
    <row r="686" spans="1:78">
      <c r="A686" s="1" t="s">
        <v>276</v>
      </c>
      <c r="P686" s="36">
        <f t="shared" ref="P686:AM686" si="2239">P687-P683</f>
        <v>3855</v>
      </c>
      <c r="Q686" s="36">
        <f t="shared" si="2239"/>
        <v>-6315</v>
      </c>
      <c r="R686" s="36">
        <f t="shared" si="2239"/>
        <v>-6315</v>
      </c>
      <c r="S686" s="36">
        <f t="shared" si="2239"/>
        <v>-7545</v>
      </c>
      <c r="T686" s="36">
        <f t="shared" si="2239"/>
        <v>-65</v>
      </c>
      <c r="U686" s="36">
        <f t="shared" si="2239"/>
        <v>-750</v>
      </c>
      <c r="V686" s="36">
        <f t="shared" si="2239"/>
        <v>1850</v>
      </c>
      <c r="W686" s="36">
        <f t="shared" si="2239"/>
        <v>1850</v>
      </c>
      <c r="X686" s="36">
        <f t="shared" si="2239"/>
        <v>3980</v>
      </c>
      <c r="Y686" s="36">
        <f t="shared" si="2239"/>
        <v>1595</v>
      </c>
      <c r="Z686" s="36">
        <f t="shared" si="2239"/>
        <v>6100</v>
      </c>
      <c r="AA686" s="36">
        <f t="shared" si="2239"/>
        <v>-1055</v>
      </c>
      <c r="AB686" s="36">
        <f t="shared" si="2239"/>
        <v>-1055</v>
      </c>
      <c r="AC686" s="36">
        <f t="shared" si="2239"/>
        <v>-1775</v>
      </c>
      <c r="AD686" s="36">
        <f t="shared" si="2239"/>
        <v>-1630</v>
      </c>
      <c r="AE686" s="36">
        <f t="shared" si="2239"/>
        <v>-230</v>
      </c>
      <c r="AF686" s="36">
        <f t="shared" si="2239"/>
        <v>-30</v>
      </c>
      <c r="AG686" s="36">
        <f t="shared" si="2239"/>
        <v>-30</v>
      </c>
      <c r="AH686" s="36">
        <f t="shared" si="2239"/>
        <v>1250</v>
      </c>
      <c r="AI686" s="36">
        <f t="shared" si="2239"/>
        <v>1840</v>
      </c>
      <c r="AJ686" s="36">
        <f t="shared" si="2239"/>
        <v>2425</v>
      </c>
      <c r="AK686" s="36">
        <f t="shared" si="2239"/>
        <v>2690</v>
      </c>
      <c r="AL686" s="36">
        <f t="shared" si="2239"/>
        <v>2690</v>
      </c>
      <c r="AM686" s="36">
        <f t="shared" si="2239"/>
        <v>1745</v>
      </c>
      <c r="AN686" s="36">
        <f>AN687-(AN683+AN685)</f>
        <v>2120</v>
      </c>
      <c r="AO686" s="36">
        <f>AO687-(AO683+AO685)</f>
        <v>2320</v>
      </c>
      <c r="AP686" s="36">
        <f>AP687-(AP683+AP685)</f>
        <v>2400</v>
      </c>
      <c r="AQ686" s="36">
        <f>AQ687-(AQ683+AQ685)</f>
        <v>2400</v>
      </c>
      <c r="AR686" s="36">
        <f t="shared" ref="AR686:AT686" si="2240">AR687-(AR683+AR685)</f>
        <v>2085</v>
      </c>
      <c r="AS686" s="36">
        <f t="shared" si="2240"/>
        <v>2210</v>
      </c>
      <c r="AT686" s="36">
        <f t="shared" si="2240"/>
        <v>2080</v>
      </c>
      <c r="AU686" s="36">
        <f>AU687-(AU683+AU685)</f>
        <v>2015</v>
      </c>
      <c r="AV686" s="36">
        <f>AV687-(AV683+AV685)</f>
        <v>2015</v>
      </c>
      <c r="AW686" s="36">
        <f t="shared" ref="AW686:AY686" si="2241">AW687-(AW683+AW685)</f>
        <v>2030</v>
      </c>
      <c r="AX686" s="36">
        <f t="shared" si="2241"/>
        <v>1880</v>
      </c>
      <c r="AY686" s="36">
        <f t="shared" si="2241"/>
        <v>2155</v>
      </c>
      <c r="AZ686" s="56">
        <f>MROUND(AY686*0.975, 5)</f>
        <v>2100</v>
      </c>
      <c r="BA686" s="56">
        <f t="shared" ref="BA686:BR686" si="2242">MROUND(AZ686*0.975, 5)</f>
        <v>2050</v>
      </c>
      <c r="BB686" s="56">
        <f t="shared" si="2242"/>
        <v>2000</v>
      </c>
      <c r="BC686" s="56">
        <f t="shared" si="2242"/>
        <v>1950</v>
      </c>
      <c r="BD686" s="56">
        <f t="shared" si="2242"/>
        <v>1900</v>
      </c>
      <c r="BE686" s="56">
        <f t="shared" si="2242"/>
        <v>1855</v>
      </c>
      <c r="BF686" s="56">
        <f t="shared" si="2242"/>
        <v>1810</v>
      </c>
      <c r="BG686" s="56">
        <f t="shared" si="2242"/>
        <v>1765</v>
      </c>
      <c r="BH686" s="56">
        <f t="shared" si="2242"/>
        <v>1720</v>
      </c>
      <c r="BI686" s="56">
        <f t="shared" si="2242"/>
        <v>1675</v>
      </c>
      <c r="BJ686" s="56">
        <f t="shared" si="2242"/>
        <v>1635</v>
      </c>
      <c r="BK686" s="56">
        <f t="shared" si="2242"/>
        <v>1595</v>
      </c>
      <c r="BL686" s="56">
        <f t="shared" si="2242"/>
        <v>1555</v>
      </c>
      <c r="BM686" s="56">
        <f t="shared" si="2242"/>
        <v>1515</v>
      </c>
      <c r="BN686" s="56">
        <f t="shared" si="2242"/>
        <v>1475</v>
      </c>
      <c r="BO686" s="56">
        <f t="shared" si="2242"/>
        <v>1440</v>
      </c>
      <c r="BP686" s="56">
        <f t="shared" si="2242"/>
        <v>1405</v>
      </c>
      <c r="BQ686" s="56">
        <f t="shared" si="2242"/>
        <v>1370</v>
      </c>
      <c r="BR686" s="56">
        <f t="shared" si="2242"/>
        <v>1335</v>
      </c>
      <c r="BS686" s="56"/>
      <c r="BT686" s="56"/>
      <c r="BU686" s="56"/>
      <c r="BV686" s="56"/>
      <c r="BW686" s="56"/>
      <c r="BX686" s="56"/>
      <c r="BY686" s="56"/>
      <c r="BZ686" s="56"/>
    </row>
    <row r="687" spans="1:78">
      <c r="A687" s="358" t="s">
        <v>2180</v>
      </c>
      <c r="B687" s="358"/>
      <c r="C687" s="358"/>
      <c r="D687" s="358"/>
      <c r="E687" s="358"/>
      <c r="F687" s="358"/>
      <c r="G687" s="358"/>
      <c r="H687" s="358"/>
      <c r="I687" s="358"/>
      <c r="J687" s="358"/>
      <c r="K687" s="358"/>
      <c r="L687" s="358"/>
      <c r="M687" s="358"/>
      <c r="N687" s="358"/>
      <c r="O687" s="358"/>
      <c r="P687" s="359">
        <f>MROUND('Valuation &amp; SBG NAV'!AE61*1000, 5)</f>
        <v>24325</v>
      </c>
      <c r="Q687" s="359">
        <f>MROUND('Valuation &amp; SBG NAV'!AF61*1000, 5)</f>
        <v>28380</v>
      </c>
      <c r="R687" s="359">
        <f>MROUND('Valuation &amp; SBG NAV'!AG61*1000, 5)</f>
        <v>28380</v>
      </c>
      <c r="S687" s="359">
        <f>MROUND('Valuation &amp; SBG NAV'!AH61*1000, 5)</f>
        <v>32005</v>
      </c>
      <c r="T687" s="359">
        <f>MROUND('Valuation &amp; SBG NAV'!AI61*1000, 5)</f>
        <v>29375</v>
      </c>
      <c r="U687" s="359">
        <f>MROUND('Valuation &amp; SBG NAV'!AJ61*1000, 5)</f>
        <v>28750</v>
      </c>
      <c r="V687" s="359">
        <f>MROUND('Valuation &amp; SBG NAV'!AK61*1000, 5)</f>
        <v>23980</v>
      </c>
      <c r="W687" s="359">
        <f>MROUND('Valuation &amp; SBG NAV'!AL61*1000, 5)</f>
        <v>23980</v>
      </c>
      <c r="X687" s="97">
        <f>MROUND('Valuation &amp; SBG NAV'!AM56*1000, 5)</f>
        <v>25430</v>
      </c>
      <c r="Y687" s="359">
        <f>MROUND('Valuation &amp; SBG NAV'!AN56*1000, 5)</f>
        <v>26940</v>
      </c>
      <c r="Z687" s="359">
        <f>MROUND('Valuation &amp; SBG NAV'!AO56*1000, 5)</f>
        <v>40870</v>
      </c>
      <c r="AA687" s="359">
        <f>MROUND('Valuation &amp; SBG NAV'!AP56*1000, 5)</f>
        <v>56000</v>
      </c>
      <c r="AB687" s="359">
        <f>MROUND('Valuation &amp; SBG NAV'!AQ56*1000, 5)</f>
        <v>56000</v>
      </c>
      <c r="AC687" s="359">
        <f>MROUND('Valuation &amp; SBG NAV'!AR56*1000, 5)</f>
        <v>55980</v>
      </c>
      <c r="AD687" s="359">
        <f>MROUND('Valuation &amp; SBG NAV'!AS56*1000, 5)</f>
        <v>45745</v>
      </c>
      <c r="AE687" s="359">
        <f>MROUND('Valuation &amp; SBG NAV'!AT56*1000, 5)</f>
        <v>45125</v>
      </c>
      <c r="AF687" s="359">
        <f>MROUND('Valuation &amp; SBG NAV'!AU56*1000, 5)</f>
        <v>32600</v>
      </c>
      <c r="AG687" s="359">
        <f>MROUND('Valuation &amp; SBG NAV'!AV56*1000, 5)</f>
        <v>32600</v>
      </c>
      <c r="AH687" s="359">
        <f>MROUND('Valuation &amp; SBG NAV'!AW56*1000, 5)</f>
        <v>24950</v>
      </c>
      <c r="AI687" s="359">
        <f>MROUND('Valuation &amp; SBG NAV'!AX56*1000, 5)</f>
        <v>22580</v>
      </c>
      <c r="AJ687" s="359">
        <f>MROUND('Valuation &amp; SBG NAV'!AY56*1000, 5)</f>
        <v>21025</v>
      </c>
      <c r="AK687" s="359">
        <f>MROUND('Valuation &amp; SBG NAV'!AZ56*1000, 5)</f>
        <v>20970</v>
      </c>
      <c r="AL687" s="359">
        <f>MROUND('Valuation &amp; SBG NAV'!BA56*1000, 5)</f>
        <v>20970</v>
      </c>
      <c r="AM687" s="359">
        <f>MROUND('Valuation &amp; SBG NAV'!BB56*1000, 5)</f>
        <v>20900</v>
      </c>
      <c r="AN687" s="359">
        <f>MROUND('Valuation &amp; SBG NAV'!BC56*1000, 5)</f>
        <v>21995</v>
      </c>
      <c r="AO687" s="359">
        <f>MROUND('Valuation &amp; SBG NAV'!BD56*1000, 5)</f>
        <v>22915</v>
      </c>
      <c r="AP687" s="359">
        <f>MROUND('Valuation &amp; SBG NAV'!BE56*1000, 5)</f>
        <v>22720</v>
      </c>
      <c r="AQ687" s="359">
        <f>MROUND('Valuation &amp; SBG NAV'!BF56*1000, 5)</f>
        <v>22720</v>
      </c>
      <c r="AR687" s="359">
        <f>MROUND('Valuation &amp; SBG NAV'!BG56*1000, 5)</f>
        <v>24090</v>
      </c>
      <c r="AS687" s="359">
        <f>MROUND('Valuation &amp; SBG NAV'!BH56*1000, 5)</f>
        <v>25575</v>
      </c>
      <c r="AT687" s="359">
        <f>MROUND('Valuation &amp; SBG NAV'!BI56*1000, 5)</f>
        <v>24970</v>
      </c>
      <c r="AU687" s="359">
        <f>MROUND('Valuation &amp; SBG NAV'!BJ56*1000, 5)</f>
        <v>24610</v>
      </c>
      <c r="AV687" s="359">
        <f>MROUND('Valuation &amp; SBG NAV'!BK56*1000, 5)</f>
        <v>24610</v>
      </c>
      <c r="AW687" s="359">
        <f>MROUND('Valuation &amp; SBG NAV'!BL56*1000, 5)</f>
        <v>26240</v>
      </c>
      <c r="AX687" s="359">
        <f>MROUND('Valuation &amp; SBG NAV'!BM56*1000, 5)</f>
        <v>26600</v>
      </c>
      <c r="AY687" s="359">
        <f>MROUND('Valuation &amp; SBG NAV'!BN56*1000, 5)</f>
        <v>24210</v>
      </c>
      <c r="AZ687" s="359">
        <f t="shared" ref="AZ687:BR687" si="2243">AZ683+SUM(AZ685:AZ686)</f>
        <v>23150</v>
      </c>
      <c r="BA687" s="359">
        <f t="shared" si="2243"/>
        <v>23100</v>
      </c>
      <c r="BB687" s="359">
        <f t="shared" si="2243"/>
        <v>21515</v>
      </c>
      <c r="BC687" s="359">
        <f t="shared" si="2243"/>
        <v>19910</v>
      </c>
      <c r="BD687" s="359">
        <f t="shared" si="2243"/>
        <v>18325</v>
      </c>
      <c r="BE687" s="359">
        <f t="shared" si="2243"/>
        <v>16735</v>
      </c>
      <c r="BF687" s="359">
        <f t="shared" si="2243"/>
        <v>16690</v>
      </c>
      <c r="BG687" s="359">
        <f t="shared" si="2243"/>
        <v>15440</v>
      </c>
      <c r="BH687" s="359">
        <f t="shared" si="2243"/>
        <v>14180</v>
      </c>
      <c r="BI687" s="359">
        <f t="shared" si="2243"/>
        <v>12910</v>
      </c>
      <c r="BJ687" s="359">
        <f t="shared" si="2243"/>
        <v>12335</v>
      </c>
      <c r="BK687" s="359">
        <f t="shared" si="2243"/>
        <v>12295</v>
      </c>
      <c r="BL687" s="359">
        <f t="shared" si="2243"/>
        <v>10810</v>
      </c>
      <c r="BM687" s="359">
        <f t="shared" si="2243"/>
        <v>9300</v>
      </c>
      <c r="BN687" s="359">
        <f t="shared" si="2243"/>
        <v>7760</v>
      </c>
      <c r="BO687" s="359">
        <f t="shared" si="2243"/>
        <v>6195</v>
      </c>
      <c r="BP687" s="359">
        <f t="shared" si="2243"/>
        <v>6160</v>
      </c>
      <c r="BQ687" s="359">
        <f t="shared" si="2243"/>
        <v>4565</v>
      </c>
      <c r="BR687" s="359">
        <f t="shared" si="2243"/>
        <v>2950</v>
      </c>
      <c r="BS687" s="359"/>
      <c r="BT687" s="359"/>
      <c r="BU687" s="359"/>
      <c r="BV687" s="359"/>
      <c r="BW687" s="359"/>
      <c r="BX687" s="359"/>
      <c r="BY687" s="359"/>
      <c r="BZ687" s="359"/>
    </row>
    <row r="688" spans="1:78">
      <c r="X688" s="98" t="s">
        <v>1365</v>
      </c>
      <c r="Y688" s="71"/>
      <c r="Z688" s="71"/>
      <c r="AA688" s="71"/>
      <c r="AB688" s="71"/>
    </row>
    <row r="689" spans="1:73" s="44" customFormat="1">
      <c r="A689" s="49" t="s">
        <v>201</v>
      </c>
      <c r="I689" s="53" t="s">
        <v>204</v>
      </c>
      <c r="T689" s="53" t="s">
        <v>225</v>
      </c>
    </row>
    <row r="690" spans="1:73">
      <c r="Q690" s="98" t="s">
        <v>384</v>
      </c>
      <c r="R690" s="71"/>
      <c r="S690" s="71"/>
      <c r="T690" s="71"/>
      <c r="U690" s="71"/>
      <c r="V690" s="71"/>
      <c r="W690" s="71"/>
      <c r="X690" s="71"/>
    </row>
    <row r="691" spans="1:73">
      <c r="A691" s="5" t="s">
        <v>199</v>
      </c>
      <c r="I691" s="37">
        <v>0</v>
      </c>
      <c r="J691" s="37">
        <v>17000</v>
      </c>
      <c r="K691" s="37">
        <f>20800+5000</f>
        <v>25800</v>
      </c>
      <c r="L691" s="37">
        <f>21200+5100</f>
        <v>26300</v>
      </c>
      <c r="M691" s="38">
        <f>L691</f>
        <v>26300</v>
      </c>
      <c r="N691" s="37">
        <f>23500+5100</f>
        <v>28600</v>
      </c>
      <c r="O691" s="37">
        <f>23800+5100</f>
        <v>28900</v>
      </c>
      <c r="P691" s="37">
        <f>45200+5100</f>
        <v>50300</v>
      </c>
      <c r="Q691" s="70">
        <f>50900+5100-2500</f>
        <v>53500</v>
      </c>
      <c r="R691" s="38">
        <f>Q691</f>
        <v>53500</v>
      </c>
      <c r="S691" s="37">
        <f>56200+5200-2500</f>
        <v>58900</v>
      </c>
      <c r="T691" s="37">
        <f>71600+3800-5500-3500</f>
        <v>66400</v>
      </c>
      <c r="U691" s="37">
        <f>74900+3800-5500-3500</f>
        <v>69700</v>
      </c>
      <c r="V691" s="37">
        <f>78300+3800-5500-3500</f>
        <v>73100</v>
      </c>
      <c r="W691" s="38">
        <f>V691</f>
        <v>73100</v>
      </c>
      <c r="X691" s="37">
        <v>78200</v>
      </c>
      <c r="Y691" s="37">
        <v>76500</v>
      </c>
      <c r="Z691" s="37">
        <v>75900</v>
      </c>
      <c r="AA691" s="37">
        <v>71600</v>
      </c>
      <c r="AB691" s="38">
        <f>AA691</f>
        <v>71600</v>
      </c>
      <c r="AC691" s="37">
        <v>68400</v>
      </c>
      <c r="AD691" s="37">
        <v>60000</v>
      </c>
      <c r="AE691" s="37">
        <v>59500</v>
      </c>
      <c r="AF691" s="37">
        <v>58500</v>
      </c>
      <c r="AG691" s="38">
        <f>AF691</f>
        <v>58500</v>
      </c>
      <c r="AH691" s="37">
        <v>55300</v>
      </c>
      <c r="AI691" s="37">
        <v>54800</v>
      </c>
      <c r="AJ691" s="37">
        <v>54200</v>
      </c>
      <c r="AK691" s="37">
        <v>53900</v>
      </c>
      <c r="AL691" s="38">
        <f>AK691</f>
        <v>53900</v>
      </c>
      <c r="AM691" s="37">
        <v>53500</v>
      </c>
      <c r="AN691" s="37">
        <v>53000</v>
      </c>
      <c r="AO691" s="37">
        <v>51600</v>
      </c>
      <c r="AP691" s="37">
        <v>49900</v>
      </c>
      <c r="AQ691" s="38">
        <f>AP691</f>
        <v>49900</v>
      </c>
      <c r="AR691" s="37">
        <v>49100</v>
      </c>
      <c r="AS691" s="37">
        <v>44700</v>
      </c>
      <c r="AT691" s="37">
        <v>44000</v>
      </c>
      <c r="AU691" s="37">
        <v>39400</v>
      </c>
      <c r="AV691" s="38">
        <f>AU691</f>
        <v>39400</v>
      </c>
      <c r="AW691" s="37">
        <v>38500</v>
      </c>
      <c r="AX691" s="37">
        <v>33600</v>
      </c>
      <c r="AY691" s="37">
        <v>32800</v>
      </c>
      <c r="AZ691" s="36">
        <f t="shared" ref="AZ691" si="2244">AY691+AZ725-AY725</f>
        <v>32800</v>
      </c>
      <c r="BA691" s="36">
        <f>AZ691</f>
        <v>32800</v>
      </c>
      <c r="BB691" s="36">
        <f t="shared" ref="BB691:BE691" si="2245">BA691+BB725-BA725</f>
        <v>29160</v>
      </c>
      <c r="BC691" s="36">
        <f t="shared" si="2245"/>
        <v>25555</v>
      </c>
      <c r="BD691" s="36">
        <f t="shared" si="2245"/>
        <v>21985</v>
      </c>
      <c r="BE691" s="36">
        <f t="shared" si="2245"/>
        <v>18460</v>
      </c>
      <c r="BF691" s="36">
        <f>BE691</f>
        <v>18460</v>
      </c>
      <c r="BG691" s="36">
        <f t="shared" ref="BG691:BJ691" si="2246">BF691+BG725-BF725</f>
        <v>15680</v>
      </c>
      <c r="BH691" s="36">
        <f t="shared" si="2246"/>
        <v>12880</v>
      </c>
      <c r="BI691" s="36">
        <f t="shared" si="2246"/>
        <v>10055</v>
      </c>
      <c r="BJ691" s="36">
        <f t="shared" si="2246"/>
        <v>7205</v>
      </c>
      <c r="BK691" s="36">
        <f>BJ691</f>
        <v>7205</v>
      </c>
      <c r="BL691" s="36">
        <f t="shared" ref="BL691:BO691" si="2247">BK691+BL725-BK725</f>
        <v>4330</v>
      </c>
      <c r="BM691" s="36">
        <f t="shared" si="2247"/>
        <v>1430</v>
      </c>
      <c r="BN691" s="36">
        <f t="shared" si="2247"/>
        <v>-1495</v>
      </c>
      <c r="BO691" s="36">
        <f t="shared" si="2247"/>
        <v>-4445</v>
      </c>
      <c r="BP691" s="36">
        <f>BO691</f>
        <v>-4445</v>
      </c>
      <c r="BQ691" s="36" t="e">
        <f t="shared" ref="BQ691:BS691" si="2248">BP691+BQ725-BP725</f>
        <v>#NUM!</v>
      </c>
      <c r="BR691" s="36" t="e">
        <f t="shared" si="2248"/>
        <v>#NUM!</v>
      </c>
      <c r="BS691" s="36" t="e">
        <f t="shared" si="2248"/>
        <v>#NUM!</v>
      </c>
      <c r="BT691" s="59"/>
      <c r="BU691" s="59"/>
    </row>
    <row r="692" spans="1:73">
      <c r="A692" s="5" t="s">
        <v>200</v>
      </c>
      <c r="I692" s="37">
        <v>91700</v>
      </c>
      <c r="J692" s="37">
        <v>80700</v>
      </c>
      <c r="K692" s="37">
        <f>70900+1000</f>
        <v>71900</v>
      </c>
      <c r="L692" s="37">
        <f>70500+900</f>
        <v>71400</v>
      </c>
      <c r="M692" s="38">
        <f>L692</f>
        <v>71400</v>
      </c>
      <c r="N692" s="37">
        <f>68200+900</f>
        <v>69100</v>
      </c>
      <c r="O692" s="37">
        <f>65400+900</f>
        <v>66300</v>
      </c>
      <c r="P692" s="37">
        <f>49300+900</f>
        <v>50200</v>
      </c>
      <c r="Q692" s="37">
        <f>46100+900</f>
        <v>47000</v>
      </c>
      <c r="R692" s="38">
        <f>Q692</f>
        <v>47000</v>
      </c>
      <c r="S692" s="37">
        <f>40800+800</f>
        <v>41600</v>
      </c>
      <c r="T692" s="37">
        <f>27000+600</f>
        <v>27600</v>
      </c>
      <c r="U692" s="37">
        <f>23700+600</f>
        <v>24300</v>
      </c>
      <c r="V692" s="37">
        <f>20300+600</f>
        <v>20900</v>
      </c>
      <c r="W692" s="38">
        <f>V692</f>
        <v>20900</v>
      </c>
      <c r="X692" s="37">
        <v>14500</v>
      </c>
      <c r="Y692" s="37">
        <v>14700</v>
      </c>
      <c r="Z692" s="37">
        <v>14100</v>
      </c>
      <c r="AA692" s="37">
        <v>13200</v>
      </c>
      <c r="AB692" s="38">
        <f>AA692</f>
        <v>13200</v>
      </c>
      <c r="AC692" s="37">
        <v>12300</v>
      </c>
      <c r="AD692" s="37">
        <v>12200</v>
      </c>
      <c r="AE692" s="37">
        <v>11500</v>
      </c>
      <c r="AF692" s="37">
        <v>11400</v>
      </c>
      <c r="AG692" s="38">
        <f>AF692</f>
        <v>11400</v>
      </c>
      <c r="AH692" s="37">
        <v>11500</v>
      </c>
      <c r="AI692" s="37">
        <v>11500</v>
      </c>
      <c r="AJ692" s="37">
        <v>11400</v>
      </c>
      <c r="AK692" s="37">
        <v>11400</v>
      </c>
      <c r="AL692" s="38">
        <f>AK692</f>
        <v>11400</v>
      </c>
      <c r="AM692" s="37">
        <v>11400</v>
      </c>
      <c r="AN692" s="37">
        <v>11400</v>
      </c>
      <c r="AO692" s="37">
        <v>11400</v>
      </c>
      <c r="AP692" s="37">
        <v>11400</v>
      </c>
      <c r="AQ692" s="38">
        <f>AP692</f>
        <v>11400</v>
      </c>
      <c r="AR692" s="37">
        <v>11400</v>
      </c>
      <c r="AS692" s="37">
        <v>11400</v>
      </c>
      <c r="AT692" s="37">
        <v>11400</v>
      </c>
      <c r="AU692" s="37">
        <v>11400</v>
      </c>
      <c r="AV692" s="38">
        <f>AU692</f>
        <v>11400</v>
      </c>
      <c r="AW692" s="37">
        <v>11400</v>
      </c>
      <c r="AX692" s="37">
        <v>11400</v>
      </c>
      <c r="AY692" s="37">
        <v>11400</v>
      </c>
      <c r="AZ692" s="36">
        <f t="shared" ref="AZ692:AZ693" si="2249">AY692+AZ698</f>
        <v>11400</v>
      </c>
      <c r="BA692" s="38">
        <f>AZ692</f>
        <v>11400</v>
      </c>
      <c r="BB692" s="36">
        <f t="shared" ref="BB692:BE693" si="2250">BA692+BB698</f>
        <v>11400</v>
      </c>
      <c r="BC692" s="36">
        <f t="shared" si="2250"/>
        <v>11400</v>
      </c>
      <c r="BD692" s="36">
        <f t="shared" si="2250"/>
        <v>11400</v>
      </c>
      <c r="BE692" s="36">
        <f t="shared" si="2250"/>
        <v>11400</v>
      </c>
      <c r="BF692" s="38">
        <f>BE692</f>
        <v>11400</v>
      </c>
      <c r="BG692" s="36">
        <f t="shared" ref="BG692:BJ693" si="2251">BF692+BG698</f>
        <v>11400</v>
      </c>
      <c r="BH692" s="36">
        <f t="shared" si="2251"/>
        <v>11400</v>
      </c>
      <c r="BI692" s="36">
        <f t="shared" si="2251"/>
        <v>11400</v>
      </c>
      <c r="BJ692" s="36">
        <f t="shared" si="2251"/>
        <v>11400</v>
      </c>
      <c r="BK692" s="38">
        <f>BJ692</f>
        <v>11400</v>
      </c>
      <c r="BL692" s="36">
        <f t="shared" ref="BL692:BO693" si="2252">BK692+BL698</f>
        <v>11400</v>
      </c>
      <c r="BM692" s="36">
        <f t="shared" si="2252"/>
        <v>11400</v>
      </c>
      <c r="BN692" s="36">
        <f t="shared" si="2252"/>
        <v>11400</v>
      </c>
      <c r="BO692" s="36">
        <f t="shared" si="2252"/>
        <v>11400</v>
      </c>
      <c r="BP692" s="38">
        <f>BO692</f>
        <v>11400</v>
      </c>
      <c r="BQ692" s="36">
        <f t="shared" ref="BQ692:BS693" si="2253">BP692+BQ698</f>
        <v>11400</v>
      </c>
      <c r="BR692" s="36">
        <f t="shared" si="2253"/>
        <v>11400</v>
      </c>
      <c r="BS692" s="36">
        <f t="shared" si="2253"/>
        <v>11400</v>
      </c>
      <c r="BT692" s="59"/>
      <c r="BU692" s="83"/>
    </row>
    <row r="693" spans="1:73">
      <c r="A693" s="5" t="s">
        <v>369</v>
      </c>
      <c r="I693" s="38"/>
      <c r="J693" s="38"/>
      <c r="K693" s="38"/>
      <c r="L693" s="38"/>
      <c r="M693" s="38"/>
      <c r="N693" s="38"/>
      <c r="O693" s="37">
        <v>2500</v>
      </c>
      <c r="P693" s="37">
        <v>2500</v>
      </c>
      <c r="Q693" s="37">
        <v>2500</v>
      </c>
      <c r="R693" s="38">
        <f>Q693</f>
        <v>2500</v>
      </c>
      <c r="S693" s="37">
        <v>2500</v>
      </c>
      <c r="T693" s="70">
        <f>5500+3500</f>
        <v>9000</v>
      </c>
      <c r="U693" s="37">
        <f>5500+3500</f>
        <v>9000</v>
      </c>
      <c r="V693" s="37">
        <f>5500+3500</f>
        <v>9000</v>
      </c>
      <c r="W693" s="38">
        <f>V693</f>
        <v>9000</v>
      </c>
      <c r="X693" s="37">
        <v>5900</v>
      </c>
      <c r="Y693" s="37">
        <v>7400</v>
      </c>
      <c r="Z693" s="37">
        <v>8600</v>
      </c>
      <c r="AA693" s="37">
        <v>13800</v>
      </c>
      <c r="AB693" s="38">
        <f>AA693</f>
        <v>13800</v>
      </c>
      <c r="AC693" s="37">
        <v>17900</v>
      </c>
      <c r="AD693" s="37">
        <v>26400</v>
      </c>
      <c r="AE693" s="37">
        <v>27600</v>
      </c>
      <c r="AF693" s="37">
        <v>28700</v>
      </c>
      <c r="AG693" s="38">
        <f>AF693</f>
        <v>28700</v>
      </c>
      <c r="AH693" s="37">
        <v>31800</v>
      </c>
      <c r="AI693" s="37">
        <v>32300</v>
      </c>
      <c r="AJ693" s="37">
        <v>33000</v>
      </c>
      <c r="AK693" s="37">
        <v>33300</v>
      </c>
      <c r="AL693" s="38">
        <f>AK693</f>
        <v>33300</v>
      </c>
      <c r="AM693" s="37">
        <v>33700</v>
      </c>
      <c r="AN693" s="37">
        <v>34200</v>
      </c>
      <c r="AO693" s="37">
        <v>35600</v>
      </c>
      <c r="AP693" s="37">
        <v>37300</v>
      </c>
      <c r="AQ693" s="38">
        <f>AP693</f>
        <v>37300</v>
      </c>
      <c r="AR693" s="37">
        <v>38100</v>
      </c>
      <c r="AS693" s="37">
        <v>42500</v>
      </c>
      <c r="AT693" s="37">
        <v>43200</v>
      </c>
      <c r="AU693" s="37">
        <v>47800</v>
      </c>
      <c r="AV693" s="38">
        <f>AU693</f>
        <v>47800</v>
      </c>
      <c r="AW693" s="37">
        <v>48700</v>
      </c>
      <c r="AX693" s="37">
        <v>53600</v>
      </c>
      <c r="AY693" s="37">
        <v>54400</v>
      </c>
      <c r="AZ693" s="36">
        <f t="shared" si="2249"/>
        <v>54400</v>
      </c>
      <c r="BA693" s="38">
        <f>AZ693</f>
        <v>54400</v>
      </c>
      <c r="BB693" s="36">
        <f t="shared" si="2250"/>
        <v>58040</v>
      </c>
      <c r="BC693" s="36">
        <f t="shared" si="2250"/>
        <v>61645</v>
      </c>
      <c r="BD693" s="36">
        <f t="shared" si="2250"/>
        <v>65215</v>
      </c>
      <c r="BE693" s="36">
        <f t="shared" si="2250"/>
        <v>68740</v>
      </c>
      <c r="BF693" s="38">
        <f>BE693</f>
        <v>68740</v>
      </c>
      <c r="BG693" s="36">
        <f t="shared" si="2251"/>
        <v>71520</v>
      </c>
      <c r="BH693" s="36">
        <f t="shared" si="2251"/>
        <v>74320</v>
      </c>
      <c r="BI693" s="36">
        <f t="shared" si="2251"/>
        <v>77145</v>
      </c>
      <c r="BJ693" s="36">
        <f t="shared" si="2251"/>
        <v>79995</v>
      </c>
      <c r="BK693" s="38">
        <f>BJ693</f>
        <v>79995</v>
      </c>
      <c r="BL693" s="36">
        <f t="shared" si="2252"/>
        <v>82870</v>
      </c>
      <c r="BM693" s="36">
        <f t="shared" si="2252"/>
        <v>85770</v>
      </c>
      <c r="BN693" s="36">
        <f t="shared" si="2252"/>
        <v>88695</v>
      </c>
      <c r="BO693" s="36">
        <f t="shared" si="2252"/>
        <v>91645</v>
      </c>
      <c r="BP693" s="38">
        <f>BO693</f>
        <v>91645</v>
      </c>
      <c r="BQ693" s="36" t="e">
        <f t="shared" si="2253"/>
        <v>#NUM!</v>
      </c>
      <c r="BR693" s="36" t="e">
        <f t="shared" si="2253"/>
        <v>#NUM!</v>
      </c>
      <c r="BS693" s="36" t="e">
        <f t="shared" si="2253"/>
        <v>#NUM!</v>
      </c>
      <c r="BT693" s="59"/>
      <c r="BU693" s="83"/>
    </row>
    <row r="694" spans="1:73">
      <c r="A694" s="9" t="s">
        <v>202</v>
      </c>
      <c r="B694" s="9"/>
      <c r="C694" s="9"/>
      <c r="D694" s="9"/>
      <c r="E694" s="9"/>
      <c r="F694" s="9"/>
      <c r="G694" s="9"/>
      <c r="H694" s="9"/>
      <c r="I694" s="39">
        <f>SUM(I691:I693)</f>
        <v>91700</v>
      </c>
      <c r="J694" s="39">
        <f>SUM(J691:J693)</f>
        <v>97700</v>
      </c>
      <c r="K694" s="39">
        <f>SUM(K691:K693)</f>
        <v>97700</v>
      </c>
      <c r="L694" s="39">
        <f>SUM(L691:L693)</f>
        <v>97700</v>
      </c>
      <c r="M694" s="39">
        <f>L694</f>
        <v>97700</v>
      </c>
      <c r="N694" s="39">
        <f t="shared" ref="N694:AP694" si="2254">SUM(N691:N693)</f>
        <v>97700</v>
      </c>
      <c r="O694" s="39">
        <f t="shared" si="2254"/>
        <v>97700</v>
      </c>
      <c r="P694" s="39">
        <f t="shared" si="2254"/>
        <v>103000</v>
      </c>
      <c r="Q694" s="39">
        <f t="shared" si="2254"/>
        <v>103000</v>
      </c>
      <c r="R694" s="39">
        <f>Q694</f>
        <v>103000</v>
      </c>
      <c r="S694" s="39">
        <f t="shared" si="2254"/>
        <v>103000</v>
      </c>
      <c r="T694" s="39">
        <f t="shared" si="2254"/>
        <v>103000</v>
      </c>
      <c r="U694" s="39">
        <f t="shared" si="2254"/>
        <v>103000</v>
      </c>
      <c r="V694" s="39">
        <f t="shared" si="2254"/>
        <v>103000</v>
      </c>
      <c r="W694" s="39">
        <f>V694</f>
        <v>103000</v>
      </c>
      <c r="X694" s="39">
        <f t="shared" si="2254"/>
        <v>98600</v>
      </c>
      <c r="Y694" s="39">
        <f t="shared" si="2254"/>
        <v>98600</v>
      </c>
      <c r="Z694" s="39">
        <f t="shared" si="2254"/>
        <v>98600</v>
      </c>
      <c r="AA694" s="39">
        <f t="shared" si="2254"/>
        <v>98600</v>
      </c>
      <c r="AB694" s="39">
        <f>AA694</f>
        <v>98600</v>
      </c>
      <c r="AC694" s="39">
        <f t="shared" si="2254"/>
        <v>98600</v>
      </c>
      <c r="AD694" s="39">
        <f t="shared" si="2254"/>
        <v>98600</v>
      </c>
      <c r="AE694" s="39">
        <f t="shared" si="2254"/>
        <v>98600</v>
      </c>
      <c r="AF694" s="39">
        <f t="shared" si="2254"/>
        <v>98600</v>
      </c>
      <c r="AG694" s="39">
        <f>AF694</f>
        <v>98600</v>
      </c>
      <c r="AH694" s="39">
        <f t="shared" si="2254"/>
        <v>98600</v>
      </c>
      <c r="AI694" s="39">
        <f t="shared" si="2254"/>
        <v>98600</v>
      </c>
      <c r="AJ694" s="39">
        <f t="shared" si="2254"/>
        <v>98600</v>
      </c>
      <c r="AK694" s="39">
        <f t="shared" si="2254"/>
        <v>98600</v>
      </c>
      <c r="AL694" s="39">
        <f>AK694</f>
        <v>98600</v>
      </c>
      <c r="AM694" s="39">
        <f t="shared" si="2254"/>
        <v>98600</v>
      </c>
      <c r="AN694" s="39">
        <f t="shared" si="2254"/>
        <v>98600</v>
      </c>
      <c r="AO694" s="39">
        <f t="shared" si="2254"/>
        <v>98600</v>
      </c>
      <c r="AP694" s="39">
        <f t="shared" si="2254"/>
        <v>98600</v>
      </c>
      <c r="AQ694" s="39">
        <f>AP694</f>
        <v>98600</v>
      </c>
      <c r="AR694" s="39">
        <f t="shared" ref="AR694:AS694" si="2255">SUM(AR691:AR693)</f>
        <v>98600</v>
      </c>
      <c r="AS694" s="39">
        <f t="shared" si="2255"/>
        <v>98600</v>
      </c>
      <c r="AT694" s="39">
        <f t="shared" ref="AT694:AU694" si="2256">SUM(AT691:AT693)</f>
        <v>98600</v>
      </c>
      <c r="AU694" s="39">
        <f t="shared" si="2256"/>
        <v>98600</v>
      </c>
      <c r="AV694" s="39">
        <f>AU694</f>
        <v>98600</v>
      </c>
      <c r="AW694" s="39">
        <f t="shared" ref="AW694:AY694" si="2257">SUM(AW691:AW693)</f>
        <v>98600</v>
      </c>
      <c r="AX694" s="39">
        <f t="shared" si="2257"/>
        <v>98600</v>
      </c>
      <c r="AY694" s="39">
        <f t="shared" si="2257"/>
        <v>98600</v>
      </c>
      <c r="AZ694" s="39">
        <f t="shared" ref="AZ694" si="2258">SUM(AZ691:AZ693)</f>
        <v>98600</v>
      </c>
      <c r="BA694" s="39">
        <f>AZ694</f>
        <v>98600</v>
      </c>
      <c r="BB694" s="39">
        <f t="shared" ref="BB694:BE694" si="2259">SUM(BB691:BB693)</f>
        <v>98600</v>
      </c>
      <c r="BC694" s="39">
        <f t="shared" si="2259"/>
        <v>98600</v>
      </c>
      <c r="BD694" s="39">
        <f t="shared" si="2259"/>
        <v>98600</v>
      </c>
      <c r="BE694" s="39">
        <f t="shared" si="2259"/>
        <v>98600</v>
      </c>
      <c r="BF694" s="39">
        <f>BE694</f>
        <v>98600</v>
      </c>
      <c r="BG694" s="39">
        <f t="shared" ref="BG694:BJ694" si="2260">SUM(BG691:BG693)</f>
        <v>98600</v>
      </c>
      <c r="BH694" s="39">
        <f t="shared" si="2260"/>
        <v>98600</v>
      </c>
      <c r="BI694" s="39">
        <f t="shared" si="2260"/>
        <v>98600</v>
      </c>
      <c r="BJ694" s="39">
        <f t="shared" si="2260"/>
        <v>98600</v>
      </c>
      <c r="BK694" s="39">
        <f>BJ694</f>
        <v>98600</v>
      </c>
      <c r="BL694" s="39">
        <f t="shared" ref="BL694:BO694" si="2261">SUM(BL691:BL693)</f>
        <v>98600</v>
      </c>
      <c r="BM694" s="39">
        <f t="shared" si="2261"/>
        <v>98600</v>
      </c>
      <c r="BN694" s="39">
        <f t="shared" si="2261"/>
        <v>98600</v>
      </c>
      <c r="BO694" s="39">
        <f t="shared" si="2261"/>
        <v>98600</v>
      </c>
      <c r="BP694" s="39">
        <f>BO694</f>
        <v>98600</v>
      </c>
      <c r="BQ694" s="39" t="e">
        <f t="shared" ref="BQ694:BS694" si="2262">SUM(BQ691:BQ693)</f>
        <v>#NUM!</v>
      </c>
      <c r="BR694" s="39" t="e">
        <f t="shared" si="2262"/>
        <v>#NUM!</v>
      </c>
      <c r="BS694" s="39" t="e">
        <f t="shared" si="2262"/>
        <v>#NUM!</v>
      </c>
      <c r="BT694" s="59"/>
      <c r="BU694" s="59"/>
    </row>
    <row r="695" spans="1:73">
      <c r="K695" s="42" t="s">
        <v>248</v>
      </c>
      <c r="T695" s="98" t="s">
        <v>393</v>
      </c>
      <c r="U695" s="71"/>
      <c r="V695" s="71"/>
      <c r="W695" s="71"/>
      <c r="X695" s="71"/>
      <c r="Y695" s="71"/>
      <c r="Z695" s="71"/>
      <c r="AA695" s="71"/>
      <c r="AB695" s="71"/>
      <c r="AC695" s="71"/>
      <c r="AD695" s="71"/>
      <c r="BT695" s="79"/>
      <c r="BU695" s="79"/>
    </row>
    <row r="696" spans="1:73">
      <c r="A696" s="1" t="s">
        <v>203</v>
      </c>
      <c r="BT696" s="79"/>
      <c r="BU696" s="79"/>
    </row>
    <row r="697" spans="1:73">
      <c r="A697" s="5" t="s">
        <v>199</v>
      </c>
      <c r="I697" s="38"/>
      <c r="J697" s="38">
        <f t="shared" ref="J697:L698" si="2263">J691-I691</f>
        <v>17000</v>
      </c>
      <c r="K697" s="38">
        <f t="shared" si="2263"/>
        <v>8800</v>
      </c>
      <c r="L697" s="38">
        <f t="shared" si="2263"/>
        <v>500</v>
      </c>
      <c r="M697" s="38">
        <f>M691-I691</f>
        <v>26300</v>
      </c>
      <c r="N697" s="38">
        <f t="shared" ref="N697:Q697" si="2264">N691-M691</f>
        <v>2300</v>
      </c>
      <c r="O697" s="38">
        <f t="shared" si="2264"/>
        <v>300</v>
      </c>
      <c r="P697" s="38">
        <f t="shared" si="2264"/>
        <v>21400</v>
      </c>
      <c r="Q697" s="38">
        <f t="shared" si="2264"/>
        <v>3200</v>
      </c>
      <c r="R697" s="38">
        <f>R691-M691</f>
        <v>27200</v>
      </c>
      <c r="S697" s="38">
        <f t="shared" ref="S697:AO699" si="2265">S691-R691</f>
        <v>5400</v>
      </c>
      <c r="T697" s="38">
        <f t="shared" si="2265"/>
        <v>7500</v>
      </c>
      <c r="U697" s="38">
        <f t="shared" si="2265"/>
        <v>3300</v>
      </c>
      <c r="V697" s="38">
        <f t="shared" si="2265"/>
        <v>3400</v>
      </c>
      <c r="W697" s="38">
        <f>W691-R691</f>
        <v>19600</v>
      </c>
      <c r="X697" s="38">
        <f t="shared" si="2265"/>
        <v>5100</v>
      </c>
      <c r="Y697" s="38">
        <f t="shared" si="2265"/>
        <v>-1700</v>
      </c>
      <c r="Z697" s="38">
        <f t="shared" si="2265"/>
        <v>-600</v>
      </c>
      <c r="AA697" s="38">
        <f t="shared" si="2265"/>
        <v>-4300</v>
      </c>
      <c r="AB697" s="38">
        <f>AB691-W691</f>
        <v>-1500</v>
      </c>
      <c r="AC697" s="38">
        <f t="shared" si="2265"/>
        <v>-3200</v>
      </c>
      <c r="AD697" s="38">
        <f t="shared" si="2265"/>
        <v>-8400</v>
      </c>
      <c r="AE697" s="38">
        <f t="shared" si="2265"/>
        <v>-500</v>
      </c>
      <c r="AF697" s="38">
        <f t="shared" si="2265"/>
        <v>-1000</v>
      </c>
      <c r="AG697" s="38">
        <f>AG691-AB691</f>
        <v>-13100</v>
      </c>
      <c r="AH697" s="38">
        <f t="shared" si="2265"/>
        <v>-3200</v>
      </c>
      <c r="AI697" s="38">
        <f t="shared" si="2265"/>
        <v>-500</v>
      </c>
      <c r="AJ697" s="38">
        <f t="shared" si="2265"/>
        <v>-600</v>
      </c>
      <c r="AK697" s="38">
        <f t="shared" si="2265"/>
        <v>-300</v>
      </c>
      <c r="AL697" s="38">
        <f>AL691-AG691</f>
        <v>-4600</v>
      </c>
      <c r="AM697" s="38">
        <f t="shared" si="2265"/>
        <v>-400</v>
      </c>
      <c r="AN697" s="38">
        <f t="shared" si="2265"/>
        <v>-500</v>
      </c>
      <c r="AO697" s="38">
        <f t="shared" si="2265"/>
        <v>-1400</v>
      </c>
      <c r="AP697" s="38">
        <f t="shared" ref="AP697:AP700" si="2266">AP691-AO691</f>
        <v>-1700</v>
      </c>
      <c r="AQ697" s="38">
        <f>AQ691-AL691</f>
        <v>-4000</v>
      </c>
      <c r="AR697" s="38">
        <f t="shared" ref="AR697:AT699" si="2267">AR691-AQ691</f>
        <v>-800</v>
      </c>
      <c r="AS697" s="38">
        <f t="shared" si="2267"/>
        <v>-4400</v>
      </c>
      <c r="AT697" s="38">
        <f t="shared" si="2267"/>
        <v>-700</v>
      </c>
      <c r="AU697" s="38">
        <f t="shared" ref="AU697:AU700" si="2268">AU691-AT691</f>
        <v>-4600</v>
      </c>
      <c r="AV697" s="38">
        <f>AV691-AQ691</f>
        <v>-10500</v>
      </c>
      <c r="AW697" s="38">
        <f t="shared" ref="AW697:AW700" si="2269">AW691-AV691</f>
        <v>-900</v>
      </c>
      <c r="AX697" s="38">
        <f t="shared" ref="AX697:AY700" si="2270">AX691-AW691</f>
        <v>-4900</v>
      </c>
      <c r="AY697" s="38">
        <f t="shared" si="2270"/>
        <v>-800</v>
      </c>
      <c r="AZ697" s="38">
        <f>-'SVF1'!AZ21</f>
        <v>0</v>
      </c>
      <c r="BA697" s="38">
        <f>BA691-AV691</f>
        <v>-6600</v>
      </c>
      <c r="BB697" s="38">
        <f>-'SVF1'!BB21</f>
        <v>-3640</v>
      </c>
      <c r="BC697" s="38">
        <f>-'SVF1'!BC21</f>
        <v>-3605</v>
      </c>
      <c r="BD697" s="38">
        <f>-'SVF1'!BD21</f>
        <v>-3570</v>
      </c>
      <c r="BE697" s="38">
        <f>-'SVF1'!BE21</f>
        <v>-3525</v>
      </c>
      <c r="BF697" s="38">
        <f>BF691-BA691</f>
        <v>-14340</v>
      </c>
      <c r="BG697" s="38">
        <f>-'SVF1'!BG21</f>
        <v>-2780</v>
      </c>
      <c r="BH697" s="38">
        <f>-'SVF1'!BH21</f>
        <v>-2800</v>
      </c>
      <c r="BI697" s="38">
        <f>-'SVF1'!BI21</f>
        <v>-2825</v>
      </c>
      <c r="BJ697" s="38">
        <f>-'SVF1'!BJ21</f>
        <v>-2850</v>
      </c>
      <c r="BK697" s="38">
        <f>BK691-BF691</f>
        <v>-11255</v>
      </c>
      <c r="BL697" s="38">
        <f>-'SVF1'!BL21</f>
        <v>-2875</v>
      </c>
      <c r="BM697" s="38">
        <f>-'SVF1'!BM21</f>
        <v>-2900</v>
      </c>
      <c r="BN697" s="38">
        <f>-'SVF1'!BN21</f>
        <v>-2925</v>
      </c>
      <c r="BO697" s="38">
        <f>-'SVF1'!BO21</f>
        <v>-2950</v>
      </c>
      <c r="BP697" s="38">
        <f>BP691-BK691</f>
        <v>-11650</v>
      </c>
      <c r="BQ697" s="38" t="e">
        <f>-'SVF1'!BQ21</f>
        <v>#NUM!</v>
      </c>
      <c r="BR697" s="38" t="e">
        <f>-'SVF1'!BR21</f>
        <v>#NUM!</v>
      </c>
      <c r="BS697" s="38" t="e">
        <f>-'SVF1'!BS21</f>
        <v>#NUM!</v>
      </c>
      <c r="BT697" s="83"/>
      <c r="BU697" s="83"/>
    </row>
    <row r="698" spans="1:73">
      <c r="A698" s="5" t="s">
        <v>200</v>
      </c>
      <c r="I698" s="38"/>
      <c r="J698" s="38">
        <f t="shared" si="2263"/>
        <v>-11000</v>
      </c>
      <c r="K698" s="38">
        <f t="shared" si="2263"/>
        <v>-8800</v>
      </c>
      <c r="L698" s="38">
        <f t="shared" si="2263"/>
        <v>-500</v>
      </c>
      <c r="M698" s="38">
        <f>M692-I692</f>
        <v>-20300</v>
      </c>
      <c r="N698" s="38">
        <f t="shared" ref="N698:Q699" si="2271">N692-M692</f>
        <v>-2300</v>
      </c>
      <c r="O698" s="38">
        <f t="shared" si="2271"/>
        <v>-2800</v>
      </c>
      <c r="P698" s="38">
        <f t="shared" si="2271"/>
        <v>-16100</v>
      </c>
      <c r="Q698" s="38">
        <f t="shared" si="2271"/>
        <v>-3200</v>
      </c>
      <c r="R698" s="38">
        <f>R692-M692</f>
        <v>-24400</v>
      </c>
      <c r="S698" s="38">
        <f t="shared" ref="S698:U698" si="2272">S692-R692</f>
        <v>-5400</v>
      </c>
      <c r="T698" s="38">
        <f t="shared" si="2272"/>
        <v>-14000</v>
      </c>
      <c r="U698" s="38">
        <f t="shared" si="2272"/>
        <v>-3300</v>
      </c>
      <c r="V698" s="38">
        <f t="shared" si="2265"/>
        <v>-3400</v>
      </c>
      <c r="W698" s="38">
        <f>W692-R692</f>
        <v>-26100</v>
      </c>
      <c r="X698" s="38">
        <f t="shared" si="2265"/>
        <v>-6400</v>
      </c>
      <c r="Y698" s="38">
        <f t="shared" si="2265"/>
        <v>200</v>
      </c>
      <c r="Z698" s="38">
        <f t="shared" si="2265"/>
        <v>-600</v>
      </c>
      <c r="AA698" s="38">
        <f t="shared" si="2265"/>
        <v>-900</v>
      </c>
      <c r="AB698" s="38">
        <f>AB692-W692</f>
        <v>-7700</v>
      </c>
      <c r="AC698" s="38">
        <f t="shared" si="2265"/>
        <v>-900</v>
      </c>
      <c r="AD698" s="38">
        <f t="shared" si="2265"/>
        <v>-100</v>
      </c>
      <c r="AE698" s="38">
        <f t="shared" si="2265"/>
        <v>-700</v>
      </c>
      <c r="AF698" s="38">
        <f t="shared" si="2265"/>
        <v>-100</v>
      </c>
      <c r="AG698" s="38">
        <f>AG692-AB692</f>
        <v>-1800</v>
      </c>
      <c r="AH698" s="38">
        <f t="shared" si="2265"/>
        <v>100</v>
      </c>
      <c r="AI698" s="38">
        <f t="shared" si="2265"/>
        <v>0</v>
      </c>
      <c r="AJ698" s="38">
        <f t="shared" si="2265"/>
        <v>-100</v>
      </c>
      <c r="AK698" s="38">
        <f t="shared" si="2265"/>
        <v>0</v>
      </c>
      <c r="AL698" s="38">
        <f>AL692-AG692</f>
        <v>0</v>
      </c>
      <c r="AM698" s="38">
        <f t="shared" si="2265"/>
        <v>0</v>
      </c>
      <c r="AN698" s="38">
        <f t="shared" si="2265"/>
        <v>0</v>
      </c>
      <c r="AO698" s="38">
        <f t="shared" si="2265"/>
        <v>0</v>
      </c>
      <c r="AP698" s="38">
        <f t="shared" si="2266"/>
        <v>0</v>
      </c>
      <c r="AQ698" s="38">
        <f>AQ692-AL692</f>
        <v>0</v>
      </c>
      <c r="AR698" s="38">
        <f t="shared" si="2267"/>
        <v>0</v>
      </c>
      <c r="AS698" s="38">
        <f t="shared" si="2267"/>
        <v>0</v>
      </c>
      <c r="AT698" s="38">
        <f t="shared" si="2267"/>
        <v>0</v>
      </c>
      <c r="AU698" s="38">
        <f t="shared" si="2268"/>
        <v>0</v>
      </c>
      <c r="AV698" s="38">
        <f>AV692-AQ692</f>
        <v>0</v>
      </c>
      <c r="AW698" s="38">
        <f t="shared" si="2269"/>
        <v>0</v>
      </c>
      <c r="AX698" s="38">
        <f t="shared" si="2270"/>
        <v>0</v>
      </c>
      <c r="AY698" s="38">
        <f t="shared" si="2270"/>
        <v>0</v>
      </c>
      <c r="AZ698" s="38">
        <f>-AZ346</f>
        <v>0</v>
      </c>
      <c r="BA698" s="38">
        <f>BA692-AV692</f>
        <v>0</v>
      </c>
      <c r="BB698" s="38">
        <f>-BB346</f>
        <v>0</v>
      </c>
      <c r="BC698" s="38">
        <f>-BC346</f>
        <v>0</v>
      </c>
      <c r="BD698" s="38">
        <f>-BD346</f>
        <v>0</v>
      </c>
      <c r="BE698" s="38">
        <f>-BE346</f>
        <v>0</v>
      </c>
      <c r="BF698" s="38">
        <f>BF692-BA692</f>
        <v>0</v>
      </c>
      <c r="BG698" s="38">
        <f>-BG346</f>
        <v>0</v>
      </c>
      <c r="BH698" s="38">
        <f>-BH346</f>
        <v>0</v>
      </c>
      <c r="BI698" s="38">
        <f>-BI346</f>
        <v>0</v>
      </c>
      <c r="BJ698" s="38">
        <f>-BJ346</f>
        <v>0</v>
      </c>
      <c r="BK698" s="38">
        <f>BK692-BF692</f>
        <v>0</v>
      </c>
      <c r="BL698" s="38">
        <f>-BL346</f>
        <v>0</v>
      </c>
      <c r="BM698" s="38">
        <f>-BM346</f>
        <v>0</v>
      </c>
      <c r="BN698" s="38">
        <f>-BN346</f>
        <v>0</v>
      </c>
      <c r="BO698" s="38">
        <f>-BO346</f>
        <v>0</v>
      </c>
      <c r="BP698" s="38">
        <f>BP692-BK692</f>
        <v>0</v>
      </c>
      <c r="BQ698" s="38">
        <f>-BQ346</f>
        <v>0</v>
      </c>
      <c r="BR698" s="38">
        <f>-BR346</f>
        <v>0</v>
      </c>
      <c r="BS698" s="38">
        <f>-BS346</f>
        <v>0</v>
      </c>
      <c r="BT698" s="83"/>
      <c r="BU698" s="83"/>
    </row>
    <row r="699" spans="1:73">
      <c r="A699" s="5" t="s">
        <v>369</v>
      </c>
      <c r="I699" s="38"/>
      <c r="J699" s="38"/>
      <c r="K699" s="38"/>
      <c r="L699" s="38"/>
      <c r="M699" s="38"/>
      <c r="N699" s="38"/>
      <c r="O699" s="38">
        <f t="shared" si="2271"/>
        <v>2500</v>
      </c>
      <c r="P699" s="38">
        <f t="shared" si="2271"/>
        <v>0</v>
      </c>
      <c r="Q699" s="38">
        <f t="shared" si="2271"/>
        <v>0</v>
      </c>
      <c r="R699" s="38">
        <f>R693-M693</f>
        <v>2500</v>
      </c>
      <c r="S699" s="38">
        <f t="shared" ref="S699:U699" si="2273">S693-R693</f>
        <v>0</v>
      </c>
      <c r="T699" s="38">
        <f t="shared" si="2273"/>
        <v>6500</v>
      </c>
      <c r="U699" s="38">
        <f t="shared" si="2273"/>
        <v>0</v>
      </c>
      <c r="V699" s="38">
        <f t="shared" si="2265"/>
        <v>0</v>
      </c>
      <c r="W699" s="38">
        <f>W693-R693</f>
        <v>6500</v>
      </c>
      <c r="X699" s="38">
        <f t="shared" si="2265"/>
        <v>-3100</v>
      </c>
      <c r="Y699" s="38">
        <f t="shared" si="2265"/>
        <v>1500</v>
      </c>
      <c r="Z699" s="38">
        <f t="shared" si="2265"/>
        <v>1200</v>
      </c>
      <c r="AA699" s="38">
        <f t="shared" si="2265"/>
        <v>5200</v>
      </c>
      <c r="AB699" s="38">
        <f>AB693-W693</f>
        <v>4800</v>
      </c>
      <c r="AC699" s="38">
        <f t="shared" si="2265"/>
        <v>4100</v>
      </c>
      <c r="AD699" s="38">
        <f t="shared" si="2265"/>
        <v>8500</v>
      </c>
      <c r="AE699" s="38">
        <f t="shared" si="2265"/>
        <v>1200</v>
      </c>
      <c r="AF699" s="38">
        <f t="shared" si="2265"/>
        <v>1100</v>
      </c>
      <c r="AG699" s="38">
        <f>AG693-AB693</f>
        <v>14900</v>
      </c>
      <c r="AH699" s="38">
        <f t="shared" si="2265"/>
        <v>3100</v>
      </c>
      <c r="AI699" s="38">
        <f t="shared" si="2265"/>
        <v>500</v>
      </c>
      <c r="AJ699" s="38">
        <f t="shared" si="2265"/>
        <v>700</v>
      </c>
      <c r="AK699" s="38">
        <f t="shared" si="2265"/>
        <v>300</v>
      </c>
      <c r="AL699" s="38">
        <f>AL693-AG693</f>
        <v>4600</v>
      </c>
      <c r="AM699" s="38">
        <f t="shared" si="2265"/>
        <v>400</v>
      </c>
      <c r="AN699" s="38">
        <f t="shared" si="2265"/>
        <v>500</v>
      </c>
      <c r="AO699" s="38">
        <f t="shared" si="2265"/>
        <v>1400</v>
      </c>
      <c r="AP699" s="38">
        <f t="shared" si="2266"/>
        <v>1700</v>
      </c>
      <c r="AQ699" s="38">
        <f>AQ693-AL693</f>
        <v>4000</v>
      </c>
      <c r="AR699" s="38">
        <f t="shared" si="2267"/>
        <v>800</v>
      </c>
      <c r="AS699" s="38">
        <f t="shared" si="2267"/>
        <v>4400</v>
      </c>
      <c r="AT699" s="38">
        <f t="shared" si="2267"/>
        <v>700</v>
      </c>
      <c r="AU699" s="38">
        <f t="shared" si="2268"/>
        <v>4600</v>
      </c>
      <c r="AV699" s="38">
        <f>AV693-AQ693</f>
        <v>10500</v>
      </c>
      <c r="AW699" s="38">
        <f t="shared" si="2269"/>
        <v>900</v>
      </c>
      <c r="AX699" s="38">
        <f t="shared" si="2270"/>
        <v>4900</v>
      </c>
      <c r="AY699" s="38">
        <f t="shared" si="2270"/>
        <v>800</v>
      </c>
      <c r="AZ699" s="55">
        <f t="shared" ref="AZ699" si="2274">-AZ697</f>
        <v>0</v>
      </c>
      <c r="BA699" s="38">
        <f>BA693-AV693</f>
        <v>6600</v>
      </c>
      <c r="BB699" s="55">
        <f>-BB697</f>
        <v>3640</v>
      </c>
      <c r="BC699" s="55">
        <f t="shared" ref="BC699:BE699" si="2275">-BC697</f>
        <v>3605</v>
      </c>
      <c r="BD699" s="55">
        <f t="shared" si="2275"/>
        <v>3570</v>
      </c>
      <c r="BE699" s="55">
        <f t="shared" si="2275"/>
        <v>3525</v>
      </c>
      <c r="BF699" s="38">
        <f>BF693-BA693</f>
        <v>14340</v>
      </c>
      <c r="BG699" s="55">
        <f>-BG697</f>
        <v>2780</v>
      </c>
      <c r="BH699" s="55">
        <f t="shared" ref="BH699:BJ699" si="2276">-BH697</f>
        <v>2800</v>
      </c>
      <c r="BI699" s="55">
        <f t="shared" si="2276"/>
        <v>2825</v>
      </c>
      <c r="BJ699" s="55">
        <f t="shared" si="2276"/>
        <v>2850</v>
      </c>
      <c r="BK699" s="38">
        <f>BK693-BF693</f>
        <v>11255</v>
      </c>
      <c r="BL699" s="55">
        <f>-BL697</f>
        <v>2875</v>
      </c>
      <c r="BM699" s="55">
        <f t="shared" ref="BM699:BO699" si="2277">-BM697</f>
        <v>2900</v>
      </c>
      <c r="BN699" s="55">
        <f t="shared" si="2277"/>
        <v>2925</v>
      </c>
      <c r="BO699" s="55">
        <f t="shared" si="2277"/>
        <v>2950</v>
      </c>
      <c r="BP699" s="38">
        <f>BP693-BK693</f>
        <v>11650</v>
      </c>
      <c r="BQ699" s="55" t="e">
        <f>-BQ697</f>
        <v>#NUM!</v>
      </c>
      <c r="BR699" s="55" t="e">
        <f t="shared" ref="BR699:BS699" si="2278">-BR697</f>
        <v>#NUM!</v>
      </c>
      <c r="BS699" s="55" t="e">
        <f t="shared" si="2278"/>
        <v>#NUM!</v>
      </c>
      <c r="BT699" s="83"/>
      <c r="BU699" s="83"/>
    </row>
    <row r="700" spans="1:73">
      <c r="A700" s="9" t="s">
        <v>202</v>
      </c>
      <c r="B700" s="9"/>
      <c r="C700" s="9"/>
      <c r="D700" s="9"/>
      <c r="E700" s="9"/>
      <c r="F700" s="9"/>
      <c r="G700" s="9"/>
      <c r="H700" s="9"/>
      <c r="I700" s="39"/>
      <c r="J700" s="48">
        <f t="shared" ref="J700:AT700" si="2279">J694-I694</f>
        <v>6000</v>
      </c>
      <c r="K700" s="48">
        <f t="shared" si="2279"/>
        <v>0</v>
      </c>
      <c r="L700" s="48">
        <f t="shared" si="2279"/>
        <v>0</v>
      </c>
      <c r="M700" s="48">
        <f>M694-I694</f>
        <v>6000</v>
      </c>
      <c r="N700" s="48">
        <f t="shared" si="2279"/>
        <v>0</v>
      </c>
      <c r="O700" s="48">
        <f t="shared" si="2279"/>
        <v>0</v>
      </c>
      <c r="P700" s="48">
        <f t="shared" si="2279"/>
        <v>5300</v>
      </c>
      <c r="Q700" s="48">
        <f t="shared" si="2279"/>
        <v>0</v>
      </c>
      <c r="R700" s="48">
        <f>R694-M694</f>
        <v>5300</v>
      </c>
      <c r="S700" s="48">
        <f t="shared" si="2279"/>
        <v>0</v>
      </c>
      <c r="T700" s="48">
        <f t="shared" si="2279"/>
        <v>0</v>
      </c>
      <c r="U700" s="48">
        <f t="shared" si="2279"/>
        <v>0</v>
      </c>
      <c r="V700" s="48">
        <f t="shared" si="2279"/>
        <v>0</v>
      </c>
      <c r="W700" s="48">
        <f>W694-R694</f>
        <v>0</v>
      </c>
      <c r="X700" s="48">
        <f t="shared" si="2279"/>
        <v>-4400</v>
      </c>
      <c r="Y700" s="48">
        <f t="shared" si="2279"/>
        <v>0</v>
      </c>
      <c r="Z700" s="48">
        <f t="shared" si="2279"/>
        <v>0</v>
      </c>
      <c r="AA700" s="48">
        <f t="shared" si="2279"/>
        <v>0</v>
      </c>
      <c r="AB700" s="48">
        <f>AB694-W694</f>
        <v>-4400</v>
      </c>
      <c r="AC700" s="48">
        <f t="shared" si="2279"/>
        <v>0</v>
      </c>
      <c r="AD700" s="48">
        <f t="shared" si="2279"/>
        <v>0</v>
      </c>
      <c r="AE700" s="48">
        <f t="shared" si="2279"/>
        <v>0</v>
      </c>
      <c r="AF700" s="48">
        <f t="shared" si="2279"/>
        <v>0</v>
      </c>
      <c r="AG700" s="48">
        <f>AG694-AB694</f>
        <v>0</v>
      </c>
      <c r="AH700" s="48">
        <f t="shared" si="2279"/>
        <v>0</v>
      </c>
      <c r="AI700" s="48">
        <f t="shared" si="2279"/>
        <v>0</v>
      </c>
      <c r="AJ700" s="48">
        <f t="shared" si="2279"/>
        <v>0</v>
      </c>
      <c r="AK700" s="48">
        <f t="shared" si="2279"/>
        <v>0</v>
      </c>
      <c r="AL700" s="48">
        <f>AL694-AG694</f>
        <v>0</v>
      </c>
      <c r="AM700" s="48">
        <f t="shared" si="2279"/>
        <v>0</v>
      </c>
      <c r="AN700" s="48">
        <f t="shared" si="2279"/>
        <v>0</v>
      </c>
      <c r="AO700" s="48">
        <f t="shared" si="2279"/>
        <v>0</v>
      </c>
      <c r="AP700" s="48">
        <f t="shared" si="2266"/>
        <v>0</v>
      </c>
      <c r="AQ700" s="48">
        <f>AQ694-AL694</f>
        <v>0</v>
      </c>
      <c r="AR700" s="48">
        <f t="shared" si="2279"/>
        <v>0</v>
      </c>
      <c r="AS700" s="48">
        <f t="shared" si="2279"/>
        <v>0</v>
      </c>
      <c r="AT700" s="48">
        <f t="shared" si="2279"/>
        <v>0</v>
      </c>
      <c r="AU700" s="48">
        <f t="shared" si="2268"/>
        <v>0</v>
      </c>
      <c r="AV700" s="48">
        <f>AV694-AQ694</f>
        <v>0</v>
      </c>
      <c r="AW700" s="48">
        <f t="shared" si="2269"/>
        <v>0</v>
      </c>
      <c r="AX700" s="48">
        <f t="shared" si="2270"/>
        <v>0</v>
      </c>
      <c r="AY700" s="48">
        <f t="shared" si="2270"/>
        <v>0</v>
      </c>
      <c r="AZ700" s="48">
        <f t="shared" ref="AZ700" si="2280">AZ694-AY694</f>
        <v>0</v>
      </c>
      <c r="BA700" s="48">
        <f>BA694-AV694</f>
        <v>0</v>
      </c>
      <c r="BB700" s="48">
        <f t="shared" ref="BB700" si="2281">BB694-BA694</f>
        <v>0</v>
      </c>
      <c r="BC700" s="48">
        <f t="shared" ref="BC700" si="2282">BC694-BB694</f>
        <v>0</v>
      </c>
      <c r="BD700" s="48">
        <f t="shared" ref="BD700" si="2283">BD694-BC694</f>
        <v>0</v>
      </c>
      <c r="BE700" s="48">
        <f t="shared" ref="BE700" si="2284">BE694-BD694</f>
        <v>0</v>
      </c>
      <c r="BF700" s="48">
        <f>BF694-BA694</f>
        <v>0</v>
      </c>
      <c r="BG700" s="48">
        <f t="shared" ref="BG700" si="2285">BG694-BF694</f>
        <v>0</v>
      </c>
      <c r="BH700" s="48">
        <f t="shared" ref="BH700" si="2286">BH694-BG694</f>
        <v>0</v>
      </c>
      <c r="BI700" s="48">
        <f t="shared" ref="BI700" si="2287">BI694-BH694</f>
        <v>0</v>
      </c>
      <c r="BJ700" s="48">
        <f t="shared" ref="BJ700" si="2288">BJ694-BI694</f>
        <v>0</v>
      </c>
      <c r="BK700" s="48">
        <f>BK694-BF694</f>
        <v>0</v>
      </c>
      <c r="BL700" s="48">
        <f t="shared" ref="BL700" si="2289">BL694-BK694</f>
        <v>0</v>
      </c>
      <c r="BM700" s="48">
        <f t="shared" ref="BM700" si="2290">BM694-BL694</f>
        <v>0</v>
      </c>
      <c r="BN700" s="48">
        <f t="shared" ref="BN700" si="2291">BN694-BM694</f>
        <v>0</v>
      </c>
      <c r="BO700" s="48">
        <f t="shared" ref="BO700" si="2292">BO694-BN694</f>
        <v>0</v>
      </c>
      <c r="BP700" s="48">
        <f>BP694-BK694</f>
        <v>0</v>
      </c>
      <c r="BQ700" s="48" t="e">
        <f t="shared" ref="BQ700" si="2293">BQ694-BP694</f>
        <v>#NUM!</v>
      </c>
      <c r="BR700" s="48" t="e">
        <f t="shared" ref="BR700" si="2294">BR694-BQ694</f>
        <v>#NUM!</v>
      </c>
      <c r="BS700" s="48" t="e">
        <f t="shared" ref="BS700" si="2295">BS694-BR694</f>
        <v>#NUM!</v>
      </c>
      <c r="BT700" s="83"/>
      <c r="BU700" s="83"/>
    </row>
    <row r="701" spans="1:73">
      <c r="O701" s="98" t="s">
        <v>370</v>
      </c>
      <c r="P701" s="71"/>
      <c r="Q701" s="71"/>
      <c r="R701" s="71"/>
      <c r="S701" s="71"/>
      <c r="T701" s="71"/>
      <c r="U701" s="71"/>
      <c r="BT701" s="79"/>
      <c r="BU701" s="79"/>
    </row>
    <row r="702" spans="1:73">
      <c r="A702" s="1" t="s">
        <v>223</v>
      </c>
      <c r="I702" s="21">
        <f t="shared" ref="I702:N702" si="2296">I691/I694</f>
        <v>0</v>
      </c>
      <c r="J702" s="21">
        <f t="shared" si="2296"/>
        <v>0.17400204708290687</v>
      </c>
      <c r="K702" s="21">
        <f t="shared" si="2296"/>
        <v>0.26407369498464689</v>
      </c>
      <c r="L702" s="21">
        <f t="shared" si="2296"/>
        <v>0.26919140225179122</v>
      </c>
      <c r="M702" s="21">
        <f t="shared" si="2296"/>
        <v>0.26919140225179122</v>
      </c>
      <c r="N702" s="21">
        <f t="shared" si="2296"/>
        <v>0.29273285568065505</v>
      </c>
      <c r="O702" s="106">
        <f>(O691+O693)/O694</f>
        <v>0.32139201637666326</v>
      </c>
      <c r="P702" s="114">
        <f>(P691+P693)/P694</f>
        <v>0.51262135922330099</v>
      </c>
      <c r="Q702" s="114">
        <f t="shared" ref="Q702:T702" si="2297">(Q691+Q693)/Q694</f>
        <v>0.5436893203883495</v>
      </c>
      <c r="R702" s="114">
        <f t="shared" si="2297"/>
        <v>0.5436893203883495</v>
      </c>
      <c r="S702" s="114">
        <f t="shared" si="2297"/>
        <v>0.59611650485436896</v>
      </c>
      <c r="T702" s="114">
        <f t="shared" si="2297"/>
        <v>0.73203883495145627</v>
      </c>
      <c r="U702" s="114">
        <f t="shared" ref="U702:X702" si="2298">(U691+U693)/U694</f>
        <v>0.76407766990291259</v>
      </c>
      <c r="V702" s="114">
        <f t="shared" si="2298"/>
        <v>0.79708737864077672</v>
      </c>
      <c r="W702" s="114">
        <f t="shared" si="2298"/>
        <v>0.79708737864077672</v>
      </c>
      <c r="X702" s="114">
        <f t="shared" si="2298"/>
        <v>0.8529411764705882</v>
      </c>
      <c r="Y702" s="114">
        <f t="shared" ref="Y702:Z702" si="2299">(Y691+Y693)/Y694</f>
        <v>0.85091277890466532</v>
      </c>
      <c r="Z702" s="114">
        <f t="shared" si="2299"/>
        <v>0.85699797160243407</v>
      </c>
      <c r="AA702" s="114">
        <f t="shared" ref="AA702:AC702" si="2300">(AA691+AA693)/AA694</f>
        <v>0.8661257606490872</v>
      </c>
      <c r="AB702" s="114">
        <f t="shared" si="2300"/>
        <v>0.8661257606490872</v>
      </c>
      <c r="AC702" s="114">
        <f t="shared" si="2300"/>
        <v>0.87525354969574032</v>
      </c>
      <c r="AD702" s="114">
        <f t="shared" ref="AD702:AE702" si="2301">(AD691+AD693)/AD694</f>
        <v>0.87626774847870181</v>
      </c>
      <c r="AE702" s="114">
        <f t="shared" si="2301"/>
        <v>0.88336713995943206</v>
      </c>
      <c r="AF702" s="114">
        <f t="shared" ref="AF702:AI702" si="2302">(AF691+AF693)/AF694</f>
        <v>0.88438133874239355</v>
      </c>
      <c r="AG702" s="114">
        <f t="shared" si="2302"/>
        <v>0.88438133874239355</v>
      </c>
      <c r="AH702" s="114">
        <f t="shared" si="2302"/>
        <v>0.88336713995943206</v>
      </c>
      <c r="AI702" s="114">
        <f t="shared" si="2302"/>
        <v>0.88336713995943206</v>
      </c>
      <c r="AJ702" s="114">
        <f t="shared" ref="AJ702:AK702" si="2303">(AJ691+AJ693)/AJ694</f>
        <v>0.88438133874239355</v>
      </c>
      <c r="AK702" s="114">
        <f t="shared" si="2303"/>
        <v>0.88438133874239355</v>
      </c>
      <c r="AL702" s="114">
        <f t="shared" ref="AL702:AN702" si="2304">(AL691+AL693)/AL694</f>
        <v>0.88438133874239355</v>
      </c>
      <c r="AM702" s="114">
        <f t="shared" si="2304"/>
        <v>0.88438133874239355</v>
      </c>
      <c r="AN702" s="114">
        <f t="shared" si="2304"/>
        <v>0.88438133874239355</v>
      </c>
      <c r="AO702" s="114">
        <f t="shared" ref="AO702:AP702" si="2305">(AO691+AO693)/AO694</f>
        <v>0.88438133874239355</v>
      </c>
      <c r="AP702" s="114">
        <f t="shared" si="2305"/>
        <v>0.88438133874239355</v>
      </c>
      <c r="AQ702" s="114">
        <f t="shared" ref="AQ702:AR702" si="2306">(AQ691+AQ693)/AQ694</f>
        <v>0.88438133874239355</v>
      </c>
      <c r="AR702" s="114">
        <f t="shared" si="2306"/>
        <v>0.88438133874239355</v>
      </c>
      <c r="AS702" s="114">
        <f t="shared" ref="AS702:AV702" si="2307">(AS691+AS693)/AS694</f>
        <v>0.88438133874239355</v>
      </c>
      <c r="AT702" s="114">
        <f t="shared" si="2307"/>
        <v>0.88438133874239355</v>
      </c>
      <c r="AU702" s="114">
        <f t="shared" si="2307"/>
        <v>0.88438133874239355</v>
      </c>
      <c r="AV702" s="114">
        <f t="shared" si="2307"/>
        <v>0.88438133874239355</v>
      </c>
      <c r="AW702" s="114">
        <f t="shared" ref="AW702:BA702" si="2308">(AW691+AW693)/AW694</f>
        <v>0.88438133874239355</v>
      </c>
      <c r="AX702" s="114">
        <f t="shared" si="2308"/>
        <v>0.88438133874239355</v>
      </c>
      <c r="AY702" s="114">
        <f t="shared" si="2308"/>
        <v>0.88438133874239355</v>
      </c>
      <c r="AZ702" s="114">
        <f t="shared" si="2308"/>
        <v>0.88438133874239355</v>
      </c>
      <c r="BA702" s="114">
        <f t="shared" si="2308"/>
        <v>0.88438133874239355</v>
      </c>
      <c r="BB702" s="114">
        <f t="shared" ref="BB702:BS702" si="2309">(BB691+BB693)/BB694</f>
        <v>0.88438133874239355</v>
      </c>
      <c r="BC702" s="114">
        <f t="shared" si="2309"/>
        <v>0.88438133874239355</v>
      </c>
      <c r="BD702" s="114">
        <f t="shared" si="2309"/>
        <v>0.88438133874239355</v>
      </c>
      <c r="BE702" s="114">
        <f t="shared" si="2309"/>
        <v>0.88438133874239355</v>
      </c>
      <c r="BF702" s="114">
        <f t="shared" si="2309"/>
        <v>0.88438133874239355</v>
      </c>
      <c r="BG702" s="114">
        <f t="shared" si="2309"/>
        <v>0.88438133874239355</v>
      </c>
      <c r="BH702" s="114">
        <f t="shared" si="2309"/>
        <v>0.88438133874239355</v>
      </c>
      <c r="BI702" s="114">
        <f t="shared" si="2309"/>
        <v>0.88438133874239355</v>
      </c>
      <c r="BJ702" s="114">
        <f t="shared" si="2309"/>
        <v>0.88438133874239355</v>
      </c>
      <c r="BK702" s="114">
        <f t="shared" si="2309"/>
        <v>0.88438133874239355</v>
      </c>
      <c r="BL702" s="114">
        <f t="shared" si="2309"/>
        <v>0.88438133874239355</v>
      </c>
      <c r="BM702" s="114">
        <f t="shared" si="2309"/>
        <v>0.88438133874239355</v>
      </c>
      <c r="BN702" s="114">
        <f t="shared" si="2309"/>
        <v>0.88438133874239355</v>
      </c>
      <c r="BO702" s="114">
        <f t="shared" si="2309"/>
        <v>0.88438133874239355</v>
      </c>
      <c r="BP702" s="114">
        <f t="shared" si="2309"/>
        <v>0.88438133874239355</v>
      </c>
      <c r="BQ702" s="114" t="e">
        <f t="shared" si="2309"/>
        <v>#NUM!</v>
      </c>
      <c r="BR702" s="114" t="e">
        <f t="shared" si="2309"/>
        <v>#NUM!</v>
      </c>
      <c r="BS702" s="114" t="e">
        <f t="shared" si="2309"/>
        <v>#NUM!</v>
      </c>
      <c r="BT702" s="215"/>
      <c r="BU702" s="215"/>
    </row>
    <row r="703" spans="1:73">
      <c r="A703" s="1" t="s">
        <v>224</v>
      </c>
      <c r="I703" s="21">
        <f t="shared" ref="I703:P703" si="2310">I692/I694</f>
        <v>1</v>
      </c>
      <c r="J703" s="21">
        <f t="shared" si="2310"/>
        <v>0.8259979529170931</v>
      </c>
      <c r="K703" s="21">
        <f t="shared" si="2310"/>
        <v>0.73592630501535317</v>
      </c>
      <c r="L703" s="21">
        <f t="shared" si="2310"/>
        <v>0.73080859774820883</v>
      </c>
      <c r="M703" s="21">
        <f t="shared" si="2310"/>
        <v>0.73080859774820883</v>
      </c>
      <c r="N703" s="21">
        <f t="shared" si="2310"/>
        <v>0.7072671443193449</v>
      </c>
      <c r="O703" s="106">
        <f t="shared" si="2310"/>
        <v>0.67860798362333674</v>
      </c>
      <c r="P703" s="114">
        <f t="shared" si="2310"/>
        <v>0.48737864077669901</v>
      </c>
      <c r="Q703" s="114">
        <f t="shared" ref="Q703:T703" si="2311">Q692/Q694</f>
        <v>0.4563106796116505</v>
      </c>
      <c r="R703" s="114">
        <f t="shared" si="2311"/>
        <v>0.4563106796116505</v>
      </c>
      <c r="S703" s="114">
        <f t="shared" si="2311"/>
        <v>0.40388349514563104</v>
      </c>
      <c r="T703" s="114">
        <f t="shared" si="2311"/>
        <v>0.26796116504854367</v>
      </c>
      <c r="U703" s="114">
        <f t="shared" ref="U703:X703" si="2312">U692/U694</f>
        <v>0.23592233009708738</v>
      </c>
      <c r="V703" s="114">
        <f t="shared" si="2312"/>
        <v>0.20291262135922331</v>
      </c>
      <c r="W703" s="114">
        <f t="shared" si="2312"/>
        <v>0.20291262135922331</v>
      </c>
      <c r="X703" s="114">
        <f t="shared" si="2312"/>
        <v>0.14705882352941177</v>
      </c>
      <c r="Y703" s="114">
        <f t="shared" ref="Y703:Z703" si="2313">Y692/Y694</f>
        <v>0.14908722109533468</v>
      </c>
      <c r="Z703" s="114">
        <f t="shared" si="2313"/>
        <v>0.14300202839756593</v>
      </c>
      <c r="AA703" s="114">
        <f t="shared" ref="AA703:AC703" si="2314">AA692/AA694</f>
        <v>0.13387423935091278</v>
      </c>
      <c r="AB703" s="114">
        <f t="shared" si="2314"/>
        <v>0.13387423935091278</v>
      </c>
      <c r="AC703" s="114">
        <f t="shared" si="2314"/>
        <v>0.12474645030425964</v>
      </c>
      <c r="AD703" s="114">
        <f t="shared" ref="AD703:AE703" si="2315">AD692/AD694</f>
        <v>0.12373225152129817</v>
      </c>
      <c r="AE703" s="114">
        <f t="shared" si="2315"/>
        <v>0.11663286004056796</v>
      </c>
      <c r="AF703" s="114">
        <f t="shared" ref="AF703:AI703" si="2316">AF692/AF694</f>
        <v>0.11561866125760649</v>
      </c>
      <c r="AG703" s="114">
        <f t="shared" si="2316"/>
        <v>0.11561866125760649</v>
      </c>
      <c r="AH703" s="114">
        <f t="shared" si="2316"/>
        <v>0.11663286004056796</v>
      </c>
      <c r="AI703" s="114">
        <f t="shared" si="2316"/>
        <v>0.11663286004056796</v>
      </c>
      <c r="AJ703" s="114">
        <f t="shared" ref="AJ703:AK703" si="2317">AJ692/AJ694</f>
        <v>0.11561866125760649</v>
      </c>
      <c r="AK703" s="114">
        <f t="shared" si="2317"/>
        <v>0.11561866125760649</v>
      </c>
      <c r="AL703" s="114">
        <f t="shared" ref="AL703:AN703" si="2318">AL692/AL694</f>
        <v>0.11561866125760649</v>
      </c>
      <c r="AM703" s="114">
        <f t="shared" si="2318"/>
        <v>0.11561866125760649</v>
      </c>
      <c r="AN703" s="114">
        <f t="shared" si="2318"/>
        <v>0.11561866125760649</v>
      </c>
      <c r="AO703" s="114">
        <f t="shared" ref="AO703:AP703" si="2319">AO692/AO694</f>
        <v>0.11561866125760649</v>
      </c>
      <c r="AP703" s="114">
        <f t="shared" si="2319"/>
        <v>0.11561866125760649</v>
      </c>
      <c r="AQ703" s="114">
        <f t="shared" ref="AQ703:AR703" si="2320">AQ692/AQ694</f>
        <v>0.11561866125760649</v>
      </c>
      <c r="AR703" s="114">
        <f t="shared" si="2320"/>
        <v>0.11561866125760649</v>
      </c>
      <c r="AS703" s="114">
        <f t="shared" ref="AS703:AV703" si="2321">AS692/AS694</f>
        <v>0.11561866125760649</v>
      </c>
      <c r="AT703" s="114">
        <f t="shared" si="2321"/>
        <v>0.11561866125760649</v>
      </c>
      <c r="AU703" s="114">
        <f t="shared" si="2321"/>
        <v>0.11561866125760649</v>
      </c>
      <c r="AV703" s="114">
        <f t="shared" si="2321"/>
        <v>0.11561866125760649</v>
      </c>
      <c r="AW703" s="114">
        <f t="shared" ref="AW703:BA703" si="2322">AW692/AW694</f>
        <v>0.11561866125760649</v>
      </c>
      <c r="AX703" s="114">
        <f t="shared" si="2322"/>
        <v>0.11561866125760649</v>
      </c>
      <c r="AY703" s="114">
        <f t="shared" si="2322"/>
        <v>0.11561866125760649</v>
      </c>
      <c r="AZ703" s="114">
        <f t="shared" si="2322"/>
        <v>0.11561866125760649</v>
      </c>
      <c r="BA703" s="114">
        <f t="shared" si="2322"/>
        <v>0.11561866125760649</v>
      </c>
      <c r="BB703" s="114">
        <f t="shared" ref="BB703:BS703" si="2323">BB692/BB694</f>
        <v>0.11561866125760649</v>
      </c>
      <c r="BC703" s="114">
        <f t="shared" si="2323"/>
        <v>0.11561866125760649</v>
      </c>
      <c r="BD703" s="114">
        <f t="shared" si="2323"/>
        <v>0.11561866125760649</v>
      </c>
      <c r="BE703" s="114">
        <f t="shared" si="2323"/>
        <v>0.11561866125760649</v>
      </c>
      <c r="BF703" s="114">
        <f t="shared" si="2323"/>
        <v>0.11561866125760649</v>
      </c>
      <c r="BG703" s="114">
        <f t="shared" si="2323"/>
        <v>0.11561866125760649</v>
      </c>
      <c r="BH703" s="114">
        <f t="shared" si="2323"/>
        <v>0.11561866125760649</v>
      </c>
      <c r="BI703" s="114">
        <f t="shared" si="2323"/>
        <v>0.11561866125760649</v>
      </c>
      <c r="BJ703" s="114">
        <f t="shared" si="2323"/>
        <v>0.11561866125760649</v>
      </c>
      <c r="BK703" s="114">
        <f t="shared" si="2323"/>
        <v>0.11561866125760649</v>
      </c>
      <c r="BL703" s="114">
        <f t="shared" si="2323"/>
        <v>0.11561866125760649</v>
      </c>
      <c r="BM703" s="114">
        <f t="shared" si="2323"/>
        <v>0.11561866125760649</v>
      </c>
      <c r="BN703" s="114">
        <f t="shared" si="2323"/>
        <v>0.11561866125760649</v>
      </c>
      <c r="BO703" s="114">
        <f t="shared" si="2323"/>
        <v>0.11561866125760649</v>
      </c>
      <c r="BP703" s="114">
        <f t="shared" si="2323"/>
        <v>0.11561866125760649</v>
      </c>
      <c r="BQ703" s="114" t="e">
        <f t="shared" si="2323"/>
        <v>#NUM!</v>
      </c>
      <c r="BR703" s="114" t="e">
        <f t="shared" si="2323"/>
        <v>#NUM!</v>
      </c>
      <c r="BS703" s="114" t="e">
        <f t="shared" si="2323"/>
        <v>#NUM!</v>
      </c>
      <c r="BT703" s="215"/>
      <c r="BU703" s="215"/>
    </row>
    <row r="705" spans="1:73">
      <c r="A705" s="3" t="s">
        <v>86</v>
      </c>
    </row>
    <row r="706" spans="1:73">
      <c r="O706" s="98" t="s">
        <v>371</v>
      </c>
      <c r="P706" s="71"/>
      <c r="Q706" s="71"/>
      <c r="R706" s="71"/>
    </row>
    <row r="707" spans="1:73">
      <c r="A707" s="5" t="s">
        <v>199</v>
      </c>
      <c r="I707" s="38"/>
      <c r="J707" s="37">
        <v>7400</v>
      </c>
      <c r="K707" s="37">
        <f>6300+3700</f>
        <v>10000</v>
      </c>
      <c r="L707" s="37">
        <f>6400+3700</f>
        <v>10100</v>
      </c>
      <c r="M707" s="38">
        <f>L707</f>
        <v>10100</v>
      </c>
      <c r="N707" s="37">
        <f>7100+3700</f>
        <v>10800</v>
      </c>
      <c r="O707" s="70">
        <f>7200+3700+800</f>
        <v>11700</v>
      </c>
      <c r="P707" s="37">
        <f>15300+3700+900</f>
        <v>19900</v>
      </c>
      <c r="Q707" s="37">
        <f>17500+3700</f>
        <v>21200</v>
      </c>
      <c r="R707" s="38">
        <f>Q707</f>
        <v>21200</v>
      </c>
      <c r="S707" s="37">
        <f>19600+3800</f>
        <v>23400</v>
      </c>
      <c r="T707" s="37">
        <f>25700+3800</f>
        <v>29500</v>
      </c>
      <c r="U707" s="37">
        <f>26900+3800</f>
        <v>30700</v>
      </c>
      <c r="V707" s="37">
        <f>28600+3800</f>
        <v>32400</v>
      </c>
      <c r="W707" s="38">
        <f>V707</f>
        <v>32400</v>
      </c>
      <c r="X707" s="37">
        <f>27500+900</f>
        <v>28400</v>
      </c>
      <c r="Y707" s="37">
        <f>27500+900</f>
        <v>28400</v>
      </c>
      <c r="Z707" s="37">
        <f>28000+900</f>
        <v>28900</v>
      </c>
      <c r="AA707" s="37">
        <f>28500+800</f>
        <v>29300</v>
      </c>
      <c r="AB707" s="38">
        <f>AA707</f>
        <v>29300</v>
      </c>
      <c r="AC707" s="37">
        <f>27300+2300</f>
        <v>29600</v>
      </c>
      <c r="AD707" s="37">
        <f>23200+6400</f>
        <v>29600</v>
      </c>
      <c r="AE707" s="37">
        <f>22800+7000</f>
        <v>29800</v>
      </c>
      <c r="AF707" s="37">
        <f>22600+7300</f>
        <v>29900</v>
      </c>
      <c r="AG707" s="38">
        <f>AF707</f>
        <v>29900</v>
      </c>
      <c r="AH707" s="37">
        <f>20900+8900</f>
        <v>29800</v>
      </c>
      <c r="AI707" s="37">
        <f>20800+9000</f>
        <v>29800</v>
      </c>
      <c r="AJ707" s="37">
        <f>20700+9200</f>
        <v>29900</v>
      </c>
      <c r="AK707" s="37">
        <f>20700+9200</f>
        <v>29900</v>
      </c>
      <c r="AL707" s="38">
        <f>AK707</f>
        <v>29900</v>
      </c>
      <c r="AM707" s="37">
        <f>20700+9200</f>
        <v>29900</v>
      </c>
      <c r="AN707" s="37">
        <f>20700+9200</f>
        <v>29900</v>
      </c>
      <c r="AO707" s="37">
        <f>20700+9200</f>
        <v>29900</v>
      </c>
      <c r="AP707" s="37">
        <f>20700+9200</f>
        <v>29900</v>
      </c>
      <c r="AQ707" s="38">
        <f>AP707</f>
        <v>29900</v>
      </c>
      <c r="AR707" s="37">
        <f>20700+9200</f>
        <v>29900</v>
      </c>
      <c r="AS707" s="37">
        <f>20700+9200</f>
        <v>29900</v>
      </c>
      <c r="AT707" s="37">
        <f>20700+9200</f>
        <v>29900</v>
      </c>
      <c r="AU707" s="37">
        <f>19400+10500</f>
        <v>29900</v>
      </c>
      <c r="AV707" s="38">
        <f>AU707</f>
        <v>29900</v>
      </c>
      <c r="AW707" s="37">
        <f>19400+10500</f>
        <v>29900</v>
      </c>
      <c r="AX707" s="37">
        <v>29900</v>
      </c>
      <c r="AY707" s="37">
        <v>29900</v>
      </c>
      <c r="AZ707" s="36">
        <f>AZ709-AZ708</f>
        <v>29900</v>
      </c>
      <c r="BA707" s="38">
        <f t="shared" ref="BA707:BA709" si="2324">AZ707</f>
        <v>29900</v>
      </c>
      <c r="BB707" s="36">
        <f>BB709-BB708</f>
        <v>29900</v>
      </c>
      <c r="BC707" s="36">
        <f>BC709-BC708</f>
        <v>29900</v>
      </c>
      <c r="BD707" s="36">
        <f>BD709-BD708</f>
        <v>29900</v>
      </c>
      <c r="BE707" s="36">
        <f>BE709-BE708</f>
        <v>29900</v>
      </c>
      <c r="BF707" s="38">
        <f t="shared" ref="BF707:BF709" si="2325">BE707</f>
        <v>29900</v>
      </c>
      <c r="BG707" s="36">
        <f>BG709-BG708</f>
        <v>29900</v>
      </c>
      <c r="BH707" s="36">
        <f>BH709-BH708</f>
        <v>29900</v>
      </c>
      <c r="BI707" s="36">
        <f>BI709-BI708</f>
        <v>29900</v>
      </c>
      <c r="BJ707" s="36">
        <f>BJ709-BJ708</f>
        <v>29900</v>
      </c>
      <c r="BK707" s="38">
        <f t="shared" ref="BK707:BK709" si="2326">BJ707</f>
        <v>29900</v>
      </c>
      <c r="BL707" s="36">
        <f>BL709-BL708</f>
        <v>29900</v>
      </c>
      <c r="BM707" s="36">
        <f>BM709-BM708</f>
        <v>29900</v>
      </c>
      <c r="BN707" s="36">
        <f>BN709-BN708</f>
        <v>29900</v>
      </c>
      <c r="BO707" s="36">
        <f>BO709-BO708</f>
        <v>29900</v>
      </c>
      <c r="BP707" s="38">
        <f t="shared" ref="BP707:BP709" si="2327">BO707</f>
        <v>29900</v>
      </c>
      <c r="BQ707" s="36">
        <f>BQ709-BQ708</f>
        <v>29900</v>
      </c>
      <c r="BR707" s="36">
        <f>BR709-BR708</f>
        <v>29900</v>
      </c>
      <c r="BS707" s="36">
        <f>BS709-BS708</f>
        <v>29900</v>
      </c>
      <c r="BT707" s="59"/>
      <c r="BU707" s="83"/>
    </row>
    <row r="708" spans="1:73">
      <c r="A708" s="5" t="s">
        <v>200</v>
      </c>
      <c r="I708" s="38"/>
      <c r="J708" s="38">
        <f>J709-J707</f>
        <v>25100</v>
      </c>
      <c r="K708" s="38">
        <f>K709-K707</f>
        <v>22500</v>
      </c>
      <c r="L708" s="38">
        <f>L709-L707</f>
        <v>22400</v>
      </c>
      <c r="M708" s="38">
        <f>L708</f>
        <v>22400</v>
      </c>
      <c r="N708" s="38">
        <f>N709-N707</f>
        <v>21700</v>
      </c>
      <c r="O708" s="38">
        <f>O709-O707</f>
        <v>20800</v>
      </c>
      <c r="P708" s="38">
        <f>P709-P707</f>
        <v>17600</v>
      </c>
      <c r="Q708" s="38">
        <f>Q709-Q707</f>
        <v>16300</v>
      </c>
      <c r="R708" s="38">
        <f>Q708</f>
        <v>16300</v>
      </c>
      <c r="S708" s="38">
        <f>S709-S707</f>
        <v>14100</v>
      </c>
      <c r="T708" s="38">
        <f>T709-T707</f>
        <v>8000</v>
      </c>
      <c r="U708" s="38">
        <f>U709-U707</f>
        <v>6800</v>
      </c>
      <c r="V708" s="38">
        <f>V709-V707</f>
        <v>5100</v>
      </c>
      <c r="W708" s="38">
        <f>V708</f>
        <v>5100</v>
      </c>
      <c r="X708" s="38">
        <f>X709-X707</f>
        <v>4700</v>
      </c>
      <c r="Y708" s="38">
        <f>Y709-Y707</f>
        <v>4700</v>
      </c>
      <c r="Z708" s="38">
        <f>Z709-Z707</f>
        <v>4200</v>
      </c>
      <c r="AA708" s="38">
        <f>AA709-AA707</f>
        <v>3800</v>
      </c>
      <c r="AB708" s="38">
        <f>AA708</f>
        <v>3800</v>
      </c>
      <c r="AC708" s="38">
        <f>AC709-AC707</f>
        <v>3500</v>
      </c>
      <c r="AD708" s="38">
        <f>AD709-AD707</f>
        <v>3500</v>
      </c>
      <c r="AE708" s="38">
        <f>AE709-AE707</f>
        <v>3300</v>
      </c>
      <c r="AF708" s="38">
        <f>AF709-AF707</f>
        <v>3200</v>
      </c>
      <c r="AG708" s="38">
        <f>AF708</f>
        <v>3200</v>
      </c>
      <c r="AH708" s="38">
        <f>AH709-AH707</f>
        <v>3300</v>
      </c>
      <c r="AI708" s="38">
        <f>AI709-AI707</f>
        <v>3300</v>
      </c>
      <c r="AJ708" s="38">
        <f>AJ709-AJ707</f>
        <v>3200</v>
      </c>
      <c r="AK708" s="38">
        <f>AK709-AK707</f>
        <v>3200</v>
      </c>
      <c r="AL708" s="38">
        <f>AK708</f>
        <v>3200</v>
      </c>
      <c r="AM708" s="38">
        <f>AM709-AM707</f>
        <v>3200</v>
      </c>
      <c r="AN708" s="38">
        <f>AN709-AN707</f>
        <v>3200</v>
      </c>
      <c r="AO708" s="38">
        <f>AO709-AO707</f>
        <v>3200</v>
      </c>
      <c r="AP708" s="38">
        <f>AP709-AP707</f>
        <v>3200</v>
      </c>
      <c r="AQ708" s="38">
        <f>AP708</f>
        <v>3200</v>
      </c>
      <c r="AR708" s="38">
        <f>AR709-AR707</f>
        <v>3200</v>
      </c>
      <c r="AS708" s="38">
        <f>AS709-AS707</f>
        <v>3200</v>
      </c>
      <c r="AT708" s="38">
        <f>AT709-AT707</f>
        <v>3200</v>
      </c>
      <c r="AU708" s="38">
        <f>AU709-AU707</f>
        <v>3200</v>
      </c>
      <c r="AV708" s="38">
        <f>AU708</f>
        <v>3200</v>
      </c>
      <c r="AW708" s="38">
        <f>AW709-AW707</f>
        <v>3200</v>
      </c>
      <c r="AX708" s="38">
        <f>AX709-AX707</f>
        <v>3200</v>
      </c>
      <c r="AY708" s="38">
        <f>AY709-AY707</f>
        <v>3200</v>
      </c>
      <c r="AZ708" s="38">
        <f>AY708+MROUND(AZ665*AZ698, 5)</f>
        <v>3200</v>
      </c>
      <c r="BA708" s="38">
        <f t="shared" si="2324"/>
        <v>3200</v>
      </c>
      <c r="BB708" s="38">
        <f>BA708+MROUND(BB665*BB698, 5)</f>
        <v>3200</v>
      </c>
      <c r="BC708" s="38">
        <f>BB708+MROUND(BC665*BC698, 5)</f>
        <v>3200</v>
      </c>
      <c r="BD708" s="38">
        <f>BC708+MROUND(BD665*BD698, 5)</f>
        <v>3200</v>
      </c>
      <c r="BE708" s="38">
        <f>BD708+MROUND(BE665*BE698, 5)</f>
        <v>3200</v>
      </c>
      <c r="BF708" s="38">
        <f t="shared" si="2325"/>
        <v>3200</v>
      </c>
      <c r="BG708" s="38">
        <f>BF708+MROUND(BG665*BG698, 5)</f>
        <v>3200</v>
      </c>
      <c r="BH708" s="38">
        <f>BG708+MROUND(BH665*BH698, 5)</f>
        <v>3200</v>
      </c>
      <c r="BI708" s="38">
        <f>BH708+MROUND(BI665*BI698, 5)</f>
        <v>3200</v>
      </c>
      <c r="BJ708" s="38">
        <f>BI708+MROUND(BJ665*BJ698, 5)</f>
        <v>3200</v>
      </c>
      <c r="BK708" s="38">
        <f t="shared" si="2326"/>
        <v>3200</v>
      </c>
      <c r="BL708" s="38">
        <f>BK708+MROUND(BL665*BL698, 5)</f>
        <v>3200</v>
      </c>
      <c r="BM708" s="38">
        <f>BL708+MROUND(BM665*BM698, 5)</f>
        <v>3200</v>
      </c>
      <c r="BN708" s="38">
        <f>BM708+MROUND(BN665*BN698, 5)</f>
        <v>3200</v>
      </c>
      <c r="BO708" s="38">
        <f>BN708+MROUND(BO665*BO698, 5)</f>
        <v>3200</v>
      </c>
      <c r="BP708" s="38">
        <f t="shared" si="2327"/>
        <v>3200</v>
      </c>
      <c r="BQ708" s="38">
        <f>BP708+MROUND(BQ665*BQ698, 5)</f>
        <v>3200</v>
      </c>
      <c r="BR708" s="38">
        <f>BQ708+MROUND(BR665*BR698, 5)</f>
        <v>3200</v>
      </c>
      <c r="BS708" s="38">
        <f>BR708+MROUND(BS665*BS698, 5)</f>
        <v>3200</v>
      </c>
      <c r="BT708" s="83"/>
      <c r="BU708" s="83"/>
    </row>
    <row r="709" spans="1:73">
      <c r="A709" s="9" t="s">
        <v>202</v>
      </c>
      <c r="B709" s="9"/>
      <c r="C709" s="9"/>
      <c r="D709" s="9"/>
      <c r="E709" s="9"/>
      <c r="F709" s="9"/>
      <c r="G709" s="9"/>
      <c r="H709" s="9"/>
      <c r="I709" s="39"/>
      <c r="J709" s="67">
        <v>32500</v>
      </c>
      <c r="K709" s="67">
        <f>28100+4400</f>
        <v>32500</v>
      </c>
      <c r="L709" s="67">
        <f>28100+4400</f>
        <v>32500</v>
      </c>
      <c r="M709" s="39">
        <f>L709</f>
        <v>32500</v>
      </c>
      <c r="N709" s="67">
        <f>28100+4400</f>
        <v>32500</v>
      </c>
      <c r="O709" s="67">
        <f>28100+4400</f>
        <v>32500</v>
      </c>
      <c r="P709" s="67">
        <f>33100+4400</f>
        <v>37500</v>
      </c>
      <c r="Q709" s="67">
        <f>33100+4400</f>
        <v>37500</v>
      </c>
      <c r="R709" s="39">
        <f>Q709</f>
        <v>37500</v>
      </c>
      <c r="S709" s="67">
        <f>33100+4400</f>
        <v>37500</v>
      </c>
      <c r="T709" s="67">
        <f>33100+4400</f>
        <v>37500</v>
      </c>
      <c r="U709" s="67">
        <f>33100+4400</f>
        <v>37500</v>
      </c>
      <c r="V709" s="67">
        <f>33100+4400</f>
        <v>37500</v>
      </c>
      <c r="W709" s="39">
        <f>V709</f>
        <v>37500</v>
      </c>
      <c r="X709" s="67">
        <v>33100</v>
      </c>
      <c r="Y709" s="67">
        <v>33100</v>
      </c>
      <c r="Z709" s="67">
        <v>33100</v>
      </c>
      <c r="AA709" s="67">
        <v>33100</v>
      </c>
      <c r="AB709" s="39">
        <f>AA709</f>
        <v>33100</v>
      </c>
      <c r="AC709" s="67">
        <v>33100</v>
      </c>
      <c r="AD709" s="67">
        <v>33100</v>
      </c>
      <c r="AE709" s="67">
        <v>33100</v>
      </c>
      <c r="AF709" s="67">
        <v>33100</v>
      </c>
      <c r="AG709" s="39">
        <f>AF709</f>
        <v>33100</v>
      </c>
      <c r="AH709" s="67">
        <v>33100</v>
      </c>
      <c r="AI709" s="67">
        <v>33100</v>
      </c>
      <c r="AJ709" s="67">
        <v>33100</v>
      </c>
      <c r="AK709" s="67">
        <v>33100</v>
      </c>
      <c r="AL709" s="39">
        <f>AK709</f>
        <v>33100</v>
      </c>
      <c r="AM709" s="67">
        <v>33100</v>
      </c>
      <c r="AN709" s="67">
        <v>33100</v>
      </c>
      <c r="AO709" s="67">
        <v>33100</v>
      </c>
      <c r="AP709" s="67">
        <v>33100</v>
      </c>
      <c r="AQ709" s="39">
        <f>AP709</f>
        <v>33100</v>
      </c>
      <c r="AR709" s="67">
        <v>33100</v>
      </c>
      <c r="AS709" s="67">
        <v>33100</v>
      </c>
      <c r="AT709" s="67">
        <v>33100</v>
      </c>
      <c r="AU709" s="67">
        <v>33100</v>
      </c>
      <c r="AV709" s="39">
        <f>AU709</f>
        <v>33100</v>
      </c>
      <c r="AW709" s="67">
        <v>33100</v>
      </c>
      <c r="AX709" s="67">
        <v>33100</v>
      </c>
      <c r="AY709" s="67">
        <v>33100</v>
      </c>
      <c r="AZ709" s="58">
        <f>AY709</f>
        <v>33100</v>
      </c>
      <c r="BA709" s="39">
        <f t="shared" si="2324"/>
        <v>33100</v>
      </c>
      <c r="BB709" s="58">
        <f>BA709</f>
        <v>33100</v>
      </c>
      <c r="BC709" s="58">
        <f>BB709</f>
        <v>33100</v>
      </c>
      <c r="BD709" s="58">
        <f>BC709</f>
        <v>33100</v>
      </c>
      <c r="BE709" s="58">
        <f>BD709</f>
        <v>33100</v>
      </c>
      <c r="BF709" s="39">
        <f t="shared" si="2325"/>
        <v>33100</v>
      </c>
      <c r="BG709" s="58">
        <f>BF709</f>
        <v>33100</v>
      </c>
      <c r="BH709" s="58">
        <f>BG709</f>
        <v>33100</v>
      </c>
      <c r="BI709" s="58">
        <f>BH709</f>
        <v>33100</v>
      </c>
      <c r="BJ709" s="58">
        <f>BI709</f>
        <v>33100</v>
      </c>
      <c r="BK709" s="39">
        <f t="shared" si="2326"/>
        <v>33100</v>
      </c>
      <c r="BL709" s="58">
        <f>BK709</f>
        <v>33100</v>
      </c>
      <c r="BM709" s="58">
        <f>BL709</f>
        <v>33100</v>
      </c>
      <c r="BN709" s="58">
        <f>BM709</f>
        <v>33100</v>
      </c>
      <c r="BO709" s="58">
        <f>BN709</f>
        <v>33100</v>
      </c>
      <c r="BP709" s="39">
        <f t="shared" si="2327"/>
        <v>33100</v>
      </c>
      <c r="BQ709" s="58">
        <f>BP709</f>
        <v>33100</v>
      </c>
      <c r="BR709" s="58">
        <f>BQ709</f>
        <v>33100</v>
      </c>
      <c r="BS709" s="58">
        <f>BR709</f>
        <v>33100</v>
      </c>
      <c r="BT709" s="59"/>
      <c r="BU709" s="59"/>
    </row>
    <row r="710" spans="1:73">
      <c r="BT710" s="79"/>
      <c r="BU710" s="79"/>
    </row>
    <row r="711" spans="1:73">
      <c r="A711" s="1" t="s">
        <v>223</v>
      </c>
      <c r="J711" s="21">
        <f t="shared" ref="J711:T711" si="2328">J707/J709</f>
        <v>0.22769230769230769</v>
      </c>
      <c r="K711" s="21">
        <f t="shared" si="2328"/>
        <v>0.30769230769230771</v>
      </c>
      <c r="L711" s="21">
        <f t="shared" si="2328"/>
        <v>0.31076923076923074</v>
      </c>
      <c r="M711" s="21">
        <f t="shared" si="2328"/>
        <v>0.31076923076923074</v>
      </c>
      <c r="N711" s="21">
        <f t="shared" si="2328"/>
        <v>0.3323076923076923</v>
      </c>
      <c r="O711" s="21">
        <f t="shared" si="2328"/>
        <v>0.36</v>
      </c>
      <c r="P711" s="21">
        <f t="shared" si="2328"/>
        <v>0.53066666666666662</v>
      </c>
      <c r="Q711" s="21">
        <f t="shared" si="2328"/>
        <v>0.56533333333333335</v>
      </c>
      <c r="R711" s="21">
        <f t="shared" si="2328"/>
        <v>0.56533333333333335</v>
      </c>
      <c r="S711" s="21">
        <f t="shared" si="2328"/>
        <v>0.624</v>
      </c>
      <c r="T711" s="21">
        <f t="shared" si="2328"/>
        <v>0.78666666666666663</v>
      </c>
      <c r="U711" s="21">
        <f t="shared" ref="U711:X711" si="2329">U707/U709</f>
        <v>0.81866666666666665</v>
      </c>
      <c r="V711" s="21">
        <f t="shared" si="2329"/>
        <v>0.86399999999999999</v>
      </c>
      <c r="W711" s="21">
        <f t="shared" si="2329"/>
        <v>0.86399999999999999</v>
      </c>
      <c r="X711" s="21">
        <f t="shared" si="2329"/>
        <v>0.85800604229607247</v>
      </c>
      <c r="Y711" s="21">
        <f t="shared" ref="Y711:Z711" si="2330">Y707/Y709</f>
        <v>0.85800604229607247</v>
      </c>
      <c r="Z711" s="21">
        <f t="shared" si="2330"/>
        <v>0.87311178247734134</v>
      </c>
      <c r="AA711" s="21">
        <f t="shared" ref="AA711:AB711" si="2331">AA707/AA709</f>
        <v>0.88519637462235645</v>
      </c>
      <c r="AB711" s="21">
        <f t="shared" si="2331"/>
        <v>0.88519637462235645</v>
      </c>
      <c r="AC711" s="21">
        <f t="shared" ref="AC711:AD711" si="2332">AC707/AC709</f>
        <v>0.89425981873111782</v>
      </c>
      <c r="AD711" s="21">
        <f t="shared" si="2332"/>
        <v>0.89425981873111782</v>
      </c>
      <c r="AE711" s="21">
        <f t="shared" ref="AE711:AI711" si="2333">AE707/AE709</f>
        <v>0.90030211480362543</v>
      </c>
      <c r="AF711" s="21">
        <f t="shared" si="2333"/>
        <v>0.90332326283987918</v>
      </c>
      <c r="AG711" s="21">
        <f t="shared" si="2333"/>
        <v>0.90332326283987918</v>
      </c>
      <c r="AH711" s="21">
        <f t="shared" si="2333"/>
        <v>0.90030211480362543</v>
      </c>
      <c r="AI711" s="21">
        <f t="shared" si="2333"/>
        <v>0.90030211480362543</v>
      </c>
      <c r="AJ711" s="21">
        <f t="shared" ref="AJ711:AN711" si="2334">AJ707/AJ709</f>
        <v>0.90332326283987918</v>
      </c>
      <c r="AK711" s="21">
        <f t="shared" si="2334"/>
        <v>0.90332326283987918</v>
      </c>
      <c r="AL711" s="21">
        <f t="shared" si="2334"/>
        <v>0.90332326283987918</v>
      </c>
      <c r="AM711" s="21">
        <f t="shared" si="2334"/>
        <v>0.90332326283987918</v>
      </c>
      <c r="AN711" s="21">
        <f t="shared" si="2334"/>
        <v>0.90332326283987918</v>
      </c>
      <c r="AO711" s="21">
        <f t="shared" ref="AO711:AR711" si="2335">AO707/AO709</f>
        <v>0.90332326283987918</v>
      </c>
      <c r="AP711" s="21">
        <f t="shared" si="2335"/>
        <v>0.90332326283987918</v>
      </c>
      <c r="AQ711" s="21">
        <f t="shared" si="2335"/>
        <v>0.90332326283987918</v>
      </c>
      <c r="AR711" s="21">
        <f t="shared" si="2335"/>
        <v>0.90332326283987918</v>
      </c>
      <c r="AS711" s="21">
        <f t="shared" ref="AS711:AV711" si="2336">AS707/AS709</f>
        <v>0.90332326283987918</v>
      </c>
      <c r="AT711" s="21">
        <f t="shared" si="2336"/>
        <v>0.90332326283987918</v>
      </c>
      <c r="AU711" s="21">
        <f t="shared" si="2336"/>
        <v>0.90332326283987918</v>
      </c>
      <c r="AV711" s="21">
        <f t="shared" si="2336"/>
        <v>0.90332326283987918</v>
      </c>
      <c r="AW711" s="21">
        <f t="shared" ref="AW711:BA711" si="2337">AW707/AW709</f>
        <v>0.90332326283987918</v>
      </c>
      <c r="AX711" s="21">
        <f t="shared" si="2337"/>
        <v>0.90332326283987918</v>
      </c>
      <c r="AY711" s="21">
        <f t="shared" si="2337"/>
        <v>0.90332326283987918</v>
      </c>
      <c r="AZ711" s="21">
        <f t="shared" si="2337"/>
        <v>0.90332326283987918</v>
      </c>
      <c r="BA711" s="21">
        <f t="shared" si="2337"/>
        <v>0.90332326283987918</v>
      </c>
      <c r="BB711" s="21">
        <f t="shared" ref="BB711:BS711" si="2338">BB707/BB709</f>
        <v>0.90332326283987918</v>
      </c>
      <c r="BC711" s="21">
        <f t="shared" si="2338"/>
        <v>0.90332326283987918</v>
      </c>
      <c r="BD711" s="21">
        <f t="shared" si="2338"/>
        <v>0.90332326283987918</v>
      </c>
      <c r="BE711" s="21">
        <f t="shared" si="2338"/>
        <v>0.90332326283987918</v>
      </c>
      <c r="BF711" s="21">
        <f t="shared" si="2338"/>
        <v>0.90332326283987918</v>
      </c>
      <c r="BG711" s="21">
        <f t="shared" si="2338"/>
        <v>0.90332326283987918</v>
      </c>
      <c r="BH711" s="21">
        <f t="shared" si="2338"/>
        <v>0.90332326283987918</v>
      </c>
      <c r="BI711" s="21">
        <f t="shared" si="2338"/>
        <v>0.90332326283987918</v>
      </c>
      <c r="BJ711" s="21">
        <f t="shared" si="2338"/>
        <v>0.90332326283987918</v>
      </c>
      <c r="BK711" s="21">
        <f t="shared" si="2338"/>
        <v>0.90332326283987918</v>
      </c>
      <c r="BL711" s="21">
        <f t="shared" si="2338"/>
        <v>0.90332326283987918</v>
      </c>
      <c r="BM711" s="21">
        <f t="shared" si="2338"/>
        <v>0.90332326283987918</v>
      </c>
      <c r="BN711" s="21">
        <f t="shared" si="2338"/>
        <v>0.90332326283987918</v>
      </c>
      <c r="BO711" s="21">
        <f t="shared" si="2338"/>
        <v>0.90332326283987918</v>
      </c>
      <c r="BP711" s="21">
        <f t="shared" si="2338"/>
        <v>0.90332326283987918</v>
      </c>
      <c r="BQ711" s="21">
        <f t="shared" si="2338"/>
        <v>0.90332326283987918</v>
      </c>
      <c r="BR711" s="21">
        <f t="shared" si="2338"/>
        <v>0.90332326283987918</v>
      </c>
      <c r="BS711" s="21">
        <f t="shared" si="2338"/>
        <v>0.90332326283987918</v>
      </c>
      <c r="BT711" s="215"/>
      <c r="BU711" s="215"/>
    </row>
    <row r="712" spans="1:73">
      <c r="A712" s="1" t="s">
        <v>224</v>
      </c>
      <c r="J712" s="21">
        <f t="shared" ref="J712:T712" si="2339">J708/J709</f>
        <v>0.77230769230769236</v>
      </c>
      <c r="K712" s="21">
        <f t="shared" si="2339"/>
        <v>0.69230769230769229</v>
      </c>
      <c r="L712" s="21">
        <f t="shared" si="2339"/>
        <v>0.6892307692307692</v>
      </c>
      <c r="M712" s="21">
        <f t="shared" si="2339"/>
        <v>0.6892307692307692</v>
      </c>
      <c r="N712" s="21">
        <f t="shared" si="2339"/>
        <v>0.6676923076923077</v>
      </c>
      <c r="O712" s="21">
        <f t="shared" si="2339"/>
        <v>0.64</v>
      </c>
      <c r="P712" s="21">
        <f t="shared" si="2339"/>
        <v>0.46933333333333332</v>
      </c>
      <c r="Q712" s="21">
        <f t="shared" si="2339"/>
        <v>0.43466666666666665</v>
      </c>
      <c r="R712" s="21">
        <f t="shared" si="2339"/>
        <v>0.43466666666666665</v>
      </c>
      <c r="S712" s="21">
        <f t="shared" si="2339"/>
        <v>0.376</v>
      </c>
      <c r="T712" s="21">
        <f t="shared" si="2339"/>
        <v>0.21333333333333335</v>
      </c>
      <c r="U712" s="21">
        <f t="shared" ref="U712:X712" si="2340">U708/U709</f>
        <v>0.18133333333333335</v>
      </c>
      <c r="V712" s="21">
        <f t="shared" si="2340"/>
        <v>0.13600000000000001</v>
      </c>
      <c r="W712" s="21">
        <f t="shared" si="2340"/>
        <v>0.13600000000000001</v>
      </c>
      <c r="X712" s="21">
        <f t="shared" si="2340"/>
        <v>0.1419939577039275</v>
      </c>
      <c r="Y712" s="21">
        <f t="shared" ref="Y712:Z712" si="2341">Y708/Y709</f>
        <v>0.1419939577039275</v>
      </c>
      <c r="Z712" s="21">
        <f t="shared" si="2341"/>
        <v>0.12688821752265861</v>
      </c>
      <c r="AA712" s="21">
        <f t="shared" ref="AA712:AB712" si="2342">AA708/AA709</f>
        <v>0.11480362537764351</v>
      </c>
      <c r="AB712" s="21">
        <f t="shared" si="2342"/>
        <v>0.11480362537764351</v>
      </c>
      <c r="AC712" s="21">
        <f t="shared" ref="AC712:AD712" si="2343">AC708/AC709</f>
        <v>0.10574018126888217</v>
      </c>
      <c r="AD712" s="21">
        <f t="shared" si="2343"/>
        <v>0.10574018126888217</v>
      </c>
      <c r="AE712" s="21">
        <f t="shared" ref="AE712:AI712" si="2344">AE708/AE709</f>
        <v>9.9697885196374625E-2</v>
      </c>
      <c r="AF712" s="21">
        <f t="shared" si="2344"/>
        <v>9.6676737160120846E-2</v>
      </c>
      <c r="AG712" s="21">
        <f t="shared" si="2344"/>
        <v>9.6676737160120846E-2</v>
      </c>
      <c r="AH712" s="21">
        <f t="shared" si="2344"/>
        <v>9.9697885196374625E-2</v>
      </c>
      <c r="AI712" s="21">
        <f t="shared" si="2344"/>
        <v>9.9697885196374625E-2</v>
      </c>
      <c r="AJ712" s="21">
        <f t="shared" ref="AJ712:AN712" si="2345">AJ708/AJ709</f>
        <v>9.6676737160120846E-2</v>
      </c>
      <c r="AK712" s="21">
        <f t="shared" si="2345"/>
        <v>9.6676737160120846E-2</v>
      </c>
      <c r="AL712" s="21">
        <f t="shared" si="2345"/>
        <v>9.6676737160120846E-2</v>
      </c>
      <c r="AM712" s="21">
        <f t="shared" si="2345"/>
        <v>9.6676737160120846E-2</v>
      </c>
      <c r="AN712" s="21">
        <f t="shared" si="2345"/>
        <v>9.6676737160120846E-2</v>
      </c>
      <c r="AO712" s="21">
        <f t="shared" ref="AO712:AR712" si="2346">AO708/AO709</f>
        <v>9.6676737160120846E-2</v>
      </c>
      <c r="AP712" s="21">
        <f t="shared" si="2346"/>
        <v>9.6676737160120846E-2</v>
      </c>
      <c r="AQ712" s="21">
        <f t="shared" si="2346"/>
        <v>9.6676737160120846E-2</v>
      </c>
      <c r="AR712" s="21">
        <f t="shared" si="2346"/>
        <v>9.6676737160120846E-2</v>
      </c>
      <c r="AS712" s="21">
        <f t="shared" ref="AS712:AV712" si="2347">AS708/AS709</f>
        <v>9.6676737160120846E-2</v>
      </c>
      <c r="AT712" s="21">
        <f t="shared" si="2347"/>
        <v>9.6676737160120846E-2</v>
      </c>
      <c r="AU712" s="21">
        <f t="shared" si="2347"/>
        <v>9.6676737160120846E-2</v>
      </c>
      <c r="AV712" s="21">
        <f t="shared" si="2347"/>
        <v>9.6676737160120846E-2</v>
      </c>
      <c r="AW712" s="21">
        <f t="shared" ref="AW712:BA712" si="2348">AW708/AW709</f>
        <v>9.6676737160120846E-2</v>
      </c>
      <c r="AX712" s="21">
        <f t="shared" si="2348"/>
        <v>9.6676737160120846E-2</v>
      </c>
      <c r="AY712" s="21">
        <f t="shared" si="2348"/>
        <v>9.6676737160120846E-2</v>
      </c>
      <c r="AZ712" s="21">
        <f t="shared" si="2348"/>
        <v>9.6676737160120846E-2</v>
      </c>
      <c r="BA712" s="21">
        <f t="shared" si="2348"/>
        <v>9.6676737160120846E-2</v>
      </c>
      <c r="BB712" s="21">
        <f t="shared" ref="BB712:BS712" si="2349">BB708/BB709</f>
        <v>9.6676737160120846E-2</v>
      </c>
      <c r="BC712" s="21">
        <f t="shared" si="2349"/>
        <v>9.6676737160120846E-2</v>
      </c>
      <c r="BD712" s="21">
        <f t="shared" si="2349"/>
        <v>9.6676737160120846E-2</v>
      </c>
      <c r="BE712" s="21">
        <f t="shared" si="2349"/>
        <v>9.6676737160120846E-2</v>
      </c>
      <c r="BF712" s="21">
        <f t="shared" si="2349"/>
        <v>9.6676737160120846E-2</v>
      </c>
      <c r="BG712" s="21">
        <f t="shared" si="2349"/>
        <v>9.6676737160120846E-2</v>
      </c>
      <c r="BH712" s="21">
        <f t="shared" si="2349"/>
        <v>9.6676737160120846E-2</v>
      </c>
      <c r="BI712" s="21">
        <f t="shared" si="2349"/>
        <v>9.6676737160120846E-2</v>
      </c>
      <c r="BJ712" s="21">
        <f t="shared" si="2349"/>
        <v>9.6676737160120846E-2</v>
      </c>
      <c r="BK712" s="21">
        <f t="shared" si="2349"/>
        <v>9.6676737160120846E-2</v>
      </c>
      <c r="BL712" s="21">
        <f t="shared" si="2349"/>
        <v>9.6676737160120846E-2</v>
      </c>
      <c r="BM712" s="21">
        <f t="shared" si="2349"/>
        <v>9.6676737160120846E-2</v>
      </c>
      <c r="BN712" s="21">
        <f t="shared" si="2349"/>
        <v>9.6676737160120846E-2</v>
      </c>
      <c r="BO712" s="21">
        <f t="shared" si="2349"/>
        <v>9.6676737160120846E-2</v>
      </c>
      <c r="BP712" s="21">
        <f t="shared" si="2349"/>
        <v>9.6676737160120846E-2</v>
      </c>
      <c r="BQ712" s="21">
        <f t="shared" si="2349"/>
        <v>9.6676737160120846E-2</v>
      </c>
      <c r="BR712" s="21">
        <f t="shared" si="2349"/>
        <v>9.6676737160120846E-2</v>
      </c>
      <c r="BS712" s="21">
        <f t="shared" si="2349"/>
        <v>9.6676737160120846E-2</v>
      </c>
      <c r="BT712" s="215"/>
      <c r="BU712" s="215"/>
    </row>
    <row r="713" spans="1:73">
      <c r="BT713" s="79"/>
      <c r="BU713" s="79"/>
    </row>
    <row r="714" spans="1:73">
      <c r="A714" s="3" t="s">
        <v>169</v>
      </c>
      <c r="BT714" s="79"/>
      <c r="BU714" s="79"/>
    </row>
    <row r="715" spans="1:73">
      <c r="O715" s="98" t="s">
        <v>376</v>
      </c>
      <c r="P715" s="71"/>
      <c r="Q715" s="71"/>
      <c r="R715" s="71"/>
      <c r="S715" s="71"/>
      <c r="BT715" s="79"/>
      <c r="BU715" s="79"/>
    </row>
    <row r="716" spans="1:73">
      <c r="A716" s="5" t="s">
        <v>199</v>
      </c>
      <c r="I716" s="38"/>
      <c r="J716" s="37">
        <v>9600</v>
      </c>
      <c r="K716" s="37">
        <f>14500+1300</f>
        <v>15800</v>
      </c>
      <c r="L716" s="37">
        <f>14800+1400</f>
        <v>16200</v>
      </c>
      <c r="M716" s="38">
        <f>L716</f>
        <v>16200</v>
      </c>
      <c r="N716" s="37">
        <f>16400+1400</f>
        <v>17800</v>
      </c>
      <c r="O716" s="70">
        <f>16600+1400+1700</f>
        <v>19700</v>
      </c>
      <c r="P716" s="37">
        <f>29900+1400+1600</f>
        <v>32900</v>
      </c>
      <c r="Q716" s="37">
        <f>33400+1400</f>
        <v>34800</v>
      </c>
      <c r="R716" s="38">
        <f>Q716</f>
        <v>34800</v>
      </c>
      <c r="S716" s="37">
        <f>36600+1400</f>
        <v>38000</v>
      </c>
      <c r="T716" s="37">
        <v>45900</v>
      </c>
      <c r="U716" s="37">
        <v>48000</v>
      </c>
      <c r="V716" s="37">
        <v>49700</v>
      </c>
      <c r="W716" s="38">
        <f>V716</f>
        <v>49700</v>
      </c>
      <c r="X716" s="37">
        <f>50700+5000</f>
        <v>55700</v>
      </c>
      <c r="Y716" s="37">
        <f>49000+6500</f>
        <v>55500</v>
      </c>
      <c r="Z716" s="37">
        <f>47900+7700</f>
        <v>55600</v>
      </c>
      <c r="AA716" s="37">
        <f>43100+13000</f>
        <v>56100</v>
      </c>
      <c r="AB716" s="38">
        <f>AA716</f>
        <v>56100</v>
      </c>
      <c r="AC716" s="37">
        <f>41100+15600</f>
        <v>56700</v>
      </c>
      <c r="AD716" s="37">
        <f>36800+20000</f>
        <v>56800</v>
      </c>
      <c r="AE716" s="37">
        <f>36700+20600</f>
        <v>57300</v>
      </c>
      <c r="AF716" s="37">
        <f>35900+21400</f>
        <v>57300</v>
      </c>
      <c r="AG716" s="38">
        <f>AF716</f>
        <v>57300</v>
      </c>
      <c r="AH716" s="37">
        <f>34400+22900</f>
        <v>57300</v>
      </c>
      <c r="AI716" s="37">
        <f>34000+23300</f>
        <v>57300</v>
      </c>
      <c r="AJ716" s="37">
        <f>33500+23800</f>
        <v>57300</v>
      </c>
      <c r="AK716" s="37">
        <f>33200+24100</f>
        <v>57300</v>
      </c>
      <c r="AL716" s="38">
        <f>AK716</f>
        <v>57300</v>
      </c>
      <c r="AM716" s="37">
        <f>32800+24500</f>
        <v>57300</v>
      </c>
      <c r="AN716" s="37">
        <f>32300+25000</f>
        <v>57300</v>
      </c>
      <c r="AO716" s="37">
        <f>30900+26400</f>
        <v>57300</v>
      </c>
      <c r="AP716" s="37">
        <f>29200+28100</f>
        <v>57300</v>
      </c>
      <c r="AQ716" s="38">
        <f>AP716</f>
        <v>57300</v>
      </c>
      <c r="AR716" s="37">
        <f>28400+28900</f>
        <v>57300</v>
      </c>
      <c r="AS716" s="37">
        <f>24000+33300</f>
        <v>57300</v>
      </c>
      <c r="AT716" s="37">
        <f>23300+34000</f>
        <v>57300</v>
      </c>
      <c r="AU716" s="37">
        <f>20000+37300</f>
        <v>57300</v>
      </c>
      <c r="AV716" s="38">
        <f t="shared" ref="AV716" si="2350">AU716</f>
        <v>57300</v>
      </c>
      <c r="AW716" s="37">
        <v>57300</v>
      </c>
      <c r="AX716" s="37">
        <v>57300</v>
      </c>
      <c r="AY716" s="37">
        <v>57300</v>
      </c>
      <c r="AZ716" s="36">
        <f>AZ718-AZ717</f>
        <v>57300</v>
      </c>
      <c r="BA716" s="38">
        <f t="shared" ref="BA716:BA718" si="2351">AZ716</f>
        <v>57300</v>
      </c>
      <c r="BB716" s="36">
        <f>BB718-BB717</f>
        <v>57300</v>
      </c>
      <c r="BC716" s="36">
        <f>BC718-BC717</f>
        <v>57300</v>
      </c>
      <c r="BD716" s="36">
        <f>BD718-BD717</f>
        <v>57300</v>
      </c>
      <c r="BE716" s="36">
        <f>BE718-BE717</f>
        <v>57300</v>
      </c>
      <c r="BF716" s="38">
        <f t="shared" ref="BF716:BF718" si="2352">BE716</f>
        <v>57300</v>
      </c>
      <c r="BG716" s="36">
        <f>BG718-BG717</f>
        <v>57300</v>
      </c>
      <c r="BH716" s="36">
        <f>BH718-BH717</f>
        <v>57300</v>
      </c>
      <c r="BI716" s="36">
        <f>BI718-BI717</f>
        <v>57300</v>
      </c>
      <c r="BJ716" s="36">
        <f>BJ718-BJ717</f>
        <v>57300</v>
      </c>
      <c r="BK716" s="38">
        <f t="shared" ref="BK716:BK718" si="2353">BJ716</f>
        <v>57300</v>
      </c>
      <c r="BL716" s="36">
        <f>BL718-BL717</f>
        <v>57300</v>
      </c>
      <c r="BM716" s="36">
        <f>BM718-BM717</f>
        <v>57300</v>
      </c>
      <c r="BN716" s="36">
        <f>BN718-BN717</f>
        <v>57300</v>
      </c>
      <c r="BO716" s="36">
        <f>BO718-BO717</f>
        <v>57300</v>
      </c>
      <c r="BP716" s="38">
        <f t="shared" ref="BP716:BP718" si="2354">BO716</f>
        <v>57300</v>
      </c>
      <c r="BQ716" s="36">
        <f>BQ718-BQ717</f>
        <v>57300</v>
      </c>
      <c r="BR716" s="36">
        <f>BR718-BR717</f>
        <v>57300</v>
      </c>
      <c r="BS716" s="36">
        <f>BS718-BS717</f>
        <v>57300</v>
      </c>
      <c r="BT716" s="59"/>
      <c r="BU716" s="83"/>
    </row>
    <row r="717" spans="1:73">
      <c r="A717" s="5" t="s">
        <v>200</v>
      </c>
      <c r="I717" s="38"/>
      <c r="J717" s="38">
        <f>J718-J716</f>
        <v>55600</v>
      </c>
      <c r="K717" s="38">
        <f>K718-K716</f>
        <v>49400</v>
      </c>
      <c r="L717" s="38">
        <f>L718-L716</f>
        <v>49000</v>
      </c>
      <c r="M717" s="38">
        <f>L717</f>
        <v>49000</v>
      </c>
      <c r="N717" s="38">
        <f>N718-N716</f>
        <v>47400</v>
      </c>
      <c r="O717" s="38">
        <f>O718-O716</f>
        <v>45500</v>
      </c>
      <c r="P717" s="38">
        <f>P718-P716</f>
        <v>32600</v>
      </c>
      <c r="Q717" s="38">
        <f>Q718-Q716</f>
        <v>30700</v>
      </c>
      <c r="R717" s="38">
        <f>Q717</f>
        <v>30700</v>
      </c>
      <c r="S717" s="38">
        <f>S718-S716</f>
        <v>27500</v>
      </c>
      <c r="T717" s="38">
        <f>T718-T716</f>
        <v>19600</v>
      </c>
      <c r="U717" s="38">
        <f>U718-U716</f>
        <v>17500</v>
      </c>
      <c r="V717" s="38">
        <f>V718-V716</f>
        <v>15800</v>
      </c>
      <c r="W717" s="38">
        <f>V717</f>
        <v>15800</v>
      </c>
      <c r="X717" s="38">
        <f>X718-X716</f>
        <v>9800</v>
      </c>
      <c r="Y717" s="38">
        <f>Y718-Y716</f>
        <v>10000</v>
      </c>
      <c r="Z717" s="38">
        <f>Z718-Z716</f>
        <v>9900</v>
      </c>
      <c r="AA717" s="38">
        <f>AA718-AA716</f>
        <v>9400</v>
      </c>
      <c r="AB717" s="38">
        <f>AA717</f>
        <v>9400</v>
      </c>
      <c r="AC717" s="38">
        <f>AC718-AC716</f>
        <v>8800</v>
      </c>
      <c r="AD717" s="38">
        <f>AD718-AD716</f>
        <v>8700</v>
      </c>
      <c r="AE717" s="38">
        <f>AE718-AE716</f>
        <v>8200</v>
      </c>
      <c r="AF717" s="38">
        <f>AF718-AF716</f>
        <v>8200</v>
      </c>
      <c r="AG717" s="38">
        <f>AF717</f>
        <v>8200</v>
      </c>
      <c r="AH717" s="38">
        <f>AH718-AH716</f>
        <v>8200</v>
      </c>
      <c r="AI717" s="38">
        <f>AI718-AI716</f>
        <v>8200</v>
      </c>
      <c r="AJ717" s="38">
        <f>AJ718-AJ716</f>
        <v>8200</v>
      </c>
      <c r="AK717" s="38">
        <f>AK718-AK716</f>
        <v>8200</v>
      </c>
      <c r="AL717" s="38">
        <f>AK717</f>
        <v>8200</v>
      </c>
      <c r="AM717" s="38">
        <f>AM718-AM716</f>
        <v>8200</v>
      </c>
      <c r="AN717" s="38">
        <f>AN718-AN716</f>
        <v>8200</v>
      </c>
      <c r="AO717" s="38">
        <f>AO718-AO716</f>
        <v>8200</v>
      </c>
      <c r="AP717" s="38">
        <f>AP718-AP716</f>
        <v>8200</v>
      </c>
      <c r="AQ717" s="38">
        <f>AP717</f>
        <v>8200</v>
      </c>
      <c r="AR717" s="38">
        <f>AR718-AR716</f>
        <v>8200</v>
      </c>
      <c r="AS717" s="38">
        <f>AS718-AS716</f>
        <v>8200</v>
      </c>
      <c r="AT717" s="38">
        <f>AT718-AT716</f>
        <v>8200</v>
      </c>
      <c r="AU717" s="38">
        <f>AT717+MROUND(AU666*AU698, 5)</f>
        <v>8200</v>
      </c>
      <c r="AV717" s="38">
        <f t="shared" ref="AV717:AV718" si="2355">AU717</f>
        <v>8200</v>
      </c>
      <c r="AW717" s="38">
        <f>AW718-AW716</f>
        <v>8200</v>
      </c>
      <c r="AX717" s="38">
        <f>AX718-AX716</f>
        <v>8200</v>
      </c>
      <c r="AY717" s="38">
        <f>AY718-AY716</f>
        <v>8200</v>
      </c>
      <c r="AZ717" s="38">
        <f>AY717+MROUND(AZ666*AZ698, 5)</f>
        <v>8200</v>
      </c>
      <c r="BA717" s="38">
        <f t="shared" si="2351"/>
        <v>8200</v>
      </c>
      <c r="BB717" s="38">
        <f>BA717+MROUND(BB666*BB698, 5)</f>
        <v>8200</v>
      </c>
      <c r="BC717" s="38">
        <f>BB717+MROUND(BC666*BC698, 5)</f>
        <v>8200</v>
      </c>
      <c r="BD717" s="38">
        <f>BC717+MROUND(BD666*BD698, 5)</f>
        <v>8200</v>
      </c>
      <c r="BE717" s="38">
        <f>BD717+MROUND(BE666*BE698, 5)</f>
        <v>8200</v>
      </c>
      <c r="BF717" s="38">
        <f t="shared" si="2352"/>
        <v>8200</v>
      </c>
      <c r="BG717" s="38">
        <f>BF717+MROUND(BG666*BG698, 5)</f>
        <v>8200</v>
      </c>
      <c r="BH717" s="38">
        <f>BG717+MROUND(BH666*BH698, 5)</f>
        <v>8200</v>
      </c>
      <c r="BI717" s="38">
        <f>BH717+MROUND(BI666*BI698, 5)</f>
        <v>8200</v>
      </c>
      <c r="BJ717" s="38">
        <f>BI717+MROUND(BJ666*BJ698, 5)</f>
        <v>8200</v>
      </c>
      <c r="BK717" s="38">
        <f t="shared" si="2353"/>
        <v>8200</v>
      </c>
      <c r="BL717" s="38">
        <f>BK717+MROUND(BL666*BL698, 5)</f>
        <v>8200</v>
      </c>
      <c r="BM717" s="38">
        <f>BL717+MROUND(BM666*BM698, 5)</f>
        <v>8200</v>
      </c>
      <c r="BN717" s="38">
        <f>BM717+MROUND(BN666*BN698, 5)</f>
        <v>8200</v>
      </c>
      <c r="BO717" s="38">
        <f>BN717+MROUND(BO666*BO698, 5)</f>
        <v>8200</v>
      </c>
      <c r="BP717" s="38">
        <f t="shared" si="2354"/>
        <v>8200</v>
      </c>
      <c r="BQ717" s="38">
        <f>BP717+MROUND(BQ666*BQ698, 5)</f>
        <v>8200</v>
      </c>
      <c r="BR717" s="38">
        <f>BQ717+MROUND(BR666*BR698, 5)</f>
        <v>8200</v>
      </c>
      <c r="BS717" s="38">
        <f>BR717+MROUND(BS666*BS698, 5)</f>
        <v>8200</v>
      </c>
      <c r="BT717" s="83"/>
      <c r="BU717" s="83"/>
    </row>
    <row r="718" spans="1:73">
      <c r="A718" s="9" t="s">
        <v>202</v>
      </c>
      <c r="B718" s="9"/>
      <c r="C718" s="9"/>
      <c r="D718" s="9"/>
      <c r="E718" s="9"/>
      <c r="F718" s="9"/>
      <c r="G718" s="9"/>
      <c r="H718" s="9"/>
      <c r="I718" s="39"/>
      <c r="J718" s="67">
        <v>65200</v>
      </c>
      <c r="K718" s="67">
        <f>63600+1600</f>
        <v>65200</v>
      </c>
      <c r="L718" s="67">
        <f>63600+1600</f>
        <v>65200</v>
      </c>
      <c r="M718" s="39">
        <f>L718</f>
        <v>65200</v>
      </c>
      <c r="N718" s="67">
        <f>63600+1600</f>
        <v>65200</v>
      </c>
      <c r="O718" s="67">
        <f>63600+1600</f>
        <v>65200</v>
      </c>
      <c r="P718" s="67">
        <f>63900+1600</f>
        <v>65500</v>
      </c>
      <c r="Q718" s="67">
        <f>63900+1600</f>
        <v>65500</v>
      </c>
      <c r="R718" s="39">
        <f>Q718</f>
        <v>65500</v>
      </c>
      <c r="S718" s="67">
        <f>63900+1600</f>
        <v>65500</v>
      </c>
      <c r="T718" s="97">
        <v>65500</v>
      </c>
      <c r="U718" s="67">
        <v>65500</v>
      </c>
      <c r="V718" s="67">
        <v>65500</v>
      </c>
      <c r="W718" s="39">
        <f>V718</f>
        <v>65500</v>
      </c>
      <c r="X718" s="67">
        <v>65500</v>
      </c>
      <c r="Y718" s="67">
        <v>65500</v>
      </c>
      <c r="Z718" s="67">
        <v>65500</v>
      </c>
      <c r="AA718" s="67">
        <v>65500</v>
      </c>
      <c r="AB718" s="39">
        <f>AA718</f>
        <v>65500</v>
      </c>
      <c r="AC718" s="67">
        <v>65500</v>
      </c>
      <c r="AD718" s="67">
        <v>65500</v>
      </c>
      <c r="AE718" s="67">
        <v>65500</v>
      </c>
      <c r="AF718" s="67">
        <v>65500</v>
      </c>
      <c r="AG718" s="39">
        <f>AF718</f>
        <v>65500</v>
      </c>
      <c r="AH718" s="67">
        <v>65500</v>
      </c>
      <c r="AI718" s="67">
        <v>65500</v>
      </c>
      <c r="AJ718" s="67">
        <v>65500</v>
      </c>
      <c r="AK718" s="67">
        <v>65500</v>
      </c>
      <c r="AL718" s="39">
        <f>AK718</f>
        <v>65500</v>
      </c>
      <c r="AM718" s="67">
        <v>65500</v>
      </c>
      <c r="AN718" s="67">
        <v>65500</v>
      </c>
      <c r="AO718" s="67">
        <v>65500</v>
      </c>
      <c r="AP718" s="67">
        <v>65500</v>
      </c>
      <c r="AQ718" s="39">
        <f>AP718</f>
        <v>65500</v>
      </c>
      <c r="AR718" s="67">
        <v>65500</v>
      </c>
      <c r="AS718" s="67">
        <v>65500</v>
      </c>
      <c r="AT718" s="67">
        <v>65500</v>
      </c>
      <c r="AU718" s="67">
        <f>AT718</f>
        <v>65500</v>
      </c>
      <c r="AV718" s="39">
        <f t="shared" si="2355"/>
        <v>65500</v>
      </c>
      <c r="AW718" s="67">
        <v>65500</v>
      </c>
      <c r="AX718" s="67">
        <v>65500</v>
      </c>
      <c r="AY718" s="67">
        <v>65500</v>
      </c>
      <c r="AZ718" s="58">
        <f>AY718</f>
        <v>65500</v>
      </c>
      <c r="BA718" s="39">
        <f t="shared" si="2351"/>
        <v>65500</v>
      </c>
      <c r="BB718" s="58">
        <f>BA718</f>
        <v>65500</v>
      </c>
      <c r="BC718" s="58">
        <f>BB718</f>
        <v>65500</v>
      </c>
      <c r="BD718" s="58">
        <f>BC718</f>
        <v>65500</v>
      </c>
      <c r="BE718" s="58">
        <f>BD718</f>
        <v>65500</v>
      </c>
      <c r="BF718" s="39">
        <f t="shared" si="2352"/>
        <v>65500</v>
      </c>
      <c r="BG718" s="58">
        <f>BF718</f>
        <v>65500</v>
      </c>
      <c r="BH718" s="58">
        <f>BG718</f>
        <v>65500</v>
      </c>
      <c r="BI718" s="58">
        <f>BH718</f>
        <v>65500</v>
      </c>
      <c r="BJ718" s="58">
        <f>BI718</f>
        <v>65500</v>
      </c>
      <c r="BK718" s="39">
        <f t="shared" si="2353"/>
        <v>65500</v>
      </c>
      <c r="BL718" s="58">
        <f>BK718</f>
        <v>65500</v>
      </c>
      <c r="BM718" s="58">
        <f>BL718</f>
        <v>65500</v>
      </c>
      <c r="BN718" s="58">
        <f>BM718</f>
        <v>65500</v>
      </c>
      <c r="BO718" s="58">
        <f>BN718</f>
        <v>65500</v>
      </c>
      <c r="BP718" s="39">
        <f t="shared" si="2354"/>
        <v>65500</v>
      </c>
      <c r="BQ718" s="58">
        <f>BP718</f>
        <v>65500</v>
      </c>
      <c r="BR718" s="58">
        <f>BQ718</f>
        <v>65500</v>
      </c>
      <c r="BS718" s="58">
        <f>BR718</f>
        <v>65500</v>
      </c>
      <c r="BT718" s="59"/>
      <c r="BU718" s="59"/>
    </row>
    <row r="719" spans="1:73">
      <c r="T719" s="98" t="s">
        <v>394</v>
      </c>
      <c r="U719" s="71"/>
      <c r="V719" s="71"/>
      <c r="W719" s="71"/>
      <c r="X719" s="71"/>
    </row>
    <row r="720" spans="1:73">
      <c r="A720" s="1" t="s">
        <v>223</v>
      </c>
      <c r="J720" s="21">
        <f t="shared" ref="J720:T720" si="2356">J716/J718</f>
        <v>0.14723926380368099</v>
      </c>
      <c r="K720" s="21">
        <f t="shared" si="2356"/>
        <v>0.24233128834355827</v>
      </c>
      <c r="L720" s="21">
        <f t="shared" si="2356"/>
        <v>0.24846625766871167</v>
      </c>
      <c r="M720" s="21">
        <f t="shared" si="2356"/>
        <v>0.24846625766871167</v>
      </c>
      <c r="N720" s="21">
        <f t="shared" si="2356"/>
        <v>0.27300613496932513</v>
      </c>
      <c r="O720" s="21">
        <f t="shared" si="2356"/>
        <v>0.30214723926380366</v>
      </c>
      <c r="P720" s="21">
        <f t="shared" si="2356"/>
        <v>0.50229007633587786</v>
      </c>
      <c r="Q720" s="21">
        <f t="shared" si="2356"/>
        <v>0.5312977099236641</v>
      </c>
      <c r="R720" s="21">
        <f t="shared" si="2356"/>
        <v>0.5312977099236641</v>
      </c>
      <c r="S720" s="21">
        <f t="shared" si="2356"/>
        <v>0.58015267175572516</v>
      </c>
      <c r="T720" s="21">
        <f t="shared" si="2356"/>
        <v>0.70076335877862594</v>
      </c>
      <c r="U720" s="21">
        <f t="shared" ref="U720:W720" si="2357">U716/U718</f>
        <v>0.73282442748091603</v>
      </c>
      <c r="V720" s="21">
        <f t="shared" si="2357"/>
        <v>0.75877862595419843</v>
      </c>
      <c r="W720" s="21">
        <f t="shared" si="2357"/>
        <v>0.75877862595419843</v>
      </c>
      <c r="X720" s="21">
        <f t="shared" ref="X720:Y720" si="2358">X716/X718</f>
        <v>0.85038167938931297</v>
      </c>
      <c r="Y720" s="21">
        <f t="shared" si="2358"/>
        <v>0.84732824427480913</v>
      </c>
      <c r="Z720" s="21">
        <f t="shared" ref="Z720:AC720" si="2359">Z716/Z718</f>
        <v>0.84885496183206111</v>
      </c>
      <c r="AA720" s="21">
        <f t="shared" si="2359"/>
        <v>0.85648854961832066</v>
      </c>
      <c r="AB720" s="21">
        <f t="shared" si="2359"/>
        <v>0.85648854961832066</v>
      </c>
      <c r="AC720" s="21">
        <f t="shared" si="2359"/>
        <v>0.86564885496183208</v>
      </c>
      <c r="AD720" s="21">
        <f t="shared" ref="AD720:AE720" si="2360">AD716/AD718</f>
        <v>0.86717557251908395</v>
      </c>
      <c r="AE720" s="21">
        <f t="shared" si="2360"/>
        <v>0.8748091603053435</v>
      </c>
      <c r="AF720" s="21">
        <f t="shared" ref="AF720:AH720" si="2361">AF716/AF718</f>
        <v>0.8748091603053435</v>
      </c>
      <c r="AG720" s="21">
        <f t="shared" si="2361"/>
        <v>0.8748091603053435</v>
      </c>
      <c r="AH720" s="21">
        <f t="shared" si="2361"/>
        <v>0.8748091603053435</v>
      </c>
      <c r="AI720" s="21">
        <f t="shared" ref="AI720:AM720" si="2362">AI716/AI718</f>
        <v>0.8748091603053435</v>
      </c>
      <c r="AJ720" s="21">
        <f t="shared" si="2362"/>
        <v>0.8748091603053435</v>
      </c>
      <c r="AK720" s="21">
        <f t="shared" si="2362"/>
        <v>0.8748091603053435</v>
      </c>
      <c r="AL720" s="21">
        <f t="shared" si="2362"/>
        <v>0.8748091603053435</v>
      </c>
      <c r="AM720" s="21">
        <f t="shared" si="2362"/>
        <v>0.8748091603053435</v>
      </c>
      <c r="AN720" s="21">
        <f t="shared" ref="AN720:AO720" si="2363">AN716/AN718</f>
        <v>0.8748091603053435</v>
      </c>
      <c r="AO720" s="21">
        <f t="shared" si="2363"/>
        <v>0.8748091603053435</v>
      </c>
      <c r="AP720" s="21">
        <f t="shared" ref="AP720:AR720" si="2364">AP716/AP718</f>
        <v>0.8748091603053435</v>
      </c>
      <c r="AQ720" s="21">
        <f t="shared" si="2364"/>
        <v>0.8748091603053435</v>
      </c>
      <c r="AR720" s="21">
        <f t="shared" si="2364"/>
        <v>0.8748091603053435</v>
      </c>
      <c r="AS720" s="21">
        <f t="shared" ref="AS720:AV720" si="2365">AS716/AS718</f>
        <v>0.8748091603053435</v>
      </c>
      <c r="AT720" s="21">
        <f t="shared" si="2365"/>
        <v>0.8748091603053435</v>
      </c>
      <c r="AU720" s="21">
        <f t="shared" si="2365"/>
        <v>0.8748091603053435</v>
      </c>
      <c r="AV720" s="21">
        <f t="shared" si="2365"/>
        <v>0.8748091603053435</v>
      </c>
      <c r="AW720" s="21">
        <f t="shared" ref="AW720:BS720" si="2366">AW716/AW718</f>
        <v>0.8748091603053435</v>
      </c>
      <c r="AX720" s="21">
        <f t="shared" si="2366"/>
        <v>0.8748091603053435</v>
      </c>
      <c r="AY720" s="21">
        <f t="shared" ref="AY720" si="2367">AY716/AY718</f>
        <v>0.8748091603053435</v>
      </c>
      <c r="AZ720" s="21">
        <f t="shared" si="2366"/>
        <v>0.8748091603053435</v>
      </c>
      <c r="BA720" s="21">
        <f t="shared" si="2366"/>
        <v>0.8748091603053435</v>
      </c>
      <c r="BB720" s="21">
        <f t="shared" si="2366"/>
        <v>0.8748091603053435</v>
      </c>
      <c r="BC720" s="21">
        <f t="shared" si="2366"/>
        <v>0.8748091603053435</v>
      </c>
      <c r="BD720" s="21">
        <f t="shared" si="2366"/>
        <v>0.8748091603053435</v>
      </c>
      <c r="BE720" s="21">
        <f t="shared" si="2366"/>
        <v>0.8748091603053435</v>
      </c>
      <c r="BF720" s="21">
        <f t="shared" si="2366"/>
        <v>0.8748091603053435</v>
      </c>
      <c r="BG720" s="21">
        <f t="shared" si="2366"/>
        <v>0.8748091603053435</v>
      </c>
      <c r="BH720" s="21">
        <f t="shared" si="2366"/>
        <v>0.8748091603053435</v>
      </c>
      <c r="BI720" s="21">
        <f t="shared" si="2366"/>
        <v>0.8748091603053435</v>
      </c>
      <c r="BJ720" s="21">
        <f t="shared" si="2366"/>
        <v>0.8748091603053435</v>
      </c>
      <c r="BK720" s="21">
        <f t="shared" si="2366"/>
        <v>0.8748091603053435</v>
      </c>
      <c r="BL720" s="21">
        <f t="shared" si="2366"/>
        <v>0.8748091603053435</v>
      </c>
      <c r="BM720" s="21">
        <f t="shared" si="2366"/>
        <v>0.8748091603053435</v>
      </c>
      <c r="BN720" s="21">
        <f t="shared" si="2366"/>
        <v>0.8748091603053435</v>
      </c>
      <c r="BO720" s="21">
        <f t="shared" si="2366"/>
        <v>0.8748091603053435</v>
      </c>
      <c r="BP720" s="21">
        <f t="shared" si="2366"/>
        <v>0.8748091603053435</v>
      </c>
      <c r="BQ720" s="21">
        <f t="shared" si="2366"/>
        <v>0.8748091603053435</v>
      </c>
      <c r="BR720" s="21">
        <f t="shared" si="2366"/>
        <v>0.8748091603053435</v>
      </c>
      <c r="BS720" s="21">
        <f t="shared" si="2366"/>
        <v>0.8748091603053435</v>
      </c>
      <c r="BT720" s="21"/>
      <c r="BU720" s="21"/>
    </row>
    <row r="721" spans="1:78">
      <c r="A721" s="1" t="s">
        <v>224</v>
      </c>
      <c r="J721" s="21">
        <f t="shared" ref="J721:T721" si="2368">J717/J718</f>
        <v>0.85276073619631898</v>
      </c>
      <c r="K721" s="21">
        <f t="shared" si="2368"/>
        <v>0.75766871165644167</v>
      </c>
      <c r="L721" s="21">
        <f t="shared" si="2368"/>
        <v>0.75153374233128833</v>
      </c>
      <c r="M721" s="21">
        <f t="shared" si="2368"/>
        <v>0.75153374233128833</v>
      </c>
      <c r="N721" s="21">
        <f t="shared" si="2368"/>
        <v>0.72699386503067487</v>
      </c>
      <c r="O721" s="21">
        <f t="shared" si="2368"/>
        <v>0.69785276073619629</v>
      </c>
      <c r="P721" s="21">
        <f t="shared" si="2368"/>
        <v>0.49770992366412214</v>
      </c>
      <c r="Q721" s="21">
        <f t="shared" si="2368"/>
        <v>0.4687022900763359</v>
      </c>
      <c r="R721" s="21">
        <f t="shared" si="2368"/>
        <v>0.4687022900763359</v>
      </c>
      <c r="S721" s="21">
        <f t="shared" si="2368"/>
        <v>0.41984732824427479</v>
      </c>
      <c r="T721" s="21">
        <f t="shared" si="2368"/>
        <v>0.29923664122137406</v>
      </c>
      <c r="U721" s="21">
        <f t="shared" ref="U721:W721" si="2369">U717/U718</f>
        <v>0.26717557251908397</v>
      </c>
      <c r="V721" s="21">
        <f t="shared" si="2369"/>
        <v>0.24122137404580152</v>
      </c>
      <c r="W721" s="21">
        <f t="shared" si="2369"/>
        <v>0.24122137404580152</v>
      </c>
      <c r="X721" s="21">
        <f t="shared" ref="X721:Y721" si="2370">X717/X718</f>
        <v>0.14961832061068703</v>
      </c>
      <c r="Y721" s="21">
        <f t="shared" si="2370"/>
        <v>0.15267175572519084</v>
      </c>
      <c r="Z721" s="21">
        <f t="shared" ref="Z721:AC721" si="2371">Z717/Z718</f>
        <v>0.15114503816793892</v>
      </c>
      <c r="AA721" s="21">
        <f t="shared" si="2371"/>
        <v>0.1435114503816794</v>
      </c>
      <c r="AB721" s="21">
        <f t="shared" si="2371"/>
        <v>0.1435114503816794</v>
      </c>
      <c r="AC721" s="21">
        <f t="shared" si="2371"/>
        <v>0.13435114503816795</v>
      </c>
      <c r="AD721" s="21">
        <f t="shared" ref="AD721:AE721" si="2372">AD717/AD718</f>
        <v>0.13282442748091602</v>
      </c>
      <c r="AE721" s="21">
        <f t="shared" si="2372"/>
        <v>0.1251908396946565</v>
      </c>
      <c r="AF721" s="21">
        <f t="shared" ref="AF721:AH721" si="2373">AF717/AF718</f>
        <v>0.1251908396946565</v>
      </c>
      <c r="AG721" s="21">
        <f t="shared" si="2373"/>
        <v>0.1251908396946565</v>
      </c>
      <c r="AH721" s="21">
        <f t="shared" si="2373"/>
        <v>0.1251908396946565</v>
      </c>
      <c r="AI721" s="21">
        <f t="shared" ref="AI721:AM721" si="2374">AI717/AI718</f>
        <v>0.1251908396946565</v>
      </c>
      <c r="AJ721" s="21">
        <f t="shared" si="2374"/>
        <v>0.1251908396946565</v>
      </c>
      <c r="AK721" s="21">
        <f t="shared" si="2374"/>
        <v>0.1251908396946565</v>
      </c>
      <c r="AL721" s="21">
        <f t="shared" si="2374"/>
        <v>0.1251908396946565</v>
      </c>
      <c r="AM721" s="21">
        <f t="shared" si="2374"/>
        <v>0.1251908396946565</v>
      </c>
      <c r="AN721" s="21">
        <f t="shared" ref="AN721:AO721" si="2375">AN717/AN718</f>
        <v>0.1251908396946565</v>
      </c>
      <c r="AO721" s="21">
        <f t="shared" si="2375"/>
        <v>0.1251908396946565</v>
      </c>
      <c r="AP721" s="21">
        <f t="shared" ref="AP721:AR721" si="2376">AP717/AP718</f>
        <v>0.1251908396946565</v>
      </c>
      <c r="AQ721" s="21">
        <f t="shared" si="2376"/>
        <v>0.1251908396946565</v>
      </c>
      <c r="AR721" s="21">
        <f t="shared" si="2376"/>
        <v>0.1251908396946565</v>
      </c>
      <c r="AS721" s="21">
        <f t="shared" ref="AS721:AV721" si="2377">AS717/AS718</f>
        <v>0.1251908396946565</v>
      </c>
      <c r="AT721" s="21">
        <f t="shared" si="2377"/>
        <v>0.1251908396946565</v>
      </c>
      <c r="AU721" s="21">
        <f t="shared" si="2377"/>
        <v>0.1251908396946565</v>
      </c>
      <c r="AV721" s="21">
        <f t="shared" si="2377"/>
        <v>0.1251908396946565</v>
      </c>
      <c r="AW721" s="21">
        <f t="shared" ref="AW721:BS721" si="2378">AW717/AW718</f>
        <v>0.1251908396946565</v>
      </c>
      <c r="AX721" s="21">
        <f t="shared" si="2378"/>
        <v>0.1251908396946565</v>
      </c>
      <c r="AY721" s="21">
        <f t="shared" ref="AY721" si="2379">AY717/AY718</f>
        <v>0.1251908396946565</v>
      </c>
      <c r="AZ721" s="21">
        <f t="shared" si="2378"/>
        <v>0.1251908396946565</v>
      </c>
      <c r="BA721" s="21">
        <f t="shared" si="2378"/>
        <v>0.1251908396946565</v>
      </c>
      <c r="BB721" s="21">
        <f t="shared" si="2378"/>
        <v>0.1251908396946565</v>
      </c>
      <c r="BC721" s="21">
        <f t="shared" si="2378"/>
        <v>0.1251908396946565</v>
      </c>
      <c r="BD721" s="21">
        <f t="shared" si="2378"/>
        <v>0.1251908396946565</v>
      </c>
      <c r="BE721" s="21">
        <f t="shared" si="2378"/>
        <v>0.1251908396946565</v>
      </c>
      <c r="BF721" s="21">
        <f t="shared" si="2378"/>
        <v>0.1251908396946565</v>
      </c>
      <c r="BG721" s="21">
        <f t="shared" si="2378"/>
        <v>0.1251908396946565</v>
      </c>
      <c r="BH721" s="21">
        <f t="shared" si="2378"/>
        <v>0.1251908396946565</v>
      </c>
      <c r="BI721" s="21">
        <f t="shared" si="2378"/>
        <v>0.1251908396946565</v>
      </c>
      <c r="BJ721" s="21">
        <f t="shared" si="2378"/>
        <v>0.1251908396946565</v>
      </c>
      <c r="BK721" s="21">
        <f t="shared" si="2378"/>
        <v>0.1251908396946565</v>
      </c>
      <c r="BL721" s="21">
        <f t="shared" si="2378"/>
        <v>0.1251908396946565</v>
      </c>
      <c r="BM721" s="21">
        <f t="shared" si="2378"/>
        <v>0.1251908396946565</v>
      </c>
      <c r="BN721" s="21">
        <f t="shared" si="2378"/>
        <v>0.1251908396946565</v>
      </c>
      <c r="BO721" s="21">
        <f t="shared" si="2378"/>
        <v>0.1251908396946565</v>
      </c>
      <c r="BP721" s="21">
        <f t="shared" si="2378"/>
        <v>0.1251908396946565</v>
      </c>
      <c r="BQ721" s="21">
        <f t="shared" si="2378"/>
        <v>0.1251908396946565</v>
      </c>
      <c r="BR721" s="21">
        <f t="shared" si="2378"/>
        <v>0.1251908396946565</v>
      </c>
      <c r="BS721" s="21">
        <f t="shared" si="2378"/>
        <v>0.1251908396946565</v>
      </c>
      <c r="BT721" s="21"/>
      <c r="BU721" s="21"/>
    </row>
    <row r="722" spans="1:78">
      <c r="Q722" s="98" t="s">
        <v>385</v>
      </c>
      <c r="R722" s="71"/>
      <c r="S722" s="71"/>
      <c r="T722" s="71"/>
      <c r="U722" s="71"/>
      <c r="V722" s="71"/>
    </row>
    <row r="723" spans="1:78">
      <c r="A723" s="3" t="s">
        <v>299</v>
      </c>
      <c r="O723" s="57" t="s">
        <v>377</v>
      </c>
      <c r="AN723" s="116" t="s">
        <v>682</v>
      </c>
      <c r="AO723" s="115"/>
      <c r="AP723" s="115"/>
      <c r="AQ723" s="115"/>
      <c r="AR723" s="115"/>
      <c r="AS723" s="115"/>
    </row>
    <row r="724" spans="1:78">
      <c r="L724" s="57" t="s">
        <v>343</v>
      </c>
      <c r="V724" s="160" t="s">
        <v>1097</v>
      </c>
      <c r="W724" s="44"/>
      <c r="X724" s="44"/>
      <c r="Y724" s="44"/>
      <c r="Z724" s="44"/>
      <c r="AA724" s="44"/>
      <c r="AB724" s="44"/>
      <c r="AC724" s="44"/>
      <c r="AN724" s="160" t="s">
        <v>680</v>
      </c>
      <c r="AO724" s="44"/>
      <c r="AP724" s="44"/>
      <c r="AQ724" s="44"/>
      <c r="AR724" s="44"/>
      <c r="AS724" s="44"/>
    </row>
    <row r="725" spans="1:78">
      <c r="A725" s="1" t="s">
        <v>300</v>
      </c>
      <c r="J725" s="37">
        <f>14800+3600</f>
        <v>18400</v>
      </c>
      <c r="K725" s="37">
        <f>27400+100</f>
        <v>27500</v>
      </c>
      <c r="L725" s="37">
        <v>29800</v>
      </c>
      <c r="M725" s="36">
        <f>L725</f>
        <v>29800</v>
      </c>
      <c r="N725" s="37">
        <f>27200+5000</f>
        <v>32200</v>
      </c>
      <c r="O725" s="37">
        <f>28100+5000</f>
        <v>33100</v>
      </c>
      <c r="P725" s="37">
        <f>45500+5000</f>
        <v>50500</v>
      </c>
      <c r="Q725" s="70">
        <v>60100</v>
      </c>
      <c r="R725" s="36">
        <f>Q725</f>
        <v>60100</v>
      </c>
      <c r="S725" s="37">
        <v>66300</v>
      </c>
      <c r="T725" s="37">
        <v>70700</v>
      </c>
      <c r="U725" s="37">
        <v>74600</v>
      </c>
      <c r="V725" s="37">
        <v>75000</v>
      </c>
      <c r="W725" s="36">
        <f>V725</f>
        <v>75000</v>
      </c>
      <c r="X725" s="37">
        <v>75200</v>
      </c>
      <c r="Y725" s="37">
        <v>75000</v>
      </c>
      <c r="Z725" s="37">
        <v>76300</v>
      </c>
      <c r="AA725" s="37">
        <v>74900</v>
      </c>
      <c r="AB725" s="36">
        <f>AA725</f>
        <v>74900</v>
      </c>
      <c r="AC725" s="37">
        <v>74000</v>
      </c>
      <c r="AD725" s="37">
        <v>72100</v>
      </c>
      <c r="AE725" s="37">
        <v>71600</v>
      </c>
      <c r="AF725" s="37">
        <v>70400</v>
      </c>
      <c r="AG725" s="36">
        <f>AF725</f>
        <v>70400</v>
      </c>
      <c r="AH725" s="37">
        <v>68100</v>
      </c>
      <c r="AI725" s="37">
        <v>67600</v>
      </c>
      <c r="AJ725" s="37">
        <v>66500</v>
      </c>
      <c r="AK725" s="37">
        <v>65600</v>
      </c>
      <c r="AL725" s="36">
        <f>AK725</f>
        <v>65600</v>
      </c>
      <c r="AM725" s="37">
        <v>64400</v>
      </c>
      <c r="AN725" s="159">
        <v>55000</v>
      </c>
      <c r="AO725" s="37">
        <v>53500</v>
      </c>
      <c r="AP725" s="37">
        <v>51600</v>
      </c>
      <c r="AQ725" s="36">
        <f>AP725</f>
        <v>51600</v>
      </c>
      <c r="AR725" s="120">
        <v>46300</v>
      </c>
      <c r="AS725" s="37">
        <v>45400</v>
      </c>
      <c r="AT725" s="37">
        <v>45000</v>
      </c>
      <c r="AU725" s="37">
        <v>44200</v>
      </c>
      <c r="AV725" s="36">
        <f>AU725</f>
        <v>44200</v>
      </c>
      <c r="AW725" s="37">
        <v>41300</v>
      </c>
      <c r="AX725" s="37">
        <v>40600</v>
      </c>
      <c r="AY725" s="37">
        <v>40100</v>
      </c>
      <c r="AZ725" s="622">
        <f>'SVF1'!AZ8</f>
        <v>40100</v>
      </c>
      <c r="BA725" s="36">
        <f>AZ725</f>
        <v>40100</v>
      </c>
      <c r="BB725" s="36">
        <f>'SVF1'!BB8</f>
        <v>36460</v>
      </c>
      <c r="BC725" s="36">
        <f>'SVF1'!BC8</f>
        <v>32855</v>
      </c>
      <c r="BD725" s="36">
        <f>'SVF1'!BD8</f>
        <v>29285</v>
      </c>
      <c r="BE725" s="36">
        <f>'SVF1'!BE8</f>
        <v>25760</v>
      </c>
      <c r="BF725" s="36">
        <f>BE725</f>
        <v>25760</v>
      </c>
      <c r="BG725" s="36">
        <f>'SVF1'!BG8</f>
        <v>22980</v>
      </c>
      <c r="BH725" s="36">
        <f>'SVF1'!BH8</f>
        <v>20180</v>
      </c>
      <c r="BI725" s="36">
        <f>'SVF1'!BI8</f>
        <v>17355</v>
      </c>
      <c r="BJ725" s="36">
        <f>'SVF1'!BJ8</f>
        <v>14505</v>
      </c>
      <c r="BK725" s="36">
        <f>BJ725</f>
        <v>14505</v>
      </c>
      <c r="BL725" s="36">
        <f>'SVF1'!BL8</f>
        <v>11630</v>
      </c>
      <c r="BM725" s="36">
        <f>'SVF1'!BM8</f>
        <v>8730</v>
      </c>
      <c r="BN725" s="36">
        <f>'SVF1'!BN8</f>
        <v>5805</v>
      </c>
      <c r="BO725" s="36">
        <f>'SVF1'!BO8</f>
        <v>2855</v>
      </c>
      <c r="BP725" s="36">
        <f>BO725</f>
        <v>2855</v>
      </c>
      <c r="BQ725" s="36" t="e">
        <f>'SVF1'!BQ8</f>
        <v>#NUM!</v>
      </c>
      <c r="BR725" s="36" t="e">
        <f>'SVF1'!BR8</f>
        <v>#NUM!</v>
      </c>
      <c r="BS725" s="36" t="e">
        <f>'SVF1'!BS8</f>
        <v>#NUM!</v>
      </c>
      <c r="BT725" s="36"/>
      <c r="BU725" s="36"/>
    </row>
    <row r="726" spans="1:78">
      <c r="A726" s="1" t="s">
        <v>301</v>
      </c>
      <c r="J726" s="37">
        <f>16600+3600</f>
        <v>20200</v>
      </c>
      <c r="K726" s="37">
        <f>29700+100</f>
        <v>29800</v>
      </c>
      <c r="L726" s="37">
        <v>33100</v>
      </c>
      <c r="M726" s="36">
        <f>L726</f>
        <v>33100</v>
      </c>
      <c r="N726" s="37">
        <f>32600+5000</f>
        <v>37600</v>
      </c>
      <c r="O726" s="37">
        <f>35800+5000</f>
        <v>40800</v>
      </c>
      <c r="P726" s="37">
        <f>55300+5000</f>
        <v>60300</v>
      </c>
      <c r="Q726" s="70">
        <v>72300</v>
      </c>
      <c r="R726" s="36">
        <f>Q726</f>
        <v>72300</v>
      </c>
      <c r="S726" s="37">
        <v>82200</v>
      </c>
      <c r="T726" s="37">
        <v>77600</v>
      </c>
      <c r="U726" s="37">
        <v>79800</v>
      </c>
      <c r="V726" s="37">
        <v>69600</v>
      </c>
      <c r="W726" s="36">
        <f>V726</f>
        <v>69600</v>
      </c>
      <c r="X726" s="37">
        <v>71500</v>
      </c>
      <c r="Y726" s="37">
        <v>76400</v>
      </c>
      <c r="Z726" s="37">
        <v>90000</v>
      </c>
      <c r="AA726" s="37">
        <v>120700</v>
      </c>
      <c r="AB726" s="36">
        <f>AA726</f>
        <v>120700</v>
      </c>
      <c r="AC726" s="37">
        <v>120100</v>
      </c>
      <c r="AD726" s="37">
        <v>104600</v>
      </c>
      <c r="AE726" s="37">
        <v>101600</v>
      </c>
      <c r="AF726" s="37">
        <v>78600</v>
      </c>
      <c r="AG726" s="36">
        <f>AF726</f>
        <v>78600</v>
      </c>
      <c r="AH726" s="37">
        <v>66300</v>
      </c>
      <c r="AI726" s="37">
        <v>60600</v>
      </c>
      <c r="AJ726" s="37">
        <v>56600</v>
      </c>
      <c r="AK726" s="37">
        <v>55900</v>
      </c>
      <c r="AL726" s="36">
        <f>AK726</f>
        <v>55900</v>
      </c>
      <c r="AM726" s="37">
        <v>56300</v>
      </c>
      <c r="AN726" s="159">
        <v>42300</v>
      </c>
      <c r="AO726" s="37">
        <v>42200</v>
      </c>
      <c r="AP726" s="37">
        <v>39900</v>
      </c>
      <c r="AQ726" s="36">
        <f>AP726</f>
        <v>39900</v>
      </c>
      <c r="AR726" s="120">
        <v>41800</v>
      </c>
      <c r="AS726" s="37">
        <v>43900</v>
      </c>
      <c r="AT726" s="37">
        <v>42100</v>
      </c>
      <c r="AU726" s="37">
        <v>43300</v>
      </c>
      <c r="AV726" s="36">
        <f>AU726</f>
        <v>43300</v>
      </c>
      <c r="AW726" s="37">
        <v>45600</v>
      </c>
      <c r="AX726" s="37">
        <v>50100</v>
      </c>
      <c r="AY726" s="37">
        <v>45200</v>
      </c>
      <c r="AZ726" s="622">
        <f>'SVF1'!AZ9</f>
        <v>43310</v>
      </c>
      <c r="BA726" s="36">
        <f>AZ726</f>
        <v>43310</v>
      </c>
      <c r="BB726" s="36">
        <f>'SVF1'!BB9</f>
        <v>40045</v>
      </c>
      <c r="BC726" s="36">
        <f>'SVF1'!BC9</f>
        <v>36785</v>
      </c>
      <c r="BD726" s="36">
        <f>'SVF1'!BD9</f>
        <v>33535</v>
      </c>
      <c r="BE726" s="36">
        <f>'SVF1'!BE9</f>
        <v>30300</v>
      </c>
      <c r="BF726" s="36">
        <f>BE726</f>
        <v>30300</v>
      </c>
      <c r="BG726" s="36">
        <f>'SVF1'!BG9</f>
        <v>27780</v>
      </c>
      <c r="BH726" s="36">
        <f>'SVF1'!BH9</f>
        <v>25220</v>
      </c>
      <c r="BI726" s="36">
        <f>'SVF1'!BI9</f>
        <v>22615</v>
      </c>
      <c r="BJ726" s="36">
        <f>'SVF1'!BJ9</f>
        <v>19960</v>
      </c>
      <c r="BK726" s="36">
        <f>BJ726</f>
        <v>19960</v>
      </c>
      <c r="BL726" s="36">
        <f>'SVF1'!BL9</f>
        <v>17255</v>
      </c>
      <c r="BM726" s="36">
        <f>'SVF1'!BM9</f>
        <v>14505</v>
      </c>
      <c r="BN726" s="36">
        <f>'SVF1'!BN9</f>
        <v>11705</v>
      </c>
      <c r="BO726" s="36">
        <f>'SVF1'!BO9</f>
        <v>8855</v>
      </c>
      <c r="BP726" s="36">
        <f>BO726</f>
        <v>8855</v>
      </c>
      <c r="BQ726" s="36">
        <f>'SVF1'!BQ9</f>
        <v>5955</v>
      </c>
      <c r="BR726" s="36">
        <f>'SVF1'!BR9</f>
        <v>3000</v>
      </c>
      <c r="BS726" s="36">
        <f>'SVF1'!BS9</f>
        <v>0</v>
      </c>
      <c r="BT726" s="36"/>
      <c r="BU726" s="36"/>
    </row>
    <row r="727" spans="1:78">
      <c r="A727" s="1" t="s">
        <v>302</v>
      </c>
      <c r="J727" s="16">
        <f t="shared" ref="J727:T727" si="2380">J726/J725-1</f>
        <v>9.7826086956521729E-2</v>
      </c>
      <c r="K727" s="16">
        <f t="shared" si="2380"/>
        <v>8.3636363636363731E-2</v>
      </c>
      <c r="L727" s="16">
        <f t="shared" si="2380"/>
        <v>0.11073825503355694</v>
      </c>
      <c r="M727" s="16">
        <f t="shared" si="2380"/>
        <v>0.11073825503355694</v>
      </c>
      <c r="N727" s="16">
        <f t="shared" si="2380"/>
        <v>0.16770186335403725</v>
      </c>
      <c r="O727" s="16">
        <f t="shared" si="2380"/>
        <v>0.23262839879154074</v>
      </c>
      <c r="P727" s="16">
        <f t="shared" si="2380"/>
        <v>0.19405940594059401</v>
      </c>
      <c r="Q727" s="16">
        <f t="shared" si="2380"/>
        <v>0.2029950083194676</v>
      </c>
      <c r="R727" s="16">
        <f t="shared" si="2380"/>
        <v>0.2029950083194676</v>
      </c>
      <c r="S727" s="16">
        <f t="shared" si="2380"/>
        <v>0.23981900452488691</v>
      </c>
      <c r="T727" s="16">
        <f t="shared" si="2380"/>
        <v>9.7595473833097524E-2</v>
      </c>
      <c r="U727" s="16">
        <f t="shared" ref="U727:Y727" si="2381">U726/U725-1</f>
        <v>6.9705093833780207E-2</v>
      </c>
      <c r="V727" s="16">
        <f t="shared" si="2381"/>
        <v>-7.1999999999999953E-2</v>
      </c>
      <c r="W727" s="16">
        <f t="shared" si="2381"/>
        <v>-7.1999999999999953E-2</v>
      </c>
      <c r="X727" s="16">
        <f t="shared" si="2381"/>
        <v>-4.9202127659574435E-2</v>
      </c>
      <c r="Y727" s="16">
        <f t="shared" si="2381"/>
        <v>1.8666666666666609E-2</v>
      </c>
      <c r="Z727" s="16">
        <f t="shared" ref="Z727:AB727" si="2382">Z726/Z725-1</f>
        <v>0.17955439056356481</v>
      </c>
      <c r="AA727" s="16">
        <f t="shared" si="2382"/>
        <v>0.61148197596795728</v>
      </c>
      <c r="AB727" s="16">
        <f t="shared" si="2382"/>
        <v>0.61148197596795728</v>
      </c>
      <c r="AC727" s="16">
        <f t="shared" ref="AC727:AD727" si="2383">AC726/AC725-1</f>
        <v>0.62297297297297294</v>
      </c>
      <c r="AD727" s="16">
        <f t="shared" si="2383"/>
        <v>0.45076282940360612</v>
      </c>
      <c r="AE727" s="16">
        <f t="shared" ref="AE727:AG727" si="2384">AE726/AE725-1</f>
        <v>0.41899441340782118</v>
      </c>
      <c r="AF727" s="16">
        <f t="shared" si="2384"/>
        <v>0.11647727272727271</v>
      </c>
      <c r="AG727" s="16">
        <f t="shared" si="2384"/>
        <v>0.11647727272727271</v>
      </c>
      <c r="AH727" s="16">
        <f t="shared" ref="AH727:AI727" si="2385">AH726/AH725-1</f>
        <v>-2.6431718061673992E-2</v>
      </c>
      <c r="AI727" s="16">
        <f t="shared" si="2385"/>
        <v>-0.10355029585798814</v>
      </c>
      <c r="AJ727" s="16">
        <f t="shared" ref="AJ727:AM727" si="2386">AJ726/AJ725-1</f>
        <v>-0.14887218045112782</v>
      </c>
      <c r="AK727" s="16">
        <f t="shared" si="2386"/>
        <v>-0.14786585365853655</v>
      </c>
      <c r="AL727" s="16">
        <f t="shared" si="2386"/>
        <v>-0.14786585365853655</v>
      </c>
      <c r="AM727" s="16">
        <f t="shared" si="2386"/>
        <v>-0.12577639751552794</v>
      </c>
      <c r="AN727" s="16">
        <f t="shared" ref="AN727:AR727" si="2387">AN726/AN725-1</f>
        <v>-0.23090909090909095</v>
      </c>
      <c r="AO727" s="16">
        <f t="shared" si="2387"/>
        <v>-0.21121495327102802</v>
      </c>
      <c r="AP727" s="16">
        <f t="shared" si="2387"/>
        <v>-0.22674418604651159</v>
      </c>
      <c r="AQ727" s="16">
        <f t="shared" si="2387"/>
        <v>-0.22674418604651159</v>
      </c>
      <c r="AR727" s="16">
        <f t="shared" si="2387"/>
        <v>-9.7192224622030254E-2</v>
      </c>
      <c r="AS727" s="16">
        <f t="shared" ref="AS727:AV727" si="2388">AS726/AS725-1</f>
        <v>-3.3039647577092546E-2</v>
      </c>
      <c r="AT727" s="16">
        <f t="shared" ref="AT727" si="2389">AT726/AT725-1</f>
        <v>-6.4444444444444415E-2</v>
      </c>
      <c r="AU727" s="16">
        <f t="shared" si="2388"/>
        <v>-2.0361990950226283E-2</v>
      </c>
      <c r="AV727" s="16">
        <f t="shared" si="2388"/>
        <v>-2.0361990950226283E-2</v>
      </c>
      <c r="AW727" s="16">
        <f t="shared" ref="AW727:AY727" si="2390">AW726/AW725-1</f>
        <v>0.10411622276029053</v>
      </c>
      <c r="AX727" s="16">
        <f t="shared" si="2390"/>
        <v>0.23399014778325133</v>
      </c>
      <c r="AY727" s="16">
        <f t="shared" si="2390"/>
        <v>0.12718204488778051</v>
      </c>
      <c r="AZ727" s="16">
        <f t="shared" ref="AZ727:BP727" si="2391">AZ726/AZ725-1</f>
        <v>8.0049875311720697E-2</v>
      </c>
      <c r="BA727" s="16">
        <f t="shared" si="2391"/>
        <v>8.0049875311720697E-2</v>
      </c>
      <c r="BB727" s="16">
        <f t="shared" si="2391"/>
        <v>9.83269336258914E-2</v>
      </c>
      <c r="BC727" s="16">
        <f t="shared" si="2391"/>
        <v>0.11961649672804753</v>
      </c>
      <c r="BD727" s="16">
        <f t="shared" si="2391"/>
        <v>0.14512549086563098</v>
      </c>
      <c r="BE727" s="16">
        <f t="shared" si="2391"/>
        <v>0.17624223602484479</v>
      </c>
      <c r="BF727" s="16">
        <f t="shared" si="2391"/>
        <v>0.17624223602484479</v>
      </c>
      <c r="BG727" s="16">
        <f t="shared" si="2391"/>
        <v>0.20887728459530019</v>
      </c>
      <c r="BH727" s="16">
        <f t="shared" si="2391"/>
        <v>0.24975222993062429</v>
      </c>
      <c r="BI727" s="16">
        <f t="shared" si="2391"/>
        <v>0.30308268510515712</v>
      </c>
      <c r="BJ727" s="16">
        <f t="shared" si="2391"/>
        <v>0.37607721475353317</v>
      </c>
      <c r="BK727" s="16">
        <f t="shared" si="2391"/>
        <v>0.37607721475353317</v>
      </c>
      <c r="BL727" s="16">
        <f t="shared" si="2391"/>
        <v>0.48366294067067939</v>
      </c>
      <c r="BM727" s="16">
        <f t="shared" si="2391"/>
        <v>0.66151202749140903</v>
      </c>
      <c r="BN727" s="16">
        <f t="shared" si="2391"/>
        <v>1.016365202411714</v>
      </c>
      <c r="BO727" s="16">
        <f t="shared" si="2391"/>
        <v>2.1015761821366024</v>
      </c>
      <c r="BP727" s="16">
        <f t="shared" si="2391"/>
        <v>2.1015761821366024</v>
      </c>
      <c r="BQ727" s="16" t="e">
        <f t="shared" ref="BQ727:BS727" si="2392">BQ726/BQ725-1</f>
        <v>#NUM!</v>
      </c>
      <c r="BR727" s="16" t="e">
        <f t="shared" si="2392"/>
        <v>#NUM!</v>
      </c>
      <c r="BS727" s="16" t="e">
        <f t="shared" si="2392"/>
        <v>#NUM!</v>
      </c>
    </row>
    <row r="728" spans="1:78">
      <c r="A728" s="1" t="s">
        <v>305</v>
      </c>
      <c r="J728" s="74">
        <f>J727</f>
        <v>9.7826086956521729E-2</v>
      </c>
      <c r="K728" s="16">
        <f>K726/(J726+K725-J725)-1</f>
        <v>1.7064846416382284E-2</v>
      </c>
      <c r="L728" s="16">
        <f>L726/(K726+L725-K725)-1</f>
        <v>3.1152647975077885E-2</v>
      </c>
      <c r="M728" s="16">
        <f>(1+J728)*(1+K728)*(1+L728)-1</f>
        <v>0.15134413113050504</v>
      </c>
      <c r="N728" s="16">
        <f>N726/(M726+N725-M725)-1</f>
        <v>5.915492957746471E-2</v>
      </c>
      <c r="O728" s="16">
        <f>O726/(N726+O725-N725)-1</f>
        <v>5.9740259740259649E-2</v>
      </c>
      <c r="P728" s="16">
        <f>P726/(O726+P725-O725)-1</f>
        <v>3.6082474226804218E-2</v>
      </c>
      <c r="Q728" s="16">
        <f>Q726/(P726+Q725-P725)-1</f>
        <v>3.4334763948497882E-2</v>
      </c>
      <c r="R728" s="16">
        <f>(1+N728)*(1+O728)*(1+P728)*(1+Q728)-1</f>
        <v>0.20285803748564657</v>
      </c>
      <c r="S728" s="16">
        <f>S726/(R726+S725-R725)-1</f>
        <v>4.7133757961783429E-2</v>
      </c>
      <c r="T728" s="16">
        <f>T726/(S726+T725-S725)-1</f>
        <v>-0.10392609699769051</v>
      </c>
      <c r="U728" s="16">
        <f>U726/(T726+U725-T725)-1</f>
        <v>-2.0858895705521463E-2</v>
      </c>
      <c r="V728" s="295">
        <f>V726/(U726+0.5*(V730-U730)-0.5*V742)-1</f>
        <v>-0.12065698041692985</v>
      </c>
      <c r="W728" s="16">
        <f>(1+S728)*(1+T728)*(1+U728)*(1+V728)-1</f>
        <v>-0.19211490996930725</v>
      </c>
      <c r="X728" s="16">
        <f t="shared" ref="X728:AP728" si="2393">X726/(W726+0.5*(X730-W730)-0.5*X742)-1</f>
        <v>2.3622047244094446E-2</v>
      </c>
      <c r="Y728" s="16">
        <f t="shared" si="2393"/>
        <v>7.2280701754386056E-2</v>
      </c>
      <c r="Z728" s="16">
        <f t="shared" si="2393"/>
        <v>0.17340286831812257</v>
      </c>
      <c r="AA728" s="16">
        <f t="shared" si="2393"/>
        <v>0.37081203861442358</v>
      </c>
      <c r="AB728" s="16">
        <f>(1+X728)*(1+Y728)*(1+Z728)*(1+AA728)-1</f>
        <v>0.76552217438269188</v>
      </c>
      <c r="AC728" s="16">
        <f t="shared" si="2393"/>
        <v>1.1368421052631472E-2</v>
      </c>
      <c r="AD728" s="16">
        <f t="shared" si="2393"/>
        <v>-0.10674637062339876</v>
      </c>
      <c r="AE728" s="16">
        <f t="shared" si="2393"/>
        <v>-1.2153621779290247E-2</v>
      </c>
      <c r="AF728" s="16">
        <f t="shared" si="2393"/>
        <v>-0.21713147410358569</v>
      </c>
      <c r="AG728" s="16">
        <f>(1+AC728)*(1+AD728)*(1+AE728)*(1+AF728)-1</f>
        <v>-0.30134555945244634</v>
      </c>
      <c r="AH728" s="16">
        <f t="shared" si="2393"/>
        <v>-0.14451612903225808</v>
      </c>
      <c r="AI728" s="16">
        <f t="shared" si="2393"/>
        <v>-8.181818181818179E-2</v>
      </c>
      <c r="AJ728" s="16">
        <f t="shared" si="2393"/>
        <v>-5.4302422723475408E-2</v>
      </c>
      <c r="AK728" s="16">
        <f t="shared" si="2393"/>
        <v>-2.67618198037467E-3</v>
      </c>
      <c r="AL728" s="16">
        <f>(1+AH728)*(1+AI728)*(1+AJ728)*(1+AK728)-1</f>
        <v>-0.25915222324543985</v>
      </c>
      <c r="AM728" s="16">
        <f t="shared" si="2393"/>
        <v>1.2589928057553879E-2</v>
      </c>
      <c r="AN728" s="209">
        <f>(AN726+15100)/AM726-1</f>
        <v>1.9538188277087087E-2</v>
      </c>
      <c r="AO728" s="16">
        <f t="shared" si="2393"/>
        <v>2.1791767554479424E-2</v>
      </c>
      <c r="AP728" s="16">
        <f t="shared" si="2393"/>
        <v>-2.8014616321559105E-2</v>
      </c>
      <c r="AQ728" s="16">
        <f>(1+AM728)*(1+AN728)*(1+AO728)*(1+AP728)-1</f>
        <v>2.5319540812363428E-2</v>
      </c>
      <c r="AR728" s="16">
        <f t="shared" ref="AR728" si="2394">AR726/(AQ726+0.5*(AR730-AQ730)-0.5*AR742)-1</f>
        <v>6.0913705583756306E-2</v>
      </c>
      <c r="AS728" s="16">
        <f t="shared" ref="AS728" si="2395">AS726/(AR726+0.5*(AS730-AR730)-0.5*AS742)-1</f>
        <v>6.1668681983071405E-2</v>
      </c>
      <c r="AT728" s="16">
        <f t="shared" ref="AT728" si="2396">AT726/(AS726+0.5*(AT730-AS730)-0.5*AT742)-1</f>
        <v>-3.2183908045977039E-2</v>
      </c>
      <c r="AU728" s="16">
        <f t="shared" ref="AU728" si="2397">AU726/(AT726+0.5*(AU730-AT730)-0.5*AU742)-1</f>
        <v>3.5885167464114742E-2</v>
      </c>
      <c r="AV728" s="16">
        <f>(1+AR728)*(1+AS728)*(1+AT728)*(1+AU728)-1</f>
        <v>0.1292068909781201</v>
      </c>
      <c r="AW728" s="16">
        <f t="shared" ref="AW728:AY728" si="2398">AW726/(AV726+0.5*(AW730-AV730)-0.5*AW742)-1</f>
        <v>6.9167643610785534E-2</v>
      </c>
      <c r="AX728" s="16">
        <f t="shared" si="2398"/>
        <v>0.11457174638487211</v>
      </c>
      <c r="AY728" s="16">
        <f t="shared" si="2398"/>
        <v>-9.0543259557344102E-2</v>
      </c>
      <c r="AZ728" s="521">
        <f>(AZ726+AZ742)/AY726-1</f>
        <v>-4.1814159292035358E-2</v>
      </c>
      <c r="BA728" s="16">
        <f>(1+AW728)*(1+AX728)*(1+AY728)*(1+AZ728)-1</f>
        <v>3.8450098725225423E-2</v>
      </c>
      <c r="BB728" s="16">
        <f>(BB726+BB742)/BA726-1</f>
        <v>8.6585084276149527E-3</v>
      </c>
      <c r="BC728" s="16">
        <f>(BC726+BC742)/BB726-1</f>
        <v>8.6153077787489707E-3</v>
      </c>
      <c r="BD728" s="16">
        <f>(BD726+BD742)/BC726-1</f>
        <v>8.6991980426804894E-3</v>
      </c>
      <c r="BE728" s="16">
        <f>(BE726+BE742)/BD726-1</f>
        <v>8.6476815267630958E-3</v>
      </c>
      <c r="BF728" s="16">
        <f>(1+BB728)*(1+BC728)*(1+BD728)*(1+BE728)-1</f>
        <v>3.5072765281845664E-2</v>
      </c>
      <c r="BG728" s="16">
        <f>(BG726+BG742)/BF726-1</f>
        <v>8.5808580858086625E-3</v>
      </c>
      <c r="BH728" s="16">
        <f>(BH726+BH742)/BG726-1</f>
        <v>8.6393088552916275E-3</v>
      </c>
      <c r="BI728" s="16">
        <f>(BI726+BI742)/BH726-1</f>
        <v>8.7232355273592077E-3</v>
      </c>
      <c r="BJ728" s="16">
        <f>(BJ726+BJ742)/BI726-1</f>
        <v>8.6225956223744404E-3</v>
      </c>
      <c r="BK728" s="16">
        <f>(1+BG728)*(1+BH728)*(1+BI728)*(1+BJ728)-1</f>
        <v>3.5016632531855718E-2</v>
      </c>
      <c r="BL728" s="16">
        <f>(BL726+BL742)/BK726-1</f>
        <v>8.5170340681361978E-3</v>
      </c>
      <c r="BM728" s="16">
        <f>(BM726+BM742)/BL726-1</f>
        <v>8.6931324253840536E-3</v>
      </c>
      <c r="BN728" s="16">
        <f>(BN726+BN742)/BM726-1</f>
        <v>8.6177180282660526E-3</v>
      </c>
      <c r="BO728" s="16">
        <f>(BO726+BO742)/BN726-1</f>
        <v>8.5433575395130745E-3</v>
      </c>
      <c r="BP728" s="16">
        <f>(1+BL728)*(1+BM728)*(1+BN728)*(1+BO728)-1</f>
        <v>3.4816794117972005E-2</v>
      </c>
      <c r="BQ728" s="16">
        <f>(BQ726+BQ742)/BP726-1</f>
        <v>8.4697910784867769E-3</v>
      </c>
      <c r="BR728" s="16">
        <f>(BR726+BR742)/BQ726-1</f>
        <v>8.3963056255247359E-3</v>
      </c>
      <c r="BS728" s="16">
        <f>(BS726+BS742)/BR726-1</f>
        <v>8.3333333333333037E-3</v>
      </c>
    </row>
    <row r="729" spans="1:78">
      <c r="K729" s="25" t="s">
        <v>306</v>
      </c>
      <c r="R729" s="71"/>
      <c r="S729" s="71"/>
      <c r="T729" s="71"/>
      <c r="U729" s="133" t="s">
        <v>446</v>
      </c>
      <c r="X729" s="22" t="s">
        <v>447</v>
      </c>
      <c r="AN729" s="160" t="s">
        <v>681</v>
      </c>
      <c r="AO729" s="44"/>
      <c r="AP729" s="44"/>
      <c r="AQ729" s="44"/>
      <c r="AR729" s="44"/>
      <c r="AS729" s="44"/>
      <c r="AT729" s="44"/>
      <c r="AU729" s="44"/>
      <c r="AV729" s="44"/>
      <c r="AY729" s="1081" t="s">
        <v>3380</v>
      </c>
      <c r="AZ729" s="46"/>
      <c r="BA729" s="46"/>
      <c r="BB729" s="46"/>
      <c r="BC729" s="46"/>
    </row>
    <row r="730" spans="1:78">
      <c r="A730" s="1" t="s">
        <v>441</v>
      </c>
      <c r="K730" s="25"/>
      <c r="U730" s="159">
        <v>80500</v>
      </c>
      <c r="V730" s="159">
        <v>81300</v>
      </c>
      <c r="W730" s="36">
        <f>V730</f>
        <v>81300</v>
      </c>
      <c r="X730" s="37">
        <v>82300</v>
      </c>
      <c r="Y730" s="37">
        <v>82700</v>
      </c>
      <c r="Z730" s="37">
        <v>84500</v>
      </c>
      <c r="AA730" s="37">
        <v>85700</v>
      </c>
      <c r="AB730" s="36">
        <f>AA730</f>
        <v>85700</v>
      </c>
      <c r="AC730" s="37">
        <v>87800</v>
      </c>
      <c r="AD730" s="37">
        <v>88200</v>
      </c>
      <c r="AE730" s="37">
        <v>88600</v>
      </c>
      <c r="AF730" s="37">
        <v>89200</v>
      </c>
      <c r="AG730" s="36">
        <f>AF730</f>
        <v>89200</v>
      </c>
      <c r="AH730" s="37">
        <v>89200</v>
      </c>
      <c r="AI730" s="37">
        <v>89400</v>
      </c>
      <c r="AJ730" s="37">
        <v>89600</v>
      </c>
      <c r="AK730" s="37">
        <v>89600</v>
      </c>
      <c r="AL730" s="36">
        <f>AK730</f>
        <v>89600</v>
      </c>
      <c r="AM730" s="37">
        <v>89600</v>
      </c>
      <c r="AN730" s="37">
        <v>89600</v>
      </c>
      <c r="AO730" s="37">
        <v>89600</v>
      </c>
      <c r="AP730" s="37">
        <v>89600</v>
      </c>
      <c r="AQ730" s="36">
        <f>AP730</f>
        <v>89600</v>
      </c>
      <c r="AR730" s="37">
        <v>89500</v>
      </c>
      <c r="AS730" s="37">
        <v>89500</v>
      </c>
      <c r="AT730" s="37">
        <v>89500</v>
      </c>
      <c r="AU730" s="37">
        <v>89600</v>
      </c>
      <c r="AV730" s="36">
        <f>AU730</f>
        <v>89600</v>
      </c>
      <c r="AW730" s="37">
        <v>89600</v>
      </c>
      <c r="AX730" s="37">
        <v>89500</v>
      </c>
      <c r="AY730" s="1080">
        <v>85700</v>
      </c>
      <c r="AZ730" s="613">
        <f>'SVF1'!AZ25</f>
        <v>85700</v>
      </c>
      <c r="BA730" s="36">
        <f>AZ730</f>
        <v>85700</v>
      </c>
      <c r="BB730" s="59">
        <f>'SVF1'!BB25</f>
        <v>85700</v>
      </c>
      <c r="BC730" s="59">
        <f>'SVF1'!BC25</f>
        <v>85700</v>
      </c>
      <c r="BD730" s="59">
        <f>'SVF1'!BD25</f>
        <v>85700</v>
      </c>
      <c r="BE730" s="59">
        <f>'SVF1'!BE25</f>
        <v>85700</v>
      </c>
      <c r="BF730" s="36">
        <f>BE730</f>
        <v>85700</v>
      </c>
      <c r="BG730" s="59">
        <f>'SVF1'!BG25</f>
        <v>85700</v>
      </c>
      <c r="BH730" s="59">
        <f>'SVF1'!BH25</f>
        <v>85700</v>
      </c>
      <c r="BI730" s="59">
        <f>'SVF1'!BI25</f>
        <v>85700</v>
      </c>
      <c r="BJ730" s="59">
        <f>'SVF1'!BJ25</f>
        <v>85700</v>
      </c>
      <c r="BK730" s="36">
        <f>BJ730</f>
        <v>85700</v>
      </c>
      <c r="BL730" s="59">
        <f>'SVF1'!BL25</f>
        <v>85700</v>
      </c>
      <c r="BM730" s="59">
        <f>'SVF1'!BM25</f>
        <v>85700</v>
      </c>
      <c r="BN730" s="59">
        <f>'SVF1'!BN25</f>
        <v>85700</v>
      </c>
      <c r="BO730" s="59">
        <f>'SVF1'!BO25</f>
        <v>85700</v>
      </c>
      <c r="BP730" s="36">
        <f>BO730</f>
        <v>85700</v>
      </c>
      <c r="BQ730" s="59">
        <f>'SVF1'!BQ25</f>
        <v>85700</v>
      </c>
      <c r="BR730" s="59">
        <f>'SVF1'!BR25</f>
        <v>85700</v>
      </c>
      <c r="BS730" s="59">
        <f>'SVF1'!BS25</f>
        <v>85700</v>
      </c>
      <c r="BT730" s="59"/>
      <c r="BU730" s="36"/>
      <c r="BV730" s="59"/>
      <c r="BW730" s="59"/>
      <c r="BX730" s="59"/>
      <c r="BY730" s="59"/>
      <c r="BZ730" s="36"/>
    </row>
    <row r="731" spans="1:78">
      <c r="A731" s="1" t="s">
        <v>442</v>
      </c>
      <c r="K731" s="25"/>
      <c r="U731" s="70">
        <f>U730+9500</f>
        <v>90000</v>
      </c>
      <c r="V731" s="70">
        <f>V730+600</f>
        <v>81900</v>
      </c>
      <c r="W731" s="36">
        <f>V731</f>
        <v>81900</v>
      </c>
      <c r="X731" s="37">
        <v>84300</v>
      </c>
      <c r="Y731" s="37">
        <v>90100</v>
      </c>
      <c r="Z731" s="37">
        <v>104900</v>
      </c>
      <c r="AA731" s="37">
        <v>140700</v>
      </c>
      <c r="AB731" s="36">
        <f>AA731</f>
        <v>140700</v>
      </c>
      <c r="AC731" s="37">
        <v>146100</v>
      </c>
      <c r="AD731" s="37">
        <v>137000</v>
      </c>
      <c r="AE731" s="37">
        <v>137900</v>
      </c>
      <c r="AF731" s="37">
        <v>117900</v>
      </c>
      <c r="AG731" s="36">
        <f>AF731</f>
        <v>117900</v>
      </c>
      <c r="AH731" s="37">
        <v>107800</v>
      </c>
      <c r="AI731" s="37">
        <v>102900</v>
      </c>
      <c r="AJ731" s="37">
        <v>100600</v>
      </c>
      <c r="AK731" s="37">
        <v>101000</v>
      </c>
      <c r="AL731" s="36">
        <f>AK731</f>
        <v>101000</v>
      </c>
      <c r="AM731" s="37">
        <v>102000</v>
      </c>
      <c r="AN731" s="37">
        <v>104400</v>
      </c>
      <c r="AO731" s="37">
        <v>106300</v>
      </c>
      <c r="AP731" s="37">
        <v>106300</v>
      </c>
      <c r="AQ731" s="36">
        <f>AP731</f>
        <v>106300</v>
      </c>
      <c r="AR731" s="37">
        <v>109100</v>
      </c>
      <c r="AS731" s="37">
        <v>112100</v>
      </c>
      <c r="AT731" s="37">
        <v>111100</v>
      </c>
      <c r="AU731" s="37">
        <v>113000</v>
      </c>
      <c r="AV731" s="36">
        <f>AU731</f>
        <v>113000</v>
      </c>
      <c r="AW731" s="37">
        <v>116600</v>
      </c>
      <c r="AX731" s="37">
        <v>122300</v>
      </c>
      <c r="AY731" s="1080">
        <v>114400</v>
      </c>
      <c r="AZ731" s="613">
        <f>'SVF1'!AZ26</f>
        <v>112510</v>
      </c>
      <c r="BA731" s="36">
        <f>AZ731</f>
        <v>112510</v>
      </c>
      <c r="BB731" s="59">
        <f>'SVF1'!BB26</f>
        <v>112885</v>
      </c>
      <c r="BC731" s="59">
        <f>'SVF1'!BC26</f>
        <v>113230</v>
      </c>
      <c r="BD731" s="59">
        <f>'SVF1'!BD26</f>
        <v>113550</v>
      </c>
      <c r="BE731" s="59">
        <f>'SVF1'!BE26</f>
        <v>113840</v>
      </c>
      <c r="BF731" s="36">
        <f>BE731</f>
        <v>113840</v>
      </c>
      <c r="BG731" s="59">
        <f>'SVF1'!BG26</f>
        <v>114100</v>
      </c>
      <c r="BH731" s="59">
        <f>'SVF1'!BH26</f>
        <v>114340</v>
      </c>
      <c r="BI731" s="59">
        <f>'SVF1'!BI26</f>
        <v>114560</v>
      </c>
      <c r="BJ731" s="59">
        <f>'SVF1'!BJ26</f>
        <v>114755</v>
      </c>
      <c r="BK731" s="36">
        <f>BJ731</f>
        <v>114755</v>
      </c>
      <c r="BL731" s="59">
        <f>'SVF1'!BL26</f>
        <v>114925</v>
      </c>
      <c r="BM731" s="59">
        <f>'SVF1'!BM26</f>
        <v>115075</v>
      </c>
      <c r="BN731" s="59">
        <f>'SVF1'!BN26</f>
        <v>115200</v>
      </c>
      <c r="BO731" s="59">
        <f>'SVF1'!BO26</f>
        <v>115300</v>
      </c>
      <c r="BP731" s="36">
        <f>BO731</f>
        <v>115300</v>
      </c>
      <c r="BQ731" s="59">
        <f>'SVF1'!BQ26</f>
        <v>115375</v>
      </c>
      <c r="BR731" s="59">
        <f>'SVF1'!BR26</f>
        <v>115425</v>
      </c>
      <c r="BS731" s="59">
        <f>'SVF1'!BS26</f>
        <v>115450</v>
      </c>
      <c r="BT731" s="59"/>
      <c r="BU731" s="36"/>
    </row>
    <row r="732" spans="1:78">
      <c r="A732" s="1" t="s">
        <v>445</v>
      </c>
      <c r="K732" s="25"/>
      <c r="U732" s="36">
        <f>U731-U730</f>
        <v>9500</v>
      </c>
      <c r="V732" s="36">
        <f>V731-V730</f>
        <v>600</v>
      </c>
      <c r="W732" s="36">
        <f>V732</f>
        <v>600</v>
      </c>
      <c r="X732" s="36">
        <f>X731-X730</f>
        <v>2000</v>
      </c>
      <c r="Y732" s="36">
        <f>Y731-Y730</f>
        <v>7400</v>
      </c>
      <c r="Z732" s="36">
        <f>Z731-Z730</f>
        <v>20400</v>
      </c>
      <c r="AA732" s="36">
        <f>AA731-AA730</f>
        <v>55000</v>
      </c>
      <c r="AB732" s="36">
        <f>AA732</f>
        <v>55000</v>
      </c>
      <c r="AC732" s="36">
        <f>AC731-AC730</f>
        <v>58300</v>
      </c>
      <c r="AD732" s="36">
        <f>AD731-AD730</f>
        <v>48800</v>
      </c>
      <c r="AE732" s="36">
        <f>AE731-AE730</f>
        <v>49300</v>
      </c>
      <c r="AF732" s="36">
        <f>AF731-AF730</f>
        <v>28700</v>
      </c>
      <c r="AG732" s="36">
        <f>AF732</f>
        <v>28700</v>
      </c>
      <c r="AH732" s="36">
        <f>AH731-AH730</f>
        <v>18600</v>
      </c>
      <c r="AI732" s="36">
        <f>AI731-AI730</f>
        <v>13500</v>
      </c>
      <c r="AJ732" s="36">
        <f>AJ731-AJ730</f>
        <v>11000</v>
      </c>
      <c r="AK732" s="36">
        <f>AK731-AK730</f>
        <v>11400</v>
      </c>
      <c r="AL732" s="36">
        <f>AK732</f>
        <v>11400</v>
      </c>
      <c r="AM732" s="36">
        <f>AM731-AM730</f>
        <v>12400</v>
      </c>
      <c r="AN732" s="36">
        <f>AN731-AN730</f>
        <v>14800</v>
      </c>
      <c r="AO732" s="36">
        <f>AO731-AO730</f>
        <v>16700</v>
      </c>
      <c r="AP732" s="36">
        <f>AP731-AP730</f>
        <v>16700</v>
      </c>
      <c r="AQ732" s="36">
        <f>AP732</f>
        <v>16700</v>
      </c>
      <c r="AR732" s="36">
        <f>AR731-AR730</f>
        <v>19600</v>
      </c>
      <c r="AS732" s="36">
        <f t="shared" ref="AS732:AT732" si="2399">AS731-AS730</f>
        <v>22600</v>
      </c>
      <c r="AT732" s="36">
        <f t="shared" si="2399"/>
        <v>21600</v>
      </c>
      <c r="AU732" s="36">
        <f t="shared" ref="AU732:AY732" si="2400">AU731-AU730</f>
        <v>23400</v>
      </c>
      <c r="AV732" s="36">
        <f>AU732</f>
        <v>23400</v>
      </c>
      <c r="AW732" s="36">
        <f t="shared" si="2400"/>
        <v>27000</v>
      </c>
      <c r="AX732" s="36">
        <f t="shared" si="2400"/>
        <v>32800</v>
      </c>
      <c r="AY732" s="36">
        <f t="shared" si="2400"/>
        <v>28700</v>
      </c>
      <c r="AZ732" s="59">
        <f t="shared" ref="AZ732:BS732" si="2401">AZ731-AZ730</f>
        <v>26810</v>
      </c>
      <c r="BA732" s="59">
        <f t="shared" si="2401"/>
        <v>26810</v>
      </c>
      <c r="BB732" s="59">
        <f t="shared" si="2401"/>
        <v>27185</v>
      </c>
      <c r="BC732" s="59">
        <f t="shared" si="2401"/>
        <v>27530</v>
      </c>
      <c r="BD732" s="59">
        <f t="shared" si="2401"/>
        <v>27850</v>
      </c>
      <c r="BE732" s="59">
        <f t="shared" si="2401"/>
        <v>28140</v>
      </c>
      <c r="BF732" s="59">
        <f t="shared" si="2401"/>
        <v>28140</v>
      </c>
      <c r="BG732" s="59">
        <f t="shared" si="2401"/>
        <v>28400</v>
      </c>
      <c r="BH732" s="59">
        <f t="shared" si="2401"/>
        <v>28640</v>
      </c>
      <c r="BI732" s="59">
        <f t="shared" si="2401"/>
        <v>28860</v>
      </c>
      <c r="BJ732" s="59">
        <f t="shared" si="2401"/>
        <v>29055</v>
      </c>
      <c r="BK732" s="59">
        <f t="shared" si="2401"/>
        <v>29055</v>
      </c>
      <c r="BL732" s="59">
        <f t="shared" si="2401"/>
        <v>29225</v>
      </c>
      <c r="BM732" s="59">
        <f t="shared" si="2401"/>
        <v>29375</v>
      </c>
      <c r="BN732" s="59">
        <f t="shared" si="2401"/>
        <v>29500</v>
      </c>
      <c r="BO732" s="59">
        <f t="shared" si="2401"/>
        <v>29600</v>
      </c>
      <c r="BP732" s="59">
        <f t="shared" si="2401"/>
        <v>29600</v>
      </c>
      <c r="BQ732" s="59">
        <f t="shared" si="2401"/>
        <v>29675</v>
      </c>
      <c r="BR732" s="59">
        <f t="shared" si="2401"/>
        <v>29725</v>
      </c>
      <c r="BS732" s="59">
        <f t="shared" si="2401"/>
        <v>29750</v>
      </c>
      <c r="BT732" s="59"/>
      <c r="BU732" s="59"/>
    </row>
    <row r="733" spans="1:78">
      <c r="A733" s="1" t="s">
        <v>560</v>
      </c>
      <c r="K733" s="25"/>
      <c r="U733" s="167">
        <f t="shared" ref="U733:AG733" si="2402">U731/U730</f>
        <v>1.1180124223602483</v>
      </c>
      <c r="V733" s="167">
        <f t="shared" si="2402"/>
        <v>1.0073800738007379</v>
      </c>
      <c r="W733" s="167">
        <f t="shared" si="2402"/>
        <v>1.0073800738007379</v>
      </c>
      <c r="X733" s="167">
        <f t="shared" si="2402"/>
        <v>1.0243013365735116</v>
      </c>
      <c r="Y733" s="167">
        <f t="shared" si="2402"/>
        <v>1.0894800483675937</v>
      </c>
      <c r="Z733" s="167">
        <f t="shared" si="2402"/>
        <v>1.2414201183431952</v>
      </c>
      <c r="AA733" s="167">
        <f t="shared" si="2402"/>
        <v>1.6417736289381564</v>
      </c>
      <c r="AB733" s="167">
        <f t="shared" si="2402"/>
        <v>1.6417736289381564</v>
      </c>
      <c r="AC733" s="167">
        <f t="shared" si="2402"/>
        <v>1.6640091116173121</v>
      </c>
      <c r="AD733" s="167">
        <f t="shared" si="2402"/>
        <v>1.5532879818594105</v>
      </c>
      <c r="AE733" s="167">
        <f t="shared" si="2402"/>
        <v>1.5564334085778782</v>
      </c>
      <c r="AF733" s="167">
        <f t="shared" si="2402"/>
        <v>1.3217488789237668</v>
      </c>
      <c r="AG733" s="167">
        <f t="shared" si="2402"/>
        <v>1.3217488789237668</v>
      </c>
      <c r="AH733" s="167">
        <f t="shared" ref="AH733:AI733" si="2403">AH731/AH730</f>
        <v>1.2085201793721974</v>
      </c>
      <c r="AI733" s="167">
        <f t="shared" si="2403"/>
        <v>1.151006711409396</v>
      </c>
      <c r="AJ733" s="167">
        <f t="shared" ref="AJ733:AM733" si="2404">AJ731/AJ730</f>
        <v>1.1227678571428572</v>
      </c>
      <c r="AK733" s="167">
        <f t="shared" si="2404"/>
        <v>1.1272321428571428</v>
      </c>
      <c r="AL733" s="167">
        <f t="shared" si="2404"/>
        <v>1.1272321428571428</v>
      </c>
      <c r="AM733" s="167">
        <f t="shared" si="2404"/>
        <v>1.1383928571428572</v>
      </c>
      <c r="AN733" s="167">
        <f t="shared" ref="AN733:AO733" si="2405">AN731/AN730</f>
        <v>1.1651785714285714</v>
      </c>
      <c r="AO733" s="167">
        <f t="shared" si="2405"/>
        <v>1.1863839285714286</v>
      </c>
      <c r="AP733" s="167">
        <f t="shared" ref="AP733:AR733" si="2406">AP731/AP730</f>
        <v>1.1863839285714286</v>
      </c>
      <c r="AQ733" s="167">
        <f t="shared" si="2406"/>
        <v>1.1863839285714286</v>
      </c>
      <c r="AR733" s="167">
        <f t="shared" si="2406"/>
        <v>1.2189944134078212</v>
      </c>
      <c r="AS733" s="167">
        <f t="shared" ref="AS733:AT733" si="2407">AS731/AS730</f>
        <v>1.252513966480447</v>
      </c>
      <c r="AT733" s="167">
        <f t="shared" si="2407"/>
        <v>1.241340782122905</v>
      </c>
      <c r="AU733" s="167">
        <f t="shared" ref="AU733:AY733" si="2408">AU731/AU730</f>
        <v>1.2611607142857142</v>
      </c>
      <c r="AV733" s="167">
        <f t="shared" si="2408"/>
        <v>1.2611607142857142</v>
      </c>
      <c r="AW733" s="167">
        <f t="shared" si="2408"/>
        <v>1.3013392857142858</v>
      </c>
      <c r="AX733" s="167">
        <f t="shared" si="2408"/>
        <v>1.3664804469273744</v>
      </c>
      <c r="AY733" s="167">
        <f t="shared" si="2408"/>
        <v>1.3348891481913652</v>
      </c>
      <c r="AZ733" s="167">
        <f t="shared" ref="AZ733:BB733" si="2409">AZ731/AZ730</f>
        <v>1.3128354725787632</v>
      </c>
      <c r="BA733" s="167">
        <f t="shared" si="2409"/>
        <v>1.3128354725787632</v>
      </c>
      <c r="BB733" s="167">
        <f t="shared" si="2409"/>
        <v>1.3172112018669779</v>
      </c>
      <c r="BC733" s="167">
        <f t="shared" ref="BC733:BS733" si="2410">BC731/BC730</f>
        <v>1.3212368728121353</v>
      </c>
      <c r="BD733" s="167">
        <f t="shared" si="2410"/>
        <v>1.3249708284714119</v>
      </c>
      <c r="BE733" s="167">
        <f t="shared" si="2410"/>
        <v>1.3283547257876314</v>
      </c>
      <c r="BF733" s="167">
        <f t="shared" si="2410"/>
        <v>1.3283547257876314</v>
      </c>
      <c r="BG733" s="167">
        <f t="shared" si="2410"/>
        <v>1.3313885647607935</v>
      </c>
      <c r="BH733" s="167">
        <f t="shared" si="2410"/>
        <v>1.3341890315052509</v>
      </c>
      <c r="BI733" s="167">
        <f t="shared" si="2410"/>
        <v>1.3367561260210035</v>
      </c>
      <c r="BJ733" s="167">
        <f t="shared" si="2410"/>
        <v>1.3390315052508752</v>
      </c>
      <c r="BK733" s="167">
        <f t="shared" si="2410"/>
        <v>1.3390315052508752</v>
      </c>
      <c r="BL733" s="167">
        <f t="shared" si="2410"/>
        <v>1.3410151691948657</v>
      </c>
      <c r="BM733" s="167">
        <f t="shared" si="2410"/>
        <v>1.3427654609101516</v>
      </c>
      <c r="BN733" s="167">
        <f t="shared" si="2410"/>
        <v>1.3442240373395566</v>
      </c>
      <c r="BO733" s="167">
        <f t="shared" si="2410"/>
        <v>1.3453908984830805</v>
      </c>
      <c r="BP733" s="167">
        <f t="shared" si="2410"/>
        <v>1.3453908984830805</v>
      </c>
      <c r="BQ733" s="167">
        <f t="shared" si="2410"/>
        <v>1.3462660443407235</v>
      </c>
      <c r="BR733" s="167">
        <f t="shared" si="2410"/>
        <v>1.3468494749124855</v>
      </c>
      <c r="BS733" s="167">
        <f t="shared" si="2410"/>
        <v>1.3471411901983663</v>
      </c>
      <c r="BT733" s="167"/>
      <c r="BU733" s="167"/>
    </row>
    <row r="734" spans="1:78">
      <c r="K734" s="25"/>
      <c r="AZ734" s="522" t="s">
        <v>1265</v>
      </c>
      <c r="BA734" s="647"/>
      <c r="BB734" s="647"/>
      <c r="BC734" s="647"/>
    </row>
    <row r="735" spans="1:78">
      <c r="A735" s="64" t="s">
        <v>443</v>
      </c>
      <c r="B735" s="64"/>
      <c r="C735" s="64"/>
      <c r="D735" s="64"/>
      <c r="E735" s="64"/>
      <c r="F735" s="64"/>
      <c r="G735" s="64"/>
      <c r="H735" s="64"/>
      <c r="I735" s="64"/>
      <c r="J735" s="64"/>
      <c r="K735" s="132"/>
      <c r="L735" s="64"/>
      <c r="M735" s="64"/>
      <c r="N735" s="64"/>
      <c r="O735" s="64"/>
      <c r="P735" s="64"/>
      <c r="Q735" s="64"/>
      <c r="R735" s="64"/>
      <c r="S735" s="64"/>
      <c r="T735" s="64"/>
      <c r="U735" s="64"/>
      <c r="V735" s="64"/>
      <c r="W735" s="64"/>
      <c r="X735" s="64"/>
      <c r="Y735" s="64"/>
      <c r="Z735" s="64"/>
      <c r="AA735" s="64"/>
    </row>
    <row r="736" spans="1:78">
      <c r="A736" s="1" t="s">
        <v>300</v>
      </c>
      <c r="K736" s="25"/>
      <c r="U736" s="36">
        <f t="shared" ref="U736:AB737" si="2411">U730-U725</f>
        <v>5900</v>
      </c>
      <c r="V736" s="36">
        <f t="shared" si="2411"/>
        <v>6300</v>
      </c>
      <c r="W736" s="36">
        <f t="shared" si="2411"/>
        <v>6300</v>
      </c>
      <c r="X736" s="36">
        <f t="shared" si="2411"/>
        <v>7100</v>
      </c>
      <c r="Y736" s="36">
        <f t="shared" si="2411"/>
        <v>7700</v>
      </c>
      <c r="Z736" s="36">
        <f t="shared" si="2411"/>
        <v>8200</v>
      </c>
      <c r="AA736" s="36">
        <f t="shared" si="2411"/>
        <v>10800</v>
      </c>
      <c r="AB736" s="39">
        <f t="shared" si="2411"/>
        <v>10800</v>
      </c>
      <c r="AC736" s="39">
        <f t="shared" ref="AC736:AF736" si="2412">AC730-AC725</f>
        <v>13800</v>
      </c>
      <c r="AD736" s="39">
        <f t="shared" si="2412"/>
        <v>16100</v>
      </c>
      <c r="AE736" s="39">
        <f t="shared" si="2412"/>
        <v>17000</v>
      </c>
      <c r="AF736" s="39">
        <f t="shared" si="2412"/>
        <v>18800</v>
      </c>
      <c r="AG736" s="39">
        <f>AG730-AG725</f>
        <v>18800</v>
      </c>
      <c r="AH736" s="39">
        <f t="shared" ref="AH736:AK736" si="2413">AH730-AH725</f>
        <v>21100</v>
      </c>
      <c r="AI736" s="39">
        <f t="shared" si="2413"/>
        <v>21800</v>
      </c>
      <c r="AJ736" s="39">
        <f t="shared" si="2413"/>
        <v>23100</v>
      </c>
      <c r="AK736" s="39">
        <f t="shared" si="2413"/>
        <v>24000</v>
      </c>
      <c r="AL736" s="39">
        <f>AL730-AL725</f>
        <v>24000</v>
      </c>
      <c r="AM736" s="39">
        <f t="shared" ref="AM736:AO736" si="2414">AM730-AM725</f>
        <v>25200</v>
      </c>
      <c r="AN736" s="39">
        <f t="shared" si="2414"/>
        <v>34600</v>
      </c>
      <c r="AO736" s="39">
        <f t="shared" si="2414"/>
        <v>36100</v>
      </c>
      <c r="AP736" s="39">
        <f t="shared" ref="AP736" si="2415">AP730-AP725</f>
        <v>38000</v>
      </c>
      <c r="AQ736" s="39">
        <f>AP736</f>
        <v>38000</v>
      </c>
      <c r="AR736" s="331">
        <f t="shared" ref="AR736:AU737" si="2416">AR730-AR725</f>
        <v>43200</v>
      </c>
      <c r="AS736" s="39">
        <f t="shared" si="2416"/>
        <v>44100</v>
      </c>
      <c r="AT736" s="39">
        <f t="shared" si="2416"/>
        <v>44500</v>
      </c>
      <c r="AU736" s="39">
        <f t="shared" si="2416"/>
        <v>45400</v>
      </c>
      <c r="AV736" s="39">
        <f>AU736</f>
        <v>45400</v>
      </c>
      <c r="AW736" s="39">
        <f t="shared" ref="AW736:AX736" si="2417">AW730-AW725</f>
        <v>48300</v>
      </c>
      <c r="AX736" s="39">
        <f t="shared" si="2417"/>
        <v>48900</v>
      </c>
      <c r="AY736" s="1082">
        <f t="shared" ref="AY736" si="2418">AY730-AY725</f>
        <v>45600</v>
      </c>
      <c r="AZ736" s="39">
        <f t="shared" ref="AZ736:AZ737" si="2419">AY736+AZ741</f>
        <v>45600</v>
      </c>
      <c r="BA736" s="39">
        <f>AZ736</f>
        <v>45600</v>
      </c>
      <c r="BB736" s="39">
        <f t="shared" ref="BB736:BE737" si="2420">BA736+BB741</f>
        <v>49240</v>
      </c>
      <c r="BC736" s="39">
        <f t="shared" si="2420"/>
        <v>52845</v>
      </c>
      <c r="BD736" s="39">
        <f t="shared" si="2420"/>
        <v>56415</v>
      </c>
      <c r="BE736" s="39">
        <f t="shared" si="2420"/>
        <v>59940</v>
      </c>
      <c r="BF736" s="39">
        <f>BE736</f>
        <v>59940</v>
      </c>
      <c r="BG736" s="39">
        <f t="shared" ref="BG736:BJ737" si="2421">BF736+BG741</f>
        <v>62720</v>
      </c>
      <c r="BH736" s="39">
        <f t="shared" si="2421"/>
        <v>65520</v>
      </c>
      <c r="BI736" s="39">
        <f t="shared" si="2421"/>
        <v>68345</v>
      </c>
      <c r="BJ736" s="39">
        <f t="shared" si="2421"/>
        <v>71195</v>
      </c>
      <c r="BK736" s="39">
        <f>BJ736</f>
        <v>71195</v>
      </c>
      <c r="BL736" s="39">
        <f t="shared" ref="BL736:BO737" si="2422">BK736+BL741</f>
        <v>74070</v>
      </c>
      <c r="BM736" s="39">
        <f t="shared" si="2422"/>
        <v>76970</v>
      </c>
      <c r="BN736" s="39">
        <f t="shared" si="2422"/>
        <v>79895</v>
      </c>
      <c r="BO736" s="39">
        <f t="shared" si="2422"/>
        <v>82845</v>
      </c>
      <c r="BP736" s="39">
        <f>BO736</f>
        <v>82845</v>
      </c>
      <c r="BQ736" s="39" t="e">
        <f t="shared" ref="BQ736:BS737" si="2423">BP736+BQ741</f>
        <v>#NUM!</v>
      </c>
      <c r="BR736" s="39" t="e">
        <f t="shared" si="2423"/>
        <v>#NUM!</v>
      </c>
      <c r="BS736" s="39" t="e">
        <f t="shared" si="2423"/>
        <v>#NUM!</v>
      </c>
    </row>
    <row r="737" spans="1:72">
      <c r="A737" s="1" t="s">
        <v>559</v>
      </c>
      <c r="K737" s="25"/>
      <c r="U737" s="36">
        <f t="shared" si="2411"/>
        <v>10200</v>
      </c>
      <c r="V737" s="36">
        <f t="shared" si="2411"/>
        <v>12300</v>
      </c>
      <c r="W737" s="36">
        <f t="shared" si="2411"/>
        <v>12300</v>
      </c>
      <c r="X737" s="36">
        <f t="shared" si="2411"/>
        <v>12800</v>
      </c>
      <c r="Y737" s="36">
        <f t="shared" si="2411"/>
        <v>13700</v>
      </c>
      <c r="Z737" s="36">
        <f t="shared" si="2411"/>
        <v>14900</v>
      </c>
      <c r="AA737" s="36">
        <f t="shared" si="2411"/>
        <v>20000</v>
      </c>
      <c r="AB737" s="36">
        <f t="shared" si="2411"/>
        <v>20000</v>
      </c>
      <c r="AC737" s="36">
        <f t="shared" ref="AC737:AF737" si="2424">AC731-AC726</f>
        <v>26000</v>
      </c>
      <c r="AD737" s="36">
        <f t="shared" si="2424"/>
        <v>32400</v>
      </c>
      <c r="AE737" s="36">
        <f t="shared" si="2424"/>
        <v>36300</v>
      </c>
      <c r="AF737" s="36">
        <f t="shared" si="2424"/>
        <v>39300</v>
      </c>
      <c r="AG737" s="36">
        <f>AG731-AG726</f>
        <v>39300</v>
      </c>
      <c r="AH737" s="36">
        <f t="shared" ref="AH737:AK737" si="2425">AH731-AH726</f>
        <v>41500</v>
      </c>
      <c r="AI737" s="36">
        <f t="shared" si="2425"/>
        <v>42300</v>
      </c>
      <c r="AJ737" s="36">
        <f t="shared" si="2425"/>
        <v>44000</v>
      </c>
      <c r="AK737" s="36">
        <f t="shared" si="2425"/>
        <v>45100</v>
      </c>
      <c r="AL737" s="36">
        <f>AL731-AL726</f>
        <v>45100</v>
      </c>
      <c r="AM737" s="36">
        <f t="shared" ref="AM737:AO737" si="2426">AM731-AM726</f>
        <v>45700</v>
      </c>
      <c r="AN737" s="36">
        <f t="shared" si="2426"/>
        <v>62100</v>
      </c>
      <c r="AO737" s="36">
        <f t="shared" si="2426"/>
        <v>64100</v>
      </c>
      <c r="AP737" s="36">
        <f t="shared" ref="AP737" si="2427">AP731-AP726</f>
        <v>66400</v>
      </c>
      <c r="AQ737" s="36">
        <f>AP737</f>
        <v>66400</v>
      </c>
      <c r="AR737" s="111">
        <f t="shared" ref="AR737:AT737" si="2428">AR731-AR726</f>
        <v>67300</v>
      </c>
      <c r="AS737" s="36">
        <f t="shared" si="2428"/>
        <v>68200</v>
      </c>
      <c r="AT737" s="36">
        <f t="shared" si="2428"/>
        <v>69000</v>
      </c>
      <c r="AU737" s="36">
        <f t="shared" si="2416"/>
        <v>69700</v>
      </c>
      <c r="AV737" s="36">
        <f>AU737</f>
        <v>69700</v>
      </c>
      <c r="AW737" s="36">
        <f t="shared" ref="AW737:AX737" si="2429">AW731-AW726</f>
        <v>71000</v>
      </c>
      <c r="AX737" s="36">
        <f t="shared" si="2429"/>
        <v>72200</v>
      </c>
      <c r="AY737" s="1083">
        <f t="shared" ref="AY737" si="2430">AY731-AY726</f>
        <v>69200</v>
      </c>
      <c r="AZ737" s="36">
        <f t="shared" si="2419"/>
        <v>69200</v>
      </c>
      <c r="BA737" s="36">
        <f>AZ737</f>
        <v>69200</v>
      </c>
      <c r="BB737" s="36">
        <f t="shared" si="2420"/>
        <v>72840</v>
      </c>
      <c r="BC737" s="36">
        <f t="shared" si="2420"/>
        <v>76445</v>
      </c>
      <c r="BD737" s="36">
        <f t="shared" si="2420"/>
        <v>80015</v>
      </c>
      <c r="BE737" s="36">
        <f t="shared" si="2420"/>
        <v>83540</v>
      </c>
      <c r="BF737" s="36">
        <f>BE737</f>
        <v>83540</v>
      </c>
      <c r="BG737" s="36">
        <f t="shared" si="2421"/>
        <v>86320</v>
      </c>
      <c r="BH737" s="36">
        <f t="shared" si="2421"/>
        <v>89120</v>
      </c>
      <c r="BI737" s="36">
        <f t="shared" si="2421"/>
        <v>91945</v>
      </c>
      <c r="BJ737" s="36">
        <f t="shared" si="2421"/>
        <v>94795</v>
      </c>
      <c r="BK737" s="36">
        <f>BJ737</f>
        <v>94795</v>
      </c>
      <c r="BL737" s="36">
        <f t="shared" si="2422"/>
        <v>97670</v>
      </c>
      <c r="BM737" s="36">
        <f t="shared" si="2422"/>
        <v>100570</v>
      </c>
      <c r="BN737" s="36">
        <f t="shared" si="2422"/>
        <v>103495</v>
      </c>
      <c r="BO737" s="36">
        <f t="shared" si="2422"/>
        <v>106445</v>
      </c>
      <c r="BP737" s="36">
        <f>BO737</f>
        <v>106445</v>
      </c>
      <c r="BQ737" s="36">
        <f t="shared" si="2423"/>
        <v>109420</v>
      </c>
      <c r="BR737" s="36">
        <f t="shared" si="2423"/>
        <v>112425</v>
      </c>
      <c r="BS737" s="36">
        <f t="shared" si="2423"/>
        <v>115450</v>
      </c>
    </row>
    <row r="738" spans="1:72">
      <c r="A738" s="1" t="s">
        <v>444</v>
      </c>
      <c r="K738" s="25"/>
      <c r="U738" s="36">
        <f t="shared" ref="U738:AB738" si="2431">U732-(U726-U725)</f>
        <v>4300</v>
      </c>
      <c r="V738" s="36">
        <f t="shared" si="2431"/>
        <v>6000</v>
      </c>
      <c r="W738" s="36">
        <f t="shared" si="2431"/>
        <v>6000</v>
      </c>
      <c r="X738" s="36">
        <f t="shared" si="2431"/>
        <v>5700</v>
      </c>
      <c r="Y738" s="36">
        <f t="shared" si="2431"/>
        <v>6000</v>
      </c>
      <c r="Z738" s="36">
        <f t="shared" si="2431"/>
        <v>6700</v>
      </c>
      <c r="AA738" s="36">
        <f t="shared" si="2431"/>
        <v>9200</v>
      </c>
      <c r="AB738" s="36">
        <f t="shared" si="2431"/>
        <v>9200</v>
      </c>
      <c r="AC738" s="36">
        <f t="shared" ref="AC738:AG738" si="2432">AC732-(AC726-AC725)</f>
        <v>12200</v>
      </c>
      <c r="AD738" s="36">
        <f t="shared" si="2432"/>
        <v>16300</v>
      </c>
      <c r="AE738" s="36">
        <f t="shared" si="2432"/>
        <v>19300</v>
      </c>
      <c r="AF738" s="36">
        <f t="shared" si="2432"/>
        <v>20500</v>
      </c>
      <c r="AG738" s="36">
        <f t="shared" si="2432"/>
        <v>20500</v>
      </c>
      <c r="AH738" s="36">
        <f t="shared" ref="AH738:AI738" si="2433">AH732-(AH726-AH725)</f>
        <v>20400</v>
      </c>
      <c r="AI738" s="36">
        <f t="shared" si="2433"/>
        <v>20500</v>
      </c>
      <c r="AJ738" s="36">
        <f t="shared" ref="AJ738:AO738" si="2434">AJ732-(AJ726-AJ725)</f>
        <v>20900</v>
      </c>
      <c r="AK738" s="36">
        <f t="shared" si="2434"/>
        <v>21100</v>
      </c>
      <c r="AL738" s="36">
        <f t="shared" si="2434"/>
        <v>21100</v>
      </c>
      <c r="AM738" s="36">
        <f t="shared" si="2434"/>
        <v>20500</v>
      </c>
      <c r="AN738" s="36">
        <f t="shared" si="2434"/>
        <v>27500</v>
      </c>
      <c r="AO738" s="36">
        <f t="shared" si="2434"/>
        <v>28000</v>
      </c>
      <c r="AP738" s="36">
        <f t="shared" ref="AP738" si="2435">AP732-(AP726-AP725)</f>
        <v>28400</v>
      </c>
      <c r="AQ738" s="36">
        <f t="shared" ref="AQ738:AU738" si="2436">AQ732-(AQ726-AQ725)</f>
        <v>28400</v>
      </c>
      <c r="AR738" s="111">
        <f t="shared" si="2436"/>
        <v>24100</v>
      </c>
      <c r="AS738" s="36">
        <f t="shared" si="2436"/>
        <v>24100</v>
      </c>
      <c r="AT738" s="36">
        <f t="shared" si="2436"/>
        <v>24500</v>
      </c>
      <c r="AU738" s="36">
        <f t="shared" si="2436"/>
        <v>24300</v>
      </c>
      <c r="AV738" s="36">
        <f t="shared" ref="AV738:AX738" si="2437">AV732-(AV726-AV725)</f>
        <v>24300</v>
      </c>
      <c r="AW738" s="36">
        <f t="shared" si="2437"/>
        <v>22700</v>
      </c>
      <c r="AX738" s="36">
        <f t="shared" si="2437"/>
        <v>23300</v>
      </c>
      <c r="AY738" s="1083">
        <f t="shared" ref="AY738" si="2438">AY732-(AY726-AY725)</f>
        <v>23600</v>
      </c>
      <c r="AZ738" s="36">
        <f t="shared" ref="AZ738:BP738" si="2439">AZ732-(AZ726-AZ725)</f>
        <v>23600</v>
      </c>
      <c r="BA738" s="36">
        <f t="shared" si="2439"/>
        <v>23600</v>
      </c>
      <c r="BB738" s="36">
        <f t="shared" si="2439"/>
        <v>23600</v>
      </c>
      <c r="BC738" s="36">
        <f t="shared" si="2439"/>
        <v>23600</v>
      </c>
      <c r="BD738" s="36">
        <f t="shared" si="2439"/>
        <v>23600</v>
      </c>
      <c r="BE738" s="36">
        <f t="shared" si="2439"/>
        <v>23600</v>
      </c>
      <c r="BF738" s="36">
        <f t="shared" si="2439"/>
        <v>23600</v>
      </c>
      <c r="BG738" s="36">
        <f t="shared" si="2439"/>
        <v>23600</v>
      </c>
      <c r="BH738" s="36">
        <f t="shared" si="2439"/>
        <v>23600</v>
      </c>
      <c r="BI738" s="36">
        <f t="shared" si="2439"/>
        <v>23600</v>
      </c>
      <c r="BJ738" s="36">
        <f t="shared" si="2439"/>
        <v>23600</v>
      </c>
      <c r="BK738" s="36">
        <f t="shared" si="2439"/>
        <v>23600</v>
      </c>
      <c r="BL738" s="36">
        <f t="shared" si="2439"/>
        <v>23600</v>
      </c>
      <c r="BM738" s="36">
        <f t="shared" si="2439"/>
        <v>23600</v>
      </c>
      <c r="BN738" s="36">
        <f t="shared" si="2439"/>
        <v>23600</v>
      </c>
      <c r="BO738" s="36">
        <f t="shared" si="2439"/>
        <v>23600</v>
      </c>
      <c r="BP738" s="36">
        <f t="shared" si="2439"/>
        <v>23600</v>
      </c>
      <c r="BQ738" s="36" t="e">
        <f t="shared" ref="BQ738:BS738" si="2440">BQ732-(BQ726-BQ725)</f>
        <v>#NUM!</v>
      </c>
      <c r="BR738" s="36" t="e">
        <f t="shared" si="2440"/>
        <v>#NUM!</v>
      </c>
      <c r="BS738" s="36" t="e">
        <f t="shared" si="2440"/>
        <v>#NUM!</v>
      </c>
    </row>
    <row r="739" spans="1:72">
      <c r="A739" s="1" t="s">
        <v>561</v>
      </c>
      <c r="K739" s="25"/>
      <c r="U739" s="167">
        <f t="shared" ref="U739:AG739" si="2441">U737/U736</f>
        <v>1.728813559322034</v>
      </c>
      <c r="V739" s="167">
        <f t="shared" si="2441"/>
        <v>1.9523809523809523</v>
      </c>
      <c r="W739" s="167">
        <f t="shared" si="2441"/>
        <v>1.9523809523809523</v>
      </c>
      <c r="X739" s="167">
        <f t="shared" si="2441"/>
        <v>1.8028169014084507</v>
      </c>
      <c r="Y739" s="167">
        <f t="shared" si="2441"/>
        <v>1.7792207792207793</v>
      </c>
      <c r="Z739" s="167">
        <f t="shared" si="2441"/>
        <v>1.8170731707317074</v>
      </c>
      <c r="AA739" s="167">
        <f t="shared" si="2441"/>
        <v>1.8518518518518519</v>
      </c>
      <c r="AB739" s="167">
        <f t="shared" si="2441"/>
        <v>1.8518518518518519</v>
      </c>
      <c r="AC739" s="167">
        <f t="shared" si="2441"/>
        <v>1.8840579710144927</v>
      </c>
      <c r="AD739" s="167">
        <f t="shared" si="2441"/>
        <v>2.012422360248447</v>
      </c>
      <c r="AE739" s="167">
        <f t="shared" si="2441"/>
        <v>2.1352941176470588</v>
      </c>
      <c r="AF739" s="167">
        <f t="shared" si="2441"/>
        <v>2.0904255319148937</v>
      </c>
      <c r="AG739" s="167">
        <f t="shared" si="2441"/>
        <v>2.0904255319148937</v>
      </c>
      <c r="AH739" s="167">
        <f t="shared" ref="AH739:AI739" si="2442">AH737/AH736</f>
        <v>1.966824644549763</v>
      </c>
      <c r="AI739" s="167">
        <f t="shared" si="2442"/>
        <v>1.9403669724770642</v>
      </c>
      <c r="AJ739" s="167">
        <f t="shared" ref="AJ739:AO739" si="2443">AJ737/AJ736</f>
        <v>1.9047619047619047</v>
      </c>
      <c r="AK739" s="167">
        <f t="shared" si="2443"/>
        <v>1.8791666666666667</v>
      </c>
      <c r="AL739" s="167">
        <f t="shared" si="2443"/>
        <v>1.8791666666666667</v>
      </c>
      <c r="AM739" s="167">
        <f t="shared" si="2443"/>
        <v>1.8134920634920635</v>
      </c>
      <c r="AN739" s="167">
        <f t="shared" si="2443"/>
        <v>1.7947976878612717</v>
      </c>
      <c r="AO739" s="167">
        <f t="shared" si="2443"/>
        <v>1.7756232686980609</v>
      </c>
      <c r="AP739" s="167">
        <f t="shared" ref="AP739" si="2444">AP737/AP736</f>
        <v>1.7473684210526317</v>
      </c>
      <c r="AQ739" s="167">
        <f t="shared" ref="AQ739:AU739" si="2445">AQ737/AQ736</f>
        <v>1.7473684210526317</v>
      </c>
      <c r="AR739" s="333">
        <f t="shared" si="2445"/>
        <v>1.5578703703703705</v>
      </c>
      <c r="AS739" s="167">
        <f t="shared" si="2445"/>
        <v>1.5464852607709751</v>
      </c>
      <c r="AT739" s="167">
        <f t="shared" si="2445"/>
        <v>1.550561797752809</v>
      </c>
      <c r="AU739" s="167">
        <f t="shared" si="2445"/>
        <v>1.5352422907488987</v>
      </c>
      <c r="AV739" s="167">
        <f t="shared" ref="AV739:AX739" si="2446">AV737/AV736</f>
        <v>1.5352422907488987</v>
      </c>
      <c r="AW739" s="167">
        <f t="shared" si="2446"/>
        <v>1.4699792960662525</v>
      </c>
      <c r="AX739" s="167">
        <f t="shared" si="2446"/>
        <v>1.4764826175869121</v>
      </c>
      <c r="AY739" s="1084">
        <f t="shared" ref="AY739" si="2447">AY737/AY736</f>
        <v>1.5175438596491229</v>
      </c>
      <c r="AZ739" s="167">
        <f t="shared" ref="AZ739:BP739" si="2448">AZ737/AZ736</f>
        <v>1.5175438596491229</v>
      </c>
      <c r="BA739" s="167">
        <f t="shared" si="2448"/>
        <v>1.5175438596491229</v>
      </c>
      <c r="BB739" s="167">
        <f t="shared" si="2448"/>
        <v>1.4792851340373681</v>
      </c>
      <c r="BC739" s="167">
        <f t="shared" si="2448"/>
        <v>1.4465890812754281</v>
      </c>
      <c r="BD739" s="167">
        <f t="shared" si="2448"/>
        <v>1.4183284587432421</v>
      </c>
      <c r="BE739" s="167">
        <f t="shared" si="2448"/>
        <v>1.3937270603937271</v>
      </c>
      <c r="BF739" s="167">
        <f t="shared" si="2448"/>
        <v>1.3937270603937271</v>
      </c>
      <c r="BG739" s="167">
        <f t="shared" si="2448"/>
        <v>1.3762755102040816</v>
      </c>
      <c r="BH739" s="167">
        <f t="shared" si="2448"/>
        <v>1.3601953601953602</v>
      </c>
      <c r="BI739" s="167">
        <f t="shared" si="2448"/>
        <v>1.3453068988221524</v>
      </c>
      <c r="BJ739" s="167">
        <f t="shared" si="2448"/>
        <v>1.3314839525247559</v>
      </c>
      <c r="BK739" s="167">
        <f t="shared" si="2448"/>
        <v>1.3314839525247559</v>
      </c>
      <c r="BL739" s="167">
        <f t="shared" si="2448"/>
        <v>1.318617523963818</v>
      </c>
      <c r="BM739" s="167">
        <f t="shared" si="2448"/>
        <v>1.3066129660906847</v>
      </c>
      <c r="BN739" s="167">
        <f t="shared" si="2448"/>
        <v>1.2953876963514612</v>
      </c>
      <c r="BO739" s="167">
        <f t="shared" si="2448"/>
        <v>1.2848693342989921</v>
      </c>
      <c r="BP739" s="167">
        <f t="shared" si="2448"/>
        <v>1.2848693342989921</v>
      </c>
      <c r="BQ739" s="167" t="e">
        <f t="shared" ref="BQ739:BS739" si="2449">BQ737/BQ736</f>
        <v>#NUM!</v>
      </c>
      <c r="BR739" s="167" t="e">
        <f t="shared" si="2449"/>
        <v>#NUM!</v>
      </c>
      <c r="BS739" s="167" t="e">
        <f t="shared" si="2449"/>
        <v>#NUM!</v>
      </c>
    </row>
    <row r="740" spans="1:72">
      <c r="K740" s="25"/>
      <c r="AR740" s="665" t="s">
        <v>2819</v>
      </c>
      <c r="AS740" s="46"/>
      <c r="AT740" s="46"/>
      <c r="AU740" s="46"/>
      <c r="AV740" s="46"/>
      <c r="AW740" s="46"/>
      <c r="AX740" s="46"/>
    </row>
    <row r="741" spans="1:72" s="291" customFormat="1">
      <c r="A741" s="291" t="s">
        <v>1094</v>
      </c>
      <c r="K741" s="292"/>
      <c r="V741" s="293">
        <f>V736-U736</f>
        <v>400</v>
      </c>
      <c r="W741" s="293"/>
      <c r="X741" s="293">
        <f t="shared" ref="X741:AA742" si="2450">X736-W736</f>
        <v>800</v>
      </c>
      <c r="Y741" s="293">
        <f t="shared" si="2450"/>
        <v>600</v>
      </c>
      <c r="Z741" s="293">
        <f t="shared" si="2450"/>
        <v>500</v>
      </c>
      <c r="AA741" s="293">
        <f t="shared" si="2450"/>
        <v>2600</v>
      </c>
      <c r="AC741" s="293">
        <f t="shared" ref="AC741:AF742" si="2451">AC736-AB736</f>
        <v>3000</v>
      </c>
      <c r="AD741" s="293">
        <f t="shared" si="2451"/>
        <v>2300</v>
      </c>
      <c r="AE741" s="293">
        <f t="shared" si="2451"/>
        <v>900</v>
      </c>
      <c r="AF741" s="293">
        <f t="shared" si="2451"/>
        <v>1800</v>
      </c>
      <c r="AH741" s="293">
        <f t="shared" ref="AH741:AK742" si="2452">AH736-AG736</f>
        <v>2300</v>
      </c>
      <c r="AI741" s="293">
        <f t="shared" si="2452"/>
        <v>700</v>
      </c>
      <c r="AJ741" s="293">
        <f t="shared" si="2452"/>
        <v>1300</v>
      </c>
      <c r="AK741" s="293">
        <f t="shared" si="2452"/>
        <v>900</v>
      </c>
      <c r="AM741" s="293">
        <f t="shared" ref="AM741:AP742" si="2453">AM736-AL736</f>
        <v>1200</v>
      </c>
      <c r="AN741" s="293">
        <f t="shared" si="2453"/>
        <v>9400</v>
      </c>
      <c r="AO741" s="293">
        <f t="shared" si="2453"/>
        <v>1500</v>
      </c>
      <c r="AP741" s="293">
        <f t="shared" si="2453"/>
        <v>1900</v>
      </c>
      <c r="AR741" s="293">
        <f t="shared" ref="AR741:AR742" si="2454">AR736-AQ736</f>
        <v>5200</v>
      </c>
      <c r="AS741" s="293">
        <f t="shared" ref="AS741:AS742" si="2455">AS736-AR736</f>
        <v>900</v>
      </c>
      <c r="AT741" s="293">
        <f t="shared" ref="AT741:AT742" si="2456">AT736-AS736</f>
        <v>400</v>
      </c>
      <c r="AU741" s="293">
        <f t="shared" ref="AU741:AU742" si="2457">AU736-AT736</f>
        <v>900</v>
      </c>
      <c r="AW741" s="293">
        <f t="shared" ref="AW741:AY742" si="2458">AW736-AV736</f>
        <v>2900</v>
      </c>
      <c r="AX741" s="293">
        <f t="shared" si="2458"/>
        <v>600</v>
      </c>
      <c r="AY741" s="1083">
        <f t="shared" si="2458"/>
        <v>-3300</v>
      </c>
      <c r="AZ741" s="622">
        <f>'SVF1'!AZ21</f>
        <v>0</v>
      </c>
      <c r="BB741" s="293">
        <f>'SVF1'!BB21</f>
        <v>3640</v>
      </c>
      <c r="BC741" s="293">
        <f>'SVF1'!BC21</f>
        <v>3605</v>
      </c>
      <c r="BD741" s="293">
        <f>'SVF1'!BD21</f>
        <v>3570</v>
      </c>
      <c r="BE741" s="293">
        <f>'SVF1'!BE21</f>
        <v>3525</v>
      </c>
      <c r="BG741" s="293">
        <f>'SVF1'!BG21</f>
        <v>2780</v>
      </c>
      <c r="BH741" s="293">
        <f>'SVF1'!BH21</f>
        <v>2800</v>
      </c>
      <c r="BI741" s="293">
        <f>'SVF1'!BI21</f>
        <v>2825</v>
      </c>
      <c r="BJ741" s="293">
        <f>'SVF1'!BJ21</f>
        <v>2850</v>
      </c>
      <c r="BL741" s="293">
        <f>'SVF1'!BL21</f>
        <v>2875</v>
      </c>
      <c r="BM741" s="293">
        <f>'SVF1'!BM21</f>
        <v>2900</v>
      </c>
      <c r="BN741" s="293">
        <f>'SVF1'!BN21</f>
        <v>2925</v>
      </c>
      <c r="BO741" s="293">
        <f>'SVF1'!BO21</f>
        <v>2950</v>
      </c>
      <c r="BQ741" s="293" t="e">
        <f>'SVF1'!BQ21</f>
        <v>#NUM!</v>
      </c>
      <c r="BR741" s="293" t="e">
        <f>'SVF1'!BR21</f>
        <v>#NUM!</v>
      </c>
      <c r="BS741" s="293" t="e">
        <f>'SVF1'!BS21</f>
        <v>#NUM!</v>
      </c>
      <c r="BT741" s="293"/>
    </row>
    <row r="742" spans="1:72" s="291" customFormat="1">
      <c r="A742" s="291" t="s">
        <v>1096</v>
      </c>
      <c r="K742" s="292"/>
      <c r="V742" s="170">
        <f>V737-U737</f>
        <v>2100</v>
      </c>
      <c r="W742" s="293"/>
      <c r="X742" s="293">
        <f t="shared" si="2450"/>
        <v>500</v>
      </c>
      <c r="Y742" s="293">
        <f t="shared" si="2450"/>
        <v>900</v>
      </c>
      <c r="Z742" s="293">
        <f t="shared" si="2450"/>
        <v>1200</v>
      </c>
      <c r="AA742" s="293">
        <f t="shared" si="2450"/>
        <v>5100</v>
      </c>
      <c r="AC742" s="293">
        <f t="shared" si="2451"/>
        <v>6000</v>
      </c>
      <c r="AD742" s="293">
        <f t="shared" si="2451"/>
        <v>6400</v>
      </c>
      <c r="AE742" s="293">
        <f t="shared" si="2451"/>
        <v>3900</v>
      </c>
      <c r="AF742" s="293">
        <f t="shared" si="2451"/>
        <v>3000</v>
      </c>
      <c r="AH742" s="293">
        <f t="shared" si="2452"/>
        <v>2200</v>
      </c>
      <c r="AI742" s="293">
        <f t="shared" si="2452"/>
        <v>800</v>
      </c>
      <c r="AJ742" s="293">
        <f t="shared" si="2452"/>
        <v>1700</v>
      </c>
      <c r="AK742" s="293">
        <f t="shared" si="2452"/>
        <v>1100</v>
      </c>
      <c r="AM742" s="293">
        <f t="shared" si="2453"/>
        <v>600</v>
      </c>
      <c r="AN742" s="293">
        <f t="shared" si="2453"/>
        <v>16400</v>
      </c>
      <c r="AO742" s="293">
        <f t="shared" si="2453"/>
        <v>2000</v>
      </c>
      <c r="AP742" s="293">
        <f t="shared" si="2453"/>
        <v>2300</v>
      </c>
      <c r="AR742" s="293">
        <f t="shared" si="2454"/>
        <v>900</v>
      </c>
      <c r="AS742" s="293">
        <f t="shared" si="2455"/>
        <v>900</v>
      </c>
      <c r="AT742" s="293">
        <f t="shared" si="2456"/>
        <v>800</v>
      </c>
      <c r="AU742" s="293">
        <f t="shared" si="2457"/>
        <v>700</v>
      </c>
      <c r="AW742" s="293">
        <f t="shared" si="2458"/>
        <v>1300</v>
      </c>
      <c r="AX742" s="293">
        <f t="shared" si="2458"/>
        <v>1200</v>
      </c>
      <c r="AY742" s="1083">
        <f t="shared" si="2458"/>
        <v>-3000</v>
      </c>
      <c r="AZ742" s="622">
        <f>'SVF1'!AZ22</f>
        <v>0</v>
      </c>
      <c r="BB742" s="293">
        <f>'SVF1'!BB22</f>
        <v>3640</v>
      </c>
      <c r="BC742" s="293">
        <f>'SVF1'!BC22</f>
        <v>3605</v>
      </c>
      <c r="BD742" s="293">
        <f>'SVF1'!BD22</f>
        <v>3570</v>
      </c>
      <c r="BE742" s="293">
        <f>'SVF1'!BE22</f>
        <v>3525</v>
      </c>
      <c r="BG742" s="293">
        <f>'SVF1'!BG22</f>
        <v>2780</v>
      </c>
      <c r="BH742" s="293">
        <f>'SVF1'!BH22</f>
        <v>2800</v>
      </c>
      <c r="BI742" s="293">
        <f>'SVF1'!BI22</f>
        <v>2825</v>
      </c>
      <c r="BJ742" s="293">
        <f>'SVF1'!BJ22</f>
        <v>2850</v>
      </c>
      <c r="BL742" s="293">
        <f>'SVF1'!BL22</f>
        <v>2875</v>
      </c>
      <c r="BM742" s="293">
        <f>'SVF1'!BM22</f>
        <v>2900</v>
      </c>
      <c r="BN742" s="293">
        <f>'SVF1'!BN22</f>
        <v>2925</v>
      </c>
      <c r="BO742" s="293">
        <f>'SVF1'!BO22</f>
        <v>2950</v>
      </c>
      <c r="BQ742" s="293">
        <f>'SVF1'!BQ22</f>
        <v>2975</v>
      </c>
      <c r="BR742" s="293">
        <f>'SVF1'!BR22</f>
        <v>3005</v>
      </c>
      <c r="BS742" s="293">
        <f>'SVF1'!BS22</f>
        <v>3025</v>
      </c>
      <c r="BT742" s="293"/>
    </row>
    <row r="743" spans="1:72" s="291" customFormat="1">
      <c r="A743" s="291" t="s">
        <v>1095</v>
      </c>
      <c r="K743" s="292"/>
      <c r="V743" s="294">
        <f>V742/V741</f>
        <v>5.25</v>
      </c>
      <c r="W743" s="294"/>
      <c r="X743" s="294">
        <f>X742/X741</f>
        <v>0.625</v>
      </c>
      <c r="Y743" s="294">
        <f>Y742/Y741</f>
        <v>1.5</v>
      </c>
      <c r="Z743" s="294">
        <f>Z742/Z741</f>
        <v>2.4</v>
      </c>
      <c r="AA743" s="294">
        <f>AA742/AA741</f>
        <v>1.9615384615384615</v>
      </c>
      <c r="AC743" s="294">
        <f>AC742/AC741</f>
        <v>2</v>
      </c>
      <c r="AD743" s="294">
        <f>AD742/AD741</f>
        <v>2.7826086956521738</v>
      </c>
      <c r="AE743" s="294">
        <f>AE742/AE741</f>
        <v>4.333333333333333</v>
      </c>
      <c r="AF743" s="294">
        <f>AF742/AF741</f>
        <v>1.6666666666666667</v>
      </c>
      <c r="AH743" s="294">
        <f>AH742/AH741</f>
        <v>0.95652173913043481</v>
      </c>
      <c r="AI743" s="294">
        <f>AI742/AI741</f>
        <v>1.1428571428571428</v>
      </c>
      <c r="AJ743" s="294">
        <f>AJ742/AJ741</f>
        <v>1.3076923076923077</v>
      </c>
      <c r="AK743" s="294">
        <f>AK742/AK741</f>
        <v>1.2222222222222223</v>
      </c>
      <c r="AM743" s="294">
        <f>AM742/AM741</f>
        <v>0.5</v>
      </c>
      <c r="AN743" s="294">
        <f>AN742/AN741</f>
        <v>1.7446808510638299</v>
      </c>
      <c r="AO743" s="294">
        <f>AO742/AO741</f>
        <v>1.3333333333333333</v>
      </c>
      <c r="AP743" s="294">
        <f>AP742/AP741</f>
        <v>1.2105263157894737</v>
      </c>
      <c r="AR743" s="294">
        <f>AR742/AR741</f>
        <v>0.17307692307692307</v>
      </c>
      <c r="AS743" s="294">
        <f>AS742/AS741</f>
        <v>1</v>
      </c>
      <c r="AT743" s="294">
        <f>AT742/AT741</f>
        <v>2</v>
      </c>
      <c r="AU743" s="294">
        <f>AU742/AU741</f>
        <v>0.77777777777777779</v>
      </c>
      <c r="AW743" s="294">
        <f>AW742/AW741</f>
        <v>0.44827586206896552</v>
      </c>
      <c r="AX743" s="294">
        <f>AX742/AX741</f>
        <v>2</v>
      </c>
      <c r="AY743" s="1084">
        <f>AY742/AY741</f>
        <v>0.90909090909090906</v>
      </c>
      <c r="AZ743" s="294" t="e">
        <f>AZ742/AZ741</f>
        <v>#DIV/0!</v>
      </c>
      <c r="BB743" s="294">
        <f>BB742/BB741</f>
        <v>1</v>
      </c>
      <c r="BC743" s="294">
        <f>BC742/BC741</f>
        <v>1</v>
      </c>
      <c r="BD743" s="294">
        <f>BD742/BD741</f>
        <v>1</v>
      </c>
      <c r="BE743" s="294">
        <f>BE742/BE741</f>
        <v>1</v>
      </c>
      <c r="BG743" s="294">
        <f>BG742/BG741</f>
        <v>1</v>
      </c>
      <c r="BH743" s="294">
        <f>BH742/BH741</f>
        <v>1</v>
      </c>
      <c r="BI743" s="294">
        <f>BI742/BI741</f>
        <v>1</v>
      </c>
      <c r="BJ743" s="294">
        <f>BJ742/BJ741</f>
        <v>1</v>
      </c>
      <c r="BL743" s="294">
        <f>BL742/BL741</f>
        <v>1</v>
      </c>
      <c r="BM743" s="294">
        <f>BM742/BM741</f>
        <v>1</v>
      </c>
      <c r="BN743" s="294">
        <f>BN742/BN741</f>
        <v>1</v>
      </c>
      <c r="BO743" s="294">
        <f>BO742/BO741</f>
        <v>1</v>
      </c>
      <c r="BQ743" s="294" t="e">
        <f>BQ742/BQ741</f>
        <v>#NUM!</v>
      </c>
      <c r="BR743" s="294" t="e">
        <f>BR742/BR741</f>
        <v>#NUM!</v>
      </c>
      <c r="BS743" s="294" t="e">
        <f>BS742/BS741</f>
        <v>#NUM!</v>
      </c>
      <c r="BT743" s="294"/>
    </row>
    <row r="744" spans="1:72">
      <c r="K744" s="25"/>
    </row>
    <row r="745" spans="1:72">
      <c r="A745" s="1" t="s">
        <v>307</v>
      </c>
      <c r="I745" s="86">
        <v>100</v>
      </c>
      <c r="J745" s="87">
        <f>I745*(1+J728)</f>
        <v>109.78260869565217</v>
      </c>
      <c r="K745" s="87">
        <f>J745*(1+K728)</f>
        <v>111.65603205223327</v>
      </c>
      <c r="L745" s="87">
        <f>K745*(1+L728)</f>
        <v>115.13441311305051</v>
      </c>
      <c r="M745" s="88">
        <f>L745</f>
        <v>115.13441311305051</v>
      </c>
      <c r="N745" s="87">
        <f>M745*(1+N728)</f>
        <v>121.94518121269574</v>
      </c>
      <c r="O745" s="87">
        <f>N745*(1+O728)</f>
        <v>129.23021801241521</v>
      </c>
      <c r="P745" s="87">
        <f>O745*(1+P728)</f>
        <v>133.89316402317246</v>
      </c>
      <c r="Q745" s="87">
        <f>P745*(1+Q728)</f>
        <v>138.49035420422558</v>
      </c>
      <c r="R745" s="88">
        <f>Q745</f>
        <v>138.49035420422558</v>
      </c>
      <c r="S745" s="87">
        <f>R745*(1+S728)</f>
        <v>145.01792503932921</v>
      </c>
      <c r="T745" s="87">
        <f>S745*(1+T728)</f>
        <v>129.94677809528807</v>
      </c>
      <c r="U745" s="87">
        <f>T745*(1+U728)</f>
        <v>127.23623180372991</v>
      </c>
      <c r="V745" s="87">
        <f>U745*(1+V728)</f>
        <v>111.88429227466332</v>
      </c>
      <c r="W745" s="88">
        <f>V745</f>
        <v>111.88429227466332</v>
      </c>
      <c r="X745" s="87">
        <f>W745*(1+X728)</f>
        <v>114.52722831264749</v>
      </c>
      <c r="Y745" s="87">
        <f>X745*(1+Y728)</f>
        <v>122.80533674507045</v>
      </c>
      <c r="Z745" s="87">
        <f>Y745*(1+Z728)</f>
        <v>144.10013438143861</v>
      </c>
      <c r="AA745" s="87">
        <f>Z745*(1+AA728)</f>
        <v>197.53419897603226</v>
      </c>
      <c r="AB745" s="88">
        <f>AA745</f>
        <v>197.53419897603226</v>
      </c>
      <c r="AC745" s="87">
        <f>AB745*(1+AC728)</f>
        <v>199.77985092228607</v>
      </c>
      <c r="AD745" s="87">
        <f>AC745*(1+AD728)</f>
        <v>178.45407691264836</v>
      </c>
      <c r="AE745" s="87">
        <f>AD745*(1+AE728)</f>
        <v>176.28521355687965</v>
      </c>
      <c r="AF745" s="87">
        <f>AE745*(1+AF728)</f>
        <v>138.00814527460898</v>
      </c>
      <c r="AG745" s="88">
        <f>AF745</f>
        <v>138.00814527460898</v>
      </c>
      <c r="AH745" s="87">
        <f>AG745*(1+AH728)</f>
        <v>118.06374234460097</v>
      </c>
      <c r="AI745" s="87">
        <f>AH745*(1+AI728)</f>
        <v>108.40398160731544</v>
      </c>
      <c r="AJ745" s="87">
        <f>AI745*(1+AJ728)</f>
        <v>102.51738277316714</v>
      </c>
      <c r="AK745" s="87">
        <f>AJ745*(1+AK728)</f>
        <v>102.24302760071441</v>
      </c>
      <c r="AL745" s="88">
        <f>AK745</f>
        <v>102.24302760071441</v>
      </c>
      <c r="AM745" s="87">
        <f>AL745*(1+AM728)</f>
        <v>103.5302599625939</v>
      </c>
      <c r="AN745" s="87">
        <f>AM745*(1+AN728)</f>
        <v>105.55305367411883</v>
      </c>
      <c r="AO745" s="87">
        <f>AN745*(1+AO728)</f>
        <v>107.85324128445072</v>
      </c>
      <c r="AP745" s="87">
        <f>AO745*(1+AP728)</f>
        <v>104.8317741108303</v>
      </c>
      <c r="AQ745" s="88">
        <f>AP745</f>
        <v>104.8317741108303</v>
      </c>
      <c r="AR745" s="87">
        <f>AQ745*(1+AR728)</f>
        <v>111.21746593484026</v>
      </c>
      <c r="AS745" s="87">
        <f>AR745*(1+AS728)</f>
        <v>118.07610047253901</v>
      </c>
      <c r="AT745" s="87">
        <f>AS745*(1+AT728)</f>
        <v>114.27595011250327</v>
      </c>
      <c r="AU745" s="87">
        <f>AT745*(1+AU728)</f>
        <v>118.37676171941126</v>
      </c>
      <c r="AV745" s="88">
        <f>AU745</f>
        <v>118.37676171941126</v>
      </c>
      <c r="AW745" s="87">
        <f>AV745*(1+AW728)</f>
        <v>126.56460338581839</v>
      </c>
      <c r="AX745" s="87">
        <f>AW745*(1+AX728)</f>
        <v>141.0653310262403</v>
      </c>
      <c r="AY745" s="87">
        <f>AX745*(1+AY728)</f>
        <v>128.29281614458876</v>
      </c>
      <c r="AZ745" s="87">
        <f>AY745*(1+AZ728)</f>
        <v>122.92835989429511</v>
      </c>
      <c r="BA745" s="88">
        <f>AZ745</f>
        <v>122.92835989429511</v>
      </c>
      <c r="BB745" s="87">
        <f>BA745*(1+BB728)</f>
        <v>123.99273613443275</v>
      </c>
      <c r="BC745" s="87">
        <f>BB745*(1+BC728)</f>
        <v>125.0609717185601</v>
      </c>
      <c r="BD745" s="87">
        <f>BC745*(1+BD728)</f>
        <v>126.14890187894991</v>
      </c>
      <c r="BE745" s="87">
        <f>BD745*(1+BE728)</f>
        <v>127.23979740734995</v>
      </c>
      <c r="BF745" s="88">
        <f>BE745</f>
        <v>127.23979740734995</v>
      </c>
      <c r="BG745" s="87">
        <f>BF745*(1+BG728)</f>
        <v>128.33162405176947</v>
      </c>
      <c r="BH745" s="87">
        <f>BG745*(1+BH728)</f>
        <v>129.44032058785388</v>
      </c>
      <c r="BI745" s="87">
        <f>BH745*(1+BI728)</f>
        <v>130.56945899107862</v>
      </c>
      <c r="BJ745" s="87">
        <f>BI745*(1+BJ728)</f>
        <v>131.69530663659089</v>
      </c>
      <c r="BK745" s="88">
        <f>BJ745</f>
        <v>131.69530663659089</v>
      </c>
      <c r="BL745" s="87">
        <f>BK745*(1+BL728)</f>
        <v>132.81696004982837</v>
      </c>
      <c r="BM745" s="87">
        <f>BL745*(1+BM728)</f>
        <v>133.97155547187847</v>
      </c>
      <c r="BN745" s="87">
        <f>BM745*(1+BN728)</f>
        <v>135.12608456074332</v>
      </c>
      <c r="BO745" s="87">
        <f>BN745*(1+BO728)</f>
        <v>136.28051501406023</v>
      </c>
      <c r="BP745" s="88">
        <f>BO745</f>
        <v>136.28051501406023</v>
      </c>
      <c r="BQ745" s="87">
        <f>BP745*(1+BQ728)</f>
        <v>137.43478250429789</v>
      </c>
      <c r="BR745" s="87">
        <f>BQ745*(1+BR728)</f>
        <v>138.58872694178149</v>
      </c>
      <c r="BS745" s="87">
        <f>BR745*(1+BS728)</f>
        <v>139.74363299962965</v>
      </c>
    </row>
    <row r="746" spans="1:72">
      <c r="A746" s="1" t="s">
        <v>308</v>
      </c>
      <c r="K746" s="25"/>
      <c r="N746" s="16">
        <f t="shared" ref="N746:AM746" si="2459">N745/I745-1</f>
        <v>0.21945181212695752</v>
      </c>
      <c r="O746" s="16">
        <f t="shared" si="2459"/>
        <v>0.17714654031110877</v>
      </c>
      <c r="P746" s="16">
        <f t="shared" si="2459"/>
        <v>0.19915746209337382</v>
      </c>
      <c r="Q746" s="16">
        <f t="shared" si="2459"/>
        <v>0.20285803748564613</v>
      </c>
      <c r="R746" s="16">
        <f t="shared" si="2459"/>
        <v>0.20285803748564613</v>
      </c>
      <c r="S746" s="16">
        <f t="shared" si="2459"/>
        <v>0.18920586772830483</v>
      </c>
      <c r="T746" s="16">
        <f t="shared" si="2459"/>
        <v>5.5448338159116428E-3</v>
      </c>
      <c r="U746" s="16">
        <f t="shared" si="2459"/>
        <v>-4.9718238178989127E-2</v>
      </c>
      <c r="V746" s="16">
        <f t="shared" si="2459"/>
        <v>-0.19211490996930713</v>
      </c>
      <c r="W746" s="16">
        <f t="shared" si="2459"/>
        <v>-0.19211490996930713</v>
      </c>
      <c r="X746" s="16">
        <f t="shared" si="2459"/>
        <v>-0.21025467519558405</v>
      </c>
      <c r="Y746" s="16">
        <f t="shared" si="2459"/>
        <v>-5.4956663450177357E-2</v>
      </c>
      <c r="Z746" s="16">
        <f t="shared" si="2459"/>
        <v>0.13254009757002505</v>
      </c>
      <c r="AA746" s="16">
        <f t="shared" si="2459"/>
        <v>0.76552217438269232</v>
      </c>
      <c r="AB746" s="16">
        <f t="shared" si="2459"/>
        <v>0.76552217438269232</v>
      </c>
      <c r="AC746" s="16">
        <f t="shared" si="2459"/>
        <v>0.74438737290408996</v>
      </c>
      <c r="AD746" s="16">
        <f t="shared" si="2459"/>
        <v>0.45314594334852232</v>
      </c>
      <c r="AE746" s="16">
        <f t="shared" si="2459"/>
        <v>0.22335218015998448</v>
      </c>
      <c r="AF746" s="16">
        <f t="shared" si="2459"/>
        <v>-0.30134555945244623</v>
      </c>
      <c r="AG746" s="16">
        <f t="shared" si="2459"/>
        <v>-0.30134555945244623</v>
      </c>
      <c r="AH746" s="16">
        <f t="shared" si="2459"/>
        <v>-0.40903078163509343</v>
      </c>
      <c r="AI746" s="16">
        <f t="shared" si="2459"/>
        <v>-0.3925384979555373</v>
      </c>
      <c r="AJ746" s="16">
        <f t="shared" si="2459"/>
        <v>-0.41845727894762319</v>
      </c>
      <c r="AK746" s="16">
        <f t="shared" si="2459"/>
        <v>-0.25915222324543985</v>
      </c>
      <c r="AL746" s="16">
        <f t="shared" si="2459"/>
        <v>-0.25915222324543985</v>
      </c>
      <c r="AM746" s="16">
        <f t="shared" si="2459"/>
        <v>-0.12309860837366282</v>
      </c>
      <c r="AN746" s="16">
        <f>AN745/AI745-1</f>
        <v>-2.6299107199990734E-2</v>
      </c>
      <c r="AO746" s="16">
        <f>AO745/AJ745-1</f>
        <v>5.204832943394444E-2</v>
      </c>
      <c r="AP746" s="16">
        <f>AP745/AK745-1</f>
        <v>2.5319540812363428E-2</v>
      </c>
      <c r="AQ746" s="16">
        <f t="shared" ref="AQ746" si="2460">AQ745/AL745-1</f>
        <v>2.5319540812363428E-2</v>
      </c>
      <c r="AR746" s="16">
        <f t="shared" ref="AR746" si="2461">AR745/AM745-1</f>
        <v>7.4250812999250515E-2</v>
      </c>
      <c r="AS746" s="16">
        <f>AS745/AN745-1</f>
        <v>0.11864220278347837</v>
      </c>
      <c r="AT746" s="16">
        <f>AT745/AO745-1</f>
        <v>5.9550447919440641E-2</v>
      </c>
      <c r="AU746" s="16">
        <f>AU745/AP745-1</f>
        <v>0.1292068909781201</v>
      </c>
      <c r="AV746" s="16">
        <f t="shared" ref="AV746" si="2462">AV745/AQ745-1</f>
        <v>0.1292068909781201</v>
      </c>
      <c r="AW746" s="16">
        <f>AW745/AR745-1</f>
        <v>0.13799215187990033</v>
      </c>
      <c r="AX746" s="16">
        <f>AX745/AS745-1</f>
        <v>0.19469842298059215</v>
      </c>
      <c r="AY746" s="16">
        <f>AY745/AT745-1</f>
        <v>0.12265805725777001</v>
      </c>
      <c r="AZ746" s="16">
        <f>AZ745/AU745-1</f>
        <v>3.8450098725225423E-2</v>
      </c>
      <c r="BA746" s="16">
        <f t="shared" ref="BA746" si="2463">BA745/AV745-1</f>
        <v>3.8450098725225423E-2</v>
      </c>
      <c r="BB746" s="16">
        <f>BB745/AW745-1</f>
        <v>-2.03205887158322E-2</v>
      </c>
      <c r="BC746" s="16">
        <f>BC745/AX745-1</f>
        <v>-0.11345352675423237</v>
      </c>
      <c r="BD746" s="16">
        <f>BD745/AY745-1</f>
        <v>-1.6711101447976717E-2</v>
      </c>
      <c r="BE746" s="16">
        <f>BE745/AZ745-1</f>
        <v>3.5072765281845442E-2</v>
      </c>
      <c r="BF746" s="16">
        <f t="shared" ref="BF746" si="2464">BF745/BA745-1</f>
        <v>3.5072765281845442E-2</v>
      </c>
      <c r="BG746" s="16">
        <f>BG745/BB745-1</f>
        <v>3.4993081470776621E-2</v>
      </c>
      <c r="BH746" s="16">
        <f>BH745/BC745-1</f>
        <v>3.5017710234565902E-2</v>
      </c>
      <c r="BI746" s="16">
        <f>BI745/BD745-1</f>
        <v>3.5042374894159511E-2</v>
      </c>
      <c r="BJ746" s="16">
        <f>BJ745/BE745-1</f>
        <v>3.5016632531855718E-2</v>
      </c>
      <c r="BK746" s="16">
        <f t="shared" ref="BK746" si="2465">BK745/BF745-1</f>
        <v>3.5016632531855718E-2</v>
      </c>
      <c r="BL746" s="16">
        <f>BL745/BG745-1</f>
        <v>3.4951135631615671E-2</v>
      </c>
      <c r="BM746" s="16">
        <f>BM745/BH745-1</f>
        <v>3.5006363267998442E-2</v>
      </c>
      <c r="BN746" s="16">
        <f>BN745/BI745-1</f>
        <v>3.4898096422196545E-2</v>
      </c>
      <c r="BO746" s="16">
        <f>BO745/BJ745-1</f>
        <v>3.4816794117971783E-2</v>
      </c>
      <c r="BP746" s="16">
        <f t="shared" ref="BP746" si="2466">BP745/BK745-1</f>
        <v>3.4816794117971783E-2</v>
      </c>
      <c r="BQ746" s="16">
        <f>BQ745/BL745-1</f>
        <v>3.4768319141900816E-2</v>
      </c>
      <c r="BR746" s="16">
        <f>BR745/BM745-1</f>
        <v>3.446381923118147E-2</v>
      </c>
      <c r="BS746" s="16">
        <f>BS745/BN745-1</f>
        <v>3.4172147101698913E-2</v>
      </c>
    </row>
    <row r="747" spans="1:72">
      <c r="K747" s="25"/>
    </row>
    <row r="748" spans="1:72">
      <c r="A748" s="1" t="s">
        <v>303</v>
      </c>
      <c r="J748" s="84">
        <v>0.25</v>
      </c>
      <c r="K748" s="42">
        <f>J748+0.25</f>
        <v>0.5</v>
      </c>
      <c r="L748" s="42">
        <f>K748+0.25</f>
        <v>0.75</v>
      </c>
      <c r="M748" s="42">
        <f>L748</f>
        <v>0.75</v>
      </c>
      <c r="N748" s="42">
        <f>M748+0.25</f>
        <v>1</v>
      </c>
      <c r="O748" s="42">
        <f>N748+0.25</f>
        <v>1.25</v>
      </c>
      <c r="P748" s="42">
        <f>O748+0.25</f>
        <v>1.5</v>
      </c>
      <c r="Q748" s="42">
        <f>P748+0.25</f>
        <v>1.75</v>
      </c>
      <c r="R748" s="42">
        <f>Q748</f>
        <v>1.75</v>
      </c>
      <c r="S748" s="42">
        <f>R748+0.25</f>
        <v>2</v>
      </c>
      <c r="T748" s="42">
        <f>S748+0.25</f>
        <v>2.25</v>
      </c>
      <c r="U748" s="42">
        <f>T748+0.25</f>
        <v>2.5</v>
      </c>
      <c r="V748" s="42">
        <f>U748+0.25</f>
        <v>2.75</v>
      </c>
      <c r="W748" s="42">
        <f>V748</f>
        <v>2.75</v>
      </c>
      <c r="X748" s="42">
        <f>W748+0.25</f>
        <v>3</v>
      </c>
      <c r="Y748" s="42">
        <f>X748+0.25</f>
        <v>3.25</v>
      </c>
      <c r="Z748" s="42">
        <f>Y748+0.25</f>
        <v>3.5</v>
      </c>
      <c r="AA748" s="42">
        <f>Z748+0.25</f>
        <v>3.75</v>
      </c>
      <c r="AB748" s="42">
        <f>AA748</f>
        <v>3.75</v>
      </c>
      <c r="AC748" s="42">
        <f>AB748+0.25</f>
        <v>4</v>
      </c>
      <c r="AD748" s="42">
        <f>AC748+0.25</f>
        <v>4.25</v>
      </c>
      <c r="AE748" s="42">
        <f>AD748+0.25</f>
        <v>4.5</v>
      </c>
      <c r="AF748" s="42">
        <f>AE748+0.25</f>
        <v>4.75</v>
      </c>
      <c r="AG748" s="42">
        <f>AF748</f>
        <v>4.75</v>
      </c>
      <c r="AH748" s="42">
        <f>AG748+0.25</f>
        <v>5</v>
      </c>
      <c r="AI748" s="42">
        <f>AH748+0.25</f>
        <v>5.25</v>
      </c>
      <c r="AJ748" s="42">
        <f>AI748+0.25</f>
        <v>5.5</v>
      </c>
      <c r="AK748" s="42">
        <f>AJ748+0.25</f>
        <v>5.75</v>
      </c>
      <c r="AL748" s="42">
        <f>AK748</f>
        <v>5.75</v>
      </c>
      <c r="AM748" s="42">
        <f>AL748+0.25</f>
        <v>6</v>
      </c>
      <c r="AN748" s="42">
        <f>AM748+0.25</f>
        <v>6.25</v>
      </c>
      <c r="AO748" s="42">
        <f>AN748+0.25</f>
        <v>6.5</v>
      </c>
      <c r="AP748" s="42">
        <f>AO748+0.25</f>
        <v>6.75</v>
      </c>
      <c r="AQ748" s="42">
        <f>AP748</f>
        <v>6.75</v>
      </c>
      <c r="AR748" s="42">
        <f>AQ748+0.25</f>
        <v>7</v>
      </c>
      <c r="AS748" s="42">
        <f>AR748+0.25</f>
        <v>7.25</v>
      </c>
      <c r="AT748" s="42">
        <f>AS748+0.25</f>
        <v>7.5</v>
      </c>
      <c r="AU748" s="42">
        <f>AT748+0.25</f>
        <v>7.75</v>
      </c>
      <c r="AV748" s="42">
        <f>AU748</f>
        <v>7.75</v>
      </c>
      <c r="AW748" s="42">
        <f>AV748+0.25</f>
        <v>8</v>
      </c>
      <c r="AX748" s="42">
        <f>AW748+0.25</f>
        <v>8.25</v>
      </c>
      <c r="AY748" s="42">
        <f>AX748+0.25</f>
        <v>8.5</v>
      </c>
      <c r="AZ748" s="42">
        <f>AY748+0.25</f>
        <v>8.75</v>
      </c>
      <c r="BA748" s="42">
        <f>AZ748</f>
        <v>8.75</v>
      </c>
      <c r="BB748" s="42">
        <f>BA748+0.25</f>
        <v>9</v>
      </c>
      <c r="BC748" s="42">
        <f>BB748+0.25</f>
        <v>9.25</v>
      </c>
      <c r="BD748" s="42">
        <f>BC748+0.25</f>
        <v>9.5</v>
      </c>
      <c r="BE748" s="42">
        <f>BD748+0.25</f>
        <v>9.75</v>
      </c>
      <c r="BF748" s="42">
        <f>BE748</f>
        <v>9.75</v>
      </c>
      <c r="BG748" s="42">
        <f>BF748+0.25</f>
        <v>10</v>
      </c>
      <c r="BH748" s="42">
        <f>BG748+0.25</f>
        <v>10.25</v>
      </c>
      <c r="BI748" s="42">
        <f>BH748+0.25</f>
        <v>10.5</v>
      </c>
      <c r="BJ748" s="42">
        <f>BI748+0.25</f>
        <v>10.75</v>
      </c>
      <c r="BK748" s="42">
        <f>BJ748</f>
        <v>10.75</v>
      </c>
      <c r="BL748" s="42">
        <f>BK748+0.25</f>
        <v>11</v>
      </c>
      <c r="BM748" s="42">
        <f>BL748+0.25</f>
        <v>11.25</v>
      </c>
      <c r="BN748" s="42">
        <f>BM748+0.25</f>
        <v>11.5</v>
      </c>
      <c r="BO748" s="42">
        <f>BN748+0.25</f>
        <v>11.75</v>
      </c>
      <c r="BP748" s="42">
        <f>BO748</f>
        <v>11.75</v>
      </c>
      <c r="BQ748" s="42">
        <f>BP748+0.25</f>
        <v>12</v>
      </c>
      <c r="BR748" s="42">
        <f>BQ748+0.25</f>
        <v>12.25</v>
      </c>
      <c r="BS748" s="42">
        <f>BR748+0.25</f>
        <v>12.5</v>
      </c>
    </row>
    <row r="749" spans="1:72">
      <c r="A749" s="1" t="s">
        <v>304</v>
      </c>
      <c r="J749" s="16">
        <f t="shared" ref="J749:W749" si="2467">(J745/$I$745)^(1/J748)-1</f>
        <v>0.45256035179351817</v>
      </c>
      <c r="K749" s="16">
        <f t="shared" si="2467"/>
        <v>0.24670694936493431</v>
      </c>
      <c r="L749" s="16">
        <f t="shared" si="2467"/>
        <v>0.20672099467832594</v>
      </c>
      <c r="M749" s="16">
        <f t="shared" si="2467"/>
        <v>0.20672099467832594</v>
      </c>
      <c r="N749" s="16">
        <f t="shared" si="2467"/>
        <v>0.21945181212695752</v>
      </c>
      <c r="O749" s="16">
        <f t="shared" si="2467"/>
        <v>0.227697189358536</v>
      </c>
      <c r="P749" s="16">
        <f t="shared" si="2467"/>
        <v>0.21480229295337905</v>
      </c>
      <c r="Q749" s="16">
        <f t="shared" si="2467"/>
        <v>0.2045120740385693</v>
      </c>
      <c r="R749" s="16">
        <f t="shared" si="2467"/>
        <v>0.2045120740385693</v>
      </c>
      <c r="S749" s="16">
        <f t="shared" si="2467"/>
        <v>0.20423388525372932</v>
      </c>
      <c r="T749" s="16">
        <f t="shared" si="2467"/>
        <v>0.12347251349748967</v>
      </c>
      <c r="U749" s="16">
        <f t="shared" si="2467"/>
        <v>0.10114451407368663</v>
      </c>
      <c r="V749" s="16">
        <f t="shared" si="2467"/>
        <v>4.1679758288825086E-2</v>
      </c>
      <c r="W749" s="16">
        <f t="shared" si="2467"/>
        <v>4.1679758288825086E-2</v>
      </c>
      <c r="X749" s="16">
        <f t="shared" ref="X749:Y749" si="2468">(X745/$I$745)^(1/X748)-1</f>
        <v>4.6251877018950172E-2</v>
      </c>
      <c r="Y749" s="16">
        <f t="shared" si="2468"/>
        <v>6.5249793201758388E-2</v>
      </c>
      <c r="Z749" s="16">
        <f t="shared" ref="Z749:AC749" si="2469">(Z745/$I$745)^(1/Z748)-1</f>
        <v>0.11002479956051925</v>
      </c>
      <c r="AA749" s="16">
        <f t="shared" si="2469"/>
        <v>0.19905180033767644</v>
      </c>
      <c r="AB749" s="16">
        <f t="shared" si="2469"/>
        <v>0.19905180033767644</v>
      </c>
      <c r="AC749" s="16">
        <f t="shared" si="2469"/>
        <v>0.18887972627037608</v>
      </c>
      <c r="AD749" s="16">
        <f t="shared" ref="AD749:AE749" si="2470">(AD745/$I$745)^(1/AD748)-1</f>
        <v>0.14599493932642194</v>
      </c>
      <c r="AE749" s="16">
        <f t="shared" si="2470"/>
        <v>0.13426528751194144</v>
      </c>
      <c r="AF749" s="16">
        <f t="shared" ref="AF749:AI749" si="2471">(AF745/$I$745)^(1/AF748)-1</f>
        <v>7.0172101580014301E-2</v>
      </c>
      <c r="AG749" s="16">
        <f t="shared" si="2471"/>
        <v>7.0172101580014301E-2</v>
      </c>
      <c r="AH749" s="16">
        <f t="shared" si="2471"/>
        <v>3.376853431332405E-2</v>
      </c>
      <c r="AI749" s="16">
        <f t="shared" si="2471"/>
        <v>1.5489138528623103E-2</v>
      </c>
      <c r="AJ749" s="16">
        <f t="shared" ref="AJ749:AN749" si="2472">(AJ745/$I$745)^(1/AJ748)-1</f>
        <v>4.5306299078482493E-3</v>
      </c>
      <c r="AK749" s="16">
        <f t="shared" si="2472"/>
        <v>3.8652625659478801E-3</v>
      </c>
      <c r="AL749" s="16">
        <f t="shared" si="2472"/>
        <v>3.8652625659478801E-3</v>
      </c>
      <c r="AM749" s="16">
        <f t="shared" si="2472"/>
        <v>5.7990415133681861E-3</v>
      </c>
      <c r="AN749" s="16">
        <f t="shared" si="2472"/>
        <v>8.6844560064693876E-3</v>
      </c>
      <c r="AO749" s="16">
        <f t="shared" ref="AO749:AS749" si="2473">(AO745/$I$745)^(1/AO748)-1</f>
        <v>1.1698862622065764E-2</v>
      </c>
      <c r="AP749" s="16">
        <f t="shared" si="2473"/>
        <v>7.0151178399007197E-3</v>
      </c>
      <c r="AQ749" s="16">
        <f t="shared" si="2473"/>
        <v>7.0151178399007197E-3</v>
      </c>
      <c r="AR749" s="16">
        <f t="shared" si="2473"/>
        <v>1.5304105298226789E-2</v>
      </c>
      <c r="AS749" s="16">
        <f t="shared" si="2473"/>
        <v>2.3183150231758987E-2</v>
      </c>
      <c r="AT749" s="16">
        <f t="shared" ref="AT749:AV749" si="2474">(AT745/$I$745)^(1/AT748)-1</f>
        <v>1.7952028422789645E-2</v>
      </c>
      <c r="AU749" s="16">
        <f t="shared" si="2474"/>
        <v>2.2006684116811392E-2</v>
      </c>
      <c r="AV749" s="16">
        <f t="shared" si="2474"/>
        <v>2.2006684116811392E-2</v>
      </c>
      <c r="AW749" s="16">
        <f t="shared" ref="AW749:AX749" si="2475">(AW745/$I$745)^(1/AW748)-1</f>
        <v>2.9885711436768103E-2</v>
      </c>
      <c r="AX749" s="16">
        <f t="shared" si="2475"/>
        <v>4.2585187923626089E-2</v>
      </c>
      <c r="AY749" s="16">
        <f t="shared" ref="AY749:BP749" si="2476">(AY745/$I$745)^(1/AY748)-1</f>
        <v>2.9744988108550974E-2</v>
      </c>
      <c r="AZ749" s="16">
        <f t="shared" si="2476"/>
        <v>2.3872675203449045E-2</v>
      </c>
      <c r="BA749" s="16">
        <f t="shared" si="2476"/>
        <v>2.3872675203449045E-2</v>
      </c>
      <c r="BB749" s="16">
        <f t="shared" si="2476"/>
        <v>2.4182522508790605E-2</v>
      </c>
      <c r="BC749" s="16">
        <f t="shared" si="2476"/>
        <v>2.4470963943223678E-2</v>
      </c>
      <c r="BD749" s="16">
        <f t="shared" si="2476"/>
        <v>2.4753270614111145E-2</v>
      </c>
      <c r="BE749" s="16">
        <f t="shared" si="2476"/>
        <v>2.501580256538416E-2</v>
      </c>
      <c r="BF749" s="16">
        <f t="shared" si="2476"/>
        <v>2.501580256538416E-2</v>
      </c>
      <c r="BG749" s="16">
        <f t="shared" si="2476"/>
        <v>2.5258477577696947E-2</v>
      </c>
      <c r="BH749" s="16">
        <f t="shared" si="2476"/>
        <v>2.5495166065807373E-2</v>
      </c>
      <c r="BI749" s="16">
        <f t="shared" si="2476"/>
        <v>2.5728762545953465E-2</v>
      </c>
      <c r="BJ749" s="16">
        <f t="shared" si="2476"/>
        <v>2.5942021452711517E-2</v>
      </c>
      <c r="BK749" s="16">
        <f t="shared" si="2476"/>
        <v>2.5942021452711517E-2</v>
      </c>
      <c r="BL749" s="16">
        <f t="shared" si="2476"/>
        <v>2.6135864442262013E-2</v>
      </c>
      <c r="BM749" s="16">
        <f t="shared" si="2476"/>
        <v>2.633705466477787E-2</v>
      </c>
      <c r="BN749" s="16">
        <f t="shared" si="2476"/>
        <v>2.6522860436931861E-2</v>
      </c>
      <c r="BO749" s="16">
        <f t="shared" si="2476"/>
        <v>2.6694348870229367E-2</v>
      </c>
      <c r="BP749" s="16">
        <f t="shared" si="2476"/>
        <v>2.6694348870229367E-2</v>
      </c>
      <c r="BQ749" s="16">
        <f t="shared" ref="BQ749:BS749" si="2477">(BQ745/$I$745)^(1/BQ748)-1</f>
        <v>2.6852476755875099E-2</v>
      </c>
      <c r="BR749" s="16">
        <f t="shared" si="2477"/>
        <v>2.6998064058181281E-2</v>
      </c>
      <c r="BS749" s="16">
        <f t="shared" si="2477"/>
        <v>2.7132715727308243E-2</v>
      </c>
    </row>
    <row r="751" spans="1:72">
      <c r="A751" s="3" t="s">
        <v>360</v>
      </c>
    </row>
    <row r="752" spans="1:72">
      <c r="J752" s="42" t="s">
        <v>404</v>
      </c>
      <c r="Y752" s="98" t="s">
        <v>496</v>
      </c>
      <c r="Z752" s="71"/>
      <c r="AA752" s="71"/>
      <c r="AB752" s="71"/>
      <c r="AC752" s="123" t="s">
        <v>564</v>
      </c>
      <c r="AD752" s="12"/>
      <c r="AE752" s="12"/>
      <c r="AN752" s="22" t="s">
        <v>1099</v>
      </c>
    </row>
    <row r="753" spans="1:71">
      <c r="A753" s="1" t="s">
        <v>635</v>
      </c>
      <c r="J753" s="37">
        <v>244522</v>
      </c>
      <c r="K753" s="37">
        <v>372684</v>
      </c>
      <c r="L753" s="37">
        <v>498407</v>
      </c>
      <c r="M753" s="36">
        <f>L753</f>
        <v>498407</v>
      </c>
      <c r="N753" s="37">
        <v>614992</v>
      </c>
      <c r="O753" s="37">
        <v>635889</v>
      </c>
      <c r="P753" s="37">
        <v>629337</v>
      </c>
      <c r="Q753" s="37">
        <v>36571</v>
      </c>
      <c r="R753" s="36">
        <f>Q753</f>
        <v>36571</v>
      </c>
      <c r="S753" s="37">
        <v>127410</v>
      </c>
      <c r="T753" s="37">
        <v>624350</v>
      </c>
      <c r="U753" s="37">
        <v>721295</v>
      </c>
      <c r="V753" s="37">
        <v>581543</v>
      </c>
      <c r="W753" s="36">
        <f>V753</f>
        <v>581543</v>
      </c>
      <c r="X753" s="37">
        <v>159072</v>
      </c>
      <c r="Y753" s="70">
        <v>156340</v>
      </c>
      <c r="Z753" s="70">
        <v>260321</v>
      </c>
      <c r="AA753" s="70">
        <v>444227</v>
      </c>
      <c r="AB753" s="36">
        <f>AA753</f>
        <v>444227</v>
      </c>
      <c r="AC753" s="125">
        <v>444053</v>
      </c>
      <c r="AD753" s="37">
        <v>715286</v>
      </c>
      <c r="AE753" s="37">
        <v>665604</v>
      </c>
      <c r="AF753" s="37">
        <v>336535</v>
      </c>
      <c r="AG753" s="36">
        <f>AF753</f>
        <v>336535</v>
      </c>
      <c r="AH753" s="37">
        <v>610524</v>
      </c>
      <c r="AI753" s="37">
        <v>645621</v>
      </c>
      <c r="AJ753" s="37">
        <v>554812</v>
      </c>
      <c r="AK753" s="37">
        <v>552681</v>
      </c>
      <c r="AL753" s="36">
        <f>AK753</f>
        <v>552681</v>
      </c>
      <c r="AM753" s="37">
        <v>590620</v>
      </c>
      <c r="AN753" s="38"/>
      <c r="AO753" s="38"/>
      <c r="AP753" s="42"/>
    </row>
    <row r="754" spans="1:71">
      <c r="A754" s="1" t="s">
        <v>636</v>
      </c>
      <c r="J754" s="38">
        <f t="shared" ref="J754:AB754" si="2478">J753/J$237</f>
        <v>2169.0942961057394</v>
      </c>
      <c r="K754" s="38">
        <f t="shared" si="2478"/>
        <v>3298.0884955752213</v>
      </c>
      <c r="L754" s="38">
        <f t="shared" si="2478"/>
        <v>4691.330948795181</v>
      </c>
      <c r="M754" s="38">
        <f t="shared" si="2478"/>
        <v>4691.330948795181</v>
      </c>
      <c r="N754" s="38">
        <f t="shared" si="2478"/>
        <v>5563.5245160123031</v>
      </c>
      <c r="O754" s="38">
        <f t="shared" si="2478"/>
        <v>5599.0930703530867</v>
      </c>
      <c r="P754" s="38">
        <f t="shared" si="2478"/>
        <v>5669.7027027027025</v>
      </c>
      <c r="Q754" s="38">
        <f t="shared" si="2478"/>
        <v>329.4981529867556</v>
      </c>
      <c r="R754" s="38">
        <f t="shared" si="2478"/>
        <v>329.4981529867556</v>
      </c>
      <c r="S754" s="38">
        <f t="shared" si="2478"/>
        <v>1182.0205956025604</v>
      </c>
      <c r="T754" s="38">
        <f t="shared" si="2478"/>
        <v>5785.3039288361751</v>
      </c>
      <c r="U754" s="38">
        <f t="shared" si="2478"/>
        <v>6583.5615188024822</v>
      </c>
      <c r="V754" s="38">
        <f t="shared" si="2478"/>
        <v>5343.5909216208765</v>
      </c>
      <c r="W754" s="38">
        <f t="shared" si="2478"/>
        <v>5343.5909216208765</v>
      </c>
      <c r="X754" s="38">
        <f t="shared" si="2478"/>
        <v>1476.4432894004085</v>
      </c>
      <c r="Y754" s="38">
        <f t="shared" si="2478"/>
        <v>1477.6937618147449</v>
      </c>
      <c r="Z754" s="38">
        <f t="shared" si="2478"/>
        <v>2515.1787439613527</v>
      </c>
      <c r="AA754" s="38">
        <f t="shared" si="2478"/>
        <v>4012.5282268991059</v>
      </c>
      <c r="AB754" s="38">
        <f t="shared" si="2478"/>
        <v>4012.5282268991059</v>
      </c>
      <c r="AC754" s="38">
        <f>AC753/AC$237</f>
        <v>4015.6719117381081</v>
      </c>
      <c r="AD754" s="38">
        <f>AD753/AD$237</f>
        <v>6391.0471765546818</v>
      </c>
      <c r="AE754" s="38">
        <f>AE753/AE$237</f>
        <v>5786.8544600938967</v>
      </c>
      <c r="AF754" s="38">
        <f>AF753/AF$237</f>
        <v>2749.6936024184984</v>
      </c>
      <c r="AG754" s="38">
        <f t="shared" ref="AG754" si="2479">AG753/AG$237</f>
        <v>2749.6936024184984</v>
      </c>
      <c r="AH754" s="38">
        <f>AH753/AH$237</f>
        <v>4466.8129938542579</v>
      </c>
      <c r="AI754" s="38">
        <f>AI753/AI$237</f>
        <v>4458.4006629376427</v>
      </c>
      <c r="AJ754" s="38">
        <f>AJ753/AJ$237</f>
        <v>4180.9495101733237</v>
      </c>
      <c r="AK754" s="38">
        <f>AK753/AK$237</f>
        <v>4139.0024713547518</v>
      </c>
      <c r="AL754" s="38">
        <f t="shared" ref="AL754:AM754" si="2480">AL753/AL$237</f>
        <v>4139.0024713547518</v>
      </c>
      <c r="AM754" s="38">
        <f t="shared" si="2480"/>
        <v>4073.5223118835779</v>
      </c>
      <c r="AN754" s="38"/>
      <c r="AO754" s="38"/>
      <c r="AP754" s="38"/>
    </row>
    <row r="755" spans="1:71">
      <c r="AC755" s="123" t="s">
        <v>566</v>
      </c>
      <c r="AD755" s="12"/>
      <c r="AE755" s="12"/>
      <c r="AF755" s="12"/>
      <c r="AG755" s="12"/>
      <c r="AH755" s="12"/>
      <c r="AI755" s="12"/>
    </row>
    <row r="756" spans="1:71">
      <c r="A756" s="1" t="s">
        <v>400</v>
      </c>
      <c r="M756" s="36">
        <f t="shared" ref="M756:AB756" si="2481">M29</f>
        <v>-7801</v>
      </c>
      <c r="N756" s="36">
        <f t="shared" si="2481"/>
        <v>-5031</v>
      </c>
      <c r="O756" s="36">
        <f t="shared" si="2481"/>
        <v>-6680</v>
      </c>
      <c r="P756" s="36">
        <f t="shared" si="2481"/>
        <v>-7208</v>
      </c>
      <c r="Q756" s="36">
        <f t="shared" si="2481"/>
        <v>-14222</v>
      </c>
      <c r="R756" s="36">
        <f t="shared" si="2481"/>
        <v>-33141</v>
      </c>
      <c r="S756" s="36">
        <f t="shared" si="2481"/>
        <v>-1668</v>
      </c>
      <c r="T756" s="36">
        <f t="shared" si="2481"/>
        <v>-7020</v>
      </c>
      <c r="U756" s="36">
        <f t="shared" si="2481"/>
        <v>-7533</v>
      </c>
      <c r="V756" s="36">
        <f t="shared" si="2481"/>
        <v>-6238</v>
      </c>
      <c r="W756" s="36">
        <f t="shared" si="2481"/>
        <v>-22459</v>
      </c>
      <c r="X756" s="36">
        <f t="shared" si="2481"/>
        <v>-4600</v>
      </c>
      <c r="Y756" s="36">
        <f t="shared" si="2481"/>
        <v>-1628</v>
      </c>
      <c r="Z756" s="36">
        <f t="shared" si="2481"/>
        <v>-1406</v>
      </c>
      <c r="AA756" s="36">
        <f t="shared" si="2481"/>
        <v>-2785</v>
      </c>
      <c r="AB756" s="36">
        <f t="shared" si="2481"/>
        <v>-10419</v>
      </c>
      <c r="AC756" s="125">
        <f>AC29*AC753/(AC753+AC923)</f>
        <v>-3351.6795618852702</v>
      </c>
      <c r="AD756" s="125">
        <f>AD29*AD753/(AD753+AD923)</f>
        <v>-4823.3031530235512</v>
      </c>
      <c r="AE756" s="125">
        <f>AE29*AE753/(AE753+AE923)</f>
        <v>-4980.1053158801369</v>
      </c>
      <c r="AF756" s="125">
        <f>AF29*AF753/(AF753+AF923)</f>
        <v>-4083.1936568124897</v>
      </c>
      <c r="AG756" s="125">
        <f>SUM(AC756:AF756)</f>
        <v>-17238.281687601448</v>
      </c>
      <c r="AH756" s="107">
        <f>AH29*AH753/(AH753+AH923+AH1007)</f>
        <v>-6652.4929648714069</v>
      </c>
      <c r="AI756" s="107">
        <f>AI29*AI753/(AI753+AI923+AI1007)</f>
        <v>-8889.5814492667523</v>
      </c>
      <c r="AJ756" s="107">
        <f>AJ29*AJ753/(AJ753+AJ923+AJ1007)</f>
        <v>-9784.9647693438292</v>
      </c>
      <c r="AK756" s="107">
        <f>AK29*AK753/(AK753+AK923+AK1007)</f>
        <v>-9237.3610247337801</v>
      </c>
      <c r="AL756" s="107">
        <f>SUM(AH756:AK756)</f>
        <v>-34564.400208215768</v>
      </c>
      <c r="AM756" s="107">
        <f>AM29*AM753/(AM753+AM923+AM1007)</f>
        <v>-9828.1654407725528</v>
      </c>
      <c r="AN756" s="201"/>
      <c r="AO756" s="201"/>
      <c r="AP756" s="42"/>
    </row>
    <row r="757" spans="1:71">
      <c r="A757" s="1" t="s">
        <v>401</v>
      </c>
      <c r="M757" s="38">
        <f>M756/M$102</f>
        <v>-70.187592784200817</v>
      </c>
      <c r="N757" s="38">
        <f>N756/N$102</f>
        <v>-46.279091159966889</v>
      </c>
      <c r="O757" s="38">
        <f>O756/O$102</f>
        <v>-59.883460331689825</v>
      </c>
      <c r="P757" s="38">
        <f>P756/P$102</f>
        <v>-63.883718869095098</v>
      </c>
      <c r="Q757" s="38">
        <f>Q756/Q$102</f>
        <v>-128.75248958899149</v>
      </c>
      <c r="R757" s="38">
        <f>SUM(N757:Q757)</f>
        <v>-298.79875994974327</v>
      </c>
      <c r="S757" s="38">
        <f>S756/S$102</f>
        <v>-15.163636363636364</v>
      </c>
      <c r="T757" s="38">
        <f>T756/T$102</f>
        <v>-65.181058495821731</v>
      </c>
      <c r="U757" s="38">
        <f>U756/U$102</f>
        <v>-69.122774821068077</v>
      </c>
      <c r="V757" s="38">
        <f>V756/V$102</f>
        <v>-57.114081670023808</v>
      </c>
      <c r="W757" s="38">
        <f>SUM(S757:V757)</f>
        <v>-206.58155135054997</v>
      </c>
      <c r="X757" s="38">
        <f>X756/X$102</f>
        <v>-42.69537776127715</v>
      </c>
      <c r="Y757" s="38">
        <f>Y756/Y$102</f>
        <v>-15.375897242160937</v>
      </c>
      <c r="Z757" s="38">
        <f>Z756/Z$102</f>
        <v>-13.460986117759694</v>
      </c>
      <c r="AA757" s="38">
        <f>AA756/AA$102</f>
        <v>-26.214231927710845</v>
      </c>
      <c r="AB757" s="38">
        <f>SUM(X757:AA757)</f>
        <v>-97.746493048908619</v>
      </c>
      <c r="AC757" s="38">
        <f>AC756/AC$102</f>
        <v>-30.469814198957003</v>
      </c>
      <c r="AD757" s="38">
        <f>AD756/AD$102</f>
        <v>-43.661656133099946</v>
      </c>
      <c r="AE757" s="38">
        <f>AE756/AE$102</f>
        <v>-43.83895524542374</v>
      </c>
      <c r="AF757" s="38">
        <f>AF756/AF$102</f>
        <v>-34.869288273377371</v>
      </c>
      <c r="AG757" s="38">
        <f>SUM(AC757:AF757)</f>
        <v>-152.83971385085806</v>
      </c>
      <c r="AH757" s="38">
        <f>AH756/AH$102</f>
        <v>-51.553727254118158</v>
      </c>
      <c r="AI757" s="38">
        <f>AI756/AI$102</f>
        <v>-64.101394932699392</v>
      </c>
      <c r="AJ757" s="38">
        <f>AJ756/AJ$102</f>
        <v>-69.31825424584747</v>
      </c>
      <c r="AK757" s="38">
        <f>AK756/AK$102</f>
        <v>-69.318332768526048</v>
      </c>
      <c r="AL757" s="38">
        <f>SUM(AH757:AK757)</f>
        <v>-254.29170920119105</v>
      </c>
      <c r="AM757" s="38">
        <f>AM756/AM$102</f>
        <v>-71.161866923268065</v>
      </c>
      <c r="AN757" s="38"/>
      <c r="AO757" s="38"/>
    </row>
    <row r="758" spans="1:71">
      <c r="AH758" s="98" t="s">
        <v>639</v>
      </c>
      <c r="AI758" s="71"/>
      <c r="AJ758" s="71"/>
      <c r="AK758" s="71"/>
      <c r="AL758" s="71"/>
      <c r="AM758" s="71"/>
    </row>
    <row r="759" spans="1:71">
      <c r="A759" s="1" t="s">
        <v>402</v>
      </c>
      <c r="M759" s="16">
        <f>-M757/AVERAGE(J754:L754)</f>
        <v>2.0727715070524986E-2</v>
      </c>
      <c r="N759" s="16">
        <f>-4*N757/AVERAGE(M754:N754)</f>
        <v>3.6103164062165113E-2</v>
      </c>
      <c r="O759" s="16">
        <f>-4*O757/AVERAGE(N754:O754)</f>
        <v>4.2917145458667073E-2</v>
      </c>
      <c r="P759" s="16">
        <f>-4*P757/AVERAGE(O754:P754)</f>
        <v>4.5352650029806388E-2</v>
      </c>
      <c r="Q759" s="16">
        <f>-4*Q757/AVERAGE(P754:Q754)</f>
        <v>0.17169285401322956</v>
      </c>
      <c r="R759" s="16">
        <f>-R757/AVERAGE(M754:Q754)</f>
        <v>6.8365148337578091E-2</v>
      </c>
      <c r="S759" s="16">
        <f>-4*S757/AVERAGE(R754:S754)</f>
        <v>8.0256424885438798E-2</v>
      </c>
      <c r="T759" s="16">
        <f>-4*T757/AVERAGE(S754:T754)</f>
        <v>7.484199510694961E-2</v>
      </c>
      <c r="U759" s="16">
        <f>-4*U757/AVERAGE(T754:U754)</f>
        <v>4.470759269793128E-2</v>
      </c>
      <c r="V759" s="16">
        <f>-4*V757/AVERAGE(U754:V754)</f>
        <v>3.8308611853708492E-2</v>
      </c>
      <c r="W759" s="16">
        <f>-W757/AVERAGE(R754:V754)</f>
        <v>5.3730185896554129E-2</v>
      </c>
      <c r="X759" s="16">
        <f>-4*X757/AVERAGE(W754:X754)</f>
        <v>5.008230333188738E-2</v>
      </c>
      <c r="Y759" s="16">
        <f>-4*Y757/AVERAGE(X754:Y754)</f>
        <v>4.1638954389976515E-2</v>
      </c>
      <c r="Z759" s="16">
        <f>-4*Z757/AVERAGE(Y754:Z754)</f>
        <v>2.6970029417742746E-2</v>
      </c>
      <c r="AA759" s="16">
        <f>-4*AA757/AVERAGE(Z754:AA754)</f>
        <v>3.2126726330983429E-2</v>
      </c>
      <c r="AB759" s="16">
        <f>-AB757/AVERAGE(W754:AA754)</f>
        <v>3.296580957662517E-2</v>
      </c>
      <c r="AC759" s="16">
        <f>-4*AC757/AVERAGE(AB754:AC754)</f>
        <v>3.0362784856162544E-2</v>
      </c>
      <c r="AD759" s="16">
        <f>-4*AD757/AVERAGE(AC754:AD754)</f>
        <v>3.3564204635613042E-2</v>
      </c>
      <c r="AE759" s="16">
        <f>-4*AE757/AVERAGE(AD754:AE754)</f>
        <v>2.879902075312768E-2</v>
      </c>
      <c r="AF759" s="16">
        <f>-4*AF757/AVERAGE(AE754:AF754)</f>
        <v>3.2677647234486469E-2</v>
      </c>
      <c r="AG759" s="16">
        <f>-AG757/AVERAGE(AB754:AF754)</f>
        <v>3.3290006147925266E-2</v>
      </c>
      <c r="AH759" s="16">
        <f>-4*AH757/AVERAGE(AG754:AH754)</f>
        <v>5.7150896009152206E-2</v>
      </c>
      <c r="AI759" s="16">
        <f>-4*AI757/AVERAGE(AH754:AI754)</f>
        <v>5.745645753492485E-2</v>
      </c>
      <c r="AJ759" s="16">
        <f>-4*AJ757/AVERAGE(AI754:AJ754)</f>
        <v>6.4188396448235624E-2</v>
      </c>
      <c r="AK759" s="16">
        <f>-4*AK757/AVERAGE(AJ754:AK754)</f>
        <v>6.6652627729031438E-2</v>
      </c>
      <c r="AL759" s="16">
        <f>-AL757/AVERAGE(AG754:AK754)</f>
        <v>6.3589272157286589E-2</v>
      </c>
      <c r="AM759" s="16">
        <f>-4*AM757/AVERAGE(AL754:AM754)</f>
        <v>6.9320330886315132E-2</v>
      </c>
    </row>
    <row r="761" spans="1:71">
      <c r="A761" s="79" t="s">
        <v>395</v>
      </c>
      <c r="T761" s="55">
        <v>4100</v>
      </c>
      <c r="U761" s="80"/>
      <c r="V761" s="80"/>
      <c r="W761" s="55">
        <v>3400</v>
      </c>
      <c r="Z761" s="98" t="s">
        <v>537</v>
      </c>
      <c r="AA761" s="71"/>
      <c r="AB761" s="71"/>
      <c r="AC761" s="71"/>
      <c r="AD761" s="71"/>
    </row>
    <row r="762" spans="1:71">
      <c r="A762" s="82" t="s">
        <v>396</v>
      </c>
      <c r="J762" s="117">
        <v>0.04</v>
      </c>
      <c r="K762" s="117">
        <v>0.04</v>
      </c>
      <c r="L762" s="117">
        <v>0.04</v>
      </c>
      <c r="M762" s="117">
        <v>0.04</v>
      </c>
      <c r="N762" s="117">
        <v>0.04</v>
      </c>
      <c r="O762" s="117">
        <v>0.04</v>
      </c>
      <c r="P762" s="117">
        <v>0.04</v>
      </c>
      <c r="Q762" s="117">
        <v>0.04</v>
      </c>
      <c r="R762" s="117">
        <v>0.04</v>
      </c>
      <c r="S762" s="117">
        <v>0.04</v>
      </c>
      <c r="T762" s="117">
        <v>0.04</v>
      </c>
      <c r="U762" s="117">
        <v>0.04</v>
      </c>
      <c r="V762" s="117">
        <v>0.04</v>
      </c>
      <c r="W762" s="117">
        <v>0.04</v>
      </c>
      <c r="X762" s="117">
        <v>0.04</v>
      </c>
      <c r="Y762" s="117">
        <v>0.04</v>
      </c>
      <c r="Z762" s="106">
        <v>0.03</v>
      </c>
      <c r="AA762" s="106">
        <v>0.03</v>
      </c>
      <c r="AB762" s="106">
        <v>0.03</v>
      </c>
      <c r="AC762" s="106">
        <v>0.03</v>
      </c>
      <c r="AD762" s="209">
        <v>3.5000000000000003E-2</v>
      </c>
      <c r="AE762" s="145">
        <v>3.5000000000000003E-2</v>
      </c>
      <c r="AF762" s="145">
        <v>3.5000000000000003E-2</v>
      </c>
      <c r="AG762" s="145">
        <v>3.5000000000000003E-2</v>
      </c>
      <c r="AH762" s="209">
        <v>0.05</v>
      </c>
      <c r="AI762" s="145">
        <v>5.5E-2</v>
      </c>
      <c r="AJ762" s="145">
        <v>0.06</v>
      </c>
      <c r="AK762" s="145">
        <v>6.5000000000000002E-2</v>
      </c>
      <c r="AL762" s="145">
        <v>6.5000000000000002E-2</v>
      </c>
      <c r="AM762" s="145">
        <v>7.0000000000000007E-2</v>
      </c>
    </row>
    <row r="764" spans="1:71">
      <c r="A764" s="102" t="s">
        <v>398</v>
      </c>
      <c r="J764" s="21">
        <f t="shared" ref="J764:AO764" si="2482">J561/(J567+J754)</f>
        <v>0.26197717526945047</v>
      </c>
      <c r="K764" s="21">
        <f t="shared" si="2482"/>
        <v>0.28958438865285019</v>
      </c>
      <c r="L764" s="21">
        <f t="shared" si="2482"/>
        <v>0.28844815239149196</v>
      </c>
      <c r="M764" s="21">
        <f t="shared" si="2482"/>
        <v>0.28844815239149196</v>
      </c>
      <c r="N764" s="21">
        <f t="shared" si="2482"/>
        <v>0.27144040983936285</v>
      </c>
      <c r="O764" s="21">
        <f t="shared" si="2482"/>
        <v>0.25472992628868779</v>
      </c>
      <c r="P764" s="21">
        <f t="shared" si="2482"/>
        <v>0.30167231530973754</v>
      </c>
      <c r="Q764" s="21">
        <f t="shared" si="2482"/>
        <v>0.28136662420786718</v>
      </c>
      <c r="R764" s="21">
        <f t="shared" si="2482"/>
        <v>0.28136662815643632</v>
      </c>
      <c r="S764" s="21">
        <f t="shared" si="2482"/>
        <v>0.26233095359178127</v>
      </c>
      <c r="T764" s="21">
        <f t="shared" si="2482"/>
        <v>0.29043877231848247</v>
      </c>
      <c r="U764" s="21">
        <f t="shared" si="2482"/>
        <v>0.29117939696278777</v>
      </c>
      <c r="V764" s="21">
        <f t="shared" si="2482"/>
        <v>0.35333849674189083</v>
      </c>
      <c r="W764" s="21">
        <f t="shared" si="2482"/>
        <v>0.35333849998853617</v>
      </c>
      <c r="X764" s="21">
        <f t="shared" si="2482"/>
        <v>0.39212820229733858</v>
      </c>
      <c r="Y764" s="21">
        <f t="shared" si="2482"/>
        <v>0.35117475194631614</v>
      </c>
      <c r="Z764" s="21">
        <f t="shared" si="2482"/>
        <v>0.28336949873132633</v>
      </c>
      <c r="AA764" s="21">
        <f t="shared" si="2482"/>
        <v>0.17005996411655486</v>
      </c>
      <c r="AB764" s="21">
        <f t="shared" si="2482"/>
        <v>0.17005996351395866</v>
      </c>
      <c r="AC764" s="21">
        <f t="shared" si="2482"/>
        <v>0.16195673432118671</v>
      </c>
      <c r="AD764" s="21">
        <f t="shared" si="2482"/>
        <v>0.17007017242108172</v>
      </c>
      <c r="AE764" s="21">
        <f t="shared" si="2482"/>
        <v>0.17332162103066942</v>
      </c>
      <c r="AF764" s="21">
        <f t="shared" si="2482"/>
        <v>0.22689860890531752</v>
      </c>
      <c r="AG764" s="21">
        <f t="shared" si="2482"/>
        <v>0.22689860890531752</v>
      </c>
      <c r="AH764" s="21">
        <f t="shared" si="2482"/>
        <v>0.25423200160866494</v>
      </c>
      <c r="AI764" s="21">
        <f t="shared" si="2482"/>
        <v>0.27305055729000732</v>
      </c>
      <c r="AJ764" s="21">
        <f t="shared" si="2482"/>
        <v>0.2865483545380989</v>
      </c>
      <c r="AK764" s="21">
        <f t="shared" si="2482"/>
        <v>0.28885177612396046</v>
      </c>
      <c r="AL764" s="21">
        <f t="shared" si="2482"/>
        <v>0.28885178444252518</v>
      </c>
      <c r="AM764" s="21">
        <f t="shared" si="2482"/>
        <v>0.27970789123453543</v>
      </c>
      <c r="AN764" s="21">
        <f t="shared" si="2482"/>
        <v>0.39290138952776044</v>
      </c>
      <c r="AO764" s="21">
        <f t="shared" si="2482"/>
        <v>0.35435776020927023</v>
      </c>
      <c r="AP764" s="21">
        <f t="shared" ref="AP764:BR764" si="2483">AP561/(AP567+AP754)</f>
        <v>0.33396218445748949</v>
      </c>
      <c r="AQ764" s="21">
        <f t="shared" si="2483"/>
        <v>0.33358476190476188</v>
      </c>
      <c r="AR764" s="21">
        <f t="shared" si="2483"/>
        <v>0.29877849502071424</v>
      </c>
      <c r="AS764" s="21">
        <f t="shared" si="2483"/>
        <v>0.1813832941343658</v>
      </c>
      <c r="AT764" s="21">
        <f t="shared" si="2483"/>
        <v>0.17204334163686075</v>
      </c>
      <c r="AU764" s="21">
        <f t="shared" si="2483"/>
        <v>0.11373190034530438</v>
      </c>
      <c r="AV764" s="21">
        <f t="shared" si="2483"/>
        <v>0.11373190034530441</v>
      </c>
      <c r="AW764" s="21">
        <f t="shared" si="2483"/>
        <v>9.4364700424864875E-2</v>
      </c>
      <c r="AX764" s="21">
        <f t="shared" si="2483"/>
        <v>8.4250473363330122E-2</v>
      </c>
      <c r="AY764" s="21">
        <f t="shared" ref="AY764" si="2484">AY561/(AY567+AY754)</f>
        <v>8.6371748981565605E-2</v>
      </c>
      <c r="AZ764" s="21">
        <f t="shared" si="2483"/>
        <v>9.0679735106288017E-2</v>
      </c>
      <c r="BA764" s="21">
        <f t="shared" si="2483"/>
        <v>9.0720298138019476E-2</v>
      </c>
      <c r="BB764" s="21">
        <f t="shared" si="2483"/>
        <v>8.8750232337789114E-2</v>
      </c>
      <c r="BC764" s="21">
        <f t="shared" si="2483"/>
        <v>8.7531192530202001E-2</v>
      </c>
      <c r="BD764" s="21">
        <f t="shared" si="2483"/>
        <v>8.5105205127978686E-2</v>
      </c>
      <c r="BE764" s="21">
        <f t="shared" si="2483"/>
        <v>8.3121687205888029E-2</v>
      </c>
      <c r="BF764" s="21">
        <f t="shared" si="2483"/>
        <v>8.3121687205888015E-2</v>
      </c>
      <c r="BG764" s="21">
        <f t="shared" si="2483"/>
        <v>8.1137618933288871E-2</v>
      </c>
      <c r="BH764" s="21">
        <f t="shared" si="2483"/>
        <v>7.7883069777198402E-2</v>
      </c>
      <c r="BI764" s="21">
        <f t="shared" si="2483"/>
        <v>7.3137433295015042E-2</v>
      </c>
      <c r="BJ764" s="21">
        <f t="shared" si="2483"/>
        <v>0</v>
      </c>
      <c r="BK764" s="21">
        <f t="shared" si="2483"/>
        <v>0</v>
      </c>
      <c r="BL764" s="21">
        <f t="shared" si="2483"/>
        <v>0</v>
      </c>
      <c r="BM764" s="21">
        <f t="shared" si="2483"/>
        <v>0</v>
      </c>
      <c r="BN764" s="21">
        <f t="shared" si="2483"/>
        <v>0</v>
      </c>
      <c r="BO764" s="21">
        <f t="shared" si="2483"/>
        <v>0</v>
      </c>
      <c r="BP764" s="21">
        <f t="shared" si="2483"/>
        <v>0</v>
      </c>
      <c r="BQ764" s="21">
        <f t="shared" si="2483"/>
        <v>0</v>
      </c>
      <c r="BR764" s="21">
        <f t="shared" si="2483"/>
        <v>0</v>
      </c>
      <c r="BS764" s="21"/>
    </row>
    <row r="765" spans="1:71">
      <c r="A765" s="118" t="s">
        <v>399</v>
      </c>
      <c r="J765" s="21">
        <f t="shared" ref="J765:AO765" si="2485">(J754)/(J567+J754)</f>
        <v>9.6968355866037872E-2</v>
      </c>
      <c r="K765" s="21">
        <f t="shared" si="2485"/>
        <v>9.9645890306207033E-2</v>
      </c>
      <c r="L765" s="21">
        <f t="shared" si="2485"/>
        <v>0.12413775410957695</v>
      </c>
      <c r="M765" s="21">
        <f t="shared" si="2485"/>
        <v>0.12413775410957695</v>
      </c>
      <c r="N765" s="21">
        <f t="shared" si="2485"/>
        <v>0.12889412017196167</v>
      </c>
      <c r="O765" s="21">
        <f t="shared" si="2485"/>
        <v>0.12067246792654773</v>
      </c>
      <c r="P765" s="21">
        <f t="shared" si="2485"/>
        <v>8.5944039012175524E-2</v>
      </c>
      <c r="Q765" s="21">
        <f t="shared" si="2485"/>
        <v>4.5366987431566825E-3</v>
      </c>
      <c r="R765" s="21">
        <f t="shared" si="2485"/>
        <v>4.5366987431566825E-3</v>
      </c>
      <c r="S765" s="21">
        <f t="shared" si="2485"/>
        <v>1.4175964880190231E-2</v>
      </c>
      <c r="T765" s="21">
        <f t="shared" si="2485"/>
        <v>6.9380378271134538E-2</v>
      </c>
      <c r="U765" s="21">
        <f t="shared" si="2485"/>
        <v>7.621312901493979E-2</v>
      </c>
      <c r="V765" s="21">
        <f t="shared" si="2485"/>
        <v>7.1301506318391203E-2</v>
      </c>
      <c r="W765" s="21">
        <f t="shared" si="2485"/>
        <v>7.1301506318391203E-2</v>
      </c>
      <c r="X765" s="21">
        <f t="shared" si="2485"/>
        <v>2.0231779226966753E-2</v>
      </c>
      <c r="Y765" s="21">
        <f t="shared" si="2485"/>
        <v>1.8974544448301225E-2</v>
      </c>
      <c r="Z765" s="21">
        <f t="shared" si="2485"/>
        <v>2.7186660374101296E-2</v>
      </c>
      <c r="AA765" s="21">
        <f t="shared" si="2485"/>
        <v>3.2174219254049639E-2</v>
      </c>
      <c r="AB765" s="21">
        <f t="shared" si="2485"/>
        <v>3.2174219254049639E-2</v>
      </c>
      <c r="AC765" s="21">
        <f t="shared" si="2485"/>
        <v>3.2354269609028562E-2</v>
      </c>
      <c r="AD765" s="21">
        <f t="shared" si="2485"/>
        <v>5.7581645899676688E-2</v>
      </c>
      <c r="AE765" s="21">
        <f t="shared" si="2485"/>
        <v>5.3887922215324353E-2</v>
      </c>
      <c r="AF765" s="21">
        <f t="shared" si="2485"/>
        <v>3.3800909144871702E-2</v>
      </c>
      <c r="AG765" s="21">
        <f t="shared" si="2485"/>
        <v>3.3800909144871702E-2</v>
      </c>
      <c r="AH765" s="21">
        <f t="shared" si="2485"/>
        <v>6.3120166146837478E-2</v>
      </c>
      <c r="AI765" s="21">
        <f t="shared" si="2485"/>
        <v>6.8529207873342268E-2</v>
      </c>
      <c r="AJ765" s="21">
        <f t="shared" si="2485"/>
        <v>6.8787170056853572E-2</v>
      </c>
      <c r="AK765" s="21">
        <f t="shared" si="2485"/>
        <v>6.8938561618000133E-2</v>
      </c>
      <c r="AL765" s="21">
        <f t="shared" si="2485"/>
        <v>6.8938561618000133E-2</v>
      </c>
      <c r="AM765" s="21">
        <f t="shared" si="2485"/>
        <v>6.7472000239445509E-2</v>
      </c>
      <c r="AN765" s="21">
        <f t="shared" si="2485"/>
        <v>0</v>
      </c>
      <c r="AO765" s="21">
        <f t="shared" si="2485"/>
        <v>0</v>
      </c>
      <c r="AP765" s="21">
        <f t="shared" ref="AP765:BR765" si="2486">(AP754)/(AP567+AP754)</f>
        <v>0</v>
      </c>
      <c r="AQ765" s="21">
        <f t="shared" si="2486"/>
        <v>0</v>
      </c>
      <c r="AR765" s="21">
        <f t="shared" si="2486"/>
        <v>0</v>
      </c>
      <c r="AS765" s="21">
        <f t="shared" si="2486"/>
        <v>0</v>
      </c>
      <c r="AT765" s="21">
        <f t="shared" si="2486"/>
        <v>0</v>
      </c>
      <c r="AU765" s="21">
        <f t="shared" si="2486"/>
        <v>0</v>
      </c>
      <c r="AV765" s="21">
        <f t="shared" si="2486"/>
        <v>0</v>
      </c>
      <c r="AW765" s="21">
        <f t="shared" si="2486"/>
        <v>0</v>
      </c>
      <c r="AX765" s="21">
        <f t="shared" si="2486"/>
        <v>0</v>
      </c>
      <c r="AY765" s="21">
        <f t="shared" ref="AY765" si="2487">(AY754)/(AY567+AY754)</f>
        <v>0</v>
      </c>
      <c r="AZ765" s="21">
        <f t="shared" si="2486"/>
        <v>0</v>
      </c>
      <c r="BA765" s="21">
        <f t="shared" si="2486"/>
        <v>0</v>
      </c>
      <c r="BB765" s="21">
        <f t="shared" si="2486"/>
        <v>0</v>
      </c>
      <c r="BC765" s="21">
        <f t="shared" si="2486"/>
        <v>0</v>
      </c>
      <c r="BD765" s="21">
        <f t="shared" si="2486"/>
        <v>0</v>
      </c>
      <c r="BE765" s="21">
        <f t="shared" si="2486"/>
        <v>0</v>
      </c>
      <c r="BF765" s="21">
        <f t="shared" si="2486"/>
        <v>0</v>
      </c>
      <c r="BG765" s="21">
        <f t="shared" si="2486"/>
        <v>0</v>
      </c>
      <c r="BH765" s="21">
        <f t="shared" si="2486"/>
        <v>0</v>
      </c>
      <c r="BI765" s="21">
        <f t="shared" si="2486"/>
        <v>0</v>
      </c>
      <c r="BJ765" s="21">
        <f t="shared" si="2486"/>
        <v>0</v>
      </c>
      <c r="BK765" s="21">
        <f t="shared" si="2486"/>
        <v>0</v>
      </c>
      <c r="BL765" s="21">
        <f t="shared" si="2486"/>
        <v>0</v>
      </c>
      <c r="BM765" s="21">
        <f t="shared" si="2486"/>
        <v>0</v>
      </c>
      <c r="BN765" s="21">
        <f t="shared" si="2486"/>
        <v>0</v>
      </c>
      <c r="BO765" s="21">
        <f t="shared" si="2486"/>
        <v>0</v>
      </c>
      <c r="BP765" s="21">
        <f t="shared" si="2486"/>
        <v>0</v>
      </c>
      <c r="BQ765" s="21">
        <f t="shared" si="2486"/>
        <v>0</v>
      </c>
      <c r="BR765" s="21">
        <f t="shared" si="2486"/>
        <v>0</v>
      </c>
      <c r="BS765" s="21"/>
    </row>
    <row r="766" spans="1:71">
      <c r="A766" s="1" t="s">
        <v>397</v>
      </c>
      <c r="J766" s="104">
        <f t="shared" ref="J766:AO766" si="2488">(J561+J754)/(J567+J754)</f>
        <v>0.35894553113548833</v>
      </c>
      <c r="K766" s="104">
        <f t="shared" si="2488"/>
        <v>0.38923027895905721</v>
      </c>
      <c r="L766" s="104">
        <f t="shared" si="2488"/>
        <v>0.41258590650106891</v>
      </c>
      <c r="M766" s="104">
        <f t="shared" si="2488"/>
        <v>0.41258590650106891</v>
      </c>
      <c r="N766" s="104">
        <f t="shared" si="2488"/>
        <v>0.40033453001132446</v>
      </c>
      <c r="O766" s="104">
        <f t="shared" si="2488"/>
        <v>0.37540239421523552</v>
      </c>
      <c r="P766" s="104">
        <f t="shared" si="2488"/>
        <v>0.3876163543219131</v>
      </c>
      <c r="Q766" s="104">
        <f t="shared" si="2488"/>
        <v>0.28590332295102383</v>
      </c>
      <c r="R766" s="104">
        <f t="shared" si="2488"/>
        <v>0.28590332689959297</v>
      </c>
      <c r="S766" s="104">
        <f t="shared" si="2488"/>
        <v>0.27650691847197151</v>
      </c>
      <c r="T766" s="104">
        <f t="shared" si="2488"/>
        <v>0.359819150589617</v>
      </c>
      <c r="U766" s="104">
        <f t="shared" si="2488"/>
        <v>0.36739252597772759</v>
      </c>
      <c r="V766" s="104">
        <f t="shared" si="2488"/>
        <v>0.42464000306028205</v>
      </c>
      <c r="W766" s="104">
        <f t="shared" si="2488"/>
        <v>0.42464000630692733</v>
      </c>
      <c r="X766" s="104">
        <f t="shared" si="2488"/>
        <v>0.41235998152430536</v>
      </c>
      <c r="Y766" s="104">
        <f t="shared" si="2488"/>
        <v>0.37014929639461736</v>
      </c>
      <c r="Z766" s="104">
        <f t="shared" si="2488"/>
        <v>0.31055615910542761</v>
      </c>
      <c r="AA766" s="104">
        <f t="shared" si="2488"/>
        <v>0.2022341833706045</v>
      </c>
      <c r="AB766" s="104">
        <f t="shared" si="2488"/>
        <v>0.20223418276800831</v>
      </c>
      <c r="AC766" s="104">
        <f t="shared" si="2488"/>
        <v>0.19431100393021525</v>
      </c>
      <c r="AD766" s="104">
        <f t="shared" si="2488"/>
        <v>0.2276518183207584</v>
      </c>
      <c r="AE766" s="104">
        <f t="shared" si="2488"/>
        <v>0.22720954324599374</v>
      </c>
      <c r="AF766" s="104">
        <f t="shared" si="2488"/>
        <v>0.26069951805018921</v>
      </c>
      <c r="AG766" s="104">
        <f t="shared" si="2488"/>
        <v>0.26069951805018921</v>
      </c>
      <c r="AH766" s="104">
        <f t="shared" si="2488"/>
        <v>0.3173521677555024</v>
      </c>
      <c r="AI766" s="104">
        <f t="shared" si="2488"/>
        <v>0.34157976516334959</v>
      </c>
      <c r="AJ766" s="104">
        <f t="shared" si="2488"/>
        <v>0.35533552459495249</v>
      </c>
      <c r="AK766" s="104">
        <f t="shared" si="2488"/>
        <v>0.35779033774196062</v>
      </c>
      <c r="AL766" s="104">
        <f t="shared" si="2488"/>
        <v>0.35779034606052534</v>
      </c>
      <c r="AM766" s="104">
        <f t="shared" si="2488"/>
        <v>0.34717989147398093</v>
      </c>
      <c r="AN766" s="104">
        <f t="shared" si="2488"/>
        <v>0.39290138952776044</v>
      </c>
      <c r="AO766" s="104">
        <f t="shared" si="2488"/>
        <v>0.35435776020927023</v>
      </c>
      <c r="AP766" s="104">
        <f t="shared" ref="AP766:BR766" si="2489">(AP561+AP754)/(AP567+AP754)</f>
        <v>0.33396218445748949</v>
      </c>
      <c r="AQ766" s="104">
        <f t="shared" si="2489"/>
        <v>0.33358476190476188</v>
      </c>
      <c r="AR766" s="104">
        <f t="shared" si="2489"/>
        <v>0.29877849502071424</v>
      </c>
      <c r="AS766" s="104">
        <f t="shared" si="2489"/>
        <v>0.1813832941343658</v>
      </c>
      <c r="AT766" s="104">
        <f t="shared" si="2489"/>
        <v>0.17204334163686075</v>
      </c>
      <c r="AU766" s="104">
        <f t="shared" si="2489"/>
        <v>0.11373190034530438</v>
      </c>
      <c r="AV766" s="104">
        <f t="shared" si="2489"/>
        <v>0.11373190034530441</v>
      </c>
      <c r="AW766" s="104">
        <f t="shared" si="2489"/>
        <v>9.4364700424864875E-2</v>
      </c>
      <c r="AX766" s="104">
        <f t="shared" si="2489"/>
        <v>8.4250473363330122E-2</v>
      </c>
      <c r="AY766" s="104">
        <f t="shared" ref="AY766" si="2490">(AY561+AY754)/(AY567+AY754)</f>
        <v>8.6371748981565605E-2</v>
      </c>
      <c r="AZ766" s="104">
        <f t="shared" si="2489"/>
        <v>9.0679735106288017E-2</v>
      </c>
      <c r="BA766" s="104">
        <f t="shared" si="2489"/>
        <v>9.0720298138019476E-2</v>
      </c>
      <c r="BB766" s="104">
        <f t="shared" si="2489"/>
        <v>8.8750232337789114E-2</v>
      </c>
      <c r="BC766" s="104">
        <f t="shared" si="2489"/>
        <v>8.7531192530202001E-2</v>
      </c>
      <c r="BD766" s="104">
        <f t="shared" si="2489"/>
        <v>8.5105205127978686E-2</v>
      </c>
      <c r="BE766" s="104">
        <f t="shared" si="2489"/>
        <v>8.3121687205888029E-2</v>
      </c>
      <c r="BF766" s="104">
        <f t="shared" si="2489"/>
        <v>8.3121687205888015E-2</v>
      </c>
      <c r="BG766" s="104">
        <f t="shared" si="2489"/>
        <v>8.1137618933288871E-2</v>
      </c>
      <c r="BH766" s="104">
        <f t="shared" si="2489"/>
        <v>7.7883069777198402E-2</v>
      </c>
      <c r="BI766" s="104">
        <f t="shared" si="2489"/>
        <v>7.3137433295015042E-2</v>
      </c>
      <c r="BJ766" s="104">
        <f t="shared" si="2489"/>
        <v>0</v>
      </c>
      <c r="BK766" s="104">
        <f t="shared" si="2489"/>
        <v>0</v>
      </c>
      <c r="BL766" s="104">
        <f t="shared" si="2489"/>
        <v>0</v>
      </c>
      <c r="BM766" s="104">
        <f t="shared" si="2489"/>
        <v>0</v>
      </c>
      <c r="BN766" s="104">
        <f t="shared" si="2489"/>
        <v>0</v>
      </c>
      <c r="BO766" s="104">
        <f t="shared" si="2489"/>
        <v>0</v>
      </c>
      <c r="BP766" s="104">
        <f t="shared" si="2489"/>
        <v>0</v>
      </c>
      <c r="BQ766" s="104">
        <f t="shared" si="2489"/>
        <v>0</v>
      </c>
      <c r="BR766" s="104">
        <f t="shared" si="2489"/>
        <v>0</v>
      </c>
      <c r="BS766" s="104"/>
    </row>
    <row r="767" spans="1:71">
      <c r="A767" s="1" t="s">
        <v>361</v>
      </c>
      <c r="J767" s="104">
        <f t="shared" ref="J767:T767" si="2491">1-J766</f>
        <v>0.64105446886451167</v>
      </c>
      <c r="K767" s="104">
        <f t="shared" si="2491"/>
        <v>0.61076972104094285</v>
      </c>
      <c r="L767" s="104">
        <f t="shared" si="2491"/>
        <v>0.58741409349893114</v>
      </c>
      <c r="M767" s="104">
        <f t="shared" si="2491"/>
        <v>0.58741409349893114</v>
      </c>
      <c r="N767" s="104">
        <f t="shared" si="2491"/>
        <v>0.59966546998867554</v>
      </c>
      <c r="O767" s="104">
        <f t="shared" si="2491"/>
        <v>0.62459760578476442</v>
      </c>
      <c r="P767" s="104">
        <f t="shared" si="2491"/>
        <v>0.6123836456780869</v>
      </c>
      <c r="Q767" s="104">
        <f t="shared" si="2491"/>
        <v>0.71409667704897617</v>
      </c>
      <c r="R767" s="104">
        <f t="shared" si="2491"/>
        <v>0.71409667310040703</v>
      </c>
      <c r="S767" s="104">
        <f t="shared" si="2491"/>
        <v>0.72349308152802849</v>
      </c>
      <c r="T767" s="104">
        <f t="shared" si="2491"/>
        <v>0.640180849410383</v>
      </c>
      <c r="U767" s="104">
        <f t="shared" ref="U767:X767" si="2492">1-U766</f>
        <v>0.63260747402227246</v>
      </c>
      <c r="V767" s="104">
        <f t="shared" si="2492"/>
        <v>0.57535999693971795</v>
      </c>
      <c r="W767" s="104">
        <f t="shared" si="2492"/>
        <v>0.57535999369307267</v>
      </c>
      <c r="X767" s="104">
        <f t="shared" si="2492"/>
        <v>0.58764001847569469</v>
      </c>
      <c r="Y767" s="104">
        <f t="shared" ref="Y767:AC767" si="2493">1-Y766</f>
        <v>0.62985070360538264</v>
      </c>
      <c r="Z767" s="104">
        <f t="shared" si="2493"/>
        <v>0.68944384089457245</v>
      </c>
      <c r="AA767" s="104">
        <f t="shared" si="2493"/>
        <v>0.7977658166293955</v>
      </c>
      <c r="AB767" s="104">
        <f t="shared" si="2493"/>
        <v>0.79776581723199169</v>
      </c>
      <c r="AC767" s="104">
        <f t="shared" si="2493"/>
        <v>0.80568899606978472</v>
      </c>
      <c r="AD767" s="104">
        <f t="shared" ref="AD767" si="2494">1-AD766</f>
        <v>0.77234818167924157</v>
      </c>
      <c r="AE767" s="104">
        <f t="shared" ref="AE767:AH767" si="2495">1-AE766</f>
        <v>0.77279045675400626</v>
      </c>
      <c r="AF767" s="104">
        <f t="shared" si="2495"/>
        <v>0.73930048194981079</v>
      </c>
      <c r="AG767" s="104">
        <f t="shared" si="2495"/>
        <v>0.73930048194981079</v>
      </c>
      <c r="AH767" s="104">
        <f t="shared" si="2495"/>
        <v>0.68264783224449754</v>
      </c>
      <c r="AI767" s="104">
        <f t="shared" ref="AI767:AM767" si="2496">1-AI766</f>
        <v>0.65842023483665035</v>
      </c>
      <c r="AJ767" s="104">
        <f t="shared" si="2496"/>
        <v>0.64466447540504745</v>
      </c>
      <c r="AK767" s="104">
        <f t="shared" si="2496"/>
        <v>0.64220966225803933</v>
      </c>
      <c r="AL767" s="104">
        <f t="shared" si="2496"/>
        <v>0.6422096539394746</v>
      </c>
      <c r="AM767" s="104">
        <f t="shared" si="2496"/>
        <v>0.65282010852601902</v>
      </c>
      <c r="AN767" s="104">
        <f t="shared" ref="AN767:AR767" si="2497">1-AN766</f>
        <v>0.60709861047223956</v>
      </c>
      <c r="AO767" s="104">
        <f t="shared" si="2497"/>
        <v>0.64564223979072977</v>
      </c>
      <c r="AP767" s="104">
        <f t="shared" si="2497"/>
        <v>0.66603781554251051</v>
      </c>
      <c r="AQ767" s="104">
        <f t="shared" si="2497"/>
        <v>0.66641523809523817</v>
      </c>
      <c r="AR767" s="104">
        <f t="shared" si="2497"/>
        <v>0.70122150497928581</v>
      </c>
      <c r="AS767" s="104">
        <f t="shared" ref="AS767:AW767" si="2498">1-AS766</f>
        <v>0.81861670586563418</v>
      </c>
      <c r="AT767" s="104">
        <f t="shared" si="2498"/>
        <v>0.82795665836313925</v>
      </c>
      <c r="AU767" s="104">
        <f t="shared" si="2498"/>
        <v>0.88626809965469566</v>
      </c>
      <c r="AV767" s="104">
        <f t="shared" si="2498"/>
        <v>0.88626809965469555</v>
      </c>
      <c r="AW767" s="104">
        <f t="shared" si="2498"/>
        <v>0.90563529957513511</v>
      </c>
      <c r="AX767" s="104">
        <f t="shared" ref="AX767:BP767" si="2499">1-AX766</f>
        <v>0.91574952663666986</v>
      </c>
      <c r="AY767" s="104">
        <f t="shared" si="2499"/>
        <v>0.91362825101843437</v>
      </c>
      <c r="AZ767" s="104">
        <f t="shared" si="2499"/>
        <v>0.90932026489371198</v>
      </c>
      <c r="BA767" s="104">
        <f t="shared" si="2499"/>
        <v>0.90927970186198048</v>
      </c>
      <c r="BB767" s="104">
        <f t="shared" si="2499"/>
        <v>0.91124976766221089</v>
      </c>
      <c r="BC767" s="104">
        <f t="shared" si="2499"/>
        <v>0.91246880746979797</v>
      </c>
      <c r="BD767" s="104">
        <f t="shared" si="2499"/>
        <v>0.9148947948720213</v>
      </c>
      <c r="BE767" s="104">
        <f t="shared" si="2499"/>
        <v>0.91687831279411203</v>
      </c>
      <c r="BF767" s="104">
        <f t="shared" si="2499"/>
        <v>0.91687831279411203</v>
      </c>
      <c r="BG767" s="104">
        <f t="shared" si="2499"/>
        <v>0.91886238106671114</v>
      </c>
      <c r="BH767" s="104">
        <f t="shared" si="2499"/>
        <v>0.92211693022280161</v>
      </c>
      <c r="BI767" s="104">
        <f t="shared" si="2499"/>
        <v>0.92686256670498501</v>
      </c>
      <c r="BJ767" s="104">
        <f t="shared" si="2499"/>
        <v>1</v>
      </c>
      <c r="BK767" s="104">
        <f t="shared" si="2499"/>
        <v>1</v>
      </c>
      <c r="BL767" s="104">
        <f t="shared" si="2499"/>
        <v>1</v>
      </c>
      <c r="BM767" s="104">
        <f t="shared" si="2499"/>
        <v>1</v>
      </c>
      <c r="BN767" s="104">
        <f t="shared" si="2499"/>
        <v>1</v>
      </c>
      <c r="BO767" s="104">
        <f t="shared" si="2499"/>
        <v>1</v>
      </c>
      <c r="BP767" s="104">
        <f t="shared" si="2499"/>
        <v>1</v>
      </c>
      <c r="BQ767" s="104">
        <f t="shared" ref="BQ767:BR767" si="2500">1-BQ766</f>
        <v>1</v>
      </c>
      <c r="BR767" s="104">
        <f t="shared" si="2500"/>
        <v>1</v>
      </c>
      <c r="BS767" s="104"/>
    </row>
    <row r="768" spans="1:71">
      <c r="A768" s="1" t="s">
        <v>364</v>
      </c>
      <c r="J768" s="103">
        <f t="shared" ref="J768:T768" si="2501">1/J767</f>
        <v>1.5599298477261723</v>
      </c>
      <c r="K768" s="103">
        <f t="shared" si="2501"/>
        <v>1.637278282714616</v>
      </c>
      <c r="L768" s="103">
        <f t="shared" si="2501"/>
        <v>1.7023765876019445</v>
      </c>
      <c r="M768" s="103">
        <f t="shared" si="2501"/>
        <v>1.7023765876019445</v>
      </c>
      <c r="N768" s="103">
        <f t="shared" si="2501"/>
        <v>1.6675964350905257</v>
      </c>
      <c r="O768" s="103">
        <f t="shared" si="2501"/>
        <v>1.6010307928471292</v>
      </c>
      <c r="P768" s="103">
        <f t="shared" si="2501"/>
        <v>1.6329632691165503</v>
      </c>
      <c r="Q768" s="103">
        <f t="shared" si="2501"/>
        <v>1.4003706110670155</v>
      </c>
      <c r="R768" s="103">
        <f t="shared" si="2501"/>
        <v>1.4003706188103091</v>
      </c>
      <c r="S768" s="103">
        <f t="shared" si="2501"/>
        <v>1.3821832240440843</v>
      </c>
      <c r="T768" s="103">
        <f t="shared" si="2501"/>
        <v>1.5620585978493675</v>
      </c>
      <c r="U768" s="103">
        <f t="shared" ref="U768:X768" si="2502">1/U767</f>
        <v>1.5807590663476616</v>
      </c>
      <c r="V768" s="103">
        <f t="shared" si="2502"/>
        <v>1.738042278432459</v>
      </c>
      <c r="W768" s="103">
        <f t="shared" si="2502"/>
        <v>1.7380422882398958</v>
      </c>
      <c r="X768" s="103">
        <f t="shared" si="2502"/>
        <v>1.7017220893055309</v>
      </c>
      <c r="Y768" s="103">
        <f t="shared" ref="Y768:AC768" si="2503">1/Y767</f>
        <v>1.5876778326606829</v>
      </c>
      <c r="Z768" s="103">
        <f t="shared" si="2503"/>
        <v>1.4504444607155709</v>
      </c>
      <c r="AA768" s="103">
        <f t="shared" si="2503"/>
        <v>1.2535006879901862</v>
      </c>
      <c r="AB768" s="103">
        <f t="shared" si="2503"/>
        <v>1.2535006870433485</v>
      </c>
      <c r="AC768" s="103">
        <f t="shared" si="2503"/>
        <v>1.2411737095555231</v>
      </c>
      <c r="AD768" s="103">
        <f t="shared" ref="AD768" si="2504">1/AD767</f>
        <v>1.2947528378014657</v>
      </c>
      <c r="AE768" s="103">
        <f t="shared" ref="AE768:AH768" si="2505">1/AE767</f>
        <v>1.294011838862962</v>
      </c>
      <c r="AF768" s="103">
        <f t="shared" si="2505"/>
        <v>1.3526299852566408</v>
      </c>
      <c r="AG768" s="103">
        <f t="shared" si="2505"/>
        <v>1.3526299852566408</v>
      </c>
      <c r="AH768" s="103">
        <f t="shared" si="2505"/>
        <v>1.464884165400586</v>
      </c>
      <c r="AI768" s="103">
        <f t="shared" ref="AI768:AM768" si="2506">1/AI767</f>
        <v>1.5187868584386586</v>
      </c>
      <c r="AJ768" s="103">
        <f t="shared" si="2506"/>
        <v>1.5511945176933979</v>
      </c>
      <c r="AK768" s="103">
        <f t="shared" si="2506"/>
        <v>1.5571238783358585</v>
      </c>
      <c r="AL768" s="103">
        <f t="shared" si="2506"/>
        <v>1.5571238985053399</v>
      </c>
      <c r="AM768" s="103">
        <f t="shared" si="2506"/>
        <v>1.531815559814582</v>
      </c>
      <c r="AN768" s="103">
        <f t="shared" ref="AN768:AR768" si="2507">1/AN767</f>
        <v>1.6471788647681749</v>
      </c>
      <c r="AO768" s="103">
        <f t="shared" si="2507"/>
        <v>1.5488453796395465</v>
      </c>
      <c r="AP768" s="103">
        <f t="shared" si="2507"/>
        <v>1.5014162509458504</v>
      </c>
      <c r="AQ768" s="103">
        <f t="shared" si="2507"/>
        <v>1.5005659277213119</v>
      </c>
      <c r="AR768" s="103">
        <f t="shared" si="2507"/>
        <v>1.4260829037602607</v>
      </c>
      <c r="AS768" s="103">
        <f t="shared" ref="AS768:AW768" si="2508">1/AS767</f>
        <v>1.2215729203114232</v>
      </c>
      <c r="AT768" s="103">
        <f t="shared" si="2508"/>
        <v>1.2077926904736638</v>
      </c>
      <c r="AU768" s="103">
        <f t="shared" si="2508"/>
        <v>1.1283267449089234</v>
      </c>
      <c r="AV768" s="103">
        <f t="shared" si="2508"/>
        <v>1.1283267449089234</v>
      </c>
      <c r="AW768" s="103">
        <f t="shared" si="2508"/>
        <v>1.1041972419462167</v>
      </c>
      <c r="AX768" s="103">
        <f t="shared" ref="AX768:BP768" si="2509">1/AX767</f>
        <v>1.0920016564712429</v>
      </c>
      <c r="AY768" s="103">
        <f t="shared" si="2509"/>
        <v>1.0945370821067386</v>
      </c>
      <c r="AZ768" s="103">
        <f t="shared" si="2509"/>
        <v>1.0997225494769847</v>
      </c>
      <c r="BA768" s="103">
        <f t="shared" si="2509"/>
        <v>1.0997716081776012</v>
      </c>
      <c r="BB768" s="103">
        <f t="shared" si="2509"/>
        <v>1.0973939697844595</v>
      </c>
      <c r="BC768" s="103">
        <f t="shared" si="2509"/>
        <v>1.0959278737132054</v>
      </c>
      <c r="BD768" s="103">
        <f t="shared" si="2509"/>
        <v>1.0930218486376715</v>
      </c>
      <c r="BE768" s="103">
        <f t="shared" si="2509"/>
        <v>1.0906572726674943</v>
      </c>
      <c r="BF768" s="103">
        <f t="shared" si="2509"/>
        <v>1.0906572726674943</v>
      </c>
      <c r="BG768" s="103">
        <f t="shared" si="2509"/>
        <v>1.0883022535312588</v>
      </c>
      <c r="BH768" s="103">
        <f t="shared" si="2509"/>
        <v>1.0844611645492512</v>
      </c>
      <c r="BI768" s="103">
        <f t="shared" si="2509"/>
        <v>1.0789086062187407</v>
      </c>
      <c r="BJ768" s="103">
        <f t="shared" si="2509"/>
        <v>1</v>
      </c>
      <c r="BK768" s="103">
        <f t="shared" si="2509"/>
        <v>1</v>
      </c>
      <c r="BL768" s="103">
        <f t="shared" si="2509"/>
        <v>1</v>
      </c>
      <c r="BM768" s="103">
        <f t="shared" si="2509"/>
        <v>1</v>
      </c>
      <c r="BN768" s="103">
        <f t="shared" si="2509"/>
        <v>1</v>
      </c>
      <c r="BO768" s="103">
        <f t="shared" si="2509"/>
        <v>1</v>
      </c>
      <c r="BP768" s="103">
        <f t="shared" si="2509"/>
        <v>1</v>
      </c>
      <c r="BQ768" s="103">
        <f t="shared" ref="BQ768:BR768" si="2510">1/BQ767</f>
        <v>1</v>
      </c>
      <c r="BR768" s="103">
        <f t="shared" si="2510"/>
        <v>1</v>
      </c>
      <c r="BS768" s="103"/>
    </row>
    <row r="770" spans="1:78">
      <c r="A770" s="1" t="s">
        <v>362</v>
      </c>
      <c r="J770" s="85">
        <f>J728</f>
        <v>9.7826086956521729E-2</v>
      </c>
      <c r="K770" s="85">
        <f>K728</f>
        <v>1.7064846416382284E-2</v>
      </c>
      <c r="L770" s="85">
        <f>L728</f>
        <v>3.1152647975077885E-2</v>
      </c>
      <c r="N770" s="85">
        <f>N728</f>
        <v>5.915492957746471E-2</v>
      </c>
      <c r="O770" s="85">
        <f>O728</f>
        <v>5.9740259740259649E-2</v>
      </c>
      <c r="P770" s="85">
        <f>P728</f>
        <v>3.6082474226804218E-2</v>
      </c>
      <c r="Q770" s="85">
        <f>Q728</f>
        <v>3.4334763948497882E-2</v>
      </c>
      <c r="R770" s="85"/>
      <c r="S770" s="85">
        <f>S728</f>
        <v>4.7133757961783429E-2</v>
      </c>
      <c r="T770" s="85">
        <f>T728</f>
        <v>-0.10392609699769051</v>
      </c>
      <c r="U770" s="85">
        <f>U728</f>
        <v>-2.0858895705521463E-2</v>
      </c>
      <c r="V770" s="85">
        <f>V728</f>
        <v>-0.12065698041692985</v>
      </c>
      <c r="W770" s="85"/>
      <c r="X770" s="85">
        <f>X728</f>
        <v>2.3622047244094446E-2</v>
      </c>
      <c r="Y770" s="85">
        <f>Y728</f>
        <v>7.2280701754386056E-2</v>
      </c>
      <c r="Z770" s="85">
        <f>Z728</f>
        <v>0.17340286831812257</v>
      </c>
      <c r="AA770" s="85">
        <f>AA728</f>
        <v>0.37081203861442358</v>
      </c>
      <c r="AB770" s="85"/>
      <c r="AC770" s="85">
        <f>AC728</f>
        <v>1.1368421052631472E-2</v>
      </c>
      <c r="AD770" s="85">
        <f>AD728</f>
        <v>-0.10674637062339876</v>
      </c>
      <c r="AE770" s="85">
        <f>AE728</f>
        <v>-1.2153621779290247E-2</v>
      </c>
      <c r="AF770" s="85">
        <f>AF728</f>
        <v>-0.21713147410358569</v>
      </c>
      <c r="AG770" s="85"/>
      <c r="AH770" s="85">
        <f>AH728</f>
        <v>-0.14451612903225808</v>
      </c>
      <c r="AI770" s="85">
        <f>AI728</f>
        <v>-8.181818181818179E-2</v>
      </c>
      <c r="AJ770" s="85">
        <f>AJ728</f>
        <v>-5.4302422723475408E-2</v>
      </c>
      <c r="AK770" s="85">
        <f>AK728</f>
        <v>-2.67618198037467E-3</v>
      </c>
      <c r="AL770" s="85"/>
      <c r="AM770" s="85">
        <f>AM728</f>
        <v>1.2589928057553879E-2</v>
      </c>
      <c r="AN770" s="85">
        <f>AN728</f>
        <v>1.9538188277087087E-2</v>
      </c>
      <c r="AO770" s="85">
        <f>AO728</f>
        <v>2.1791767554479424E-2</v>
      </c>
      <c r="AP770" s="85">
        <f>AP728</f>
        <v>-2.8014616321559105E-2</v>
      </c>
      <c r="AQ770" s="85"/>
      <c r="AR770" s="85">
        <f>AR728</f>
        <v>6.0913705583756306E-2</v>
      </c>
      <c r="AS770" s="85">
        <f>AS728</f>
        <v>6.1668681983071405E-2</v>
      </c>
      <c r="AT770" s="85">
        <f>AT728</f>
        <v>-3.2183908045977039E-2</v>
      </c>
      <c r="AU770" s="85">
        <f>AU728</f>
        <v>3.5885167464114742E-2</v>
      </c>
      <c r="AV770" s="85"/>
      <c r="AW770" s="85">
        <f>AW728</f>
        <v>6.9167643610785534E-2</v>
      </c>
      <c r="AX770" s="85">
        <f>AX728</f>
        <v>0.11457174638487211</v>
      </c>
      <c r="AY770" s="85">
        <f>AY728</f>
        <v>-9.0543259557344102E-2</v>
      </c>
      <c r="AZ770" s="85">
        <f>AZ728</f>
        <v>-4.1814159292035358E-2</v>
      </c>
      <c r="BA770" s="85"/>
      <c r="BB770" s="85">
        <f>BB728</f>
        <v>8.6585084276149527E-3</v>
      </c>
      <c r="BC770" s="85">
        <f>BC728</f>
        <v>8.6153077787489707E-3</v>
      </c>
      <c r="BD770" s="85">
        <f>BD728</f>
        <v>8.6991980426804894E-3</v>
      </c>
      <c r="BE770" s="85">
        <f>BE728</f>
        <v>8.6476815267630958E-3</v>
      </c>
      <c r="BF770" s="85"/>
      <c r="BG770" s="85">
        <f>BG728</f>
        <v>8.5808580858086625E-3</v>
      </c>
      <c r="BH770" s="85">
        <f>BH728</f>
        <v>8.6393088552916275E-3</v>
      </c>
      <c r="BI770" s="85">
        <f>BI728</f>
        <v>8.7232355273592077E-3</v>
      </c>
      <c r="BJ770" s="85">
        <f>BJ728</f>
        <v>8.6225956223744404E-3</v>
      </c>
      <c r="BK770" s="85"/>
      <c r="BL770" s="85">
        <f>BL728</f>
        <v>8.5170340681361978E-3</v>
      </c>
      <c r="BM770" s="85">
        <f>BM728</f>
        <v>8.6931324253840536E-3</v>
      </c>
      <c r="BN770" s="85">
        <f>BN728</f>
        <v>8.6177180282660526E-3</v>
      </c>
      <c r="BO770" s="85">
        <f>BO728</f>
        <v>8.5433575395130745E-3</v>
      </c>
      <c r="BP770" s="85"/>
      <c r="BQ770" s="85">
        <f>BQ728</f>
        <v>8.4697910784867769E-3</v>
      </c>
      <c r="BR770" s="85">
        <f>BR728</f>
        <v>8.3963056255247359E-3</v>
      </c>
      <c r="BS770" s="85"/>
    </row>
    <row r="771" spans="1:78">
      <c r="A771" s="1" t="s">
        <v>363</v>
      </c>
      <c r="J771" s="16">
        <f>J770*J768</f>
        <v>0.15260183292973423</v>
      </c>
      <c r="K771" s="16">
        <f>K770*K768</f>
        <v>2.7939902435403053E-2</v>
      </c>
      <c r="L771" s="16">
        <f>L770*L768</f>
        <v>5.3033538554577715E-2</v>
      </c>
      <c r="N771" s="16">
        <f t="shared" ref="N771:T771" si="2511">N770*N768</f>
        <v>9.8646549681411247E-2</v>
      </c>
      <c r="O771" s="16">
        <f t="shared" si="2511"/>
        <v>9.5645995416841337E-2</v>
      </c>
      <c r="P771" s="16">
        <f t="shared" si="2511"/>
        <v>5.8921355071215889E-2</v>
      </c>
      <c r="Q771" s="16">
        <f t="shared" si="2511"/>
        <v>4.8081394371399716E-2</v>
      </c>
      <c r="R771" s="16"/>
      <c r="S771" s="16">
        <f t="shared" si="2511"/>
        <v>6.5147489540931344E-2</v>
      </c>
      <c r="T771" s="16">
        <f t="shared" si="2511"/>
        <v>-0.16233865335616979</v>
      </c>
      <c r="U771" s="16">
        <f t="shared" ref="U771:V771" si="2512">U770*U768</f>
        <v>-3.2972888500503353E-2</v>
      </c>
      <c r="V771" s="16">
        <f t="shared" si="2512"/>
        <v>-0.20970693315262134</v>
      </c>
      <c r="W771" s="16"/>
      <c r="X771" s="16">
        <f t="shared" ref="X771:Y771" si="2513">X770*X768</f>
        <v>4.019815958989436E-2</v>
      </c>
      <c r="Y771" s="16">
        <f t="shared" si="2513"/>
        <v>0.11475846790459687</v>
      </c>
      <c r="Z771" s="16">
        <f t="shared" ref="Z771:AA771" si="2514">Z770*Z768</f>
        <v>0.25151122982421242</v>
      </c>
      <c r="AA771" s="16">
        <f t="shared" si="2514"/>
        <v>0.46481314551822345</v>
      </c>
      <c r="AB771" s="16"/>
      <c r="AC771" s="16">
        <f t="shared" ref="AC771:AD771" si="2515">AC770*AC768</f>
        <v>1.4110185329683708E-2</v>
      </c>
      <c r="AD771" s="16">
        <f t="shared" si="2515"/>
        <v>-0.13821016628965255</v>
      </c>
      <c r="AE771" s="16">
        <f t="shared" ref="AE771:AF771" si="2516">AE770*AE768</f>
        <v>-1.5726930467464317E-2</v>
      </c>
      <c r="AF771" s="16">
        <f t="shared" si="2516"/>
        <v>-0.29369854261548578</v>
      </c>
      <c r="AG771" s="16"/>
      <c r="AH771" s="16">
        <f t="shared" ref="AH771:AI771" si="2517">AH770*AH768</f>
        <v>-0.21169938906434277</v>
      </c>
      <c r="AI771" s="16">
        <f t="shared" si="2517"/>
        <v>-0.12426437932679929</v>
      </c>
      <c r="AJ771" s="16">
        <f t="shared" ref="AJ771:AK771" si="2518">AJ770*AJ768</f>
        <v>-8.423362042612445E-2</v>
      </c>
      <c r="AK771" s="16">
        <f t="shared" si="2518"/>
        <v>-4.1671468644135443E-3</v>
      </c>
      <c r="AL771" s="16"/>
      <c r="AM771" s="16">
        <f t="shared" ref="AM771:AN771" si="2519">AM770*AM768</f>
        <v>1.9285447695507208E-2</v>
      </c>
      <c r="AN771" s="16">
        <f t="shared" si="2519"/>
        <v>3.2182890785879173E-2</v>
      </c>
      <c r="AO771" s="16">
        <f t="shared" ref="AO771:AP771" si="2520">AO770*AO768</f>
        <v>3.3752078490934437E-2</v>
      </c>
      <c r="AP771" s="16">
        <f t="shared" si="2520"/>
        <v>-4.2061600209201702E-2</v>
      </c>
      <c r="AQ771" s="16"/>
      <c r="AR771" s="16">
        <f t="shared" ref="AR771:AU771" si="2521">AR770*AR768</f>
        <v>8.6867994137680801E-2</v>
      </c>
      <c r="AS771" s="16">
        <f t="shared" si="2521"/>
        <v>7.5332791941816982E-2</v>
      </c>
      <c r="AT771" s="16">
        <f t="shared" si="2521"/>
        <v>-3.88714888888076E-2</v>
      </c>
      <c r="AU771" s="16">
        <f t="shared" si="2521"/>
        <v>4.0490194195296189E-2</v>
      </c>
      <c r="AV771" s="16"/>
      <c r="AW771" s="16">
        <f t="shared" ref="AW771:AZ771" si="2522">AW770*AW768</f>
        <v>7.6374721306948251E-2</v>
      </c>
      <c r="AX771" s="16">
        <f t="shared" si="2522"/>
        <v>0.12511253683708348</v>
      </c>
      <c r="AY771" s="16">
        <f t="shared" si="2522"/>
        <v>-9.910295512032849E-2</v>
      </c>
      <c r="AZ771" s="16">
        <f t="shared" si="2522"/>
        <v>-4.598397386087387E-2</v>
      </c>
      <c r="BA771" s="16"/>
      <c r="BB771" s="16">
        <f t="shared" ref="BB771:BE771" si="2523">BB770*BB768</f>
        <v>9.5017949357925711E-3</v>
      </c>
      <c r="BC771" s="16">
        <f t="shared" si="2523"/>
        <v>9.4417559353491987E-3</v>
      </c>
      <c r="BD771" s="16">
        <f t="shared" si="2523"/>
        <v>9.5084135262758426E-3</v>
      </c>
      <c r="BE771" s="16">
        <f t="shared" si="2523"/>
        <v>9.4316567488765112E-3</v>
      </c>
      <c r="BF771" s="16"/>
      <c r="BG771" s="16">
        <f t="shared" ref="BG771:BJ771" si="2524">BG770*BG768</f>
        <v>9.3385671920174912E-3</v>
      </c>
      <c r="BH771" s="16">
        <f t="shared" si="2524"/>
        <v>9.3689949421102165E-3</v>
      </c>
      <c r="BI771" s="16">
        <f t="shared" si="2524"/>
        <v>9.4115738845409243E-3</v>
      </c>
      <c r="BJ771" s="16">
        <f t="shared" si="2524"/>
        <v>8.6225956223744404E-3</v>
      </c>
      <c r="BK771" s="16"/>
      <c r="BL771" s="16">
        <f t="shared" ref="BL771:BO771" si="2525">BL770*BL768</f>
        <v>8.5170340681361978E-3</v>
      </c>
      <c r="BM771" s="16">
        <f t="shared" si="2525"/>
        <v>8.6931324253840536E-3</v>
      </c>
      <c r="BN771" s="16">
        <f t="shared" si="2525"/>
        <v>8.6177180282660526E-3</v>
      </c>
      <c r="BO771" s="16">
        <f t="shared" si="2525"/>
        <v>8.5433575395130745E-3</v>
      </c>
      <c r="BP771" s="16"/>
      <c r="BQ771" s="16">
        <f t="shared" ref="BQ771:BR771" si="2526">BQ770*BQ768</f>
        <v>8.4697910784867769E-3</v>
      </c>
      <c r="BR771" s="16">
        <f t="shared" si="2526"/>
        <v>8.3963056255247359E-3</v>
      </c>
      <c r="BS771" s="16"/>
    </row>
    <row r="772" spans="1:78">
      <c r="A772" s="1" t="s">
        <v>365</v>
      </c>
      <c r="J772" s="119">
        <f t="shared" ref="J772:T772" si="2527">-$I$440*J764-(J762*J765/4)</f>
        <v>-5.4386277528982209E-3</v>
      </c>
      <c r="K772" s="119">
        <f t="shared" si="2527"/>
        <v>-5.9363414370309769E-3</v>
      </c>
      <c r="L772" s="119">
        <f t="shared" si="2527"/>
        <v>-6.1618775603923329E-3</v>
      </c>
      <c r="N772" s="119">
        <f t="shared" si="2527"/>
        <v>-5.9193142194663142E-3</v>
      </c>
      <c r="O772" s="119">
        <f t="shared" si="2527"/>
        <v>-5.5520414955706268E-3</v>
      </c>
      <c r="P772" s="119">
        <f t="shared" si="2527"/>
        <v>-6.0055251231872376E-3</v>
      </c>
      <c r="Q772" s="119">
        <f t="shared" si="2527"/>
        <v>-4.845066581156735E-3</v>
      </c>
      <c r="R772" s="16"/>
      <c r="S772" s="119">
        <f t="shared" si="2527"/>
        <v>-4.6167387793963222E-3</v>
      </c>
      <c r="T772" s="119">
        <f t="shared" si="2527"/>
        <v>-5.6482608418015803E-3</v>
      </c>
      <c r="U772" s="119">
        <f>-$I$440*U764-(U762*U765/4)</f>
        <v>-5.7292223132514725E-3</v>
      </c>
      <c r="V772" s="119">
        <f>-$I$440*V764-(V762*V765/4)</f>
        <v>-6.7404486439579039E-3</v>
      </c>
      <c r="W772" s="16"/>
      <c r="X772" s="119">
        <f t="shared" ref="X772:Y772" si="2528">-$I$440*X764-(X762*X765/4)</f>
        <v>-6.8914465350741671E-3</v>
      </c>
      <c r="Y772" s="119">
        <f t="shared" si="2528"/>
        <v>-6.1802687305641535E-3</v>
      </c>
      <c r="Z772" s="119">
        <f t="shared" ref="Z772" si="2529">-$I$440*Z764-(Z762*Z765/4)</f>
        <v>-5.0377656316648468E-3</v>
      </c>
      <c r="AA772" s="119">
        <f>-$I$440*AA764-(AA762*AA765/4)</f>
        <v>-3.1422787940947683E-3</v>
      </c>
      <c r="AB772" s="16"/>
      <c r="AC772" s="119">
        <f t="shared" ref="AC772:AD772" si="2530">-$I$440*AC764-(AC762*AC765/4)</f>
        <v>-3.0054000236974E-3</v>
      </c>
      <c r="AD772" s="119">
        <f t="shared" si="2530"/>
        <v>-3.404985689929565E-3</v>
      </c>
      <c r="AE772" s="119">
        <f t="shared" ref="AE772:AF772" si="2531">-$I$440*AE764-(AE762*AE765/4)</f>
        <v>-3.4281305250902388E-3</v>
      </c>
      <c r="AF772" s="119">
        <f t="shared" si="2531"/>
        <v>-4.1663135479052078E-3</v>
      </c>
      <c r="AG772" s="16"/>
      <c r="AH772" s="119">
        <f t="shared" ref="AH772:AI772" si="2532">-$I$440*AH764-(AH762*AH765/4)</f>
        <v>-5.1258250325374299E-3</v>
      </c>
      <c r="AI772" s="119">
        <f t="shared" si="2532"/>
        <v>-5.6001163665485758E-3</v>
      </c>
      <c r="AJ772" s="119">
        <f t="shared" ref="AJ772:AK772" si="2533">-$I$440*AJ764-(AJ762*AJ765/4)</f>
        <v>-5.9198998209688738E-3</v>
      </c>
      <c r="AK772" s="119">
        <f t="shared" si="2533"/>
        <v>-6.0476368711207037E-3</v>
      </c>
      <c r="AL772" s="16"/>
      <c r="AM772" s="119">
        <f t="shared" ref="AM772:AN772" si="2534">-$I$440*AM764-(AM762*AM765/4)</f>
        <v>-5.9521640600185555E-3</v>
      </c>
      <c r="AN772" s="119">
        <f t="shared" si="2534"/>
        <v>-6.7023181765057315E-3</v>
      </c>
      <c r="AO772" s="119">
        <f t="shared" ref="AO772:AP772" si="2535">-$I$440*AO764-(AO762*AO765/4)</f>
        <v>-6.0448207121157164E-3</v>
      </c>
      <c r="AP772" s="119">
        <f t="shared" si="2535"/>
        <v>-5.6969022732276265E-3</v>
      </c>
      <c r="AQ772" s="16"/>
      <c r="AR772" s="119">
        <f t="shared" ref="AR772:AU772" si="2536">-$I$440*AR764-(AR762*AR765/4)</f>
        <v>-5.0967204273144294E-3</v>
      </c>
      <c r="AS772" s="119">
        <f t="shared" si="2536"/>
        <v>-3.0941314579019854E-3</v>
      </c>
      <c r="AT772" s="119">
        <f t="shared" si="2536"/>
        <v>-2.9348056447075651E-3</v>
      </c>
      <c r="AU772" s="119">
        <f t="shared" si="2536"/>
        <v>-1.9400984655438946E-3</v>
      </c>
      <c r="AV772" s="16"/>
      <c r="AW772" s="119">
        <f t="shared" ref="AW772:AZ772" si="2537">-$I$440*AW764-(AW762*AW765/4)</f>
        <v>-1.609722601485998E-3</v>
      </c>
      <c r="AX772" s="119">
        <f t="shared" si="2537"/>
        <v>-1.4371888062828103E-3</v>
      </c>
      <c r="AY772" s="119">
        <f t="shared" si="2537"/>
        <v>-1.4733746394522131E-3</v>
      </c>
      <c r="AZ772" s="119">
        <f t="shared" si="2537"/>
        <v>-1.5468625284682468E-3</v>
      </c>
      <c r="BA772" s="16"/>
      <c r="BB772" s="119">
        <f t="shared" ref="BB772:BE772" si="2538">-$I$440*BB764-(BB762*BB765/4)</f>
        <v>-1.5139480572507441E-3</v>
      </c>
      <c r="BC772" s="119">
        <f t="shared" si="2538"/>
        <v>-1.493153036214816E-3</v>
      </c>
      <c r="BD772" s="119">
        <f t="shared" si="2538"/>
        <v>-1.45176926945991E-3</v>
      </c>
      <c r="BE772" s="119">
        <f t="shared" si="2538"/>
        <v>-1.4179333793943856E-3</v>
      </c>
      <c r="BF772" s="16"/>
      <c r="BG772" s="119">
        <f t="shared" ref="BG772:BJ772" si="2539">-$I$440*BG764-(BG762*BG765/4)</f>
        <v>-1.3840881011609523E-3</v>
      </c>
      <c r="BH772" s="119">
        <f t="shared" si="2539"/>
        <v>-1.3285702930121589E-3</v>
      </c>
      <c r="BI772" s="119">
        <f t="shared" si="2539"/>
        <v>-1.2476167344313259E-3</v>
      </c>
      <c r="BJ772" s="119">
        <f t="shared" si="2539"/>
        <v>0</v>
      </c>
      <c r="BK772" s="16"/>
      <c r="BL772" s="119">
        <f t="shared" ref="BL772:BO772" si="2540">-$I$440*BL764-(BL762*BL765/4)</f>
        <v>0</v>
      </c>
      <c r="BM772" s="119">
        <f t="shared" si="2540"/>
        <v>0</v>
      </c>
      <c r="BN772" s="119">
        <f t="shared" si="2540"/>
        <v>0</v>
      </c>
      <c r="BO772" s="119">
        <f t="shared" si="2540"/>
        <v>0</v>
      </c>
      <c r="BP772" s="16"/>
      <c r="BQ772" s="119">
        <f t="shared" ref="BQ772:BR772" si="2541">-$I$440*BQ764-(BQ762*BQ765/4)</f>
        <v>0</v>
      </c>
      <c r="BR772" s="119">
        <f t="shared" si="2541"/>
        <v>0</v>
      </c>
      <c r="BS772" s="119"/>
    </row>
    <row r="773" spans="1:78">
      <c r="A773" s="9" t="s">
        <v>366</v>
      </c>
      <c r="B773" s="9"/>
      <c r="C773" s="9"/>
      <c r="D773" s="9"/>
      <c r="E773" s="9"/>
      <c r="F773" s="9"/>
      <c r="G773" s="9"/>
      <c r="H773" s="9"/>
      <c r="I773" s="9"/>
      <c r="J773" s="105">
        <f>SUM(J771:J772)</f>
        <v>0.14716320517683601</v>
      </c>
      <c r="K773" s="105">
        <f>SUM(K771:K772)</f>
        <v>2.2003560998372078E-2</v>
      </c>
      <c r="L773" s="105">
        <f>SUM(L771:L772)</f>
        <v>4.6871660994185382E-2</v>
      </c>
      <c r="M773" s="9"/>
      <c r="N773" s="105">
        <f t="shared" ref="N773:T773" si="2542">SUM(N771:N772)</f>
        <v>9.2727235461944932E-2</v>
      </c>
      <c r="O773" s="105">
        <f t="shared" si="2542"/>
        <v>9.0093953921270703E-2</v>
      </c>
      <c r="P773" s="105">
        <f t="shared" si="2542"/>
        <v>5.2915829948028653E-2</v>
      </c>
      <c r="Q773" s="105">
        <f t="shared" si="2542"/>
        <v>4.323632779024298E-2</v>
      </c>
      <c r="R773" s="105"/>
      <c r="S773" s="105">
        <f t="shared" si="2542"/>
        <v>6.0530750761535024E-2</v>
      </c>
      <c r="T773" s="105">
        <f t="shared" si="2542"/>
        <v>-0.16798691419797138</v>
      </c>
      <c r="U773" s="105">
        <f t="shared" ref="U773:V773" si="2543">SUM(U771:U772)</f>
        <v>-3.8702110813754825E-2</v>
      </c>
      <c r="V773" s="105">
        <f t="shared" si="2543"/>
        <v>-0.21644738179657924</v>
      </c>
      <c r="W773" s="105"/>
      <c r="X773" s="105">
        <f t="shared" ref="X773:Y773" si="2544">SUM(X771:X772)</f>
        <v>3.3306713054820192E-2</v>
      </c>
      <c r="Y773" s="105">
        <f t="shared" si="2544"/>
        <v>0.10857819917403272</v>
      </c>
      <c r="Z773" s="105">
        <f t="shared" ref="Z773:AA773" si="2545">SUM(Z771:Z772)</f>
        <v>0.24647346419254756</v>
      </c>
      <c r="AA773" s="105">
        <f t="shared" si="2545"/>
        <v>0.46167086672412866</v>
      </c>
      <c r="AB773" s="105"/>
      <c r="AC773" s="105">
        <f t="shared" ref="AC773:AD773" si="2546">SUM(AC771:AC772)</f>
        <v>1.1104785305986308E-2</v>
      </c>
      <c r="AD773" s="105">
        <f t="shared" si="2546"/>
        <v>-0.1416151519795821</v>
      </c>
      <c r="AE773" s="105">
        <f t="shared" ref="AE773:AF773" si="2547">SUM(AE771:AE772)</f>
        <v>-1.9155060992554557E-2</v>
      </c>
      <c r="AF773" s="105">
        <f t="shared" si="2547"/>
        <v>-0.29786485616339098</v>
      </c>
      <c r="AG773" s="105"/>
      <c r="AH773" s="105">
        <f t="shared" ref="AH773:AI773" si="2548">SUM(AH771:AH772)</f>
        <v>-0.21682521409688019</v>
      </c>
      <c r="AI773" s="105">
        <f t="shared" si="2548"/>
        <v>-0.12986449569334788</v>
      </c>
      <c r="AJ773" s="105">
        <f t="shared" ref="AJ773:AK773" si="2549">SUM(AJ771:AJ772)</f>
        <v>-9.0153520247093319E-2</v>
      </c>
      <c r="AK773" s="105">
        <f t="shared" si="2549"/>
        <v>-1.0214783735534248E-2</v>
      </c>
      <c r="AL773" s="105"/>
      <c r="AM773" s="105">
        <f t="shared" ref="AM773:AN773" si="2550">SUM(AM771:AM772)</f>
        <v>1.3333283635488653E-2</v>
      </c>
      <c r="AN773" s="105">
        <f t="shared" si="2550"/>
        <v>2.5480572609373441E-2</v>
      </c>
      <c r="AO773" s="105">
        <f t="shared" ref="AO773:AP773" si="2551">SUM(AO771:AO772)</f>
        <v>2.770725777881872E-2</v>
      </c>
      <c r="AP773" s="105">
        <f t="shared" si="2551"/>
        <v>-4.7758502482429327E-2</v>
      </c>
      <c r="AQ773" s="105"/>
      <c r="AR773" s="105">
        <f t="shared" ref="AR773:AU773" si="2552">SUM(AR771:AR772)</f>
        <v>8.1771273710366368E-2</v>
      </c>
      <c r="AS773" s="105">
        <f t="shared" si="2552"/>
        <v>7.2238660483915001E-2</v>
      </c>
      <c r="AT773" s="105">
        <f t="shared" si="2552"/>
        <v>-4.1806294533515163E-2</v>
      </c>
      <c r="AU773" s="105">
        <f t="shared" si="2552"/>
        <v>3.8550095729752293E-2</v>
      </c>
      <c r="AV773" s="105"/>
      <c r="AW773" s="105">
        <f t="shared" ref="AW773:AZ773" si="2553">SUM(AW771:AW772)</f>
        <v>7.4764998705462257E-2</v>
      </c>
      <c r="AX773" s="105">
        <f t="shared" si="2553"/>
        <v>0.12367534803080067</v>
      </c>
      <c r="AY773" s="105">
        <f t="shared" si="2553"/>
        <v>-0.1005763297597807</v>
      </c>
      <c r="AZ773" s="105">
        <f t="shared" si="2553"/>
        <v>-4.7530836389342114E-2</v>
      </c>
      <c r="BA773" s="105"/>
      <c r="BB773" s="105">
        <f t="shared" ref="BB773:BE773" si="2554">SUM(BB771:BB772)</f>
        <v>7.9878468785418277E-3</v>
      </c>
      <c r="BC773" s="105">
        <f t="shared" si="2554"/>
        <v>7.9486028991343823E-3</v>
      </c>
      <c r="BD773" s="105">
        <f t="shared" si="2554"/>
        <v>8.0566442568159331E-3</v>
      </c>
      <c r="BE773" s="105">
        <f t="shared" si="2554"/>
        <v>8.0137233694821258E-3</v>
      </c>
      <c r="BF773" s="105"/>
      <c r="BG773" s="105">
        <f t="shared" ref="BG773:BJ773" si="2555">SUM(BG771:BG772)</f>
        <v>7.954479090856538E-3</v>
      </c>
      <c r="BH773" s="105">
        <f t="shared" si="2555"/>
        <v>8.0404246490980574E-3</v>
      </c>
      <c r="BI773" s="105">
        <f t="shared" si="2555"/>
        <v>8.1639571501095978E-3</v>
      </c>
      <c r="BJ773" s="105">
        <f t="shared" si="2555"/>
        <v>8.6225956223744404E-3</v>
      </c>
      <c r="BK773" s="105"/>
      <c r="BL773" s="105">
        <f t="shared" ref="BL773:BO773" si="2556">SUM(BL771:BL772)</f>
        <v>8.5170340681361978E-3</v>
      </c>
      <c r="BM773" s="105">
        <f t="shared" si="2556"/>
        <v>8.6931324253840536E-3</v>
      </c>
      <c r="BN773" s="105">
        <f t="shared" si="2556"/>
        <v>8.6177180282660526E-3</v>
      </c>
      <c r="BO773" s="105">
        <f t="shared" si="2556"/>
        <v>8.5433575395130745E-3</v>
      </c>
      <c r="BP773" s="105"/>
      <c r="BQ773" s="105">
        <f t="shared" ref="BQ773:BR773" si="2557">SUM(BQ771:BQ772)</f>
        <v>8.4697910784867769E-3</v>
      </c>
      <c r="BR773" s="105">
        <f t="shared" si="2557"/>
        <v>8.3963056255247359E-3</v>
      </c>
      <c r="BS773" s="105"/>
    </row>
    <row r="775" spans="1:78">
      <c r="A775" s="1" t="s">
        <v>367</v>
      </c>
      <c r="I775" s="86">
        <v>100</v>
      </c>
      <c r="J775" s="87">
        <f>I775*(1+J773)</f>
        <v>114.71632051768358</v>
      </c>
      <c r="K775" s="87">
        <f>J775*(1+K773)</f>
        <v>117.24048807370322</v>
      </c>
      <c r="L775" s="87">
        <f>K775*(1+L773)</f>
        <v>122.73574448548668</v>
      </c>
      <c r="M775" s="87">
        <f>L775</f>
        <v>122.73574448548668</v>
      </c>
      <c r="N775" s="87">
        <f>M775*(1+N773)</f>
        <v>134.11669076398951</v>
      </c>
      <c r="O775" s="87">
        <f>N775*(1+O773)</f>
        <v>146.19979372175368</v>
      </c>
      <c r="P775" s="87">
        <f>O775*(1+P773)</f>
        <v>153.93607714477085</v>
      </c>
      <c r="Q775" s="87">
        <f>P775*(1+Q773)</f>
        <v>160.59170783494631</v>
      </c>
      <c r="R775" s="87">
        <f>Q775</f>
        <v>160.59170783494631</v>
      </c>
      <c r="S775" s="87">
        <f>R775*(1+S773)</f>
        <v>170.3124444762727</v>
      </c>
      <c r="T775" s="87">
        <f>S775*(1+T773)</f>
        <v>141.7021824791903</v>
      </c>
      <c r="U775" s="87">
        <f>T775*(1+U773)</f>
        <v>136.21800891032976</v>
      </c>
      <c r="V775" s="87">
        <f>U775*(1+V773)</f>
        <v>106.73397752814577</v>
      </c>
      <c r="W775" s="87">
        <f>V775</f>
        <v>106.73397752814577</v>
      </c>
      <c r="X775" s="87">
        <f>W775*(1+X773)</f>
        <v>110.28893549087535</v>
      </c>
      <c r="Y775" s="87">
        <f>X775*(1+Y773)</f>
        <v>122.26390949529565</v>
      </c>
      <c r="Z775" s="87">
        <f>Y775*(1+Z773)</f>
        <v>152.39871881432526</v>
      </c>
      <c r="AA775" s="87">
        <f>Z775*(1+AA773)</f>
        <v>222.7567674169816</v>
      </c>
      <c r="AB775" s="87">
        <f>AA775</f>
        <v>222.7567674169816</v>
      </c>
      <c r="AC775" s="87">
        <f>AB775*(1+AC773)</f>
        <v>225.23043349460269</v>
      </c>
      <c r="AD775" s="87">
        <f>AC775*(1+AD773)</f>
        <v>193.33439142483738</v>
      </c>
      <c r="AE775" s="87">
        <f>AD775*(1+AE773)</f>
        <v>189.6310593651362</v>
      </c>
      <c r="AF775" s="87">
        <f>AE775*(1+AF773)</f>
        <v>133.14663114322843</v>
      </c>
      <c r="AG775" s="87">
        <f>AF775</f>
        <v>133.14663114322843</v>
      </c>
      <c r="AH775" s="87">
        <f>AG775*(1+AH773)</f>
        <v>104.2770843393196</v>
      </c>
      <c r="AI775" s="87">
        <f>AH775*(1+AI773)</f>
        <v>90.73519336922115</v>
      </c>
      <c r="AJ775" s="87">
        <f>AI775*(1+AJ773)</f>
        <v>82.555096276685148</v>
      </c>
      <c r="AK775" s="87">
        <f>AJ775*(1+AK773)</f>
        <v>81.711813821952603</v>
      </c>
      <c r="AL775" s="87">
        <f>AK775</f>
        <v>81.711813821952603</v>
      </c>
      <c r="AM775" s="87">
        <f>AL775*(1+AM773)</f>
        <v>82.801300612010948</v>
      </c>
      <c r="AN775" s="87">
        <f>AM775*(1+AN773)</f>
        <v>84.911125164405846</v>
      </c>
      <c r="AO775" s="87">
        <f>AN775*(1+AO773)</f>
        <v>87.263779597625572</v>
      </c>
      <c r="AP775" s="87">
        <f>AO775*(1+AP773)</f>
        <v>83.096192163086201</v>
      </c>
      <c r="AQ775" s="87">
        <f>AP775</f>
        <v>83.096192163086201</v>
      </c>
      <c r="AR775" s="87">
        <f>AQ775*(1+AR773)</f>
        <v>89.89107363674313</v>
      </c>
      <c r="AS775" s="87">
        <f>AR775*(1+AS773)</f>
        <v>96.384684385722409</v>
      </c>
      <c r="AT775" s="87">
        <f>AS775*(1+AT773)</f>
        <v>92.355197881772995</v>
      </c>
      <c r="AU775" s="87">
        <f>AT775*(1+AU773)</f>
        <v>95.915499601255547</v>
      </c>
      <c r="AV775" s="87">
        <f>AU775</f>
        <v>95.915499601255547</v>
      </c>
      <c r="AW775" s="87">
        <f>AV775*(1+AW773)</f>
        <v>103.08662180477718</v>
      </c>
      <c r="AX775" s="87">
        <f>AW775*(1+AX773)</f>
        <v>115.83589563380252</v>
      </c>
      <c r="AY775" s="87">
        <f>AX775*(1+AY773)</f>
        <v>104.18554639651765</v>
      </c>
      <c r="AZ775" s="87">
        <f>AY775*(1+AZ773)</f>
        <v>99.233520236610559</v>
      </c>
      <c r="BA775" s="87">
        <f>AZ775</f>
        <v>99.233520236610559</v>
      </c>
      <c r="BB775" s="87">
        <f>BA775*(1+BB773)</f>
        <v>100.02618240147929</v>
      </c>
      <c r="BC775" s="87">
        <f>BB775*(1+BC773)</f>
        <v>100.82125080490503</v>
      </c>
      <c r="BD775" s="87">
        <f>BC775*(1+BD773)</f>
        <v>101.63353175616737</v>
      </c>
      <c r="BE775" s="87">
        <f>BD775*(1+BE773)</f>
        <v>102.44799476472478</v>
      </c>
      <c r="BF775" s="87">
        <f>BE775</f>
        <v>102.44799476472478</v>
      </c>
      <c r="BG775" s="87">
        <f>BF775*(1+BG773)</f>
        <v>103.26291519698097</v>
      </c>
      <c r="BH775" s="87">
        <f>BG775*(1+BH773)</f>
        <v>104.09319288566851</v>
      </c>
      <c r="BI775" s="87">
        <f>BH775*(1+BI773)</f>
        <v>104.94300525200519</v>
      </c>
      <c r="BJ775" s="87">
        <f>BI775*(1+BJ773)</f>
        <v>105.84788634968996</v>
      </c>
      <c r="BK775" s="87">
        <f>BJ775</f>
        <v>105.84788634968996</v>
      </c>
      <c r="BL775" s="87">
        <f>BK775*(1+BL773)</f>
        <v>106.74939640377048</v>
      </c>
      <c r="BM775" s="87">
        <f>BL775*(1+BM773)</f>
        <v>107.67738304303826</v>
      </c>
      <c r="BN775" s="87">
        <f>BM775*(1+BN773)</f>
        <v>108.60531636812476</v>
      </c>
      <c r="BO775" s="87">
        <f>BN775*(1+BO773)</f>
        <v>109.53317041654958</v>
      </c>
      <c r="BP775" s="87">
        <f>BO775</f>
        <v>109.53317041654958</v>
      </c>
      <c r="BQ775" s="87">
        <f>BP775*(1+BQ773)</f>
        <v>110.46089348614204</v>
      </c>
      <c r="BR775" s="87">
        <f>BQ775*(1+BR773)</f>
        <v>111.38835690752022</v>
      </c>
      <c r="BS775" s="87"/>
    </row>
    <row r="776" spans="1:78">
      <c r="A776" s="1" t="s">
        <v>308</v>
      </c>
      <c r="K776" s="25"/>
      <c r="N776" s="16">
        <f t="shared" ref="N776:Z776" si="2558">N775/I775-1</f>
        <v>0.3411669076398951</v>
      </c>
      <c r="O776" s="16">
        <f t="shared" si="2558"/>
        <v>0.27444633040873123</v>
      </c>
      <c r="P776" s="16">
        <f t="shared" si="2558"/>
        <v>0.31299416843095162</v>
      </c>
      <c r="Q776" s="16">
        <f t="shared" si="2558"/>
        <v>0.3084347066794062</v>
      </c>
      <c r="R776" s="16">
        <f t="shared" si="2558"/>
        <v>0.3084347066794062</v>
      </c>
      <c r="S776" s="16">
        <f t="shared" si="2558"/>
        <v>0.26988254411957047</v>
      </c>
      <c r="T776" s="16">
        <f t="shared" si="2558"/>
        <v>-3.0763458196960247E-2</v>
      </c>
      <c r="U776" s="16">
        <f t="shared" si="2558"/>
        <v>-0.11510016731021377</v>
      </c>
      <c r="V776" s="16">
        <f t="shared" si="2558"/>
        <v>-0.33537055575842489</v>
      </c>
      <c r="W776" s="16">
        <f t="shared" si="2558"/>
        <v>-0.33537055575842489</v>
      </c>
      <c r="X776" s="16">
        <f t="shared" si="2558"/>
        <v>-0.35243172728790007</v>
      </c>
      <c r="Y776" s="16">
        <f t="shared" si="2558"/>
        <v>-0.13717694846901363</v>
      </c>
      <c r="Z776" s="16">
        <f t="shared" si="2558"/>
        <v>0.11878539433539226</v>
      </c>
      <c r="AA776" s="16">
        <f t="shared" ref="AA776" si="2559">AA775/V775-1</f>
        <v>1.0870276979815596</v>
      </c>
      <c r="AB776" s="16">
        <f t="shared" ref="AB776:AJ776" si="2560">AB775/W775-1</f>
        <v>1.0870276979815596</v>
      </c>
      <c r="AC776" s="16">
        <f t="shared" si="2560"/>
        <v>1.0421852155172622</v>
      </c>
      <c r="AD776" s="16">
        <f t="shared" si="2560"/>
        <v>0.58128749704569449</v>
      </c>
      <c r="AE776" s="16">
        <f t="shared" si="2560"/>
        <v>0.24430875036536825</v>
      </c>
      <c r="AF776" s="16">
        <f t="shared" si="2560"/>
        <v>-0.40227795237309516</v>
      </c>
      <c r="AG776" s="16">
        <f t="shared" si="2560"/>
        <v>-0.40227795237309516</v>
      </c>
      <c r="AH776" s="16">
        <f t="shared" si="2560"/>
        <v>-0.53702045180400348</v>
      </c>
      <c r="AI776" s="16">
        <f t="shared" si="2560"/>
        <v>-0.53068260281825608</v>
      </c>
      <c r="AJ776" s="16">
        <f t="shared" si="2560"/>
        <v>-0.56465414182112106</v>
      </c>
      <c r="AK776" s="16">
        <f t="shared" ref="AK776" si="2561">AK775/AF775-1</f>
        <v>-0.3863020557083896</v>
      </c>
      <c r="AL776" s="16">
        <f t="shared" ref="AL776:AO776" si="2562">AL775/AG775-1</f>
        <v>-0.3863020557083896</v>
      </c>
      <c r="AM776" s="16">
        <f t="shared" si="2562"/>
        <v>-0.20594921562465296</v>
      </c>
      <c r="AN776" s="16">
        <f t="shared" si="2562"/>
        <v>-6.4187532847545858E-2</v>
      </c>
      <c r="AO776" s="16">
        <f t="shared" si="2562"/>
        <v>5.7036858211141572E-2</v>
      </c>
      <c r="AP776" s="16">
        <f t="shared" ref="AP776" si="2563">AP775/AK775-1</f>
        <v>1.6942205494913098E-2</v>
      </c>
      <c r="AQ776" s="16">
        <f t="shared" ref="AQ776" si="2564">AQ775/AL775-1</f>
        <v>1.6942205494913098E-2</v>
      </c>
      <c r="AR776" s="16">
        <f t="shared" ref="AR776" si="2565">AR775/AM775-1</f>
        <v>8.5623933106477867E-2</v>
      </c>
      <c r="AS776" s="16">
        <f t="shared" ref="AS776" si="2566">AS775/AN775-1</f>
        <v>0.13512433381493105</v>
      </c>
      <c r="AT776" s="16">
        <f t="shared" ref="AT776" si="2567">AT775/AO775-1</f>
        <v>5.834514970156035E-2</v>
      </c>
      <c r="AU776" s="16">
        <f t="shared" ref="AU776" si="2568">AU775/AP775-1</f>
        <v>0.15427069645995251</v>
      </c>
      <c r="AV776" s="16">
        <f t="shared" ref="AV776" si="2569">AV775/AQ775-1</f>
        <v>0.15427069645995251</v>
      </c>
      <c r="AW776" s="16">
        <f t="shared" ref="AW776" si="2570">AW775/AR775-1</f>
        <v>0.14679486665559582</v>
      </c>
      <c r="AX776" s="16">
        <f t="shared" ref="AX776:AY776" si="2571">AX775/AS775-1</f>
        <v>0.20180811268975263</v>
      </c>
      <c r="AY776" s="16">
        <f t="shared" si="2571"/>
        <v>0.12809618501266251</v>
      </c>
      <c r="AZ776" s="16">
        <f t="shared" ref="AZ776" si="2572">AZ775/AU775-1</f>
        <v>3.4593164286782052E-2</v>
      </c>
      <c r="BA776" s="16">
        <f t="shared" ref="BA776" si="2573">BA775/AV775-1</f>
        <v>3.4593164286782052E-2</v>
      </c>
      <c r="BB776" s="16">
        <f t="shared" ref="BB776" si="2574">BB775/AW775-1</f>
        <v>-2.9688036621218217E-2</v>
      </c>
      <c r="BC776" s="16">
        <f t="shared" ref="BC776" si="2575">BC775/AX775-1</f>
        <v>-0.12961996578646051</v>
      </c>
      <c r="BD776" s="16">
        <f t="shared" ref="BD776" si="2576">BD775/AY775-1</f>
        <v>-2.4494900959079469E-2</v>
      </c>
      <c r="BE776" s="16">
        <f t="shared" ref="BE776" si="2577">BE775/AZ775-1</f>
        <v>3.2393031310888665E-2</v>
      </c>
      <c r="BF776" s="16">
        <f t="shared" ref="BF776" si="2578">BF775/BA775-1</f>
        <v>3.2393031310888665E-2</v>
      </c>
      <c r="BG776" s="16">
        <f t="shared" ref="BG776" si="2579">BG775/BB775-1</f>
        <v>3.2358855629521788E-2</v>
      </c>
      <c r="BH776" s="16">
        <f t="shared" ref="BH776" si="2580">BH775/BC775-1</f>
        <v>3.2452901096167386E-2</v>
      </c>
      <c r="BI776" s="16">
        <f t="shared" ref="BI776" si="2581">BI775/BD775-1</f>
        <v>3.2562811098385325E-2</v>
      </c>
      <c r="BJ776" s="16">
        <f t="shared" ref="BJ776" si="2582">BJ775/BE775-1</f>
        <v>3.3186511778714012E-2</v>
      </c>
      <c r="BK776" s="16">
        <f t="shared" ref="BK776" si="2583">BK775/BF775-1</f>
        <v>3.3186511778714012E-2</v>
      </c>
      <c r="BL776" s="16">
        <f t="shared" ref="BL776" si="2584">BL775/BG775-1</f>
        <v>3.3763149143511972E-2</v>
      </c>
      <c r="BM776" s="16">
        <f t="shared" ref="BM776" si="2585">BM775/BH775-1</f>
        <v>3.4432512424769968E-2</v>
      </c>
      <c r="BN776" s="16">
        <f t="shared" ref="BN776" si="2586">BN775/BI775-1</f>
        <v>3.4898096422196767E-2</v>
      </c>
      <c r="BO776" s="16">
        <f t="shared" ref="BO776" si="2587">BO775/BJ775-1</f>
        <v>3.4816794117971783E-2</v>
      </c>
      <c r="BP776" s="16">
        <f t="shared" ref="BP776" si="2588">BP775/BK775-1</f>
        <v>3.4816794117971783E-2</v>
      </c>
      <c r="BQ776" s="16">
        <f t="shared" ref="BQ776" si="2589">BQ775/BL775-1</f>
        <v>3.4768319141900816E-2</v>
      </c>
      <c r="BR776" s="16">
        <f t="shared" ref="BR776" si="2590">BR775/BM775-1</f>
        <v>3.446381923118147E-2</v>
      </c>
      <c r="BS776" s="16"/>
    </row>
    <row r="778" spans="1:78" s="46" customFormat="1">
      <c r="A778" s="47" t="s">
        <v>177</v>
      </c>
    </row>
    <row r="780" spans="1:78">
      <c r="A780" s="5" t="s">
        <v>86</v>
      </c>
      <c r="Y780" s="37">
        <v>5000</v>
      </c>
      <c r="Z780" s="37">
        <v>10000</v>
      </c>
      <c r="AA780" s="37">
        <v>20000</v>
      </c>
      <c r="AB780" s="38">
        <f>AA780</f>
        <v>20000</v>
      </c>
      <c r="AC780" s="37">
        <v>40000</v>
      </c>
      <c r="AD780" s="38">
        <f>AD790+AD787+AD788</f>
        <v>39400</v>
      </c>
      <c r="AE780" s="38">
        <f>AE790+AE787+AE788</f>
        <v>48400</v>
      </c>
      <c r="AF780" s="38">
        <f>AF790+AF787+AF788</f>
        <v>53400</v>
      </c>
      <c r="AG780" s="38">
        <f>AF780</f>
        <v>53400</v>
      </c>
      <c r="AH780" s="38">
        <f>AH790+AH787+AH788</f>
        <v>53400</v>
      </c>
      <c r="AI780" s="38">
        <f>AI790+AI787+AI788</f>
        <v>53400</v>
      </c>
      <c r="AJ780" s="38">
        <f>AJ790+AJ787+AJ788</f>
        <v>53400</v>
      </c>
      <c r="AK780" s="38">
        <f>AK790+AK787+AK788</f>
        <v>53400</v>
      </c>
      <c r="AL780" s="38">
        <f>AK780</f>
        <v>53400</v>
      </c>
      <c r="AM780" s="38">
        <f>AM790+AM787+AM788</f>
        <v>57400</v>
      </c>
      <c r="AN780" s="38">
        <f>AN790+AN787+AN788</f>
        <v>57400</v>
      </c>
      <c r="AO780" s="38">
        <f>AO790+AO787+AO788</f>
        <v>57200</v>
      </c>
      <c r="AP780" s="38">
        <f>AP790+AP787+AP788</f>
        <v>57200</v>
      </c>
      <c r="AQ780" s="38">
        <f>AP780</f>
        <v>57200</v>
      </c>
      <c r="AR780" s="38">
        <f>AR790+AR787+AR788</f>
        <v>57200</v>
      </c>
      <c r="AS780" s="38">
        <f>AS790+AS787+AS788</f>
        <v>58200</v>
      </c>
      <c r="AT780" s="38">
        <f>AT790+AT787+AT788</f>
        <v>63200</v>
      </c>
      <c r="AU780" s="38">
        <f>AU790+AU787+AU788</f>
        <v>63200</v>
      </c>
      <c r="AV780" s="38">
        <f>AU780</f>
        <v>63200</v>
      </c>
      <c r="AW780" s="38">
        <f>AW790+AW787+AW788</f>
        <v>63200</v>
      </c>
      <c r="AX780" s="38">
        <f>AX790+AX787+AX788</f>
        <v>65200</v>
      </c>
      <c r="AY780" s="38">
        <f>AY790+AY787+AY788</f>
        <v>92200</v>
      </c>
      <c r="AZ780" s="55">
        <f t="shared" ref="AZ780:AZ782" si="2591">AY780</f>
        <v>92200</v>
      </c>
      <c r="BA780" s="38">
        <f>AZ780</f>
        <v>92200</v>
      </c>
      <c r="BB780" s="55">
        <f t="shared" ref="BB780:BB782" si="2592">BA780</f>
        <v>92200</v>
      </c>
      <c r="BC780" s="55">
        <f t="shared" ref="BC780:BC782" si="2593">BB780</f>
        <v>92200</v>
      </c>
      <c r="BD780" s="55">
        <f t="shared" ref="BD780:BD782" si="2594">BC780</f>
        <v>92200</v>
      </c>
      <c r="BE780" s="55">
        <f t="shared" ref="BE780:BE782" si="2595">BD780</f>
        <v>92200</v>
      </c>
      <c r="BF780" s="38">
        <f>BE780</f>
        <v>92200</v>
      </c>
      <c r="BG780" s="55">
        <f t="shared" ref="BG780:BG782" si="2596">BF780</f>
        <v>92200</v>
      </c>
      <c r="BH780" s="55">
        <f t="shared" ref="BH780:BH782" si="2597">BG780</f>
        <v>92200</v>
      </c>
      <c r="BI780" s="55">
        <f t="shared" ref="BI780:BI782" si="2598">BH780</f>
        <v>92200</v>
      </c>
      <c r="BJ780" s="55">
        <f t="shared" ref="BJ780:BJ782" si="2599">BI780</f>
        <v>92200</v>
      </c>
      <c r="BK780" s="38">
        <f>BJ780</f>
        <v>92200</v>
      </c>
      <c r="BL780" s="55">
        <f t="shared" ref="BL780:BL782" si="2600">BK780</f>
        <v>92200</v>
      </c>
      <c r="BM780" s="55">
        <f t="shared" ref="BM780:BM782" si="2601">BL780</f>
        <v>92200</v>
      </c>
      <c r="BN780" s="55">
        <f t="shared" ref="BN780:BN782" si="2602">BM780</f>
        <v>92200</v>
      </c>
      <c r="BO780" s="55">
        <f t="shared" ref="BO780:BO782" si="2603">BN780</f>
        <v>92200</v>
      </c>
      <c r="BP780" s="38">
        <f>BO780</f>
        <v>92200</v>
      </c>
      <c r="BQ780" s="55">
        <f t="shared" ref="BQ780:BQ782" si="2604">BP780</f>
        <v>92200</v>
      </c>
      <c r="BR780" s="55">
        <f t="shared" ref="BR780:BR782" si="2605">BQ780</f>
        <v>92200</v>
      </c>
      <c r="BS780" s="55">
        <f t="shared" ref="BS780:BS782" si="2606">BR780</f>
        <v>92200</v>
      </c>
      <c r="BT780" s="55">
        <f t="shared" ref="BT780:BT782" si="2607">BS780</f>
        <v>92200</v>
      </c>
      <c r="BU780" s="38">
        <f>BT780</f>
        <v>92200</v>
      </c>
      <c r="BV780" s="55">
        <f t="shared" ref="BV780:BV782" si="2608">BU780</f>
        <v>92200</v>
      </c>
      <c r="BW780" s="55">
        <f t="shared" ref="BW780:BW782" si="2609">BV780</f>
        <v>92200</v>
      </c>
      <c r="BX780" s="55">
        <f t="shared" ref="BX780:BX782" si="2610">BW780</f>
        <v>92200</v>
      </c>
      <c r="BY780" s="55">
        <f t="shared" ref="BY780:BY782" si="2611">BX780</f>
        <v>92200</v>
      </c>
      <c r="BZ780" s="38">
        <f>BY780</f>
        <v>92200</v>
      </c>
    </row>
    <row r="781" spans="1:78">
      <c r="A781" s="5" t="s">
        <v>178</v>
      </c>
      <c r="AB781" s="38"/>
      <c r="AD781" s="37">
        <v>2600</v>
      </c>
      <c r="AE781" s="37">
        <v>2600</v>
      </c>
      <c r="AF781" s="37">
        <v>2600</v>
      </c>
      <c r="AG781" s="38">
        <f>AF781</f>
        <v>2600</v>
      </c>
      <c r="AH781" s="37">
        <v>2600</v>
      </c>
      <c r="AI781" s="37">
        <v>2600</v>
      </c>
      <c r="AJ781" s="37">
        <v>2600</v>
      </c>
      <c r="AK781" s="37">
        <v>2600</v>
      </c>
      <c r="AL781" s="38">
        <f>AK781</f>
        <v>2600</v>
      </c>
      <c r="AM781" s="37">
        <v>2600</v>
      </c>
      <c r="AN781" s="37">
        <v>2600</v>
      </c>
      <c r="AO781" s="37">
        <v>2600</v>
      </c>
      <c r="AP781" s="37">
        <v>2600</v>
      </c>
      <c r="AQ781" s="38">
        <f>AP781</f>
        <v>2600</v>
      </c>
      <c r="AR781" s="37">
        <v>2600</v>
      </c>
      <c r="AS781" s="37">
        <v>2600</v>
      </c>
      <c r="AT781" s="37">
        <v>2600</v>
      </c>
      <c r="AU781" s="37">
        <v>2600</v>
      </c>
      <c r="AV781" s="38">
        <f>AU781</f>
        <v>2600</v>
      </c>
      <c r="AW781" s="37">
        <v>2600</v>
      </c>
      <c r="AX781" s="37">
        <v>2600</v>
      </c>
      <c r="AY781" s="37">
        <v>2600</v>
      </c>
      <c r="AZ781" s="55">
        <f t="shared" si="2591"/>
        <v>2600</v>
      </c>
      <c r="BA781" s="38">
        <f>AZ781</f>
        <v>2600</v>
      </c>
      <c r="BB781" s="55">
        <f t="shared" si="2592"/>
        <v>2600</v>
      </c>
      <c r="BC781" s="55">
        <f t="shared" si="2593"/>
        <v>2600</v>
      </c>
      <c r="BD781" s="55">
        <f t="shared" si="2594"/>
        <v>2600</v>
      </c>
      <c r="BE781" s="55">
        <f t="shared" si="2595"/>
        <v>2600</v>
      </c>
      <c r="BF781" s="38">
        <f>BE781</f>
        <v>2600</v>
      </c>
      <c r="BG781" s="55">
        <f t="shared" si="2596"/>
        <v>2600</v>
      </c>
      <c r="BH781" s="55">
        <f t="shared" si="2597"/>
        <v>2600</v>
      </c>
      <c r="BI781" s="55">
        <f t="shared" si="2598"/>
        <v>2600</v>
      </c>
      <c r="BJ781" s="55">
        <f t="shared" si="2599"/>
        <v>2600</v>
      </c>
      <c r="BK781" s="38">
        <f>BJ781</f>
        <v>2600</v>
      </c>
      <c r="BL781" s="55">
        <f t="shared" si="2600"/>
        <v>2600</v>
      </c>
      <c r="BM781" s="55">
        <f t="shared" si="2601"/>
        <v>2600</v>
      </c>
      <c r="BN781" s="55">
        <f t="shared" si="2602"/>
        <v>2600</v>
      </c>
      <c r="BO781" s="55">
        <f t="shared" si="2603"/>
        <v>2600</v>
      </c>
      <c r="BP781" s="38">
        <f>BO781</f>
        <v>2600</v>
      </c>
      <c r="BQ781" s="55">
        <f t="shared" si="2604"/>
        <v>2600</v>
      </c>
      <c r="BR781" s="55">
        <f t="shared" si="2605"/>
        <v>2600</v>
      </c>
      <c r="BS781" s="55">
        <f t="shared" si="2606"/>
        <v>2600</v>
      </c>
      <c r="BT781" s="55">
        <f t="shared" si="2607"/>
        <v>2600</v>
      </c>
      <c r="BU781" s="38">
        <f>BT781</f>
        <v>2600</v>
      </c>
      <c r="BV781" s="55">
        <f t="shared" si="2608"/>
        <v>2600</v>
      </c>
      <c r="BW781" s="55">
        <f t="shared" si="2609"/>
        <v>2600</v>
      </c>
      <c r="BX781" s="55">
        <f t="shared" si="2610"/>
        <v>2600</v>
      </c>
      <c r="BY781" s="55">
        <f t="shared" si="2611"/>
        <v>2600</v>
      </c>
      <c r="BZ781" s="38">
        <f>BY781</f>
        <v>2600</v>
      </c>
    </row>
    <row r="782" spans="1:78">
      <c r="A782" s="9" t="s">
        <v>170</v>
      </c>
      <c r="B782" s="9"/>
      <c r="C782" s="9"/>
      <c r="D782" s="9"/>
      <c r="E782" s="9"/>
      <c r="F782" s="9"/>
      <c r="G782" s="9"/>
      <c r="H782" s="9"/>
      <c r="I782" s="9"/>
      <c r="J782" s="9"/>
      <c r="K782" s="9"/>
      <c r="L782" s="9"/>
      <c r="M782" s="9"/>
      <c r="N782" s="9"/>
      <c r="O782" s="9"/>
      <c r="P782" s="9"/>
      <c r="Q782" s="9"/>
      <c r="R782" s="9"/>
      <c r="S782" s="9"/>
      <c r="T782" s="9"/>
      <c r="U782" s="9"/>
      <c r="V782" s="9"/>
      <c r="W782" s="9"/>
      <c r="X782" s="9"/>
      <c r="Y782" s="48">
        <f>SUM(Y780:Y781)</f>
        <v>5000</v>
      </c>
      <c r="Z782" s="48">
        <f>SUM(Z780:Z781)</f>
        <v>10000</v>
      </c>
      <c r="AA782" s="48">
        <f>SUM(AA780:AA781)</f>
        <v>20000</v>
      </c>
      <c r="AB782" s="39">
        <f>AA782</f>
        <v>20000</v>
      </c>
      <c r="AC782" s="48">
        <f>SUM(AC780:AC781)</f>
        <v>40000</v>
      </c>
      <c r="AD782" s="48">
        <f>SUM(AD780:AD781)</f>
        <v>42000</v>
      </c>
      <c r="AE782" s="48">
        <f>SUM(AE780:AE781)</f>
        <v>51000</v>
      </c>
      <c r="AF782" s="48">
        <f>SUM(AF780:AF781)</f>
        <v>56000</v>
      </c>
      <c r="AG782" s="39">
        <f>AF782</f>
        <v>56000</v>
      </c>
      <c r="AH782" s="48">
        <f>SUM(AH780:AH781)</f>
        <v>56000</v>
      </c>
      <c r="AI782" s="48">
        <f>SUM(AI780:AI781)</f>
        <v>56000</v>
      </c>
      <c r="AJ782" s="48">
        <f>SUM(AJ780:AJ781)</f>
        <v>56000</v>
      </c>
      <c r="AK782" s="48">
        <f>SUM(AK780:AK781)</f>
        <v>56000</v>
      </c>
      <c r="AL782" s="39">
        <f>AK782</f>
        <v>56000</v>
      </c>
      <c r="AM782" s="48">
        <f>SUM(AM780:AM781)</f>
        <v>60000</v>
      </c>
      <c r="AN782" s="48">
        <f>SUM(AN780:AN781)</f>
        <v>60000</v>
      </c>
      <c r="AO782" s="48">
        <f>SUM(AO780:AO781)</f>
        <v>59800</v>
      </c>
      <c r="AP782" s="48">
        <f>SUM(AP780:AP781)</f>
        <v>59800</v>
      </c>
      <c r="AQ782" s="39">
        <f>AP782</f>
        <v>59800</v>
      </c>
      <c r="AR782" s="48">
        <f>SUM(AR780:AR781)</f>
        <v>59800</v>
      </c>
      <c r="AS782" s="48">
        <f>SUM(AS780:AS781)</f>
        <v>60800</v>
      </c>
      <c r="AT782" s="48">
        <f>SUM(AT780:AT781)</f>
        <v>65800</v>
      </c>
      <c r="AU782" s="39">
        <f t="shared" ref="AU782" si="2612">AT782</f>
        <v>65800</v>
      </c>
      <c r="AV782" s="39">
        <f>AU782</f>
        <v>65800</v>
      </c>
      <c r="AW782" s="48">
        <f>SUM(AW780:AW781)</f>
        <v>65800</v>
      </c>
      <c r="AX782" s="48">
        <f>SUM(AX780:AX781)</f>
        <v>67800</v>
      </c>
      <c r="AY782" s="48">
        <f>SUM(AY780:AY781)</f>
        <v>94800</v>
      </c>
      <c r="AZ782" s="39">
        <f t="shared" si="2591"/>
        <v>94800</v>
      </c>
      <c r="BA782" s="39">
        <f>AZ782</f>
        <v>94800</v>
      </c>
      <c r="BB782" s="39">
        <f t="shared" si="2592"/>
        <v>94800</v>
      </c>
      <c r="BC782" s="39">
        <f t="shared" si="2593"/>
        <v>94800</v>
      </c>
      <c r="BD782" s="39">
        <f t="shared" si="2594"/>
        <v>94800</v>
      </c>
      <c r="BE782" s="39">
        <f t="shared" si="2595"/>
        <v>94800</v>
      </c>
      <c r="BF782" s="39">
        <f>BE782</f>
        <v>94800</v>
      </c>
      <c r="BG782" s="39">
        <f t="shared" si="2596"/>
        <v>94800</v>
      </c>
      <c r="BH782" s="39">
        <f t="shared" si="2597"/>
        <v>94800</v>
      </c>
      <c r="BI782" s="39">
        <f t="shared" si="2598"/>
        <v>94800</v>
      </c>
      <c r="BJ782" s="39">
        <f t="shared" si="2599"/>
        <v>94800</v>
      </c>
      <c r="BK782" s="39">
        <f>BJ782</f>
        <v>94800</v>
      </c>
      <c r="BL782" s="39">
        <f t="shared" si="2600"/>
        <v>94800</v>
      </c>
      <c r="BM782" s="39">
        <f t="shared" si="2601"/>
        <v>94800</v>
      </c>
      <c r="BN782" s="39">
        <f t="shared" si="2602"/>
        <v>94800</v>
      </c>
      <c r="BO782" s="39">
        <f t="shared" si="2603"/>
        <v>94800</v>
      </c>
      <c r="BP782" s="39">
        <f>BO782</f>
        <v>94800</v>
      </c>
      <c r="BQ782" s="39">
        <f t="shared" si="2604"/>
        <v>94800</v>
      </c>
      <c r="BR782" s="39">
        <f t="shared" si="2605"/>
        <v>94800</v>
      </c>
      <c r="BS782" s="39">
        <f t="shared" si="2606"/>
        <v>94800</v>
      </c>
      <c r="BT782" s="39">
        <f t="shared" si="2607"/>
        <v>94800</v>
      </c>
      <c r="BU782" s="39">
        <f>BT782</f>
        <v>94800</v>
      </c>
      <c r="BV782" s="39">
        <f t="shared" si="2608"/>
        <v>94800</v>
      </c>
      <c r="BW782" s="39">
        <f t="shared" si="2609"/>
        <v>94800</v>
      </c>
      <c r="BX782" s="39">
        <f t="shared" si="2610"/>
        <v>94800</v>
      </c>
      <c r="BY782" s="39">
        <f t="shared" si="2611"/>
        <v>94800</v>
      </c>
      <c r="BZ782" s="39">
        <f>BY782</f>
        <v>94800</v>
      </c>
    </row>
    <row r="784" spans="1:78">
      <c r="A784" s="1" t="s">
        <v>179</v>
      </c>
      <c r="AG784" s="21"/>
      <c r="AH784" s="21"/>
      <c r="AI784" s="21"/>
      <c r="AJ784" s="21"/>
      <c r="AK784" s="21"/>
      <c r="AL784" s="21"/>
      <c r="AM784" s="21"/>
      <c r="AN784" s="21"/>
      <c r="AO784" s="21"/>
    </row>
    <row r="785" spans="1:78">
      <c r="A785" s="1" t="s">
        <v>180</v>
      </c>
      <c r="AG785" s="21"/>
      <c r="AH785" s="21"/>
      <c r="AI785" s="21"/>
      <c r="AJ785" s="21"/>
      <c r="AK785" s="21"/>
      <c r="AL785" s="21"/>
      <c r="AM785" s="21"/>
      <c r="AN785" s="21"/>
      <c r="AO785" s="21"/>
    </row>
    <row r="786" spans="1:78">
      <c r="AD786" s="25" t="s">
        <v>577</v>
      </c>
      <c r="AZ786" s="782" t="s">
        <v>3589</v>
      </c>
      <c r="BA786" s="618"/>
      <c r="BB786" s="618"/>
      <c r="BC786" s="618"/>
      <c r="BD786" s="618"/>
      <c r="BE786" s="618"/>
      <c r="BF786" s="618"/>
      <c r="BG786" s="618"/>
    </row>
    <row r="787" spans="1:78">
      <c r="A787" s="5" t="s">
        <v>3191</v>
      </c>
      <c r="AD787" s="37">
        <v>19300</v>
      </c>
      <c r="AE787" s="37">
        <v>28000</v>
      </c>
      <c r="AF787" s="37">
        <v>32800</v>
      </c>
      <c r="AG787" s="38">
        <f t="shared" ref="AG787:AG790" si="2613">AF787</f>
        <v>32800</v>
      </c>
      <c r="AH787" s="37">
        <v>32600</v>
      </c>
      <c r="AI787" s="37">
        <v>32500</v>
      </c>
      <c r="AJ787" s="37">
        <v>32100</v>
      </c>
      <c r="AK787" s="37">
        <v>32100</v>
      </c>
      <c r="AL787" s="38">
        <f t="shared" ref="AL787:AL790" si="2614">AK787</f>
        <v>32100</v>
      </c>
      <c r="AM787" s="37">
        <v>35200</v>
      </c>
      <c r="AN787" s="37">
        <v>34200</v>
      </c>
      <c r="AO787" s="37">
        <v>32300</v>
      </c>
      <c r="AP787" s="37">
        <v>32300</v>
      </c>
      <c r="AQ787" s="38">
        <f t="shared" ref="AQ787:AQ790" si="2615">AP787</f>
        <v>32300</v>
      </c>
      <c r="AR787" s="37">
        <v>32200</v>
      </c>
      <c r="AS787" s="37">
        <v>33200</v>
      </c>
      <c r="AT787" s="37">
        <v>38100</v>
      </c>
      <c r="AU787" s="37">
        <v>38100</v>
      </c>
      <c r="AV787" s="38">
        <f t="shared" ref="AV787:AV790" si="2616">AU787</f>
        <v>38100</v>
      </c>
      <c r="AW787" s="37">
        <v>37900</v>
      </c>
      <c r="AX787" s="37">
        <v>39900</v>
      </c>
      <c r="AY787" s="37">
        <v>66900</v>
      </c>
      <c r="AZ787" s="877">
        <f>AY787+6200</f>
        <v>73100</v>
      </c>
      <c r="BA787" s="38">
        <f t="shared" ref="BA787:BA790" si="2617">AZ787</f>
        <v>73100</v>
      </c>
      <c r="BB787" s="228">
        <f>BA787+'TopCo Net debt waterfall'!BB26</f>
        <v>83100</v>
      </c>
      <c r="BC787" s="228">
        <f>BB787+'TopCo Net debt waterfall'!BC26</f>
        <v>93100</v>
      </c>
      <c r="BD787" s="228">
        <f>BC787+'TopCo Net debt waterfall'!BD26</f>
        <v>103100</v>
      </c>
      <c r="BE787" s="228">
        <f t="shared" ref="BE787:BE790" si="2618">BD787</f>
        <v>103100</v>
      </c>
      <c r="BF787" s="38">
        <f t="shared" ref="BF787:BF790" si="2619">BE787</f>
        <v>103100</v>
      </c>
      <c r="BG787" s="55">
        <f t="shared" ref="BG787:BG791" si="2620">BF787</f>
        <v>103100</v>
      </c>
      <c r="BH787" s="55">
        <f t="shared" ref="BH787:BH791" si="2621">BG787</f>
        <v>103100</v>
      </c>
      <c r="BI787" s="55">
        <f t="shared" ref="BI787:BI791" si="2622">BH787</f>
        <v>103100</v>
      </c>
      <c r="BJ787" s="55">
        <f t="shared" ref="BJ787:BJ791" si="2623">BI787</f>
        <v>103100</v>
      </c>
      <c r="BK787" s="38">
        <f t="shared" ref="BK787:BK790" si="2624">BJ787</f>
        <v>103100</v>
      </c>
      <c r="BL787" s="55">
        <f t="shared" ref="BL787:BL791" si="2625">BK787</f>
        <v>103100</v>
      </c>
      <c r="BM787" s="55">
        <f t="shared" ref="BM787:BM791" si="2626">BL787</f>
        <v>103100</v>
      </c>
      <c r="BN787" s="55">
        <f t="shared" ref="BN787:BN791" si="2627">BM787</f>
        <v>103100</v>
      </c>
      <c r="BO787" s="55">
        <f t="shared" ref="BO787:BO791" si="2628">BN787</f>
        <v>103100</v>
      </c>
      <c r="BP787" s="38">
        <f t="shared" ref="BP787:BP790" si="2629">BO787</f>
        <v>103100</v>
      </c>
      <c r="BQ787" s="55">
        <f t="shared" ref="BQ787:BQ791" si="2630">BP787</f>
        <v>103100</v>
      </c>
      <c r="BR787" s="55">
        <f t="shared" ref="BR787:BR791" si="2631">BQ787</f>
        <v>103100</v>
      </c>
      <c r="BS787" s="55">
        <f t="shared" ref="BS787:BS791" si="2632">BR787</f>
        <v>103100</v>
      </c>
      <c r="BT787" s="55">
        <f t="shared" ref="BT787:BT791" si="2633">BS787</f>
        <v>103100</v>
      </c>
      <c r="BU787" s="38">
        <f t="shared" ref="BU787:BU790" si="2634">BT787</f>
        <v>103100</v>
      </c>
      <c r="BV787" s="55">
        <f t="shared" ref="BV787:BV791" si="2635">BU787</f>
        <v>103100</v>
      </c>
      <c r="BW787" s="55">
        <f t="shared" ref="BW787:BW791" si="2636">BV787</f>
        <v>103100</v>
      </c>
      <c r="BX787" s="55">
        <f t="shared" ref="BX787:BX791" si="2637">BW787</f>
        <v>103100</v>
      </c>
      <c r="BY787" s="55">
        <f t="shared" ref="BY787:BY791" si="2638">BX787</f>
        <v>103100</v>
      </c>
      <c r="BZ787" s="38">
        <f t="shared" ref="BZ787:BZ790" si="2639">BY787</f>
        <v>103100</v>
      </c>
    </row>
    <row r="788" spans="1:78">
      <c r="A788" s="5" t="s">
        <v>3192</v>
      </c>
      <c r="AC788" s="169">
        <f>AD788/SUM(AD788:AD789)</f>
        <v>0.82666666666666666</v>
      </c>
      <c r="AD788" s="37">
        <v>12400</v>
      </c>
      <c r="AE788" s="37">
        <v>12400</v>
      </c>
      <c r="AF788" s="37">
        <v>12400</v>
      </c>
      <c r="AG788" s="38">
        <f t="shared" si="2613"/>
        <v>12400</v>
      </c>
      <c r="AH788" s="37">
        <v>12400</v>
      </c>
      <c r="AI788" s="37">
        <v>12400</v>
      </c>
      <c r="AJ788" s="37">
        <v>12400</v>
      </c>
      <c r="AK788" s="37">
        <v>12400</v>
      </c>
      <c r="AL788" s="38">
        <f t="shared" si="2614"/>
        <v>12400</v>
      </c>
      <c r="AM788" s="37">
        <v>12400</v>
      </c>
      <c r="AN788" s="37">
        <v>12400</v>
      </c>
      <c r="AO788" s="37">
        <v>12400</v>
      </c>
      <c r="AP788" s="37">
        <v>12400</v>
      </c>
      <c r="AQ788" s="38">
        <f t="shared" si="2615"/>
        <v>12400</v>
      </c>
      <c r="AR788" s="37">
        <v>12400</v>
      </c>
      <c r="AS788" s="37">
        <v>12400</v>
      </c>
      <c r="AT788" s="37">
        <v>12400</v>
      </c>
      <c r="AU788" s="37">
        <v>12400</v>
      </c>
      <c r="AV788" s="38">
        <f t="shared" si="2616"/>
        <v>12400</v>
      </c>
      <c r="AW788" s="37">
        <v>12500</v>
      </c>
      <c r="AX788" s="37">
        <f t="shared" ref="AX788:AX790" si="2640">AW788</f>
        <v>12500</v>
      </c>
      <c r="AY788" s="37">
        <v>12400</v>
      </c>
      <c r="AZ788" s="55">
        <f t="shared" ref="AZ788:AZ791" si="2641">AY788</f>
        <v>12400</v>
      </c>
      <c r="BA788" s="38">
        <f t="shared" si="2617"/>
        <v>12400</v>
      </c>
      <c r="BB788" s="228">
        <f t="shared" ref="BB788:BB790" si="2642">BA788</f>
        <v>12400</v>
      </c>
      <c r="BC788" s="228">
        <f t="shared" ref="BC788:BC790" si="2643">BB788</f>
        <v>12400</v>
      </c>
      <c r="BD788" s="228">
        <f t="shared" ref="BD788:BD790" si="2644">BC788</f>
        <v>12400</v>
      </c>
      <c r="BE788" s="228">
        <f t="shared" si="2618"/>
        <v>12400</v>
      </c>
      <c r="BF788" s="38">
        <f t="shared" si="2619"/>
        <v>12400</v>
      </c>
      <c r="BG788" s="55">
        <f t="shared" si="2620"/>
        <v>12400</v>
      </c>
      <c r="BH788" s="55">
        <f t="shared" si="2621"/>
        <v>12400</v>
      </c>
      <c r="BI788" s="55">
        <f t="shared" si="2622"/>
        <v>12400</v>
      </c>
      <c r="BJ788" s="55">
        <f t="shared" si="2623"/>
        <v>12400</v>
      </c>
      <c r="BK788" s="38">
        <f t="shared" si="2624"/>
        <v>12400</v>
      </c>
      <c r="BL788" s="55">
        <f t="shared" si="2625"/>
        <v>12400</v>
      </c>
      <c r="BM788" s="55">
        <f t="shared" si="2626"/>
        <v>12400</v>
      </c>
      <c r="BN788" s="55">
        <f t="shared" si="2627"/>
        <v>12400</v>
      </c>
      <c r="BO788" s="55">
        <f t="shared" si="2628"/>
        <v>12400</v>
      </c>
      <c r="BP788" s="38">
        <f t="shared" si="2629"/>
        <v>12400</v>
      </c>
      <c r="BQ788" s="55">
        <f t="shared" si="2630"/>
        <v>12400</v>
      </c>
      <c r="BR788" s="55">
        <f t="shared" si="2631"/>
        <v>12400</v>
      </c>
      <c r="BS788" s="55">
        <f t="shared" si="2632"/>
        <v>12400</v>
      </c>
      <c r="BT788" s="55">
        <f t="shared" si="2633"/>
        <v>12400</v>
      </c>
      <c r="BU788" s="38">
        <f t="shared" si="2634"/>
        <v>12400</v>
      </c>
      <c r="BV788" s="55">
        <f t="shared" si="2635"/>
        <v>12400</v>
      </c>
      <c r="BW788" s="55">
        <f t="shared" si="2636"/>
        <v>12400</v>
      </c>
      <c r="BX788" s="55">
        <f t="shared" si="2637"/>
        <v>12400</v>
      </c>
      <c r="BY788" s="55">
        <f t="shared" si="2638"/>
        <v>12400</v>
      </c>
      <c r="BZ788" s="38">
        <f t="shared" si="2639"/>
        <v>12400</v>
      </c>
    </row>
    <row r="789" spans="1:78">
      <c r="A789" s="5" t="s">
        <v>3193</v>
      </c>
      <c r="AC789" s="169">
        <f>AD789/SUM(AD788:AD789)</f>
        <v>0.17333333333333334</v>
      </c>
      <c r="AD789" s="37">
        <v>2600</v>
      </c>
      <c r="AE789" s="37">
        <v>2600</v>
      </c>
      <c r="AF789" s="37">
        <v>2600</v>
      </c>
      <c r="AG789" s="38">
        <f t="shared" si="2613"/>
        <v>2600</v>
      </c>
      <c r="AH789" s="37">
        <v>2600</v>
      </c>
      <c r="AI789" s="37">
        <v>2600</v>
      </c>
      <c r="AJ789" s="37">
        <v>2600</v>
      </c>
      <c r="AK789" s="37">
        <v>2600</v>
      </c>
      <c r="AL789" s="38">
        <f t="shared" si="2614"/>
        <v>2600</v>
      </c>
      <c r="AM789" s="37">
        <v>2600</v>
      </c>
      <c r="AN789" s="37">
        <v>2600</v>
      </c>
      <c r="AO789" s="37">
        <v>2600</v>
      </c>
      <c r="AP789" s="37">
        <v>2600</v>
      </c>
      <c r="AQ789" s="38">
        <f t="shared" si="2615"/>
        <v>2600</v>
      </c>
      <c r="AR789" s="37">
        <v>2600</v>
      </c>
      <c r="AS789" s="37">
        <f t="shared" ref="AS789:AT789" si="2645">AR789</f>
        <v>2600</v>
      </c>
      <c r="AT789" s="37">
        <f t="shared" si="2645"/>
        <v>2600</v>
      </c>
      <c r="AU789" s="37">
        <v>2600</v>
      </c>
      <c r="AV789" s="38">
        <f t="shared" si="2616"/>
        <v>2600</v>
      </c>
      <c r="AW789" s="37">
        <v>2600</v>
      </c>
      <c r="AX789" s="37">
        <f t="shared" si="2640"/>
        <v>2600</v>
      </c>
      <c r="AY789" s="37">
        <v>2600</v>
      </c>
      <c r="AZ789" s="55">
        <f t="shared" si="2641"/>
        <v>2600</v>
      </c>
      <c r="BA789" s="38">
        <f t="shared" si="2617"/>
        <v>2600</v>
      </c>
      <c r="BB789" s="228">
        <f t="shared" si="2642"/>
        <v>2600</v>
      </c>
      <c r="BC789" s="228">
        <f t="shared" si="2643"/>
        <v>2600</v>
      </c>
      <c r="BD789" s="228">
        <f t="shared" si="2644"/>
        <v>2600</v>
      </c>
      <c r="BE789" s="228">
        <f t="shared" si="2618"/>
        <v>2600</v>
      </c>
      <c r="BF789" s="38">
        <f t="shared" si="2619"/>
        <v>2600</v>
      </c>
      <c r="BG789" s="55">
        <f t="shared" si="2620"/>
        <v>2600</v>
      </c>
      <c r="BH789" s="55">
        <f t="shared" si="2621"/>
        <v>2600</v>
      </c>
      <c r="BI789" s="55">
        <f t="shared" si="2622"/>
        <v>2600</v>
      </c>
      <c r="BJ789" s="55">
        <f t="shared" si="2623"/>
        <v>2600</v>
      </c>
      <c r="BK789" s="38">
        <f t="shared" si="2624"/>
        <v>2600</v>
      </c>
      <c r="BL789" s="55">
        <f t="shared" si="2625"/>
        <v>2600</v>
      </c>
      <c r="BM789" s="55">
        <f t="shared" si="2626"/>
        <v>2600</v>
      </c>
      <c r="BN789" s="55">
        <f t="shared" si="2627"/>
        <v>2600</v>
      </c>
      <c r="BO789" s="55">
        <f t="shared" si="2628"/>
        <v>2600</v>
      </c>
      <c r="BP789" s="38">
        <f t="shared" si="2629"/>
        <v>2600</v>
      </c>
      <c r="BQ789" s="55">
        <f t="shared" si="2630"/>
        <v>2600</v>
      </c>
      <c r="BR789" s="55">
        <f t="shared" si="2631"/>
        <v>2600</v>
      </c>
      <c r="BS789" s="55">
        <f t="shared" si="2632"/>
        <v>2600</v>
      </c>
      <c r="BT789" s="55">
        <f t="shared" si="2633"/>
        <v>2600</v>
      </c>
      <c r="BU789" s="38">
        <f t="shared" si="2634"/>
        <v>2600</v>
      </c>
      <c r="BV789" s="55">
        <f t="shared" si="2635"/>
        <v>2600</v>
      </c>
      <c r="BW789" s="55">
        <f t="shared" si="2636"/>
        <v>2600</v>
      </c>
      <c r="BX789" s="55">
        <f t="shared" si="2637"/>
        <v>2600</v>
      </c>
      <c r="BY789" s="55">
        <f t="shared" si="2638"/>
        <v>2600</v>
      </c>
      <c r="BZ789" s="38">
        <f t="shared" si="2639"/>
        <v>2600</v>
      </c>
    </row>
    <row r="790" spans="1:78">
      <c r="A790" s="5" t="s">
        <v>188</v>
      </c>
      <c r="AD790" s="37">
        <v>7700</v>
      </c>
      <c r="AE790" s="37">
        <v>8000</v>
      </c>
      <c r="AF790" s="37">
        <v>8200</v>
      </c>
      <c r="AG790" s="38">
        <f t="shared" si="2613"/>
        <v>8200</v>
      </c>
      <c r="AH790" s="37">
        <v>8400</v>
      </c>
      <c r="AI790" s="37">
        <v>8500</v>
      </c>
      <c r="AJ790" s="37">
        <v>8900</v>
      </c>
      <c r="AK790" s="37">
        <v>8900</v>
      </c>
      <c r="AL790" s="38">
        <f t="shared" si="2614"/>
        <v>8900</v>
      </c>
      <c r="AM790" s="37">
        <v>9800</v>
      </c>
      <c r="AN790" s="37">
        <v>10800</v>
      </c>
      <c r="AO790" s="37">
        <v>12500</v>
      </c>
      <c r="AP790" s="37">
        <v>12500</v>
      </c>
      <c r="AQ790" s="38">
        <f t="shared" si="2615"/>
        <v>12500</v>
      </c>
      <c r="AR790" s="37">
        <v>12600</v>
      </c>
      <c r="AS790" s="37">
        <v>12600</v>
      </c>
      <c r="AT790" s="37">
        <v>12700</v>
      </c>
      <c r="AU790" s="37">
        <v>12700</v>
      </c>
      <c r="AV790" s="38">
        <f t="shared" si="2616"/>
        <v>12700</v>
      </c>
      <c r="AW790" s="37">
        <v>12800</v>
      </c>
      <c r="AX790" s="37">
        <f t="shared" si="2640"/>
        <v>12800</v>
      </c>
      <c r="AY790" s="37">
        <v>12900</v>
      </c>
      <c r="AZ790" s="55">
        <f t="shared" si="2641"/>
        <v>12900</v>
      </c>
      <c r="BA790" s="38">
        <f t="shared" si="2617"/>
        <v>12900</v>
      </c>
      <c r="BB790" s="228">
        <f t="shared" si="2642"/>
        <v>12900</v>
      </c>
      <c r="BC790" s="228">
        <f t="shared" si="2643"/>
        <v>12900</v>
      </c>
      <c r="BD790" s="228">
        <f t="shared" si="2644"/>
        <v>12900</v>
      </c>
      <c r="BE790" s="228">
        <f t="shared" si="2618"/>
        <v>12900</v>
      </c>
      <c r="BF790" s="38">
        <f t="shared" si="2619"/>
        <v>12900</v>
      </c>
      <c r="BG790" s="55">
        <f t="shared" si="2620"/>
        <v>12900</v>
      </c>
      <c r="BH790" s="55">
        <f t="shared" si="2621"/>
        <v>12900</v>
      </c>
      <c r="BI790" s="55">
        <f t="shared" si="2622"/>
        <v>12900</v>
      </c>
      <c r="BJ790" s="55">
        <f t="shared" si="2623"/>
        <v>12900</v>
      </c>
      <c r="BK790" s="38">
        <f t="shared" si="2624"/>
        <v>12900</v>
      </c>
      <c r="BL790" s="55">
        <f t="shared" si="2625"/>
        <v>12900</v>
      </c>
      <c r="BM790" s="55">
        <f t="shared" si="2626"/>
        <v>12900</v>
      </c>
      <c r="BN790" s="55">
        <f t="shared" si="2627"/>
        <v>12900</v>
      </c>
      <c r="BO790" s="55">
        <f t="shared" si="2628"/>
        <v>12900</v>
      </c>
      <c r="BP790" s="38">
        <f t="shared" si="2629"/>
        <v>12900</v>
      </c>
      <c r="BQ790" s="55">
        <f t="shared" si="2630"/>
        <v>12900</v>
      </c>
      <c r="BR790" s="55">
        <f t="shared" si="2631"/>
        <v>12900</v>
      </c>
      <c r="BS790" s="55">
        <f t="shared" si="2632"/>
        <v>12900</v>
      </c>
      <c r="BT790" s="55">
        <f t="shared" si="2633"/>
        <v>12900</v>
      </c>
      <c r="BU790" s="38">
        <f t="shared" si="2634"/>
        <v>12900</v>
      </c>
      <c r="BV790" s="55">
        <f t="shared" si="2635"/>
        <v>12900</v>
      </c>
      <c r="BW790" s="55">
        <f t="shared" si="2636"/>
        <v>12900</v>
      </c>
      <c r="BX790" s="55">
        <f t="shared" si="2637"/>
        <v>12900</v>
      </c>
      <c r="BY790" s="55">
        <f t="shared" si="2638"/>
        <v>12900</v>
      </c>
      <c r="BZ790" s="38">
        <f t="shared" si="2639"/>
        <v>12900</v>
      </c>
    </row>
    <row r="791" spans="1:78">
      <c r="A791" s="9" t="s">
        <v>170</v>
      </c>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48">
        <f>SUM(AD787:AD790)</f>
        <v>42000</v>
      </c>
      <c r="AE791" s="48">
        <f>SUM(AE787:AE790)</f>
        <v>51000</v>
      </c>
      <c r="AF791" s="48">
        <f>SUM(AF787:AF790)</f>
        <v>56000</v>
      </c>
      <c r="AG791" s="39">
        <f>AF791</f>
        <v>56000</v>
      </c>
      <c r="AH791" s="48">
        <f>SUM(AH787:AH790)</f>
        <v>56000</v>
      </c>
      <c r="AI791" s="48">
        <f>SUM(AI787:AI790)</f>
        <v>56000</v>
      </c>
      <c r="AJ791" s="48">
        <f>SUM(AJ787:AJ790)</f>
        <v>56000</v>
      </c>
      <c r="AK791" s="48">
        <f>SUM(AK787:AK790)</f>
        <v>56000</v>
      </c>
      <c r="AL791" s="39">
        <f>AK791</f>
        <v>56000</v>
      </c>
      <c r="AM791" s="48">
        <f>SUM(AM787:AM790)</f>
        <v>60000</v>
      </c>
      <c r="AN791" s="48">
        <f>SUM(AN787:AN790)</f>
        <v>60000</v>
      </c>
      <c r="AO791" s="48">
        <f>SUM(AO787:AO790)</f>
        <v>59800</v>
      </c>
      <c r="AP791" s="48">
        <f>SUM(AP787:AP790)</f>
        <v>59800</v>
      </c>
      <c r="AQ791" s="39">
        <f>AP791</f>
        <v>59800</v>
      </c>
      <c r="AR791" s="48">
        <f>SUM(AR787:AR790)</f>
        <v>59800</v>
      </c>
      <c r="AS791" s="48">
        <f>SUM(AS787:AS790)</f>
        <v>60800</v>
      </c>
      <c r="AT791" s="48">
        <f>SUM(AT787:AT790)</f>
        <v>65800</v>
      </c>
      <c r="AU791" s="48">
        <f>SUM(AU787:AU790)</f>
        <v>65800</v>
      </c>
      <c r="AV791" s="39">
        <f>AU791</f>
        <v>65800</v>
      </c>
      <c r="AW791" s="48">
        <f>SUM(AW787:AW790)</f>
        <v>65800</v>
      </c>
      <c r="AX791" s="48">
        <f>SUM(AX787:AX790)</f>
        <v>67800</v>
      </c>
      <c r="AY791" s="48">
        <f>SUM(AY787:AY790)</f>
        <v>94800</v>
      </c>
      <c r="AZ791" s="39">
        <f t="shared" si="2641"/>
        <v>94800</v>
      </c>
      <c r="BA791" s="39">
        <f>AZ791</f>
        <v>94800</v>
      </c>
      <c r="BB791" s="39">
        <f>SUM(BB787:BB790)</f>
        <v>111000</v>
      </c>
      <c r="BC791" s="39">
        <f>SUM(BC787:BC790)</f>
        <v>121000</v>
      </c>
      <c r="BD791" s="39">
        <f>SUM(BD787:BD790)</f>
        <v>131000</v>
      </c>
      <c r="BE791" s="39">
        <f>SUM(BE787:BE790)</f>
        <v>131000</v>
      </c>
      <c r="BF791" s="39">
        <f>BE791</f>
        <v>131000</v>
      </c>
      <c r="BG791" s="39">
        <f t="shared" si="2620"/>
        <v>131000</v>
      </c>
      <c r="BH791" s="39">
        <f t="shared" si="2621"/>
        <v>131000</v>
      </c>
      <c r="BI791" s="39">
        <f t="shared" si="2622"/>
        <v>131000</v>
      </c>
      <c r="BJ791" s="39">
        <f t="shared" si="2623"/>
        <v>131000</v>
      </c>
      <c r="BK791" s="39">
        <f>BJ791</f>
        <v>131000</v>
      </c>
      <c r="BL791" s="39">
        <f t="shared" si="2625"/>
        <v>131000</v>
      </c>
      <c r="BM791" s="39">
        <f t="shared" si="2626"/>
        <v>131000</v>
      </c>
      <c r="BN791" s="39">
        <f t="shared" si="2627"/>
        <v>131000</v>
      </c>
      <c r="BO791" s="39">
        <f t="shared" si="2628"/>
        <v>131000</v>
      </c>
      <c r="BP791" s="39">
        <f>BO791</f>
        <v>131000</v>
      </c>
      <c r="BQ791" s="39">
        <f t="shared" si="2630"/>
        <v>131000</v>
      </c>
      <c r="BR791" s="39">
        <f t="shared" si="2631"/>
        <v>131000</v>
      </c>
      <c r="BS791" s="39">
        <f t="shared" si="2632"/>
        <v>131000</v>
      </c>
      <c r="BT791" s="39">
        <f t="shared" si="2633"/>
        <v>131000</v>
      </c>
      <c r="BU791" s="39">
        <f>BT791</f>
        <v>131000</v>
      </c>
      <c r="BV791" s="39">
        <f t="shared" si="2635"/>
        <v>131000</v>
      </c>
      <c r="BW791" s="39">
        <f t="shared" si="2636"/>
        <v>131000</v>
      </c>
      <c r="BX791" s="39">
        <f t="shared" si="2637"/>
        <v>131000</v>
      </c>
      <c r="BY791" s="39">
        <f t="shared" si="2638"/>
        <v>131000</v>
      </c>
      <c r="BZ791" s="39">
        <f>BY791</f>
        <v>131000</v>
      </c>
    </row>
    <row r="793" spans="1:78">
      <c r="A793" s="1" t="s">
        <v>181</v>
      </c>
      <c r="AD793" s="51">
        <f t="shared" ref="AD793:BZ793" si="2646">1-AD794</f>
        <v>0.82750000000000001</v>
      </c>
      <c r="AE793" s="51">
        <f t="shared" si="2646"/>
        <v>0.82750000000000001</v>
      </c>
      <c r="AF793" s="51">
        <f t="shared" si="2646"/>
        <v>0.82750000000000001</v>
      </c>
      <c r="AG793" s="51">
        <f t="shared" si="2646"/>
        <v>0.82750000000000001</v>
      </c>
      <c r="AH793" s="51">
        <f t="shared" si="2646"/>
        <v>0.82750000000000001</v>
      </c>
      <c r="AI793" s="51">
        <f t="shared" si="2646"/>
        <v>0.82750000000000001</v>
      </c>
      <c r="AJ793" s="51">
        <f t="shared" si="2646"/>
        <v>0.82750000000000001</v>
      </c>
      <c r="AK793" s="51">
        <f t="shared" si="2646"/>
        <v>0.82750000000000001</v>
      </c>
      <c r="AL793" s="51">
        <f t="shared" si="2646"/>
        <v>0.82750000000000001</v>
      </c>
      <c r="AM793" s="51">
        <f t="shared" si="2646"/>
        <v>0.82750000000000001</v>
      </c>
      <c r="AN793" s="51">
        <f t="shared" si="2646"/>
        <v>0.82750000000000001</v>
      </c>
      <c r="AO793" s="51">
        <f t="shared" si="2646"/>
        <v>0.82750000000000001</v>
      </c>
      <c r="AP793" s="51">
        <f t="shared" si="2646"/>
        <v>0.82750000000000001</v>
      </c>
      <c r="AQ793" s="51">
        <f t="shared" si="2646"/>
        <v>0.82750000000000001</v>
      </c>
      <c r="AR793" s="51">
        <f t="shared" si="2646"/>
        <v>0.82750000000000001</v>
      </c>
      <c r="AS793" s="51">
        <f t="shared" si="2646"/>
        <v>0.82750000000000001</v>
      </c>
      <c r="AT793" s="51">
        <f t="shared" si="2646"/>
        <v>0.82750000000000001</v>
      </c>
      <c r="AU793" s="51">
        <f t="shared" si="2646"/>
        <v>0.82750000000000001</v>
      </c>
      <c r="AV793" s="51">
        <f t="shared" si="2646"/>
        <v>0.82750000000000001</v>
      </c>
      <c r="AW793" s="51">
        <f t="shared" si="2646"/>
        <v>0.82750000000000001</v>
      </c>
      <c r="AX793" s="51">
        <f t="shared" si="2646"/>
        <v>0.82750000000000001</v>
      </c>
      <c r="AY793" s="51">
        <f t="shared" si="2646"/>
        <v>0.82750000000000001</v>
      </c>
      <c r="AZ793" s="51">
        <f t="shared" si="2646"/>
        <v>0.82750000000000001</v>
      </c>
      <c r="BA793" s="51">
        <f t="shared" si="2646"/>
        <v>0.82750000000000001</v>
      </c>
      <c r="BB793" s="51">
        <f t="shared" si="2646"/>
        <v>0.82750000000000001</v>
      </c>
      <c r="BC793" s="51">
        <f t="shared" si="2646"/>
        <v>0.82750000000000001</v>
      </c>
      <c r="BD793" s="51">
        <f t="shared" si="2646"/>
        <v>0.82750000000000001</v>
      </c>
      <c r="BE793" s="51">
        <f t="shared" si="2646"/>
        <v>0.82750000000000001</v>
      </c>
      <c r="BF793" s="51">
        <f t="shared" si="2646"/>
        <v>0.82750000000000001</v>
      </c>
      <c r="BG793" s="51">
        <f t="shared" si="2646"/>
        <v>0.82750000000000001</v>
      </c>
      <c r="BH793" s="51">
        <f t="shared" si="2646"/>
        <v>0.82750000000000001</v>
      </c>
      <c r="BI793" s="51">
        <f t="shared" si="2646"/>
        <v>0.82750000000000001</v>
      </c>
      <c r="BJ793" s="51">
        <f t="shared" si="2646"/>
        <v>0.82750000000000001</v>
      </c>
      <c r="BK793" s="51">
        <f t="shared" si="2646"/>
        <v>0.82750000000000001</v>
      </c>
      <c r="BL793" s="51">
        <f t="shared" si="2646"/>
        <v>0.82750000000000001</v>
      </c>
      <c r="BM793" s="51">
        <f t="shared" si="2646"/>
        <v>0.82750000000000001</v>
      </c>
      <c r="BN793" s="51">
        <f t="shared" si="2646"/>
        <v>0.82750000000000001</v>
      </c>
      <c r="BO793" s="51">
        <f t="shared" si="2646"/>
        <v>0.82750000000000001</v>
      </c>
      <c r="BP793" s="51">
        <f t="shared" si="2646"/>
        <v>0.82750000000000001</v>
      </c>
      <c r="BQ793" s="51">
        <f t="shared" si="2646"/>
        <v>0.82750000000000001</v>
      </c>
      <c r="BR793" s="51">
        <f t="shared" si="2646"/>
        <v>0.82750000000000001</v>
      </c>
      <c r="BS793" s="51">
        <f t="shared" si="2646"/>
        <v>0.82750000000000001</v>
      </c>
      <c r="BT793" s="51">
        <f t="shared" si="2646"/>
        <v>0.82750000000000001</v>
      </c>
      <c r="BU793" s="51">
        <f t="shared" si="2646"/>
        <v>0.82750000000000001</v>
      </c>
      <c r="BV793" s="51">
        <f t="shared" si="2646"/>
        <v>0.82750000000000001</v>
      </c>
      <c r="BW793" s="51">
        <f t="shared" si="2646"/>
        <v>0.82750000000000001</v>
      </c>
      <c r="BX793" s="51">
        <f t="shared" si="2646"/>
        <v>0.82750000000000001</v>
      </c>
      <c r="BY793" s="51">
        <f t="shared" si="2646"/>
        <v>0.82750000000000001</v>
      </c>
      <c r="BZ793" s="51">
        <f t="shared" si="2646"/>
        <v>0.82750000000000001</v>
      </c>
    </row>
    <row r="794" spans="1:78">
      <c r="A794" s="1" t="s">
        <v>183</v>
      </c>
      <c r="AD794" s="50">
        <v>0.17249999999999999</v>
      </c>
      <c r="AE794" s="50">
        <v>0.17249999999999999</v>
      </c>
      <c r="AF794" s="50">
        <v>0.17249999999999999</v>
      </c>
      <c r="AG794" s="50">
        <v>0.17249999999999999</v>
      </c>
      <c r="AH794" s="50">
        <v>0.17249999999999999</v>
      </c>
      <c r="AI794" s="50">
        <v>0.17249999999999999</v>
      </c>
      <c r="AJ794" s="50">
        <v>0.17249999999999999</v>
      </c>
      <c r="AK794" s="50">
        <v>0.17249999999999999</v>
      </c>
      <c r="AL794" s="50">
        <v>0.17249999999999999</v>
      </c>
      <c r="AM794" s="50">
        <v>0.17249999999999999</v>
      </c>
      <c r="AN794" s="50">
        <v>0.17249999999999999</v>
      </c>
      <c r="AO794" s="50">
        <v>0.17249999999999999</v>
      </c>
      <c r="AP794" s="50">
        <v>0.17249999999999999</v>
      </c>
      <c r="AQ794" s="50">
        <v>0.17249999999999999</v>
      </c>
      <c r="AR794" s="50">
        <v>0.17249999999999999</v>
      </c>
      <c r="AS794" s="50">
        <v>0.17249999999999999</v>
      </c>
      <c r="AT794" s="50">
        <v>0.17249999999999999</v>
      </c>
      <c r="AU794" s="50">
        <v>0.17249999999999999</v>
      </c>
      <c r="AV794" s="50">
        <v>0.17249999999999999</v>
      </c>
      <c r="AW794" s="50">
        <v>0.17249999999999999</v>
      </c>
      <c r="AX794" s="50">
        <v>0.17249999999999999</v>
      </c>
      <c r="AY794" s="50">
        <v>0.17249999999999999</v>
      </c>
      <c r="AZ794" s="50">
        <v>0.17249999999999999</v>
      </c>
      <c r="BA794" s="50">
        <v>0.17249999999999999</v>
      </c>
      <c r="BB794" s="50">
        <v>0.17249999999999999</v>
      </c>
      <c r="BC794" s="50">
        <v>0.17249999999999999</v>
      </c>
      <c r="BD794" s="50">
        <v>0.17249999999999999</v>
      </c>
      <c r="BE794" s="50">
        <v>0.17249999999999999</v>
      </c>
      <c r="BF794" s="50">
        <v>0.17249999999999999</v>
      </c>
      <c r="BG794" s="50">
        <v>0.17249999999999999</v>
      </c>
      <c r="BH794" s="50">
        <v>0.17249999999999999</v>
      </c>
      <c r="BI794" s="50">
        <v>0.17249999999999999</v>
      </c>
      <c r="BJ794" s="50">
        <v>0.17249999999999999</v>
      </c>
      <c r="BK794" s="50">
        <v>0.17249999999999999</v>
      </c>
      <c r="BL794" s="50">
        <v>0.17249999999999999</v>
      </c>
      <c r="BM794" s="50">
        <v>0.17249999999999999</v>
      </c>
      <c r="BN794" s="50">
        <v>0.17249999999999999</v>
      </c>
      <c r="BO794" s="50">
        <v>0.17249999999999999</v>
      </c>
      <c r="BP794" s="50">
        <v>0.17249999999999999</v>
      </c>
      <c r="BQ794" s="50">
        <v>0.17249999999999999</v>
      </c>
      <c r="BR794" s="50">
        <v>0.17249999999999999</v>
      </c>
      <c r="BS794" s="50">
        <v>0.17249999999999999</v>
      </c>
      <c r="BT794" s="50">
        <v>0.17249999999999999</v>
      </c>
      <c r="BU794" s="50">
        <v>0.17249999999999999</v>
      </c>
      <c r="BV794" s="50">
        <v>0.17249999999999999</v>
      </c>
      <c r="BW794" s="50">
        <v>0.17249999999999999</v>
      </c>
      <c r="BX794" s="50">
        <v>0.17249999999999999</v>
      </c>
      <c r="BY794" s="50">
        <v>0.17249999999999999</v>
      </c>
      <c r="BZ794" s="50">
        <v>0.17249999999999999</v>
      </c>
    </row>
    <row r="796" spans="1:78">
      <c r="A796" s="5" t="s">
        <v>3191</v>
      </c>
      <c r="AD796" s="21">
        <f t="shared" ref="AD796:AE796" si="2647">AD787/AD$791</f>
        <v>0.4595238095238095</v>
      </c>
      <c r="AE796" s="21">
        <f t="shared" si="2647"/>
        <v>0.5490196078431373</v>
      </c>
      <c r="AF796" s="21">
        <f t="shared" ref="AF796:AG796" si="2648">AF787/AF$791</f>
        <v>0.58571428571428574</v>
      </c>
      <c r="AG796" s="21">
        <f t="shared" si="2648"/>
        <v>0.58571428571428574</v>
      </c>
      <c r="AH796" s="21">
        <f t="shared" ref="AH796:AI796" si="2649">AH787/AH$791</f>
        <v>0.58214285714285718</v>
      </c>
      <c r="AI796" s="21">
        <f t="shared" si="2649"/>
        <v>0.5803571428571429</v>
      </c>
      <c r="AJ796" s="21">
        <f t="shared" ref="AJ796:AN796" si="2650">AJ787/AJ$791</f>
        <v>0.57321428571428568</v>
      </c>
      <c r="AK796" s="21">
        <f t="shared" si="2650"/>
        <v>0.57321428571428568</v>
      </c>
      <c r="AL796" s="21">
        <f t="shared" si="2650"/>
        <v>0.57321428571428568</v>
      </c>
      <c r="AM796" s="21">
        <f t="shared" si="2650"/>
        <v>0.58666666666666667</v>
      </c>
      <c r="AN796" s="21">
        <f t="shared" si="2650"/>
        <v>0.56999999999999995</v>
      </c>
      <c r="AO796" s="21">
        <f t="shared" ref="AO796:AP796" si="2651">AO787/AO$791</f>
        <v>0.54013377926421402</v>
      </c>
      <c r="AP796" s="21">
        <f t="shared" si="2651"/>
        <v>0.54013377926421402</v>
      </c>
      <c r="AQ796" s="21">
        <f t="shared" ref="AQ796:AV796" si="2652">AQ787/AQ$791</f>
        <v>0.54013377926421402</v>
      </c>
      <c r="AR796" s="21">
        <f t="shared" si="2652"/>
        <v>0.53846153846153844</v>
      </c>
      <c r="AS796" s="21">
        <f t="shared" si="2652"/>
        <v>0.54605263157894735</v>
      </c>
      <c r="AT796" s="21">
        <f t="shared" si="2652"/>
        <v>0.57902735562310026</v>
      </c>
      <c r="AU796" s="21">
        <f t="shared" si="2652"/>
        <v>0.57902735562310026</v>
      </c>
      <c r="AV796" s="21">
        <f t="shared" si="2652"/>
        <v>0.57902735562310026</v>
      </c>
      <c r="AW796" s="21">
        <f t="shared" ref="AW796" si="2653">AW787/AW$791</f>
        <v>0.57598784194528874</v>
      </c>
      <c r="AX796" s="21">
        <f t="shared" ref="AX796:BZ796" si="2654">AX787/AX$791</f>
        <v>0.58849557522123896</v>
      </c>
      <c r="AY796" s="21">
        <f t="shared" si="2654"/>
        <v>0.70569620253164556</v>
      </c>
      <c r="AZ796" s="21">
        <f t="shared" si="2654"/>
        <v>0.77109704641350207</v>
      </c>
      <c r="BA796" s="21">
        <f t="shared" si="2654"/>
        <v>0.77109704641350207</v>
      </c>
      <c r="BB796" s="21">
        <f t="shared" si="2654"/>
        <v>0.74864864864864866</v>
      </c>
      <c r="BC796" s="21">
        <f t="shared" si="2654"/>
        <v>0.76942148760330575</v>
      </c>
      <c r="BD796" s="21">
        <f t="shared" si="2654"/>
        <v>0.78702290076335879</v>
      </c>
      <c r="BE796" s="21">
        <f t="shared" si="2654"/>
        <v>0.78702290076335879</v>
      </c>
      <c r="BF796" s="21">
        <f t="shared" si="2654"/>
        <v>0.78702290076335879</v>
      </c>
      <c r="BG796" s="21">
        <f t="shared" si="2654"/>
        <v>0.78702290076335879</v>
      </c>
      <c r="BH796" s="21">
        <f t="shared" si="2654"/>
        <v>0.78702290076335879</v>
      </c>
      <c r="BI796" s="21">
        <f t="shared" si="2654"/>
        <v>0.78702290076335879</v>
      </c>
      <c r="BJ796" s="21">
        <f t="shared" si="2654"/>
        <v>0.78702290076335879</v>
      </c>
      <c r="BK796" s="21">
        <f t="shared" si="2654"/>
        <v>0.78702290076335879</v>
      </c>
      <c r="BL796" s="21">
        <f t="shared" si="2654"/>
        <v>0.78702290076335879</v>
      </c>
      <c r="BM796" s="21">
        <f t="shared" si="2654"/>
        <v>0.78702290076335879</v>
      </c>
      <c r="BN796" s="21">
        <f t="shared" si="2654"/>
        <v>0.78702290076335879</v>
      </c>
      <c r="BO796" s="21">
        <f t="shared" si="2654"/>
        <v>0.78702290076335879</v>
      </c>
      <c r="BP796" s="21">
        <f t="shared" si="2654"/>
        <v>0.78702290076335879</v>
      </c>
      <c r="BQ796" s="21">
        <f t="shared" si="2654"/>
        <v>0.78702290076335879</v>
      </c>
      <c r="BR796" s="21">
        <f t="shared" si="2654"/>
        <v>0.78702290076335879</v>
      </c>
      <c r="BS796" s="21">
        <f t="shared" si="2654"/>
        <v>0.78702290076335879</v>
      </c>
      <c r="BT796" s="21">
        <f t="shared" si="2654"/>
        <v>0.78702290076335879</v>
      </c>
      <c r="BU796" s="21">
        <f t="shared" si="2654"/>
        <v>0.78702290076335879</v>
      </c>
      <c r="BV796" s="21">
        <f t="shared" si="2654"/>
        <v>0.78702290076335879</v>
      </c>
      <c r="BW796" s="21">
        <f t="shared" si="2654"/>
        <v>0.78702290076335879</v>
      </c>
      <c r="BX796" s="21">
        <f t="shared" si="2654"/>
        <v>0.78702290076335879</v>
      </c>
      <c r="BY796" s="21">
        <f t="shared" si="2654"/>
        <v>0.78702290076335879</v>
      </c>
      <c r="BZ796" s="21">
        <f t="shared" si="2654"/>
        <v>0.78702290076335879</v>
      </c>
    </row>
    <row r="797" spans="1:78">
      <c r="A797" s="5" t="s">
        <v>3192</v>
      </c>
      <c r="AD797" s="21">
        <f t="shared" ref="AD797:AE797" si="2655">AD788/AD$791</f>
        <v>0.29523809523809524</v>
      </c>
      <c r="AE797" s="21">
        <f t="shared" si="2655"/>
        <v>0.24313725490196078</v>
      </c>
      <c r="AF797" s="21">
        <f t="shared" ref="AF797:AG797" si="2656">AF788/AF$791</f>
        <v>0.22142857142857142</v>
      </c>
      <c r="AG797" s="21">
        <f t="shared" si="2656"/>
        <v>0.22142857142857142</v>
      </c>
      <c r="AH797" s="21">
        <f t="shared" ref="AH797:AI797" si="2657">AH788/AH$791</f>
        <v>0.22142857142857142</v>
      </c>
      <c r="AI797" s="21">
        <f t="shared" si="2657"/>
        <v>0.22142857142857142</v>
      </c>
      <c r="AJ797" s="21">
        <f t="shared" ref="AJ797:AN797" si="2658">AJ788/AJ$791</f>
        <v>0.22142857142857142</v>
      </c>
      <c r="AK797" s="21">
        <f t="shared" si="2658"/>
        <v>0.22142857142857142</v>
      </c>
      <c r="AL797" s="21">
        <f t="shared" si="2658"/>
        <v>0.22142857142857142</v>
      </c>
      <c r="AM797" s="21">
        <f t="shared" si="2658"/>
        <v>0.20666666666666667</v>
      </c>
      <c r="AN797" s="21">
        <f t="shared" si="2658"/>
        <v>0.20666666666666667</v>
      </c>
      <c r="AO797" s="21">
        <f t="shared" ref="AO797:AP797" si="2659">AO788/AO$791</f>
        <v>0.20735785953177258</v>
      </c>
      <c r="AP797" s="21">
        <f t="shared" si="2659"/>
        <v>0.20735785953177258</v>
      </c>
      <c r="AQ797" s="21">
        <f t="shared" ref="AQ797:AV797" si="2660">AQ788/AQ$791</f>
        <v>0.20735785953177258</v>
      </c>
      <c r="AR797" s="21">
        <f t="shared" si="2660"/>
        <v>0.20735785953177258</v>
      </c>
      <c r="AS797" s="21">
        <f t="shared" si="2660"/>
        <v>0.20394736842105263</v>
      </c>
      <c r="AT797" s="21">
        <f t="shared" si="2660"/>
        <v>0.18844984802431611</v>
      </c>
      <c r="AU797" s="21">
        <f t="shared" si="2660"/>
        <v>0.18844984802431611</v>
      </c>
      <c r="AV797" s="21">
        <f t="shared" si="2660"/>
        <v>0.18844984802431611</v>
      </c>
      <c r="AW797" s="21">
        <f t="shared" ref="AW797" si="2661">AW788/AW$791</f>
        <v>0.1899696048632219</v>
      </c>
      <c r="AX797" s="21">
        <f t="shared" ref="AX797:BZ797" si="2662">AX788/AX$791</f>
        <v>0.18436578171091444</v>
      </c>
      <c r="AY797" s="21">
        <f t="shared" si="2662"/>
        <v>0.13080168776371309</v>
      </c>
      <c r="AZ797" s="21">
        <f t="shared" si="2662"/>
        <v>0.13080168776371309</v>
      </c>
      <c r="BA797" s="21">
        <f t="shared" si="2662"/>
        <v>0.13080168776371309</v>
      </c>
      <c r="BB797" s="21">
        <f t="shared" si="2662"/>
        <v>0.11171171171171171</v>
      </c>
      <c r="BC797" s="21">
        <f t="shared" si="2662"/>
        <v>0.10247933884297521</v>
      </c>
      <c r="BD797" s="21">
        <f t="shared" si="2662"/>
        <v>9.465648854961832E-2</v>
      </c>
      <c r="BE797" s="21">
        <f t="shared" si="2662"/>
        <v>9.465648854961832E-2</v>
      </c>
      <c r="BF797" s="21">
        <f t="shared" si="2662"/>
        <v>9.465648854961832E-2</v>
      </c>
      <c r="BG797" s="21">
        <f t="shared" si="2662"/>
        <v>9.465648854961832E-2</v>
      </c>
      <c r="BH797" s="21">
        <f t="shared" si="2662"/>
        <v>9.465648854961832E-2</v>
      </c>
      <c r="BI797" s="21">
        <f t="shared" si="2662"/>
        <v>9.465648854961832E-2</v>
      </c>
      <c r="BJ797" s="21">
        <f t="shared" si="2662"/>
        <v>9.465648854961832E-2</v>
      </c>
      <c r="BK797" s="21">
        <f t="shared" si="2662"/>
        <v>9.465648854961832E-2</v>
      </c>
      <c r="BL797" s="21">
        <f t="shared" si="2662"/>
        <v>9.465648854961832E-2</v>
      </c>
      <c r="BM797" s="21">
        <f t="shared" si="2662"/>
        <v>9.465648854961832E-2</v>
      </c>
      <c r="BN797" s="21">
        <f t="shared" si="2662"/>
        <v>9.465648854961832E-2</v>
      </c>
      <c r="BO797" s="21">
        <f t="shared" si="2662"/>
        <v>9.465648854961832E-2</v>
      </c>
      <c r="BP797" s="21">
        <f t="shared" si="2662"/>
        <v>9.465648854961832E-2</v>
      </c>
      <c r="BQ797" s="21">
        <f t="shared" si="2662"/>
        <v>9.465648854961832E-2</v>
      </c>
      <c r="BR797" s="21">
        <f t="shared" si="2662"/>
        <v>9.465648854961832E-2</v>
      </c>
      <c r="BS797" s="21">
        <f t="shared" si="2662"/>
        <v>9.465648854961832E-2</v>
      </c>
      <c r="BT797" s="21">
        <f t="shared" si="2662"/>
        <v>9.465648854961832E-2</v>
      </c>
      <c r="BU797" s="21">
        <f t="shared" si="2662"/>
        <v>9.465648854961832E-2</v>
      </c>
      <c r="BV797" s="21">
        <f t="shared" si="2662"/>
        <v>9.465648854961832E-2</v>
      </c>
      <c r="BW797" s="21">
        <f t="shared" si="2662"/>
        <v>9.465648854961832E-2</v>
      </c>
      <c r="BX797" s="21">
        <f t="shared" si="2662"/>
        <v>9.465648854961832E-2</v>
      </c>
      <c r="BY797" s="21">
        <f t="shared" si="2662"/>
        <v>9.465648854961832E-2</v>
      </c>
      <c r="BZ797" s="21">
        <f t="shared" si="2662"/>
        <v>9.465648854961832E-2</v>
      </c>
    </row>
    <row r="798" spans="1:78">
      <c r="A798" s="5" t="s">
        <v>3193</v>
      </c>
      <c r="AD798" s="21">
        <f t="shared" ref="AD798:AE798" si="2663">AD789/AD$791</f>
        <v>6.1904761904761907E-2</v>
      </c>
      <c r="AE798" s="21">
        <f t="shared" si="2663"/>
        <v>5.0980392156862744E-2</v>
      </c>
      <c r="AF798" s="21">
        <f t="shared" ref="AF798:AG798" si="2664">AF789/AF$791</f>
        <v>4.642857142857143E-2</v>
      </c>
      <c r="AG798" s="21">
        <f t="shared" si="2664"/>
        <v>4.642857142857143E-2</v>
      </c>
      <c r="AH798" s="21">
        <f t="shared" ref="AH798:AI798" si="2665">AH789/AH$791</f>
        <v>4.642857142857143E-2</v>
      </c>
      <c r="AI798" s="21">
        <f t="shared" si="2665"/>
        <v>4.642857142857143E-2</v>
      </c>
      <c r="AJ798" s="21">
        <f t="shared" ref="AJ798:AN798" si="2666">AJ789/AJ$791</f>
        <v>4.642857142857143E-2</v>
      </c>
      <c r="AK798" s="21">
        <f t="shared" si="2666"/>
        <v>4.642857142857143E-2</v>
      </c>
      <c r="AL798" s="21">
        <f t="shared" si="2666"/>
        <v>4.642857142857143E-2</v>
      </c>
      <c r="AM798" s="21">
        <f t="shared" si="2666"/>
        <v>4.3333333333333335E-2</v>
      </c>
      <c r="AN798" s="21">
        <f t="shared" si="2666"/>
        <v>4.3333333333333335E-2</v>
      </c>
      <c r="AO798" s="21">
        <f t="shared" ref="AO798:AP798" si="2667">AO789/AO$791</f>
        <v>4.3478260869565216E-2</v>
      </c>
      <c r="AP798" s="21">
        <f t="shared" si="2667"/>
        <v>4.3478260869565216E-2</v>
      </c>
      <c r="AQ798" s="21">
        <f t="shared" ref="AQ798:AV798" si="2668">AQ789/AQ$791</f>
        <v>4.3478260869565216E-2</v>
      </c>
      <c r="AR798" s="21">
        <f t="shared" si="2668"/>
        <v>4.3478260869565216E-2</v>
      </c>
      <c r="AS798" s="21">
        <f t="shared" si="2668"/>
        <v>4.2763157894736843E-2</v>
      </c>
      <c r="AT798" s="21">
        <f t="shared" si="2668"/>
        <v>3.9513677811550151E-2</v>
      </c>
      <c r="AU798" s="21">
        <f t="shared" si="2668"/>
        <v>3.9513677811550151E-2</v>
      </c>
      <c r="AV798" s="21">
        <f t="shared" si="2668"/>
        <v>3.9513677811550151E-2</v>
      </c>
      <c r="AW798" s="21">
        <f t="shared" ref="AW798" si="2669">AW789/AW$791</f>
        <v>3.9513677811550151E-2</v>
      </c>
      <c r="AX798" s="21">
        <f t="shared" ref="AX798:BZ798" si="2670">AX789/AX$791</f>
        <v>3.8348082595870206E-2</v>
      </c>
      <c r="AY798" s="21">
        <f t="shared" si="2670"/>
        <v>2.7426160337552744E-2</v>
      </c>
      <c r="AZ798" s="21">
        <f t="shared" si="2670"/>
        <v>2.7426160337552744E-2</v>
      </c>
      <c r="BA798" s="21">
        <f t="shared" si="2670"/>
        <v>2.7426160337552744E-2</v>
      </c>
      <c r="BB798" s="21">
        <f t="shared" si="2670"/>
        <v>2.3423423423423424E-2</v>
      </c>
      <c r="BC798" s="21">
        <f t="shared" si="2670"/>
        <v>2.1487603305785124E-2</v>
      </c>
      <c r="BD798" s="21">
        <f t="shared" si="2670"/>
        <v>1.984732824427481E-2</v>
      </c>
      <c r="BE798" s="21">
        <f t="shared" si="2670"/>
        <v>1.984732824427481E-2</v>
      </c>
      <c r="BF798" s="21">
        <f t="shared" si="2670"/>
        <v>1.984732824427481E-2</v>
      </c>
      <c r="BG798" s="21">
        <f t="shared" si="2670"/>
        <v>1.984732824427481E-2</v>
      </c>
      <c r="BH798" s="21">
        <f t="shared" si="2670"/>
        <v>1.984732824427481E-2</v>
      </c>
      <c r="BI798" s="21">
        <f t="shared" si="2670"/>
        <v>1.984732824427481E-2</v>
      </c>
      <c r="BJ798" s="21">
        <f t="shared" si="2670"/>
        <v>1.984732824427481E-2</v>
      </c>
      <c r="BK798" s="21">
        <f t="shared" si="2670"/>
        <v>1.984732824427481E-2</v>
      </c>
      <c r="BL798" s="21">
        <f t="shared" si="2670"/>
        <v>1.984732824427481E-2</v>
      </c>
      <c r="BM798" s="21">
        <f t="shared" si="2670"/>
        <v>1.984732824427481E-2</v>
      </c>
      <c r="BN798" s="21">
        <f t="shared" si="2670"/>
        <v>1.984732824427481E-2</v>
      </c>
      <c r="BO798" s="21">
        <f t="shared" si="2670"/>
        <v>1.984732824427481E-2</v>
      </c>
      <c r="BP798" s="21">
        <f t="shared" si="2670"/>
        <v>1.984732824427481E-2</v>
      </c>
      <c r="BQ798" s="21">
        <f t="shared" si="2670"/>
        <v>1.984732824427481E-2</v>
      </c>
      <c r="BR798" s="21">
        <f t="shared" si="2670"/>
        <v>1.984732824427481E-2</v>
      </c>
      <c r="BS798" s="21">
        <f t="shared" si="2670"/>
        <v>1.984732824427481E-2</v>
      </c>
      <c r="BT798" s="21">
        <f t="shared" si="2670"/>
        <v>1.984732824427481E-2</v>
      </c>
      <c r="BU798" s="21">
        <f t="shared" si="2670"/>
        <v>1.984732824427481E-2</v>
      </c>
      <c r="BV798" s="21">
        <f t="shared" si="2670"/>
        <v>1.984732824427481E-2</v>
      </c>
      <c r="BW798" s="21">
        <f t="shared" si="2670"/>
        <v>1.984732824427481E-2</v>
      </c>
      <c r="BX798" s="21">
        <f t="shared" si="2670"/>
        <v>1.984732824427481E-2</v>
      </c>
      <c r="BY798" s="21">
        <f t="shared" si="2670"/>
        <v>1.984732824427481E-2</v>
      </c>
      <c r="BZ798" s="21">
        <f t="shared" si="2670"/>
        <v>1.984732824427481E-2</v>
      </c>
    </row>
    <row r="799" spans="1:78">
      <c r="A799" s="5" t="s">
        <v>188</v>
      </c>
      <c r="AD799" s="21">
        <f t="shared" ref="AD799:AG800" si="2671">AD790/AD$791</f>
        <v>0.18333333333333332</v>
      </c>
      <c r="AE799" s="21">
        <f t="shared" si="2671"/>
        <v>0.15686274509803921</v>
      </c>
      <c r="AF799" s="21">
        <f t="shared" si="2671"/>
        <v>0.14642857142857144</v>
      </c>
      <c r="AG799" s="21">
        <f t="shared" si="2671"/>
        <v>0.14642857142857144</v>
      </c>
      <c r="AH799" s="21">
        <f t="shared" ref="AH799:AI799" si="2672">AH790/AH$791</f>
        <v>0.15</v>
      </c>
      <c r="AI799" s="21">
        <f t="shared" si="2672"/>
        <v>0.15178571428571427</v>
      </c>
      <c r="AJ799" s="21">
        <f t="shared" ref="AJ799:AN799" si="2673">AJ790/AJ$791</f>
        <v>0.15892857142857142</v>
      </c>
      <c r="AK799" s="21">
        <f t="shared" si="2673"/>
        <v>0.15892857142857142</v>
      </c>
      <c r="AL799" s="21">
        <f t="shared" si="2673"/>
        <v>0.15892857142857142</v>
      </c>
      <c r="AM799" s="21">
        <f t="shared" si="2673"/>
        <v>0.16333333333333333</v>
      </c>
      <c r="AN799" s="21">
        <f t="shared" si="2673"/>
        <v>0.18</v>
      </c>
      <c r="AO799" s="21">
        <f t="shared" ref="AO799:AP799" si="2674">AO790/AO$791</f>
        <v>0.20903010033444816</v>
      </c>
      <c r="AP799" s="21">
        <f t="shared" si="2674"/>
        <v>0.20903010033444816</v>
      </c>
      <c r="AQ799" s="21">
        <f t="shared" ref="AQ799:AV799" si="2675">AQ790/AQ$791</f>
        <v>0.20903010033444816</v>
      </c>
      <c r="AR799" s="21">
        <f t="shared" si="2675"/>
        <v>0.21070234113712374</v>
      </c>
      <c r="AS799" s="21">
        <f t="shared" si="2675"/>
        <v>0.20723684210526316</v>
      </c>
      <c r="AT799" s="21">
        <f t="shared" si="2675"/>
        <v>0.19300911854103345</v>
      </c>
      <c r="AU799" s="21">
        <f t="shared" si="2675"/>
        <v>0.19300911854103345</v>
      </c>
      <c r="AV799" s="21">
        <f t="shared" si="2675"/>
        <v>0.19300911854103345</v>
      </c>
      <c r="AW799" s="21">
        <f t="shared" ref="AW799" si="2676">AW790/AW$791</f>
        <v>0.19452887537993921</v>
      </c>
      <c r="AX799" s="21">
        <f t="shared" ref="AX799:BZ799" si="2677">AX790/AX$791</f>
        <v>0.1887905604719764</v>
      </c>
      <c r="AY799" s="21">
        <f t="shared" si="2677"/>
        <v>0.13607594936708861</v>
      </c>
      <c r="AZ799" s="21">
        <f t="shared" si="2677"/>
        <v>0.13607594936708861</v>
      </c>
      <c r="BA799" s="21">
        <f t="shared" si="2677"/>
        <v>0.13607594936708861</v>
      </c>
      <c r="BB799" s="21">
        <f t="shared" si="2677"/>
        <v>0.11621621621621622</v>
      </c>
      <c r="BC799" s="21">
        <f t="shared" si="2677"/>
        <v>0.10661157024793388</v>
      </c>
      <c r="BD799" s="21">
        <f t="shared" si="2677"/>
        <v>9.8473282442748097E-2</v>
      </c>
      <c r="BE799" s="21">
        <f t="shared" si="2677"/>
        <v>9.8473282442748097E-2</v>
      </c>
      <c r="BF799" s="21">
        <f t="shared" si="2677"/>
        <v>9.8473282442748097E-2</v>
      </c>
      <c r="BG799" s="21">
        <f t="shared" si="2677"/>
        <v>9.8473282442748097E-2</v>
      </c>
      <c r="BH799" s="21">
        <f t="shared" si="2677"/>
        <v>9.8473282442748097E-2</v>
      </c>
      <c r="BI799" s="21">
        <f t="shared" si="2677"/>
        <v>9.8473282442748097E-2</v>
      </c>
      <c r="BJ799" s="21">
        <f t="shared" si="2677"/>
        <v>9.8473282442748097E-2</v>
      </c>
      <c r="BK799" s="21">
        <f t="shared" si="2677"/>
        <v>9.8473282442748097E-2</v>
      </c>
      <c r="BL799" s="21">
        <f t="shared" si="2677"/>
        <v>9.8473282442748097E-2</v>
      </c>
      <c r="BM799" s="21">
        <f t="shared" si="2677"/>
        <v>9.8473282442748097E-2</v>
      </c>
      <c r="BN799" s="21">
        <f t="shared" si="2677"/>
        <v>9.8473282442748097E-2</v>
      </c>
      <c r="BO799" s="21">
        <f t="shared" si="2677"/>
        <v>9.8473282442748097E-2</v>
      </c>
      <c r="BP799" s="21">
        <f t="shared" si="2677"/>
        <v>9.8473282442748097E-2</v>
      </c>
      <c r="BQ799" s="21">
        <f t="shared" si="2677"/>
        <v>9.8473282442748097E-2</v>
      </c>
      <c r="BR799" s="21">
        <f t="shared" si="2677"/>
        <v>9.8473282442748097E-2</v>
      </c>
      <c r="BS799" s="21">
        <f t="shared" si="2677"/>
        <v>9.8473282442748097E-2</v>
      </c>
      <c r="BT799" s="21">
        <f t="shared" si="2677"/>
        <v>9.8473282442748097E-2</v>
      </c>
      <c r="BU799" s="21">
        <f t="shared" si="2677"/>
        <v>9.8473282442748097E-2</v>
      </c>
      <c r="BV799" s="21">
        <f t="shared" si="2677"/>
        <v>9.8473282442748097E-2</v>
      </c>
      <c r="BW799" s="21">
        <f t="shared" si="2677"/>
        <v>9.8473282442748097E-2</v>
      </c>
      <c r="BX799" s="21">
        <f t="shared" si="2677"/>
        <v>9.8473282442748097E-2</v>
      </c>
      <c r="BY799" s="21">
        <f t="shared" si="2677"/>
        <v>9.8473282442748097E-2</v>
      </c>
      <c r="BZ799" s="21">
        <f t="shared" si="2677"/>
        <v>9.8473282442748097E-2</v>
      </c>
    </row>
    <row r="800" spans="1:78">
      <c r="A800" s="9" t="s">
        <v>170</v>
      </c>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32">
        <f t="shared" si="2671"/>
        <v>1</v>
      </c>
      <c r="AE800" s="32">
        <f t="shared" si="2671"/>
        <v>1</v>
      </c>
      <c r="AF800" s="32">
        <f t="shared" si="2671"/>
        <v>1</v>
      </c>
      <c r="AG800" s="32">
        <f t="shared" si="2671"/>
        <v>1</v>
      </c>
      <c r="AH800" s="32">
        <f t="shared" ref="AH800:AI800" si="2678">AH791/AH$791</f>
        <v>1</v>
      </c>
      <c r="AI800" s="32">
        <f t="shared" si="2678"/>
        <v>1</v>
      </c>
      <c r="AJ800" s="32">
        <f t="shared" ref="AJ800:AN800" si="2679">AJ791/AJ$791</f>
        <v>1</v>
      </c>
      <c r="AK800" s="32">
        <f t="shared" si="2679"/>
        <v>1</v>
      </c>
      <c r="AL800" s="32">
        <f t="shared" si="2679"/>
        <v>1</v>
      </c>
      <c r="AM800" s="32">
        <f t="shared" si="2679"/>
        <v>1</v>
      </c>
      <c r="AN800" s="32">
        <f t="shared" si="2679"/>
        <v>1</v>
      </c>
      <c r="AO800" s="32">
        <f t="shared" ref="AO800:AP800" si="2680">AO791/AO$791</f>
        <v>1</v>
      </c>
      <c r="AP800" s="32">
        <f t="shared" si="2680"/>
        <v>1</v>
      </c>
      <c r="AQ800" s="32">
        <f t="shared" ref="AQ800:AV800" si="2681">AQ791/AQ$791</f>
        <v>1</v>
      </c>
      <c r="AR800" s="32">
        <f t="shared" si="2681"/>
        <v>1</v>
      </c>
      <c r="AS800" s="32">
        <f t="shared" si="2681"/>
        <v>1</v>
      </c>
      <c r="AT800" s="32">
        <f t="shared" si="2681"/>
        <v>1</v>
      </c>
      <c r="AU800" s="32">
        <f t="shared" si="2681"/>
        <v>1</v>
      </c>
      <c r="AV800" s="32">
        <f t="shared" si="2681"/>
        <v>1</v>
      </c>
      <c r="AW800" s="32">
        <f t="shared" ref="AW800" si="2682">AW791/AW$791</f>
        <v>1</v>
      </c>
      <c r="AX800" s="32">
        <f t="shared" ref="AX800:BZ800" si="2683">AX791/AX$791</f>
        <v>1</v>
      </c>
      <c r="AY800" s="32">
        <f t="shared" si="2683"/>
        <v>1</v>
      </c>
      <c r="AZ800" s="32">
        <f t="shared" si="2683"/>
        <v>1</v>
      </c>
      <c r="BA800" s="32">
        <f t="shared" si="2683"/>
        <v>1</v>
      </c>
      <c r="BB800" s="32">
        <f t="shared" si="2683"/>
        <v>1</v>
      </c>
      <c r="BC800" s="32">
        <f t="shared" si="2683"/>
        <v>1</v>
      </c>
      <c r="BD800" s="32">
        <f t="shared" si="2683"/>
        <v>1</v>
      </c>
      <c r="BE800" s="32">
        <f t="shared" si="2683"/>
        <v>1</v>
      </c>
      <c r="BF800" s="32">
        <f t="shared" si="2683"/>
        <v>1</v>
      </c>
      <c r="BG800" s="32">
        <f t="shared" si="2683"/>
        <v>1</v>
      </c>
      <c r="BH800" s="32">
        <f t="shared" si="2683"/>
        <v>1</v>
      </c>
      <c r="BI800" s="32">
        <f t="shared" si="2683"/>
        <v>1</v>
      </c>
      <c r="BJ800" s="32">
        <f t="shared" si="2683"/>
        <v>1</v>
      </c>
      <c r="BK800" s="32">
        <f t="shared" si="2683"/>
        <v>1</v>
      </c>
      <c r="BL800" s="32">
        <f t="shared" si="2683"/>
        <v>1</v>
      </c>
      <c r="BM800" s="32">
        <f t="shared" si="2683"/>
        <v>1</v>
      </c>
      <c r="BN800" s="32">
        <f t="shared" si="2683"/>
        <v>1</v>
      </c>
      <c r="BO800" s="32">
        <f t="shared" si="2683"/>
        <v>1</v>
      </c>
      <c r="BP800" s="32">
        <f t="shared" si="2683"/>
        <v>1</v>
      </c>
      <c r="BQ800" s="32">
        <f t="shared" si="2683"/>
        <v>1</v>
      </c>
      <c r="BR800" s="32">
        <f t="shared" si="2683"/>
        <v>1</v>
      </c>
      <c r="BS800" s="32">
        <f t="shared" si="2683"/>
        <v>1</v>
      </c>
      <c r="BT800" s="32">
        <f t="shared" si="2683"/>
        <v>1</v>
      </c>
      <c r="BU800" s="32">
        <f t="shared" si="2683"/>
        <v>1</v>
      </c>
      <c r="BV800" s="32">
        <f t="shared" si="2683"/>
        <v>1</v>
      </c>
      <c r="BW800" s="32">
        <f t="shared" si="2683"/>
        <v>1</v>
      </c>
      <c r="BX800" s="32">
        <f t="shared" si="2683"/>
        <v>1</v>
      </c>
      <c r="BY800" s="32">
        <f t="shared" si="2683"/>
        <v>1</v>
      </c>
      <c r="BZ800" s="32">
        <f t="shared" si="2683"/>
        <v>1</v>
      </c>
    </row>
    <row r="802" spans="1:78">
      <c r="A802" s="3" t="s">
        <v>604</v>
      </c>
      <c r="AD802" s="22" t="s">
        <v>605</v>
      </c>
    </row>
    <row r="804" spans="1:78">
      <c r="A804" s="5" t="s">
        <v>186</v>
      </c>
      <c r="AD804" s="36">
        <f t="shared" ref="AD804:AG806" si="2684">AD787</f>
        <v>19300</v>
      </c>
      <c r="AE804" s="36">
        <f t="shared" si="2684"/>
        <v>28000</v>
      </c>
      <c r="AF804" s="36">
        <f t="shared" si="2684"/>
        <v>32800</v>
      </c>
      <c r="AG804" s="36">
        <f t="shared" si="2684"/>
        <v>32800</v>
      </c>
      <c r="AH804" s="36">
        <f t="shared" ref="AH804:AI804" si="2685">AH787</f>
        <v>32600</v>
      </c>
      <c r="AI804" s="36">
        <f t="shared" si="2685"/>
        <v>32500</v>
      </c>
      <c r="AJ804" s="36">
        <f t="shared" ref="AJ804:AN804" si="2686">AJ787</f>
        <v>32100</v>
      </c>
      <c r="AK804" s="36">
        <f t="shared" si="2686"/>
        <v>32100</v>
      </c>
      <c r="AL804" s="36">
        <f t="shared" si="2686"/>
        <v>32100</v>
      </c>
      <c r="AM804" s="36">
        <f t="shared" si="2686"/>
        <v>35200</v>
      </c>
      <c r="AN804" s="36">
        <f t="shared" si="2686"/>
        <v>34200</v>
      </c>
      <c r="AO804" s="36">
        <f t="shared" ref="AO804:AP804" si="2687">AO787</f>
        <v>32300</v>
      </c>
      <c r="AP804" s="36">
        <f t="shared" si="2687"/>
        <v>32300</v>
      </c>
      <c r="AQ804" s="36">
        <f t="shared" ref="AQ804:AV804" si="2688">AQ787</f>
        <v>32300</v>
      </c>
      <c r="AR804" s="36">
        <f t="shared" si="2688"/>
        <v>32200</v>
      </c>
      <c r="AS804" s="36">
        <f t="shared" si="2688"/>
        <v>33200</v>
      </c>
      <c r="AT804" s="36">
        <f t="shared" si="2688"/>
        <v>38100</v>
      </c>
      <c r="AU804" s="36">
        <f t="shared" si="2688"/>
        <v>38100</v>
      </c>
      <c r="AV804" s="36">
        <f t="shared" si="2688"/>
        <v>38100</v>
      </c>
      <c r="AW804" s="36">
        <f t="shared" ref="AW804:BZ804" si="2689">AW787</f>
        <v>37900</v>
      </c>
      <c r="AX804" s="36">
        <f t="shared" si="2689"/>
        <v>39900</v>
      </c>
      <c r="AY804" s="36">
        <f t="shared" si="2689"/>
        <v>66900</v>
      </c>
      <c r="AZ804" s="36">
        <f t="shared" si="2689"/>
        <v>73100</v>
      </c>
      <c r="BA804" s="36">
        <f t="shared" si="2689"/>
        <v>73100</v>
      </c>
      <c r="BB804" s="36">
        <f t="shared" si="2689"/>
        <v>83100</v>
      </c>
      <c r="BC804" s="36">
        <f t="shared" si="2689"/>
        <v>93100</v>
      </c>
      <c r="BD804" s="36">
        <f t="shared" si="2689"/>
        <v>103100</v>
      </c>
      <c r="BE804" s="36">
        <f t="shared" si="2689"/>
        <v>103100</v>
      </c>
      <c r="BF804" s="36">
        <f t="shared" si="2689"/>
        <v>103100</v>
      </c>
      <c r="BG804" s="36">
        <f t="shared" si="2689"/>
        <v>103100</v>
      </c>
      <c r="BH804" s="36">
        <f t="shared" si="2689"/>
        <v>103100</v>
      </c>
      <c r="BI804" s="36">
        <f t="shared" si="2689"/>
        <v>103100</v>
      </c>
      <c r="BJ804" s="36">
        <f t="shared" si="2689"/>
        <v>103100</v>
      </c>
      <c r="BK804" s="36">
        <f t="shared" si="2689"/>
        <v>103100</v>
      </c>
      <c r="BL804" s="36">
        <f t="shared" si="2689"/>
        <v>103100</v>
      </c>
      <c r="BM804" s="36">
        <f t="shared" si="2689"/>
        <v>103100</v>
      </c>
      <c r="BN804" s="36">
        <f t="shared" si="2689"/>
        <v>103100</v>
      </c>
      <c r="BO804" s="36">
        <f t="shared" si="2689"/>
        <v>103100</v>
      </c>
      <c r="BP804" s="36">
        <f t="shared" si="2689"/>
        <v>103100</v>
      </c>
      <c r="BQ804" s="36">
        <f t="shared" si="2689"/>
        <v>103100</v>
      </c>
      <c r="BR804" s="36">
        <f t="shared" si="2689"/>
        <v>103100</v>
      </c>
      <c r="BS804" s="36">
        <f t="shared" si="2689"/>
        <v>103100</v>
      </c>
      <c r="BT804" s="36">
        <f t="shared" si="2689"/>
        <v>103100</v>
      </c>
      <c r="BU804" s="36">
        <f t="shared" si="2689"/>
        <v>103100</v>
      </c>
      <c r="BV804" s="36">
        <f t="shared" si="2689"/>
        <v>103100</v>
      </c>
      <c r="BW804" s="36">
        <f t="shared" si="2689"/>
        <v>103100</v>
      </c>
      <c r="BX804" s="36">
        <f t="shared" si="2689"/>
        <v>103100</v>
      </c>
      <c r="BY804" s="36">
        <f t="shared" si="2689"/>
        <v>103100</v>
      </c>
      <c r="BZ804" s="36">
        <f t="shared" si="2689"/>
        <v>103100</v>
      </c>
    </row>
    <row r="805" spans="1:78">
      <c r="A805" s="5" t="s">
        <v>174</v>
      </c>
      <c r="AD805" s="36">
        <f t="shared" si="2684"/>
        <v>12400</v>
      </c>
      <c r="AE805" s="36">
        <f t="shared" si="2684"/>
        <v>12400</v>
      </c>
      <c r="AF805" s="36">
        <f t="shared" si="2684"/>
        <v>12400</v>
      </c>
      <c r="AG805" s="36">
        <f t="shared" si="2684"/>
        <v>12400</v>
      </c>
      <c r="AH805" s="36">
        <f t="shared" ref="AH805:AI805" si="2690">AH788</f>
        <v>12400</v>
      </c>
      <c r="AI805" s="36">
        <f t="shared" si="2690"/>
        <v>12400</v>
      </c>
      <c r="AJ805" s="36">
        <f t="shared" ref="AJ805:AN805" si="2691">AJ788</f>
        <v>12400</v>
      </c>
      <c r="AK805" s="36">
        <f t="shared" si="2691"/>
        <v>12400</v>
      </c>
      <c r="AL805" s="36">
        <f t="shared" si="2691"/>
        <v>12400</v>
      </c>
      <c r="AM805" s="36">
        <f t="shared" si="2691"/>
        <v>12400</v>
      </c>
      <c r="AN805" s="36">
        <f t="shared" si="2691"/>
        <v>12400</v>
      </c>
      <c r="AO805" s="36">
        <f t="shared" ref="AO805:AP805" si="2692">AO788</f>
        <v>12400</v>
      </c>
      <c r="AP805" s="36">
        <f t="shared" si="2692"/>
        <v>12400</v>
      </c>
      <c r="AQ805" s="36">
        <f t="shared" ref="AQ805:AV805" si="2693">AQ788</f>
        <v>12400</v>
      </c>
      <c r="AR805" s="36">
        <f t="shared" si="2693"/>
        <v>12400</v>
      </c>
      <c r="AS805" s="36">
        <f t="shared" si="2693"/>
        <v>12400</v>
      </c>
      <c r="AT805" s="36">
        <f t="shared" si="2693"/>
        <v>12400</v>
      </c>
      <c r="AU805" s="36">
        <f t="shared" si="2693"/>
        <v>12400</v>
      </c>
      <c r="AV805" s="36">
        <f t="shared" si="2693"/>
        <v>12400</v>
      </c>
      <c r="AW805" s="36">
        <f t="shared" ref="AW805:BZ805" si="2694">AW788</f>
        <v>12500</v>
      </c>
      <c r="AX805" s="36">
        <f t="shared" si="2694"/>
        <v>12500</v>
      </c>
      <c r="AY805" s="36">
        <f t="shared" si="2694"/>
        <v>12400</v>
      </c>
      <c r="AZ805" s="36">
        <f t="shared" si="2694"/>
        <v>12400</v>
      </c>
      <c r="BA805" s="36">
        <f t="shared" si="2694"/>
        <v>12400</v>
      </c>
      <c r="BB805" s="36">
        <f t="shared" si="2694"/>
        <v>12400</v>
      </c>
      <c r="BC805" s="36">
        <f t="shared" si="2694"/>
        <v>12400</v>
      </c>
      <c r="BD805" s="36">
        <f t="shared" si="2694"/>
        <v>12400</v>
      </c>
      <c r="BE805" s="36">
        <f t="shared" si="2694"/>
        <v>12400</v>
      </c>
      <c r="BF805" s="36">
        <f t="shared" si="2694"/>
        <v>12400</v>
      </c>
      <c r="BG805" s="36">
        <f t="shared" si="2694"/>
        <v>12400</v>
      </c>
      <c r="BH805" s="36">
        <f t="shared" si="2694"/>
        <v>12400</v>
      </c>
      <c r="BI805" s="36">
        <f t="shared" si="2694"/>
        <v>12400</v>
      </c>
      <c r="BJ805" s="36">
        <f t="shared" si="2694"/>
        <v>12400</v>
      </c>
      <c r="BK805" s="36">
        <f t="shared" si="2694"/>
        <v>12400</v>
      </c>
      <c r="BL805" s="36">
        <f t="shared" si="2694"/>
        <v>12400</v>
      </c>
      <c r="BM805" s="36">
        <f t="shared" si="2694"/>
        <v>12400</v>
      </c>
      <c r="BN805" s="36">
        <f t="shared" si="2694"/>
        <v>12400</v>
      </c>
      <c r="BO805" s="36">
        <f t="shared" si="2694"/>
        <v>12400</v>
      </c>
      <c r="BP805" s="36">
        <f t="shared" si="2694"/>
        <v>12400</v>
      </c>
      <c r="BQ805" s="36">
        <f t="shared" si="2694"/>
        <v>12400</v>
      </c>
      <c r="BR805" s="36">
        <f t="shared" si="2694"/>
        <v>12400</v>
      </c>
      <c r="BS805" s="36">
        <f t="shared" si="2694"/>
        <v>12400</v>
      </c>
      <c r="BT805" s="36">
        <f t="shared" si="2694"/>
        <v>12400</v>
      </c>
      <c r="BU805" s="36">
        <f t="shared" si="2694"/>
        <v>12400</v>
      </c>
      <c r="BV805" s="36">
        <f t="shared" si="2694"/>
        <v>12400</v>
      </c>
      <c r="BW805" s="36">
        <f t="shared" si="2694"/>
        <v>12400</v>
      </c>
      <c r="BX805" s="36">
        <f t="shared" si="2694"/>
        <v>12400</v>
      </c>
      <c r="BY805" s="36">
        <f t="shared" si="2694"/>
        <v>12400</v>
      </c>
      <c r="BZ805" s="36">
        <f t="shared" si="2694"/>
        <v>12400</v>
      </c>
    </row>
    <row r="806" spans="1:78">
      <c r="A806" s="5" t="s">
        <v>184</v>
      </c>
      <c r="AD806" s="36">
        <f t="shared" si="2684"/>
        <v>2600</v>
      </c>
      <c r="AE806" s="36">
        <f t="shared" si="2684"/>
        <v>2600</v>
      </c>
      <c r="AF806" s="36">
        <f t="shared" si="2684"/>
        <v>2600</v>
      </c>
      <c r="AG806" s="36">
        <f t="shared" si="2684"/>
        <v>2600</v>
      </c>
      <c r="AH806" s="36">
        <f t="shared" ref="AH806:AI806" si="2695">AH789</f>
        <v>2600</v>
      </c>
      <c r="AI806" s="36">
        <f t="shared" si="2695"/>
        <v>2600</v>
      </c>
      <c r="AJ806" s="36">
        <f t="shared" ref="AJ806:AN806" si="2696">AJ789</f>
        <v>2600</v>
      </c>
      <c r="AK806" s="36">
        <f t="shared" si="2696"/>
        <v>2600</v>
      </c>
      <c r="AL806" s="36">
        <f t="shared" si="2696"/>
        <v>2600</v>
      </c>
      <c r="AM806" s="36">
        <f t="shared" si="2696"/>
        <v>2600</v>
      </c>
      <c r="AN806" s="36">
        <f t="shared" si="2696"/>
        <v>2600</v>
      </c>
      <c r="AO806" s="36">
        <f t="shared" ref="AO806:AP806" si="2697">AO789</f>
        <v>2600</v>
      </c>
      <c r="AP806" s="36">
        <f t="shared" si="2697"/>
        <v>2600</v>
      </c>
      <c r="AQ806" s="36">
        <f t="shared" ref="AQ806:AV806" si="2698">AQ789</f>
        <v>2600</v>
      </c>
      <c r="AR806" s="36">
        <f t="shared" si="2698"/>
        <v>2600</v>
      </c>
      <c r="AS806" s="36">
        <f t="shared" si="2698"/>
        <v>2600</v>
      </c>
      <c r="AT806" s="36">
        <f t="shared" si="2698"/>
        <v>2600</v>
      </c>
      <c r="AU806" s="36">
        <f t="shared" si="2698"/>
        <v>2600</v>
      </c>
      <c r="AV806" s="36">
        <f t="shared" si="2698"/>
        <v>2600</v>
      </c>
      <c r="AW806" s="36">
        <f t="shared" ref="AW806:BZ806" si="2699">AW789</f>
        <v>2600</v>
      </c>
      <c r="AX806" s="36">
        <f t="shared" si="2699"/>
        <v>2600</v>
      </c>
      <c r="AY806" s="36">
        <f t="shared" si="2699"/>
        <v>2600</v>
      </c>
      <c r="AZ806" s="36">
        <f t="shared" si="2699"/>
        <v>2600</v>
      </c>
      <c r="BA806" s="36">
        <f t="shared" si="2699"/>
        <v>2600</v>
      </c>
      <c r="BB806" s="36">
        <f t="shared" si="2699"/>
        <v>2600</v>
      </c>
      <c r="BC806" s="36">
        <f t="shared" si="2699"/>
        <v>2600</v>
      </c>
      <c r="BD806" s="36">
        <f t="shared" si="2699"/>
        <v>2600</v>
      </c>
      <c r="BE806" s="36">
        <f t="shared" si="2699"/>
        <v>2600</v>
      </c>
      <c r="BF806" s="36">
        <f t="shared" si="2699"/>
        <v>2600</v>
      </c>
      <c r="BG806" s="36">
        <f t="shared" si="2699"/>
        <v>2600</v>
      </c>
      <c r="BH806" s="36">
        <f t="shared" si="2699"/>
        <v>2600</v>
      </c>
      <c r="BI806" s="36">
        <f t="shared" si="2699"/>
        <v>2600</v>
      </c>
      <c r="BJ806" s="36">
        <f t="shared" si="2699"/>
        <v>2600</v>
      </c>
      <c r="BK806" s="36">
        <f t="shared" si="2699"/>
        <v>2600</v>
      </c>
      <c r="BL806" s="36">
        <f t="shared" si="2699"/>
        <v>2600</v>
      </c>
      <c r="BM806" s="36">
        <f t="shared" si="2699"/>
        <v>2600</v>
      </c>
      <c r="BN806" s="36">
        <f t="shared" si="2699"/>
        <v>2600</v>
      </c>
      <c r="BO806" s="36">
        <f t="shared" si="2699"/>
        <v>2600</v>
      </c>
      <c r="BP806" s="36">
        <f t="shared" si="2699"/>
        <v>2600</v>
      </c>
      <c r="BQ806" s="36">
        <f t="shared" si="2699"/>
        <v>2600</v>
      </c>
      <c r="BR806" s="36">
        <f t="shared" si="2699"/>
        <v>2600</v>
      </c>
      <c r="BS806" s="36">
        <f t="shared" si="2699"/>
        <v>2600</v>
      </c>
      <c r="BT806" s="36">
        <f t="shared" si="2699"/>
        <v>2600</v>
      </c>
      <c r="BU806" s="36">
        <f t="shared" si="2699"/>
        <v>2600</v>
      </c>
      <c r="BV806" s="36">
        <f t="shared" si="2699"/>
        <v>2600</v>
      </c>
      <c r="BW806" s="36">
        <f t="shared" si="2699"/>
        <v>2600</v>
      </c>
      <c r="BX806" s="36">
        <f t="shared" si="2699"/>
        <v>2600</v>
      </c>
      <c r="BY806" s="36">
        <f t="shared" si="2699"/>
        <v>2600</v>
      </c>
      <c r="BZ806" s="36">
        <f t="shared" si="2699"/>
        <v>2600</v>
      </c>
    </row>
    <row r="807" spans="1:78">
      <c r="A807" s="9" t="s">
        <v>606</v>
      </c>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39">
        <f t="shared" ref="AD807:AO807" si="2700">SUM(AD804:AD806)</f>
        <v>34300</v>
      </c>
      <c r="AE807" s="39">
        <f t="shared" si="2700"/>
        <v>43000</v>
      </c>
      <c r="AF807" s="39">
        <f t="shared" si="2700"/>
        <v>47800</v>
      </c>
      <c r="AG807" s="39">
        <f t="shared" si="2700"/>
        <v>47800</v>
      </c>
      <c r="AH807" s="39">
        <f t="shared" si="2700"/>
        <v>47600</v>
      </c>
      <c r="AI807" s="39">
        <f t="shared" si="2700"/>
        <v>47500</v>
      </c>
      <c r="AJ807" s="39">
        <f t="shared" si="2700"/>
        <v>47100</v>
      </c>
      <c r="AK807" s="39">
        <f t="shared" ref="AK807" si="2701">SUM(AK804:AK806)</f>
        <v>47100</v>
      </c>
      <c r="AL807" s="39">
        <f t="shared" ref="AL807" si="2702">SUM(AL804:AL806)</f>
        <v>47100</v>
      </c>
      <c r="AM807" s="39">
        <f t="shared" si="2700"/>
        <v>50200</v>
      </c>
      <c r="AN807" s="39">
        <f t="shared" si="2700"/>
        <v>49200</v>
      </c>
      <c r="AO807" s="39">
        <f t="shared" si="2700"/>
        <v>47300</v>
      </c>
      <c r="AP807" s="39">
        <f t="shared" ref="AP807:AQ807" si="2703">SUM(AP804:AP806)</f>
        <v>47300</v>
      </c>
      <c r="AQ807" s="39">
        <f t="shared" si="2703"/>
        <v>47300</v>
      </c>
      <c r="AR807" s="39">
        <f t="shared" ref="AR807:AV807" si="2704">SUM(AR804:AR806)</f>
        <v>47200</v>
      </c>
      <c r="AS807" s="39">
        <f t="shared" si="2704"/>
        <v>48200</v>
      </c>
      <c r="AT807" s="39">
        <f t="shared" si="2704"/>
        <v>53100</v>
      </c>
      <c r="AU807" s="39">
        <f t="shared" si="2704"/>
        <v>53100</v>
      </c>
      <c r="AV807" s="39">
        <f t="shared" si="2704"/>
        <v>53100</v>
      </c>
      <c r="AW807" s="39">
        <f t="shared" ref="AW807:BZ807" si="2705">SUM(AW804:AW806)</f>
        <v>53000</v>
      </c>
      <c r="AX807" s="39">
        <f t="shared" si="2705"/>
        <v>55000</v>
      </c>
      <c r="AY807" s="39">
        <f t="shared" si="2705"/>
        <v>81900</v>
      </c>
      <c r="AZ807" s="39">
        <f t="shared" si="2705"/>
        <v>88100</v>
      </c>
      <c r="BA807" s="39">
        <f t="shared" si="2705"/>
        <v>88100</v>
      </c>
      <c r="BB807" s="39">
        <f t="shared" si="2705"/>
        <v>98100</v>
      </c>
      <c r="BC807" s="39">
        <f t="shared" si="2705"/>
        <v>108100</v>
      </c>
      <c r="BD807" s="39">
        <f t="shared" si="2705"/>
        <v>118100</v>
      </c>
      <c r="BE807" s="39">
        <f t="shared" si="2705"/>
        <v>118100</v>
      </c>
      <c r="BF807" s="39">
        <f t="shared" si="2705"/>
        <v>118100</v>
      </c>
      <c r="BG807" s="39">
        <f t="shared" si="2705"/>
        <v>118100</v>
      </c>
      <c r="BH807" s="39">
        <f t="shared" si="2705"/>
        <v>118100</v>
      </c>
      <c r="BI807" s="39">
        <f t="shared" si="2705"/>
        <v>118100</v>
      </c>
      <c r="BJ807" s="39">
        <f t="shared" si="2705"/>
        <v>118100</v>
      </c>
      <c r="BK807" s="39">
        <f t="shared" si="2705"/>
        <v>118100</v>
      </c>
      <c r="BL807" s="39">
        <f t="shared" si="2705"/>
        <v>118100</v>
      </c>
      <c r="BM807" s="39">
        <f t="shared" si="2705"/>
        <v>118100</v>
      </c>
      <c r="BN807" s="39">
        <f t="shared" si="2705"/>
        <v>118100</v>
      </c>
      <c r="BO807" s="39">
        <f t="shared" si="2705"/>
        <v>118100</v>
      </c>
      <c r="BP807" s="39">
        <f t="shared" si="2705"/>
        <v>118100</v>
      </c>
      <c r="BQ807" s="39">
        <f t="shared" si="2705"/>
        <v>118100</v>
      </c>
      <c r="BR807" s="39">
        <f t="shared" si="2705"/>
        <v>118100</v>
      </c>
      <c r="BS807" s="39">
        <f t="shared" si="2705"/>
        <v>118100</v>
      </c>
      <c r="BT807" s="39">
        <f t="shared" si="2705"/>
        <v>118100</v>
      </c>
      <c r="BU807" s="39">
        <f t="shared" si="2705"/>
        <v>118100</v>
      </c>
      <c r="BV807" s="39">
        <f t="shared" si="2705"/>
        <v>118100</v>
      </c>
      <c r="BW807" s="39">
        <f t="shared" si="2705"/>
        <v>118100</v>
      </c>
      <c r="BX807" s="39">
        <f t="shared" si="2705"/>
        <v>118100</v>
      </c>
      <c r="BY807" s="39">
        <f t="shared" si="2705"/>
        <v>118100</v>
      </c>
      <c r="BZ807" s="39">
        <f t="shared" si="2705"/>
        <v>118100</v>
      </c>
    </row>
    <row r="809" spans="1:78">
      <c r="A809" s="5" t="s">
        <v>186</v>
      </c>
      <c r="AD809" s="21">
        <f t="shared" ref="AD809:AG812" si="2706">AD804/AD$807</f>
        <v>0.56268221574344024</v>
      </c>
      <c r="AE809" s="21">
        <f t="shared" si="2706"/>
        <v>0.65116279069767447</v>
      </c>
      <c r="AF809" s="21">
        <f t="shared" si="2706"/>
        <v>0.68619246861924688</v>
      </c>
      <c r="AG809" s="21">
        <f t="shared" si="2706"/>
        <v>0.68619246861924688</v>
      </c>
      <c r="AH809" s="21">
        <f t="shared" ref="AH809:AI809" si="2707">AH804/AH$807</f>
        <v>0.68487394957983194</v>
      </c>
      <c r="AI809" s="21">
        <f t="shared" si="2707"/>
        <v>0.68421052631578949</v>
      </c>
      <c r="AJ809" s="21">
        <f t="shared" ref="AJ809:AN809" si="2708">AJ804/AJ$807</f>
        <v>0.68152866242038213</v>
      </c>
      <c r="AK809" s="21">
        <f t="shared" si="2708"/>
        <v>0.68152866242038213</v>
      </c>
      <c r="AL809" s="21">
        <f t="shared" si="2708"/>
        <v>0.68152866242038213</v>
      </c>
      <c r="AM809" s="21">
        <f t="shared" si="2708"/>
        <v>0.70119521912350602</v>
      </c>
      <c r="AN809" s="21">
        <f t="shared" si="2708"/>
        <v>0.69512195121951215</v>
      </c>
      <c r="AO809" s="21">
        <f t="shared" ref="AO809:AP809" si="2709">AO804/AO$807</f>
        <v>0.68287526427061307</v>
      </c>
      <c r="AP809" s="21">
        <f t="shared" si="2709"/>
        <v>0.68287526427061307</v>
      </c>
      <c r="AQ809" s="21">
        <f t="shared" ref="AQ809:AV809" si="2710">AQ804/AQ$807</f>
        <v>0.68287526427061307</v>
      </c>
      <c r="AR809" s="21">
        <f t="shared" si="2710"/>
        <v>0.68220338983050843</v>
      </c>
      <c r="AS809" s="21">
        <f t="shared" si="2710"/>
        <v>0.68879668049792531</v>
      </c>
      <c r="AT809" s="21">
        <f t="shared" si="2710"/>
        <v>0.71751412429378536</v>
      </c>
      <c r="AU809" s="21">
        <f t="shared" si="2710"/>
        <v>0.71751412429378536</v>
      </c>
      <c r="AV809" s="21">
        <f t="shared" si="2710"/>
        <v>0.71751412429378536</v>
      </c>
      <c r="AW809" s="21">
        <f t="shared" ref="AW809:BZ809" si="2711">AW804/AW$807</f>
        <v>0.71509433962264146</v>
      </c>
      <c r="AX809" s="21">
        <f t="shared" si="2711"/>
        <v>0.72545454545454546</v>
      </c>
      <c r="AY809" s="21">
        <f t="shared" si="2711"/>
        <v>0.81684981684981683</v>
      </c>
      <c r="AZ809" s="21">
        <f t="shared" si="2711"/>
        <v>0.82973893303064694</v>
      </c>
      <c r="BA809" s="21">
        <f t="shared" si="2711"/>
        <v>0.82973893303064694</v>
      </c>
      <c r="BB809" s="21">
        <f t="shared" si="2711"/>
        <v>0.84709480122324154</v>
      </c>
      <c r="BC809" s="21">
        <f t="shared" si="2711"/>
        <v>0.86123959296947272</v>
      </c>
      <c r="BD809" s="21">
        <f t="shared" si="2711"/>
        <v>0.87298899237933958</v>
      </c>
      <c r="BE809" s="21">
        <f t="shared" si="2711"/>
        <v>0.87298899237933958</v>
      </c>
      <c r="BF809" s="21">
        <f t="shared" si="2711"/>
        <v>0.87298899237933958</v>
      </c>
      <c r="BG809" s="21">
        <f t="shared" si="2711"/>
        <v>0.87298899237933958</v>
      </c>
      <c r="BH809" s="21">
        <f t="shared" si="2711"/>
        <v>0.87298899237933958</v>
      </c>
      <c r="BI809" s="21">
        <f t="shared" si="2711"/>
        <v>0.87298899237933958</v>
      </c>
      <c r="BJ809" s="21">
        <f t="shared" si="2711"/>
        <v>0.87298899237933958</v>
      </c>
      <c r="BK809" s="21">
        <f t="shared" si="2711"/>
        <v>0.87298899237933958</v>
      </c>
      <c r="BL809" s="21">
        <f t="shared" si="2711"/>
        <v>0.87298899237933958</v>
      </c>
      <c r="BM809" s="21">
        <f t="shared" si="2711"/>
        <v>0.87298899237933958</v>
      </c>
      <c r="BN809" s="21">
        <f t="shared" si="2711"/>
        <v>0.87298899237933958</v>
      </c>
      <c r="BO809" s="21">
        <f t="shared" si="2711"/>
        <v>0.87298899237933958</v>
      </c>
      <c r="BP809" s="21">
        <f t="shared" si="2711"/>
        <v>0.87298899237933958</v>
      </c>
      <c r="BQ809" s="21">
        <f t="shared" si="2711"/>
        <v>0.87298899237933958</v>
      </c>
      <c r="BR809" s="21">
        <f t="shared" si="2711"/>
        <v>0.87298899237933958</v>
      </c>
      <c r="BS809" s="21">
        <f t="shared" si="2711"/>
        <v>0.87298899237933958</v>
      </c>
      <c r="BT809" s="21">
        <f t="shared" si="2711"/>
        <v>0.87298899237933958</v>
      </c>
      <c r="BU809" s="21">
        <f t="shared" si="2711"/>
        <v>0.87298899237933958</v>
      </c>
      <c r="BV809" s="21">
        <f t="shared" si="2711"/>
        <v>0.87298899237933958</v>
      </c>
      <c r="BW809" s="21">
        <f t="shared" si="2711"/>
        <v>0.87298899237933958</v>
      </c>
      <c r="BX809" s="21">
        <f t="shared" si="2711"/>
        <v>0.87298899237933958</v>
      </c>
      <c r="BY809" s="21">
        <f t="shared" si="2711"/>
        <v>0.87298899237933958</v>
      </c>
      <c r="BZ809" s="21">
        <f t="shared" si="2711"/>
        <v>0.87298899237933958</v>
      </c>
    </row>
    <row r="810" spans="1:78">
      <c r="A810" s="5" t="s">
        <v>174</v>
      </c>
      <c r="AD810" s="21">
        <f t="shared" si="2706"/>
        <v>0.36151603498542273</v>
      </c>
      <c r="AE810" s="21">
        <f t="shared" si="2706"/>
        <v>0.28837209302325584</v>
      </c>
      <c r="AF810" s="21">
        <f t="shared" si="2706"/>
        <v>0.2594142259414226</v>
      </c>
      <c r="AG810" s="21">
        <f t="shared" si="2706"/>
        <v>0.2594142259414226</v>
      </c>
      <c r="AH810" s="21">
        <f t="shared" ref="AH810:AI810" si="2712">AH805/AH$807</f>
        <v>0.26050420168067229</v>
      </c>
      <c r="AI810" s="21">
        <f t="shared" si="2712"/>
        <v>0.26105263157894737</v>
      </c>
      <c r="AJ810" s="21">
        <f t="shared" ref="AJ810:AN810" si="2713">AJ805/AJ$807</f>
        <v>0.26326963906581741</v>
      </c>
      <c r="AK810" s="21">
        <f t="shared" si="2713"/>
        <v>0.26326963906581741</v>
      </c>
      <c r="AL810" s="21">
        <f t="shared" si="2713"/>
        <v>0.26326963906581741</v>
      </c>
      <c r="AM810" s="21">
        <f t="shared" si="2713"/>
        <v>0.24701195219123506</v>
      </c>
      <c r="AN810" s="21">
        <f t="shared" si="2713"/>
        <v>0.25203252032520324</v>
      </c>
      <c r="AO810" s="21">
        <f t="shared" ref="AO810:AP810" si="2714">AO805/AO$807</f>
        <v>0.26215644820295986</v>
      </c>
      <c r="AP810" s="21">
        <f t="shared" si="2714"/>
        <v>0.26215644820295986</v>
      </c>
      <c r="AQ810" s="21">
        <f t="shared" ref="AQ810:AV810" si="2715">AQ805/AQ$807</f>
        <v>0.26215644820295986</v>
      </c>
      <c r="AR810" s="21">
        <f t="shared" si="2715"/>
        <v>0.26271186440677968</v>
      </c>
      <c r="AS810" s="21">
        <f t="shared" si="2715"/>
        <v>0.25726141078838172</v>
      </c>
      <c r="AT810" s="21">
        <f t="shared" si="2715"/>
        <v>0.2335216572504708</v>
      </c>
      <c r="AU810" s="21">
        <f t="shared" si="2715"/>
        <v>0.2335216572504708</v>
      </c>
      <c r="AV810" s="21">
        <f t="shared" si="2715"/>
        <v>0.2335216572504708</v>
      </c>
      <c r="AW810" s="21">
        <f t="shared" ref="AW810:BZ810" si="2716">AW805/AW$807</f>
        <v>0.23584905660377359</v>
      </c>
      <c r="AX810" s="21">
        <f t="shared" si="2716"/>
        <v>0.22727272727272727</v>
      </c>
      <c r="AY810" s="21">
        <f t="shared" si="2716"/>
        <v>0.15140415140415139</v>
      </c>
      <c r="AZ810" s="21">
        <f t="shared" si="2716"/>
        <v>0.14074914869466515</v>
      </c>
      <c r="BA810" s="21">
        <f t="shared" si="2716"/>
        <v>0.14074914869466515</v>
      </c>
      <c r="BB810" s="21">
        <f t="shared" si="2716"/>
        <v>0.12640163098878696</v>
      </c>
      <c r="BC810" s="21">
        <f t="shared" si="2716"/>
        <v>0.1147086031452359</v>
      </c>
      <c r="BD810" s="21">
        <f t="shared" si="2716"/>
        <v>0.10499576629974598</v>
      </c>
      <c r="BE810" s="21">
        <f t="shared" si="2716"/>
        <v>0.10499576629974598</v>
      </c>
      <c r="BF810" s="21">
        <f t="shared" si="2716"/>
        <v>0.10499576629974598</v>
      </c>
      <c r="BG810" s="21">
        <f t="shared" si="2716"/>
        <v>0.10499576629974598</v>
      </c>
      <c r="BH810" s="21">
        <f t="shared" si="2716"/>
        <v>0.10499576629974598</v>
      </c>
      <c r="BI810" s="21">
        <f t="shared" si="2716"/>
        <v>0.10499576629974598</v>
      </c>
      <c r="BJ810" s="21">
        <f t="shared" si="2716"/>
        <v>0.10499576629974598</v>
      </c>
      <c r="BK810" s="21">
        <f t="shared" si="2716"/>
        <v>0.10499576629974598</v>
      </c>
      <c r="BL810" s="21">
        <f t="shared" si="2716"/>
        <v>0.10499576629974598</v>
      </c>
      <c r="BM810" s="21">
        <f t="shared" si="2716"/>
        <v>0.10499576629974598</v>
      </c>
      <c r="BN810" s="21">
        <f t="shared" si="2716"/>
        <v>0.10499576629974598</v>
      </c>
      <c r="BO810" s="21">
        <f t="shared" si="2716"/>
        <v>0.10499576629974598</v>
      </c>
      <c r="BP810" s="21">
        <f t="shared" si="2716"/>
        <v>0.10499576629974598</v>
      </c>
      <c r="BQ810" s="21">
        <f t="shared" si="2716"/>
        <v>0.10499576629974598</v>
      </c>
      <c r="BR810" s="21">
        <f t="shared" si="2716"/>
        <v>0.10499576629974598</v>
      </c>
      <c r="BS810" s="21">
        <f t="shared" si="2716"/>
        <v>0.10499576629974598</v>
      </c>
      <c r="BT810" s="21">
        <f t="shared" si="2716"/>
        <v>0.10499576629974598</v>
      </c>
      <c r="BU810" s="21">
        <f t="shared" si="2716"/>
        <v>0.10499576629974598</v>
      </c>
      <c r="BV810" s="21">
        <f t="shared" si="2716"/>
        <v>0.10499576629974598</v>
      </c>
      <c r="BW810" s="21">
        <f t="shared" si="2716"/>
        <v>0.10499576629974598</v>
      </c>
      <c r="BX810" s="21">
        <f t="shared" si="2716"/>
        <v>0.10499576629974598</v>
      </c>
      <c r="BY810" s="21">
        <f t="shared" si="2716"/>
        <v>0.10499576629974598</v>
      </c>
      <c r="BZ810" s="21">
        <f t="shared" si="2716"/>
        <v>0.10499576629974598</v>
      </c>
    </row>
    <row r="811" spans="1:78">
      <c r="A811" s="5" t="s">
        <v>184</v>
      </c>
      <c r="AD811" s="21">
        <f t="shared" si="2706"/>
        <v>7.5801749271137031E-2</v>
      </c>
      <c r="AE811" s="21">
        <f t="shared" si="2706"/>
        <v>6.0465116279069767E-2</v>
      </c>
      <c r="AF811" s="21">
        <f t="shared" si="2706"/>
        <v>5.4393305439330547E-2</v>
      </c>
      <c r="AG811" s="21">
        <f t="shared" si="2706"/>
        <v>5.4393305439330547E-2</v>
      </c>
      <c r="AH811" s="21">
        <f t="shared" ref="AH811:AI811" si="2717">AH806/AH$807</f>
        <v>5.4621848739495799E-2</v>
      </c>
      <c r="AI811" s="21">
        <f t="shared" si="2717"/>
        <v>5.473684210526316E-2</v>
      </c>
      <c r="AJ811" s="21">
        <f t="shared" ref="AJ811:AN811" si="2718">AJ806/AJ$807</f>
        <v>5.5201698513800426E-2</v>
      </c>
      <c r="AK811" s="21">
        <f t="shared" si="2718"/>
        <v>5.5201698513800426E-2</v>
      </c>
      <c r="AL811" s="21">
        <f t="shared" si="2718"/>
        <v>5.5201698513800426E-2</v>
      </c>
      <c r="AM811" s="21">
        <f t="shared" si="2718"/>
        <v>5.1792828685258967E-2</v>
      </c>
      <c r="AN811" s="21">
        <f t="shared" si="2718"/>
        <v>5.2845528455284556E-2</v>
      </c>
      <c r="AO811" s="21">
        <f t="shared" ref="AO811:AP811" si="2719">AO806/AO$807</f>
        <v>5.4968287526427059E-2</v>
      </c>
      <c r="AP811" s="21">
        <f t="shared" si="2719"/>
        <v>5.4968287526427059E-2</v>
      </c>
      <c r="AQ811" s="21">
        <f t="shared" ref="AQ811:AV811" si="2720">AQ806/AQ$807</f>
        <v>5.4968287526427059E-2</v>
      </c>
      <c r="AR811" s="21">
        <f t="shared" si="2720"/>
        <v>5.5084745762711863E-2</v>
      </c>
      <c r="AS811" s="21">
        <f t="shared" si="2720"/>
        <v>5.3941908713692949E-2</v>
      </c>
      <c r="AT811" s="21">
        <f t="shared" si="2720"/>
        <v>4.8964218455743877E-2</v>
      </c>
      <c r="AU811" s="21">
        <f t="shared" si="2720"/>
        <v>4.8964218455743877E-2</v>
      </c>
      <c r="AV811" s="21">
        <f t="shared" si="2720"/>
        <v>4.8964218455743877E-2</v>
      </c>
      <c r="AW811" s="21">
        <f t="shared" ref="AW811:BZ811" si="2721">AW806/AW$807</f>
        <v>4.9056603773584909E-2</v>
      </c>
      <c r="AX811" s="21">
        <f t="shared" si="2721"/>
        <v>4.7272727272727272E-2</v>
      </c>
      <c r="AY811" s="21">
        <f t="shared" si="2721"/>
        <v>3.1746031746031744E-2</v>
      </c>
      <c r="AZ811" s="21">
        <f t="shared" si="2721"/>
        <v>2.9511918274687854E-2</v>
      </c>
      <c r="BA811" s="21">
        <f t="shared" si="2721"/>
        <v>2.9511918274687854E-2</v>
      </c>
      <c r="BB811" s="21">
        <f t="shared" si="2721"/>
        <v>2.6503567787971458E-2</v>
      </c>
      <c r="BC811" s="21">
        <f t="shared" si="2721"/>
        <v>2.4051803885291396E-2</v>
      </c>
      <c r="BD811" s="21">
        <f t="shared" si="2721"/>
        <v>2.201524132091448E-2</v>
      </c>
      <c r="BE811" s="21">
        <f t="shared" si="2721"/>
        <v>2.201524132091448E-2</v>
      </c>
      <c r="BF811" s="21">
        <f t="shared" si="2721"/>
        <v>2.201524132091448E-2</v>
      </c>
      <c r="BG811" s="21">
        <f t="shared" si="2721"/>
        <v>2.201524132091448E-2</v>
      </c>
      <c r="BH811" s="21">
        <f t="shared" si="2721"/>
        <v>2.201524132091448E-2</v>
      </c>
      <c r="BI811" s="21">
        <f t="shared" si="2721"/>
        <v>2.201524132091448E-2</v>
      </c>
      <c r="BJ811" s="21">
        <f t="shared" si="2721"/>
        <v>2.201524132091448E-2</v>
      </c>
      <c r="BK811" s="21">
        <f t="shared" si="2721"/>
        <v>2.201524132091448E-2</v>
      </c>
      <c r="BL811" s="21">
        <f t="shared" si="2721"/>
        <v>2.201524132091448E-2</v>
      </c>
      <c r="BM811" s="21">
        <f t="shared" si="2721"/>
        <v>2.201524132091448E-2</v>
      </c>
      <c r="BN811" s="21">
        <f t="shared" si="2721"/>
        <v>2.201524132091448E-2</v>
      </c>
      <c r="BO811" s="21">
        <f t="shared" si="2721"/>
        <v>2.201524132091448E-2</v>
      </c>
      <c r="BP811" s="21">
        <f t="shared" si="2721"/>
        <v>2.201524132091448E-2</v>
      </c>
      <c r="BQ811" s="21">
        <f t="shared" si="2721"/>
        <v>2.201524132091448E-2</v>
      </c>
      <c r="BR811" s="21">
        <f t="shared" si="2721"/>
        <v>2.201524132091448E-2</v>
      </c>
      <c r="BS811" s="21">
        <f t="shared" si="2721"/>
        <v>2.201524132091448E-2</v>
      </c>
      <c r="BT811" s="21">
        <f t="shared" si="2721"/>
        <v>2.201524132091448E-2</v>
      </c>
      <c r="BU811" s="21">
        <f t="shared" si="2721"/>
        <v>2.201524132091448E-2</v>
      </c>
      <c r="BV811" s="21">
        <f t="shared" si="2721"/>
        <v>2.201524132091448E-2</v>
      </c>
      <c r="BW811" s="21">
        <f t="shared" si="2721"/>
        <v>2.201524132091448E-2</v>
      </c>
      <c r="BX811" s="21">
        <f t="shared" si="2721"/>
        <v>2.201524132091448E-2</v>
      </c>
      <c r="BY811" s="21">
        <f t="shared" si="2721"/>
        <v>2.201524132091448E-2</v>
      </c>
      <c r="BZ811" s="21">
        <f t="shared" si="2721"/>
        <v>2.201524132091448E-2</v>
      </c>
    </row>
    <row r="812" spans="1:78">
      <c r="A812" s="9" t="s">
        <v>606</v>
      </c>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32">
        <f t="shared" si="2706"/>
        <v>1</v>
      </c>
      <c r="AE812" s="32">
        <f t="shared" si="2706"/>
        <v>1</v>
      </c>
      <c r="AF812" s="32">
        <f t="shared" si="2706"/>
        <v>1</v>
      </c>
      <c r="AG812" s="32">
        <f t="shared" si="2706"/>
        <v>1</v>
      </c>
      <c r="AH812" s="32">
        <f t="shared" ref="AH812:AI812" si="2722">AH807/AH$807</f>
        <v>1</v>
      </c>
      <c r="AI812" s="32">
        <f t="shared" si="2722"/>
        <v>1</v>
      </c>
      <c r="AJ812" s="32">
        <f t="shared" ref="AJ812:AN812" si="2723">AJ807/AJ$807</f>
        <v>1</v>
      </c>
      <c r="AK812" s="32">
        <f t="shared" si="2723"/>
        <v>1</v>
      </c>
      <c r="AL812" s="32">
        <f t="shared" si="2723"/>
        <v>1</v>
      </c>
      <c r="AM812" s="32">
        <f t="shared" si="2723"/>
        <v>1</v>
      </c>
      <c r="AN812" s="32">
        <f t="shared" si="2723"/>
        <v>1</v>
      </c>
      <c r="AO812" s="32">
        <f t="shared" ref="AO812:AP812" si="2724">AO807/AO$807</f>
        <v>1</v>
      </c>
      <c r="AP812" s="32">
        <f t="shared" si="2724"/>
        <v>1</v>
      </c>
      <c r="AQ812" s="32">
        <f t="shared" ref="AQ812:AV812" si="2725">AQ807/AQ$807</f>
        <v>1</v>
      </c>
      <c r="AR812" s="32">
        <f t="shared" si="2725"/>
        <v>1</v>
      </c>
      <c r="AS812" s="32">
        <f t="shared" si="2725"/>
        <v>1</v>
      </c>
      <c r="AT812" s="32">
        <f t="shared" si="2725"/>
        <v>1</v>
      </c>
      <c r="AU812" s="32">
        <f t="shared" si="2725"/>
        <v>1</v>
      </c>
      <c r="AV812" s="32">
        <f t="shared" si="2725"/>
        <v>1</v>
      </c>
      <c r="AW812" s="32">
        <f t="shared" ref="AW812:BZ812" si="2726">AW807/AW$807</f>
        <v>1</v>
      </c>
      <c r="AX812" s="32">
        <f t="shared" si="2726"/>
        <v>1</v>
      </c>
      <c r="AY812" s="32">
        <f t="shared" si="2726"/>
        <v>1</v>
      </c>
      <c r="AZ812" s="32">
        <f t="shared" si="2726"/>
        <v>1</v>
      </c>
      <c r="BA812" s="32">
        <f t="shared" si="2726"/>
        <v>1</v>
      </c>
      <c r="BB812" s="32">
        <f t="shared" si="2726"/>
        <v>1</v>
      </c>
      <c r="BC812" s="32">
        <f t="shared" si="2726"/>
        <v>1</v>
      </c>
      <c r="BD812" s="32">
        <f t="shared" si="2726"/>
        <v>1</v>
      </c>
      <c r="BE812" s="32">
        <f t="shared" si="2726"/>
        <v>1</v>
      </c>
      <c r="BF812" s="32">
        <f t="shared" si="2726"/>
        <v>1</v>
      </c>
      <c r="BG812" s="32">
        <f t="shared" si="2726"/>
        <v>1</v>
      </c>
      <c r="BH812" s="32">
        <f t="shared" si="2726"/>
        <v>1</v>
      </c>
      <c r="BI812" s="32">
        <f t="shared" si="2726"/>
        <v>1</v>
      </c>
      <c r="BJ812" s="32">
        <f t="shared" si="2726"/>
        <v>1</v>
      </c>
      <c r="BK812" s="32">
        <f t="shared" si="2726"/>
        <v>1</v>
      </c>
      <c r="BL812" s="32">
        <f t="shared" si="2726"/>
        <v>1</v>
      </c>
      <c r="BM812" s="32">
        <f t="shared" si="2726"/>
        <v>1</v>
      </c>
      <c r="BN812" s="32">
        <f t="shared" si="2726"/>
        <v>1</v>
      </c>
      <c r="BO812" s="32">
        <f t="shared" si="2726"/>
        <v>1</v>
      </c>
      <c r="BP812" s="32">
        <f t="shared" si="2726"/>
        <v>1</v>
      </c>
      <c r="BQ812" s="32">
        <f t="shared" si="2726"/>
        <v>1</v>
      </c>
      <c r="BR812" s="32">
        <f t="shared" si="2726"/>
        <v>1</v>
      </c>
      <c r="BS812" s="32">
        <f t="shared" si="2726"/>
        <v>1</v>
      </c>
      <c r="BT812" s="32">
        <f t="shared" si="2726"/>
        <v>1</v>
      </c>
      <c r="BU812" s="32">
        <f t="shared" si="2726"/>
        <v>1</v>
      </c>
      <c r="BV812" s="32">
        <f t="shared" si="2726"/>
        <v>1</v>
      </c>
      <c r="BW812" s="32">
        <f t="shared" si="2726"/>
        <v>1</v>
      </c>
      <c r="BX812" s="32">
        <f t="shared" si="2726"/>
        <v>1</v>
      </c>
      <c r="BY812" s="32">
        <f t="shared" si="2726"/>
        <v>1</v>
      </c>
      <c r="BZ812" s="32">
        <f t="shared" si="2726"/>
        <v>1</v>
      </c>
    </row>
    <row r="814" spans="1:78">
      <c r="A814" s="3" t="s">
        <v>1348</v>
      </c>
      <c r="AD814" s="22" t="s">
        <v>1350</v>
      </c>
    </row>
    <row r="816" spans="1:78">
      <c r="A816" s="1" t="s">
        <v>235</v>
      </c>
    </row>
    <row r="817" spans="1:78">
      <c r="A817" s="5" t="s">
        <v>1346</v>
      </c>
      <c r="AD817" s="136">
        <v>0</v>
      </c>
      <c r="AE817" s="36">
        <f>AD823</f>
        <v>164469</v>
      </c>
      <c r="AF817" s="36">
        <f>AE823</f>
        <v>319178</v>
      </c>
      <c r="AG817" s="136">
        <v>0</v>
      </c>
      <c r="AH817" s="36">
        <f>AG823</f>
        <v>342663</v>
      </c>
      <c r="AI817" s="36">
        <f>AH823</f>
        <v>385483</v>
      </c>
      <c r="AJ817" s="36">
        <f>AI823</f>
        <v>411424</v>
      </c>
      <c r="AK817" s="36">
        <f>AJ823</f>
        <v>379778</v>
      </c>
      <c r="AL817" s="36">
        <f>AG823</f>
        <v>342663</v>
      </c>
      <c r="AM817" s="36">
        <f>AL823</f>
        <v>384870</v>
      </c>
      <c r="AN817" s="36">
        <f>AM823</f>
        <v>420883</v>
      </c>
      <c r="AO817" s="36">
        <f>AN823</f>
        <v>437318</v>
      </c>
      <c r="AP817" s="36">
        <f>AO823</f>
        <v>417609</v>
      </c>
      <c r="AQ817" s="36">
        <f>AL823</f>
        <v>384870</v>
      </c>
      <c r="AR817" s="36">
        <f>AQ823</f>
        <v>448931</v>
      </c>
      <c r="AS817" s="36">
        <f t="shared" ref="AS817:AU817" si="2727">AR823</f>
        <v>480886</v>
      </c>
      <c r="AT817" s="36">
        <f t="shared" si="2727"/>
        <v>429099</v>
      </c>
      <c r="AU817" s="36">
        <f t="shared" si="2727"/>
        <v>478837</v>
      </c>
      <c r="AV817" s="36">
        <f>AQ823</f>
        <v>448931</v>
      </c>
      <c r="AW817" s="36">
        <f>AV823</f>
        <v>455664</v>
      </c>
      <c r="AX817" s="36">
        <f t="shared" ref="AX817:AZ817" si="2728">AW823</f>
        <v>444289</v>
      </c>
      <c r="AY817" s="36">
        <f t="shared" si="2728"/>
        <v>459838</v>
      </c>
      <c r="AZ817" s="36">
        <f t="shared" si="2728"/>
        <v>486815</v>
      </c>
      <c r="BA817" s="36">
        <f>AV823</f>
        <v>455664</v>
      </c>
      <c r="BB817" s="36">
        <f>BA823</f>
        <v>485463</v>
      </c>
      <c r="BC817" s="36">
        <f t="shared" ref="BC817:BE817" si="2729">BB823</f>
        <v>487459.70000000007</v>
      </c>
      <c r="BD817" s="36">
        <f t="shared" si="2729"/>
        <v>489131.00000000006</v>
      </c>
      <c r="BE817" s="36">
        <f t="shared" si="2729"/>
        <v>491094.9</v>
      </c>
      <c r="BF817" s="36">
        <f>BA823</f>
        <v>485463</v>
      </c>
      <c r="BG817" s="36">
        <f>BF823</f>
        <v>493042</v>
      </c>
      <c r="BH817" s="36">
        <f t="shared" ref="BH817:BJ817" si="2730">BG823</f>
        <v>494972.3</v>
      </c>
      <c r="BI817" s="36">
        <f t="shared" si="2730"/>
        <v>496580.40000000008</v>
      </c>
      <c r="BJ817" s="36">
        <f t="shared" si="2730"/>
        <v>498477.9</v>
      </c>
      <c r="BK817" s="36">
        <f>BF823</f>
        <v>493042</v>
      </c>
      <c r="BL817" s="36">
        <f>BK823</f>
        <v>500358.60000000003</v>
      </c>
      <c r="BM817" s="36">
        <f t="shared" ref="BM817:BO817" si="2731">BL823</f>
        <v>502222.5</v>
      </c>
      <c r="BN817" s="36">
        <f t="shared" si="2731"/>
        <v>503767.39999999997</v>
      </c>
      <c r="BO817" s="36">
        <f t="shared" si="2731"/>
        <v>505598.50000000006</v>
      </c>
      <c r="BP817" s="36">
        <f>BK823</f>
        <v>500358.60000000003</v>
      </c>
      <c r="BQ817" s="36">
        <f>BP823</f>
        <v>507412.80000000005</v>
      </c>
      <c r="BR817" s="36">
        <f t="shared" ref="BR817:BT817" si="2732">BQ823</f>
        <v>509210.30000000005</v>
      </c>
      <c r="BS817" s="36">
        <f t="shared" si="2732"/>
        <v>510692</v>
      </c>
      <c r="BT817" s="36">
        <f t="shared" si="2732"/>
        <v>512456.69999999995</v>
      </c>
      <c r="BU817" s="36">
        <f>BP823</f>
        <v>507412.80000000005</v>
      </c>
      <c r="BV817" s="36">
        <f>BU823</f>
        <v>514204.60000000003</v>
      </c>
      <c r="BW817" s="36">
        <f t="shared" ref="BW817:BY817" si="2733">BV823</f>
        <v>515935.7</v>
      </c>
      <c r="BX817" s="36">
        <f t="shared" si="2733"/>
        <v>517354.2</v>
      </c>
      <c r="BY817" s="36">
        <f t="shared" si="2733"/>
        <v>519052.5</v>
      </c>
      <c r="BZ817" s="36">
        <f>BU823</f>
        <v>514204.60000000003</v>
      </c>
    </row>
    <row r="818" spans="1:78">
      <c r="A818" s="5" t="s">
        <v>1349</v>
      </c>
      <c r="AD818" s="136">
        <f>159956+20382+629</f>
        <v>180967</v>
      </c>
      <c r="AE818" s="136">
        <f>290142+35150+1650-AD818</f>
        <v>145975</v>
      </c>
      <c r="AF818" s="136">
        <f>290142+35150+1650-AE818-AD818</f>
        <v>0</v>
      </c>
      <c r="AG818" s="36">
        <f>SUM(AC818:AF818)</f>
        <v>326942</v>
      </c>
      <c r="AH818" s="136">
        <v>0</v>
      </c>
      <c r="AI818" s="136">
        <v>0</v>
      </c>
      <c r="AJ818" s="136">
        <v>0</v>
      </c>
      <c r="AK818" s="136">
        <v>0</v>
      </c>
      <c r="AL818" s="36">
        <f>SUM(AH818:AK818)</f>
        <v>0</v>
      </c>
      <c r="AM818" s="136">
        <v>0</v>
      </c>
      <c r="AN818" s="136">
        <v>0</v>
      </c>
      <c r="AO818" s="136">
        <v>0</v>
      </c>
      <c r="AP818" s="136">
        <v>0</v>
      </c>
      <c r="AQ818" s="36">
        <f>SUM(AM818:AP818)</f>
        <v>0</v>
      </c>
      <c r="AR818" s="136">
        <v>0</v>
      </c>
      <c r="AS818" s="136">
        <v>0</v>
      </c>
      <c r="AT818" s="136">
        <v>0</v>
      </c>
      <c r="AU818" s="136">
        <v>0</v>
      </c>
      <c r="AV818" s="36">
        <f>SUM(AR818:AU818)</f>
        <v>0</v>
      </c>
      <c r="AW818" s="136">
        <v>0</v>
      </c>
      <c r="AX818" s="136">
        <v>0</v>
      </c>
      <c r="AY818" s="136">
        <v>0</v>
      </c>
      <c r="AZ818" s="36"/>
      <c r="BA818" s="36">
        <f>SUM(AW818:AZ818)</f>
        <v>0</v>
      </c>
      <c r="BB818" s="36"/>
      <c r="BC818" s="36"/>
      <c r="BD818" s="36"/>
      <c r="BE818" s="36"/>
      <c r="BF818" s="36">
        <f>SUM(BB818:BE818)</f>
        <v>0</v>
      </c>
      <c r="BG818" s="36"/>
      <c r="BH818" s="36"/>
      <c r="BI818" s="36"/>
      <c r="BJ818" s="36"/>
      <c r="BK818" s="36">
        <f>SUM(BG818:BJ818)</f>
        <v>0</v>
      </c>
      <c r="BL818" s="36"/>
      <c r="BM818" s="36"/>
      <c r="BN818" s="36"/>
      <c r="BO818" s="36"/>
      <c r="BP818" s="36">
        <f>SUM(BL818:BO818)</f>
        <v>0</v>
      </c>
      <c r="BQ818" s="36"/>
      <c r="BR818" s="36"/>
      <c r="BS818" s="36"/>
      <c r="BT818" s="36"/>
      <c r="BU818" s="36">
        <f>SUM(BQ818:BT818)</f>
        <v>0</v>
      </c>
      <c r="BV818" s="36"/>
      <c r="BW818" s="36"/>
      <c r="BX818" s="36"/>
      <c r="BY818" s="36"/>
      <c r="BZ818" s="36">
        <f>SUM(BV818:BY818)</f>
        <v>0</v>
      </c>
    </row>
    <row r="819" spans="1:78">
      <c r="A819" s="5" t="s">
        <v>1345</v>
      </c>
      <c r="AD819" s="136">
        <v>475</v>
      </c>
      <c r="AE819" s="136">
        <f>3304-AD819</f>
        <v>2829</v>
      </c>
      <c r="AF819" s="136">
        <f>5687-AE819-AD819</f>
        <v>2383</v>
      </c>
      <c r="AG819" s="36">
        <f>SUM(AC819:AF819)</f>
        <v>5687</v>
      </c>
      <c r="AH819" s="136">
        <v>2654</v>
      </c>
      <c r="AI819" s="136">
        <f>5538-AH819</f>
        <v>2884</v>
      </c>
      <c r="AJ819" s="136">
        <f>8474-AI819-AH819</f>
        <v>2936</v>
      </c>
      <c r="AK819" s="136">
        <f>11185-AJ819-AI819-AH819</f>
        <v>2711</v>
      </c>
      <c r="AL819" s="36">
        <f>SUM(AH819:AK819)</f>
        <v>11185</v>
      </c>
      <c r="AM819" s="136">
        <v>2841</v>
      </c>
      <c r="AN819" s="136">
        <f>5866-AM819</f>
        <v>3025</v>
      </c>
      <c r="AO819" s="136">
        <f>8923-AN819-AM819</f>
        <v>3057</v>
      </c>
      <c r="AP819" s="136">
        <f>11964-AO819-AN819-AM819</f>
        <v>3041</v>
      </c>
      <c r="AQ819" s="36">
        <f>SUM(AM819:AP819)</f>
        <v>11964</v>
      </c>
      <c r="AR819" s="136">
        <v>3220</v>
      </c>
      <c r="AS819" s="136">
        <f>6345-AR819</f>
        <v>3125</v>
      </c>
      <c r="AT819" s="136">
        <f>9492-AS819-AR819</f>
        <v>3147</v>
      </c>
      <c r="AU819" s="136">
        <f>12603-AT819-AS819-AR819</f>
        <v>3111</v>
      </c>
      <c r="AV819" s="36">
        <f>SUM(AR819:AU819)</f>
        <v>12603</v>
      </c>
      <c r="AW819" s="136">
        <v>2987</v>
      </c>
      <c r="AX819" s="136">
        <f>6021-AW819</f>
        <v>3034</v>
      </c>
      <c r="AY819" s="136">
        <f>9224-AX819-AW819</f>
        <v>3203</v>
      </c>
      <c r="AZ819" s="36">
        <f t="shared" ref="AZ819" si="2734">AZ832*AZ845</f>
        <v>3257.1</v>
      </c>
      <c r="BA819" s="36">
        <f>SUM(AW819:AZ819)</f>
        <v>12481.1</v>
      </c>
      <c r="BB819" s="36">
        <f>BB832*BB845</f>
        <v>3248.7000000000003</v>
      </c>
      <c r="BC819" s="36">
        <f t="shared" ref="BC819:BE819" si="2735">BC832*BC845</f>
        <v>2931.7000000000003</v>
      </c>
      <c r="BD819" s="36">
        <f t="shared" si="2735"/>
        <v>3231.9</v>
      </c>
      <c r="BE819" s="36">
        <f t="shared" si="2735"/>
        <v>3223.5</v>
      </c>
      <c r="BF819" s="36">
        <f>SUM(BB819:BE819)</f>
        <v>12635.800000000001</v>
      </c>
      <c r="BG819" s="36">
        <f>BG832*BG845</f>
        <v>3215.1</v>
      </c>
      <c r="BH819" s="36">
        <f t="shared" ref="BH819:BJ819" si="2736">BH832*BH845</f>
        <v>2901.3</v>
      </c>
      <c r="BI819" s="36">
        <f t="shared" si="2736"/>
        <v>3198.3</v>
      </c>
      <c r="BJ819" s="36">
        <f t="shared" si="2736"/>
        <v>3189.9</v>
      </c>
      <c r="BK819" s="36">
        <f>SUM(BG819:BJ819)</f>
        <v>12504.6</v>
      </c>
      <c r="BL819" s="36">
        <f>BL832*BL845</f>
        <v>3181.5</v>
      </c>
      <c r="BM819" s="36">
        <f t="shared" ref="BM819:BO819" si="2737">BM832*BM845</f>
        <v>2870.9</v>
      </c>
      <c r="BN819" s="36">
        <f t="shared" si="2737"/>
        <v>3164.7000000000003</v>
      </c>
      <c r="BO819" s="36">
        <f t="shared" si="2737"/>
        <v>3156.3</v>
      </c>
      <c r="BP819" s="36">
        <f>SUM(BL819:BO819)</f>
        <v>12373.400000000001</v>
      </c>
      <c r="BQ819" s="36">
        <f>BQ832*BQ845</f>
        <v>3147.9</v>
      </c>
      <c r="BR819" s="36">
        <f t="shared" ref="BR819:BT819" si="2738">BR832*BR845</f>
        <v>2840.5</v>
      </c>
      <c r="BS819" s="36">
        <f t="shared" si="2738"/>
        <v>3131.1</v>
      </c>
      <c r="BT819" s="36">
        <f t="shared" si="2738"/>
        <v>3122.7000000000003</v>
      </c>
      <c r="BU819" s="36">
        <f>SUM(BQ819:BT819)</f>
        <v>12242.2</v>
      </c>
      <c r="BV819" s="36">
        <f>BV832*BV845</f>
        <v>3114.3</v>
      </c>
      <c r="BW819" s="36">
        <f t="shared" ref="BW819:BY819" si="2739">BW832*BW845</f>
        <v>2810.1</v>
      </c>
      <c r="BX819" s="36">
        <f t="shared" si="2739"/>
        <v>3097.5</v>
      </c>
      <c r="BY819" s="36">
        <f t="shared" si="2739"/>
        <v>3089.1</v>
      </c>
      <c r="BZ819" s="36">
        <f>SUM(BV819:BY819)</f>
        <v>12111</v>
      </c>
    </row>
    <row r="820" spans="1:78">
      <c r="A820" s="5" t="s">
        <v>1347</v>
      </c>
      <c r="AD820" s="36"/>
      <c r="AG820" s="36"/>
      <c r="AP820" s="36"/>
      <c r="AT820" s="36"/>
      <c r="AU820" s="36"/>
      <c r="AY820" s="36"/>
      <c r="AZ820" s="36"/>
      <c r="BB820" s="36"/>
      <c r="BC820" s="36"/>
      <c r="BD820" s="36"/>
      <c r="BE820" s="36"/>
      <c r="BG820" s="36"/>
      <c r="BH820" s="36"/>
      <c r="BI820" s="36"/>
      <c r="BJ820" s="36"/>
      <c r="BL820" s="36"/>
      <c r="BM820" s="36"/>
      <c r="BN820" s="36"/>
      <c r="BO820" s="36"/>
      <c r="BQ820" s="36"/>
      <c r="BR820" s="36"/>
      <c r="BS820" s="36"/>
      <c r="BT820" s="36"/>
      <c r="BV820" s="36"/>
      <c r="BW820" s="36"/>
      <c r="BX820" s="36"/>
      <c r="BY820" s="36"/>
    </row>
    <row r="821" spans="1:78">
      <c r="A821" s="5" t="s">
        <v>1351</v>
      </c>
      <c r="AD821" s="136">
        <v>-19104</v>
      </c>
      <c r="AE821" s="136">
        <f>-19104-AD821</f>
        <v>0</v>
      </c>
      <c r="AF821" s="136">
        <f>-19104-AE821-AD821</f>
        <v>0</v>
      </c>
      <c r="AG821" s="36">
        <f>SUM(AC821:AF821)</f>
        <v>-19104</v>
      </c>
      <c r="AH821" s="136">
        <v>0</v>
      </c>
      <c r="AI821" s="136">
        <v>0</v>
      </c>
      <c r="AJ821" s="136">
        <v>0</v>
      </c>
      <c r="AK821" s="136">
        <v>0</v>
      </c>
      <c r="AL821" s="36">
        <f>SUM(AH821:AK821)</f>
        <v>0</v>
      </c>
      <c r="AM821" s="136">
        <v>0</v>
      </c>
      <c r="AN821" s="136">
        <v>0</v>
      </c>
      <c r="AO821" s="136">
        <v>0</v>
      </c>
      <c r="AP821" s="136">
        <v>0</v>
      </c>
      <c r="AQ821" s="36">
        <f>SUM(AM821:AP821)</f>
        <v>0</v>
      </c>
      <c r="AR821" s="136">
        <v>0</v>
      </c>
      <c r="AS821" s="136">
        <v>0</v>
      </c>
      <c r="AT821" s="136">
        <v>0</v>
      </c>
      <c r="AU821" s="136">
        <v>0</v>
      </c>
      <c r="AV821" s="36">
        <f>SUM(AR821:AU821)</f>
        <v>0</v>
      </c>
      <c r="AW821" s="136">
        <v>0</v>
      </c>
      <c r="AX821" s="136">
        <v>0</v>
      </c>
      <c r="AY821" s="136">
        <v>0</v>
      </c>
      <c r="AZ821" s="36"/>
      <c r="BA821" s="36">
        <f>SUM(AW821:AZ821)</f>
        <v>0</v>
      </c>
      <c r="BB821" s="36"/>
      <c r="BC821" s="36"/>
      <c r="BD821" s="36"/>
      <c r="BE821" s="36"/>
      <c r="BF821" s="36">
        <f>SUM(BB821:BE821)</f>
        <v>0</v>
      </c>
      <c r="BG821" s="36"/>
      <c r="BH821" s="36"/>
      <c r="BI821" s="36"/>
      <c r="BJ821" s="36"/>
      <c r="BK821" s="36">
        <f>SUM(BG821:BJ821)</f>
        <v>0</v>
      </c>
      <c r="BL821" s="36"/>
      <c r="BM821" s="36"/>
      <c r="BN821" s="36"/>
      <c r="BO821" s="36"/>
      <c r="BP821" s="36">
        <f>SUM(BL821:BO821)</f>
        <v>0</v>
      </c>
      <c r="BQ821" s="36"/>
      <c r="BR821" s="36"/>
      <c r="BS821" s="36"/>
      <c r="BT821" s="36"/>
      <c r="BU821" s="36">
        <f>SUM(BQ821:BT821)</f>
        <v>0</v>
      </c>
      <c r="BV821" s="36"/>
      <c r="BW821" s="36"/>
      <c r="BX821" s="36"/>
      <c r="BY821" s="36"/>
      <c r="BZ821" s="36">
        <f>SUM(BV821:BY821)</f>
        <v>0</v>
      </c>
    </row>
    <row r="822" spans="1:78">
      <c r="A822" s="5" t="s">
        <v>1352</v>
      </c>
      <c r="AD822" s="36">
        <f t="shared" ref="AD822:AY822" si="2740">AD823-SUM(AD817:AD821)</f>
        <v>2131</v>
      </c>
      <c r="AE822" s="36">
        <f t="shared" si="2740"/>
        <v>5905</v>
      </c>
      <c r="AF822" s="36">
        <f t="shared" si="2740"/>
        <v>21102</v>
      </c>
      <c r="AG822" s="36">
        <f t="shared" si="2740"/>
        <v>29138</v>
      </c>
      <c r="AH822" s="36">
        <f t="shared" si="2740"/>
        <v>40166</v>
      </c>
      <c r="AI822" s="36">
        <f t="shared" si="2740"/>
        <v>23057</v>
      </c>
      <c r="AJ822" s="36">
        <f t="shared" si="2740"/>
        <v>-34582</v>
      </c>
      <c r="AK822" s="36">
        <f t="shared" si="2740"/>
        <v>2381</v>
      </c>
      <c r="AL822" s="36">
        <f t="shared" si="2740"/>
        <v>31022</v>
      </c>
      <c r="AM822" s="36">
        <f t="shared" si="2740"/>
        <v>33172</v>
      </c>
      <c r="AN822" s="36">
        <f t="shared" si="2740"/>
        <v>13410</v>
      </c>
      <c r="AO822" s="36">
        <f t="shared" si="2740"/>
        <v>-22766</v>
      </c>
      <c r="AP822" s="36">
        <f t="shared" si="2740"/>
        <v>28281</v>
      </c>
      <c r="AQ822" s="36">
        <f t="shared" ref="AQ822" si="2741">AQ823-SUM(AQ817:AQ821)</f>
        <v>52097</v>
      </c>
      <c r="AR822" s="36">
        <f t="shared" si="2740"/>
        <v>28735</v>
      </c>
      <c r="AS822" s="36">
        <f t="shared" si="2740"/>
        <v>-54912</v>
      </c>
      <c r="AT822" s="36">
        <f t="shared" si="2740"/>
        <v>46591</v>
      </c>
      <c r="AU822" s="36">
        <f t="shared" si="2740"/>
        <v>-26284</v>
      </c>
      <c r="AV822" s="36">
        <f t="shared" ref="AV822" si="2742">AV823-SUM(AV817:AV821)</f>
        <v>-5870</v>
      </c>
      <c r="AW822" s="36">
        <f t="shared" si="2740"/>
        <v>-14362</v>
      </c>
      <c r="AX822" s="36">
        <f t="shared" si="2740"/>
        <v>12515</v>
      </c>
      <c r="AY822" s="36">
        <f t="shared" si="2740"/>
        <v>23774</v>
      </c>
      <c r="AZ822" s="36">
        <f t="shared" ref="AZ822" si="2743">AZ823-SUM(AZ817:AZ821)</f>
        <v>-4609.0999999999767</v>
      </c>
      <c r="BA822" s="36">
        <f>BA823-SUM(BA817:BA821)</f>
        <v>17317.900000000023</v>
      </c>
      <c r="BB822" s="36">
        <f>BB823-SUM(BB817:BB821)</f>
        <v>-1251.9999999999418</v>
      </c>
      <c r="BC822" s="36">
        <f t="shared" ref="BC822" si="2744">BC823-SUM(BC817:BC821)</f>
        <v>-1260.4000000000233</v>
      </c>
      <c r="BD822" s="36">
        <f t="shared" ref="BD822" si="2745">BD823-SUM(BD817:BD821)</f>
        <v>-1268.0000000000582</v>
      </c>
      <c r="BE822" s="36">
        <f t="shared" ref="BE822" si="2746">BE823-SUM(BE817:BE821)</f>
        <v>-1276.4000000000233</v>
      </c>
      <c r="BF822" s="36">
        <f>BF823-SUM(BF817:BF821)</f>
        <v>-5056.7999999999884</v>
      </c>
      <c r="BG822" s="36">
        <f>BG823-SUM(BG817:BG821)</f>
        <v>-1284.7999999999884</v>
      </c>
      <c r="BH822" s="36">
        <f t="shared" ref="BH822" si="2747">BH823-SUM(BH817:BH821)</f>
        <v>-1293.1999999998952</v>
      </c>
      <c r="BI822" s="36">
        <f t="shared" ref="BI822" si="2748">BI823-SUM(BI817:BI821)</f>
        <v>-1300.8000000000466</v>
      </c>
      <c r="BJ822" s="36">
        <f t="shared" ref="BJ822" si="2749">BJ823-SUM(BJ817:BJ821)</f>
        <v>-1309.2000000000116</v>
      </c>
      <c r="BK822" s="36">
        <f>BK823-SUM(BK817:BK821)</f>
        <v>-5187.9999999999418</v>
      </c>
      <c r="BL822" s="36">
        <f>BL823-SUM(BL817:BL821)</f>
        <v>-1317.6000000000349</v>
      </c>
      <c r="BM822" s="36">
        <f t="shared" ref="BM822" si="2750">BM823-SUM(BM817:BM821)</f>
        <v>-1326.0000000000582</v>
      </c>
      <c r="BN822" s="36">
        <f t="shared" ref="BN822" si="2751">BN823-SUM(BN817:BN821)</f>
        <v>-1333.5999999999185</v>
      </c>
      <c r="BO822" s="36">
        <f t="shared" ref="BO822" si="2752">BO823-SUM(BO817:BO821)</f>
        <v>-1342</v>
      </c>
      <c r="BP822" s="36">
        <f>BP823-SUM(BP817:BP821)</f>
        <v>-5319.2000000000116</v>
      </c>
      <c r="BQ822" s="36">
        <f>BQ823-SUM(BQ817:BQ821)</f>
        <v>-1350.4000000000233</v>
      </c>
      <c r="BR822" s="36">
        <f t="shared" ref="BR822" si="2753">BR823-SUM(BR817:BR821)</f>
        <v>-1358.8000000000466</v>
      </c>
      <c r="BS822" s="36">
        <f t="shared" ref="BS822" si="2754">BS823-SUM(BS817:BS821)</f>
        <v>-1366.4000000000233</v>
      </c>
      <c r="BT822" s="36">
        <f t="shared" ref="BT822" si="2755">BT823-SUM(BT817:BT821)</f>
        <v>-1374.7999999999302</v>
      </c>
      <c r="BU822" s="36">
        <f>BU823-SUM(BU817:BU821)</f>
        <v>-5450.4000000000233</v>
      </c>
      <c r="BV822" s="36">
        <f>BV823-SUM(BV817:BV821)</f>
        <v>-1383.2000000000116</v>
      </c>
      <c r="BW822" s="36">
        <f t="shared" ref="BW822" si="2756">BW823-SUM(BW817:BW821)</f>
        <v>-1391.5999999999767</v>
      </c>
      <c r="BX822" s="36">
        <f t="shared" ref="BX822" si="2757">BX823-SUM(BX817:BX821)</f>
        <v>-1399.2000000000116</v>
      </c>
      <c r="BY822" s="36">
        <f t="shared" ref="BY822" si="2758">BY823-SUM(BY817:BY821)</f>
        <v>-1407.5999999999767</v>
      </c>
      <c r="BZ822" s="36">
        <f>BZ823-SUM(BZ817:BZ821)</f>
        <v>-5581.6000000000931</v>
      </c>
    </row>
    <row r="823" spans="1:78">
      <c r="A823" s="9" t="s">
        <v>1344</v>
      </c>
      <c r="B823" s="9"/>
      <c r="C823" s="9"/>
      <c r="D823" s="9"/>
      <c r="E823" s="9"/>
      <c r="F823" s="9"/>
      <c r="G823" s="9"/>
      <c r="H823" s="9"/>
      <c r="I823" s="39"/>
      <c r="J823" s="39"/>
      <c r="K823" s="39"/>
      <c r="L823" s="39"/>
      <c r="M823" s="39"/>
      <c r="N823" s="39"/>
      <c r="O823" s="39"/>
      <c r="P823" s="39"/>
      <c r="Q823" s="39"/>
      <c r="R823" s="39"/>
      <c r="S823" s="39"/>
      <c r="T823" s="39"/>
      <c r="U823" s="39"/>
      <c r="V823" s="39"/>
      <c r="W823" s="39"/>
      <c r="X823" s="39"/>
      <c r="Y823" s="39"/>
      <c r="Z823" s="39"/>
      <c r="AA823" s="39"/>
      <c r="AB823" s="39"/>
      <c r="AC823" s="39"/>
      <c r="AD823" s="67">
        <v>164469</v>
      </c>
      <c r="AE823" s="67">
        <v>319178</v>
      </c>
      <c r="AF823" s="67">
        <v>342663</v>
      </c>
      <c r="AG823" s="39">
        <f>AF823</f>
        <v>342663</v>
      </c>
      <c r="AH823" s="67">
        <v>385483</v>
      </c>
      <c r="AI823" s="67">
        <v>411424</v>
      </c>
      <c r="AJ823" s="67">
        <v>379778</v>
      </c>
      <c r="AK823" s="67">
        <v>384870</v>
      </c>
      <c r="AL823" s="39">
        <f>AK823</f>
        <v>384870</v>
      </c>
      <c r="AM823" s="67">
        <v>420883</v>
      </c>
      <c r="AN823" s="67">
        <v>437318</v>
      </c>
      <c r="AO823" s="67">
        <v>417609</v>
      </c>
      <c r="AP823" s="67">
        <v>448931</v>
      </c>
      <c r="AQ823" s="39">
        <f>AP823</f>
        <v>448931</v>
      </c>
      <c r="AR823" s="67">
        <v>480886</v>
      </c>
      <c r="AS823" s="67">
        <v>429099</v>
      </c>
      <c r="AT823" s="67">
        <v>478837</v>
      </c>
      <c r="AU823" s="67">
        <v>455664</v>
      </c>
      <c r="AV823" s="39">
        <f>AU823</f>
        <v>455664</v>
      </c>
      <c r="AW823" s="67">
        <v>444289</v>
      </c>
      <c r="AX823" s="67">
        <v>459838</v>
      </c>
      <c r="AY823" s="67">
        <v>486815</v>
      </c>
      <c r="AZ823" s="39">
        <f t="shared" ref="AZ823" si="2759">AZ836*AZ846</f>
        <v>485463</v>
      </c>
      <c r="BA823" s="39">
        <f>AZ823</f>
        <v>485463</v>
      </c>
      <c r="BB823" s="39">
        <f>BB836*BB846</f>
        <v>487459.70000000007</v>
      </c>
      <c r="BC823" s="39">
        <f t="shared" ref="BC823:BE823" si="2760">BC836*BC846</f>
        <v>489131.00000000006</v>
      </c>
      <c r="BD823" s="39">
        <f t="shared" si="2760"/>
        <v>491094.9</v>
      </c>
      <c r="BE823" s="39">
        <f t="shared" si="2760"/>
        <v>493042</v>
      </c>
      <c r="BF823" s="39">
        <f>BE823</f>
        <v>493042</v>
      </c>
      <c r="BG823" s="39">
        <f>BG836*BG846</f>
        <v>494972.3</v>
      </c>
      <c r="BH823" s="39">
        <f t="shared" ref="BH823:BJ823" si="2761">BH836*BH846</f>
        <v>496580.40000000008</v>
      </c>
      <c r="BI823" s="39">
        <f t="shared" si="2761"/>
        <v>498477.9</v>
      </c>
      <c r="BJ823" s="39">
        <f t="shared" si="2761"/>
        <v>500358.60000000003</v>
      </c>
      <c r="BK823" s="39">
        <f>BJ823</f>
        <v>500358.60000000003</v>
      </c>
      <c r="BL823" s="39">
        <f>BL836*BL846</f>
        <v>502222.5</v>
      </c>
      <c r="BM823" s="39">
        <f t="shared" ref="BM823:BO823" si="2762">BM836*BM846</f>
        <v>503767.39999999997</v>
      </c>
      <c r="BN823" s="39">
        <f t="shared" si="2762"/>
        <v>505598.50000000006</v>
      </c>
      <c r="BO823" s="39">
        <f t="shared" si="2762"/>
        <v>507412.80000000005</v>
      </c>
      <c r="BP823" s="39">
        <f>BO823</f>
        <v>507412.80000000005</v>
      </c>
      <c r="BQ823" s="39">
        <f>BQ836*BQ846</f>
        <v>509210.30000000005</v>
      </c>
      <c r="BR823" s="39">
        <f t="shared" ref="BR823:BT823" si="2763">BR836*BR846</f>
        <v>510692</v>
      </c>
      <c r="BS823" s="39">
        <f t="shared" si="2763"/>
        <v>512456.69999999995</v>
      </c>
      <c r="BT823" s="39">
        <f t="shared" si="2763"/>
        <v>514204.60000000003</v>
      </c>
      <c r="BU823" s="39">
        <f>BT823</f>
        <v>514204.60000000003</v>
      </c>
      <c r="BV823" s="39">
        <f>BV836*BV846</f>
        <v>515935.7</v>
      </c>
      <c r="BW823" s="39">
        <f t="shared" ref="BW823:BY823" si="2764">BW836*BW846</f>
        <v>517354.2</v>
      </c>
      <c r="BX823" s="39">
        <f t="shared" si="2764"/>
        <v>519052.5</v>
      </c>
      <c r="BY823" s="39">
        <f t="shared" si="2764"/>
        <v>520734</v>
      </c>
      <c r="BZ823" s="39">
        <f>BY823</f>
        <v>520734</v>
      </c>
    </row>
    <row r="825" spans="1:78" s="291" customFormat="1">
      <c r="A825" s="353" t="s">
        <v>1355</v>
      </c>
      <c r="AD825" s="293">
        <f>(AD817+0.5*AD818)*3%/4</f>
        <v>678.62625000000003</v>
      </c>
      <c r="AE825" s="293">
        <f>(AE817+0.5*AE818)*3%/4</f>
        <v>1780.9237499999999</v>
      </c>
      <c r="AF825" s="293">
        <f>(AF817+0.5*AF818)*3%/4</f>
        <v>2393.835</v>
      </c>
      <c r="AH825" s="293">
        <f>(AH817+0.5*AH818)*3%/4</f>
        <v>2569.9724999999999</v>
      </c>
      <c r="AI825" s="293">
        <f>(AI817+0.5*AI818)*3%/4</f>
        <v>2891.1224999999999</v>
      </c>
      <c r="AJ825" s="293">
        <f>(AJ817+0.5*AJ818)*3%/4</f>
        <v>3085.68</v>
      </c>
      <c r="AK825" s="293">
        <f>(AK817+0.5*AK818)*3%/4</f>
        <v>2848.335</v>
      </c>
      <c r="AM825" s="293">
        <f>(AM817+0.5*AM818)*3%/4</f>
        <v>2886.5250000000001</v>
      </c>
      <c r="AN825" s="293">
        <f>(AN817+0.5*AN818)*3%/4</f>
        <v>3156.6224999999999</v>
      </c>
      <c r="AO825" s="293">
        <f>(AO817+0.5*AO818)*3%/4</f>
        <v>3279.8849999999998</v>
      </c>
      <c r="AP825" s="293">
        <f>(AP817+0.5*AP818)*3%/4</f>
        <v>3132.0675000000001</v>
      </c>
      <c r="AR825" s="293">
        <f>(AR817+0.5*AR818)*3%/4</f>
        <v>3366.9825000000001</v>
      </c>
      <c r="AS825" s="293">
        <f>(AS817+0.5*AS818)*3%/4</f>
        <v>3606.645</v>
      </c>
      <c r="AT825" s="293">
        <f>(AT817+0.5*AT818)*3%/4</f>
        <v>3218.2424999999998</v>
      </c>
      <c r="AU825" s="293">
        <f>(AU817+0.5*AU818)*3%/4</f>
        <v>3591.2774999999997</v>
      </c>
      <c r="AW825" s="293">
        <f>(AW817+0.5*AW818)*3%/4</f>
        <v>3417.48</v>
      </c>
      <c r="AX825" s="293">
        <f>(AX817+0.5*AX818)*3%/4</f>
        <v>3332.1675</v>
      </c>
      <c r="AY825" s="293">
        <f>(AY817+0.5*AY818)*3%/4</f>
        <v>3448.7849999999999</v>
      </c>
    </row>
    <row r="826" spans="1:78" s="291" customFormat="1">
      <c r="A826" s="353" t="s">
        <v>276</v>
      </c>
      <c r="AD826" s="293">
        <f>AD827-AD825</f>
        <v>-203.62625000000003</v>
      </c>
      <c r="AE826" s="293">
        <f>AE827-AE825</f>
        <v>1048.0762500000001</v>
      </c>
      <c r="AF826" s="293">
        <f>AF827-AF825</f>
        <v>-10.835000000000036</v>
      </c>
      <c r="AH826" s="293">
        <f>AH827-AH825</f>
        <v>84.027500000000146</v>
      </c>
      <c r="AI826" s="293">
        <f>AI827-AI825</f>
        <v>-7.1224999999999454</v>
      </c>
      <c r="AJ826" s="293">
        <f>AJ827-AJ825</f>
        <v>-149.67999999999984</v>
      </c>
      <c r="AK826" s="293">
        <f>AK827-AK825</f>
        <v>-137.33500000000004</v>
      </c>
      <c r="AM826" s="293">
        <f>AM827-AM825</f>
        <v>-45.525000000000091</v>
      </c>
      <c r="AN826" s="293">
        <f>AN827-AN825</f>
        <v>-131.62249999999995</v>
      </c>
      <c r="AO826" s="293">
        <f>AO827-AO825</f>
        <v>-222.88499999999976</v>
      </c>
      <c r="AP826" s="293">
        <f>AP827-AP825</f>
        <v>-91.067500000000109</v>
      </c>
      <c r="AR826" s="293">
        <f>AR827-AR825</f>
        <v>-146.98250000000007</v>
      </c>
      <c r="AS826" s="293">
        <f>AS827-AS825</f>
        <v>-481.64499999999998</v>
      </c>
      <c r="AT826" s="293">
        <f>AT827-AT825</f>
        <v>-71.242499999999836</v>
      </c>
      <c r="AU826" s="293">
        <f>AU827-AU825</f>
        <v>-480.27749999999969</v>
      </c>
      <c r="AW826" s="293">
        <f>AW827-AW825</f>
        <v>-430.48</v>
      </c>
      <c r="AX826" s="293">
        <f>AX827-AX825</f>
        <v>-298.16750000000002</v>
      </c>
      <c r="AY826" s="293">
        <f>AY827-AY825</f>
        <v>-245.78499999999985</v>
      </c>
    </row>
    <row r="827" spans="1:78" s="291" customFormat="1">
      <c r="A827" s="354" t="s">
        <v>1356</v>
      </c>
      <c r="B827" s="354"/>
      <c r="C827" s="354"/>
      <c r="D827" s="354"/>
      <c r="E827" s="354"/>
      <c r="F827" s="354"/>
      <c r="G827" s="354"/>
      <c r="H827" s="354"/>
      <c r="I827" s="355"/>
      <c r="J827" s="355"/>
      <c r="K827" s="355"/>
      <c r="L827" s="355"/>
      <c r="M827" s="355"/>
      <c r="N827" s="355"/>
      <c r="O827" s="355"/>
      <c r="P827" s="355"/>
      <c r="Q827" s="355"/>
      <c r="R827" s="355"/>
      <c r="S827" s="355"/>
      <c r="T827" s="355"/>
      <c r="U827" s="355"/>
      <c r="V827" s="355"/>
      <c r="W827" s="355"/>
      <c r="X827" s="355"/>
      <c r="Y827" s="355"/>
      <c r="Z827" s="355"/>
      <c r="AA827" s="355"/>
      <c r="AB827" s="355"/>
      <c r="AC827" s="355"/>
      <c r="AD827" s="355">
        <f>AD819</f>
        <v>475</v>
      </c>
      <c r="AE827" s="355">
        <f>AE819</f>
        <v>2829</v>
      </c>
      <c r="AF827" s="355">
        <f>AF819</f>
        <v>2383</v>
      </c>
      <c r="AG827" s="355"/>
      <c r="AH827" s="355">
        <f>AH819</f>
        <v>2654</v>
      </c>
      <c r="AI827" s="355">
        <f>AI819</f>
        <v>2884</v>
      </c>
      <c r="AJ827" s="355">
        <f>AJ819</f>
        <v>2936</v>
      </c>
      <c r="AK827" s="355">
        <f>AK819</f>
        <v>2711</v>
      </c>
      <c r="AL827" s="355"/>
      <c r="AM827" s="355">
        <f>AM819</f>
        <v>2841</v>
      </c>
      <c r="AN827" s="355">
        <f>AN819</f>
        <v>3025</v>
      </c>
      <c r="AO827" s="355">
        <f>AO819</f>
        <v>3057</v>
      </c>
      <c r="AP827" s="355">
        <f>AP819</f>
        <v>3041</v>
      </c>
      <c r="AQ827" s="355"/>
      <c r="AR827" s="355">
        <f>AR819</f>
        <v>3220</v>
      </c>
      <c r="AS827" s="355">
        <f>AS819</f>
        <v>3125</v>
      </c>
      <c r="AT827" s="355">
        <f>AT819</f>
        <v>3147</v>
      </c>
      <c r="AU827" s="355">
        <f>AU819</f>
        <v>3111</v>
      </c>
      <c r="AV827" s="355"/>
      <c r="AW827" s="355">
        <f>AW819</f>
        <v>2987</v>
      </c>
      <c r="AX827" s="355">
        <f>AX819</f>
        <v>3034</v>
      </c>
      <c r="AY827" s="355">
        <f>AY819</f>
        <v>3203</v>
      </c>
    </row>
    <row r="829" spans="1:78">
      <c r="A829" s="1" t="s">
        <v>236</v>
      </c>
    </row>
    <row r="830" spans="1:78">
      <c r="A830" s="5" t="s">
        <v>1346</v>
      </c>
      <c r="AD830" s="136">
        <v>0</v>
      </c>
      <c r="AE830" s="36">
        <f>AD836</f>
        <v>1469</v>
      </c>
      <c r="AF830" s="36">
        <f>AE836</f>
        <v>2779</v>
      </c>
      <c r="AG830" s="136">
        <v>0</v>
      </c>
      <c r="AH830" s="36">
        <f>AG836</f>
        <v>2800</v>
      </c>
      <c r="AI830" s="36">
        <f>AH836</f>
        <v>2820</v>
      </c>
      <c r="AJ830" s="36">
        <f>AI836</f>
        <v>2841</v>
      </c>
      <c r="AK830" s="36">
        <f>AJ836</f>
        <v>2862</v>
      </c>
      <c r="AL830" s="36">
        <f>AG836</f>
        <v>2800</v>
      </c>
      <c r="AM830" s="36">
        <f>AL836</f>
        <v>2882</v>
      </c>
      <c r="AN830" s="36">
        <f>AM836</f>
        <v>2903</v>
      </c>
      <c r="AO830" s="36">
        <f>AN836</f>
        <v>2924</v>
      </c>
      <c r="AP830" s="36">
        <f>AO836</f>
        <v>2944</v>
      </c>
      <c r="AQ830" s="36">
        <f>AL836</f>
        <v>2882</v>
      </c>
      <c r="AR830" s="36">
        <f>AQ836</f>
        <v>2965</v>
      </c>
      <c r="AS830" s="36">
        <f>AR836</f>
        <v>2986</v>
      </c>
      <c r="AT830" s="36">
        <f t="shared" ref="AT830:AU830" si="2765">AS836</f>
        <v>3006</v>
      </c>
      <c r="AU830" s="36">
        <f t="shared" si="2765"/>
        <v>3027</v>
      </c>
      <c r="AV830" s="36">
        <f>AQ836</f>
        <v>2965</v>
      </c>
      <c r="AW830" s="36">
        <f>AV836</f>
        <v>3048</v>
      </c>
      <c r="AX830" s="36">
        <f t="shared" ref="AX830:AZ830" si="2766">AW836</f>
        <v>3068</v>
      </c>
      <c r="AY830" s="36">
        <f t="shared" si="2766"/>
        <v>3088</v>
      </c>
      <c r="AZ830" s="36">
        <f t="shared" si="2766"/>
        <v>3109</v>
      </c>
      <c r="BA830" s="36">
        <f>AV836</f>
        <v>3048</v>
      </c>
      <c r="BB830" s="36">
        <f>BA836</f>
        <v>3130</v>
      </c>
      <c r="BC830" s="36">
        <f t="shared" ref="BC830:BE830" si="2767">BB836</f>
        <v>3151</v>
      </c>
      <c r="BD830" s="36">
        <f t="shared" si="2767"/>
        <v>3170</v>
      </c>
      <c r="BE830" s="36">
        <f t="shared" si="2767"/>
        <v>3191</v>
      </c>
      <c r="BF830" s="36">
        <f>BA836</f>
        <v>3130</v>
      </c>
      <c r="BG830" s="36">
        <f>BF836</f>
        <v>3212</v>
      </c>
      <c r="BH830" s="36">
        <f t="shared" ref="BH830:BJ830" si="2768">BG836</f>
        <v>3233</v>
      </c>
      <c r="BI830" s="36">
        <f t="shared" si="2768"/>
        <v>3252</v>
      </c>
      <c r="BJ830" s="36">
        <f t="shared" si="2768"/>
        <v>3273</v>
      </c>
      <c r="BK830" s="36">
        <f>BF836</f>
        <v>3212</v>
      </c>
      <c r="BL830" s="36">
        <f>BK836</f>
        <v>3294</v>
      </c>
      <c r="BM830" s="36">
        <f t="shared" ref="BM830:BO830" si="2769">BL836</f>
        <v>3315</v>
      </c>
      <c r="BN830" s="36">
        <f t="shared" si="2769"/>
        <v>3334</v>
      </c>
      <c r="BO830" s="36">
        <f t="shared" si="2769"/>
        <v>3355</v>
      </c>
      <c r="BP830" s="36">
        <f>BK836</f>
        <v>3294</v>
      </c>
      <c r="BQ830" s="36">
        <f>BP836</f>
        <v>3376</v>
      </c>
      <c r="BR830" s="36">
        <f t="shared" ref="BR830:BT830" si="2770">BQ836</f>
        <v>3397</v>
      </c>
      <c r="BS830" s="36">
        <f t="shared" si="2770"/>
        <v>3416</v>
      </c>
      <c r="BT830" s="36">
        <f t="shared" si="2770"/>
        <v>3437</v>
      </c>
      <c r="BU830" s="36">
        <f>BP836</f>
        <v>3376</v>
      </c>
      <c r="BV830" s="36">
        <f>BU836</f>
        <v>3458</v>
      </c>
      <c r="BW830" s="36">
        <f t="shared" ref="BW830:BY830" si="2771">BV836</f>
        <v>3479</v>
      </c>
      <c r="BX830" s="36">
        <f t="shared" si="2771"/>
        <v>3498</v>
      </c>
      <c r="BY830" s="36">
        <f t="shared" si="2771"/>
        <v>3519</v>
      </c>
      <c r="BZ830" s="36">
        <f>BU836</f>
        <v>3458</v>
      </c>
    </row>
    <row r="831" spans="1:78">
      <c r="A831" s="5" t="s">
        <v>1349</v>
      </c>
      <c r="AD831" s="136">
        <v>1638</v>
      </c>
      <c r="AE831" s="136">
        <f>2923-AD831</f>
        <v>1285</v>
      </c>
      <c r="AF831" s="136">
        <f>2923-AE831-AD831</f>
        <v>0</v>
      </c>
      <c r="AG831" s="36">
        <f>SUM(AC831:AF831)</f>
        <v>2923</v>
      </c>
      <c r="AH831" s="136">
        <v>0</v>
      </c>
      <c r="AI831" s="136">
        <v>0</v>
      </c>
      <c r="AJ831" s="136">
        <v>0</v>
      </c>
      <c r="AK831" s="136">
        <v>0</v>
      </c>
      <c r="AL831" s="36">
        <f>SUM(AH831:AK831)</f>
        <v>0</v>
      </c>
      <c r="AM831" s="136">
        <v>0</v>
      </c>
      <c r="AN831" s="136">
        <v>0</v>
      </c>
      <c r="AO831" s="136">
        <v>0</v>
      </c>
      <c r="AP831" s="136">
        <v>0</v>
      </c>
      <c r="AQ831" s="36">
        <f>SUM(AM831:AP831)</f>
        <v>0</v>
      </c>
      <c r="AR831" s="136">
        <v>0</v>
      </c>
      <c r="AS831" s="136">
        <v>0</v>
      </c>
      <c r="AT831" s="136">
        <v>0</v>
      </c>
      <c r="AU831" s="136">
        <v>0</v>
      </c>
      <c r="AV831" s="36">
        <f>SUM(AR831:AU831)</f>
        <v>0</v>
      </c>
      <c r="AW831" s="136">
        <v>0</v>
      </c>
      <c r="AX831" s="136">
        <v>0</v>
      </c>
      <c r="AY831" s="136">
        <v>0</v>
      </c>
      <c r="BA831" s="36">
        <f>SUM(AW831:AZ831)</f>
        <v>0</v>
      </c>
      <c r="BF831" s="36">
        <f>SUM(BB831:BE831)</f>
        <v>0</v>
      </c>
      <c r="BK831" s="36">
        <f>SUM(BG831:BJ831)</f>
        <v>0</v>
      </c>
      <c r="BP831" s="36">
        <f>SUM(BL831:BO831)</f>
        <v>0</v>
      </c>
      <c r="BU831" s="36">
        <f>SUM(BQ831:BT831)</f>
        <v>0</v>
      </c>
      <c r="BZ831" s="36">
        <f>SUM(BV831:BY831)</f>
        <v>0</v>
      </c>
    </row>
    <row r="832" spans="1:78">
      <c r="A832" s="5" t="s">
        <v>1345</v>
      </c>
      <c r="AD832" s="136">
        <v>4</v>
      </c>
      <c r="AE832" s="136">
        <f>29-AD832</f>
        <v>25</v>
      </c>
      <c r="AF832" s="136">
        <f>50-AE832-AD832</f>
        <v>21</v>
      </c>
      <c r="AG832" s="36">
        <f>SUM(AC832:AF832)</f>
        <v>50</v>
      </c>
      <c r="AH832" s="136">
        <v>21</v>
      </c>
      <c r="AI832" s="136">
        <f>41-AH832</f>
        <v>20</v>
      </c>
      <c r="AJ832" s="136">
        <f>62-AI832-AH832</f>
        <v>21</v>
      </c>
      <c r="AK832" s="136">
        <f>83-AJ832-AI832-AH832</f>
        <v>21</v>
      </c>
      <c r="AL832" s="36">
        <f>SUM(AH832:AK832)</f>
        <v>83</v>
      </c>
      <c r="AM832" s="136">
        <v>21</v>
      </c>
      <c r="AN832" s="136">
        <f>41-AM832</f>
        <v>20</v>
      </c>
      <c r="AO832" s="136">
        <f>62-AN832-AM832</f>
        <v>21</v>
      </c>
      <c r="AP832" s="136">
        <f>83-AO832-AN832-AM832</f>
        <v>21</v>
      </c>
      <c r="AQ832" s="36">
        <f>SUM(AM832:AP832)</f>
        <v>83</v>
      </c>
      <c r="AR832" s="136">
        <v>21</v>
      </c>
      <c r="AS832" s="136">
        <f>41-AR832</f>
        <v>20</v>
      </c>
      <c r="AT832" s="136">
        <f>62-AS832-AR832</f>
        <v>21</v>
      </c>
      <c r="AU832" s="136">
        <f>83-AT832-AS832-AR832</f>
        <v>21</v>
      </c>
      <c r="AV832" s="36">
        <f>SUM(AR832:AU832)</f>
        <v>83</v>
      </c>
      <c r="AW832" s="136">
        <v>21</v>
      </c>
      <c r="AX832" s="136">
        <f>40-AW832</f>
        <v>19</v>
      </c>
      <c r="AY832" s="136">
        <f>61-AX832-AW832</f>
        <v>21</v>
      </c>
      <c r="AZ832" s="356">
        <f t="shared" ref="AZ832" si="2772">AU832</f>
        <v>21</v>
      </c>
      <c r="BA832" s="36">
        <f>SUM(AW832:AZ832)</f>
        <v>82</v>
      </c>
      <c r="BB832" s="356">
        <f>AW832</f>
        <v>21</v>
      </c>
      <c r="BC832" s="356">
        <f t="shared" ref="BC832" si="2773">AX832</f>
        <v>19</v>
      </c>
      <c r="BD832" s="356">
        <f t="shared" ref="BD832" si="2774">AY832</f>
        <v>21</v>
      </c>
      <c r="BE832" s="356">
        <f t="shared" ref="BE832" si="2775">AZ832</f>
        <v>21</v>
      </c>
      <c r="BF832" s="36">
        <f>SUM(BB832:BE832)</f>
        <v>82</v>
      </c>
      <c r="BG832" s="356">
        <f>BB832</f>
        <v>21</v>
      </c>
      <c r="BH832" s="356">
        <f t="shared" ref="BH832" si="2776">BC832</f>
        <v>19</v>
      </c>
      <c r="BI832" s="356">
        <f t="shared" ref="BI832" si="2777">BD832</f>
        <v>21</v>
      </c>
      <c r="BJ832" s="356">
        <f t="shared" ref="BJ832" si="2778">BE832</f>
        <v>21</v>
      </c>
      <c r="BK832" s="36">
        <f>SUM(BG832:BJ832)</f>
        <v>82</v>
      </c>
      <c r="BL832" s="356">
        <f>BG832</f>
        <v>21</v>
      </c>
      <c r="BM832" s="356">
        <f t="shared" ref="BM832" si="2779">BH832</f>
        <v>19</v>
      </c>
      <c r="BN832" s="356">
        <f t="shared" ref="BN832" si="2780">BI832</f>
        <v>21</v>
      </c>
      <c r="BO832" s="356">
        <f t="shared" ref="BO832" si="2781">BJ832</f>
        <v>21</v>
      </c>
      <c r="BP832" s="36">
        <f>SUM(BL832:BO832)</f>
        <v>82</v>
      </c>
      <c r="BQ832" s="356">
        <f>BL832</f>
        <v>21</v>
      </c>
      <c r="BR832" s="356">
        <f t="shared" ref="BR832" si="2782">BM832</f>
        <v>19</v>
      </c>
      <c r="BS832" s="356">
        <f t="shared" ref="BS832" si="2783">BN832</f>
        <v>21</v>
      </c>
      <c r="BT832" s="356">
        <f t="shared" ref="BT832" si="2784">BO832</f>
        <v>21</v>
      </c>
      <c r="BU832" s="36">
        <f>SUM(BQ832:BT832)</f>
        <v>82</v>
      </c>
      <c r="BV832" s="356">
        <f>BQ832</f>
        <v>21</v>
      </c>
      <c r="BW832" s="356">
        <f t="shared" ref="BW832" si="2785">BR832</f>
        <v>19</v>
      </c>
      <c r="BX832" s="356">
        <f t="shared" ref="BX832" si="2786">BS832</f>
        <v>21</v>
      </c>
      <c r="BY832" s="356">
        <f t="shared" ref="BY832" si="2787">BT832</f>
        <v>21</v>
      </c>
      <c r="BZ832" s="36">
        <f>SUM(BV832:BY832)</f>
        <v>82</v>
      </c>
    </row>
    <row r="833" spans="1:78">
      <c r="A833" s="5" t="s">
        <v>1347</v>
      </c>
      <c r="AG833" s="36"/>
    </row>
    <row r="834" spans="1:78">
      <c r="A834" s="5" t="s">
        <v>1351</v>
      </c>
      <c r="AD834" s="136">
        <v>-173</v>
      </c>
      <c r="AE834" s="136">
        <f>-173-AD834</f>
        <v>0</v>
      </c>
      <c r="AF834" s="136">
        <f>-173-AE834-AD834</f>
        <v>0</v>
      </c>
      <c r="AG834" s="36">
        <f>SUM(AC834:AF834)</f>
        <v>-173</v>
      </c>
      <c r="AH834" s="136">
        <v>0</v>
      </c>
      <c r="AI834" s="136">
        <v>0</v>
      </c>
      <c r="AJ834" s="136">
        <v>0</v>
      </c>
      <c r="AK834" s="136">
        <v>0</v>
      </c>
      <c r="AL834" s="36">
        <f>SUM(AH834:AK834)</f>
        <v>0</v>
      </c>
      <c r="AM834" s="136">
        <v>0</v>
      </c>
      <c r="AN834" s="136">
        <v>0</v>
      </c>
      <c r="AO834" s="136">
        <v>0</v>
      </c>
      <c r="AP834" s="136">
        <v>0</v>
      </c>
      <c r="AQ834" s="36">
        <f>SUM(AM834:AP834)</f>
        <v>0</v>
      </c>
      <c r="AR834" s="136">
        <v>0</v>
      </c>
      <c r="AS834" s="136">
        <v>0</v>
      </c>
      <c r="AT834" s="136">
        <v>0</v>
      </c>
      <c r="AU834" s="136">
        <v>0</v>
      </c>
      <c r="AV834" s="36">
        <f>SUM(AR834:AU834)</f>
        <v>0</v>
      </c>
      <c r="AW834" s="136">
        <v>0</v>
      </c>
      <c r="AX834" s="136">
        <v>0</v>
      </c>
      <c r="AY834" s="136">
        <v>0</v>
      </c>
      <c r="BA834" s="36">
        <f>SUM(AW834:AZ834)</f>
        <v>0</v>
      </c>
      <c r="BF834" s="36">
        <f>SUM(BB834:BE834)</f>
        <v>0</v>
      </c>
      <c r="BK834" s="36">
        <f>SUM(BG834:BJ834)</f>
        <v>0</v>
      </c>
      <c r="BP834" s="36">
        <f>SUM(BL834:BO834)</f>
        <v>0</v>
      </c>
      <c r="BU834" s="36">
        <f>SUM(BQ834:BT834)</f>
        <v>0</v>
      </c>
      <c r="BZ834" s="36">
        <f>SUM(BV834:BY834)</f>
        <v>0</v>
      </c>
    </row>
    <row r="835" spans="1:78">
      <c r="A835" s="5" t="s">
        <v>276</v>
      </c>
      <c r="AD835" s="36">
        <f t="shared" ref="AD835:AY835" si="2788">AD836-SUM(AD830:AD834)</f>
        <v>0</v>
      </c>
      <c r="AE835" s="36">
        <f t="shared" si="2788"/>
        <v>0</v>
      </c>
      <c r="AF835" s="36">
        <f t="shared" si="2788"/>
        <v>0</v>
      </c>
      <c r="AG835" s="36">
        <f t="shared" si="2788"/>
        <v>0</v>
      </c>
      <c r="AH835" s="36">
        <f t="shared" si="2788"/>
        <v>-1</v>
      </c>
      <c r="AI835" s="36">
        <f t="shared" si="2788"/>
        <v>1</v>
      </c>
      <c r="AJ835" s="36">
        <f t="shared" si="2788"/>
        <v>0</v>
      </c>
      <c r="AK835" s="36">
        <f t="shared" si="2788"/>
        <v>-1</v>
      </c>
      <c r="AL835" s="36">
        <f t="shared" si="2788"/>
        <v>-1</v>
      </c>
      <c r="AM835" s="36">
        <f t="shared" si="2788"/>
        <v>0</v>
      </c>
      <c r="AN835" s="36">
        <f t="shared" si="2788"/>
        <v>1</v>
      </c>
      <c r="AO835" s="36">
        <f t="shared" si="2788"/>
        <v>-1</v>
      </c>
      <c r="AP835" s="36">
        <f t="shared" si="2788"/>
        <v>0</v>
      </c>
      <c r="AQ835" s="36">
        <f t="shared" ref="AQ835" si="2789">AQ836-SUM(AQ830:AQ834)</f>
        <v>0</v>
      </c>
      <c r="AR835" s="36">
        <f t="shared" si="2788"/>
        <v>0</v>
      </c>
      <c r="AS835" s="36">
        <f t="shared" si="2788"/>
        <v>0</v>
      </c>
      <c r="AT835" s="36">
        <f t="shared" si="2788"/>
        <v>0</v>
      </c>
      <c r="AU835" s="36">
        <f t="shared" si="2788"/>
        <v>0</v>
      </c>
      <c r="AV835" s="36">
        <f t="shared" ref="AV835" si="2790">AV836-SUM(AV830:AV834)</f>
        <v>0</v>
      </c>
      <c r="AW835" s="36">
        <f t="shared" si="2788"/>
        <v>-1</v>
      </c>
      <c r="AX835" s="36">
        <f t="shared" si="2788"/>
        <v>1</v>
      </c>
      <c r="AY835" s="36">
        <f t="shared" si="2788"/>
        <v>0</v>
      </c>
      <c r="BA835" s="36">
        <f>BA836-SUM(BA830:BA834)</f>
        <v>0</v>
      </c>
      <c r="BF835" s="36">
        <f>BF836-SUM(BF830:BF834)</f>
        <v>0</v>
      </c>
      <c r="BK835" s="36">
        <f>BK836-SUM(BK830:BK834)</f>
        <v>0</v>
      </c>
      <c r="BP835" s="36">
        <f>BP836-SUM(BP830:BP834)</f>
        <v>0</v>
      </c>
      <c r="BU835" s="36">
        <f>BU836-SUM(BU830:BU834)</f>
        <v>0</v>
      </c>
      <c r="BZ835" s="36">
        <f>BZ836-SUM(BZ830:BZ834)</f>
        <v>0</v>
      </c>
    </row>
    <row r="836" spans="1:78">
      <c r="A836" s="9" t="s">
        <v>1344</v>
      </c>
      <c r="B836" s="9"/>
      <c r="C836" s="9"/>
      <c r="D836" s="9"/>
      <c r="E836" s="9"/>
      <c r="F836" s="9"/>
      <c r="G836" s="9"/>
      <c r="H836" s="9"/>
      <c r="I836" s="39"/>
      <c r="J836" s="39"/>
      <c r="K836" s="39"/>
      <c r="L836" s="39"/>
      <c r="M836" s="39"/>
      <c r="N836" s="39"/>
      <c r="O836" s="39"/>
      <c r="P836" s="39"/>
      <c r="Q836" s="39"/>
      <c r="R836" s="39"/>
      <c r="S836" s="39"/>
      <c r="T836" s="39"/>
      <c r="U836" s="39"/>
      <c r="V836" s="39"/>
      <c r="W836" s="39"/>
      <c r="X836" s="39"/>
      <c r="Y836" s="39"/>
      <c r="Z836" s="39"/>
      <c r="AA836" s="39"/>
      <c r="AB836" s="39"/>
      <c r="AC836" s="39"/>
      <c r="AD836" s="67">
        <v>1469</v>
      </c>
      <c r="AE836" s="67">
        <v>2779</v>
      </c>
      <c r="AF836" s="67">
        <v>2800</v>
      </c>
      <c r="AG836" s="39">
        <f>AF836</f>
        <v>2800</v>
      </c>
      <c r="AH836" s="67">
        <v>2820</v>
      </c>
      <c r="AI836" s="67">
        <v>2841</v>
      </c>
      <c r="AJ836" s="67">
        <v>2862</v>
      </c>
      <c r="AK836" s="67">
        <v>2882</v>
      </c>
      <c r="AL836" s="39">
        <f>AK836</f>
        <v>2882</v>
      </c>
      <c r="AM836" s="67">
        <v>2903</v>
      </c>
      <c r="AN836" s="67">
        <v>2924</v>
      </c>
      <c r="AO836" s="67">
        <v>2944</v>
      </c>
      <c r="AP836" s="67">
        <v>2965</v>
      </c>
      <c r="AQ836" s="39">
        <f>AP836</f>
        <v>2965</v>
      </c>
      <c r="AR836" s="67">
        <v>2986</v>
      </c>
      <c r="AS836" s="67">
        <v>3006</v>
      </c>
      <c r="AT836" s="67">
        <v>3027</v>
      </c>
      <c r="AU836" s="67">
        <v>3048</v>
      </c>
      <c r="AV836" s="39">
        <f>AU836</f>
        <v>3048</v>
      </c>
      <c r="AW836" s="67">
        <v>3068</v>
      </c>
      <c r="AX836" s="67">
        <v>3088</v>
      </c>
      <c r="AY836" s="67">
        <v>3109</v>
      </c>
      <c r="AZ836" s="39">
        <f t="shared" ref="AZ836" si="2791">SUM(AZ830:AZ835)</f>
        <v>3130</v>
      </c>
      <c r="BA836" s="39">
        <f>AZ836</f>
        <v>3130</v>
      </c>
      <c r="BB836" s="39">
        <f>SUM(BB830:BB835)</f>
        <v>3151</v>
      </c>
      <c r="BC836" s="39">
        <f t="shared" ref="BC836" si="2792">SUM(BC830:BC835)</f>
        <v>3170</v>
      </c>
      <c r="BD836" s="39">
        <f t="shared" ref="BD836" si="2793">SUM(BD830:BD835)</f>
        <v>3191</v>
      </c>
      <c r="BE836" s="39">
        <f t="shared" ref="BE836" si="2794">SUM(BE830:BE835)</f>
        <v>3212</v>
      </c>
      <c r="BF836" s="39">
        <f>BE836</f>
        <v>3212</v>
      </c>
      <c r="BG836" s="39">
        <f>SUM(BG830:BG835)</f>
        <v>3233</v>
      </c>
      <c r="BH836" s="39">
        <f t="shared" ref="BH836" si="2795">SUM(BH830:BH835)</f>
        <v>3252</v>
      </c>
      <c r="BI836" s="39">
        <f t="shared" ref="BI836" si="2796">SUM(BI830:BI835)</f>
        <v>3273</v>
      </c>
      <c r="BJ836" s="39">
        <f t="shared" ref="BJ836" si="2797">SUM(BJ830:BJ835)</f>
        <v>3294</v>
      </c>
      <c r="BK836" s="39">
        <f>BJ836</f>
        <v>3294</v>
      </c>
      <c r="BL836" s="39">
        <f>SUM(BL830:BL835)</f>
        <v>3315</v>
      </c>
      <c r="BM836" s="39">
        <f t="shared" ref="BM836" si="2798">SUM(BM830:BM835)</f>
        <v>3334</v>
      </c>
      <c r="BN836" s="39">
        <f t="shared" ref="BN836" si="2799">SUM(BN830:BN835)</f>
        <v>3355</v>
      </c>
      <c r="BO836" s="39">
        <f t="shared" ref="BO836" si="2800">SUM(BO830:BO835)</f>
        <v>3376</v>
      </c>
      <c r="BP836" s="39">
        <f>BO836</f>
        <v>3376</v>
      </c>
      <c r="BQ836" s="39">
        <f>SUM(BQ830:BQ835)</f>
        <v>3397</v>
      </c>
      <c r="BR836" s="39">
        <f t="shared" ref="BR836" si="2801">SUM(BR830:BR835)</f>
        <v>3416</v>
      </c>
      <c r="BS836" s="39">
        <f t="shared" ref="BS836" si="2802">SUM(BS830:BS835)</f>
        <v>3437</v>
      </c>
      <c r="BT836" s="39">
        <f t="shared" ref="BT836" si="2803">SUM(BT830:BT835)</f>
        <v>3458</v>
      </c>
      <c r="BU836" s="39">
        <f>BT836</f>
        <v>3458</v>
      </c>
      <c r="BV836" s="39">
        <f>SUM(BV830:BV835)</f>
        <v>3479</v>
      </c>
      <c r="BW836" s="39">
        <f t="shared" ref="BW836" si="2804">SUM(BW830:BW835)</f>
        <v>3498</v>
      </c>
      <c r="BX836" s="39">
        <f t="shared" ref="BX836" si="2805">SUM(BX830:BX835)</f>
        <v>3519</v>
      </c>
      <c r="BY836" s="39">
        <f t="shared" ref="BY836" si="2806">SUM(BY830:BY835)</f>
        <v>3540</v>
      </c>
      <c r="BZ836" s="39">
        <f>BY836</f>
        <v>3540</v>
      </c>
    </row>
    <row r="838" spans="1:78" s="291" customFormat="1">
      <c r="A838" s="353" t="s">
        <v>1355</v>
      </c>
      <c r="AD838" s="293">
        <f>(AD830+0.5*AD831)*3%/4</f>
        <v>6.1425000000000001</v>
      </c>
      <c r="AE838" s="293">
        <f>(AE830+0.5*AE831)*3%/4</f>
        <v>15.83625</v>
      </c>
      <c r="AF838" s="293">
        <f>(AF830+0.5*AF831)*3%/4</f>
        <v>20.842499999999998</v>
      </c>
      <c r="AH838" s="293">
        <f>(AH830+0.5*AH831)*3%/4</f>
        <v>21</v>
      </c>
      <c r="AI838" s="293">
        <f>(AI830+0.5*AI831)*3%/4</f>
        <v>21.15</v>
      </c>
      <c r="AJ838" s="293">
        <f>(AJ830+0.5*AJ831)*3%/4</f>
        <v>21.307499999999997</v>
      </c>
      <c r="AK838" s="293">
        <f>(AK830+0.5*AK831)*3%/4</f>
        <v>21.465</v>
      </c>
      <c r="AM838" s="293">
        <f>(AM830+0.5*AM831)*3%/4</f>
        <v>21.614999999999998</v>
      </c>
      <c r="AN838" s="293">
        <f>(AN830+0.5*AN831)*3%/4</f>
        <v>21.772500000000001</v>
      </c>
      <c r="AO838" s="293">
        <f>(AO830+0.5*AO831)*3%/4</f>
        <v>21.93</v>
      </c>
      <c r="AP838" s="293">
        <f>(AP830+0.5*AP831)*3%/4</f>
        <v>22.08</v>
      </c>
      <c r="AR838" s="293">
        <f>(AR830+0.5*AR831)*3%/4</f>
        <v>22.237500000000001</v>
      </c>
      <c r="AS838" s="293">
        <f>(AS830+0.5*AS831)*3%/4</f>
        <v>22.395</v>
      </c>
      <c r="AT838" s="293">
        <f>(AT830+0.5*AT831)*3%/4</f>
        <v>22.544999999999998</v>
      </c>
      <c r="AU838" s="293">
        <f>(AU830+0.5*AU831)*3%/4</f>
        <v>22.702500000000001</v>
      </c>
      <c r="AW838" s="293">
        <f>(AW830+0.5*AW831)*3%/4</f>
        <v>22.86</v>
      </c>
      <c r="AX838" s="293">
        <f>(AX830+0.5*AX831)*3%/4</f>
        <v>23.009999999999998</v>
      </c>
      <c r="AY838" s="293">
        <f>(AY830+0.5*AY831)*3%/4</f>
        <v>23.16</v>
      </c>
    </row>
    <row r="839" spans="1:78" s="291" customFormat="1">
      <c r="A839" s="353" t="s">
        <v>276</v>
      </c>
      <c r="AD839" s="293">
        <f>AD840-AD838</f>
        <v>-2.1425000000000001</v>
      </c>
      <c r="AE839" s="293">
        <f>AE840-AE838</f>
        <v>9.1637500000000003</v>
      </c>
      <c r="AF839" s="293">
        <f>AF840-AF838</f>
        <v>0.15750000000000242</v>
      </c>
      <c r="AH839" s="293">
        <f>AH840-AH838</f>
        <v>0</v>
      </c>
      <c r="AI839" s="293">
        <f>AI840-AI838</f>
        <v>-1.1499999999999986</v>
      </c>
      <c r="AJ839" s="293">
        <f>AJ840-AJ838</f>
        <v>-0.30749999999999744</v>
      </c>
      <c r="AK839" s="293">
        <f>AK840-AK838</f>
        <v>-0.46499999999999986</v>
      </c>
      <c r="AM839" s="293">
        <f>AM840-AM838</f>
        <v>-0.61499999999999844</v>
      </c>
      <c r="AN839" s="293">
        <f>AN840-AN838</f>
        <v>-1.7725000000000009</v>
      </c>
      <c r="AO839" s="293">
        <f>AO840-AO838</f>
        <v>-0.92999999999999972</v>
      </c>
      <c r="AP839" s="293">
        <f>AP840-AP838</f>
        <v>-1.0799999999999983</v>
      </c>
      <c r="AR839" s="293">
        <f>AR840-AR838</f>
        <v>-1.2375000000000007</v>
      </c>
      <c r="AS839" s="293">
        <f>AS840-AS838</f>
        <v>-2.3949999999999996</v>
      </c>
      <c r="AT839" s="293">
        <f>AT840-AT838</f>
        <v>-1.5449999999999982</v>
      </c>
      <c r="AU839" s="293">
        <f>AU840-AU838</f>
        <v>-1.7025000000000006</v>
      </c>
      <c r="AW839" s="293">
        <f>AW840-AW838</f>
        <v>-1.8599999999999994</v>
      </c>
      <c r="AX839" s="293">
        <f>AX840-AX838</f>
        <v>-4.009999999999998</v>
      </c>
      <c r="AY839" s="293">
        <f>AY840-AY838</f>
        <v>-2.16</v>
      </c>
    </row>
    <row r="840" spans="1:78" s="291" customFormat="1">
      <c r="A840" s="354" t="s">
        <v>1356</v>
      </c>
      <c r="B840" s="354"/>
      <c r="C840" s="354"/>
      <c r="D840" s="354"/>
      <c r="E840" s="354"/>
      <c r="F840" s="354"/>
      <c r="G840" s="354"/>
      <c r="H840" s="354"/>
      <c r="I840" s="355"/>
      <c r="J840" s="355"/>
      <c r="K840" s="355"/>
      <c r="L840" s="355"/>
      <c r="M840" s="355"/>
      <c r="N840" s="355"/>
      <c r="O840" s="355"/>
      <c r="P840" s="355"/>
      <c r="Q840" s="355"/>
      <c r="R840" s="355"/>
      <c r="S840" s="355"/>
      <c r="T840" s="355"/>
      <c r="U840" s="355"/>
      <c r="V840" s="355"/>
      <c r="W840" s="355"/>
      <c r="X840" s="355"/>
      <c r="Y840" s="355"/>
      <c r="Z840" s="355"/>
      <c r="AA840" s="355"/>
      <c r="AB840" s="355"/>
      <c r="AC840" s="355"/>
      <c r="AD840" s="355">
        <f>AD832</f>
        <v>4</v>
      </c>
      <c r="AE840" s="355">
        <f>AE832</f>
        <v>25</v>
      </c>
      <c r="AF840" s="355">
        <f>AF832</f>
        <v>21</v>
      </c>
      <c r="AG840" s="355"/>
      <c r="AH840" s="355">
        <f>AH832</f>
        <v>21</v>
      </c>
      <c r="AI840" s="355">
        <f>AI832</f>
        <v>20</v>
      </c>
      <c r="AJ840" s="355">
        <f>AJ832</f>
        <v>21</v>
      </c>
      <c r="AK840" s="355">
        <f>AK832</f>
        <v>21</v>
      </c>
      <c r="AL840" s="355"/>
      <c r="AM840" s="355">
        <f>AM832</f>
        <v>21</v>
      </c>
      <c r="AN840" s="355">
        <f>AN832</f>
        <v>20</v>
      </c>
      <c r="AO840" s="355">
        <f>AO832</f>
        <v>21</v>
      </c>
      <c r="AP840" s="355">
        <f>AP832</f>
        <v>21</v>
      </c>
      <c r="AQ840" s="355"/>
      <c r="AR840" s="355">
        <f>AR832</f>
        <v>21</v>
      </c>
      <c r="AS840" s="355">
        <f>AS832</f>
        <v>20</v>
      </c>
      <c r="AT840" s="355">
        <f>AT832</f>
        <v>21</v>
      </c>
      <c r="AU840" s="355">
        <f>AU832</f>
        <v>21</v>
      </c>
      <c r="AV840" s="355"/>
      <c r="AW840" s="355">
        <f>AW832</f>
        <v>21</v>
      </c>
      <c r="AX840" s="355">
        <f>AX832</f>
        <v>19</v>
      </c>
      <c r="AY840" s="355">
        <f>AY832</f>
        <v>21</v>
      </c>
    </row>
    <row r="842" spans="1:78">
      <c r="A842" s="1" t="s">
        <v>1353</v>
      </c>
      <c r="AD842" s="36">
        <f t="shared" ref="AD842:BI842" si="2807">AD280</f>
        <v>-1470</v>
      </c>
      <c r="AE842" s="36">
        <f t="shared" si="2807"/>
        <v>-2775</v>
      </c>
      <c r="AF842" s="36">
        <f t="shared" si="2807"/>
        <v>-2205</v>
      </c>
      <c r="AG842" s="36">
        <f t="shared" si="2807"/>
        <v>-2205</v>
      </c>
      <c r="AH842" s="36">
        <f t="shared" si="2807"/>
        <v>-680</v>
      </c>
      <c r="AI842" s="36">
        <f t="shared" si="2807"/>
        <v>0</v>
      </c>
      <c r="AJ842" s="36">
        <f t="shared" si="2807"/>
        <v>0</v>
      </c>
      <c r="AK842" s="36">
        <f t="shared" si="2807"/>
        <v>0</v>
      </c>
      <c r="AL842" s="36">
        <f t="shared" si="2807"/>
        <v>0</v>
      </c>
      <c r="AM842" s="36">
        <f t="shared" si="2807"/>
        <v>0</v>
      </c>
      <c r="AN842" s="36">
        <f t="shared" si="2807"/>
        <v>0</v>
      </c>
      <c r="AO842" s="36">
        <f t="shared" si="2807"/>
        <v>0</v>
      </c>
      <c r="AP842" s="36">
        <f t="shared" si="2807"/>
        <v>0</v>
      </c>
      <c r="AQ842" s="36">
        <f t="shared" si="2807"/>
        <v>0</v>
      </c>
      <c r="AR842" s="36">
        <f t="shared" si="2807"/>
        <v>0</v>
      </c>
      <c r="AS842" s="36">
        <f t="shared" si="2807"/>
        <v>0</v>
      </c>
      <c r="AT842" s="36">
        <f t="shared" si="2807"/>
        <v>0</v>
      </c>
      <c r="AU842" s="36">
        <f t="shared" si="2807"/>
        <v>0</v>
      </c>
      <c r="AV842" s="36">
        <f t="shared" si="2807"/>
        <v>0</v>
      </c>
      <c r="AW842" s="36">
        <f t="shared" ref="AW842:AY842" si="2808">AW280</f>
        <v>0</v>
      </c>
      <c r="AX842" s="36">
        <f t="shared" si="2808"/>
        <v>0</v>
      </c>
      <c r="AY842" s="36">
        <f t="shared" si="2808"/>
        <v>0</v>
      </c>
      <c r="AZ842" s="36">
        <f t="shared" si="2807"/>
        <v>0</v>
      </c>
      <c r="BA842" s="36">
        <f t="shared" si="2807"/>
        <v>0</v>
      </c>
      <c r="BB842" s="36">
        <f t="shared" si="2807"/>
        <v>0</v>
      </c>
      <c r="BC842" s="36">
        <f t="shared" si="2807"/>
        <v>0</v>
      </c>
      <c r="BD842" s="36">
        <f t="shared" si="2807"/>
        <v>0</v>
      </c>
      <c r="BE842" s="36">
        <f t="shared" si="2807"/>
        <v>0</v>
      </c>
      <c r="BF842" s="36">
        <f t="shared" si="2807"/>
        <v>0</v>
      </c>
      <c r="BG842" s="36">
        <f t="shared" si="2807"/>
        <v>0</v>
      </c>
      <c r="BH842" s="36">
        <f t="shared" si="2807"/>
        <v>0</v>
      </c>
      <c r="BI842" s="36">
        <f t="shared" si="2807"/>
        <v>0</v>
      </c>
      <c r="BJ842" s="36">
        <f t="shared" ref="BJ842:BZ842" si="2809">BJ280</f>
        <v>0</v>
      </c>
      <c r="BK842" s="36">
        <f t="shared" si="2809"/>
        <v>0</v>
      </c>
      <c r="BL842" s="36">
        <f t="shared" si="2809"/>
        <v>0</v>
      </c>
      <c r="BM842" s="36">
        <f t="shared" si="2809"/>
        <v>0</v>
      </c>
      <c r="BN842" s="36">
        <f t="shared" si="2809"/>
        <v>0</v>
      </c>
      <c r="BO842" s="36">
        <f t="shared" si="2809"/>
        <v>0</v>
      </c>
      <c r="BP842" s="36">
        <f t="shared" si="2809"/>
        <v>0</v>
      </c>
      <c r="BQ842" s="36">
        <f t="shared" si="2809"/>
        <v>0</v>
      </c>
      <c r="BR842" s="36">
        <f t="shared" si="2809"/>
        <v>0</v>
      </c>
      <c r="BS842" s="36">
        <f t="shared" si="2809"/>
        <v>0</v>
      </c>
      <c r="BT842" s="36">
        <f t="shared" si="2809"/>
        <v>0</v>
      </c>
      <c r="BU842" s="36">
        <f t="shared" si="2809"/>
        <v>0</v>
      </c>
      <c r="BV842" s="36">
        <f t="shared" si="2809"/>
        <v>0</v>
      </c>
      <c r="BW842" s="36">
        <f t="shared" si="2809"/>
        <v>0</v>
      </c>
      <c r="BX842" s="36">
        <f t="shared" si="2809"/>
        <v>0</v>
      </c>
      <c r="BY842" s="36">
        <f t="shared" si="2809"/>
        <v>0</v>
      </c>
      <c r="BZ842" s="36">
        <f t="shared" si="2809"/>
        <v>0</v>
      </c>
    </row>
    <row r="843" spans="1:78">
      <c r="A843" s="9" t="s">
        <v>1354</v>
      </c>
      <c r="B843" s="9"/>
      <c r="C843" s="9"/>
      <c r="D843" s="9"/>
      <c r="E843" s="9"/>
      <c r="F843" s="9"/>
      <c r="G843" s="9"/>
      <c r="H843" s="9"/>
      <c r="I843" s="39"/>
      <c r="J843" s="39"/>
      <c r="K843" s="39"/>
      <c r="L843" s="39"/>
      <c r="M843" s="39"/>
      <c r="N843" s="39"/>
      <c r="O843" s="39"/>
      <c r="P843" s="39"/>
      <c r="Q843" s="39"/>
      <c r="R843" s="39"/>
      <c r="S843" s="39"/>
      <c r="T843" s="39"/>
      <c r="U843" s="39"/>
      <c r="V843" s="39"/>
      <c r="W843" s="39"/>
      <c r="X843" s="39"/>
      <c r="Y843" s="39"/>
      <c r="Z843" s="39"/>
      <c r="AA843" s="39"/>
      <c r="AB843" s="39"/>
      <c r="AC843" s="39"/>
      <c r="AD843" s="39">
        <f t="shared" ref="AD843:AR843" si="2810">AD836+AD842</f>
        <v>-1</v>
      </c>
      <c r="AE843" s="39">
        <f t="shared" si="2810"/>
        <v>4</v>
      </c>
      <c r="AF843" s="39">
        <f t="shared" si="2810"/>
        <v>595</v>
      </c>
      <c r="AG843" s="39">
        <f t="shared" si="2810"/>
        <v>595</v>
      </c>
      <c r="AH843" s="39">
        <f t="shared" si="2810"/>
        <v>2140</v>
      </c>
      <c r="AI843" s="39">
        <f t="shared" si="2810"/>
        <v>2841</v>
      </c>
      <c r="AJ843" s="39">
        <f t="shared" si="2810"/>
        <v>2862</v>
      </c>
      <c r="AK843" s="39">
        <f t="shared" si="2810"/>
        <v>2882</v>
      </c>
      <c r="AL843" s="39">
        <f t="shared" si="2810"/>
        <v>2882</v>
      </c>
      <c r="AM843" s="39">
        <f t="shared" si="2810"/>
        <v>2903</v>
      </c>
      <c r="AN843" s="39">
        <f t="shared" si="2810"/>
        <v>2924</v>
      </c>
      <c r="AO843" s="39">
        <f t="shared" si="2810"/>
        <v>2944</v>
      </c>
      <c r="AP843" s="39">
        <f t="shared" si="2810"/>
        <v>2965</v>
      </c>
      <c r="AQ843" s="39">
        <f t="shared" si="2810"/>
        <v>2965</v>
      </c>
      <c r="AR843" s="39">
        <f t="shared" si="2810"/>
        <v>2986</v>
      </c>
      <c r="AS843" s="39">
        <f t="shared" ref="AS843:AU843" si="2811">AS836+AS842</f>
        <v>3006</v>
      </c>
      <c r="AT843" s="39">
        <f t="shared" si="2811"/>
        <v>3027</v>
      </c>
      <c r="AU843" s="39">
        <f t="shared" si="2811"/>
        <v>3048</v>
      </c>
      <c r="AV843" s="39">
        <f>AV836+AV842</f>
        <v>3048</v>
      </c>
      <c r="AW843" s="39">
        <f t="shared" ref="AW843:AY843" si="2812">AW836+AW842</f>
        <v>3068</v>
      </c>
      <c r="AX843" s="39">
        <f t="shared" si="2812"/>
        <v>3088</v>
      </c>
      <c r="AY843" s="39">
        <f t="shared" si="2812"/>
        <v>3109</v>
      </c>
      <c r="AZ843" s="39">
        <f t="shared" ref="AZ843" si="2813">AZ836+AZ842</f>
        <v>3130</v>
      </c>
      <c r="BA843" s="39">
        <f>BA836+BA842</f>
        <v>3130</v>
      </c>
      <c r="BB843" s="39">
        <f>BB836+BB842</f>
        <v>3151</v>
      </c>
      <c r="BC843" s="39">
        <f t="shared" ref="BC843" si="2814">BC836+BC842</f>
        <v>3170</v>
      </c>
      <c r="BD843" s="39">
        <f t="shared" ref="BD843" si="2815">BD836+BD842</f>
        <v>3191</v>
      </c>
      <c r="BE843" s="39">
        <f t="shared" ref="BE843" si="2816">BE836+BE842</f>
        <v>3212</v>
      </c>
      <c r="BF843" s="39">
        <f>BF836+BF842</f>
        <v>3212</v>
      </c>
      <c r="BG843" s="39">
        <f>BG836+BG842</f>
        <v>3233</v>
      </c>
      <c r="BH843" s="39">
        <f t="shared" ref="BH843" si="2817">BH836+BH842</f>
        <v>3252</v>
      </c>
      <c r="BI843" s="39">
        <f t="shared" ref="BI843" si="2818">BI836+BI842</f>
        <v>3273</v>
      </c>
      <c r="BJ843" s="39">
        <f t="shared" ref="BJ843" si="2819">BJ836+BJ842</f>
        <v>3294</v>
      </c>
      <c r="BK843" s="39">
        <f>BK836+BK842</f>
        <v>3294</v>
      </c>
      <c r="BL843" s="39">
        <f>BL836+BL842</f>
        <v>3315</v>
      </c>
      <c r="BM843" s="39">
        <f t="shared" ref="BM843" si="2820">BM836+BM842</f>
        <v>3334</v>
      </c>
      <c r="BN843" s="39">
        <f t="shared" ref="BN843" si="2821">BN836+BN842</f>
        <v>3355</v>
      </c>
      <c r="BO843" s="39">
        <f t="shared" ref="BO843" si="2822">BO836+BO842</f>
        <v>3376</v>
      </c>
      <c r="BP843" s="39">
        <f>BP836+BP842</f>
        <v>3376</v>
      </c>
      <c r="BQ843" s="39">
        <f>BQ836+BQ842</f>
        <v>3397</v>
      </c>
      <c r="BR843" s="39">
        <f t="shared" ref="BR843" si="2823">BR836+BR842</f>
        <v>3416</v>
      </c>
      <c r="BS843" s="39">
        <f t="shared" ref="BS843" si="2824">BS836+BS842</f>
        <v>3437</v>
      </c>
      <c r="BT843" s="39">
        <f t="shared" ref="BT843" si="2825">BT836+BT842</f>
        <v>3458</v>
      </c>
      <c r="BU843" s="39">
        <f>BU836+BU842</f>
        <v>3458</v>
      </c>
      <c r="BV843" s="39">
        <f>BV836+BV842</f>
        <v>3479</v>
      </c>
      <c r="BW843" s="39">
        <f t="shared" ref="BW843" si="2826">BW836+BW842</f>
        <v>3498</v>
      </c>
      <c r="BX843" s="39">
        <f t="shared" ref="BX843" si="2827">BX836+BX842</f>
        <v>3519</v>
      </c>
      <c r="BY843" s="39">
        <f t="shared" ref="BY843" si="2828">BY836+BY842</f>
        <v>3540</v>
      </c>
      <c r="BZ843" s="39">
        <f>BZ836+BZ842</f>
        <v>3540</v>
      </c>
    </row>
    <row r="845" spans="1:78">
      <c r="A845" s="1" t="s">
        <v>114</v>
      </c>
      <c r="AD845" s="45">
        <f>FX!AD5</f>
        <v>110.47</v>
      </c>
      <c r="AE845" s="45">
        <f>FX!AE5</f>
        <v>113.6</v>
      </c>
      <c r="AF845" s="45">
        <f>FX!AF5</f>
        <v>117.1</v>
      </c>
      <c r="AH845" s="45">
        <f>FX!AH5</f>
        <v>129.04</v>
      </c>
      <c r="AI845" s="45">
        <f>FX!AI5</f>
        <v>138.68</v>
      </c>
      <c r="AJ845" s="45">
        <f>FX!AJ5</f>
        <v>141.16</v>
      </c>
      <c r="AK845" s="45">
        <f>FX!AK5</f>
        <v>133.26</v>
      </c>
      <c r="AM845" s="45">
        <f>FX!AM5</f>
        <v>138.11000000000001</v>
      </c>
      <c r="AN845" s="45">
        <f>FX!AN5</f>
        <v>145.44</v>
      </c>
      <c r="AO845" s="45">
        <f>FX!AO5</f>
        <v>147</v>
      </c>
      <c r="AP845" s="45">
        <f>FX!AP5</f>
        <v>147.87</v>
      </c>
      <c r="AR845" s="45">
        <f>FX!AR5</f>
        <v>156.53</v>
      </c>
      <c r="AS845" s="45">
        <f>FX!AS5</f>
        <v>150.26</v>
      </c>
      <c r="AT845" s="45">
        <f>FX!AT5</f>
        <v>151.32</v>
      </c>
      <c r="AU845" s="45">
        <f>FX!AU5</f>
        <v>152.94999999999999</v>
      </c>
      <c r="AW845" s="45">
        <f>FX!AW5</f>
        <v>145.19</v>
      </c>
      <c r="AX845" s="45">
        <f>FX!AX5</f>
        <v>147.5</v>
      </c>
      <c r="AY845" s="45">
        <f>FX!AY5</f>
        <v>154.04</v>
      </c>
      <c r="AZ845" s="45">
        <f>FX!AZ5</f>
        <v>155.1</v>
      </c>
      <c r="BB845" s="45">
        <f>FX!BB5</f>
        <v>154.70000000000002</v>
      </c>
      <c r="BC845" s="45">
        <f>FX!BC5</f>
        <v>154.30000000000001</v>
      </c>
      <c r="BD845" s="45">
        <f>FX!BD5</f>
        <v>153.9</v>
      </c>
      <c r="BE845" s="45">
        <f>FX!BE5</f>
        <v>153.5</v>
      </c>
      <c r="BG845" s="45">
        <f>FX!BG5</f>
        <v>153.1</v>
      </c>
      <c r="BH845" s="45">
        <f>FX!BH5</f>
        <v>152.70000000000002</v>
      </c>
      <c r="BI845" s="45">
        <f>FX!BI5</f>
        <v>152.30000000000001</v>
      </c>
      <c r="BJ845" s="45">
        <f>FX!BJ5</f>
        <v>151.9</v>
      </c>
      <c r="BL845" s="45">
        <f>FX!BL5</f>
        <v>151.5</v>
      </c>
      <c r="BM845" s="45">
        <f>FX!BM5</f>
        <v>151.1</v>
      </c>
      <c r="BN845" s="45">
        <f>FX!BN5</f>
        <v>150.70000000000002</v>
      </c>
      <c r="BO845" s="45">
        <f>FX!BO5</f>
        <v>150.30000000000001</v>
      </c>
      <c r="BQ845" s="45">
        <f>FX!BQ5</f>
        <v>149.9</v>
      </c>
      <c r="BR845" s="45">
        <f>FX!BR5</f>
        <v>149.5</v>
      </c>
      <c r="BS845" s="45">
        <f>FX!BS5</f>
        <v>149.1</v>
      </c>
      <c r="BT845" s="45">
        <f>FX!BT5</f>
        <v>148.70000000000002</v>
      </c>
      <c r="BV845" s="45">
        <f>FX!BV5</f>
        <v>148.30000000000001</v>
      </c>
      <c r="BW845" s="45">
        <f>FX!BW5</f>
        <v>147.9</v>
      </c>
      <c r="BX845" s="45">
        <f>FX!BX5</f>
        <v>147.5</v>
      </c>
      <c r="BY845" s="45">
        <f>FX!BY5</f>
        <v>147.1</v>
      </c>
    </row>
    <row r="846" spans="1:78">
      <c r="A846" s="1" t="s">
        <v>1007</v>
      </c>
      <c r="AD846" s="45">
        <f>FX!AD6</f>
        <v>111.92</v>
      </c>
      <c r="AE846" s="45">
        <f>FX!AE6</f>
        <v>115.02</v>
      </c>
      <c r="AF846" s="45">
        <f>FX!AF6</f>
        <v>122.39</v>
      </c>
      <c r="AH846" s="45">
        <f>FX!AH6</f>
        <v>136.68</v>
      </c>
      <c r="AI846" s="45">
        <f>FX!AI6</f>
        <v>144.81</v>
      </c>
      <c r="AJ846" s="45">
        <f>FX!AJ6</f>
        <v>132.69999999999999</v>
      </c>
      <c r="AK846" s="45">
        <f>FX!AK6</f>
        <v>133.53</v>
      </c>
      <c r="AM846" s="45">
        <f>FX!AM6</f>
        <v>144.99</v>
      </c>
      <c r="AN846" s="45">
        <f>FX!AN6</f>
        <v>149.58000000000001</v>
      </c>
      <c r="AO846" s="45">
        <f>FX!AO6</f>
        <v>141.83000000000001</v>
      </c>
      <c r="AP846" s="45">
        <f>FX!AP6</f>
        <v>151.41</v>
      </c>
      <c r="AR846" s="45">
        <f>FX!AR6</f>
        <v>161.07</v>
      </c>
      <c r="AS846" s="45">
        <f>FX!AS6</f>
        <v>142.72999999999999</v>
      </c>
      <c r="AT846" s="45">
        <f>FX!AT6</f>
        <v>158.18</v>
      </c>
      <c r="AU846" s="45">
        <f>FX!AU6</f>
        <v>149.52000000000001</v>
      </c>
      <c r="AW846" s="45">
        <f>FX!AW6</f>
        <v>144.81</v>
      </c>
      <c r="AX846" s="45">
        <f>FX!AX6</f>
        <v>148.88</v>
      </c>
      <c r="AY846" s="45">
        <f>FX!AY6</f>
        <v>156.56</v>
      </c>
      <c r="AZ846" s="45">
        <f>FX!AZ6</f>
        <v>155.1</v>
      </c>
      <c r="BB846" s="45">
        <f>FX!BB6</f>
        <v>154.70000000000002</v>
      </c>
      <c r="BC846" s="45">
        <f>FX!BC6</f>
        <v>154.30000000000001</v>
      </c>
      <c r="BD846" s="45">
        <f>FX!BD6</f>
        <v>153.9</v>
      </c>
      <c r="BE846" s="45">
        <f>FX!BE6</f>
        <v>153.5</v>
      </c>
      <c r="BG846" s="45">
        <f>FX!BG6</f>
        <v>153.1</v>
      </c>
      <c r="BH846" s="45">
        <f>FX!BH6</f>
        <v>152.70000000000002</v>
      </c>
      <c r="BI846" s="45">
        <f>FX!BI6</f>
        <v>152.30000000000001</v>
      </c>
      <c r="BJ846" s="45">
        <f>FX!BJ6</f>
        <v>151.9</v>
      </c>
      <c r="BL846" s="45">
        <f>FX!BL6</f>
        <v>151.5</v>
      </c>
      <c r="BM846" s="45">
        <f>FX!BM6</f>
        <v>151.1</v>
      </c>
      <c r="BN846" s="45">
        <f>FX!BN6</f>
        <v>150.70000000000002</v>
      </c>
      <c r="BO846" s="45">
        <f>FX!BO6</f>
        <v>150.30000000000001</v>
      </c>
      <c r="BQ846" s="45">
        <f>FX!BQ6</f>
        <v>149.9</v>
      </c>
      <c r="BR846" s="45">
        <f>FX!BR6</f>
        <v>149.5</v>
      </c>
      <c r="BS846" s="45">
        <f>FX!BS6</f>
        <v>149.1</v>
      </c>
      <c r="BT846" s="45">
        <f>FX!BT6</f>
        <v>148.70000000000002</v>
      </c>
      <c r="BV846" s="45">
        <f>FX!BV6</f>
        <v>148.30000000000001</v>
      </c>
      <c r="BW846" s="45">
        <f>FX!BW6</f>
        <v>147.9</v>
      </c>
      <c r="BX846" s="45">
        <f>FX!BX6</f>
        <v>147.5</v>
      </c>
      <c r="BY846" s="45">
        <f>FX!BY6</f>
        <v>147.1</v>
      </c>
    </row>
    <row r="848" spans="1:78">
      <c r="A848" s="343" t="s">
        <v>1342</v>
      </c>
    </row>
    <row r="849" spans="1:78">
      <c r="AD849" s="25" t="s">
        <v>1304</v>
      </c>
    </row>
    <row r="850" spans="1:78" s="26" customFormat="1">
      <c r="A850" s="26" t="s">
        <v>1303</v>
      </c>
      <c r="AD850" s="260">
        <f t="shared" ref="AD850:AQ850" si="2829">AD891/AD890</f>
        <v>1.1179941002949854</v>
      </c>
      <c r="AE850" s="260">
        <f t="shared" si="2829"/>
        <v>1.1136890951276102</v>
      </c>
      <c r="AF850" s="260">
        <f t="shared" si="2829"/>
        <v>1.0021052631578948</v>
      </c>
      <c r="AG850" s="260">
        <f t="shared" si="2829"/>
        <v>1.0021052631578948</v>
      </c>
      <c r="AH850" s="260">
        <f t="shared" si="2829"/>
        <v>0.80040322580645162</v>
      </c>
      <c r="AI850" s="260">
        <f t="shared" si="2829"/>
        <v>0.70682730923694781</v>
      </c>
      <c r="AJ850" s="260">
        <f t="shared" si="2829"/>
        <v>0.66533066132264529</v>
      </c>
      <c r="AK850" s="260">
        <f t="shared" si="2829"/>
        <v>0.63545816733067728</v>
      </c>
      <c r="AL850" s="260">
        <f t="shared" si="2829"/>
        <v>0.63545816733067728</v>
      </c>
      <c r="AM850" s="260">
        <f t="shared" si="2829"/>
        <v>0.64092664092664098</v>
      </c>
      <c r="AN850" s="260">
        <f t="shared" si="2829"/>
        <v>0.60344827586206895</v>
      </c>
      <c r="AO850" s="260">
        <f t="shared" si="2829"/>
        <v>0.6367112810707457</v>
      </c>
      <c r="AP850" s="260">
        <f t="shared" si="2829"/>
        <v>0.63167938931297707</v>
      </c>
      <c r="AQ850" s="260">
        <f t="shared" si="2829"/>
        <v>0.63167938931297707</v>
      </c>
      <c r="AR850" s="260">
        <f t="shared" ref="AR850:BZ850" si="2830">AR891/AR890</f>
        <v>0.58679245283018866</v>
      </c>
      <c r="AS850" s="260">
        <f t="shared" si="2830"/>
        <v>0.60820895522388063</v>
      </c>
      <c r="AT850" s="260">
        <f t="shared" si="2830"/>
        <v>0.59782608695652173</v>
      </c>
      <c r="AU850" s="260">
        <f t="shared" si="2830"/>
        <v>0.62335526315789469</v>
      </c>
      <c r="AV850" s="260">
        <f t="shared" si="2830"/>
        <v>0.62335526315789469</v>
      </c>
      <c r="AW850" s="260">
        <f t="shared" si="2830"/>
        <v>0.68829337094499299</v>
      </c>
      <c r="AX850" s="260">
        <f t="shared" si="2830"/>
        <v>0.87652645861601086</v>
      </c>
      <c r="AY850" s="260">
        <f t="shared" si="2830"/>
        <v>0.97373949579831931</v>
      </c>
      <c r="AZ850" s="260">
        <f t="shared" si="2830"/>
        <v>0.97042842215256009</v>
      </c>
      <c r="BA850" s="260">
        <f t="shared" si="2830"/>
        <v>0.97042842215256009</v>
      </c>
      <c r="BB850" s="260">
        <f t="shared" si="2830"/>
        <v>1.1726111636707663</v>
      </c>
      <c r="BC850" s="260">
        <f t="shared" si="2830"/>
        <v>1.1743733794295592</v>
      </c>
      <c r="BD850" s="260">
        <f t="shared" si="2830"/>
        <v>1.1758949880668257</v>
      </c>
      <c r="BE850" s="260">
        <f t="shared" si="2830"/>
        <v>1.1754972155926811</v>
      </c>
      <c r="BF850" s="260">
        <f t="shared" si="2830"/>
        <v>1.1754972155926811</v>
      </c>
      <c r="BG850" s="260">
        <f t="shared" si="2830"/>
        <v>1.1889021479713604</v>
      </c>
      <c r="BH850" s="260">
        <f t="shared" si="2830"/>
        <v>1.2021877486077963</v>
      </c>
      <c r="BI850" s="260">
        <f t="shared" si="2830"/>
        <v>1.2153142402545745</v>
      </c>
      <c r="BJ850" s="260">
        <f t="shared" si="2830"/>
        <v>1.2282816229116944</v>
      </c>
      <c r="BK850" s="260">
        <f t="shared" si="2830"/>
        <v>1.2282816229116944</v>
      </c>
      <c r="BL850" s="260">
        <f t="shared" si="2830"/>
        <v>1.2410898965791568</v>
      </c>
      <c r="BM850" s="260">
        <f t="shared" si="2830"/>
        <v>1.2535401750198887</v>
      </c>
      <c r="BN850" s="260">
        <f t="shared" si="2830"/>
        <v>1.2656324582338903</v>
      </c>
      <c r="BO850" s="260">
        <f t="shared" si="2830"/>
        <v>1.277326968973747</v>
      </c>
      <c r="BP850" s="260">
        <f t="shared" si="2830"/>
        <v>1.277326968973747</v>
      </c>
      <c r="BQ850" s="260">
        <f t="shared" si="2830"/>
        <v>1.2886237072394591</v>
      </c>
      <c r="BR850" s="260">
        <f t="shared" si="2830"/>
        <v>1.2992840095465394</v>
      </c>
      <c r="BS850" s="260">
        <f t="shared" si="2830"/>
        <v>1.3093078758949881</v>
      </c>
      <c r="BT850" s="260">
        <f t="shared" si="2830"/>
        <v>1.3186555290373907</v>
      </c>
      <c r="BU850" s="260">
        <f t="shared" si="2830"/>
        <v>1.3186555290373907</v>
      </c>
      <c r="BV850" s="260">
        <f t="shared" si="2830"/>
        <v>1.327326968973747</v>
      </c>
      <c r="BW850" s="260">
        <f t="shared" si="2830"/>
        <v>1.3353221957040573</v>
      </c>
      <c r="BX850" s="260">
        <f t="shared" si="2830"/>
        <v>1.342601431980907</v>
      </c>
      <c r="BY850" s="260">
        <f t="shared" si="2830"/>
        <v>1.3491646778042961</v>
      </c>
      <c r="BZ850" s="260">
        <f t="shared" si="2830"/>
        <v>1.3491646778042961</v>
      </c>
    </row>
    <row r="852" spans="1:78">
      <c r="A852" s="1" t="s">
        <v>1305</v>
      </c>
      <c r="AD852" s="36">
        <f>-AD842</f>
        <v>1470</v>
      </c>
      <c r="AE852" s="36">
        <f>-AE842</f>
        <v>2775</v>
      </c>
      <c r="AF852" s="36">
        <f>-AF842</f>
        <v>2205</v>
      </c>
      <c r="AG852" s="36">
        <f>-AG842</f>
        <v>2205</v>
      </c>
      <c r="AH852" s="36">
        <f t="shared" ref="AH852:BZ852" si="2831">-AH842</f>
        <v>680</v>
      </c>
      <c r="AI852" s="36">
        <f t="shared" si="2831"/>
        <v>0</v>
      </c>
      <c r="AJ852" s="36">
        <f t="shared" si="2831"/>
        <v>0</v>
      </c>
      <c r="AK852" s="36">
        <f t="shared" si="2831"/>
        <v>0</v>
      </c>
      <c r="AL852" s="36">
        <f t="shared" si="2831"/>
        <v>0</v>
      </c>
      <c r="AM852" s="36">
        <f t="shared" si="2831"/>
        <v>0</v>
      </c>
      <c r="AN852" s="36">
        <f t="shared" si="2831"/>
        <v>0</v>
      </c>
      <c r="AO852" s="36">
        <f t="shared" si="2831"/>
        <v>0</v>
      </c>
      <c r="AP852" s="36">
        <f t="shared" si="2831"/>
        <v>0</v>
      </c>
      <c r="AQ852" s="36">
        <f t="shared" si="2831"/>
        <v>0</v>
      </c>
      <c r="AR852" s="36">
        <f t="shared" si="2831"/>
        <v>0</v>
      </c>
      <c r="AS852" s="36">
        <f t="shared" si="2831"/>
        <v>0</v>
      </c>
      <c r="AT852" s="36">
        <f t="shared" si="2831"/>
        <v>0</v>
      </c>
      <c r="AU852" s="36">
        <f t="shared" ref="AU852:AV852" si="2832">-AU842</f>
        <v>0</v>
      </c>
      <c r="AV852" s="36">
        <f t="shared" si="2832"/>
        <v>0</v>
      </c>
      <c r="AW852" s="36">
        <f t="shared" si="2831"/>
        <v>0</v>
      </c>
      <c r="AX852" s="36">
        <f t="shared" ref="AX852" si="2833">-AX842</f>
        <v>0</v>
      </c>
      <c r="AY852" s="36">
        <f t="shared" si="2831"/>
        <v>0</v>
      </c>
      <c r="AZ852" s="36">
        <f t="shared" si="2831"/>
        <v>0</v>
      </c>
      <c r="BA852" s="36">
        <f t="shared" si="2831"/>
        <v>0</v>
      </c>
      <c r="BB852" s="36">
        <f t="shared" si="2831"/>
        <v>0</v>
      </c>
      <c r="BC852" s="36">
        <f t="shared" si="2831"/>
        <v>0</v>
      </c>
      <c r="BD852" s="36">
        <f t="shared" si="2831"/>
        <v>0</v>
      </c>
      <c r="BE852" s="36">
        <f t="shared" si="2831"/>
        <v>0</v>
      </c>
      <c r="BF852" s="36">
        <f t="shared" si="2831"/>
        <v>0</v>
      </c>
      <c r="BG852" s="36">
        <f t="shared" si="2831"/>
        <v>0</v>
      </c>
      <c r="BH852" s="36">
        <f t="shared" si="2831"/>
        <v>0</v>
      </c>
      <c r="BI852" s="36">
        <f t="shared" si="2831"/>
        <v>0</v>
      </c>
      <c r="BJ852" s="36">
        <f t="shared" si="2831"/>
        <v>0</v>
      </c>
      <c r="BK852" s="36">
        <f t="shared" si="2831"/>
        <v>0</v>
      </c>
      <c r="BL852" s="36">
        <f t="shared" si="2831"/>
        <v>0</v>
      </c>
      <c r="BM852" s="36">
        <f t="shared" si="2831"/>
        <v>0</v>
      </c>
      <c r="BN852" s="36">
        <f t="shared" si="2831"/>
        <v>0</v>
      </c>
      <c r="BO852" s="36">
        <f t="shared" si="2831"/>
        <v>0</v>
      </c>
      <c r="BP852" s="36">
        <f t="shared" si="2831"/>
        <v>0</v>
      </c>
      <c r="BQ852" s="36">
        <f t="shared" si="2831"/>
        <v>0</v>
      </c>
      <c r="BR852" s="36">
        <f t="shared" si="2831"/>
        <v>0</v>
      </c>
      <c r="BS852" s="36">
        <f t="shared" si="2831"/>
        <v>0</v>
      </c>
      <c r="BT852" s="36">
        <f t="shared" si="2831"/>
        <v>0</v>
      </c>
      <c r="BU852" s="36">
        <f t="shared" si="2831"/>
        <v>0</v>
      </c>
      <c r="BV852" s="36">
        <f t="shared" si="2831"/>
        <v>0</v>
      </c>
      <c r="BW852" s="36">
        <f t="shared" si="2831"/>
        <v>0</v>
      </c>
      <c r="BX852" s="36">
        <f t="shared" si="2831"/>
        <v>0</v>
      </c>
      <c r="BY852" s="36">
        <f t="shared" si="2831"/>
        <v>0</v>
      </c>
      <c r="BZ852" s="36">
        <f t="shared" si="2831"/>
        <v>0</v>
      </c>
    </row>
    <row r="853" spans="1:78">
      <c r="A853" s="1" t="s">
        <v>1306</v>
      </c>
      <c r="AD853" s="36">
        <f>AD836</f>
        <v>1469</v>
      </c>
      <c r="AE853" s="36">
        <f>AE836</f>
        <v>2779</v>
      </c>
      <c r="AF853" s="36">
        <f>AF836</f>
        <v>2800</v>
      </c>
      <c r="AG853" s="36">
        <f>AG836</f>
        <v>2800</v>
      </c>
      <c r="AH853" s="36">
        <f t="shared" ref="AH853:BZ853" si="2834">AH836</f>
        <v>2820</v>
      </c>
      <c r="AI853" s="36">
        <f t="shared" si="2834"/>
        <v>2841</v>
      </c>
      <c r="AJ853" s="36">
        <f t="shared" si="2834"/>
        <v>2862</v>
      </c>
      <c r="AK853" s="36">
        <f t="shared" si="2834"/>
        <v>2882</v>
      </c>
      <c r="AL853" s="36">
        <f t="shared" si="2834"/>
        <v>2882</v>
      </c>
      <c r="AM853" s="36">
        <f t="shared" si="2834"/>
        <v>2903</v>
      </c>
      <c r="AN853" s="36">
        <f t="shared" si="2834"/>
        <v>2924</v>
      </c>
      <c r="AO853" s="36">
        <f t="shared" si="2834"/>
        <v>2944</v>
      </c>
      <c r="AP853" s="36">
        <f t="shared" si="2834"/>
        <v>2965</v>
      </c>
      <c r="AQ853" s="36">
        <f t="shared" si="2834"/>
        <v>2965</v>
      </c>
      <c r="AR853" s="36">
        <f t="shared" si="2834"/>
        <v>2986</v>
      </c>
      <c r="AS853" s="36">
        <f t="shared" si="2834"/>
        <v>3006</v>
      </c>
      <c r="AT853" s="36">
        <f t="shared" si="2834"/>
        <v>3027</v>
      </c>
      <c r="AU853" s="36">
        <f t="shared" ref="AU853:AV853" si="2835">AU836</f>
        <v>3048</v>
      </c>
      <c r="AV853" s="36">
        <f t="shared" si="2835"/>
        <v>3048</v>
      </c>
      <c r="AW853" s="36">
        <f t="shared" si="2834"/>
        <v>3068</v>
      </c>
      <c r="AX853" s="36">
        <f t="shared" ref="AX853" si="2836">AX836</f>
        <v>3088</v>
      </c>
      <c r="AY853" s="36">
        <f t="shared" si="2834"/>
        <v>3109</v>
      </c>
      <c r="AZ853" s="36">
        <f t="shared" si="2834"/>
        <v>3130</v>
      </c>
      <c r="BA853" s="36">
        <f t="shared" si="2834"/>
        <v>3130</v>
      </c>
      <c r="BB853" s="36">
        <f t="shared" si="2834"/>
        <v>3151</v>
      </c>
      <c r="BC853" s="36">
        <f t="shared" si="2834"/>
        <v>3170</v>
      </c>
      <c r="BD853" s="36">
        <f t="shared" si="2834"/>
        <v>3191</v>
      </c>
      <c r="BE853" s="36">
        <f t="shared" si="2834"/>
        <v>3212</v>
      </c>
      <c r="BF853" s="36">
        <f t="shared" si="2834"/>
        <v>3212</v>
      </c>
      <c r="BG853" s="36">
        <f t="shared" si="2834"/>
        <v>3233</v>
      </c>
      <c r="BH853" s="36">
        <f t="shared" si="2834"/>
        <v>3252</v>
      </c>
      <c r="BI853" s="36">
        <f t="shared" si="2834"/>
        <v>3273</v>
      </c>
      <c r="BJ853" s="36">
        <f t="shared" si="2834"/>
        <v>3294</v>
      </c>
      <c r="BK853" s="36">
        <f t="shared" si="2834"/>
        <v>3294</v>
      </c>
      <c r="BL853" s="36">
        <f t="shared" si="2834"/>
        <v>3315</v>
      </c>
      <c r="BM853" s="36">
        <f t="shared" si="2834"/>
        <v>3334</v>
      </c>
      <c r="BN853" s="36">
        <f t="shared" si="2834"/>
        <v>3355</v>
      </c>
      <c r="BO853" s="36">
        <f t="shared" si="2834"/>
        <v>3376</v>
      </c>
      <c r="BP853" s="36">
        <f t="shared" si="2834"/>
        <v>3376</v>
      </c>
      <c r="BQ853" s="36">
        <f t="shared" si="2834"/>
        <v>3397</v>
      </c>
      <c r="BR853" s="36">
        <f t="shared" si="2834"/>
        <v>3416</v>
      </c>
      <c r="BS853" s="36">
        <f t="shared" si="2834"/>
        <v>3437</v>
      </c>
      <c r="BT853" s="36">
        <f t="shared" si="2834"/>
        <v>3458</v>
      </c>
      <c r="BU853" s="36">
        <f t="shared" si="2834"/>
        <v>3458</v>
      </c>
      <c r="BV853" s="36">
        <f t="shared" si="2834"/>
        <v>3479</v>
      </c>
      <c r="BW853" s="36">
        <f t="shared" si="2834"/>
        <v>3498</v>
      </c>
      <c r="BX853" s="36">
        <f t="shared" si="2834"/>
        <v>3519</v>
      </c>
      <c r="BY853" s="36">
        <f t="shared" si="2834"/>
        <v>3540</v>
      </c>
      <c r="BZ853" s="36">
        <f t="shared" si="2834"/>
        <v>3540</v>
      </c>
    </row>
    <row r="854" spans="1:78">
      <c r="A854" s="9" t="s">
        <v>1307</v>
      </c>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39">
        <f>IF(AD853&gt;AD852, AD853-AD852, 0)</f>
        <v>0</v>
      </c>
      <c r="AE854" s="39">
        <f>IF(AE853&gt;AE852, AE853-AE852, 0)</f>
        <v>4</v>
      </c>
      <c r="AF854" s="39">
        <f>IF(AF853&gt;AF852, AF853-AF852, 0)</f>
        <v>595</v>
      </c>
      <c r="AG854" s="39">
        <f>IF(AG853&gt;AG852, AG853-AG852, 0)</f>
        <v>595</v>
      </c>
      <c r="AH854" s="39">
        <f t="shared" ref="AH854:BZ854" si="2837">IF(AH853&gt;AH852, AH853-AH852, 0)</f>
        <v>2140</v>
      </c>
      <c r="AI854" s="39">
        <f t="shared" si="2837"/>
        <v>2841</v>
      </c>
      <c r="AJ854" s="39">
        <f t="shared" si="2837"/>
        <v>2862</v>
      </c>
      <c r="AK854" s="39">
        <f t="shared" si="2837"/>
        <v>2882</v>
      </c>
      <c r="AL854" s="39">
        <f t="shared" si="2837"/>
        <v>2882</v>
      </c>
      <c r="AM854" s="39">
        <f t="shared" si="2837"/>
        <v>2903</v>
      </c>
      <c r="AN854" s="39">
        <f t="shared" si="2837"/>
        <v>2924</v>
      </c>
      <c r="AO854" s="39">
        <f t="shared" si="2837"/>
        <v>2944</v>
      </c>
      <c r="AP854" s="39">
        <f t="shared" si="2837"/>
        <v>2965</v>
      </c>
      <c r="AQ854" s="39">
        <f t="shared" si="2837"/>
        <v>2965</v>
      </c>
      <c r="AR854" s="39">
        <f t="shared" si="2837"/>
        <v>2986</v>
      </c>
      <c r="AS854" s="39">
        <f t="shared" si="2837"/>
        <v>3006</v>
      </c>
      <c r="AT854" s="39">
        <f t="shared" si="2837"/>
        <v>3027</v>
      </c>
      <c r="AU854" s="39">
        <f t="shared" ref="AU854:AV854" si="2838">IF(AU853&gt;AU852, AU853-AU852, 0)</f>
        <v>3048</v>
      </c>
      <c r="AV854" s="39">
        <f t="shared" si="2838"/>
        <v>3048</v>
      </c>
      <c r="AW854" s="39">
        <f t="shared" si="2837"/>
        <v>3068</v>
      </c>
      <c r="AX854" s="39">
        <f t="shared" ref="AX854" si="2839">IF(AX853&gt;AX852, AX853-AX852, 0)</f>
        <v>3088</v>
      </c>
      <c r="AY854" s="39">
        <f t="shared" si="2837"/>
        <v>3109</v>
      </c>
      <c r="AZ854" s="39">
        <f t="shared" si="2837"/>
        <v>3130</v>
      </c>
      <c r="BA854" s="39">
        <f t="shared" si="2837"/>
        <v>3130</v>
      </c>
      <c r="BB854" s="39">
        <f t="shared" si="2837"/>
        <v>3151</v>
      </c>
      <c r="BC854" s="39">
        <f t="shared" si="2837"/>
        <v>3170</v>
      </c>
      <c r="BD854" s="39">
        <f t="shared" si="2837"/>
        <v>3191</v>
      </c>
      <c r="BE854" s="39">
        <f t="shared" si="2837"/>
        <v>3212</v>
      </c>
      <c r="BF854" s="39">
        <f t="shared" si="2837"/>
        <v>3212</v>
      </c>
      <c r="BG854" s="39">
        <f t="shared" si="2837"/>
        <v>3233</v>
      </c>
      <c r="BH854" s="39">
        <f t="shared" si="2837"/>
        <v>3252</v>
      </c>
      <c r="BI854" s="39">
        <f t="shared" si="2837"/>
        <v>3273</v>
      </c>
      <c r="BJ854" s="39">
        <f t="shared" si="2837"/>
        <v>3294</v>
      </c>
      <c r="BK854" s="39">
        <f t="shared" si="2837"/>
        <v>3294</v>
      </c>
      <c r="BL854" s="39">
        <f t="shared" si="2837"/>
        <v>3315</v>
      </c>
      <c r="BM854" s="39">
        <f t="shared" si="2837"/>
        <v>3334</v>
      </c>
      <c r="BN854" s="39">
        <f t="shared" si="2837"/>
        <v>3355</v>
      </c>
      <c r="BO854" s="39">
        <f t="shared" si="2837"/>
        <v>3376</v>
      </c>
      <c r="BP854" s="39">
        <f t="shared" si="2837"/>
        <v>3376</v>
      </c>
      <c r="BQ854" s="39">
        <f t="shared" si="2837"/>
        <v>3397</v>
      </c>
      <c r="BR854" s="39">
        <f t="shared" si="2837"/>
        <v>3416</v>
      </c>
      <c r="BS854" s="39">
        <f t="shared" si="2837"/>
        <v>3437</v>
      </c>
      <c r="BT854" s="39">
        <f t="shared" si="2837"/>
        <v>3458</v>
      </c>
      <c r="BU854" s="39">
        <f t="shared" si="2837"/>
        <v>3458</v>
      </c>
      <c r="BV854" s="39">
        <f t="shared" si="2837"/>
        <v>3479</v>
      </c>
      <c r="BW854" s="39">
        <f t="shared" si="2837"/>
        <v>3498</v>
      </c>
      <c r="BX854" s="39">
        <f t="shared" si="2837"/>
        <v>3519</v>
      </c>
      <c r="BY854" s="39">
        <f t="shared" si="2837"/>
        <v>3540</v>
      </c>
      <c r="BZ854" s="39">
        <f t="shared" si="2837"/>
        <v>3540</v>
      </c>
    </row>
    <row r="856" spans="1:78">
      <c r="A856" s="1" t="s">
        <v>1308</v>
      </c>
      <c r="AD856" s="36">
        <f t="shared" ref="AD856:AL856" si="2840">AD886</f>
        <v>37000</v>
      </c>
      <c r="AE856" s="36">
        <f t="shared" si="2840"/>
        <v>46800</v>
      </c>
      <c r="AF856" s="36">
        <f t="shared" si="2840"/>
        <v>46000</v>
      </c>
      <c r="AG856" s="36">
        <f t="shared" si="2840"/>
        <v>46000</v>
      </c>
      <c r="AH856" s="36">
        <f t="shared" si="2840"/>
        <v>37200</v>
      </c>
      <c r="AI856" s="36">
        <f t="shared" si="2840"/>
        <v>32700</v>
      </c>
      <c r="AJ856" s="36">
        <f t="shared" si="2840"/>
        <v>30700</v>
      </c>
      <c r="AK856" s="36">
        <f t="shared" si="2840"/>
        <v>29500</v>
      </c>
      <c r="AL856" s="36">
        <f t="shared" si="2840"/>
        <v>29500</v>
      </c>
      <c r="AM856" s="36">
        <f t="shared" ref="AM856:BZ856" si="2841">AM886</f>
        <v>30400</v>
      </c>
      <c r="AN856" s="36">
        <f t="shared" si="2841"/>
        <v>28500</v>
      </c>
      <c r="AO856" s="36">
        <f t="shared" si="2841"/>
        <v>30100</v>
      </c>
      <c r="AP856" s="36">
        <f t="shared" si="2841"/>
        <v>29900</v>
      </c>
      <c r="AQ856" s="36">
        <f>AQ886</f>
        <v>29900</v>
      </c>
      <c r="AR856" s="36">
        <f t="shared" si="2841"/>
        <v>27800</v>
      </c>
      <c r="AS856" s="36">
        <f t="shared" si="2841"/>
        <v>29200</v>
      </c>
      <c r="AT856" s="36">
        <f t="shared" si="2841"/>
        <v>29100</v>
      </c>
      <c r="AU856" s="36">
        <f t="shared" ref="AU856" si="2842">AU886</f>
        <v>32300</v>
      </c>
      <c r="AV856" s="36">
        <f>AV886</f>
        <v>32300</v>
      </c>
      <c r="AW856" s="36">
        <f>AW886</f>
        <v>41000</v>
      </c>
      <c r="AX856" s="36">
        <f t="shared" ref="AX856" si="2843">AX886</f>
        <v>48700</v>
      </c>
      <c r="AY856" s="36">
        <f t="shared" si="2841"/>
        <v>86400</v>
      </c>
      <c r="AZ856" s="36">
        <f t="shared" si="2841"/>
        <v>86090</v>
      </c>
      <c r="BA856" s="36">
        <f t="shared" si="2841"/>
        <v>86090</v>
      </c>
      <c r="BB856" s="36">
        <f t="shared" si="2841"/>
        <v>116405</v>
      </c>
      <c r="BC856" s="36">
        <f t="shared" si="2841"/>
        <v>127470</v>
      </c>
      <c r="BD856" s="36">
        <f t="shared" si="2841"/>
        <v>138430</v>
      </c>
      <c r="BE856" s="36">
        <f t="shared" si="2841"/>
        <v>137370</v>
      </c>
      <c r="BF856" s="36">
        <f t="shared" si="2841"/>
        <v>137370</v>
      </c>
      <c r="BG856" s="36">
        <f t="shared" si="2841"/>
        <v>136030</v>
      </c>
      <c r="BH856" s="36">
        <f t="shared" si="2841"/>
        <v>134570</v>
      </c>
      <c r="BI856" s="36">
        <f t="shared" si="2841"/>
        <v>132975</v>
      </c>
      <c r="BJ856" s="36">
        <f t="shared" si="2841"/>
        <v>131240</v>
      </c>
      <c r="BK856" s="36">
        <f t="shared" si="2841"/>
        <v>131240</v>
      </c>
      <c r="BL856" s="36">
        <f t="shared" si="2841"/>
        <v>127605</v>
      </c>
      <c r="BM856" s="36">
        <f t="shared" si="2841"/>
        <v>123790</v>
      </c>
      <c r="BN856" s="36">
        <f t="shared" si="2841"/>
        <v>119780</v>
      </c>
      <c r="BO856" s="36">
        <f t="shared" si="2841"/>
        <v>115565</v>
      </c>
      <c r="BP856" s="36">
        <f t="shared" si="2841"/>
        <v>115565</v>
      </c>
      <c r="BQ856" s="36">
        <f t="shared" si="2841"/>
        <v>109185</v>
      </c>
      <c r="BR856" s="36">
        <f t="shared" si="2841"/>
        <v>102630</v>
      </c>
      <c r="BS856" s="36">
        <f t="shared" si="2841"/>
        <v>95900</v>
      </c>
      <c r="BT856" s="36">
        <f t="shared" si="2841"/>
        <v>88985</v>
      </c>
      <c r="BU856" s="36">
        <f t="shared" si="2841"/>
        <v>88985</v>
      </c>
      <c r="BV856" s="36">
        <f t="shared" si="2841"/>
        <v>81885</v>
      </c>
      <c r="BW856" s="36">
        <f t="shared" si="2841"/>
        <v>74600</v>
      </c>
      <c r="BX856" s="36">
        <f t="shared" si="2841"/>
        <v>67125</v>
      </c>
      <c r="BY856" s="36">
        <f t="shared" si="2841"/>
        <v>59455</v>
      </c>
      <c r="BZ856" s="36">
        <f t="shared" si="2841"/>
        <v>59455</v>
      </c>
    </row>
    <row r="857" spans="1:78">
      <c r="A857" s="1" t="s">
        <v>1358</v>
      </c>
      <c r="AD857" s="36">
        <f t="shared" ref="AD857:BI857" si="2844">-MROUND(AD924, 5)</f>
        <v>-1000</v>
      </c>
      <c r="AE857" s="36">
        <f t="shared" si="2844"/>
        <v>-4645</v>
      </c>
      <c r="AF857" s="36">
        <f t="shared" si="2844"/>
        <v>-5975</v>
      </c>
      <c r="AG857" s="36">
        <f t="shared" si="2844"/>
        <v>-5975</v>
      </c>
      <c r="AH857" s="36">
        <f t="shared" si="2844"/>
        <v>-5800</v>
      </c>
      <c r="AI857" s="36">
        <f t="shared" si="2844"/>
        <v>-5770</v>
      </c>
      <c r="AJ857" s="36">
        <f t="shared" si="2844"/>
        <v>-5765</v>
      </c>
      <c r="AK857" s="36">
        <f t="shared" si="2844"/>
        <v>-5765</v>
      </c>
      <c r="AL857" s="36">
        <f t="shared" si="2844"/>
        <v>-5765</v>
      </c>
      <c r="AM857" s="36">
        <f t="shared" si="2844"/>
        <v>-5720</v>
      </c>
      <c r="AN857" s="36">
        <f t="shared" si="2844"/>
        <v>-3625</v>
      </c>
      <c r="AO857" s="36">
        <f t="shared" si="2844"/>
        <v>-3620</v>
      </c>
      <c r="AP857" s="36">
        <f t="shared" si="2844"/>
        <v>-3620</v>
      </c>
      <c r="AQ857" s="36">
        <f>-MROUND(AQ924, 5)</f>
        <v>-3620</v>
      </c>
      <c r="AR857" s="36">
        <f t="shared" si="2844"/>
        <v>-3620</v>
      </c>
      <c r="AS857" s="36">
        <f t="shared" si="2844"/>
        <v>-3560</v>
      </c>
      <c r="AT857" s="36">
        <f t="shared" si="2844"/>
        <v>-3415</v>
      </c>
      <c r="AU857" s="36">
        <f>-MROUND(AU924, 5)</f>
        <v>-3350</v>
      </c>
      <c r="AV857" s="36">
        <f t="shared" ref="AV857" si="2845">-MROUND(AV924, 5)</f>
        <v>-3350</v>
      </c>
      <c r="AW857" s="36">
        <f t="shared" si="2844"/>
        <v>-3185</v>
      </c>
      <c r="AX857" s="36">
        <f t="shared" ref="AX857" si="2846">-MROUND(AX924, 5)</f>
        <v>-4345</v>
      </c>
      <c r="AY857" s="36">
        <f>-MROUND(AY924, 5)</f>
        <v>-5330</v>
      </c>
      <c r="AZ857" s="36">
        <f t="shared" si="2844"/>
        <v>-5330</v>
      </c>
      <c r="BA857" s="36">
        <f t="shared" si="2844"/>
        <v>-5330</v>
      </c>
      <c r="BB857" s="36">
        <f>-MROUND(BB924, 5)</f>
        <v>-6830</v>
      </c>
      <c r="BC857" s="36">
        <f t="shared" si="2844"/>
        <v>-8080</v>
      </c>
      <c r="BD857" s="36">
        <f t="shared" si="2844"/>
        <v>-9080</v>
      </c>
      <c r="BE857" s="36">
        <f t="shared" si="2844"/>
        <v>-10580</v>
      </c>
      <c r="BF857" s="36">
        <f t="shared" si="2844"/>
        <v>-10580</v>
      </c>
      <c r="BG857" s="36">
        <f t="shared" si="2844"/>
        <v>-10580</v>
      </c>
      <c r="BH857" s="36">
        <f t="shared" si="2844"/>
        <v>-10580</v>
      </c>
      <c r="BI857" s="36">
        <f t="shared" si="2844"/>
        <v>-10580</v>
      </c>
      <c r="BJ857" s="36">
        <f t="shared" ref="BJ857:BZ857" si="2847">-MROUND(BJ924, 5)</f>
        <v>-10580</v>
      </c>
      <c r="BK857" s="36">
        <f t="shared" si="2847"/>
        <v>-10580</v>
      </c>
      <c r="BL857" s="36">
        <f t="shared" si="2847"/>
        <v>-10580</v>
      </c>
      <c r="BM857" s="36">
        <f t="shared" si="2847"/>
        <v>-10580</v>
      </c>
      <c r="BN857" s="36">
        <f t="shared" si="2847"/>
        <v>-10580</v>
      </c>
      <c r="BO857" s="36">
        <f t="shared" si="2847"/>
        <v>-10580</v>
      </c>
      <c r="BP857" s="36">
        <f t="shared" si="2847"/>
        <v>-10580</v>
      </c>
      <c r="BQ857" s="36">
        <f t="shared" si="2847"/>
        <v>-10580</v>
      </c>
      <c r="BR857" s="36">
        <f t="shared" si="2847"/>
        <v>-10580</v>
      </c>
      <c r="BS857" s="36">
        <f t="shared" si="2847"/>
        <v>-10580</v>
      </c>
      <c r="BT857" s="36">
        <f t="shared" si="2847"/>
        <v>-10580</v>
      </c>
      <c r="BU857" s="36">
        <f t="shared" si="2847"/>
        <v>-10580</v>
      </c>
      <c r="BV857" s="36">
        <f t="shared" si="2847"/>
        <v>-10580</v>
      </c>
      <c r="BW857" s="36">
        <f t="shared" si="2847"/>
        <v>-10580</v>
      </c>
      <c r="BX857" s="36">
        <f t="shared" si="2847"/>
        <v>-10580</v>
      </c>
      <c r="BY857" s="36">
        <f t="shared" si="2847"/>
        <v>-10580</v>
      </c>
      <c r="BZ857" s="36">
        <f t="shared" si="2847"/>
        <v>-10580</v>
      </c>
    </row>
    <row r="858" spans="1:78">
      <c r="A858" s="1" t="s">
        <v>1309</v>
      </c>
      <c r="AD858" s="36">
        <f t="shared" ref="AD858:BI858" si="2848">AD842</f>
        <v>-1470</v>
      </c>
      <c r="AE858" s="36">
        <f t="shared" si="2848"/>
        <v>-2775</v>
      </c>
      <c r="AF858" s="36">
        <f t="shared" si="2848"/>
        <v>-2205</v>
      </c>
      <c r="AG858" s="36">
        <f t="shared" si="2848"/>
        <v>-2205</v>
      </c>
      <c r="AH858" s="36">
        <f t="shared" si="2848"/>
        <v>-680</v>
      </c>
      <c r="AI858" s="36">
        <f t="shared" si="2848"/>
        <v>0</v>
      </c>
      <c r="AJ858" s="36">
        <f t="shared" si="2848"/>
        <v>0</v>
      </c>
      <c r="AK858" s="36">
        <f t="shared" si="2848"/>
        <v>0</v>
      </c>
      <c r="AL858" s="36">
        <f t="shared" si="2848"/>
        <v>0</v>
      </c>
      <c r="AM858" s="36">
        <f t="shared" si="2848"/>
        <v>0</v>
      </c>
      <c r="AN858" s="36">
        <f t="shared" si="2848"/>
        <v>0</v>
      </c>
      <c r="AO858" s="36">
        <f t="shared" si="2848"/>
        <v>0</v>
      </c>
      <c r="AP858" s="36">
        <f t="shared" si="2848"/>
        <v>0</v>
      </c>
      <c r="AQ858" s="36">
        <f t="shared" si="2848"/>
        <v>0</v>
      </c>
      <c r="AR858" s="36">
        <f t="shared" si="2848"/>
        <v>0</v>
      </c>
      <c r="AS858" s="36">
        <f t="shared" si="2848"/>
        <v>0</v>
      </c>
      <c r="AT858" s="36">
        <f t="shared" si="2848"/>
        <v>0</v>
      </c>
      <c r="AU858" s="36">
        <f t="shared" ref="AU858:AV858" si="2849">AU842</f>
        <v>0</v>
      </c>
      <c r="AV858" s="36">
        <f t="shared" si="2849"/>
        <v>0</v>
      </c>
      <c r="AW858" s="36">
        <f t="shared" si="2848"/>
        <v>0</v>
      </c>
      <c r="AX858" s="36">
        <f t="shared" ref="AX858" si="2850">AX842</f>
        <v>0</v>
      </c>
      <c r="AY858" s="36">
        <f t="shared" si="2848"/>
        <v>0</v>
      </c>
      <c r="AZ858" s="36">
        <f t="shared" si="2848"/>
        <v>0</v>
      </c>
      <c r="BA858" s="36">
        <f t="shared" si="2848"/>
        <v>0</v>
      </c>
      <c r="BB858" s="36">
        <f t="shared" si="2848"/>
        <v>0</v>
      </c>
      <c r="BC858" s="36">
        <f t="shared" si="2848"/>
        <v>0</v>
      </c>
      <c r="BD858" s="36">
        <f t="shared" si="2848"/>
        <v>0</v>
      </c>
      <c r="BE858" s="36">
        <f t="shared" si="2848"/>
        <v>0</v>
      </c>
      <c r="BF858" s="36">
        <f t="shared" si="2848"/>
        <v>0</v>
      </c>
      <c r="BG858" s="36">
        <f t="shared" si="2848"/>
        <v>0</v>
      </c>
      <c r="BH858" s="36">
        <f t="shared" si="2848"/>
        <v>0</v>
      </c>
      <c r="BI858" s="36">
        <f t="shared" si="2848"/>
        <v>0</v>
      </c>
      <c r="BJ858" s="36">
        <f t="shared" ref="BJ858:BZ858" si="2851">BJ842</f>
        <v>0</v>
      </c>
      <c r="BK858" s="36">
        <f t="shared" si="2851"/>
        <v>0</v>
      </c>
      <c r="BL858" s="36">
        <f t="shared" si="2851"/>
        <v>0</v>
      </c>
      <c r="BM858" s="36">
        <f t="shared" si="2851"/>
        <v>0</v>
      </c>
      <c r="BN858" s="36">
        <f t="shared" si="2851"/>
        <v>0</v>
      </c>
      <c r="BO858" s="36">
        <f t="shared" si="2851"/>
        <v>0</v>
      </c>
      <c r="BP858" s="36">
        <f t="shared" si="2851"/>
        <v>0</v>
      </c>
      <c r="BQ858" s="36">
        <f t="shared" si="2851"/>
        <v>0</v>
      </c>
      <c r="BR858" s="36">
        <f t="shared" si="2851"/>
        <v>0</v>
      </c>
      <c r="BS858" s="36">
        <f t="shared" si="2851"/>
        <v>0</v>
      </c>
      <c r="BT858" s="36">
        <f t="shared" si="2851"/>
        <v>0</v>
      </c>
      <c r="BU858" s="36">
        <f t="shared" si="2851"/>
        <v>0</v>
      </c>
      <c r="BV858" s="36">
        <f t="shared" si="2851"/>
        <v>0</v>
      </c>
      <c r="BW858" s="36">
        <f t="shared" si="2851"/>
        <v>0</v>
      </c>
      <c r="BX858" s="36">
        <f t="shared" si="2851"/>
        <v>0</v>
      </c>
      <c r="BY858" s="36">
        <f t="shared" si="2851"/>
        <v>0</v>
      </c>
      <c r="BZ858" s="36">
        <f t="shared" si="2851"/>
        <v>0</v>
      </c>
    </row>
    <row r="859" spans="1:78">
      <c r="A859" s="9" t="s">
        <v>1310</v>
      </c>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39">
        <f t="shared" ref="AD859:BI859" si="2852">SUM(AD856:AD858)</f>
        <v>34530</v>
      </c>
      <c r="AE859" s="39">
        <f t="shared" si="2852"/>
        <v>39380</v>
      </c>
      <c r="AF859" s="39">
        <f t="shared" si="2852"/>
        <v>37820</v>
      </c>
      <c r="AG859" s="39">
        <f t="shared" si="2852"/>
        <v>37820</v>
      </c>
      <c r="AH859" s="39">
        <f t="shared" si="2852"/>
        <v>30720</v>
      </c>
      <c r="AI859" s="39">
        <f t="shared" si="2852"/>
        <v>26930</v>
      </c>
      <c r="AJ859" s="39">
        <f t="shared" si="2852"/>
        <v>24935</v>
      </c>
      <c r="AK859" s="39">
        <f t="shared" si="2852"/>
        <v>23735</v>
      </c>
      <c r="AL859" s="39">
        <f t="shared" si="2852"/>
        <v>23735</v>
      </c>
      <c r="AM859" s="39">
        <f t="shared" si="2852"/>
        <v>24680</v>
      </c>
      <c r="AN859" s="39">
        <f t="shared" si="2852"/>
        <v>24875</v>
      </c>
      <c r="AO859" s="39">
        <f t="shared" si="2852"/>
        <v>26480</v>
      </c>
      <c r="AP859" s="39">
        <f t="shared" si="2852"/>
        <v>26280</v>
      </c>
      <c r="AQ859" s="39">
        <f t="shared" si="2852"/>
        <v>26280</v>
      </c>
      <c r="AR859" s="39">
        <f t="shared" si="2852"/>
        <v>24180</v>
      </c>
      <c r="AS859" s="39">
        <f t="shared" si="2852"/>
        <v>25640</v>
      </c>
      <c r="AT859" s="39">
        <f t="shared" si="2852"/>
        <v>25685</v>
      </c>
      <c r="AU859" s="39">
        <f t="shared" ref="AU859:AV859" si="2853">SUM(AU856:AU858)</f>
        <v>28950</v>
      </c>
      <c r="AV859" s="39">
        <f t="shared" si="2853"/>
        <v>28950</v>
      </c>
      <c r="AW859" s="39">
        <f t="shared" si="2852"/>
        <v>37815</v>
      </c>
      <c r="AX859" s="39">
        <f t="shared" ref="AX859" si="2854">SUM(AX856:AX858)</f>
        <v>44355</v>
      </c>
      <c r="AY859" s="39">
        <f t="shared" si="2852"/>
        <v>81070</v>
      </c>
      <c r="AZ859" s="39">
        <f t="shared" si="2852"/>
        <v>80760</v>
      </c>
      <c r="BA859" s="39">
        <f t="shared" si="2852"/>
        <v>80760</v>
      </c>
      <c r="BB859" s="39">
        <f t="shared" si="2852"/>
        <v>109575</v>
      </c>
      <c r="BC859" s="39">
        <f t="shared" si="2852"/>
        <v>119390</v>
      </c>
      <c r="BD859" s="39">
        <f t="shared" si="2852"/>
        <v>129350</v>
      </c>
      <c r="BE859" s="39">
        <f t="shared" si="2852"/>
        <v>126790</v>
      </c>
      <c r="BF859" s="39">
        <f t="shared" si="2852"/>
        <v>126790</v>
      </c>
      <c r="BG859" s="39">
        <f t="shared" si="2852"/>
        <v>125450</v>
      </c>
      <c r="BH859" s="39">
        <f t="shared" si="2852"/>
        <v>123990</v>
      </c>
      <c r="BI859" s="39">
        <f t="shared" si="2852"/>
        <v>122395</v>
      </c>
      <c r="BJ859" s="39">
        <f t="shared" ref="BJ859:BZ859" si="2855">SUM(BJ856:BJ858)</f>
        <v>120660</v>
      </c>
      <c r="BK859" s="39">
        <f t="shared" si="2855"/>
        <v>120660</v>
      </c>
      <c r="BL859" s="39">
        <f t="shared" si="2855"/>
        <v>117025</v>
      </c>
      <c r="BM859" s="39">
        <f t="shared" si="2855"/>
        <v>113210</v>
      </c>
      <c r="BN859" s="39">
        <f t="shared" si="2855"/>
        <v>109200</v>
      </c>
      <c r="BO859" s="39">
        <f t="shared" si="2855"/>
        <v>104985</v>
      </c>
      <c r="BP859" s="39">
        <f t="shared" si="2855"/>
        <v>104985</v>
      </c>
      <c r="BQ859" s="39">
        <f t="shared" si="2855"/>
        <v>98605</v>
      </c>
      <c r="BR859" s="39">
        <f t="shared" si="2855"/>
        <v>92050</v>
      </c>
      <c r="BS859" s="39">
        <f t="shared" si="2855"/>
        <v>85320</v>
      </c>
      <c r="BT859" s="39">
        <f t="shared" si="2855"/>
        <v>78405</v>
      </c>
      <c r="BU859" s="39">
        <f t="shared" si="2855"/>
        <v>78405</v>
      </c>
      <c r="BV859" s="39">
        <f t="shared" si="2855"/>
        <v>71305</v>
      </c>
      <c r="BW859" s="39">
        <f t="shared" si="2855"/>
        <v>64020</v>
      </c>
      <c r="BX859" s="39">
        <f t="shared" si="2855"/>
        <v>56545</v>
      </c>
      <c r="BY859" s="39">
        <f t="shared" si="2855"/>
        <v>48875</v>
      </c>
      <c r="BZ859" s="39">
        <f t="shared" si="2855"/>
        <v>48875</v>
      </c>
    </row>
    <row r="861" spans="1:78">
      <c r="A861" s="1" t="s">
        <v>1311</v>
      </c>
      <c r="AD861" s="36">
        <f t="shared" ref="AD861:AL861" si="2856">MROUND(AD853, 5)</f>
        <v>1470</v>
      </c>
      <c r="AE861" s="36">
        <f t="shared" si="2856"/>
        <v>2780</v>
      </c>
      <c r="AF861" s="36">
        <f t="shared" si="2856"/>
        <v>2800</v>
      </c>
      <c r="AG861" s="36">
        <f t="shared" si="2856"/>
        <v>2800</v>
      </c>
      <c r="AH861" s="36">
        <f t="shared" si="2856"/>
        <v>2820</v>
      </c>
      <c r="AI861" s="36">
        <f t="shared" si="2856"/>
        <v>2840</v>
      </c>
      <c r="AJ861" s="36">
        <f t="shared" si="2856"/>
        <v>2860</v>
      </c>
      <c r="AK861" s="36">
        <f t="shared" si="2856"/>
        <v>2880</v>
      </c>
      <c r="AL861" s="36">
        <f t="shared" si="2856"/>
        <v>2880</v>
      </c>
      <c r="AM861" s="36">
        <f t="shared" ref="AM861:BZ861" si="2857">MROUND(AM853, 5)</f>
        <v>2905</v>
      </c>
      <c r="AN861" s="36">
        <f t="shared" si="2857"/>
        <v>2925</v>
      </c>
      <c r="AO861" s="36">
        <f t="shared" si="2857"/>
        <v>2945</v>
      </c>
      <c r="AP861" s="36">
        <f t="shared" si="2857"/>
        <v>2965</v>
      </c>
      <c r="AQ861" s="36">
        <f t="shared" si="2857"/>
        <v>2965</v>
      </c>
      <c r="AR861" s="36">
        <f t="shared" si="2857"/>
        <v>2985</v>
      </c>
      <c r="AS861" s="36">
        <f t="shared" si="2857"/>
        <v>3005</v>
      </c>
      <c r="AT861" s="36">
        <f t="shared" si="2857"/>
        <v>3025</v>
      </c>
      <c r="AU861" s="36">
        <f t="shared" ref="AU861:AV861" si="2858">MROUND(AU853, 5)</f>
        <v>3050</v>
      </c>
      <c r="AV861" s="36">
        <f t="shared" si="2858"/>
        <v>3050</v>
      </c>
      <c r="AW861" s="36">
        <f t="shared" si="2857"/>
        <v>3070</v>
      </c>
      <c r="AX861" s="36">
        <f t="shared" ref="AX861" si="2859">MROUND(AX853, 5)</f>
        <v>3090</v>
      </c>
      <c r="AY861" s="36">
        <f t="shared" si="2857"/>
        <v>3110</v>
      </c>
      <c r="AZ861" s="36">
        <f t="shared" si="2857"/>
        <v>3130</v>
      </c>
      <c r="BA861" s="36">
        <f t="shared" si="2857"/>
        <v>3130</v>
      </c>
      <c r="BB861" s="36">
        <f t="shared" si="2857"/>
        <v>3150</v>
      </c>
      <c r="BC861" s="36">
        <f t="shared" si="2857"/>
        <v>3170</v>
      </c>
      <c r="BD861" s="36">
        <f t="shared" si="2857"/>
        <v>3190</v>
      </c>
      <c r="BE861" s="36">
        <f t="shared" si="2857"/>
        <v>3210</v>
      </c>
      <c r="BF861" s="36">
        <f t="shared" si="2857"/>
        <v>3210</v>
      </c>
      <c r="BG861" s="36">
        <f t="shared" si="2857"/>
        <v>3235</v>
      </c>
      <c r="BH861" s="36">
        <f t="shared" si="2857"/>
        <v>3250</v>
      </c>
      <c r="BI861" s="36">
        <f t="shared" si="2857"/>
        <v>3275</v>
      </c>
      <c r="BJ861" s="36">
        <f t="shared" si="2857"/>
        <v>3295</v>
      </c>
      <c r="BK861" s="36">
        <f t="shared" si="2857"/>
        <v>3295</v>
      </c>
      <c r="BL861" s="36">
        <f t="shared" si="2857"/>
        <v>3315</v>
      </c>
      <c r="BM861" s="36">
        <f t="shared" si="2857"/>
        <v>3335</v>
      </c>
      <c r="BN861" s="36">
        <f t="shared" si="2857"/>
        <v>3355</v>
      </c>
      <c r="BO861" s="36">
        <f t="shared" si="2857"/>
        <v>3375</v>
      </c>
      <c r="BP861" s="36">
        <f t="shared" si="2857"/>
        <v>3375</v>
      </c>
      <c r="BQ861" s="36">
        <f t="shared" si="2857"/>
        <v>3395</v>
      </c>
      <c r="BR861" s="36">
        <f t="shared" si="2857"/>
        <v>3415</v>
      </c>
      <c r="BS861" s="36">
        <f t="shared" si="2857"/>
        <v>3435</v>
      </c>
      <c r="BT861" s="36">
        <f t="shared" si="2857"/>
        <v>3460</v>
      </c>
      <c r="BU861" s="36">
        <f t="shared" si="2857"/>
        <v>3460</v>
      </c>
      <c r="BV861" s="36">
        <f t="shared" si="2857"/>
        <v>3480</v>
      </c>
      <c r="BW861" s="36">
        <f t="shared" si="2857"/>
        <v>3500</v>
      </c>
      <c r="BX861" s="36">
        <f t="shared" si="2857"/>
        <v>3520</v>
      </c>
      <c r="BY861" s="36">
        <f t="shared" si="2857"/>
        <v>3540</v>
      </c>
      <c r="BZ861" s="36">
        <f t="shared" si="2857"/>
        <v>3540</v>
      </c>
    </row>
    <row r="862" spans="1:78">
      <c r="A862" s="357" t="s">
        <v>1357</v>
      </c>
      <c r="B862" s="357"/>
      <c r="C862" s="357"/>
      <c r="D862" s="357"/>
      <c r="E862" s="357"/>
      <c r="F862" s="357"/>
      <c r="G862" s="357"/>
      <c r="H862" s="357"/>
      <c r="I862" s="357"/>
      <c r="J862" s="357"/>
      <c r="K862" s="357"/>
      <c r="L862" s="357"/>
      <c r="M862" s="357"/>
      <c r="N862" s="357"/>
      <c r="O862" s="357"/>
      <c r="P862" s="357"/>
      <c r="Q862" s="357"/>
      <c r="R862" s="357"/>
      <c r="S862" s="357"/>
      <c r="T862" s="357"/>
      <c r="U862" s="357"/>
      <c r="V862" s="357"/>
      <c r="W862" s="357"/>
      <c r="X862" s="357"/>
      <c r="Y862" s="357"/>
      <c r="Z862" s="357"/>
      <c r="AA862" s="357"/>
      <c r="AB862" s="357"/>
      <c r="AC862" s="357"/>
      <c r="AD862" s="331">
        <f t="shared" ref="AD862:BI862" si="2860">AD859+AD861</f>
        <v>36000</v>
      </c>
      <c r="AE862" s="331">
        <f t="shared" si="2860"/>
        <v>42160</v>
      </c>
      <c r="AF862" s="331">
        <f t="shared" si="2860"/>
        <v>40620</v>
      </c>
      <c r="AG862" s="331">
        <f t="shared" si="2860"/>
        <v>40620</v>
      </c>
      <c r="AH862" s="331">
        <f t="shared" si="2860"/>
        <v>33540</v>
      </c>
      <c r="AI862" s="331">
        <f t="shared" si="2860"/>
        <v>29770</v>
      </c>
      <c r="AJ862" s="331">
        <f t="shared" si="2860"/>
        <v>27795</v>
      </c>
      <c r="AK862" s="331">
        <f t="shared" si="2860"/>
        <v>26615</v>
      </c>
      <c r="AL862" s="331">
        <f t="shared" si="2860"/>
        <v>26615</v>
      </c>
      <c r="AM862" s="331">
        <f t="shared" si="2860"/>
        <v>27585</v>
      </c>
      <c r="AN862" s="331">
        <f t="shared" si="2860"/>
        <v>27800</v>
      </c>
      <c r="AO862" s="331">
        <f t="shared" si="2860"/>
        <v>29425</v>
      </c>
      <c r="AP862" s="331">
        <f t="shared" si="2860"/>
        <v>29245</v>
      </c>
      <c r="AQ862" s="331">
        <f t="shared" si="2860"/>
        <v>29245</v>
      </c>
      <c r="AR862" s="331">
        <f t="shared" si="2860"/>
        <v>27165</v>
      </c>
      <c r="AS862" s="331">
        <f t="shared" si="2860"/>
        <v>28645</v>
      </c>
      <c r="AT862" s="331">
        <f t="shared" si="2860"/>
        <v>28710</v>
      </c>
      <c r="AU862" s="331">
        <f t="shared" ref="AU862:AV862" si="2861">AU859+AU861</f>
        <v>32000</v>
      </c>
      <c r="AV862" s="331">
        <f t="shared" si="2861"/>
        <v>32000</v>
      </c>
      <c r="AW862" s="331">
        <f t="shared" si="2860"/>
        <v>40885</v>
      </c>
      <c r="AX862" s="331">
        <f t="shared" ref="AX862" si="2862">AX859+AX861</f>
        <v>47445</v>
      </c>
      <c r="AY862" s="331">
        <f t="shared" si="2860"/>
        <v>84180</v>
      </c>
      <c r="AZ862" s="331">
        <f t="shared" si="2860"/>
        <v>83890</v>
      </c>
      <c r="BA862" s="331">
        <f t="shared" si="2860"/>
        <v>83890</v>
      </c>
      <c r="BB862" s="331">
        <f t="shared" si="2860"/>
        <v>112725</v>
      </c>
      <c r="BC862" s="331">
        <f t="shared" si="2860"/>
        <v>122560</v>
      </c>
      <c r="BD862" s="331">
        <f t="shared" si="2860"/>
        <v>132540</v>
      </c>
      <c r="BE862" s="331">
        <f t="shared" si="2860"/>
        <v>130000</v>
      </c>
      <c r="BF862" s="331">
        <f t="shared" si="2860"/>
        <v>130000</v>
      </c>
      <c r="BG862" s="331">
        <f t="shared" si="2860"/>
        <v>128685</v>
      </c>
      <c r="BH862" s="331">
        <f t="shared" si="2860"/>
        <v>127240</v>
      </c>
      <c r="BI862" s="331">
        <f t="shared" si="2860"/>
        <v>125670</v>
      </c>
      <c r="BJ862" s="331">
        <f t="shared" ref="BJ862:BZ862" si="2863">BJ859+BJ861</f>
        <v>123955</v>
      </c>
      <c r="BK862" s="331">
        <f t="shared" si="2863"/>
        <v>123955</v>
      </c>
      <c r="BL862" s="331">
        <f t="shared" si="2863"/>
        <v>120340</v>
      </c>
      <c r="BM862" s="331">
        <f t="shared" si="2863"/>
        <v>116545</v>
      </c>
      <c r="BN862" s="331">
        <f t="shared" si="2863"/>
        <v>112555</v>
      </c>
      <c r="BO862" s="331">
        <f t="shared" si="2863"/>
        <v>108360</v>
      </c>
      <c r="BP862" s="331">
        <f t="shared" si="2863"/>
        <v>108360</v>
      </c>
      <c r="BQ862" s="331">
        <f t="shared" si="2863"/>
        <v>102000</v>
      </c>
      <c r="BR862" s="331">
        <f t="shared" si="2863"/>
        <v>95465</v>
      </c>
      <c r="BS862" s="331">
        <f t="shared" si="2863"/>
        <v>88755</v>
      </c>
      <c r="BT862" s="331">
        <f t="shared" si="2863"/>
        <v>81865</v>
      </c>
      <c r="BU862" s="331">
        <f t="shared" si="2863"/>
        <v>81865</v>
      </c>
      <c r="BV862" s="331">
        <f t="shared" si="2863"/>
        <v>74785</v>
      </c>
      <c r="BW862" s="331">
        <f t="shared" si="2863"/>
        <v>67520</v>
      </c>
      <c r="BX862" s="331">
        <f t="shared" si="2863"/>
        <v>60065</v>
      </c>
      <c r="BY862" s="331">
        <f t="shared" si="2863"/>
        <v>52415</v>
      </c>
      <c r="BZ862" s="331">
        <f t="shared" si="2863"/>
        <v>52415</v>
      </c>
    </row>
    <row r="863" spans="1:78">
      <c r="AD863" s="36"/>
      <c r="AE863" s="36"/>
      <c r="AF863" s="36"/>
      <c r="AG863" s="36"/>
      <c r="AH863" s="36"/>
      <c r="AI863" s="36"/>
      <c r="AJ863" s="36"/>
      <c r="AK863" s="36"/>
      <c r="AL863" s="36"/>
      <c r="AM863" s="36"/>
      <c r="AN863" s="36"/>
      <c r="AO863" s="36"/>
      <c r="AP863" s="36"/>
      <c r="AQ863" s="36"/>
      <c r="AR863" s="36"/>
      <c r="AS863" s="36"/>
      <c r="AT863" s="36"/>
      <c r="AU863" s="36"/>
      <c r="AV863" s="36"/>
      <c r="AW863" s="36"/>
      <c r="AX863" s="947" t="s">
        <v>3197</v>
      </c>
      <c r="AY863" s="624"/>
      <c r="AZ863" s="624"/>
      <c r="BA863" s="624"/>
      <c r="BB863" s="624"/>
      <c r="BC863" s="624"/>
      <c r="BD863" s="624"/>
      <c r="BE863" s="36"/>
      <c r="BF863" s="36"/>
      <c r="BG863" s="36"/>
      <c r="BH863" s="36"/>
      <c r="BI863" s="36"/>
      <c r="BJ863" s="36"/>
      <c r="BK863" s="36"/>
      <c r="BL863" s="36"/>
      <c r="BM863" s="36"/>
      <c r="BN863" s="36"/>
      <c r="BO863" s="36"/>
      <c r="BP863" s="36"/>
      <c r="BQ863" s="36"/>
      <c r="BR863" s="36"/>
      <c r="BS863" s="36"/>
      <c r="BT863" s="36"/>
      <c r="BU863" s="36"/>
      <c r="BV863" s="36"/>
      <c r="BW863" s="36"/>
      <c r="BX863" s="36"/>
      <c r="BY863" s="36"/>
      <c r="BZ863" s="36"/>
    </row>
    <row r="864" spans="1:78">
      <c r="A864" s="1" t="s">
        <v>276</v>
      </c>
      <c r="AD864" s="36">
        <f t="shared" ref="AD864:AO864" si="2864">AD865-AD862</f>
        <v>95</v>
      </c>
      <c r="AE864" s="36">
        <f t="shared" si="2864"/>
        <v>-165</v>
      </c>
      <c r="AF864" s="36">
        <f t="shared" si="2864"/>
        <v>-95</v>
      </c>
      <c r="AG864" s="36">
        <f t="shared" si="2864"/>
        <v>-95</v>
      </c>
      <c r="AH864" s="36">
        <f t="shared" si="2864"/>
        <v>-615</v>
      </c>
      <c r="AI864" s="36">
        <f t="shared" si="2864"/>
        <v>-835</v>
      </c>
      <c r="AJ864" s="36">
        <f t="shared" si="2864"/>
        <v>165</v>
      </c>
      <c r="AK864" s="36">
        <f t="shared" si="2864"/>
        <v>-255</v>
      </c>
      <c r="AL864" s="36">
        <f t="shared" si="2864"/>
        <v>-255</v>
      </c>
      <c r="AM864" s="36">
        <f t="shared" si="2864"/>
        <v>280</v>
      </c>
      <c r="AN864" s="36">
        <f t="shared" si="2864"/>
        <v>-1795</v>
      </c>
      <c r="AO864" s="36">
        <f t="shared" si="2864"/>
        <v>-235</v>
      </c>
      <c r="AP864" s="36">
        <f t="shared" ref="AP864:AT864" si="2865">AP865-AP862</f>
        <v>-55</v>
      </c>
      <c r="AQ864" s="36">
        <f t="shared" si="2865"/>
        <v>-55</v>
      </c>
      <c r="AR864" s="36">
        <f t="shared" si="2865"/>
        <v>-220</v>
      </c>
      <c r="AS864" s="36">
        <f t="shared" si="2865"/>
        <v>-340</v>
      </c>
      <c r="AT864" s="36">
        <f t="shared" si="2865"/>
        <v>-135</v>
      </c>
      <c r="AU864" s="36">
        <f t="shared" ref="AU864:AX864" si="2866">AU865-AU862</f>
        <v>-100</v>
      </c>
      <c r="AV864" s="36">
        <f t="shared" si="2866"/>
        <v>-100</v>
      </c>
      <c r="AW864" s="36">
        <f t="shared" si="2866"/>
        <v>-420</v>
      </c>
      <c r="AX864" s="624">
        <f t="shared" si="2866"/>
        <v>8035</v>
      </c>
      <c r="AY864" s="970">
        <v>-500</v>
      </c>
      <c r="AZ864" s="56">
        <f t="shared" ref="AZ864:BZ864" si="2867">AY864</f>
        <v>-500</v>
      </c>
      <c r="BA864" s="56">
        <f t="shared" si="2867"/>
        <v>-500</v>
      </c>
      <c r="BB864" s="56">
        <f t="shared" si="2867"/>
        <v>-500</v>
      </c>
      <c r="BC864" s="56">
        <f t="shared" si="2867"/>
        <v>-500</v>
      </c>
      <c r="BD864" s="56">
        <f t="shared" si="2867"/>
        <v>-500</v>
      </c>
      <c r="BE864" s="56">
        <f t="shared" si="2867"/>
        <v>-500</v>
      </c>
      <c r="BF864" s="56">
        <f t="shared" si="2867"/>
        <v>-500</v>
      </c>
      <c r="BG864" s="56">
        <f t="shared" si="2867"/>
        <v>-500</v>
      </c>
      <c r="BH864" s="56">
        <f t="shared" si="2867"/>
        <v>-500</v>
      </c>
      <c r="BI864" s="56">
        <f t="shared" si="2867"/>
        <v>-500</v>
      </c>
      <c r="BJ864" s="56">
        <f t="shared" si="2867"/>
        <v>-500</v>
      </c>
      <c r="BK864" s="56">
        <f t="shared" si="2867"/>
        <v>-500</v>
      </c>
      <c r="BL864" s="56">
        <f t="shared" si="2867"/>
        <v>-500</v>
      </c>
      <c r="BM864" s="56">
        <f t="shared" si="2867"/>
        <v>-500</v>
      </c>
      <c r="BN864" s="56">
        <f t="shared" si="2867"/>
        <v>-500</v>
      </c>
      <c r="BO864" s="56">
        <f t="shared" si="2867"/>
        <v>-500</v>
      </c>
      <c r="BP864" s="56">
        <f t="shared" si="2867"/>
        <v>-500</v>
      </c>
      <c r="BQ864" s="56">
        <f t="shared" si="2867"/>
        <v>-500</v>
      </c>
      <c r="BR864" s="56">
        <f t="shared" si="2867"/>
        <v>-500</v>
      </c>
      <c r="BS864" s="56">
        <f t="shared" si="2867"/>
        <v>-500</v>
      </c>
      <c r="BT864" s="56">
        <f t="shared" si="2867"/>
        <v>-500</v>
      </c>
      <c r="BU864" s="56">
        <f t="shared" si="2867"/>
        <v>-500</v>
      </c>
      <c r="BV864" s="56">
        <f t="shared" si="2867"/>
        <v>-500</v>
      </c>
      <c r="BW864" s="56">
        <f t="shared" si="2867"/>
        <v>-500</v>
      </c>
      <c r="BX864" s="56">
        <f t="shared" si="2867"/>
        <v>-500</v>
      </c>
      <c r="BY864" s="56">
        <f t="shared" si="2867"/>
        <v>-500</v>
      </c>
      <c r="BZ864" s="56">
        <f t="shared" si="2867"/>
        <v>-500</v>
      </c>
    </row>
    <row r="865" spans="1:78">
      <c r="A865" s="357" t="s">
        <v>1359</v>
      </c>
      <c r="B865" s="357"/>
      <c r="C865" s="357"/>
      <c r="D865" s="357"/>
      <c r="E865" s="357"/>
      <c r="F865" s="357"/>
      <c r="G865" s="357"/>
      <c r="H865" s="357"/>
      <c r="I865" s="357"/>
      <c r="J865" s="357"/>
      <c r="K865" s="357"/>
      <c r="L865" s="357"/>
      <c r="M865" s="357"/>
      <c r="N865" s="357"/>
      <c r="O865" s="357"/>
      <c r="P865" s="357"/>
      <c r="Q865" s="357"/>
      <c r="R865" s="357"/>
      <c r="S865" s="357"/>
      <c r="T865" s="357"/>
      <c r="U865" s="357"/>
      <c r="V865" s="357"/>
      <c r="W865" s="357"/>
      <c r="X865" s="357"/>
      <c r="Y865" s="357"/>
      <c r="Z865" s="357"/>
      <c r="AA865" s="357"/>
      <c r="AB865" s="357"/>
      <c r="AC865" s="357"/>
      <c r="AD865" s="331">
        <f>MROUND('Valuation &amp; SBG NAV'!AS59*1000, 5)</f>
        <v>36095</v>
      </c>
      <c r="AE865" s="331">
        <f>MROUND('Valuation &amp; SBG NAV'!AT59*1000, 5)</f>
        <v>41995</v>
      </c>
      <c r="AF865" s="331">
        <f>MROUND('Valuation &amp; SBG NAV'!AU59*1000, 5)</f>
        <v>40525</v>
      </c>
      <c r="AG865" s="331">
        <f>MROUND('Valuation &amp; SBG NAV'!AV59*1000, 5)</f>
        <v>40525</v>
      </c>
      <c r="AH865" s="331">
        <f>MROUND('Valuation &amp; SBG NAV'!AW59*1000, 5)</f>
        <v>32925</v>
      </c>
      <c r="AI865" s="331">
        <f>MROUND('Valuation &amp; SBG NAV'!AX59*1000, 5)</f>
        <v>28935</v>
      </c>
      <c r="AJ865" s="331">
        <f>MROUND('Valuation &amp; SBG NAV'!AY59*1000, 5)</f>
        <v>27960</v>
      </c>
      <c r="AK865" s="331">
        <f>MROUND('Valuation &amp; SBG NAV'!AZ59*1000, 5)</f>
        <v>26360</v>
      </c>
      <c r="AL865" s="331">
        <f>MROUND('Valuation &amp; SBG NAV'!BA59*1000, 5)</f>
        <v>26360</v>
      </c>
      <c r="AM865" s="331">
        <f>MROUND('Valuation &amp; SBG NAV'!BB59*1000, 5)</f>
        <v>27865</v>
      </c>
      <c r="AN865" s="331">
        <f>MROUND('Valuation &amp; SBG NAV'!BC59*1000, 5)</f>
        <v>26005</v>
      </c>
      <c r="AO865" s="331">
        <f>MROUND('Valuation &amp; SBG NAV'!BD59*1000, 5)</f>
        <v>29190</v>
      </c>
      <c r="AP865" s="331">
        <f>MROUND('Valuation &amp; SBG NAV'!BE59*1000, 5)</f>
        <v>29190</v>
      </c>
      <c r="AQ865" s="331">
        <f>MROUND('Valuation &amp; SBG NAV'!BF59*1000, 5)</f>
        <v>29190</v>
      </c>
      <c r="AR865" s="331">
        <f>MROUND('Valuation &amp; SBG NAV'!BG59*1000, 5)</f>
        <v>26945</v>
      </c>
      <c r="AS865" s="331">
        <f>MROUND('Valuation &amp; SBG NAV'!BH59*1000, 5)</f>
        <v>28305</v>
      </c>
      <c r="AT865" s="331">
        <f>MROUND('Valuation &amp; SBG NAV'!BI59*1000, 5)</f>
        <v>28575</v>
      </c>
      <c r="AU865" s="331">
        <f>MROUND('Valuation &amp; SBG NAV'!BJ59*1000, 5)</f>
        <v>31900</v>
      </c>
      <c r="AV865" s="331">
        <f>MROUND('Valuation &amp; SBG NAV'!BK59*1000, 5)</f>
        <v>31900</v>
      </c>
      <c r="AW865" s="331">
        <f>MROUND('Valuation &amp; SBG NAV'!BL59*1000, 5)</f>
        <v>40465</v>
      </c>
      <c r="AX865" s="331">
        <f>MROUND('Valuation &amp; SBG NAV'!BM59*1000, 5)</f>
        <v>55480</v>
      </c>
      <c r="AY865" s="331">
        <f t="shared" ref="AY865:BZ865" si="2868">AY862+AY864</f>
        <v>83680</v>
      </c>
      <c r="AZ865" s="331">
        <f t="shared" si="2868"/>
        <v>83390</v>
      </c>
      <c r="BA865" s="331">
        <f t="shared" si="2868"/>
        <v>83390</v>
      </c>
      <c r="BB865" s="331">
        <f t="shared" si="2868"/>
        <v>112225</v>
      </c>
      <c r="BC865" s="331">
        <f t="shared" si="2868"/>
        <v>122060</v>
      </c>
      <c r="BD865" s="331">
        <f t="shared" si="2868"/>
        <v>132040</v>
      </c>
      <c r="BE865" s="331">
        <f t="shared" si="2868"/>
        <v>129500</v>
      </c>
      <c r="BF865" s="331">
        <f t="shared" si="2868"/>
        <v>129500</v>
      </c>
      <c r="BG865" s="331">
        <f t="shared" si="2868"/>
        <v>128185</v>
      </c>
      <c r="BH865" s="331">
        <f t="shared" si="2868"/>
        <v>126740</v>
      </c>
      <c r="BI865" s="331">
        <f t="shared" si="2868"/>
        <v>125170</v>
      </c>
      <c r="BJ865" s="331">
        <f t="shared" si="2868"/>
        <v>123455</v>
      </c>
      <c r="BK865" s="331">
        <f t="shared" si="2868"/>
        <v>123455</v>
      </c>
      <c r="BL865" s="331">
        <f t="shared" si="2868"/>
        <v>119840</v>
      </c>
      <c r="BM865" s="331">
        <f t="shared" si="2868"/>
        <v>116045</v>
      </c>
      <c r="BN865" s="331">
        <f t="shared" si="2868"/>
        <v>112055</v>
      </c>
      <c r="BO865" s="331">
        <f t="shared" si="2868"/>
        <v>107860</v>
      </c>
      <c r="BP865" s="331">
        <f t="shared" si="2868"/>
        <v>107860</v>
      </c>
      <c r="BQ865" s="331">
        <f t="shared" si="2868"/>
        <v>101500</v>
      </c>
      <c r="BR865" s="331">
        <f t="shared" si="2868"/>
        <v>94965</v>
      </c>
      <c r="BS865" s="331">
        <f t="shared" si="2868"/>
        <v>88255</v>
      </c>
      <c r="BT865" s="331">
        <f t="shared" si="2868"/>
        <v>81365</v>
      </c>
      <c r="BU865" s="331">
        <f t="shared" si="2868"/>
        <v>81365</v>
      </c>
      <c r="BV865" s="331">
        <f t="shared" si="2868"/>
        <v>74285</v>
      </c>
      <c r="BW865" s="331">
        <f t="shared" si="2868"/>
        <v>67020</v>
      </c>
      <c r="BX865" s="331">
        <f t="shared" si="2868"/>
        <v>59565</v>
      </c>
      <c r="BY865" s="331">
        <f t="shared" si="2868"/>
        <v>51915</v>
      </c>
      <c r="BZ865" s="331">
        <f t="shared" si="2868"/>
        <v>51915</v>
      </c>
    </row>
    <row r="866" spans="1:78">
      <c r="A866" s="25" t="s">
        <v>1312</v>
      </c>
      <c r="AY866" s="971" t="s">
        <v>3244</v>
      </c>
      <c r="AZ866" s="12"/>
      <c r="BA866" s="12"/>
      <c r="BB866" s="12"/>
      <c r="BC866" s="12"/>
      <c r="BD866" s="12"/>
      <c r="BE866" s="12"/>
    </row>
    <row r="867" spans="1:78" s="46" customFormat="1">
      <c r="A867" s="47" t="s">
        <v>495</v>
      </c>
      <c r="I867" s="144" t="s">
        <v>204</v>
      </c>
      <c r="T867" s="144" t="s">
        <v>225</v>
      </c>
    </row>
    <row r="868" spans="1:78">
      <c r="AD868" s="98" t="s">
        <v>576</v>
      </c>
      <c r="AE868" s="71"/>
      <c r="AF868" s="71"/>
      <c r="AG868" s="71"/>
      <c r="AH868" s="71"/>
      <c r="AI868" s="71"/>
    </row>
    <row r="869" spans="1:78">
      <c r="A869" s="5" t="s">
        <v>199</v>
      </c>
      <c r="Y869" s="37">
        <v>2800</v>
      </c>
      <c r="Z869" s="37">
        <v>4400</v>
      </c>
      <c r="AA869" s="37">
        <v>6800</v>
      </c>
      <c r="AB869" s="36">
        <f>AA869</f>
        <v>6800</v>
      </c>
      <c r="AC869" s="37">
        <v>20600</v>
      </c>
      <c r="AD869" s="70">
        <f>33900-900</f>
        <v>33000</v>
      </c>
      <c r="AE869" s="37">
        <f>43300-900</f>
        <v>42400</v>
      </c>
      <c r="AF869" s="37">
        <f>48200-900</f>
        <v>47300</v>
      </c>
      <c r="AG869" s="36">
        <f>AF869</f>
        <v>47300</v>
      </c>
      <c r="AH869" s="37">
        <f>49600-900</f>
        <v>48700</v>
      </c>
      <c r="AI869" s="37">
        <f>49800-900</f>
        <v>48900</v>
      </c>
      <c r="AJ869" s="37">
        <f>50700-900</f>
        <v>49800</v>
      </c>
      <c r="AK869" s="37">
        <f>50900-900</f>
        <v>50000</v>
      </c>
      <c r="AL869" s="36">
        <f>AK869</f>
        <v>50000</v>
      </c>
      <c r="AM869" s="37">
        <f>52700-900</f>
        <v>51800</v>
      </c>
      <c r="AN869" s="37">
        <f>55000-900</f>
        <v>54100</v>
      </c>
      <c r="AO869" s="37">
        <f>56700-900</f>
        <v>55800</v>
      </c>
      <c r="AP869" s="37">
        <f>57300-900</f>
        <v>56400</v>
      </c>
      <c r="AQ869" s="36">
        <f>AP869</f>
        <v>56400</v>
      </c>
      <c r="AR869" s="37">
        <f>57600-900</f>
        <v>56700</v>
      </c>
      <c r="AS869" s="37">
        <f>58300-900</f>
        <v>57400</v>
      </c>
      <c r="AT869" s="37">
        <f>59800-900</f>
        <v>58900</v>
      </c>
      <c r="AU869" s="37">
        <f>63900-900</f>
        <v>63000</v>
      </c>
      <c r="AV869" s="36">
        <f>AU869</f>
        <v>63000</v>
      </c>
      <c r="AW869" s="37">
        <f>64500-900</f>
        <v>63600</v>
      </c>
      <c r="AX869" s="37">
        <f>65800-900</f>
        <v>64900</v>
      </c>
      <c r="AY869" s="37">
        <f>90800-900</f>
        <v>89900</v>
      </c>
      <c r="AZ869" s="36">
        <f t="shared" ref="AZ869:AZ871" si="2869">AY869+AZ875</f>
        <v>89720.161764705888</v>
      </c>
      <c r="BA869" s="38">
        <f>AZ869</f>
        <v>89720.161764705888</v>
      </c>
      <c r="BB869" s="36">
        <f t="shared" ref="BB869:BE871" si="2870">BA869+BB875</f>
        <v>88825.161764705888</v>
      </c>
      <c r="BC869" s="36">
        <f t="shared" si="2870"/>
        <v>87805.161764705888</v>
      </c>
      <c r="BD869" s="36">
        <f t="shared" si="2870"/>
        <v>86660.161764705888</v>
      </c>
      <c r="BE869" s="36">
        <f t="shared" si="2870"/>
        <v>85470.161764705888</v>
      </c>
      <c r="BF869" s="38">
        <f>BE869</f>
        <v>85470.161764705888</v>
      </c>
      <c r="BG869" s="36">
        <f t="shared" ref="BG869:BJ871" si="2871">BF869+BG875</f>
        <v>82895.161764705888</v>
      </c>
      <c r="BH869" s="36">
        <f t="shared" si="2871"/>
        <v>80265.161764705888</v>
      </c>
      <c r="BI869" s="36">
        <f t="shared" si="2871"/>
        <v>77570.161764705888</v>
      </c>
      <c r="BJ869" s="36">
        <f t="shared" si="2871"/>
        <v>74805.161764705888</v>
      </c>
      <c r="BK869" s="38">
        <f>BJ869</f>
        <v>74805.161764705888</v>
      </c>
      <c r="BL869" s="36">
        <f t="shared" ref="BL869:BO871" si="2872">BK869+BL875</f>
        <v>70545.161764705888</v>
      </c>
      <c r="BM869" s="36">
        <f t="shared" si="2872"/>
        <v>66225.161764705888</v>
      </c>
      <c r="BN869" s="36">
        <f t="shared" si="2872"/>
        <v>61835.161764705888</v>
      </c>
      <c r="BO869" s="36">
        <f t="shared" si="2872"/>
        <v>57375.161764705888</v>
      </c>
      <c r="BP869" s="38">
        <f>BO869</f>
        <v>57375.161764705888</v>
      </c>
      <c r="BQ869" s="36">
        <f t="shared" ref="BQ869:BT871" si="2873">BP869+BQ875</f>
        <v>51325.161764705888</v>
      </c>
      <c r="BR869" s="36">
        <f t="shared" si="2873"/>
        <v>45270.161764705888</v>
      </c>
      <c r="BS869" s="36">
        <f t="shared" si="2873"/>
        <v>39210.161764705888</v>
      </c>
      <c r="BT869" s="36">
        <f t="shared" si="2873"/>
        <v>33140.161764705888</v>
      </c>
      <c r="BU869" s="38">
        <f>BT869</f>
        <v>33140.161764705888</v>
      </c>
      <c r="BV869" s="36">
        <f t="shared" ref="BV869:BY871" si="2874">BU869+BV875</f>
        <v>27065.161764705888</v>
      </c>
      <c r="BW869" s="36">
        <f t="shared" si="2874"/>
        <v>20985.161764705888</v>
      </c>
      <c r="BX869" s="36">
        <f t="shared" si="2874"/>
        <v>14900.161764705888</v>
      </c>
      <c r="BY869" s="36">
        <f t="shared" si="2874"/>
        <v>8810.1617647058883</v>
      </c>
      <c r="BZ869" s="38">
        <f>BY869</f>
        <v>8810.1617647058883</v>
      </c>
    </row>
    <row r="870" spans="1:78">
      <c r="A870" s="5" t="s">
        <v>200</v>
      </c>
      <c r="Y870" s="36">
        <f>Y872-Y869</f>
        <v>2200</v>
      </c>
      <c r="Z870" s="36">
        <f>Z872-Z869</f>
        <v>5600</v>
      </c>
      <c r="AA870" s="36">
        <f>AA872-AA869</f>
        <v>13200</v>
      </c>
      <c r="AB870" s="36">
        <f>AA870</f>
        <v>13200</v>
      </c>
      <c r="AC870" s="37">
        <v>18500</v>
      </c>
      <c r="AD870" s="37">
        <v>8100</v>
      </c>
      <c r="AE870" s="37">
        <v>7700</v>
      </c>
      <c r="AF870" s="37">
        <v>7800</v>
      </c>
      <c r="AG870" s="36">
        <f>AF870</f>
        <v>7800</v>
      </c>
      <c r="AH870" s="37">
        <v>6400</v>
      </c>
      <c r="AI870" s="37">
        <v>6200</v>
      </c>
      <c r="AJ870" s="37">
        <v>5300</v>
      </c>
      <c r="AK870" s="37">
        <v>5100</v>
      </c>
      <c r="AL870" s="36">
        <f>AK870</f>
        <v>5100</v>
      </c>
      <c r="AM870" s="37">
        <v>7300</v>
      </c>
      <c r="AN870" s="37">
        <v>5000</v>
      </c>
      <c r="AO870" s="37">
        <v>3100</v>
      </c>
      <c r="AP870" s="37">
        <v>2500</v>
      </c>
      <c r="AQ870" s="36">
        <f>AP870</f>
        <v>2500</v>
      </c>
      <c r="AR870" s="37">
        <v>2200</v>
      </c>
      <c r="AS870" s="37">
        <v>2500</v>
      </c>
      <c r="AT870" s="37">
        <v>6000</v>
      </c>
      <c r="AU870" s="37">
        <v>1900</v>
      </c>
      <c r="AV870" s="36">
        <f>AU870</f>
        <v>1900</v>
      </c>
      <c r="AW870" s="37">
        <v>1300</v>
      </c>
      <c r="AX870" s="37">
        <v>2000</v>
      </c>
      <c r="AY870" s="37">
        <v>4000</v>
      </c>
      <c r="AZ870" s="36">
        <f t="shared" si="2869"/>
        <v>3500</v>
      </c>
      <c r="BA870" s="38">
        <f>AZ870</f>
        <v>3500</v>
      </c>
      <c r="BB870" s="36">
        <f t="shared" si="2870"/>
        <v>-6500</v>
      </c>
      <c r="BC870" s="36">
        <f t="shared" si="2870"/>
        <v>-16500</v>
      </c>
      <c r="BD870" s="36">
        <f t="shared" si="2870"/>
        <v>-26500</v>
      </c>
      <c r="BE870" s="36">
        <f t="shared" si="2870"/>
        <v>-26500</v>
      </c>
      <c r="BF870" s="38">
        <f>BE870</f>
        <v>-26500</v>
      </c>
      <c r="BG870" s="36">
        <f t="shared" si="2871"/>
        <v>-26500</v>
      </c>
      <c r="BH870" s="36">
        <f t="shared" si="2871"/>
        <v>-26500</v>
      </c>
      <c r="BI870" s="36">
        <f t="shared" si="2871"/>
        <v>-26500</v>
      </c>
      <c r="BJ870" s="36">
        <f t="shared" si="2871"/>
        <v>-26500</v>
      </c>
      <c r="BK870" s="38">
        <f>BJ870</f>
        <v>-26500</v>
      </c>
      <c r="BL870" s="36">
        <f t="shared" si="2872"/>
        <v>-26500</v>
      </c>
      <c r="BM870" s="36">
        <f t="shared" si="2872"/>
        <v>-26500</v>
      </c>
      <c r="BN870" s="36">
        <f t="shared" si="2872"/>
        <v>-26500</v>
      </c>
      <c r="BO870" s="36">
        <f t="shared" si="2872"/>
        <v>-26500</v>
      </c>
      <c r="BP870" s="38">
        <f>BO870</f>
        <v>-26500</v>
      </c>
      <c r="BQ870" s="36">
        <f t="shared" si="2873"/>
        <v>-26500</v>
      </c>
      <c r="BR870" s="36">
        <f t="shared" si="2873"/>
        <v>-26500</v>
      </c>
      <c r="BS870" s="36">
        <f t="shared" si="2873"/>
        <v>-26500</v>
      </c>
      <c r="BT870" s="36">
        <f t="shared" si="2873"/>
        <v>-26500</v>
      </c>
      <c r="BU870" s="38">
        <f>BT870</f>
        <v>-26500</v>
      </c>
      <c r="BV870" s="36">
        <f t="shared" si="2874"/>
        <v>-26500</v>
      </c>
      <c r="BW870" s="36">
        <f t="shared" si="2874"/>
        <v>-26500</v>
      </c>
      <c r="BX870" s="36">
        <f t="shared" si="2874"/>
        <v>-26500</v>
      </c>
      <c r="BY870" s="36">
        <f t="shared" si="2874"/>
        <v>-26500</v>
      </c>
      <c r="BZ870" s="38">
        <f>BY870</f>
        <v>-26500</v>
      </c>
    </row>
    <row r="871" spans="1:78">
      <c r="A871" s="5" t="s">
        <v>369</v>
      </c>
      <c r="Y871" s="36"/>
      <c r="Z871" s="36"/>
      <c r="AA871" s="36"/>
      <c r="AB871" s="36"/>
      <c r="AC871" s="37">
        <v>900</v>
      </c>
      <c r="AD871" s="37">
        <v>900</v>
      </c>
      <c r="AE871" s="37">
        <v>900</v>
      </c>
      <c r="AF871" s="37">
        <v>900</v>
      </c>
      <c r="AG871" s="36">
        <f>AF871</f>
        <v>900</v>
      </c>
      <c r="AH871" s="37">
        <v>900</v>
      </c>
      <c r="AI871" s="37">
        <v>900</v>
      </c>
      <c r="AJ871" s="37">
        <v>900</v>
      </c>
      <c r="AK871" s="37">
        <v>900</v>
      </c>
      <c r="AL871" s="36">
        <f>AK871</f>
        <v>900</v>
      </c>
      <c r="AM871" s="37">
        <v>900</v>
      </c>
      <c r="AN871" s="37">
        <v>900</v>
      </c>
      <c r="AO871" s="37">
        <v>900</v>
      </c>
      <c r="AP871" s="37">
        <v>900</v>
      </c>
      <c r="AQ871" s="36">
        <f>AP871</f>
        <v>900</v>
      </c>
      <c r="AR871" s="37">
        <v>900</v>
      </c>
      <c r="AS871" s="37">
        <v>900</v>
      </c>
      <c r="AT871" s="37">
        <v>900</v>
      </c>
      <c r="AU871" s="37">
        <v>900</v>
      </c>
      <c r="AV871" s="36">
        <f>AU871</f>
        <v>900</v>
      </c>
      <c r="AW871" s="37">
        <v>900</v>
      </c>
      <c r="AX871" s="37">
        <v>900</v>
      </c>
      <c r="AY871" s="37">
        <v>900</v>
      </c>
      <c r="AZ871" s="36">
        <f t="shared" si="2869"/>
        <v>1079.8382352941173</v>
      </c>
      <c r="BA871" s="38">
        <f>AZ871</f>
        <v>1079.8382352941173</v>
      </c>
      <c r="BB871" s="36">
        <f t="shared" si="2870"/>
        <v>1974.8382352941173</v>
      </c>
      <c r="BC871" s="36">
        <f t="shared" si="2870"/>
        <v>2994.8382352941171</v>
      </c>
      <c r="BD871" s="36">
        <f t="shared" si="2870"/>
        <v>4139.8382352941171</v>
      </c>
      <c r="BE871" s="36">
        <f t="shared" si="2870"/>
        <v>5329.8382352941171</v>
      </c>
      <c r="BF871" s="38">
        <f>BE871</f>
        <v>5329.8382352941171</v>
      </c>
      <c r="BG871" s="36">
        <f t="shared" si="2871"/>
        <v>7904.8382352941171</v>
      </c>
      <c r="BH871" s="36">
        <f t="shared" si="2871"/>
        <v>10534.838235294117</v>
      </c>
      <c r="BI871" s="36">
        <f t="shared" si="2871"/>
        <v>13229.838235294117</v>
      </c>
      <c r="BJ871" s="36">
        <f t="shared" si="2871"/>
        <v>15994.838235294117</v>
      </c>
      <c r="BK871" s="38">
        <f>BJ871</f>
        <v>15994.838235294117</v>
      </c>
      <c r="BL871" s="36">
        <f t="shared" si="2872"/>
        <v>20254.838235294119</v>
      </c>
      <c r="BM871" s="36">
        <f t="shared" si="2872"/>
        <v>24574.838235294119</v>
      </c>
      <c r="BN871" s="36">
        <f t="shared" si="2872"/>
        <v>28964.838235294119</v>
      </c>
      <c r="BO871" s="36">
        <f t="shared" si="2872"/>
        <v>33424.838235294119</v>
      </c>
      <c r="BP871" s="38">
        <f>BO871</f>
        <v>33424.838235294119</v>
      </c>
      <c r="BQ871" s="36">
        <f t="shared" si="2873"/>
        <v>39474.838235294119</v>
      </c>
      <c r="BR871" s="36">
        <f t="shared" si="2873"/>
        <v>45529.838235294119</v>
      </c>
      <c r="BS871" s="36">
        <f t="shared" si="2873"/>
        <v>51589.838235294119</v>
      </c>
      <c r="BT871" s="36">
        <f t="shared" si="2873"/>
        <v>57659.838235294119</v>
      </c>
      <c r="BU871" s="38">
        <f>BT871</f>
        <v>57659.838235294119</v>
      </c>
      <c r="BV871" s="36">
        <f t="shared" si="2874"/>
        <v>63734.838235294119</v>
      </c>
      <c r="BW871" s="36">
        <f t="shared" si="2874"/>
        <v>69814.838235294126</v>
      </c>
      <c r="BX871" s="36">
        <f t="shared" si="2874"/>
        <v>75899.838235294126</v>
      </c>
      <c r="BY871" s="36">
        <f t="shared" si="2874"/>
        <v>81989.838235294126</v>
      </c>
      <c r="BZ871" s="38">
        <f>BY871</f>
        <v>81989.838235294126</v>
      </c>
    </row>
    <row r="872" spans="1:78">
      <c r="A872" s="9" t="s">
        <v>202</v>
      </c>
      <c r="B872" s="9"/>
      <c r="C872" s="9"/>
      <c r="D872" s="9"/>
      <c r="E872" s="9"/>
      <c r="F872" s="9"/>
      <c r="G872" s="9"/>
      <c r="H872" s="9"/>
      <c r="I872" s="9"/>
      <c r="J872" s="9"/>
      <c r="K872" s="9"/>
      <c r="L872" s="9"/>
      <c r="M872" s="9"/>
      <c r="N872" s="9"/>
      <c r="O872" s="9"/>
      <c r="P872" s="9"/>
      <c r="Q872" s="9"/>
      <c r="R872" s="9"/>
      <c r="S872" s="9"/>
      <c r="T872" s="9"/>
      <c r="U872" s="9"/>
      <c r="V872" s="9"/>
      <c r="W872" s="9"/>
      <c r="X872" s="9"/>
      <c r="Y872" s="75">
        <v>5000</v>
      </c>
      <c r="Z872" s="75">
        <v>10000</v>
      </c>
      <c r="AA872" s="75">
        <v>20000</v>
      </c>
      <c r="AB872" s="39">
        <f>AA872</f>
        <v>20000</v>
      </c>
      <c r="AC872" s="39">
        <f>SUM(AC869:AC871)</f>
        <v>40000</v>
      </c>
      <c r="AD872" s="39">
        <f>SUM(AD869:AD871)</f>
        <v>42000</v>
      </c>
      <c r="AE872" s="39">
        <f>SUM(AE869:AE871)</f>
        <v>51000</v>
      </c>
      <c r="AF872" s="39">
        <f>SUM(AF869:AF871)</f>
        <v>56000</v>
      </c>
      <c r="AG872" s="39">
        <f>AF872</f>
        <v>56000</v>
      </c>
      <c r="AH872" s="39">
        <f>SUM(AH869:AH871)</f>
        <v>56000</v>
      </c>
      <c r="AI872" s="39">
        <f>SUM(AI869:AI871)</f>
        <v>56000</v>
      </c>
      <c r="AJ872" s="39">
        <f>SUM(AJ869:AJ871)</f>
        <v>56000</v>
      </c>
      <c r="AK872" s="39">
        <f>SUM(AK869:AK871)</f>
        <v>56000</v>
      </c>
      <c r="AL872" s="39">
        <f>AK872</f>
        <v>56000</v>
      </c>
      <c r="AM872" s="39">
        <f>SUM(AM869:AM871)</f>
        <v>60000</v>
      </c>
      <c r="AN872" s="39">
        <f>SUM(AN869:AN871)</f>
        <v>60000</v>
      </c>
      <c r="AO872" s="39">
        <f>SUM(AO869:AO871)</f>
        <v>59800</v>
      </c>
      <c r="AP872" s="39">
        <f>SUM(AP869:AP871)</f>
        <v>59800</v>
      </c>
      <c r="AQ872" s="39">
        <f>AP872</f>
        <v>59800</v>
      </c>
      <c r="AR872" s="39">
        <f t="shared" ref="AR872:AS872" si="2875">SUM(AR869:AR871)</f>
        <v>59800</v>
      </c>
      <c r="AS872" s="39">
        <f t="shared" si="2875"/>
        <v>60800</v>
      </c>
      <c r="AT872" s="39">
        <f t="shared" ref="AT872" si="2876">SUM(AT869:AT871)</f>
        <v>65800</v>
      </c>
      <c r="AU872" s="39">
        <f>SUM(AU869:AU871)</f>
        <v>65800</v>
      </c>
      <c r="AV872" s="39">
        <f>AU872</f>
        <v>65800</v>
      </c>
      <c r="AW872" s="39">
        <f t="shared" ref="AW872:AZ872" si="2877">SUM(AW869:AW871)</f>
        <v>65800</v>
      </c>
      <c r="AX872" s="39">
        <f t="shared" si="2877"/>
        <v>67800</v>
      </c>
      <c r="AY872" s="39">
        <f t="shared" si="2877"/>
        <v>94800</v>
      </c>
      <c r="AZ872" s="39">
        <f t="shared" si="2877"/>
        <v>94300</v>
      </c>
      <c r="BA872" s="39">
        <f>AZ872</f>
        <v>94300</v>
      </c>
      <c r="BB872" s="39">
        <f t="shared" ref="BB872:BE872" si="2878">SUM(BB869:BB871)</f>
        <v>84300</v>
      </c>
      <c r="BC872" s="39">
        <f t="shared" si="2878"/>
        <v>74300</v>
      </c>
      <c r="BD872" s="39">
        <f t="shared" si="2878"/>
        <v>64300.000000000007</v>
      </c>
      <c r="BE872" s="39">
        <f t="shared" si="2878"/>
        <v>64300.000000000007</v>
      </c>
      <c r="BF872" s="39">
        <f>BE872</f>
        <v>64300.000000000007</v>
      </c>
      <c r="BG872" s="39">
        <f t="shared" ref="BG872:BJ872" si="2879">SUM(BG869:BG871)</f>
        <v>64300.000000000007</v>
      </c>
      <c r="BH872" s="39">
        <f t="shared" si="2879"/>
        <v>64300.000000000007</v>
      </c>
      <c r="BI872" s="39">
        <f t="shared" si="2879"/>
        <v>64300.000000000007</v>
      </c>
      <c r="BJ872" s="39">
        <f t="shared" si="2879"/>
        <v>64300.000000000007</v>
      </c>
      <c r="BK872" s="39">
        <f>BJ872</f>
        <v>64300.000000000007</v>
      </c>
      <c r="BL872" s="39">
        <f t="shared" ref="BL872:BO872" si="2880">SUM(BL869:BL871)</f>
        <v>64300.000000000007</v>
      </c>
      <c r="BM872" s="39">
        <f t="shared" si="2880"/>
        <v>64300.000000000007</v>
      </c>
      <c r="BN872" s="39">
        <f t="shared" si="2880"/>
        <v>64300.000000000007</v>
      </c>
      <c r="BO872" s="39">
        <f t="shared" si="2880"/>
        <v>64300.000000000007</v>
      </c>
      <c r="BP872" s="39">
        <f>BO872</f>
        <v>64300.000000000007</v>
      </c>
      <c r="BQ872" s="39">
        <f t="shared" ref="BQ872:BT872" si="2881">SUM(BQ869:BQ871)</f>
        <v>64300.000000000007</v>
      </c>
      <c r="BR872" s="39">
        <f t="shared" si="2881"/>
        <v>64300.000000000007</v>
      </c>
      <c r="BS872" s="39">
        <f t="shared" si="2881"/>
        <v>64300.000000000007</v>
      </c>
      <c r="BT872" s="39">
        <f t="shared" si="2881"/>
        <v>64300.000000000007</v>
      </c>
      <c r="BU872" s="39">
        <f>BT872</f>
        <v>64300.000000000007</v>
      </c>
      <c r="BV872" s="39">
        <f t="shared" ref="BV872:BY872" si="2882">SUM(BV869:BV871)</f>
        <v>64300.000000000007</v>
      </c>
      <c r="BW872" s="39">
        <f t="shared" si="2882"/>
        <v>64300.000000000015</v>
      </c>
      <c r="BX872" s="39">
        <f t="shared" si="2882"/>
        <v>64300.000000000015</v>
      </c>
      <c r="BY872" s="39">
        <f t="shared" si="2882"/>
        <v>64300.000000000015</v>
      </c>
      <c r="BZ872" s="39">
        <f>BY872</f>
        <v>64300.000000000015</v>
      </c>
    </row>
    <row r="874" spans="1:78">
      <c r="A874" s="1" t="s">
        <v>203</v>
      </c>
    </row>
    <row r="875" spans="1:78">
      <c r="A875" s="5" t="s">
        <v>199</v>
      </c>
      <c r="Y875" s="36">
        <f t="shared" ref="Y875:AA876" si="2883">Y869-X869</f>
        <v>2800</v>
      </c>
      <c r="Z875" s="36">
        <f t="shared" si="2883"/>
        <v>1600</v>
      </c>
      <c r="AA875" s="36">
        <f t="shared" si="2883"/>
        <v>2400</v>
      </c>
      <c r="AB875" s="36">
        <f>AB869-W869</f>
        <v>6800</v>
      </c>
      <c r="AC875" s="36">
        <f t="shared" ref="AC875:AF877" si="2884">AC869-AB869</f>
        <v>13800</v>
      </c>
      <c r="AD875" s="36">
        <f t="shared" si="2884"/>
        <v>12400</v>
      </c>
      <c r="AE875" s="36">
        <f t="shared" si="2884"/>
        <v>9400</v>
      </c>
      <c r="AF875" s="36">
        <f t="shared" si="2884"/>
        <v>4900</v>
      </c>
      <c r="AG875" s="36">
        <f>AG869-AB869</f>
        <v>40500</v>
      </c>
      <c r="AH875" s="36">
        <f t="shared" ref="AH875:AJ875" si="2885">AH869-AG869</f>
        <v>1400</v>
      </c>
      <c r="AI875" s="36">
        <f t="shared" si="2885"/>
        <v>200</v>
      </c>
      <c r="AJ875" s="36">
        <f t="shared" si="2885"/>
        <v>900</v>
      </c>
      <c r="AK875" s="36">
        <f t="shared" ref="AK875:AK878" si="2886">AK869-AJ869</f>
        <v>200</v>
      </c>
      <c r="AL875" s="36">
        <f>AL869-AG869</f>
        <v>2700</v>
      </c>
      <c r="AM875" s="36">
        <f t="shared" ref="AM875:AO878" si="2887">AM869-AL869</f>
        <v>1800</v>
      </c>
      <c r="AN875" s="36">
        <f t="shared" si="2887"/>
        <v>2300</v>
      </c>
      <c r="AO875" s="36">
        <f t="shared" si="2887"/>
        <v>1700</v>
      </c>
      <c r="AP875" s="36">
        <f t="shared" ref="AP875:AP878" si="2888">AP869-AO869</f>
        <v>600</v>
      </c>
      <c r="AQ875" s="36">
        <f>AQ869-AL869</f>
        <v>6400</v>
      </c>
      <c r="AR875" s="36">
        <f t="shared" ref="AR875:AT878" si="2889">AR869-AQ869</f>
        <v>300</v>
      </c>
      <c r="AS875" s="36">
        <f t="shared" si="2889"/>
        <v>700</v>
      </c>
      <c r="AT875" s="36">
        <f t="shared" si="2889"/>
        <v>1500</v>
      </c>
      <c r="AU875" s="36">
        <f t="shared" ref="AU875:AU878" si="2890">AU869-AT869</f>
        <v>4100</v>
      </c>
      <c r="AV875" s="36">
        <f>AV869-AQ869</f>
        <v>6600</v>
      </c>
      <c r="AW875" s="36">
        <f t="shared" ref="AW875:AY878" si="2891">AW869-AV869</f>
        <v>600</v>
      </c>
      <c r="AX875" s="36">
        <f t="shared" si="2891"/>
        <v>1300</v>
      </c>
      <c r="AY875" s="36">
        <f t="shared" si="2891"/>
        <v>25000</v>
      </c>
      <c r="AZ875" s="36">
        <f>-'SVF2'!AZ23</f>
        <v>-179.83823529411734</v>
      </c>
      <c r="BA875" s="36">
        <f>BA869-AV869</f>
        <v>26720.161764705888</v>
      </c>
      <c r="BB875" s="36">
        <f>-'SVF2'!BB23</f>
        <v>-895</v>
      </c>
      <c r="BC875" s="36">
        <f>-'SVF2'!BC23</f>
        <v>-1020</v>
      </c>
      <c r="BD875" s="36">
        <f>-'SVF2'!BD23</f>
        <v>-1145</v>
      </c>
      <c r="BE875" s="36">
        <f>-'SVF2'!BE23</f>
        <v>-1190</v>
      </c>
      <c r="BF875" s="36">
        <f>BF869-BA869</f>
        <v>-4250</v>
      </c>
      <c r="BG875" s="36">
        <f>-'SVF2'!BG23</f>
        <v>-2575</v>
      </c>
      <c r="BH875" s="36">
        <f>-'SVF2'!BH23</f>
        <v>-2630</v>
      </c>
      <c r="BI875" s="36">
        <f>-'SVF2'!BI23</f>
        <v>-2695</v>
      </c>
      <c r="BJ875" s="36">
        <f>-'SVF2'!BJ23</f>
        <v>-2765</v>
      </c>
      <c r="BK875" s="36">
        <f>BK869-BF869</f>
        <v>-10665</v>
      </c>
      <c r="BL875" s="36">
        <f>-'SVF2'!BL23</f>
        <v>-4260</v>
      </c>
      <c r="BM875" s="36">
        <f>-'SVF2'!BM23</f>
        <v>-4320</v>
      </c>
      <c r="BN875" s="36">
        <f>-'SVF2'!BN23</f>
        <v>-4390</v>
      </c>
      <c r="BO875" s="36">
        <f>-'SVF2'!BO23</f>
        <v>-4460</v>
      </c>
      <c r="BP875" s="36">
        <f>BP869-BK869</f>
        <v>-17430</v>
      </c>
      <c r="BQ875" s="36">
        <f>-'SVF2'!BQ23</f>
        <v>-6050</v>
      </c>
      <c r="BR875" s="36">
        <f>-'SVF2'!BR23</f>
        <v>-6055</v>
      </c>
      <c r="BS875" s="36">
        <f>-'SVF2'!BS23</f>
        <v>-6060</v>
      </c>
      <c r="BT875" s="36">
        <f>-'SVF2'!BT23</f>
        <v>-6070</v>
      </c>
      <c r="BU875" s="36">
        <f>BU869-BP869</f>
        <v>-24235</v>
      </c>
      <c r="BV875" s="36">
        <f>-'SVF2'!BV23</f>
        <v>-6075</v>
      </c>
      <c r="BW875" s="36">
        <f>-'SVF2'!BW23</f>
        <v>-6080</v>
      </c>
      <c r="BX875" s="36">
        <f>-'SVF2'!BX23</f>
        <v>-6085</v>
      </c>
      <c r="BY875" s="36">
        <f>-'SVF2'!BY23</f>
        <v>-6090</v>
      </c>
      <c r="BZ875" s="36">
        <f>BZ869-BU869</f>
        <v>-24330</v>
      </c>
    </row>
    <row r="876" spans="1:78">
      <c r="A876" s="5" t="s">
        <v>200</v>
      </c>
      <c r="Y876" s="36">
        <f t="shared" si="2883"/>
        <v>2200</v>
      </c>
      <c r="Z876" s="36">
        <f t="shared" si="2883"/>
        <v>3400</v>
      </c>
      <c r="AA876" s="36">
        <f t="shared" si="2883"/>
        <v>7600</v>
      </c>
      <c r="AB876" s="36">
        <f>AB870-W870</f>
        <v>13200</v>
      </c>
      <c r="AC876" s="36">
        <f t="shared" si="2884"/>
        <v>5300</v>
      </c>
      <c r="AD876" s="36">
        <f t="shared" si="2884"/>
        <v>-10400</v>
      </c>
      <c r="AE876" s="36">
        <f t="shared" si="2884"/>
        <v>-400</v>
      </c>
      <c r="AF876" s="36">
        <f t="shared" si="2884"/>
        <v>100</v>
      </c>
      <c r="AG876" s="36">
        <f>AG870-AB870</f>
        <v>-5400</v>
      </c>
      <c r="AH876" s="36">
        <f t="shared" ref="AH876:AJ876" si="2892">AH870-AG870</f>
        <v>-1400</v>
      </c>
      <c r="AI876" s="36">
        <f t="shared" si="2892"/>
        <v>-200</v>
      </c>
      <c r="AJ876" s="36">
        <f t="shared" si="2892"/>
        <v>-900</v>
      </c>
      <c r="AK876" s="36">
        <f t="shared" si="2886"/>
        <v>-200</v>
      </c>
      <c r="AL876" s="36">
        <f>AL870-AG870</f>
        <v>-2700</v>
      </c>
      <c r="AM876" s="36">
        <f t="shared" si="2887"/>
        <v>2200</v>
      </c>
      <c r="AN876" s="36">
        <f t="shared" si="2887"/>
        <v>-2300</v>
      </c>
      <c r="AO876" s="36">
        <f t="shared" si="2887"/>
        <v>-1900</v>
      </c>
      <c r="AP876" s="36">
        <f t="shared" si="2888"/>
        <v>-600</v>
      </c>
      <c r="AQ876" s="36">
        <f>AQ870-AL870</f>
        <v>-2600</v>
      </c>
      <c r="AR876" s="36">
        <f t="shared" si="2889"/>
        <v>-300</v>
      </c>
      <c r="AS876" s="36">
        <f t="shared" si="2889"/>
        <v>300</v>
      </c>
      <c r="AT876" s="36">
        <f t="shared" si="2889"/>
        <v>3500</v>
      </c>
      <c r="AU876" s="36">
        <f t="shared" si="2890"/>
        <v>-4100</v>
      </c>
      <c r="AV876" s="36">
        <f>AV870-AQ870</f>
        <v>-600</v>
      </c>
      <c r="AW876" s="36">
        <f t="shared" si="2891"/>
        <v>-600</v>
      </c>
      <c r="AX876" s="36">
        <f t="shared" si="2891"/>
        <v>700</v>
      </c>
      <c r="AY876" s="36">
        <f t="shared" si="2891"/>
        <v>2000</v>
      </c>
      <c r="AZ876" s="38">
        <f>-AZ351</f>
        <v>-500</v>
      </c>
      <c r="BA876" s="36">
        <f>BA870-AV870</f>
        <v>1600</v>
      </c>
      <c r="BB876" s="38">
        <f>-BB351</f>
        <v>-10000</v>
      </c>
      <c r="BC876" s="38">
        <f>-BC351</f>
        <v>-10000</v>
      </c>
      <c r="BD876" s="38">
        <f>-BD351</f>
        <v>-10000</v>
      </c>
      <c r="BE876" s="38">
        <f>-BE351</f>
        <v>0</v>
      </c>
      <c r="BF876" s="36">
        <f>BF870-BA870</f>
        <v>-30000</v>
      </c>
      <c r="BG876" s="38">
        <f>-BG351</f>
        <v>0</v>
      </c>
      <c r="BH876" s="38">
        <f>-BH351</f>
        <v>0</v>
      </c>
      <c r="BI876" s="38">
        <f>-BI351</f>
        <v>0</v>
      </c>
      <c r="BJ876" s="38">
        <f>-BJ351</f>
        <v>0</v>
      </c>
      <c r="BK876" s="36">
        <f>BK870-BF870</f>
        <v>0</v>
      </c>
      <c r="BL876" s="38">
        <f>-BL351</f>
        <v>0</v>
      </c>
      <c r="BM876" s="38">
        <f>-BM351</f>
        <v>0</v>
      </c>
      <c r="BN876" s="38">
        <f>-BN351</f>
        <v>0</v>
      </c>
      <c r="BO876" s="38">
        <f>-BO351</f>
        <v>0</v>
      </c>
      <c r="BP876" s="36">
        <f>BP870-BK870</f>
        <v>0</v>
      </c>
      <c r="BQ876" s="38">
        <f>-BQ351</f>
        <v>0</v>
      </c>
      <c r="BR876" s="38">
        <f>-BR351</f>
        <v>0</v>
      </c>
      <c r="BS876" s="38">
        <f>-BS351</f>
        <v>0</v>
      </c>
      <c r="BT876" s="38">
        <f>-BT351</f>
        <v>0</v>
      </c>
      <c r="BU876" s="36">
        <f>BU870-BP870</f>
        <v>0</v>
      </c>
      <c r="BV876" s="38">
        <f>-BV351</f>
        <v>0</v>
      </c>
      <c r="BW876" s="38">
        <f>-BW351</f>
        <v>0</v>
      </c>
      <c r="BX876" s="38">
        <f>-BX351</f>
        <v>0</v>
      </c>
      <c r="BY876" s="38">
        <f>-BY351</f>
        <v>0</v>
      </c>
      <c r="BZ876" s="36">
        <f>BZ870-BU870</f>
        <v>0</v>
      </c>
    </row>
    <row r="877" spans="1:78">
      <c r="A877" s="5" t="s">
        <v>369</v>
      </c>
      <c r="Y877" s="36"/>
      <c r="Z877" s="36"/>
      <c r="AA877" s="36"/>
      <c r="AB877" s="36"/>
      <c r="AC877" s="36">
        <f t="shared" si="2884"/>
        <v>900</v>
      </c>
      <c r="AD877" s="36">
        <f t="shared" si="2884"/>
        <v>0</v>
      </c>
      <c r="AE877" s="36">
        <f t="shared" si="2884"/>
        <v>0</v>
      </c>
      <c r="AF877" s="36">
        <f t="shared" si="2884"/>
        <v>0</v>
      </c>
      <c r="AG877" s="36">
        <f>AG871-AB871</f>
        <v>900</v>
      </c>
      <c r="AH877" s="36">
        <f t="shared" ref="AH877:AJ878" si="2893">AH871-AG871</f>
        <v>0</v>
      </c>
      <c r="AI877" s="36">
        <f t="shared" si="2893"/>
        <v>0</v>
      </c>
      <c r="AJ877" s="36">
        <f t="shared" si="2893"/>
        <v>0</v>
      </c>
      <c r="AK877" s="36">
        <f t="shared" si="2886"/>
        <v>0</v>
      </c>
      <c r="AL877" s="36">
        <f>AL871-AG871</f>
        <v>0</v>
      </c>
      <c r="AM877" s="36">
        <f t="shared" si="2887"/>
        <v>0</v>
      </c>
      <c r="AN877" s="36">
        <f t="shared" si="2887"/>
        <v>0</v>
      </c>
      <c r="AO877" s="36">
        <f t="shared" si="2887"/>
        <v>0</v>
      </c>
      <c r="AP877" s="36">
        <f t="shared" si="2888"/>
        <v>0</v>
      </c>
      <c r="AQ877" s="36">
        <f>AQ871-AL871</f>
        <v>0</v>
      </c>
      <c r="AR877" s="36">
        <f t="shared" si="2889"/>
        <v>0</v>
      </c>
      <c r="AS877" s="36">
        <f t="shared" si="2889"/>
        <v>0</v>
      </c>
      <c r="AT877" s="36">
        <f t="shared" si="2889"/>
        <v>0</v>
      </c>
      <c r="AU877" s="36">
        <f t="shared" si="2890"/>
        <v>0</v>
      </c>
      <c r="AV877" s="36">
        <f>AV871-AQ871</f>
        <v>0</v>
      </c>
      <c r="AW877" s="36">
        <f t="shared" si="2891"/>
        <v>0</v>
      </c>
      <c r="AX877" s="36">
        <f t="shared" si="2891"/>
        <v>0</v>
      </c>
      <c r="AY877" s="36">
        <f t="shared" si="2891"/>
        <v>0</v>
      </c>
      <c r="AZ877" s="55">
        <f>-AZ875</f>
        <v>179.83823529411734</v>
      </c>
      <c r="BA877" s="36">
        <f>BA871-AV871</f>
        <v>179.83823529411734</v>
      </c>
      <c r="BB877" s="55">
        <f>-BB875</f>
        <v>895</v>
      </c>
      <c r="BC877" s="55">
        <f>-BC875</f>
        <v>1020</v>
      </c>
      <c r="BD877" s="55">
        <f>-BD875</f>
        <v>1145</v>
      </c>
      <c r="BE877" s="55">
        <f>-BE875</f>
        <v>1190</v>
      </c>
      <c r="BF877" s="36">
        <f>BF871-BA871</f>
        <v>4250</v>
      </c>
      <c r="BG877" s="55">
        <f>-BG875</f>
        <v>2575</v>
      </c>
      <c r="BH877" s="55">
        <f>-BH875</f>
        <v>2630</v>
      </c>
      <c r="BI877" s="55">
        <f>-BI875</f>
        <v>2695</v>
      </c>
      <c r="BJ877" s="55">
        <f>-BJ875</f>
        <v>2765</v>
      </c>
      <c r="BK877" s="36">
        <f>BK871-BF871</f>
        <v>10665</v>
      </c>
      <c r="BL877" s="55">
        <f>-BL875</f>
        <v>4260</v>
      </c>
      <c r="BM877" s="55">
        <f>-BM875</f>
        <v>4320</v>
      </c>
      <c r="BN877" s="55">
        <f>-BN875</f>
        <v>4390</v>
      </c>
      <c r="BO877" s="55">
        <f>-BO875</f>
        <v>4460</v>
      </c>
      <c r="BP877" s="36">
        <f>BP871-BK871</f>
        <v>17430</v>
      </c>
      <c r="BQ877" s="55">
        <f>-BQ875</f>
        <v>6050</v>
      </c>
      <c r="BR877" s="55">
        <f>-BR875</f>
        <v>6055</v>
      </c>
      <c r="BS877" s="55">
        <f>-BS875</f>
        <v>6060</v>
      </c>
      <c r="BT877" s="55">
        <f>-BT875</f>
        <v>6070</v>
      </c>
      <c r="BU877" s="36">
        <f>BU871-BP871</f>
        <v>24235</v>
      </c>
      <c r="BV877" s="55">
        <f>-BV875</f>
        <v>6075</v>
      </c>
      <c r="BW877" s="55">
        <f>-BW875</f>
        <v>6080</v>
      </c>
      <c r="BX877" s="55">
        <f>-BX875</f>
        <v>6085</v>
      </c>
      <c r="BY877" s="55">
        <f>-BY875</f>
        <v>6090</v>
      </c>
      <c r="BZ877" s="36">
        <f>BZ871-BU871</f>
        <v>24330.000000000007</v>
      </c>
    </row>
    <row r="878" spans="1:78">
      <c r="A878" s="9" t="s">
        <v>202</v>
      </c>
      <c r="B878" s="9"/>
      <c r="C878" s="9"/>
      <c r="D878" s="9"/>
      <c r="E878" s="9"/>
      <c r="F878" s="9"/>
      <c r="G878" s="9"/>
      <c r="H878" s="9"/>
      <c r="I878" s="9"/>
      <c r="J878" s="9"/>
      <c r="K878" s="9"/>
      <c r="L878" s="9"/>
      <c r="M878" s="9"/>
      <c r="N878" s="9"/>
      <c r="O878" s="9"/>
      <c r="P878" s="9"/>
      <c r="Q878" s="9"/>
      <c r="R878" s="9"/>
      <c r="S878" s="9"/>
      <c r="T878" s="9"/>
      <c r="U878" s="9"/>
      <c r="V878" s="9"/>
      <c r="W878" s="9"/>
      <c r="X878" s="9"/>
      <c r="Y878" s="39">
        <f t="shared" ref="Y878:AA878" si="2894">Y872-X872</f>
        <v>5000</v>
      </c>
      <c r="Z878" s="39">
        <f t="shared" si="2894"/>
        <v>5000</v>
      </c>
      <c r="AA878" s="39">
        <f t="shared" si="2894"/>
        <v>10000</v>
      </c>
      <c r="AB878" s="39">
        <f>AB872-W872</f>
        <v>20000</v>
      </c>
      <c r="AC878" s="39">
        <f t="shared" ref="AC878:AD878" si="2895">AC872-AB872</f>
        <v>20000</v>
      </c>
      <c r="AD878" s="39">
        <f t="shared" si="2895"/>
        <v>2000</v>
      </c>
      <c r="AE878" s="39">
        <f t="shared" ref="AE878:AF878" si="2896">AE872-AD872</f>
        <v>9000</v>
      </c>
      <c r="AF878" s="39">
        <f t="shared" si="2896"/>
        <v>5000</v>
      </c>
      <c r="AG878" s="39">
        <f>AG872-AB872</f>
        <v>36000</v>
      </c>
      <c r="AH878" s="39">
        <f t="shared" si="2893"/>
        <v>0</v>
      </c>
      <c r="AI878" s="39">
        <f t="shared" si="2893"/>
        <v>0</v>
      </c>
      <c r="AJ878" s="39">
        <f t="shared" si="2893"/>
        <v>0</v>
      </c>
      <c r="AK878" s="39">
        <f t="shared" si="2886"/>
        <v>0</v>
      </c>
      <c r="AL878" s="39">
        <f>AL872-AG872</f>
        <v>0</v>
      </c>
      <c r="AM878" s="39">
        <f t="shared" si="2887"/>
        <v>4000</v>
      </c>
      <c r="AN878" s="39">
        <f t="shared" si="2887"/>
        <v>0</v>
      </c>
      <c r="AO878" s="39">
        <f t="shared" si="2887"/>
        <v>-200</v>
      </c>
      <c r="AP878" s="39">
        <f t="shared" si="2888"/>
        <v>0</v>
      </c>
      <c r="AQ878" s="39">
        <f>AQ872-AL872</f>
        <v>3800</v>
      </c>
      <c r="AR878" s="39">
        <f t="shared" si="2889"/>
        <v>0</v>
      </c>
      <c r="AS878" s="39">
        <f t="shared" si="2889"/>
        <v>1000</v>
      </c>
      <c r="AT878" s="39">
        <f t="shared" si="2889"/>
        <v>5000</v>
      </c>
      <c r="AU878" s="39">
        <f t="shared" si="2890"/>
        <v>0</v>
      </c>
      <c r="AV878" s="39">
        <f>AV872-AQ872</f>
        <v>6000</v>
      </c>
      <c r="AW878" s="39">
        <f t="shared" si="2891"/>
        <v>0</v>
      </c>
      <c r="AX878" s="39">
        <f t="shared" si="2891"/>
        <v>2000</v>
      </c>
      <c r="AY878" s="39">
        <f t="shared" si="2891"/>
        <v>27000</v>
      </c>
      <c r="AZ878" s="39">
        <f t="shared" ref="AZ878" si="2897">AZ872-AY872</f>
        <v>-500</v>
      </c>
      <c r="BA878" s="39">
        <f>BA872-AV872</f>
        <v>28500</v>
      </c>
      <c r="BB878" s="39">
        <f t="shared" ref="BB878" si="2898">BB872-BA872</f>
        <v>-10000</v>
      </c>
      <c r="BC878" s="39">
        <f t="shared" ref="BC878" si="2899">BC872-BB872</f>
        <v>-10000</v>
      </c>
      <c r="BD878" s="39">
        <f t="shared" ref="BD878" si="2900">BD872-BC872</f>
        <v>-9999.9999999999927</v>
      </c>
      <c r="BE878" s="39">
        <f t="shared" ref="BE878" si="2901">BE872-BD872</f>
        <v>0</v>
      </c>
      <c r="BF878" s="39">
        <f>BF872-BA872</f>
        <v>-29999.999999999993</v>
      </c>
      <c r="BG878" s="39">
        <f t="shared" ref="BG878" si="2902">BG872-BF872</f>
        <v>0</v>
      </c>
      <c r="BH878" s="39">
        <f t="shared" ref="BH878" si="2903">BH872-BG872</f>
        <v>0</v>
      </c>
      <c r="BI878" s="39">
        <f t="shared" ref="BI878" si="2904">BI872-BH872</f>
        <v>0</v>
      </c>
      <c r="BJ878" s="39">
        <f t="shared" ref="BJ878" si="2905">BJ872-BI872</f>
        <v>0</v>
      </c>
      <c r="BK878" s="39">
        <f>BK872-BF872</f>
        <v>0</v>
      </c>
      <c r="BL878" s="39">
        <f t="shared" ref="BL878" si="2906">BL872-BK872</f>
        <v>0</v>
      </c>
      <c r="BM878" s="39">
        <f t="shared" ref="BM878" si="2907">BM872-BL872</f>
        <v>0</v>
      </c>
      <c r="BN878" s="39">
        <f t="shared" ref="BN878" si="2908">BN872-BM872</f>
        <v>0</v>
      </c>
      <c r="BO878" s="39">
        <f t="shared" ref="BO878" si="2909">BO872-BN872</f>
        <v>0</v>
      </c>
      <c r="BP878" s="39">
        <f>BP872-BK872</f>
        <v>0</v>
      </c>
      <c r="BQ878" s="39">
        <f t="shared" ref="BQ878" si="2910">BQ872-BP872</f>
        <v>0</v>
      </c>
      <c r="BR878" s="39">
        <f t="shared" ref="BR878" si="2911">BR872-BQ872</f>
        <v>0</v>
      </c>
      <c r="BS878" s="39">
        <f t="shared" ref="BS878" si="2912">BS872-BR872</f>
        <v>0</v>
      </c>
      <c r="BT878" s="39">
        <f t="shared" ref="BT878" si="2913">BT872-BS872</f>
        <v>0</v>
      </c>
      <c r="BU878" s="39">
        <f>BU872-BP872</f>
        <v>0</v>
      </c>
      <c r="BV878" s="39">
        <f t="shared" ref="BV878" si="2914">BV872-BU872</f>
        <v>0</v>
      </c>
      <c r="BW878" s="39">
        <f t="shared" ref="BW878" si="2915">BW872-BV872</f>
        <v>0</v>
      </c>
      <c r="BX878" s="39">
        <f t="shared" ref="BX878" si="2916">BX872-BW872</f>
        <v>0</v>
      </c>
      <c r="BY878" s="39">
        <f t="shared" ref="BY878" si="2917">BY872-BX872</f>
        <v>0</v>
      </c>
      <c r="BZ878" s="39">
        <f>BZ872-BU872</f>
        <v>0</v>
      </c>
    </row>
    <row r="880" spans="1:78">
      <c r="A880" s="1" t="s">
        <v>223</v>
      </c>
      <c r="Y880" s="21">
        <f t="shared" ref="Y880:AG880" si="2918">(Y869+Y871)/Y872</f>
        <v>0.56000000000000005</v>
      </c>
      <c r="Z880" s="21">
        <f t="shared" si="2918"/>
        <v>0.44</v>
      </c>
      <c r="AA880" s="21">
        <f t="shared" si="2918"/>
        <v>0.34</v>
      </c>
      <c r="AB880" s="21">
        <f t="shared" si="2918"/>
        <v>0.34</v>
      </c>
      <c r="AC880" s="21">
        <f t="shared" si="2918"/>
        <v>0.53749999999999998</v>
      </c>
      <c r="AD880" s="21">
        <f t="shared" si="2918"/>
        <v>0.80714285714285716</v>
      </c>
      <c r="AE880" s="21">
        <f t="shared" si="2918"/>
        <v>0.84901960784313724</v>
      </c>
      <c r="AF880" s="21">
        <f t="shared" si="2918"/>
        <v>0.86071428571428577</v>
      </c>
      <c r="AG880" s="21">
        <f t="shared" si="2918"/>
        <v>0.86071428571428577</v>
      </c>
      <c r="AH880" s="21">
        <f t="shared" ref="AH880:AI880" si="2919">(AH869+AH871)/AH872</f>
        <v>0.88571428571428568</v>
      </c>
      <c r="AI880" s="21">
        <f t="shared" si="2919"/>
        <v>0.88928571428571423</v>
      </c>
      <c r="AJ880" s="21">
        <f t="shared" ref="AJ880:AN880" si="2920">(AJ869+AJ871)/AJ872</f>
        <v>0.90535714285714286</v>
      </c>
      <c r="AK880" s="21">
        <f t="shared" si="2920"/>
        <v>0.90892857142857142</v>
      </c>
      <c r="AL880" s="21">
        <f t="shared" si="2920"/>
        <v>0.90892857142857142</v>
      </c>
      <c r="AM880" s="21">
        <f t="shared" si="2920"/>
        <v>0.8783333333333333</v>
      </c>
      <c r="AN880" s="21">
        <f t="shared" si="2920"/>
        <v>0.91666666666666663</v>
      </c>
      <c r="AO880" s="21">
        <f t="shared" ref="AO880:AS880" si="2921">(AO869+AO871)/AO872</f>
        <v>0.94816053511705689</v>
      </c>
      <c r="AP880" s="21">
        <f t="shared" si="2921"/>
        <v>0.9581939799331104</v>
      </c>
      <c r="AQ880" s="21">
        <f t="shared" si="2921"/>
        <v>0.9581939799331104</v>
      </c>
      <c r="AR880" s="21">
        <f t="shared" si="2921"/>
        <v>0.96321070234113715</v>
      </c>
      <c r="AS880" s="21">
        <f t="shared" si="2921"/>
        <v>0.95888157894736847</v>
      </c>
      <c r="AT880" s="21">
        <f t="shared" ref="AT880:BZ880" si="2922">(AT869+AT871)/AT872</f>
        <v>0.90881458966565354</v>
      </c>
      <c r="AU880" s="21">
        <f t="shared" si="2922"/>
        <v>0.97112462006079026</v>
      </c>
      <c r="AV880" s="21">
        <f t="shared" si="2922"/>
        <v>0.97112462006079026</v>
      </c>
      <c r="AW880" s="21">
        <f t="shared" si="2922"/>
        <v>0.98024316109422494</v>
      </c>
      <c r="AX880" s="21">
        <f t="shared" si="2922"/>
        <v>0.97050147492625372</v>
      </c>
      <c r="AY880" s="21">
        <f t="shared" si="2922"/>
        <v>0.95780590717299574</v>
      </c>
      <c r="AZ880" s="21">
        <f t="shared" si="2922"/>
        <v>0.96288441145281023</v>
      </c>
      <c r="BA880" s="21">
        <f t="shared" si="2922"/>
        <v>0.96288441145281023</v>
      </c>
      <c r="BB880" s="21">
        <f t="shared" si="2922"/>
        <v>1.077105575326216</v>
      </c>
      <c r="BC880" s="21">
        <f t="shared" si="2922"/>
        <v>1.2220726783310902</v>
      </c>
      <c r="BD880" s="21">
        <f t="shared" si="2922"/>
        <v>1.4121306376360807</v>
      </c>
      <c r="BE880" s="21">
        <f t="shared" si="2922"/>
        <v>1.4121306376360807</v>
      </c>
      <c r="BF880" s="21">
        <f t="shared" si="2922"/>
        <v>1.4121306376360807</v>
      </c>
      <c r="BG880" s="21">
        <f t="shared" si="2922"/>
        <v>1.4121306376360807</v>
      </c>
      <c r="BH880" s="21">
        <f t="shared" si="2922"/>
        <v>1.4121306376360807</v>
      </c>
      <c r="BI880" s="21">
        <f t="shared" si="2922"/>
        <v>1.4121306376360807</v>
      </c>
      <c r="BJ880" s="21">
        <f t="shared" si="2922"/>
        <v>1.4121306376360807</v>
      </c>
      <c r="BK880" s="21">
        <f t="shared" si="2922"/>
        <v>1.4121306376360807</v>
      </c>
      <c r="BL880" s="21">
        <f t="shared" si="2922"/>
        <v>1.4121306376360807</v>
      </c>
      <c r="BM880" s="21">
        <f t="shared" si="2922"/>
        <v>1.4121306376360807</v>
      </c>
      <c r="BN880" s="21">
        <f t="shared" si="2922"/>
        <v>1.4121306376360807</v>
      </c>
      <c r="BO880" s="21">
        <f t="shared" si="2922"/>
        <v>1.4121306376360807</v>
      </c>
      <c r="BP880" s="21">
        <f t="shared" si="2922"/>
        <v>1.4121306376360807</v>
      </c>
      <c r="BQ880" s="21">
        <f t="shared" si="2922"/>
        <v>1.4121306376360807</v>
      </c>
      <c r="BR880" s="21">
        <f t="shared" si="2922"/>
        <v>1.4121306376360807</v>
      </c>
      <c r="BS880" s="21">
        <f t="shared" si="2922"/>
        <v>1.4121306376360807</v>
      </c>
      <c r="BT880" s="21">
        <f t="shared" si="2922"/>
        <v>1.4121306376360807</v>
      </c>
      <c r="BU880" s="21">
        <f t="shared" si="2922"/>
        <v>1.4121306376360807</v>
      </c>
      <c r="BV880" s="21">
        <f t="shared" si="2922"/>
        <v>1.4121306376360807</v>
      </c>
      <c r="BW880" s="21">
        <f t="shared" si="2922"/>
        <v>1.4121306376360807</v>
      </c>
      <c r="BX880" s="21">
        <f t="shared" si="2922"/>
        <v>1.4121306376360807</v>
      </c>
      <c r="BY880" s="21">
        <f t="shared" si="2922"/>
        <v>1.4121306376360807</v>
      </c>
      <c r="BZ880" s="21">
        <f t="shared" si="2922"/>
        <v>1.4121306376360807</v>
      </c>
    </row>
    <row r="881" spans="1:78">
      <c r="A881" s="1" t="s">
        <v>224</v>
      </c>
      <c r="Y881" s="104">
        <f t="shared" ref="Y881:AI881" si="2923">1-Y880</f>
        <v>0.43999999999999995</v>
      </c>
      <c r="Z881" s="104">
        <f t="shared" si="2923"/>
        <v>0.56000000000000005</v>
      </c>
      <c r="AA881" s="104">
        <f t="shared" si="2923"/>
        <v>0.65999999999999992</v>
      </c>
      <c r="AB881" s="104">
        <f t="shared" si="2923"/>
        <v>0.65999999999999992</v>
      </c>
      <c r="AC881" s="104">
        <f t="shared" si="2923"/>
        <v>0.46250000000000002</v>
      </c>
      <c r="AD881" s="104">
        <f t="shared" si="2923"/>
        <v>0.19285714285714284</v>
      </c>
      <c r="AE881" s="104">
        <f t="shared" si="2923"/>
        <v>0.15098039215686276</v>
      </c>
      <c r="AF881" s="104">
        <f t="shared" si="2923"/>
        <v>0.13928571428571423</v>
      </c>
      <c r="AG881" s="104">
        <f t="shared" si="2923"/>
        <v>0.13928571428571423</v>
      </c>
      <c r="AH881" s="104">
        <f t="shared" si="2923"/>
        <v>0.11428571428571432</v>
      </c>
      <c r="AI881" s="104">
        <f t="shared" si="2923"/>
        <v>0.11071428571428577</v>
      </c>
      <c r="AJ881" s="104">
        <f t="shared" ref="AJ881:AN881" si="2924">1-AJ880</f>
        <v>9.464285714285714E-2</v>
      </c>
      <c r="AK881" s="104">
        <f t="shared" si="2924"/>
        <v>9.1071428571428581E-2</v>
      </c>
      <c r="AL881" s="104">
        <f t="shared" si="2924"/>
        <v>9.1071428571428581E-2</v>
      </c>
      <c r="AM881" s="104">
        <f t="shared" si="2924"/>
        <v>0.1216666666666667</v>
      </c>
      <c r="AN881" s="104">
        <f t="shared" si="2924"/>
        <v>8.333333333333337E-2</v>
      </c>
      <c r="AO881" s="104">
        <f t="shared" ref="AO881:AS881" si="2925">1-AO880</f>
        <v>5.1839464882943109E-2</v>
      </c>
      <c r="AP881" s="104">
        <f t="shared" si="2925"/>
        <v>4.1806020066889604E-2</v>
      </c>
      <c r="AQ881" s="104">
        <f t="shared" si="2925"/>
        <v>4.1806020066889604E-2</v>
      </c>
      <c r="AR881" s="104">
        <f t="shared" si="2925"/>
        <v>3.6789297658862852E-2</v>
      </c>
      <c r="AS881" s="104">
        <f t="shared" si="2925"/>
        <v>4.1118421052631526E-2</v>
      </c>
      <c r="AT881" s="104">
        <f t="shared" ref="AT881:BZ881" si="2926">1-AT880</f>
        <v>9.1185410334346462E-2</v>
      </c>
      <c r="AU881" s="104">
        <f t="shared" si="2926"/>
        <v>2.8875379939209744E-2</v>
      </c>
      <c r="AV881" s="104">
        <f t="shared" si="2926"/>
        <v>2.8875379939209744E-2</v>
      </c>
      <c r="AW881" s="104">
        <f t="shared" si="2926"/>
        <v>1.9756838905775065E-2</v>
      </c>
      <c r="AX881" s="104">
        <f t="shared" si="2926"/>
        <v>2.9498525073746285E-2</v>
      </c>
      <c r="AY881" s="104">
        <f t="shared" si="2926"/>
        <v>4.2194092827004259E-2</v>
      </c>
      <c r="AZ881" s="104">
        <f t="shared" si="2926"/>
        <v>3.7115588547189771E-2</v>
      </c>
      <c r="BA881" s="104">
        <f t="shared" si="2926"/>
        <v>3.7115588547189771E-2</v>
      </c>
      <c r="BB881" s="104">
        <f t="shared" si="2926"/>
        <v>-7.710557532621598E-2</v>
      </c>
      <c r="BC881" s="104">
        <f t="shared" si="2926"/>
        <v>-0.22207267833109023</v>
      </c>
      <c r="BD881" s="104">
        <f t="shared" si="2926"/>
        <v>-0.41213063763608071</v>
      </c>
      <c r="BE881" s="104">
        <f t="shared" si="2926"/>
        <v>-0.41213063763608071</v>
      </c>
      <c r="BF881" s="104">
        <f t="shared" si="2926"/>
        <v>-0.41213063763608071</v>
      </c>
      <c r="BG881" s="104">
        <f t="shared" si="2926"/>
        <v>-0.41213063763608071</v>
      </c>
      <c r="BH881" s="104">
        <f t="shared" si="2926"/>
        <v>-0.41213063763608071</v>
      </c>
      <c r="BI881" s="104">
        <f t="shared" si="2926"/>
        <v>-0.41213063763608071</v>
      </c>
      <c r="BJ881" s="104">
        <f t="shared" si="2926"/>
        <v>-0.41213063763608071</v>
      </c>
      <c r="BK881" s="104">
        <f t="shared" si="2926"/>
        <v>-0.41213063763608071</v>
      </c>
      <c r="BL881" s="104">
        <f t="shared" si="2926"/>
        <v>-0.41213063763608071</v>
      </c>
      <c r="BM881" s="104">
        <f t="shared" si="2926"/>
        <v>-0.41213063763608071</v>
      </c>
      <c r="BN881" s="104">
        <f t="shared" si="2926"/>
        <v>-0.41213063763608071</v>
      </c>
      <c r="BO881" s="104">
        <f t="shared" si="2926"/>
        <v>-0.41213063763608071</v>
      </c>
      <c r="BP881" s="104">
        <f t="shared" si="2926"/>
        <v>-0.41213063763608071</v>
      </c>
      <c r="BQ881" s="104">
        <f t="shared" si="2926"/>
        <v>-0.41213063763608071</v>
      </c>
      <c r="BR881" s="104">
        <f t="shared" si="2926"/>
        <v>-0.41213063763608071</v>
      </c>
      <c r="BS881" s="104">
        <f t="shared" si="2926"/>
        <v>-0.41213063763608071</v>
      </c>
      <c r="BT881" s="104">
        <f t="shared" si="2926"/>
        <v>-0.41213063763608071</v>
      </c>
      <c r="BU881" s="104">
        <f t="shared" si="2926"/>
        <v>-0.41213063763608071</v>
      </c>
      <c r="BV881" s="104">
        <f t="shared" si="2926"/>
        <v>-0.41213063763608071</v>
      </c>
      <c r="BW881" s="104">
        <f t="shared" si="2926"/>
        <v>-0.41213063763608071</v>
      </c>
      <c r="BX881" s="104">
        <f t="shared" si="2926"/>
        <v>-0.41213063763608071</v>
      </c>
      <c r="BY881" s="104">
        <f t="shared" si="2926"/>
        <v>-0.41213063763608071</v>
      </c>
      <c r="BZ881" s="104">
        <f t="shared" si="2926"/>
        <v>-0.41213063763608071</v>
      </c>
    </row>
    <row r="883" spans="1:78">
      <c r="A883" s="3" t="s">
        <v>501</v>
      </c>
    </row>
    <row r="884" spans="1:78">
      <c r="Y884" s="98" t="s">
        <v>515</v>
      </c>
      <c r="Z884" s="71"/>
      <c r="AA884" s="71"/>
      <c r="AB884" s="71"/>
      <c r="AC884" s="71"/>
      <c r="AD884" s="71"/>
      <c r="AE884" s="71"/>
    </row>
    <row r="885" spans="1:78">
      <c r="A885" s="1" t="s">
        <v>300</v>
      </c>
      <c r="Y885" s="37">
        <v>2600</v>
      </c>
      <c r="Z885" s="37">
        <v>4300</v>
      </c>
      <c r="AA885" s="37">
        <v>6700</v>
      </c>
      <c r="AB885" s="36">
        <f>AA885</f>
        <v>6700</v>
      </c>
      <c r="AC885" s="37">
        <v>19800</v>
      </c>
      <c r="AD885" s="37">
        <v>33500</v>
      </c>
      <c r="AE885" s="37">
        <v>42600</v>
      </c>
      <c r="AF885" s="37">
        <v>46600</v>
      </c>
      <c r="AG885" s="36">
        <f>AF885</f>
        <v>46600</v>
      </c>
      <c r="AH885" s="37">
        <v>48200</v>
      </c>
      <c r="AI885" s="37">
        <v>48300</v>
      </c>
      <c r="AJ885" s="37">
        <v>48300</v>
      </c>
      <c r="AK885" s="37">
        <v>48600</v>
      </c>
      <c r="AL885" s="36">
        <f>AK885</f>
        <v>48600</v>
      </c>
      <c r="AM885" s="37">
        <v>50000</v>
      </c>
      <c r="AN885" s="37">
        <v>49700</v>
      </c>
      <c r="AO885" s="37">
        <v>49500</v>
      </c>
      <c r="AP885" s="37">
        <v>49400</v>
      </c>
      <c r="AQ885" s="36">
        <f>AP885</f>
        <v>49400</v>
      </c>
      <c r="AR885" s="37">
        <v>46300</v>
      </c>
      <c r="AS885" s="37">
        <v>46600</v>
      </c>
      <c r="AT885" s="37">
        <v>47100</v>
      </c>
      <c r="AU885" s="37">
        <v>50800</v>
      </c>
      <c r="AV885" s="36">
        <f>AU885</f>
        <v>50800</v>
      </c>
      <c r="AW885" s="37">
        <v>56400</v>
      </c>
      <c r="AX885" s="37">
        <v>57200</v>
      </c>
      <c r="AY885" s="37">
        <v>85300</v>
      </c>
      <c r="AZ885" s="228">
        <f>'SVF2'!AZ10</f>
        <v>87100</v>
      </c>
      <c r="BA885" s="36">
        <f>AZ885</f>
        <v>87100</v>
      </c>
      <c r="BB885" s="36">
        <f>'SVF2'!BB10</f>
        <v>97065</v>
      </c>
      <c r="BC885" s="36">
        <f>'SVF2'!BC10</f>
        <v>107025</v>
      </c>
      <c r="BD885" s="36">
        <f>'SVF2'!BD10</f>
        <v>116985</v>
      </c>
      <c r="BE885" s="36">
        <f>'SVF2'!BE10</f>
        <v>116950</v>
      </c>
      <c r="BF885" s="36">
        <f>BE885</f>
        <v>116950</v>
      </c>
      <c r="BG885" s="36">
        <f>'SVF2'!BG10</f>
        <v>114375</v>
      </c>
      <c r="BH885" s="36">
        <f>'SVF2'!BH10</f>
        <v>111745</v>
      </c>
      <c r="BI885" s="36">
        <f>'SVF2'!BI10</f>
        <v>109050</v>
      </c>
      <c r="BJ885" s="36">
        <f>'SVF2'!BJ10</f>
        <v>106285</v>
      </c>
      <c r="BK885" s="36">
        <f>BJ885</f>
        <v>106285</v>
      </c>
      <c r="BL885" s="36">
        <f>'SVF2'!BL10</f>
        <v>102025</v>
      </c>
      <c r="BM885" s="36">
        <f>'SVF2'!BM10</f>
        <v>97705</v>
      </c>
      <c r="BN885" s="36">
        <f>'SVF2'!BN10</f>
        <v>93315</v>
      </c>
      <c r="BO885" s="36">
        <f>'SVF2'!BO10</f>
        <v>88855</v>
      </c>
      <c r="BP885" s="36">
        <f>BO885</f>
        <v>88855</v>
      </c>
      <c r="BQ885" s="36">
        <f>'SVF2'!BQ10</f>
        <v>82805</v>
      </c>
      <c r="BR885" s="36">
        <f>'SVF2'!BR10</f>
        <v>76750</v>
      </c>
      <c r="BS885" s="36">
        <f>'SVF2'!BS10</f>
        <v>70690</v>
      </c>
      <c r="BT885" s="36">
        <f>'SVF2'!BT10</f>
        <v>64620</v>
      </c>
      <c r="BU885" s="36">
        <f>BT885</f>
        <v>64620</v>
      </c>
      <c r="BV885" s="36">
        <f>'SVF2'!BV10</f>
        <v>58545</v>
      </c>
      <c r="BW885" s="36">
        <f>'SVF2'!BW10</f>
        <v>52465</v>
      </c>
      <c r="BX885" s="36">
        <f>'SVF2'!BX10</f>
        <v>46380</v>
      </c>
      <c r="BY885" s="36">
        <f>'SVF2'!BY10</f>
        <v>40290</v>
      </c>
      <c r="BZ885" s="36">
        <f>BY885</f>
        <v>40290</v>
      </c>
    </row>
    <row r="886" spans="1:78">
      <c r="A886" s="1" t="s">
        <v>301</v>
      </c>
      <c r="Y886" s="37">
        <v>7600</v>
      </c>
      <c r="Z886" s="37">
        <v>9300</v>
      </c>
      <c r="AA886" s="37">
        <v>11200</v>
      </c>
      <c r="AB886" s="36">
        <f>AA886</f>
        <v>11200</v>
      </c>
      <c r="AC886" s="37">
        <v>23800</v>
      </c>
      <c r="AD886" s="37">
        <v>37000</v>
      </c>
      <c r="AE886" s="37">
        <v>46800</v>
      </c>
      <c r="AF886" s="37">
        <v>46000</v>
      </c>
      <c r="AG886" s="36">
        <f>AF886</f>
        <v>46000</v>
      </c>
      <c r="AH886" s="37">
        <v>37200</v>
      </c>
      <c r="AI886" s="37">
        <v>32700</v>
      </c>
      <c r="AJ886" s="37">
        <v>30700</v>
      </c>
      <c r="AK886" s="37">
        <v>29500</v>
      </c>
      <c r="AL886" s="36">
        <f>AK886</f>
        <v>29500</v>
      </c>
      <c r="AM886" s="37">
        <v>30400</v>
      </c>
      <c r="AN886" s="37">
        <v>28500</v>
      </c>
      <c r="AO886" s="37">
        <v>30100</v>
      </c>
      <c r="AP886" s="37">
        <v>29900</v>
      </c>
      <c r="AQ886" s="36">
        <f>AP886</f>
        <v>29900</v>
      </c>
      <c r="AR886" s="37">
        <v>27800</v>
      </c>
      <c r="AS886" s="37">
        <v>29200</v>
      </c>
      <c r="AT886" s="37">
        <v>29100</v>
      </c>
      <c r="AU886" s="37">
        <v>32300</v>
      </c>
      <c r="AV886" s="36">
        <f>AU886</f>
        <v>32300</v>
      </c>
      <c r="AW886" s="37">
        <v>41000</v>
      </c>
      <c r="AX886" s="37">
        <v>48700</v>
      </c>
      <c r="AY886" s="37">
        <v>86400</v>
      </c>
      <c r="AZ886" s="228">
        <f>'SVF2'!AZ11</f>
        <v>86090</v>
      </c>
      <c r="BA886" s="36">
        <f>AZ886</f>
        <v>86090</v>
      </c>
      <c r="BB886" s="36">
        <f>'SVF2'!BB11</f>
        <v>116405</v>
      </c>
      <c r="BC886" s="36">
        <f>'SVF2'!BC11</f>
        <v>127470</v>
      </c>
      <c r="BD886" s="36">
        <f>'SVF2'!BD11</f>
        <v>138430</v>
      </c>
      <c r="BE886" s="36">
        <f>'SVF2'!BE11</f>
        <v>137370</v>
      </c>
      <c r="BF886" s="36">
        <f>BE886</f>
        <v>137370</v>
      </c>
      <c r="BG886" s="36">
        <f>'SVF2'!BG11</f>
        <v>136030</v>
      </c>
      <c r="BH886" s="36">
        <f>'SVF2'!BH11</f>
        <v>134570</v>
      </c>
      <c r="BI886" s="36">
        <f>'SVF2'!BI11</f>
        <v>132975</v>
      </c>
      <c r="BJ886" s="36">
        <f>'SVF2'!BJ11</f>
        <v>131240</v>
      </c>
      <c r="BK886" s="36">
        <f>BJ886</f>
        <v>131240</v>
      </c>
      <c r="BL886" s="36">
        <f>'SVF2'!BL11</f>
        <v>127605</v>
      </c>
      <c r="BM886" s="36">
        <f>'SVF2'!BM11</f>
        <v>123790</v>
      </c>
      <c r="BN886" s="36">
        <f>'SVF2'!BN11</f>
        <v>119780</v>
      </c>
      <c r="BO886" s="36">
        <f>'SVF2'!BO11</f>
        <v>115565</v>
      </c>
      <c r="BP886" s="36">
        <f>BO886</f>
        <v>115565</v>
      </c>
      <c r="BQ886" s="36">
        <f>'SVF2'!BQ11</f>
        <v>109185</v>
      </c>
      <c r="BR886" s="36">
        <f>'SVF2'!BR11</f>
        <v>102630</v>
      </c>
      <c r="BS886" s="36">
        <f>'SVF2'!BS11</f>
        <v>95900</v>
      </c>
      <c r="BT886" s="36">
        <f>'SVF2'!BT11</f>
        <v>88985</v>
      </c>
      <c r="BU886" s="36">
        <f>BT886</f>
        <v>88985</v>
      </c>
      <c r="BV886" s="36">
        <f>'SVF2'!BV11</f>
        <v>81885</v>
      </c>
      <c r="BW886" s="36">
        <f>'SVF2'!BW11</f>
        <v>74600</v>
      </c>
      <c r="BX886" s="36">
        <f>'SVF2'!BX11</f>
        <v>67125</v>
      </c>
      <c r="BY886" s="36">
        <f>'SVF2'!BY11</f>
        <v>59455</v>
      </c>
      <c r="BZ886" s="36">
        <f>BY886</f>
        <v>59455</v>
      </c>
    </row>
    <row r="887" spans="1:78">
      <c r="A887" s="1" t="s">
        <v>302</v>
      </c>
      <c r="Y887" s="16">
        <f t="shared" ref="Y887:AB887" si="2927">Y886/Y885-1</f>
        <v>1.9230769230769229</v>
      </c>
      <c r="Z887" s="16">
        <f t="shared" si="2927"/>
        <v>1.1627906976744184</v>
      </c>
      <c r="AA887" s="16">
        <f t="shared" si="2927"/>
        <v>0.67164179104477606</v>
      </c>
      <c r="AB887" s="16">
        <f t="shared" si="2927"/>
        <v>0.67164179104477606</v>
      </c>
      <c r="AC887" s="16">
        <f t="shared" ref="AC887:AD887" si="2928">AC886/AC885-1</f>
        <v>0.20202020202020199</v>
      </c>
      <c r="AD887" s="16">
        <f t="shared" si="2928"/>
        <v>0.10447761194029859</v>
      </c>
      <c r="AE887" s="16">
        <f t="shared" ref="AE887:AI887" si="2929">AE886/AE885-1</f>
        <v>9.8591549295774739E-2</v>
      </c>
      <c r="AF887" s="16">
        <f t="shared" si="2929"/>
        <v>-1.2875536480686733E-2</v>
      </c>
      <c r="AG887" s="16">
        <f t="shared" si="2929"/>
        <v>-1.2875536480686733E-2</v>
      </c>
      <c r="AH887" s="16">
        <f t="shared" si="2929"/>
        <v>-0.22821576763485474</v>
      </c>
      <c r="AI887" s="16">
        <f t="shared" si="2929"/>
        <v>-0.32298136645962738</v>
      </c>
      <c r="AJ887" s="16">
        <f t="shared" ref="AJ887:AM887" si="2930">AJ886/AJ885-1</f>
        <v>-0.36438923395445133</v>
      </c>
      <c r="AK887" s="16">
        <f t="shared" si="2930"/>
        <v>-0.39300411522633749</v>
      </c>
      <c r="AL887" s="16">
        <f t="shared" si="2930"/>
        <v>-0.39300411522633749</v>
      </c>
      <c r="AM887" s="16">
        <f t="shared" si="2930"/>
        <v>-0.39200000000000002</v>
      </c>
      <c r="AN887" s="16">
        <f t="shared" ref="AN887:AO887" si="2931">AN886/AN885-1</f>
        <v>-0.42655935613682094</v>
      </c>
      <c r="AO887" s="16">
        <f t="shared" si="2931"/>
        <v>-0.39191919191919189</v>
      </c>
      <c r="AP887" s="16">
        <f t="shared" ref="AP887:AT887" si="2932">AP886/AP885-1</f>
        <v>-0.39473684210526316</v>
      </c>
      <c r="AQ887" s="16">
        <f t="shared" si="2932"/>
        <v>-0.39473684210526316</v>
      </c>
      <c r="AR887" s="16">
        <f t="shared" si="2932"/>
        <v>-0.39956803455723544</v>
      </c>
      <c r="AS887" s="16">
        <f t="shared" si="2932"/>
        <v>-0.37339055793991416</v>
      </c>
      <c r="AT887" s="16">
        <f t="shared" si="2932"/>
        <v>-0.38216560509554143</v>
      </c>
      <c r="AU887" s="16">
        <f t="shared" ref="AU887:AY887" si="2933">AU886/AU885-1</f>
        <v>-0.36417322834645671</v>
      </c>
      <c r="AV887" s="16">
        <f t="shared" si="2933"/>
        <v>-0.36417322834645671</v>
      </c>
      <c r="AW887" s="16">
        <f t="shared" si="2933"/>
        <v>-0.27304964539007093</v>
      </c>
      <c r="AX887" s="16">
        <f t="shared" si="2933"/>
        <v>-0.14860139860139865</v>
      </c>
      <c r="AY887" s="16">
        <f t="shared" si="2933"/>
        <v>1.2895662368112459E-2</v>
      </c>
      <c r="AZ887" s="16">
        <f t="shared" ref="AZ887:BA887" si="2934">AZ886/AZ885-1</f>
        <v>-1.1595866819747447E-2</v>
      </c>
      <c r="BA887" s="16">
        <f t="shared" si="2934"/>
        <v>-1.1595866819747447E-2</v>
      </c>
      <c r="BB887" s="16">
        <f t="shared" ref="BB887:BZ887" si="2935">BB886/BB885-1</f>
        <v>0.19924792664709212</v>
      </c>
      <c r="BC887" s="16">
        <f t="shared" si="2935"/>
        <v>0.191030133146461</v>
      </c>
      <c r="BD887" s="16">
        <f t="shared" si="2935"/>
        <v>0.18331410009830318</v>
      </c>
      <c r="BE887" s="16">
        <f t="shared" si="2935"/>
        <v>0.17460453185121838</v>
      </c>
      <c r="BF887" s="16">
        <f t="shared" si="2935"/>
        <v>0.17460453185121838</v>
      </c>
      <c r="BG887" s="16">
        <f t="shared" si="2935"/>
        <v>0.18933333333333335</v>
      </c>
      <c r="BH887" s="16">
        <f t="shared" si="2935"/>
        <v>0.20425969842051095</v>
      </c>
      <c r="BI887" s="16">
        <f t="shared" si="2935"/>
        <v>0.21939477303988997</v>
      </c>
      <c r="BJ887" s="16">
        <f t="shared" si="2935"/>
        <v>0.23479324457825657</v>
      </c>
      <c r="BK887" s="16">
        <f t="shared" si="2935"/>
        <v>0.23479324457825657</v>
      </c>
      <c r="BL887" s="16">
        <f t="shared" si="2935"/>
        <v>0.25072286204361682</v>
      </c>
      <c r="BM887" s="16">
        <f t="shared" si="2935"/>
        <v>0.26697712501919035</v>
      </c>
      <c r="BN887" s="16">
        <f t="shared" si="2935"/>
        <v>0.28360928039436328</v>
      </c>
      <c r="BO887" s="16">
        <f t="shared" si="2935"/>
        <v>0.30060210455236058</v>
      </c>
      <c r="BP887" s="16">
        <f t="shared" si="2935"/>
        <v>0.30060210455236058</v>
      </c>
      <c r="BQ887" s="16">
        <f t="shared" si="2935"/>
        <v>0.31857979590604435</v>
      </c>
      <c r="BR887" s="16">
        <f t="shared" si="2935"/>
        <v>0.337198697068404</v>
      </c>
      <c r="BS887" s="16">
        <f t="shared" si="2935"/>
        <v>0.35662752864620173</v>
      </c>
      <c r="BT887" s="16">
        <f t="shared" si="2935"/>
        <v>0.37705044877746818</v>
      </c>
      <c r="BU887" s="16">
        <f t="shared" si="2935"/>
        <v>0.37705044877746818</v>
      </c>
      <c r="BV887" s="16">
        <f t="shared" si="2935"/>
        <v>0.39866769151934411</v>
      </c>
      <c r="BW887" s="16">
        <f t="shared" si="2935"/>
        <v>0.4219003144953779</v>
      </c>
      <c r="BX887" s="16">
        <f t="shared" si="2935"/>
        <v>0.44728331177231562</v>
      </c>
      <c r="BY887" s="16">
        <f t="shared" si="2935"/>
        <v>0.47567634648796231</v>
      </c>
      <c r="BZ887" s="16">
        <f t="shared" si="2935"/>
        <v>0.47567634648796231</v>
      </c>
    </row>
    <row r="888" spans="1:78">
      <c r="A888" s="1" t="s">
        <v>305</v>
      </c>
      <c r="Y888" s="145">
        <f>Y887</f>
        <v>1.9230769230769229</v>
      </c>
      <c r="Z888" s="16">
        <f>Z886/(Y886+Z885-Y885)-1</f>
        <v>0</v>
      </c>
      <c r="AA888" s="16">
        <f>AA886/(Z886+AA885-Z885)-1</f>
        <v>-4.2735042735042694E-2</v>
      </c>
      <c r="AB888" s="16">
        <f>(1+Y888)*(1+Z888)*(1+AA888)-1</f>
        <v>1.7981591058514135</v>
      </c>
      <c r="AC888" s="16">
        <f>AC886/(AB886+AC885-AB885)-1</f>
        <v>-2.0576131687242816E-2</v>
      </c>
      <c r="AD888" s="16">
        <f>AD886/(AC886+AD885-AC885)-1</f>
        <v>-1.3333333333333308E-2</v>
      </c>
      <c r="AE888" s="295">
        <f>AE886/(AD886+0.5*(AE890-AD890)-0.5*AE906)-1</f>
        <v>0.12907117008443914</v>
      </c>
      <c r="AF888" s="16">
        <f>AF886/(AE886+0.5*(AF890-AE890)-0.5*AF906)-1</f>
        <v>-5.7377049180327822E-2</v>
      </c>
      <c r="AG888" s="16">
        <f>(1+AC888)*(1+AD888)*(1+AE888)*(1+AF888)-1</f>
        <v>2.8490933668677609E-2</v>
      </c>
      <c r="AH888" s="16">
        <f>AH886/(AG886+0.5*(AH890-AG890)-0.5*AH906)-1</f>
        <v>-0.20171673819742486</v>
      </c>
      <c r="AI888" s="16">
        <f>AI886/(AH886+0.5*(AI890-AH890)-0.5*AI906)-1</f>
        <v>-0.12332439678284179</v>
      </c>
      <c r="AJ888" s="16">
        <f>AJ886/(AI886+0.5*(AJ890-AI890)-0.5*AJ906)-1</f>
        <v>-6.2595419847328193E-2</v>
      </c>
      <c r="AK888" s="16">
        <f>AK886/(AJ886+0.5*(AK890-AJ890)-0.5*AK906)-1</f>
        <v>-4.530744336569581E-2</v>
      </c>
      <c r="AL888" s="16">
        <f>(1+AH888)*(1+AI888)*(1+AJ888)*(1+AK888)-1</f>
        <v>-0.37369402957534936</v>
      </c>
      <c r="AM888" s="16">
        <f>AM886/(AL886+0.5*(AM890-AL890)-0.5*AM906)-1</f>
        <v>9.966777408637828E-3</v>
      </c>
      <c r="AN888" s="16">
        <f>AN886/(AM886+0.5*(AN890-AM890)-0.5*AN906)-1</f>
        <v>-6.557377049180324E-2</v>
      </c>
      <c r="AO888" s="16">
        <f>AO886/(AN886+0.5*(AO890-AN890)-0.5*AO906)-1</f>
        <v>5.7996485061511338E-2</v>
      </c>
      <c r="AP888" s="16">
        <f>AP886/(AO886+0.5*(AP890-AO890)-0.5*AP906)-1</f>
        <v>-8.2918739635157168E-3</v>
      </c>
      <c r="AQ888" s="16">
        <f>(1+AM888)*(1+AN888)*(1+AO888)*(1+AP888)-1</f>
        <v>-9.8061939001298226E-3</v>
      </c>
      <c r="AR888" s="16">
        <f>AR886/(AQ886+0.5*(AR890-AQ890)-0.5*AR906)-1</f>
        <v>-7.7943615257048071E-2</v>
      </c>
      <c r="AS888" s="16">
        <f>(AS886+AS906)/AR886-1</f>
        <v>5.3956834532374209E-2</v>
      </c>
      <c r="AT888" s="16">
        <f>AT886/(AS886+0.5*(AT890-AS890)-0.5*AT906)-1</f>
        <v>-2.1848739495798353E-2</v>
      </c>
      <c r="AU888" s="16">
        <f>AU886/(AT886+0.5*(AU890-AT890)-0.5*AU906)-1</f>
        <v>4.0257648953301084E-2</v>
      </c>
      <c r="AV888" s="16">
        <f>(1+AR888)*(1+AS888)*(1+AT888)*(1+AU888)-1</f>
        <v>-1.1157234302378138E-2</v>
      </c>
      <c r="AW888" s="16">
        <f>AW886/(AV886+0.5*(AW890-AV890)-0.5*AW906)-1</f>
        <v>0.13103448275862073</v>
      </c>
      <c r="AX888" s="16">
        <f>(AX886+AX906)/AW886-1</f>
        <v>0.19268292682926824</v>
      </c>
      <c r="AY888" s="16">
        <f>AY886/(AX886+0.5*(AY890-AX890)-0.5*AY906)-1</f>
        <v>0.43283582089552231</v>
      </c>
      <c r="AZ888" s="16">
        <f>(AZ886+AZ906)/AY886-1</f>
        <v>1.9675925925926041E-3</v>
      </c>
      <c r="BA888" s="16">
        <f>(1+AW888)*(1+AX888)*(1+AY888)*(1+AZ888)-1</f>
        <v>0.93664916795333664</v>
      </c>
      <c r="BB888" s="16">
        <f>(BB886+BB906)/BA886-1</f>
        <v>0.36095946102915555</v>
      </c>
      <c r="BC888" s="16">
        <f>(BC886+BC906)/BB886-1</f>
        <v>0.10248700657188259</v>
      </c>
      <c r="BD888" s="16">
        <f>(BD886+BD906)/BC886-1</f>
        <v>9.3629873695771471E-2</v>
      </c>
      <c r="BE888" s="16">
        <f>(BE886+BE906)/BD886-1</f>
        <v>-3.6119338293727488E-4</v>
      </c>
      <c r="BF888" s="16">
        <f>(1+BB888)*(1+BC888)*(1+BD888)*(1+BE888)-1</f>
        <v>0.64033344972642814</v>
      </c>
      <c r="BG888" s="16">
        <f>(BG886+BG906)/BF886-1</f>
        <v>1.2266142534760105E-2</v>
      </c>
      <c r="BH888" s="16">
        <f>(BH886+BH906)/BG886-1</f>
        <v>1.2276703668308464E-2</v>
      </c>
      <c r="BI888" s="16">
        <f>(BI886+BI906)/BH886-1</f>
        <v>1.2261276658987796E-2</v>
      </c>
      <c r="BJ888" s="16">
        <f>(BJ886+BJ906)/BI886-1</f>
        <v>1.2257943222410139E-2</v>
      </c>
      <c r="BK888" s="16">
        <f>(1+BG888)*(1+BH888)*(1+BI888)*(1+BJ888)-1</f>
        <v>4.9972127027076096E-2</v>
      </c>
      <c r="BL888" s="16">
        <f>(BL886+BL906)/BK886-1</f>
        <v>1.2267601341054535E-2</v>
      </c>
      <c r="BM888" s="16">
        <f>(BM886+BM906)/BL886-1</f>
        <v>1.2264409701814083E-2</v>
      </c>
      <c r="BN888" s="16">
        <f>(BN886+BN906)/BM886-1</f>
        <v>1.2278859358591188E-2</v>
      </c>
      <c r="BO888" s="16">
        <f>(BO886+BO906)/BN886-1</f>
        <v>1.2272499582568042E-2</v>
      </c>
      <c r="BP888" s="16">
        <f>(1+BL888)*(1+BM888)*(1+BN888)*(1+BO888)-1</f>
        <v>4.9994224707400781E-2</v>
      </c>
      <c r="BQ888" s="16">
        <f>(BQ886+BQ906)/BP886-1</f>
        <v>1.228745727512659E-2</v>
      </c>
      <c r="BR888" s="16">
        <f>(BR886+BR906)/BQ886-1</f>
        <v>1.2272748088107299E-2</v>
      </c>
      <c r="BS888" s="16">
        <f>(BS886+BS906)/BR886-1</f>
        <v>1.2277111955568465E-2</v>
      </c>
      <c r="BT888" s="16">
        <f>(BT886+BT906)/BS886-1</f>
        <v>1.2252346193952102E-2</v>
      </c>
      <c r="BU888" s="16">
        <f>(1+BQ888)*(1+BR888)*(1+BS888)*(1+BT888)-1</f>
        <v>5.000075251386904E-2</v>
      </c>
      <c r="BV888" s="16">
        <f>(BV886+BV906)/BU886-1</f>
        <v>1.2249255492498667E-2</v>
      </c>
      <c r="BW888" s="16">
        <f>(BW886+BW906)/BV886-1</f>
        <v>1.22733101300605E-2</v>
      </c>
      <c r="BX888" s="16">
        <f>(BX886+BX906)/BW886-1</f>
        <v>1.2265415549597813E-2</v>
      </c>
      <c r="BY888" s="16">
        <f>(BY886+BY906)/BX886-1</f>
        <v>1.2290502793296021E-2</v>
      </c>
      <c r="BZ888" s="16">
        <f>(1+BV888)*(1+BW888)*(1+BX888)*(1+BY888)-1</f>
        <v>4.9989156224143017E-2</v>
      </c>
    </row>
    <row r="889" spans="1:78">
      <c r="AE889" s="160" t="s">
        <v>1302</v>
      </c>
      <c r="AF889" s="44"/>
      <c r="AG889" s="44"/>
      <c r="AH889" s="44"/>
      <c r="AI889" s="44"/>
      <c r="AJ889" s="44"/>
      <c r="AK889" s="44"/>
    </row>
    <row r="890" spans="1:78">
      <c r="A890" s="1" t="s">
        <v>441</v>
      </c>
      <c r="AC890" s="37">
        <v>20200</v>
      </c>
      <c r="AD890" s="37">
        <v>33900</v>
      </c>
      <c r="AE890" s="37">
        <v>43100</v>
      </c>
      <c r="AF890" s="37">
        <v>47500</v>
      </c>
      <c r="AG890" s="36">
        <f>AF890</f>
        <v>47500</v>
      </c>
      <c r="AH890" s="37">
        <v>49600</v>
      </c>
      <c r="AI890" s="37">
        <v>49800</v>
      </c>
      <c r="AJ890" s="37">
        <v>49900</v>
      </c>
      <c r="AK890" s="37">
        <v>50200</v>
      </c>
      <c r="AL890" s="36">
        <f>AK890</f>
        <v>50200</v>
      </c>
      <c r="AM890" s="37">
        <v>51800</v>
      </c>
      <c r="AN890" s="37">
        <v>52200</v>
      </c>
      <c r="AO890" s="37">
        <v>52300</v>
      </c>
      <c r="AP890" s="37">
        <v>52400</v>
      </c>
      <c r="AQ890" s="36">
        <f>AP890</f>
        <v>52400</v>
      </c>
      <c r="AR890" s="37">
        <v>53000</v>
      </c>
      <c r="AS890" s="37">
        <v>53600</v>
      </c>
      <c r="AT890" s="37">
        <v>55200</v>
      </c>
      <c r="AU890" s="37">
        <v>60800</v>
      </c>
      <c r="AV890" s="36">
        <f>AU890</f>
        <v>60800</v>
      </c>
      <c r="AW890" s="37">
        <v>70900</v>
      </c>
      <c r="AX890" s="37">
        <v>73700</v>
      </c>
      <c r="AY890" s="37">
        <v>95200</v>
      </c>
      <c r="AZ890" s="613">
        <f>'SVF2'!AZ27</f>
        <v>95700</v>
      </c>
      <c r="BA890" s="36">
        <f>AZ890</f>
        <v>95700</v>
      </c>
      <c r="BB890" s="36">
        <f>'SVF2'!BB27</f>
        <v>105700</v>
      </c>
      <c r="BC890" s="36">
        <f>'SVF2'!BC27</f>
        <v>115700</v>
      </c>
      <c r="BD890" s="36">
        <f>'SVF2'!BD27</f>
        <v>125700</v>
      </c>
      <c r="BE890" s="36">
        <f>'SVF2'!BE27</f>
        <v>125700</v>
      </c>
      <c r="BF890" s="36">
        <f>BE890</f>
        <v>125700</v>
      </c>
      <c r="BG890" s="36">
        <f>'SVF2'!BG27</f>
        <v>125700</v>
      </c>
      <c r="BH890" s="36">
        <f>'SVF2'!BH27</f>
        <v>125700</v>
      </c>
      <c r="BI890" s="36">
        <f>'SVF2'!BI27</f>
        <v>125700</v>
      </c>
      <c r="BJ890" s="36">
        <f>'SVF2'!BJ27</f>
        <v>125700</v>
      </c>
      <c r="BK890" s="36">
        <f>BJ890</f>
        <v>125700</v>
      </c>
      <c r="BL890" s="36">
        <f>'SVF2'!BL27</f>
        <v>125700</v>
      </c>
      <c r="BM890" s="36">
        <f>'SVF2'!BM27</f>
        <v>125700</v>
      </c>
      <c r="BN890" s="36">
        <f>'SVF2'!BN27</f>
        <v>125700</v>
      </c>
      <c r="BO890" s="36">
        <f>'SVF2'!BO27</f>
        <v>125700</v>
      </c>
      <c r="BP890" s="36">
        <f>BO890</f>
        <v>125700</v>
      </c>
      <c r="BQ890" s="36">
        <f>'SVF2'!BQ27</f>
        <v>125700</v>
      </c>
      <c r="BR890" s="36">
        <f>'SVF2'!BR27</f>
        <v>125700</v>
      </c>
      <c r="BS890" s="36">
        <f>'SVF2'!BS27</f>
        <v>125700</v>
      </c>
      <c r="BT890" s="36">
        <f>'SVF2'!BT27</f>
        <v>125700</v>
      </c>
      <c r="BU890" s="36">
        <f>BT890</f>
        <v>125700</v>
      </c>
      <c r="BV890" s="36">
        <f>'SVF2'!BV27</f>
        <v>125700</v>
      </c>
      <c r="BW890" s="36">
        <f>'SVF2'!BW27</f>
        <v>125700</v>
      </c>
      <c r="BX890" s="36">
        <f>'SVF2'!BX27</f>
        <v>125700</v>
      </c>
      <c r="BY890" s="36">
        <f>'SVF2'!BY27</f>
        <v>125700</v>
      </c>
      <c r="BZ890" s="36">
        <f>BY890</f>
        <v>125700</v>
      </c>
    </row>
    <row r="891" spans="1:78">
      <c r="A891" s="1" t="s">
        <v>632</v>
      </c>
      <c r="AC891" s="37">
        <v>25000</v>
      </c>
      <c r="AD891" s="37">
        <v>37900</v>
      </c>
      <c r="AE891" s="37">
        <v>48000</v>
      </c>
      <c r="AF891" s="37">
        <v>47600</v>
      </c>
      <c r="AG891" s="36">
        <f>AF891</f>
        <v>47600</v>
      </c>
      <c r="AH891" s="37">
        <v>39700</v>
      </c>
      <c r="AI891" s="37">
        <v>35200</v>
      </c>
      <c r="AJ891" s="37">
        <v>33200</v>
      </c>
      <c r="AK891" s="37">
        <v>31900</v>
      </c>
      <c r="AL891" s="36">
        <f>AK891</f>
        <v>31900</v>
      </c>
      <c r="AM891" s="37">
        <v>33200</v>
      </c>
      <c r="AN891" s="37">
        <v>31500</v>
      </c>
      <c r="AO891" s="37">
        <v>33300</v>
      </c>
      <c r="AP891" s="37">
        <v>33100</v>
      </c>
      <c r="AQ891" s="36">
        <f>AP891</f>
        <v>33100</v>
      </c>
      <c r="AR891" s="37">
        <v>31100</v>
      </c>
      <c r="AS891" s="37">
        <v>32600</v>
      </c>
      <c r="AT891" s="37">
        <v>33000</v>
      </c>
      <c r="AU891" s="37">
        <v>37900</v>
      </c>
      <c r="AV891" s="36">
        <f>AU891</f>
        <v>37900</v>
      </c>
      <c r="AW891" s="37">
        <v>48800</v>
      </c>
      <c r="AX891" s="37">
        <v>64600</v>
      </c>
      <c r="AY891" s="37">
        <v>92700</v>
      </c>
      <c r="AZ891" s="613">
        <f>'SVF2'!AZ28</f>
        <v>92870</v>
      </c>
      <c r="BA891" s="36">
        <f>AZ891</f>
        <v>92870</v>
      </c>
      <c r="BB891" s="36">
        <f>'SVF2'!BB28</f>
        <v>123945</v>
      </c>
      <c r="BC891" s="36">
        <f>'SVF2'!BC28</f>
        <v>135875</v>
      </c>
      <c r="BD891" s="36">
        <f>'SVF2'!BD28</f>
        <v>147810</v>
      </c>
      <c r="BE891" s="36">
        <f>'SVF2'!BE28</f>
        <v>147760</v>
      </c>
      <c r="BF891" s="36">
        <f>BE891</f>
        <v>147760</v>
      </c>
      <c r="BG891" s="36">
        <f>'SVF2'!BG28</f>
        <v>149445</v>
      </c>
      <c r="BH891" s="36">
        <f>'SVF2'!BH28</f>
        <v>151115</v>
      </c>
      <c r="BI891" s="36">
        <f>'SVF2'!BI28</f>
        <v>152765</v>
      </c>
      <c r="BJ891" s="36">
        <f>'SVF2'!BJ28</f>
        <v>154395</v>
      </c>
      <c r="BK891" s="36">
        <f>BJ891</f>
        <v>154395</v>
      </c>
      <c r="BL891" s="36">
        <f>'SVF2'!BL28</f>
        <v>156005</v>
      </c>
      <c r="BM891" s="36">
        <f>'SVF2'!BM28</f>
        <v>157570</v>
      </c>
      <c r="BN891" s="36">
        <f>'SVF2'!BN28</f>
        <v>159090</v>
      </c>
      <c r="BO891" s="36">
        <f>'SVF2'!BO28</f>
        <v>160560</v>
      </c>
      <c r="BP891" s="36">
        <f>BO891</f>
        <v>160560</v>
      </c>
      <c r="BQ891" s="36">
        <f>'SVF2'!BQ28</f>
        <v>161980</v>
      </c>
      <c r="BR891" s="36">
        <f>'SVF2'!BR28</f>
        <v>163320</v>
      </c>
      <c r="BS891" s="36">
        <f>'SVF2'!BS28</f>
        <v>164580</v>
      </c>
      <c r="BT891" s="36">
        <f>'SVF2'!BT28</f>
        <v>165755</v>
      </c>
      <c r="BU891" s="36">
        <f>BT891</f>
        <v>165755</v>
      </c>
      <c r="BV891" s="36">
        <f>'SVF2'!BV28</f>
        <v>166845</v>
      </c>
      <c r="BW891" s="36">
        <f>'SVF2'!BW28</f>
        <v>167850</v>
      </c>
      <c r="BX891" s="36">
        <f>'SVF2'!BX28</f>
        <v>168765</v>
      </c>
      <c r="BY891" s="36">
        <f>'SVF2'!BY28</f>
        <v>169590</v>
      </c>
      <c r="BZ891" s="36">
        <f>BY891</f>
        <v>169590</v>
      </c>
    </row>
    <row r="892" spans="1:78">
      <c r="A892" s="1" t="s">
        <v>445</v>
      </c>
      <c r="AC892" s="36">
        <f t="shared" ref="AC892:AO892" si="2936">AC891-AC890</f>
        <v>4800</v>
      </c>
      <c r="AD892" s="36">
        <f t="shared" si="2936"/>
        <v>4000</v>
      </c>
      <c r="AE892" s="36">
        <f t="shared" si="2936"/>
        <v>4900</v>
      </c>
      <c r="AF892" s="36">
        <f t="shared" si="2936"/>
        <v>100</v>
      </c>
      <c r="AG892" s="36">
        <f t="shared" si="2936"/>
        <v>100</v>
      </c>
      <c r="AH892" s="36">
        <f t="shared" si="2936"/>
        <v>-9900</v>
      </c>
      <c r="AI892" s="36">
        <f t="shared" si="2936"/>
        <v>-14600</v>
      </c>
      <c r="AJ892" s="36">
        <f t="shared" si="2936"/>
        <v>-16700</v>
      </c>
      <c r="AK892" s="36">
        <f t="shared" si="2936"/>
        <v>-18300</v>
      </c>
      <c r="AL892" s="36">
        <f t="shared" si="2936"/>
        <v>-18300</v>
      </c>
      <c r="AM892" s="36">
        <f t="shared" si="2936"/>
        <v>-18600</v>
      </c>
      <c r="AN892" s="36">
        <f t="shared" si="2936"/>
        <v>-20700</v>
      </c>
      <c r="AO892" s="36">
        <f t="shared" si="2936"/>
        <v>-19000</v>
      </c>
      <c r="AP892" s="36">
        <f>AP891-AP890</f>
        <v>-19300</v>
      </c>
      <c r="AQ892" s="36">
        <f t="shared" ref="AQ892" si="2937">AQ891-AQ890</f>
        <v>-19300</v>
      </c>
      <c r="AR892" s="36">
        <f t="shared" ref="AR892:BZ892" si="2938">AR891-AR890</f>
        <v>-21900</v>
      </c>
      <c r="AS892" s="36">
        <f t="shared" ref="AS892:AW892" si="2939">AS891-AS890</f>
        <v>-21000</v>
      </c>
      <c r="AT892" s="36">
        <f t="shared" si="2939"/>
        <v>-22200</v>
      </c>
      <c r="AU892" s="36">
        <f>AU891-AU890</f>
        <v>-22900</v>
      </c>
      <c r="AV892" s="36">
        <f t="shared" ref="AV892" si="2940">AV891-AV890</f>
        <v>-22900</v>
      </c>
      <c r="AW892" s="36">
        <f t="shared" si="2939"/>
        <v>-22100</v>
      </c>
      <c r="AX892" s="36">
        <f t="shared" ref="AX892:AY892" si="2941">AX891-AX890</f>
        <v>-9100</v>
      </c>
      <c r="AY892" s="36">
        <f t="shared" si="2941"/>
        <v>-2500</v>
      </c>
      <c r="AZ892" s="59">
        <f t="shared" si="2938"/>
        <v>-2830</v>
      </c>
      <c r="BA892" s="59">
        <f t="shared" si="2938"/>
        <v>-2830</v>
      </c>
      <c r="BB892" s="59">
        <f t="shared" si="2938"/>
        <v>18245</v>
      </c>
      <c r="BC892" s="59">
        <f t="shared" si="2938"/>
        <v>20175</v>
      </c>
      <c r="BD892" s="59">
        <f t="shared" si="2938"/>
        <v>22110</v>
      </c>
      <c r="BE892" s="59">
        <f t="shared" si="2938"/>
        <v>22060</v>
      </c>
      <c r="BF892" s="59">
        <f t="shared" si="2938"/>
        <v>22060</v>
      </c>
      <c r="BG892" s="59">
        <f t="shared" si="2938"/>
        <v>23745</v>
      </c>
      <c r="BH892" s="59">
        <f t="shared" si="2938"/>
        <v>25415</v>
      </c>
      <c r="BI892" s="59">
        <f t="shared" si="2938"/>
        <v>27065</v>
      </c>
      <c r="BJ892" s="59">
        <f t="shared" si="2938"/>
        <v>28695</v>
      </c>
      <c r="BK892" s="59">
        <f t="shared" si="2938"/>
        <v>28695</v>
      </c>
      <c r="BL892" s="59">
        <f t="shared" si="2938"/>
        <v>30305</v>
      </c>
      <c r="BM892" s="59">
        <f t="shared" si="2938"/>
        <v>31870</v>
      </c>
      <c r="BN892" s="59">
        <f t="shared" si="2938"/>
        <v>33390</v>
      </c>
      <c r="BO892" s="59">
        <f t="shared" si="2938"/>
        <v>34860</v>
      </c>
      <c r="BP892" s="59">
        <f t="shared" si="2938"/>
        <v>34860</v>
      </c>
      <c r="BQ892" s="59">
        <f t="shared" si="2938"/>
        <v>36280</v>
      </c>
      <c r="BR892" s="59">
        <f t="shared" si="2938"/>
        <v>37620</v>
      </c>
      <c r="BS892" s="59">
        <f t="shared" si="2938"/>
        <v>38880</v>
      </c>
      <c r="BT892" s="59">
        <f t="shared" si="2938"/>
        <v>40055</v>
      </c>
      <c r="BU892" s="59">
        <f t="shared" si="2938"/>
        <v>40055</v>
      </c>
      <c r="BV892" s="59">
        <f t="shared" si="2938"/>
        <v>41145</v>
      </c>
      <c r="BW892" s="59">
        <f t="shared" si="2938"/>
        <v>42150</v>
      </c>
      <c r="BX892" s="59">
        <f t="shared" si="2938"/>
        <v>43065</v>
      </c>
      <c r="BY892" s="59">
        <f t="shared" si="2938"/>
        <v>43890</v>
      </c>
      <c r="BZ892" s="59">
        <f t="shared" si="2938"/>
        <v>43890</v>
      </c>
    </row>
    <row r="893" spans="1:78">
      <c r="A893" s="1" t="s">
        <v>560</v>
      </c>
      <c r="AC893" s="167">
        <f t="shared" ref="AC893:AI893" si="2942">AC891/AC890</f>
        <v>1.2376237623762376</v>
      </c>
      <c r="AD893" s="167">
        <f t="shared" si="2942"/>
        <v>1.1179941002949854</v>
      </c>
      <c r="AE893" s="167">
        <f t="shared" si="2942"/>
        <v>1.1136890951276102</v>
      </c>
      <c r="AF893" s="167">
        <f t="shared" si="2942"/>
        <v>1.0021052631578948</v>
      </c>
      <c r="AG893" s="167">
        <f t="shared" si="2942"/>
        <v>1.0021052631578948</v>
      </c>
      <c r="AH893" s="167">
        <f t="shared" si="2942"/>
        <v>0.80040322580645162</v>
      </c>
      <c r="AI893" s="167">
        <f t="shared" si="2942"/>
        <v>0.70682730923694781</v>
      </c>
      <c r="AJ893" s="167">
        <f t="shared" ref="AJ893:AM893" si="2943">AJ891/AJ890</f>
        <v>0.66533066132264529</v>
      </c>
      <c r="AK893" s="167">
        <f t="shared" si="2943"/>
        <v>0.63545816733067728</v>
      </c>
      <c r="AL893" s="167">
        <f t="shared" si="2943"/>
        <v>0.63545816733067728</v>
      </c>
      <c r="AM893" s="167">
        <f t="shared" si="2943"/>
        <v>0.64092664092664098</v>
      </c>
      <c r="AN893" s="167">
        <f t="shared" ref="AN893:AQ893" si="2944">AN891/AN890</f>
        <v>0.60344827586206895</v>
      </c>
      <c r="AO893" s="167">
        <f t="shared" si="2944"/>
        <v>0.6367112810707457</v>
      </c>
      <c r="AP893" s="167">
        <f t="shared" si="2944"/>
        <v>0.63167938931297707</v>
      </c>
      <c r="AQ893" s="167">
        <f t="shared" si="2944"/>
        <v>0.63167938931297707</v>
      </c>
      <c r="AR893" s="167">
        <f t="shared" ref="AR893" si="2945">AR891/AR890</f>
        <v>0.58679245283018866</v>
      </c>
      <c r="AS893" s="167">
        <f t="shared" ref="AS893:AW893" si="2946">AS891/AS890</f>
        <v>0.60820895522388063</v>
      </c>
      <c r="AT893" s="167">
        <f t="shared" si="2946"/>
        <v>0.59782608695652173</v>
      </c>
      <c r="AU893" s="167">
        <f t="shared" si="2946"/>
        <v>0.62335526315789469</v>
      </c>
      <c r="AV893" s="167">
        <f t="shared" si="2946"/>
        <v>0.62335526315789469</v>
      </c>
      <c r="AW893" s="167">
        <f t="shared" si="2946"/>
        <v>0.68829337094499299</v>
      </c>
      <c r="AX893" s="167">
        <f t="shared" ref="AX893:AY893" si="2947">AX891/AX890</f>
        <v>0.87652645861601086</v>
      </c>
      <c r="AY893" s="167">
        <f t="shared" si="2947"/>
        <v>0.97373949579831931</v>
      </c>
      <c r="AZ893" s="167">
        <f t="shared" ref="AZ893:BA893" si="2948">AZ891/AZ890</f>
        <v>0.97042842215256009</v>
      </c>
      <c r="BA893" s="167">
        <f t="shared" si="2948"/>
        <v>0.97042842215256009</v>
      </c>
      <c r="BB893" s="167">
        <f t="shared" ref="BB893:BZ893" si="2949">BB891/BB890</f>
        <v>1.1726111636707663</v>
      </c>
      <c r="BC893" s="167">
        <f t="shared" si="2949"/>
        <v>1.1743733794295592</v>
      </c>
      <c r="BD893" s="167">
        <f t="shared" si="2949"/>
        <v>1.1758949880668257</v>
      </c>
      <c r="BE893" s="167">
        <f t="shared" si="2949"/>
        <v>1.1754972155926811</v>
      </c>
      <c r="BF893" s="167">
        <f t="shared" si="2949"/>
        <v>1.1754972155926811</v>
      </c>
      <c r="BG893" s="167">
        <f t="shared" si="2949"/>
        <v>1.1889021479713604</v>
      </c>
      <c r="BH893" s="167">
        <f t="shared" si="2949"/>
        <v>1.2021877486077963</v>
      </c>
      <c r="BI893" s="167">
        <f t="shared" si="2949"/>
        <v>1.2153142402545745</v>
      </c>
      <c r="BJ893" s="167">
        <f t="shared" si="2949"/>
        <v>1.2282816229116944</v>
      </c>
      <c r="BK893" s="167">
        <f t="shared" si="2949"/>
        <v>1.2282816229116944</v>
      </c>
      <c r="BL893" s="167">
        <f t="shared" si="2949"/>
        <v>1.2410898965791568</v>
      </c>
      <c r="BM893" s="167">
        <f t="shared" si="2949"/>
        <v>1.2535401750198887</v>
      </c>
      <c r="BN893" s="167">
        <f t="shared" si="2949"/>
        <v>1.2656324582338903</v>
      </c>
      <c r="BO893" s="167">
        <f t="shared" si="2949"/>
        <v>1.277326968973747</v>
      </c>
      <c r="BP893" s="167">
        <f t="shared" si="2949"/>
        <v>1.277326968973747</v>
      </c>
      <c r="BQ893" s="167">
        <f t="shared" si="2949"/>
        <v>1.2886237072394591</v>
      </c>
      <c r="BR893" s="167">
        <f t="shared" si="2949"/>
        <v>1.2992840095465394</v>
      </c>
      <c r="BS893" s="167">
        <f t="shared" si="2949"/>
        <v>1.3093078758949881</v>
      </c>
      <c r="BT893" s="167">
        <f t="shared" si="2949"/>
        <v>1.3186555290373907</v>
      </c>
      <c r="BU893" s="167">
        <f t="shared" si="2949"/>
        <v>1.3186555290373907</v>
      </c>
      <c r="BV893" s="167">
        <f t="shared" si="2949"/>
        <v>1.327326968973747</v>
      </c>
      <c r="BW893" s="167">
        <f t="shared" si="2949"/>
        <v>1.3353221957040573</v>
      </c>
      <c r="BX893" s="167">
        <f t="shared" si="2949"/>
        <v>1.342601431980907</v>
      </c>
      <c r="BY893" s="167">
        <f t="shared" si="2949"/>
        <v>1.3491646778042961</v>
      </c>
      <c r="BZ893" s="167">
        <f t="shared" si="2949"/>
        <v>1.3491646778042961</v>
      </c>
    </row>
    <row r="894" spans="1:78">
      <c r="AZ894" s="522" t="s">
        <v>1320</v>
      </c>
      <c r="BA894" s="647"/>
      <c r="BB894" s="647"/>
      <c r="BC894" s="647"/>
    </row>
    <row r="895" spans="1:78">
      <c r="A895" s="64" t="s">
        <v>3195</v>
      </c>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c r="AB895" s="64"/>
      <c r="AC895" s="64"/>
      <c r="AD895" s="64"/>
      <c r="AE895" s="64"/>
      <c r="AF895" s="64"/>
      <c r="AG895" s="64"/>
      <c r="AH895" s="64"/>
      <c r="AX895" s="944" t="s">
        <v>3194</v>
      </c>
      <c r="AY895" s="618"/>
      <c r="AZ895" s="618"/>
      <c r="BA895" s="618"/>
      <c r="BB895" s="618"/>
    </row>
    <row r="896" spans="1:78">
      <c r="A896" s="9" t="s">
        <v>300</v>
      </c>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39"/>
      <c r="AD896" s="39"/>
      <c r="AE896" s="39"/>
      <c r="AF896" s="39"/>
      <c r="AG896" s="39"/>
      <c r="AH896" s="39"/>
      <c r="AI896" s="39"/>
      <c r="AJ896" s="39"/>
      <c r="AK896" s="39"/>
      <c r="AL896" s="39"/>
      <c r="AM896" s="39"/>
      <c r="AN896" s="39"/>
      <c r="AO896" s="39"/>
      <c r="AP896" s="39"/>
      <c r="AQ896" s="39"/>
      <c r="AR896" s="39"/>
      <c r="AS896" s="39"/>
      <c r="AT896" s="39"/>
      <c r="AU896" s="39"/>
      <c r="AV896" s="39"/>
      <c r="AW896" s="39"/>
      <c r="AX896" s="945">
        <v>1700</v>
      </c>
      <c r="AY896" s="39"/>
      <c r="AZ896" s="39"/>
      <c r="BA896" s="39"/>
      <c r="BB896" s="39"/>
      <c r="BC896" s="39"/>
      <c r="BD896" s="39"/>
      <c r="BE896" s="39"/>
      <c r="BF896" s="39"/>
      <c r="BG896" s="39"/>
      <c r="BH896" s="39"/>
      <c r="BI896" s="39"/>
      <c r="BJ896" s="39"/>
      <c r="BK896" s="39"/>
      <c r="BL896" s="39"/>
      <c r="BM896" s="39"/>
      <c r="BN896" s="39"/>
      <c r="BO896" s="39"/>
      <c r="BP896" s="39"/>
      <c r="BQ896" s="39"/>
      <c r="BR896" s="39"/>
      <c r="BS896" s="39"/>
      <c r="BT896" s="39"/>
      <c r="BU896" s="39"/>
      <c r="BV896" s="39"/>
      <c r="BW896" s="39"/>
      <c r="BX896" s="39"/>
      <c r="BY896" s="39"/>
      <c r="BZ896" s="39"/>
    </row>
    <row r="897" spans="1:78">
      <c r="A897" s="1" t="s">
        <v>301</v>
      </c>
      <c r="AX897" s="763">
        <v>7900</v>
      </c>
      <c r="AZ897" s="82"/>
      <c r="BA897" s="79"/>
      <c r="BB897" s="79"/>
      <c r="BC897" s="79"/>
    </row>
    <row r="898" spans="1:78">
      <c r="AZ898" s="82"/>
      <c r="BA898" s="79"/>
      <c r="BB898" s="79"/>
      <c r="BC898" s="79"/>
    </row>
    <row r="899" spans="1:78">
      <c r="A899" s="64" t="s">
        <v>443</v>
      </c>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c r="AB899" s="64"/>
      <c r="AC899" s="64"/>
      <c r="AD899" s="64"/>
      <c r="AE899" s="64"/>
      <c r="AF899" s="64"/>
      <c r="AG899" s="64"/>
      <c r="AH899" s="64"/>
      <c r="AY899" s="1081" t="s">
        <v>3384</v>
      </c>
      <c r="AZ899" s="710"/>
      <c r="BA899" s="710"/>
      <c r="BB899" s="710"/>
      <c r="BC899" s="710"/>
      <c r="BD899" s="710"/>
      <c r="BE899" s="710"/>
      <c r="BF899" s="710"/>
    </row>
    <row r="900" spans="1:78">
      <c r="A900" s="9" t="s">
        <v>300</v>
      </c>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39">
        <f t="shared" ref="AC900:AW900" si="2950">AC890-AC885</f>
        <v>400</v>
      </c>
      <c r="AD900" s="39">
        <f t="shared" si="2950"/>
        <v>400</v>
      </c>
      <c r="AE900" s="39">
        <f t="shared" si="2950"/>
        <v>500</v>
      </c>
      <c r="AF900" s="39">
        <f t="shared" si="2950"/>
        <v>900</v>
      </c>
      <c r="AG900" s="39">
        <f t="shared" si="2950"/>
        <v>900</v>
      </c>
      <c r="AH900" s="39">
        <f t="shared" si="2950"/>
        <v>1400</v>
      </c>
      <c r="AI900" s="39">
        <f t="shared" si="2950"/>
        <v>1500</v>
      </c>
      <c r="AJ900" s="39">
        <f t="shared" si="2950"/>
        <v>1600</v>
      </c>
      <c r="AK900" s="39">
        <f t="shared" si="2950"/>
        <v>1600</v>
      </c>
      <c r="AL900" s="39">
        <f t="shared" si="2950"/>
        <v>1600</v>
      </c>
      <c r="AM900" s="39">
        <f t="shared" si="2950"/>
        <v>1800</v>
      </c>
      <c r="AN900" s="39">
        <f t="shared" si="2950"/>
        <v>2500</v>
      </c>
      <c r="AO900" s="39">
        <f t="shared" si="2950"/>
        <v>2800</v>
      </c>
      <c r="AP900" s="39">
        <f t="shared" si="2950"/>
        <v>3000</v>
      </c>
      <c r="AQ900" s="39">
        <f t="shared" si="2950"/>
        <v>3000</v>
      </c>
      <c r="AR900" s="39">
        <f t="shared" si="2950"/>
        <v>6700</v>
      </c>
      <c r="AS900" s="39">
        <f t="shared" si="2950"/>
        <v>7000</v>
      </c>
      <c r="AT900" s="39">
        <f t="shared" si="2950"/>
        <v>8100</v>
      </c>
      <c r="AU900" s="39">
        <f t="shared" si="2950"/>
        <v>10000</v>
      </c>
      <c r="AV900" s="39">
        <f t="shared" si="2950"/>
        <v>10000</v>
      </c>
      <c r="AW900" s="39">
        <f t="shared" si="2950"/>
        <v>14500</v>
      </c>
      <c r="AX900" s="646">
        <f>AX890-AX885-AX896</f>
        <v>14800</v>
      </c>
      <c r="AY900" s="1082">
        <f>AY890-AY885</f>
        <v>9900</v>
      </c>
      <c r="AZ900" s="39">
        <f t="shared" ref="AZ900:AZ901" si="2951">AY900+AZ905</f>
        <v>10079.838235294117</v>
      </c>
      <c r="BA900" s="39">
        <f>AZ900</f>
        <v>10079.838235294117</v>
      </c>
      <c r="BB900" s="39">
        <f t="shared" ref="BB900:BE901" si="2952">BA900+BB905</f>
        <v>10974.838235294117</v>
      </c>
      <c r="BC900" s="39">
        <f t="shared" si="2952"/>
        <v>11994.838235294117</v>
      </c>
      <c r="BD900" s="39">
        <f t="shared" si="2952"/>
        <v>13139.838235294117</v>
      </c>
      <c r="BE900" s="39">
        <f t="shared" si="2952"/>
        <v>14329.838235294117</v>
      </c>
      <c r="BF900" s="39">
        <f>BE900</f>
        <v>14329.838235294117</v>
      </c>
      <c r="BG900" s="39">
        <f t="shared" ref="BG900:BJ901" si="2953">BF900+BG905</f>
        <v>16904.838235294119</v>
      </c>
      <c r="BH900" s="39">
        <f t="shared" si="2953"/>
        <v>19534.838235294119</v>
      </c>
      <c r="BI900" s="39">
        <f t="shared" si="2953"/>
        <v>22229.838235294119</v>
      </c>
      <c r="BJ900" s="39">
        <f t="shared" si="2953"/>
        <v>24994.838235294119</v>
      </c>
      <c r="BK900" s="39">
        <f>BJ900</f>
        <v>24994.838235294119</v>
      </c>
      <c r="BL900" s="39">
        <f t="shared" ref="BL900:BO901" si="2954">BK900+BL905</f>
        <v>29254.838235294119</v>
      </c>
      <c r="BM900" s="39">
        <f t="shared" si="2954"/>
        <v>33574.838235294119</v>
      </c>
      <c r="BN900" s="39">
        <f t="shared" si="2954"/>
        <v>37964.838235294119</v>
      </c>
      <c r="BO900" s="39">
        <f t="shared" si="2954"/>
        <v>42424.838235294119</v>
      </c>
      <c r="BP900" s="39">
        <f>BO900</f>
        <v>42424.838235294119</v>
      </c>
      <c r="BQ900" s="39">
        <f t="shared" ref="BQ900:BT901" si="2955">BP900+BQ905</f>
        <v>48474.838235294119</v>
      </c>
      <c r="BR900" s="39">
        <f t="shared" si="2955"/>
        <v>54529.838235294119</v>
      </c>
      <c r="BS900" s="39">
        <f t="shared" si="2955"/>
        <v>60589.838235294119</v>
      </c>
      <c r="BT900" s="39">
        <f t="shared" si="2955"/>
        <v>66659.838235294126</v>
      </c>
      <c r="BU900" s="39">
        <f>BT900</f>
        <v>66659.838235294126</v>
      </c>
      <c r="BV900" s="39">
        <f t="shared" ref="BV900:BY901" si="2956">BU900+BV905</f>
        <v>72734.838235294126</v>
      </c>
      <c r="BW900" s="39">
        <f t="shared" si="2956"/>
        <v>78814.838235294126</v>
      </c>
      <c r="BX900" s="39">
        <f t="shared" si="2956"/>
        <v>84899.838235294126</v>
      </c>
      <c r="BY900" s="39">
        <f t="shared" si="2956"/>
        <v>90989.838235294126</v>
      </c>
      <c r="BZ900" s="39">
        <f>BY900</f>
        <v>90989.838235294126</v>
      </c>
    </row>
    <row r="901" spans="1:78">
      <c r="A901" s="1" t="s">
        <v>559</v>
      </c>
      <c r="AC901" s="36">
        <f t="shared" ref="AC901:AW901" si="2957">AC891-AC886</f>
        <v>1200</v>
      </c>
      <c r="AD901" s="36">
        <f t="shared" si="2957"/>
        <v>900</v>
      </c>
      <c r="AE901" s="36">
        <f t="shared" si="2957"/>
        <v>1200</v>
      </c>
      <c r="AF901" s="36">
        <f t="shared" si="2957"/>
        <v>1600</v>
      </c>
      <c r="AG901" s="36">
        <f t="shared" si="2957"/>
        <v>1600</v>
      </c>
      <c r="AH901" s="36">
        <f t="shared" si="2957"/>
        <v>2500</v>
      </c>
      <c r="AI901" s="36">
        <f t="shared" si="2957"/>
        <v>2500</v>
      </c>
      <c r="AJ901" s="36">
        <f t="shared" si="2957"/>
        <v>2500</v>
      </c>
      <c r="AK901" s="36">
        <f t="shared" si="2957"/>
        <v>2400</v>
      </c>
      <c r="AL901" s="36">
        <f t="shared" si="2957"/>
        <v>2400</v>
      </c>
      <c r="AM901" s="36">
        <f t="shared" si="2957"/>
        <v>2800</v>
      </c>
      <c r="AN901" s="36">
        <f t="shared" si="2957"/>
        <v>3000</v>
      </c>
      <c r="AO901" s="36">
        <f t="shared" si="2957"/>
        <v>3200</v>
      </c>
      <c r="AP901" s="36">
        <f t="shared" si="2957"/>
        <v>3200</v>
      </c>
      <c r="AQ901" s="36">
        <f t="shared" si="2957"/>
        <v>3200</v>
      </c>
      <c r="AR901" s="36">
        <f t="shared" si="2957"/>
        <v>3300</v>
      </c>
      <c r="AS901" s="36">
        <f t="shared" si="2957"/>
        <v>3400</v>
      </c>
      <c r="AT901" s="36">
        <f t="shared" si="2957"/>
        <v>3900</v>
      </c>
      <c r="AU901" s="36">
        <f t="shared" si="2957"/>
        <v>5600</v>
      </c>
      <c r="AV901" s="36">
        <f t="shared" si="2957"/>
        <v>5600</v>
      </c>
      <c r="AW901" s="36">
        <f t="shared" si="2957"/>
        <v>7800</v>
      </c>
      <c r="AX901" s="624">
        <f t="shared" ref="AX901" si="2958">AX891-AX886-AX897</f>
        <v>8000</v>
      </c>
      <c r="AY901" s="1083">
        <f t="shared" ref="AY901" si="2959">AY891-AY886</f>
        <v>6300</v>
      </c>
      <c r="AZ901" s="36">
        <f t="shared" si="2951"/>
        <v>6780</v>
      </c>
      <c r="BA901" s="36">
        <f>AZ901</f>
        <v>6780</v>
      </c>
      <c r="BB901" s="36">
        <f t="shared" si="2952"/>
        <v>7540</v>
      </c>
      <c r="BC901" s="36">
        <f t="shared" si="2952"/>
        <v>8405</v>
      </c>
      <c r="BD901" s="36">
        <f t="shared" si="2952"/>
        <v>9380</v>
      </c>
      <c r="BE901" s="36">
        <f t="shared" si="2952"/>
        <v>10390</v>
      </c>
      <c r="BF901" s="36">
        <f>BE901</f>
        <v>10390</v>
      </c>
      <c r="BG901" s="36">
        <f t="shared" si="2953"/>
        <v>13415</v>
      </c>
      <c r="BH901" s="36">
        <f t="shared" si="2953"/>
        <v>16545</v>
      </c>
      <c r="BI901" s="36">
        <f t="shared" si="2953"/>
        <v>19790</v>
      </c>
      <c r="BJ901" s="36">
        <f t="shared" si="2953"/>
        <v>23155</v>
      </c>
      <c r="BK901" s="36">
        <f>BJ901</f>
        <v>23155</v>
      </c>
      <c r="BL901" s="36">
        <f t="shared" si="2954"/>
        <v>28400</v>
      </c>
      <c r="BM901" s="36">
        <f t="shared" si="2954"/>
        <v>33780</v>
      </c>
      <c r="BN901" s="36">
        <f t="shared" si="2954"/>
        <v>39310</v>
      </c>
      <c r="BO901" s="36">
        <f t="shared" si="2954"/>
        <v>44995</v>
      </c>
      <c r="BP901" s="36">
        <f>BO901</f>
        <v>44995</v>
      </c>
      <c r="BQ901" s="36">
        <f t="shared" si="2955"/>
        <v>52795</v>
      </c>
      <c r="BR901" s="36">
        <f t="shared" si="2955"/>
        <v>60690</v>
      </c>
      <c r="BS901" s="36">
        <f t="shared" si="2955"/>
        <v>68680</v>
      </c>
      <c r="BT901" s="36">
        <f t="shared" si="2955"/>
        <v>76770</v>
      </c>
      <c r="BU901" s="36">
        <f>BT901</f>
        <v>76770</v>
      </c>
      <c r="BV901" s="36">
        <f t="shared" si="2956"/>
        <v>84960</v>
      </c>
      <c r="BW901" s="36">
        <f t="shared" si="2956"/>
        <v>93250</v>
      </c>
      <c r="BX901" s="36">
        <f t="shared" si="2956"/>
        <v>101640</v>
      </c>
      <c r="BY901" s="36">
        <f t="shared" si="2956"/>
        <v>110135</v>
      </c>
      <c r="BZ901" s="36">
        <f>BY901</f>
        <v>110135</v>
      </c>
    </row>
    <row r="902" spans="1:78">
      <c r="A902" s="1" t="s">
        <v>444</v>
      </c>
      <c r="AC902" s="36">
        <f t="shared" ref="AC902:AJ902" si="2960">AC901-AC900</f>
        <v>800</v>
      </c>
      <c r="AD902" s="36">
        <f t="shared" si="2960"/>
        <v>500</v>
      </c>
      <c r="AE902" s="36">
        <f t="shared" si="2960"/>
        <v>700</v>
      </c>
      <c r="AF902" s="36">
        <f t="shared" si="2960"/>
        <v>700</v>
      </c>
      <c r="AG902" s="36">
        <f t="shared" si="2960"/>
        <v>700</v>
      </c>
      <c r="AH902" s="36">
        <f t="shared" si="2960"/>
        <v>1100</v>
      </c>
      <c r="AI902" s="36">
        <f t="shared" si="2960"/>
        <v>1000</v>
      </c>
      <c r="AJ902" s="36">
        <f t="shared" si="2960"/>
        <v>900</v>
      </c>
      <c r="AK902" s="36">
        <f t="shared" ref="AK902" si="2961">AK901-AK900</f>
        <v>800</v>
      </c>
      <c r="AL902" s="36">
        <f t="shared" ref="AL902:AP902" si="2962">AL901-AL900</f>
        <v>800</v>
      </c>
      <c r="AM902" s="36">
        <f t="shared" si="2962"/>
        <v>1000</v>
      </c>
      <c r="AN902" s="36">
        <f t="shared" si="2962"/>
        <v>500</v>
      </c>
      <c r="AO902" s="36">
        <f t="shared" si="2962"/>
        <v>400</v>
      </c>
      <c r="AP902" s="36">
        <f t="shared" si="2962"/>
        <v>200</v>
      </c>
      <c r="AQ902" s="36">
        <f t="shared" ref="AQ902:AU902" si="2963">AQ901-AQ900</f>
        <v>200</v>
      </c>
      <c r="AR902" s="36">
        <f t="shared" si="2963"/>
        <v>-3400</v>
      </c>
      <c r="AS902" s="36">
        <f t="shared" si="2963"/>
        <v>-3600</v>
      </c>
      <c r="AT902" s="36">
        <f t="shared" si="2963"/>
        <v>-4200</v>
      </c>
      <c r="AU902" s="36">
        <f t="shared" si="2963"/>
        <v>-4400</v>
      </c>
      <c r="AV902" s="36">
        <f t="shared" ref="AV902" si="2964">AV901-AV900</f>
        <v>-4400</v>
      </c>
      <c r="AW902" s="36">
        <f t="shared" ref="AW902:AX902" si="2965">AW901-AW900</f>
        <v>-6700</v>
      </c>
      <c r="AX902" s="624">
        <f t="shared" si="2965"/>
        <v>-6800</v>
      </c>
      <c r="AY902" s="1083">
        <f t="shared" ref="AY902" si="2966">AY901-AY900</f>
        <v>-3600</v>
      </c>
      <c r="AZ902" s="36">
        <f t="shared" ref="AZ902:BZ902" si="2967">AZ892-(AZ886-AZ885)</f>
        <v>-1820</v>
      </c>
      <c r="BA902" s="36">
        <f t="shared" si="2967"/>
        <v>-1820</v>
      </c>
      <c r="BB902" s="36">
        <f t="shared" si="2967"/>
        <v>-1095</v>
      </c>
      <c r="BC902" s="36">
        <f t="shared" si="2967"/>
        <v>-270</v>
      </c>
      <c r="BD902" s="36">
        <f t="shared" si="2967"/>
        <v>665</v>
      </c>
      <c r="BE902" s="36">
        <f t="shared" si="2967"/>
        <v>1640</v>
      </c>
      <c r="BF902" s="36">
        <f t="shared" si="2967"/>
        <v>1640</v>
      </c>
      <c r="BG902" s="36">
        <f t="shared" si="2967"/>
        <v>2090</v>
      </c>
      <c r="BH902" s="36">
        <f t="shared" si="2967"/>
        <v>2590</v>
      </c>
      <c r="BI902" s="36">
        <f t="shared" si="2967"/>
        <v>3140</v>
      </c>
      <c r="BJ902" s="36">
        <f t="shared" si="2967"/>
        <v>3740</v>
      </c>
      <c r="BK902" s="36">
        <f t="shared" si="2967"/>
        <v>3740</v>
      </c>
      <c r="BL902" s="36">
        <f t="shared" si="2967"/>
        <v>4725</v>
      </c>
      <c r="BM902" s="36">
        <f t="shared" si="2967"/>
        <v>5785</v>
      </c>
      <c r="BN902" s="36">
        <f t="shared" si="2967"/>
        <v>6925</v>
      </c>
      <c r="BO902" s="36">
        <f t="shared" si="2967"/>
        <v>8150</v>
      </c>
      <c r="BP902" s="36">
        <f t="shared" si="2967"/>
        <v>8150</v>
      </c>
      <c r="BQ902" s="36">
        <f t="shared" si="2967"/>
        <v>9900</v>
      </c>
      <c r="BR902" s="36">
        <f t="shared" si="2967"/>
        <v>11740</v>
      </c>
      <c r="BS902" s="36">
        <f t="shared" si="2967"/>
        <v>13670</v>
      </c>
      <c r="BT902" s="36">
        <f t="shared" si="2967"/>
        <v>15690</v>
      </c>
      <c r="BU902" s="36">
        <f t="shared" si="2967"/>
        <v>15690</v>
      </c>
      <c r="BV902" s="36">
        <f t="shared" si="2967"/>
        <v>17805</v>
      </c>
      <c r="BW902" s="36">
        <f t="shared" si="2967"/>
        <v>20015</v>
      </c>
      <c r="BX902" s="36">
        <f t="shared" si="2967"/>
        <v>22320</v>
      </c>
      <c r="BY902" s="36">
        <f t="shared" si="2967"/>
        <v>24725</v>
      </c>
      <c r="BZ902" s="36">
        <f t="shared" si="2967"/>
        <v>24725</v>
      </c>
    </row>
    <row r="903" spans="1:78">
      <c r="A903" s="1" t="s">
        <v>561</v>
      </c>
      <c r="AC903" s="167">
        <f t="shared" ref="AC903:AI903" si="2968">AC901/AC900</f>
        <v>3</v>
      </c>
      <c r="AD903" s="167">
        <f t="shared" si="2968"/>
        <v>2.25</v>
      </c>
      <c r="AE903" s="167">
        <f t="shared" si="2968"/>
        <v>2.4</v>
      </c>
      <c r="AF903" s="167">
        <f t="shared" si="2968"/>
        <v>1.7777777777777777</v>
      </c>
      <c r="AG903" s="167">
        <f t="shared" si="2968"/>
        <v>1.7777777777777777</v>
      </c>
      <c r="AH903" s="167">
        <f t="shared" si="2968"/>
        <v>1.7857142857142858</v>
      </c>
      <c r="AI903" s="167">
        <f t="shared" si="2968"/>
        <v>1.6666666666666667</v>
      </c>
      <c r="AJ903" s="167">
        <f t="shared" ref="AJ903:AN903" si="2969">AJ901/AJ900</f>
        <v>1.5625</v>
      </c>
      <c r="AK903" s="167">
        <f t="shared" si="2969"/>
        <v>1.5</v>
      </c>
      <c r="AL903" s="167">
        <f t="shared" si="2969"/>
        <v>1.5</v>
      </c>
      <c r="AM903" s="167">
        <f t="shared" si="2969"/>
        <v>1.5555555555555556</v>
      </c>
      <c r="AN903" s="167">
        <f t="shared" si="2969"/>
        <v>1.2</v>
      </c>
      <c r="AO903" s="167">
        <f t="shared" ref="AO903:AS903" si="2970">AO901/AO900</f>
        <v>1.1428571428571428</v>
      </c>
      <c r="AP903" s="167">
        <f t="shared" si="2970"/>
        <v>1.0666666666666667</v>
      </c>
      <c r="AQ903" s="167">
        <f t="shared" si="2970"/>
        <v>1.0666666666666667</v>
      </c>
      <c r="AR903" s="167">
        <f t="shared" si="2970"/>
        <v>0.4925373134328358</v>
      </c>
      <c r="AS903" s="167">
        <f t="shared" si="2970"/>
        <v>0.48571428571428571</v>
      </c>
      <c r="AT903" s="167">
        <f t="shared" ref="AT903:AX903" si="2971">AT901/AT900</f>
        <v>0.48148148148148145</v>
      </c>
      <c r="AU903" s="167">
        <f t="shared" si="2971"/>
        <v>0.56000000000000005</v>
      </c>
      <c r="AV903" s="167">
        <f t="shared" si="2971"/>
        <v>0.56000000000000005</v>
      </c>
      <c r="AW903" s="167">
        <f t="shared" si="2971"/>
        <v>0.53793103448275859</v>
      </c>
      <c r="AX903" s="946">
        <f t="shared" si="2971"/>
        <v>0.54054054054054057</v>
      </c>
      <c r="AY903" s="1084">
        <f t="shared" ref="AY903" si="2972">AY901/AY900</f>
        <v>0.63636363636363635</v>
      </c>
      <c r="AZ903" s="167">
        <f t="shared" ref="AZ903:BD903" si="2973">AZ901/AZ900</f>
        <v>0.67262984204053233</v>
      </c>
      <c r="BA903" s="167">
        <f t="shared" si="2973"/>
        <v>0.67262984204053233</v>
      </c>
      <c r="BB903" s="167">
        <f t="shared" si="2973"/>
        <v>0.68702607166928631</v>
      </c>
      <c r="BC903" s="167">
        <f t="shared" si="2973"/>
        <v>0.70071807848719248</v>
      </c>
      <c r="BD903" s="167">
        <f t="shared" si="2973"/>
        <v>0.71385962536471381</v>
      </c>
      <c r="BE903" s="167">
        <f t="shared" ref="BE903:BZ903" si="2974">BE901/BE900</f>
        <v>0.72506052262401877</v>
      </c>
      <c r="BF903" s="167">
        <f t="shared" si="2974"/>
        <v>0.72506052262401877</v>
      </c>
      <c r="BG903" s="167">
        <f t="shared" si="2974"/>
        <v>0.79355979709950764</v>
      </c>
      <c r="BH903" s="167">
        <f t="shared" si="2974"/>
        <v>0.84694840063265553</v>
      </c>
      <c r="BI903" s="167">
        <f t="shared" si="2974"/>
        <v>0.8902448947459991</v>
      </c>
      <c r="BJ903" s="167">
        <f t="shared" si="2974"/>
        <v>0.92639127255097964</v>
      </c>
      <c r="BK903" s="167">
        <f t="shared" si="2974"/>
        <v>0.92639127255097964</v>
      </c>
      <c r="BL903" s="167">
        <f t="shared" si="2974"/>
        <v>0.97077959452659657</v>
      </c>
      <c r="BM903" s="167">
        <f t="shared" si="2974"/>
        <v>1.0061105808840567</v>
      </c>
      <c r="BN903" s="167">
        <f t="shared" si="2974"/>
        <v>1.035431779173376</v>
      </c>
      <c r="BO903" s="167">
        <f t="shared" si="2974"/>
        <v>1.0605815336395958</v>
      </c>
      <c r="BP903" s="167">
        <f t="shared" si="2974"/>
        <v>1.0605815336395958</v>
      </c>
      <c r="BQ903" s="167">
        <f t="shared" si="2974"/>
        <v>1.0891217365953045</v>
      </c>
      <c r="BR903" s="167">
        <f t="shared" si="2974"/>
        <v>1.1129686418310105</v>
      </c>
      <c r="BS903" s="167">
        <f t="shared" si="2974"/>
        <v>1.1335234092107758</v>
      </c>
      <c r="BT903" s="167">
        <f t="shared" si="2974"/>
        <v>1.1516679612845637</v>
      </c>
      <c r="BU903" s="167">
        <f t="shared" si="2974"/>
        <v>1.1516679612845637</v>
      </c>
      <c r="BV903" s="167">
        <f t="shared" si="2974"/>
        <v>1.1680784897762198</v>
      </c>
      <c r="BW903" s="167">
        <f t="shared" si="2974"/>
        <v>1.1831528439049901</v>
      </c>
      <c r="BX903" s="167">
        <f t="shared" si="2974"/>
        <v>1.1971754259214447</v>
      </c>
      <c r="BY903" s="167">
        <f t="shared" si="2974"/>
        <v>1.2104098890163719</v>
      </c>
      <c r="BZ903" s="167">
        <f t="shared" si="2974"/>
        <v>1.2104098890163719</v>
      </c>
    </row>
    <row r="905" spans="1:78" s="291" customFormat="1">
      <c r="A905" s="291" t="s">
        <v>1094</v>
      </c>
      <c r="K905" s="292"/>
      <c r="W905" s="293"/>
      <c r="X905" s="293"/>
      <c r="Y905" s="293"/>
      <c r="Z905" s="293"/>
      <c r="AA905" s="293"/>
      <c r="AC905" s="293"/>
      <c r="AD905" s="61"/>
      <c r="AE905" s="293">
        <f>AE900-AD900</f>
        <v>100</v>
      </c>
      <c r="AF905" s="61">
        <f>AF900-AE900</f>
        <v>400</v>
      </c>
      <c r="AH905" s="61">
        <f t="shared" ref="AH905:AK905" si="2975">AH900-AG900</f>
        <v>500</v>
      </c>
      <c r="AI905" s="61">
        <f t="shared" si="2975"/>
        <v>100</v>
      </c>
      <c r="AJ905" s="61">
        <f t="shared" si="2975"/>
        <v>100</v>
      </c>
      <c r="AK905" s="61">
        <f t="shared" si="2975"/>
        <v>0</v>
      </c>
      <c r="AM905" s="61">
        <f t="shared" ref="AM905:AP905" si="2976">AM900-AL900</f>
        <v>200</v>
      </c>
      <c r="AN905" s="61">
        <f t="shared" si="2976"/>
        <v>700</v>
      </c>
      <c r="AO905" s="61">
        <f t="shared" si="2976"/>
        <v>300</v>
      </c>
      <c r="AP905" s="61">
        <f t="shared" si="2976"/>
        <v>200</v>
      </c>
      <c r="AR905" s="61">
        <f t="shared" ref="AR905:AR906" si="2977">AR900-AQ900</f>
        <v>3700</v>
      </c>
      <c r="AS905" s="61">
        <f t="shared" ref="AS905:AS906" si="2978">AS900-AR900</f>
        <v>300</v>
      </c>
      <c r="AT905" s="61">
        <f t="shared" ref="AT905:AT906" si="2979">AT900-AS900</f>
        <v>1100</v>
      </c>
      <c r="AU905" s="61">
        <f t="shared" ref="AU905:AU906" si="2980">AU900-AT900</f>
        <v>1900</v>
      </c>
      <c r="AW905" s="61">
        <f t="shared" ref="AW905:AY906" si="2981">AW900-AV900</f>
        <v>4500</v>
      </c>
      <c r="AX905" s="763">
        <f t="shared" si="2981"/>
        <v>300</v>
      </c>
      <c r="AY905" s="61">
        <f>AY900-AX900</f>
        <v>-4900</v>
      </c>
      <c r="AZ905" s="622">
        <f>'SVF2'!AZ23</f>
        <v>179.83823529411734</v>
      </c>
      <c r="BB905" s="293">
        <f>'SVF2'!BB23</f>
        <v>895</v>
      </c>
      <c r="BC905" s="293">
        <f>'SVF2'!BC23</f>
        <v>1020</v>
      </c>
      <c r="BD905" s="293">
        <f>'SVF2'!BD23</f>
        <v>1145</v>
      </c>
      <c r="BE905" s="293">
        <f>'SVF2'!BE23</f>
        <v>1190</v>
      </c>
      <c r="BG905" s="293">
        <f>'SVF2'!BG23</f>
        <v>2575</v>
      </c>
      <c r="BH905" s="293">
        <f>'SVF2'!BH23</f>
        <v>2630</v>
      </c>
      <c r="BI905" s="293">
        <f>'SVF2'!BI23</f>
        <v>2695</v>
      </c>
      <c r="BJ905" s="293">
        <f>'SVF2'!BJ23</f>
        <v>2765</v>
      </c>
      <c r="BL905" s="293">
        <f>'SVF2'!BL23</f>
        <v>4260</v>
      </c>
      <c r="BM905" s="293">
        <f>'SVF2'!BM23</f>
        <v>4320</v>
      </c>
      <c r="BN905" s="293">
        <f>'SVF2'!BN23</f>
        <v>4390</v>
      </c>
      <c r="BO905" s="293">
        <f>'SVF2'!BO23</f>
        <v>4460</v>
      </c>
      <c r="BQ905" s="293">
        <f>'SVF2'!BQ23</f>
        <v>6050</v>
      </c>
      <c r="BR905" s="293">
        <f>'SVF2'!BR23</f>
        <v>6055</v>
      </c>
      <c r="BS905" s="293">
        <f>'SVF2'!BS23</f>
        <v>6060</v>
      </c>
      <c r="BT905" s="293">
        <f>'SVF2'!BT23</f>
        <v>6070</v>
      </c>
      <c r="BV905" s="293">
        <f>'SVF2'!BV23</f>
        <v>6075</v>
      </c>
      <c r="BW905" s="293">
        <f>'SVF2'!BW23</f>
        <v>6080</v>
      </c>
      <c r="BX905" s="293">
        <f>'SVF2'!BX23</f>
        <v>6085</v>
      </c>
      <c r="BY905" s="293">
        <f>'SVF2'!BY23</f>
        <v>6090</v>
      </c>
    </row>
    <row r="906" spans="1:78" s="291" customFormat="1">
      <c r="A906" s="291" t="s">
        <v>1096</v>
      </c>
      <c r="K906" s="292"/>
      <c r="W906" s="293"/>
      <c r="X906" s="293"/>
      <c r="Y906" s="293"/>
      <c r="Z906" s="293"/>
      <c r="AA906" s="293"/>
      <c r="AC906" s="293"/>
      <c r="AD906" s="61"/>
      <c r="AE906" s="170">
        <f>AE901-AD901</f>
        <v>300</v>
      </c>
      <c r="AF906" s="61">
        <f>AF901-AE901</f>
        <v>400</v>
      </c>
      <c r="AH906" s="61">
        <f t="shared" ref="AH906:AK906" si="2982">AH901-AG901</f>
        <v>900</v>
      </c>
      <c r="AI906" s="61">
        <f t="shared" si="2982"/>
        <v>0</v>
      </c>
      <c r="AJ906" s="61">
        <f t="shared" si="2982"/>
        <v>0</v>
      </c>
      <c r="AK906" s="61">
        <f t="shared" si="2982"/>
        <v>-100</v>
      </c>
      <c r="AM906" s="61">
        <f t="shared" ref="AM906:AP906" si="2983">AM901-AL901</f>
        <v>400</v>
      </c>
      <c r="AN906" s="61">
        <f t="shared" si="2983"/>
        <v>200</v>
      </c>
      <c r="AO906" s="61">
        <f t="shared" si="2983"/>
        <v>200</v>
      </c>
      <c r="AP906" s="61">
        <f t="shared" si="2983"/>
        <v>0</v>
      </c>
      <c r="AR906" s="61">
        <f t="shared" si="2977"/>
        <v>100</v>
      </c>
      <c r="AS906" s="61">
        <f t="shared" si="2978"/>
        <v>100</v>
      </c>
      <c r="AT906" s="61">
        <f t="shared" si="2979"/>
        <v>500</v>
      </c>
      <c r="AU906" s="61">
        <f t="shared" si="2980"/>
        <v>1700</v>
      </c>
      <c r="AW906" s="61">
        <f t="shared" si="2981"/>
        <v>2200</v>
      </c>
      <c r="AX906" s="763">
        <f t="shared" si="2981"/>
        <v>200</v>
      </c>
      <c r="AY906" s="61">
        <f t="shared" si="2981"/>
        <v>-1700</v>
      </c>
      <c r="AZ906" s="622">
        <f>'SVF2'!AZ24</f>
        <v>480</v>
      </c>
      <c r="BB906" s="293">
        <f>'SVF2'!BB24</f>
        <v>760</v>
      </c>
      <c r="BC906" s="293">
        <f>'SVF2'!BC24</f>
        <v>865</v>
      </c>
      <c r="BD906" s="293">
        <f>'SVF2'!BD24</f>
        <v>975</v>
      </c>
      <c r="BE906" s="293">
        <f>'SVF2'!BE24</f>
        <v>1010</v>
      </c>
      <c r="BG906" s="293">
        <f>'SVF2'!BG24</f>
        <v>3025</v>
      </c>
      <c r="BH906" s="293">
        <f>'SVF2'!BH24</f>
        <v>3130</v>
      </c>
      <c r="BI906" s="293">
        <f>'SVF2'!BI24</f>
        <v>3245</v>
      </c>
      <c r="BJ906" s="293">
        <f>'SVF2'!BJ24</f>
        <v>3365</v>
      </c>
      <c r="BL906" s="293">
        <f>'SVF2'!BL24</f>
        <v>5245</v>
      </c>
      <c r="BM906" s="293">
        <f>'SVF2'!BM24</f>
        <v>5380</v>
      </c>
      <c r="BN906" s="293">
        <f>'SVF2'!BN24</f>
        <v>5530</v>
      </c>
      <c r="BO906" s="293">
        <f>'SVF2'!BO24</f>
        <v>5685</v>
      </c>
      <c r="BQ906" s="293">
        <f>'SVF2'!BQ24</f>
        <v>7800</v>
      </c>
      <c r="BR906" s="293">
        <f>'SVF2'!BR24</f>
        <v>7895</v>
      </c>
      <c r="BS906" s="293">
        <f>'SVF2'!BS24</f>
        <v>7990</v>
      </c>
      <c r="BT906" s="293">
        <f>'SVF2'!BT24</f>
        <v>8090</v>
      </c>
      <c r="BV906" s="293">
        <f>'SVF2'!BV24</f>
        <v>8190</v>
      </c>
      <c r="BW906" s="293">
        <f>'SVF2'!BW24</f>
        <v>8290</v>
      </c>
      <c r="BX906" s="293">
        <f>'SVF2'!BX24</f>
        <v>8390</v>
      </c>
      <c r="BY906" s="293">
        <f>'SVF2'!BY24</f>
        <v>8495</v>
      </c>
    </row>
    <row r="907" spans="1:78" s="291" customFormat="1">
      <c r="A907" s="291" t="s">
        <v>1095</v>
      </c>
      <c r="K907" s="292"/>
      <c r="W907" s="294"/>
      <c r="X907" s="294"/>
      <c r="Y907" s="294"/>
      <c r="Z907" s="294"/>
      <c r="AA907" s="294"/>
      <c r="AC907" s="294"/>
      <c r="AD907" s="339"/>
      <c r="AE907" s="294">
        <f>AE906/AE905</f>
        <v>3</v>
      </c>
      <c r="AF907" s="339">
        <f>AF906/AF905</f>
        <v>1</v>
      </c>
      <c r="AH907" s="339">
        <f t="shared" ref="AH907:AK907" si="2984">AH906/AH905</f>
        <v>1.8</v>
      </c>
      <c r="AI907" s="339">
        <f t="shared" si="2984"/>
        <v>0</v>
      </c>
      <c r="AJ907" s="339">
        <f t="shared" si="2984"/>
        <v>0</v>
      </c>
      <c r="AK907" s="339" t="e">
        <f t="shared" si="2984"/>
        <v>#DIV/0!</v>
      </c>
      <c r="AM907" s="339">
        <f t="shared" ref="AM907" si="2985">AM906/AM905</f>
        <v>2</v>
      </c>
      <c r="AN907" s="339">
        <f t="shared" ref="AN907" si="2986">AN906/AN905</f>
        <v>0.2857142857142857</v>
      </c>
      <c r="AO907" s="339">
        <f t="shared" ref="AO907:AZ907" si="2987">AO906/AO905</f>
        <v>0.66666666666666663</v>
      </c>
      <c r="AP907" s="339">
        <f t="shared" ref="AP907" si="2988">AP906/AP905</f>
        <v>0</v>
      </c>
      <c r="AR907" s="339">
        <f t="shared" ref="AR907:AU907" si="2989">AR906/AR905</f>
        <v>2.7027027027027029E-2</v>
      </c>
      <c r="AS907" s="339">
        <f t="shared" si="2989"/>
        <v>0.33333333333333331</v>
      </c>
      <c r="AT907" s="339">
        <f t="shared" si="2989"/>
        <v>0.45454545454545453</v>
      </c>
      <c r="AU907" s="339">
        <f t="shared" si="2989"/>
        <v>0.89473684210526316</v>
      </c>
      <c r="AW907" s="339">
        <f t="shared" ref="AW907:AY907" si="2990">AW906/AW905</f>
        <v>0.48888888888888887</v>
      </c>
      <c r="AX907" s="943">
        <f t="shared" si="2990"/>
        <v>0.66666666666666663</v>
      </c>
      <c r="AY907" s="339">
        <f t="shared" si="2990"/>
        <v>0.34693877551020408</v>
      </c>
      <c r="AZ907" s="339">
        <f t="shared" si="2987"/>
        <v>2.6690653364952208</v>
      </c>
      <c r="BB907" s="339">
        <f t="shared" ref="BB907" si="2991">BB906/BB905</f>
        <v>0.84916201117318435</v>
      </c>
      <c r="BC907" s="339">
        <f t="shared" ref="BC907" si="2992">BC906/BC905</f>
        <v>0.84803921568627449</v>
      </c>
      <c r="BD907" s="339">
        <f t="shared" ref="BD907" si="2993">BD906/BD905</f>
        <v>0.85152838427947597</v>
      </c>
      <c r="BE907" s="339">
        <f t="shared" ref="BE907" si="2994">BE906/BE905</f>
        <v>0.84873949579831931</v>
      </c>
      <c r="BG907" s="339">
        <f t="shared" ref="BG907" si="2995">BG906/BG905</f>
        <v>1.174757281553398</v>
      </c>
      <c r="BH907" s="339">
        <f t="shared" ref="BH907" si="2996">BH906/BH905</f>
        <v>1.1901140684410647</v>
      </c>
      <c r="BI907" s="339">
        <f t="shared" ref="BI907" si="2997">BI906/BI905</f>
        <v>1.2040816326530612</v>
      </c>
      <c r="BJ907" s="339">
        <f t="shared" ref="BJ907" si="2998">BJ906/BJ905</f>
        <v>1.2169981916817361</v>
      </c>
      <c r="BL907" s="339">
        <f t="shared" ref="BL907" si="2999">BL906/BL905</f>
        <v>1.2312206572769953</v>
      </c>
      <c r="BM907" s="339">
        <f t="shared" ref="BM907" si="3000">BM906/BM905</f>
        <v>1.2453703703703705</v>
      </c>
      <c r="BN907" s="339">
        <f t="shared" ref="BN907" si="3001">BN906/BN905</f>
        <v>1.2596810933940774</v>
      </c>
      <c r="BO907" s="339">
        <f t="shared" ref="BO907" si="3002">BO906/BO905</f>
        <v>1.2746636771300448</v>
      </c>
      <c r="BQ907" s="339">
        <f t="shared" ref="BQ907" si="3003">BQ906/BQ905</f>
        <v>1.2892561983471074</v>
      </c>
      <c r="BR907" s="339">
        <f t="shared" ref="BR907" si="3004">BR906/BR905</f>
        <v>1.3038810900082576</v>
      </c>
      <c r="BS907" s="339">
        <f t="shared" ref="BS907" si="3005">BS906/BS905</f>
        <v>1.3184818481848184</v>
      </c>
      <c r="BT907" s="339">
        <f t="shared" ref="BT907" si="3006">BT906/BT905</f>
        <v>1.3327841845140034</v>
      </c>
      <c r="BV907" s="339">
        <f t="shared" ref="BV907" si="3007">BV906/BV905</f>
        <v>1.3481481481481481</v>
      </c>
      <c r="BW907" s="339">
        <f t="shared" ref="BW907" si="3008">BW906/BW905</f>
        <v>1.3634868421052631</v>
      </c>
      <c r="BX907" s="339">
        <f t="shared" ref="BX907" si="3009">BX906/BX905</f>
        <v>1.3788003286770747</v>
      </c>
      <c r="BY907" s="339">
        <f t="shared" ref="BY907" si="3010">BY906/BY905</f>
        <v>1.3949096880131362</v>
      </c>
    </row>
    <row r="908" spans="1:78">
      <c r="U908" s="25" t="s">
        <v>532</v>
      </c>
    </row>
    <row r="909" spans="1:78" s="26" customFormat="1">
      <c r="A909" s="26" t="s">
        <v>502</v>
      </c>
      <c r="U909" s="202">
        <v>100</v>
      </c>
      <c r="V909" s="203">
        <f>U909*(1+$I$369)</f>
        <v>101.94265469082735</v>
      </c>
      <c r="W909" s="204">
        <f>V909</f>
        <v>101.94265469082735</v>
      </c>
      <c r="X909" s="203">
        <f>W909*(1+$I$369)</f>
        <v>103.92304845413264</v>
      </c>
      <c r="Y909" s="205">
        <f>U909*(1+Y888)</f>
        <v>292.30769230769226</v>
      </c>
      <c r="Z909" s="204">
        <f>Y909*(1+Z888)</f>
        <v>292.30769230769226</v>
      </c>
      <c r="AA909" s="204">
        <f>Z909*(1+AA888)</f>
        <v>279.81591058514135</v>
      </c>
      <c r="AB909" s="204">
        <f>AA909</f>
        <v>279.81591058514135</v>
      </c>
      <c r="AC909" s="204">
        <f>AB909*(1+AC888)</f>
        <v>274.05838156075572</v>
      </c>
      <c r="AD909" s="204">
        <f>AC909*(1+AD888)</f>
        <v>270.40426980661232</v>
      </c>
      <c r="AE909" s="204">
        <f>AD909*(1+AE888)</f>
        <v>305.30566530638015</v>
      </c>
      <c r="AF909" s="204">
        <f>AE909*(1+AF888)</f>
        <v>287.78812713306326</v>
      </c>
      <c r="AG909" s="206">
        <f>AF909</f>
        <v>287.78812713306326</v>
      </c>
      <c r="AH909" s="204">
        <f>AG909*(1+AH888)</f>
        <v>229.73644483583593</v>
      </c>
      <c r="AI909" s="204">
        <f>AH909*(1+AI888)</f>
        <v>201.40433635742184</v>
      </c>
      <c r="AJ909" s="204">
        <f>AI909*(1+AJ888)</f>
        <v>188.79734736405652</v>
      </c>
      <c r="AK909" s="204">
        <f>AJ909*(1+AK888)</f>
        <v>180.24342224076594</v>
      </c>
      <c r="AL909" s="206">
        <f>AK909</f>
        <v>180.24342224076594</v>
      </c>
      <c r="AM909" s="204">
        <f>AL909*(1+AM888)</f>
        <v>182.03986830961077</v>
      </c>
      <c r="AN909" s="204">
        <f>AM909*(1+AN888)</f>
        <v>170.10282776471826</v>
      </c>
      <c r="AO909" s="204">
        <f>AN909*(1+AO888)</f>
        <v>179.96819387409556</v>
      </c>
      <c r="AP909" s="204">
        <f>AO909*(1+AP888)</f>
        <v>178.47592029305</v>
      </c>
      <c r="AQ909" s="206">
        <f>AP909</f>
        <v>178.47592029305</v>
      </c>
      <c r="AR909" s="204">
        <f>AQ909*(1+AR888)</f>
        <v>164.56486182908094</v>
      </c>
      <c r="AS909" s="204">
        <f>AR909*(1+AS888)</f>
        <v>173.44426084863568</v>
      </c>
      <c r="AT909" s="204">
        <f>AS909*(1+AT888)</f>
        <v>169.65472237631255</v>
      </c>
      <c r="AU909" s="204">
        <f>AT909*(1+AU888)</f>
        <v>176.48462263300789</v>
      </c>
      <c r="AV909" s="206">
        <f>AU909</f>
        <v>176.48462263300789</v>
      </c>
      <c r="AW909" s="204">
        <f>AV909*(1+AW888)</f>
        <v>199.61019387457443</v>
      </c>
      <c r="AX909" s="204">
        <f>AW909*(1+AX888)</f>
        <v>238.07167025528511</v>
      </c>
      <c r="AY909" s="204">
        <f>AX909*(1+AY888)</f>
        <v>341.11761708219956</v>
      </c>
      <c r="AZ909" s="204">
        <f>AY909*(1+AZ888)</f>
        <v>341.78879757877331</v>
      </c>
      <c r="BA909" s="206">
        <f>AZ909</f>
        <v>341.78879757877331</v>
      </c>
      <c r="BB909" s="204">
        <f>BA909*(1+BB888)</f>
        <v>465.16069773861045</v>
      </c>
      <c r="BC909" s="204">
        <f>BB909*(1+BC888)</f>
        <v>512.83362522472896</v>
      </c>
      <c r="BD909" s="204">
        <f>BC909*(1+BD888)</f>
        <v>560.85017278146495</v>
      </c>
      <c r="BE909" s="204">
        <f>BD909*(1+BE888)</f>
        <v>560.64759741023704</v>
      </c>
      <c r="BF909" s="206">
        <f>BE909</f>
        <v>560.64759741023704</v>
      </c>
      <c r="BG909" s="204">
        <f>BF909*(1+BG888)</f>
        <v>567.52458075184177</v>
      </c>
      <c r="BH909" s="204">
        <f>BG909*(1+BH888)</f>
        <v>574.49191185421307</v>
      </c>
      <c r="BI909" s="204">
        <f>BH909*(1+BI888)</f>
        <v>581.53591612380842</v>
      </c>
      <c r="BJ909" s="204">
        <f>BI909*(1+BJ888)</f>
        <v>588.66435036544635</v>
      </c>
      <c r="BK909" s="206">
        <f>BJ909</f>
        <v>588.66435036544635</v>
      </c>
      <c r="BL909" s="204">
        <f>BK909*(1+BL888)</f>
        <v>595.8858499394205</v>
      </c>
      <c r="BM909" s="204">
        <f>BL909*(1+BM888)</f>
        <v>603.19403813859128</v>
      </c>
      <c r="BN909" s="204">
        <f>BM909*(1+BN888)</f>
        <v>610.60057289883571</v>
      </c>
      <c r="BO909" s="204">
        <f>BN909*(1+BO888)</f>
        <v>618.09416817485248</v>
      </c>
      <c r="BP909" s="206">
        <f>BO909</f>
        <v>618.09416817485248</v>
      </c>
      <c r="BQ909" s="204">
        <f>BP909*(1+BQ888)</f>
        <v>625.68897385830587</v>
      </c>
      <c r="BR909" s="204">
        <f>BQ909*(1+BR888)</f>
        <v>633.36789701597525</v>
      </c>
      <c r="BS909" s="204">
        <f>BR909*(1+BS888)</f>
        <v>641.14382559670332</v>
      </c>
      <c r="BT909" s="204">
        <f>BS909*(1+BT888)</f>
        <v>648.99934170802896</v>
      </c>
      <c r="BU909" s="206">
        <f>BT909</f>
        <v>648.99934170802896</v>
      </c>
      <c r="BV909" s="204">
        <f>BU909*(1+BV888)</f>
        <v>656.94910045907409</v>
      </c>
      <c r="BW909" s="204">
        <f>BV909*(1+BW888)</f>
        <v>665.01204050867261</v>
      </c>
      <c r="BX909" s="204">
        <f>BW909*(1+BX888)</f>
        <v>673.16868953099743</v>
      </c>
      <c r="BY909" s="204">
        <f>BX909*(1+BY888)</f>
        <v>681.44227119003756</v>
      </c>
      <c r="BZ909" s="206">
        <f>BY909</f>
        <v>681.44227119003756</v>
      </c>
    </row>
    <row r="910" spans="1:78" s="26" customFormat="1">
      <c r="A910" s="26" t="s">
        <v>308</v>
      </c>
      <c r="P910" s="27"/>
      <c r="Q910" s="27"/>
      <c r="R910" s="27"/>
      <c r="S910" s="27"/>
      <c r="T910" s="27"/>
      <c r="U910" s="27"/>
      <c r="V910" s="27"/>
      <c r="W910" s="27"/>
      <c r="X910" s="207" t="s">
        <v>534</v>
      </c>
      <c r="Z910" s="208">
        <f t="shared" ref="Z910:AJ910" si="3011">Z909/U909-1</f>
        <v>1.9230769230769225</v>
      </c>
      <c r="AA910" s="208">
        <f t="shared" si="3011"/>
        <v>1.7448364125279028</v>
      </c>
      <c r="AB910" s="208">
        <f t="shared" si="3011"/>
        <v>1.7448364125279028</v>
      </c>
      <c r="AC910" s="208">
        <f t="shared" si="3011"/>
        <v>1.6371280061295912</v>
      </c>
      <c r="AD910" s="208">
        <f t="shared" si="3011"/>
        <v>-7.4932761187905039E-2</v>
      </c>
      <c r="AE910" s="208">
        <f t="shared" si="3011"/>
        <v>4.4466749732353206E-2</v>
      </c>
      <c r="AF910" s="208">
        <f t="shared" si="3011"/>
        <v>2.8490933668677609E-2</v>
      </c>
      <c r="AG910" s="208">
        <f t="shared" si="3011"/>
        <v>2.8490933668677609E-2</v>
      </c>
      <c r="AH910" s="208">
        <f t="shared" si="3011"/>
        <v>-0.16172443430668848</v>
      </c>
      <c r="AI910" s="208">
        <f t="shared" si="3011"/>
        <v>-0.25517323930771452</v>
      </c>
      <c r="AJ910" s="208">
        <f t="shared" si="3011"/>
        <v>-0.38161204059349918</v>
      </c>
      <c r="AK910" s="208">
        <f t="shared" ref="AK910" si="3012">AK909/AF909-1</f>
        <v>-0.37369402957534925</v>
      </c>
      <c r="AL910" s="208">
        <f t="shared" ref="AL910:AT910" si="3013">AL909/AG909-1</f>
        <v>-0.37369402957534925</v>
      </c>
      <c r="AM910" s="208">
        <f t="shared" si="3013"/>
        <v>-0.20761432327512497</v>
      </c>
      <c r="AN910" s="208">
        <f t="shared" si="3013"/>
        <v>-0.15541625944515125</v>
      </c>
      <c r="AO910" s="208">
        <f t="shared" si="3013"/>
        <v>-4.6765241213563069E-2</v>
      </c>
      <c r="AP910" s="208">
        <f t="shared" si="3013"/>
        <v>-9.8061939001299336E-3</v>
      </c>
      <c r="AQ910" s="208">
        <f t="shared" ref="AQ910" si="3014">AQ909/AL909-1</f>
        <v>-9.8061939001299336E-3</v>
      </c>
      <c r="AR910" s="208">
        <f t="shared" si="3013"/>
        <v>-9.5995490673551731E-2</v>
      </c>
      <c r="AS910" s="208">
        <f t="shared" ref="AS910:AW910" si="3015">AS909/AN909-1</f>
        <v>1.9643606916042611E-2</v>
      </c>
      <c r="AT910" s="208">
        <f t="shared" si="3013"/>
        <v>-5.7307190097147021E-2</v>
      </c>
      <c r="AU910" s="208">
        <f t="shared" si="3015"/>
        <v>-1.1157234302378027E-2</v>
      </c>
      <c r="AV910" s="208">
        <f t="shared" si="3015"/>
        <v>-1.1157234302378027E-2</v>
      </c>
      <c r="AW910" s="208">
        <f t="shared" si="3015"/>
        <v>0.2129575636984522</v>
      </c>
      <c r="AX910" s="208">
        <f t="shared" ref="AX910" si="3016">AX909/AS909-1</f>
        <v>0.37261197972442339</v>
      </c>
      <c r="AY910" s="208">
        <f t="shared" ref="AY910" si="3017">AY909/AT909-1</f>
        <v>1.0106579546047869</v>
      </c>
      <c r="AZ910" s="208">
        <f t="shared" ref="AZ910" si="3018">AZ909/AU909-1</f>
        <v>0.93664916795333664</v>
      </c>
      <c r="BA910" s="208">
        <f t="shared" ref="BA910" si="3019">BA909/AV909-1</f>
        <v>0.93664916795333664</v>
      </c>
      <c r="BB910" s="208">
        <f t="shared" ref="BB910" si="3020">BB909/AW909-1</f>
        <v>1.3303454032557842</v>
      </c>
      <c r="BC910" s="208">
        <f t="shared" ref="BC910" si="3021">BC909/AX909-1</f>
        <v>1.1541144508072532</v>
      </c>
      <c r="BD910" s="208">
        <f t="shared" ref="BD910" si="3022">BD909/AY909-1</f>
        <v>0.64415481551137876</v>
      </c>
      <c r="BE910" s="208">
        <f t="shared" ref="BE910" si="3023">BE909/AZ909-1</f>
        <v>0.64033344972642814</v>
      </c>
      <c r="BF910" s="208">
        <f t="shared" ref="BF910" si="3024">BF909/BA909-1</f>
        <v>0.64033344972642814</v>
      </c>
      <c r="BG910" s="208">
        <f t="shared" ref="BG910" si="3025">BG909/BB909-1</f>
        <v>0.22006133259081362</v>
      </c>
      <c r="BH910" s="208">
        <f t="shared" ref="BH910" si="3026">BH909/BC909-1</f>
        <v>0.12023058472904302</v>
      </c>
      <c r="BI910" s="208">
        <f t="shared" ref="BI910" si="3027">BI909/BD909-1</f>
        <v>3.688283314553531E-2</v>
      </c>
      <c r="BJ910" s="208">
        <f t="shared" ref="BJ910" si="3028">BJ909/BE909-1</f>
        <v>4.9972127027075874E-2</v>
      </c>
      <c r="BK910" s="208">
        <f t="shared" ref="BK910" si="3029">BK909/BF909-1</f>
        <v>4.9972127027075874E-2</v>
      </c>
      <c r="BL910" s="208">
        <f t="shared" ref="BL910" si="3030">BL909/BG909-1</f>
        <v>4.997364017256567E-2</v>
      </c>
      <c r="BM910" s="208">
        <f t="shared" ref="BM910" si="3031">BM909/BH909-1</f>
        <v>4.9960888381770374E-2</v>
      </c>
      <c r="BN910" s="208">
        <f t="shared" ref="BN910" si="3032">BN909/BI909-1</f>
        <v>4.9979125913246936E-2</v>
      </c>
      <c r="BO910" s="208">
        <f t="shared" ref="BO910" si="3033">BO909/BJ909-1</f>
        <v>4.9994224707400559E-2</v>
      </c>
      <c r="BP910" s="208">
        <f t="shared" ref="BP910" si="3034">BP909/BK909-1</f>
        <v>4.9994224707400559E-2</v>
      </c>
      <c r="BQ910" s="208">
        <f t="shared" ref="BQ910" si="3035">BQ909/BL909-1</f>
        <v>5.0014820660559733E-2</v>
      </c>
      <c r="BR910" s="208">
        <f t="shared" ref="BR910" si="3036">BR909/BM909-1</f>
        <v>5.0023470010575943E-2</v>
      </c>
      <c r="BS910" s="208">
        <f t="shared" ref="BS910" si="3037">BS909/BN909-1</f>
        <v>5.0021657452535617E-2</v>
      </c>
      <c r="BT910" s="208">
        <f t="shared" ref="BT910" si="3038">BT909/BO909-1</f>
        <v>5.000075251386904E-2</v>
      </c>
      <c r="BU910" s="208">
        <f t="shared" ref="BU910" si="3039">BU909/BP909-1</f>
        <v>5.000075251386904E-2</v>
      </c>
      <c r="BV910" s="208">
        <f t="shared" ref="BV910" si="3040">BV909/BQ909-1</f>
        <v>4.9961127503978409E-2</v>
      </c>
      <c r="BW910" s="208">
        <f t="shared" ref="BW910" si="3041">BW909/BR909-1</f>
        <v>4.9961710471566834E-2</v>
      </c>
      <c r="BX910" s="208">
        <f t="shared" ref="BX910" si="3042">BX909/BS909-1</f>
        <v>4.9949578637038305E-2</v>
      </c>
      <c r="BY910" s="208">
        <f t="shared" ref="BY910" si="3043">BY909/BT909-1</f>
        <v>4.9989156224143017E-2</v>
      </c>
      <c r="BZ910" s="208">
        <f t="shared" ref="BZ910" si="3044">BZ909/BU909-1</f>
        <v>4.9989156224143017E-2</v>
      </c>
    </row>
    <row r="911" spans="1:78" s="26" customFormat="1">
      <c r="Y911" s="191" t="s">
        <v>533</v>
      </c>
      <c r="Z911" s="192"/>
      <c r="AA911" s="192"/>
      <c r="AB911" s="192"/>
      <c r="AC911" s="192"/>
      <c r="AD911" s="192"/>
    </row>
    <row r="912" spans="1:78" s="26" customFormat="1">
      <c r="A912" s="26" t="s">
        <v>503</v>
      </c>
      <c r="V912" s="27">
        <v>0.25</v>
      </c>
      <c r="W912" s="26">
        <f>V912</f>
        <v>0.25</v>
      </c>
      <c r="X912" s="26">
        <f>W912+0.25</f>
        <v>0.5</v>
      </c>
      <c r="Y912" s="26">
        <f>X912+0.25</f>
        <v>0.75</v>
      </c>
      <c r="Z912" s="26">
        <f>Y912+0.25</f>
        <v>1</v>
      </c>
      <c r="AA912" s="26">
        <f>Z912+0.25</f>
        <v>1.25</v>
      </c>
      <c r="AB912" s="26">
        <f>AA912</f>
        <v>1.25</v>
      </c>
      <c r="AC912" s="26">
        <f>AB912+0.25</f>
        <v>1.5</v>
      </c>
      <c r="AD912" s="26">
        <f>AC912+0.25</f>
        <v>1.75</v>
      </c>
      <c r="AE912" s="26">
        <f>AD912+0.25</f>
        <v>2</v>
      </c>
      <c r="AF912" s="26">
        <f>AE912+0.25</f>
        <v>2.25</v>
      </c>
      <c r="AG912" s="26">
        <f>AF912</f>
        <v>2.25</v>
      </c>
      <c r="AH912" s="26">
        <f>AG912+0.25</f>
        <v>2.5</v>
      </c>
      <c r="AI912" s="26">
        <f>AH912+0.25</f>
        <v>2.75</v>
      </c>
      <c r="AJ912" s="26">
        <f>AI912+0.25</f>
        <v>3</v>
      </c>
      <c r="AK912" s="26">
        <f>AJ912+0.25</f>
        <v>3.25</v>
      </c>
      <c r="AL912" s="26">
        <f>AK912</f>
        <v>3.25</v>
      </c>
      <c r="AM912" s="26">
        <f>AL912+0.25</f>
        <v>3.5</v>
      </c>
      <c r="AN912" s="26">
        <f>AM912+0.25</f>
        <v>3.75</v>
      </c>
      <c r="AO912" s="26">
        <f>AN912+0.25</f>
        <v>4</v>
      </c>
      <c r="AP912" s="26">
        <f>AO912+0.25</f>
        <v>4.25</v>
      </c>
      <c r="AQ912" s="26">
        <f>AP912</f>
        <v>4.25</v>
      </c>
      <c r="AR912" s="26">
        <f>AQ912+0.25</f>
        <v>4.5</v>
      </c>
      <c r="AS912" s="26">
        <f>AR912+0.25</f>
        <v>4.75</v>
      </c>
      <c r="AT912" s="26">
        <f>AS912+0.25</f>
        <v>5</v>
      </c>
      <c r="AU912" s="26">
        <f>AT912+0.25</f>
        <v>5.25</v>
      </c>
      <c r="AV912" s="26">
        <f>AU912</f>
        <v>5.25</v>
      </c>
      <c r="AW912" s="26">
        <f>AV912+0.25</f>
        <v>5.5</v>
      </c>
      <c r="AX912" s="26">
        <f>AW912+0.25</f>
        <v>5.75</v>
      </c>
      <c r="AY912" s="26">
        <f>AX912+0.25</f>
        <v>6</v>
      </c>
      <c r="AZ912" s="26">
        <f>AY912+0.25</f>
        <v>6.25</v>
      </c>
      <c r="BA912" s="26">
        <f>AZ912</f>
        <v>6.25</v>
      </c>
      <c r="BB912" s="26">
        <f>BA912+0.25</f>
        <v>6.5</v>
      </c>
      <c r="BC912" s="26">
        <f>BB912+0.25</f>
        <v>6.75</v>
      </c>
      <c r="BD912" s="26">
        <f>BC912+0.25</f>
        <v>7</v>
      </c>
      <c r="BE912" s="26">
        <f>BD912+0.25</f>
        <v>7.25</v>
      </c>
      <c r="BF912" s="26">
        <f>BE912</f>
        <v>7.25</v>
      </c>
      <c r="BG912" s="26">
        <f>BF912+0.25</f>
        <v>7.5</v>
      </c>
      <c r="BH912" s="26">
        <f>BG912+0.25</f>
        <v>7.75</v>
      </c>
      <c r="BI912" s="26">
        <f>BH912+0.25</f>
        <v>8</v>
      </c>
      <c r="BJ912" s="26">
        <f>BI912+0.25</f>
        <v>8.25</v>
      </c>
      <c r="BK912" s="26">
        <f>BJ912</f>
        <v>8.25</v>
      </c>
      <c r="BL912" s="26">
        <f>BK912+0.25</f>
        <v>8.5</v>
      </c>
      <c r="BM912" s="26">
        <f>BL912+0.25</f>
        <v>8.75</v>
      </c>
      <c r="BN912" s="26">
        <f>BM912+0.25</f>
        <v>9</v>
      </c>
      <c r="BO912" s="26">
        <f>BN912+0.25</f>
        <v>9.25</v>
      </c>
      <c r="BP912" s="26">
        <f>BO912</f>
        <v>9.25</v>
      </c>
      <c r="BQ912" s="26">
        <f>BP912+0.25</f>
        <v>9.5</v>
      </c>
      <c r="BR912" s="26">
        <f>BQ912+0.25</f>
        <v>9.75</v>
      </c>
      <c r="BS912" s="26">
        <f>BR912+0.25</f>
        <v>10</v>
      </c>
      <c r="BT912" s="26">
        <f>BS912+0.25</f>
        <v>10.25</v>
      </c>
      <c r="BU912" s="26">
        <f>BT912</f>
        <v>10.25</v>
      </c>
      <c r="BV912" s="26">
        <f>BU912+0.25</f>
        <v>10.5</v>
      </c>
      <c r="BW912" s="26">
        <f>BV912+0.25</f>
        <v>10.75</v>
      </c>
      <c r="BX912" s="26">
        <f>BW912+0.25</f>
        <v>11</v>
      </c>
      <c r="BY912" s="26">
        <f>BX912+0.25</f>
        <v>11.25</v>
      </c>
      <c r="BZ912" s="26">
        <f>BY912</f>
        <v>11.25</v>
      </c>
    </row>
    <row r="913" spans="1:78" s="26" customFormat="1">
      <c r="A913" s="26" t="s">
        <v>304</v>
      </c>
      <c r="V913" s="208">
        <f t="shared" ref="V913:AI913" si="3045">(V909/$U$909)^(1/V912)-1</f>
        <v>7.9999999999999849E-2</v>
      </c>
      <c r="W913" s="208">
        <f t="shared" si="3045"/>
        <v>7.9999999999999849E-2</v>
      </c>
      <c r="X913" s="208">
        <f t="shared" si="3045"/>
        <v>8.0000000000000293E-2</v>
      </c>
      <c r="Y913" s="208">
        <f t="shared" si="3045"/>
        <v>3.1794614687933702</v>
      </c>
      <c r="Z913" s="208">
        <f t="shared" si="3045"/>
        <v>1.9230769230769225</v>
      </c>
      <c r="AA913" s="208">
        <f t="shared" si="3045"/>
        <v>1.2777073549923244</v>
      </c>
      <c r="AB913" s="208">
        <f t="shared" si="3045"/>
        <v>1.2777073549923244</v>
      </c>
      <c r="AC913" s="208">
        <f t="shared" si="3045"/>
        <v>0.95837290779839779</v>
      </c>
      <c r="AD913" s="208">
        <f t="shared" si="3045"/>
        <v>0.765488458797702</v>
      </c>
      <c r="AE913" s="208">
        <f t="shared" si="3045"/>
        <v>0.74729981773701382</v>
      </c>
      <c r="AF913" s="208">
        <f t="shared" si="3045"/>
        <v>0.59967732173719113</v>
      </c>
      <c r="AG913" s="208">
        <f t="shared" si="3045"/>
        <v>0.59967732173719113</v>
      </c>
      <c r="AH913" s="208">
        <f t="shared" si="3045"/>
        <v>0.394735831934792</v>
      </c>
      <c r="AI913" s="208">
        <f t="shared" si="3045"/>
        <v>0.28994287753488157</v>
      </c>
      <c r="AJ913" s="208">
        <f t="shared" ref="AJ913:AN913" si="3046">(AJ909/$U$909)^(1/AJ912)-1</f>
        <v>0.23594353279221747</v>
      </c>
      <c r="AK913" s="208">
        <f t="shared" si="3046"/>
        <v>0.19874270374282332</v>
      </c>
      <c r="AL913" s="208">
        <f t="shared" si="3046"/>
        <v>0.19874270374282332</v>
      </c>
      <c r="AM913" s="208">
        <f t="shared" si="3046"/>
        <v>0.18667908843967962</v>
      </c>
      <c r="AN913" s="208">
        <f t="shared" si="3046"/>
        <v>0.15218727785305664</v>
      </c>
      <c r="AO913" s="208">
        <f t="shared" ref="AO913:AR913" si="3047">(AO909/$U$909)^(1/AO912)-1</f>
        <v>0.15824101413756986</v>
      </c>
      <c r="AP913" s="208">
        <f t="shared" si="3047"/>
        <v>0.14602794334478553</v>
      </c>
      <c r="AQ913" s="208">
        <f t="shared" si="3047"/>
        <v>0.14602794334478553</v>
      </c>
      <c r="AR913" s="208">
        <f t="shared" si="3047"/>
        <v>0.11705591666815685</v>
      </c>
      <c r="AS913" s="208">
        <f t="shared" ref="AS913:AW913" si="3048">(AS909/$U$909)^(1/AS912)-1</f>
        <v>0.12292166197350962</v>
      </c>
      <c r="AT913" s="208">
        <f t="shared" si="3048"/>
        <v>0.11150952976125517</v>
      </c>
      <c r="AU913" s="208">
        <f t="shared" si="3048"/>
        <v>0.1142734557959344</v>
      </c>
      <c r="AV913" s="208">
        <f t="shared" si="3048"/>
        <v>0.1142734557959344</v>
      </c>
      <c r="AW913" s="208">
        <f t="shared" si="3048"/>
        <v>0.13391023589034368</v>
      </c>
      <c r="AX913" s="208">
        <f t="shared" ref="AX913:BZ913" si="3049">(AX909/$U$909)^(1/AX912)-1</f>
        <v>0.16282506863815471</v>
      </c>
      <c r="AY913" s="208">
        <f t="shared" si="3049"/>
        <v>0.22692314222371968</v>
      </c>
      <c r="AZ913" s="208">
        <f t="shared" si="3049"/>
        <v>0.21731017431641586</v>
      </c>
      <c r="BA913" s="208">
        <f t="shared" si="3049"/>
        <v>0.21731017431641586</v>
      </c>
      <c r="BB913" s="208">
        <f t="shared" si="3049"/>
        <v>0.26680029516392367</v>
      </c>
      <c r="BC913" s="208">
        <f t="shared" si="3049"/>
        <v>0.27403600818755081</v>
      </c>
      <c r="BD913" s="208">
        <f t="shared" si="3049"/>
        <v>0.27931685740839285</v>
      </c>
      <c r="BE913" s="208">
        <f t="shared" si="3049"/>
        <v>0.26843314361128834</v>
      </c>
      <c r="BF913" s="208">
        <f t="shared" si="3049"/>
        <v>0.26843314361128834</v>
      </c>
      <c r="BG913" s="208">
        <f t="shared" si="3049"/>
        <v>0.26046644916101735</v>
      </c>
      <c r="BH913" s="208">
        <f t="shared" si="3049"/>
        <v>0.25306072658637735</v>
      </c>
      <c r="BI913" s="208">
        <f t="shared" si="3049"/>
        <v>0.24615500982284821</v>
      </c>
      <c r="BJ913" s="208">
        <f t="shared" si="3049"/>
        <v>0.23970199840736095</v>
      </c>
      <c r="BK913" s="208">
        <f t="shared" si="3049"/>
        <v>0.23970199840736095</v>
      </c>
      <c r="BL913" s="208">
        <f t="shared" si="3049"/>
        <v>0.2336604889919649</v>
      </c>
      <c r="BM913" s="208">
        <f t="shared" si="3049"/>
        <v>0.22799073555960381</v>
      </c>
      <c r="BN913" s="208">
        <f t="shared" si="3049"/>
        <v>0.22266183592466748</v>
      </c>
      <c r="BO913" s="208">
        <f t="shared" si="3049"/>
        <v>0.21764144325350876</v>
      </c>
      <c r="BP913" s="208">
        <f t="shared" si="3049"/>
        <v>0.21764144325350876</v>
      </c>
      <c r="BQ913" s="208">
        <f t="shared" si="3049"/>
        <v>0.21290618511765458</v>
      </c>
      <c r="BR913" s="208">
        <f t="shared" si="3049"/>
        <v>0.20842898342791916</v>
      </c>
      <c r="BS913" s="208">
        <f t="shared" si="3049"/>
        <v>0.20419146974085312</v>
      </c>
      <c r="BT913" s="208">
        <f t="shared" si="3049"/>
        <v>0.2001715899362646</v>
      </c>
      <c r="BU913" s="208">
        <f t="shared" si="3049"/>
        <v>0.2001715899362646</v>
      </c>
      <c r="BV913" s="208">
        <f t="shared" si="3049"/>
        <v>0.19635526176692886</v>
      </c>
      <c r="BW913" s="208">
        <f t="shared" si="3049"/>
        <v>0.19273037607653198</v>
      </c>
      <c r="BX913" s="208">
        <f t="shared" si="3049"/>
        <v>0.18927966088196047</v>
      </c>
      <c r="BY913" s="208">
        <f t="shared" si="3049"/>
        <v>0.18599425151240179</v>
      </c>
      <c r="BZ913" s="208">
        <f t="shared" si="3049"/>
        <v>0.18599425151240179</v>
      </c>
    </row>
    <row r="915" spans="1:78">
      <c r="A915" s="1" t="s">
        <v>656</v>
      </c>
      <c r="Y915" s="86">
        <v>100</v>
      </c>
      <c r="Z915" s="87">
        <f>Y915*(1+Z888)</f>
        <v>100</v>
      </c>
      <c r="AA915" s="87">
        <f>Z915*(1+AA888)</f>
        <v>95.726495726495727</v>
      </c>
      <c r="AB915" s="88">
        <f>AA915</f>
        <v>95.726495726495727</v>
      </c>
      <c r="AC915" s="87">
        <f>AB915*(1+AC888)</f>
        <v>93.756814744469068</v>
      </c>
      <c r="AD915" s="87">
        <f>AC915*(1+AD888)</f>
        <v>92.506723881209481</v>
      </c>
      <c r="AE915" s="87">
        <f>AD915*(1+AE888)</f>
        <v>104.44667497323532</v>
      </c>
      <c r="AF915" s="87">
        <f>AE915*(1+AF888)</f>
        <v>98.453832966574282</v>
      </c>
      <c r="AG915" s="88">
        <f>AF915</f>
        <v>98.453832966574282</v>
      </c>
      <c r="AH915" s="87">
        <f>AG915*(1+AH888)</f>
        <v>78.594046917522817</v>
      </c>
      <c r="AI915" s="87">
        <f>AH915*(1+AI888)</f>
        <v>68.901483490696947</v>
      </c>
      <c r="AJ915" s="87">
        <f>AI915*(1+AJ888)</f>
        <v>64.588566203493016</v>
      </c>
      <c r="AK915" s="87">
        <f>AJ915*(1+AK888)</f>
        <v>61.662223398156762</v>
      </c>
      <c r="AL915" s="88">
        <f>AK915</f>
        <v>61.662223398156762</v>
      </c>
      <c r="AM915" s="87">
        <f>AL915*(1+AM888)</f>
        <v>62.276797053287886</v>
      </c>
      <c r="AN915" s="87">
        <f>AM915*(1+AN888)</f>
        <v>58.193072656350978</v>
      </c>
      <c r="AO915" s="87">
        <f>AN915*(1+AO888)</f>
        <v>61.568066325348482</v>
      </c>
      <c r="AP915" s="87">
        <f>AO915*(1+AP888)</f>
        <v>61.057551679201318</v>
      </c>
      <c r="AQ915" s="88">
        <f>AP915</f>
        <v>61.057551679201318</v>
      </c>
      <c r="AR915" s="87">
        <f>AQ915*(1+AR888)</f>
        <v>56.298505362580322</v>
      </c>
      <c r="AS915" s="87">
        <f>AR915*(1+AS888)</f>
        <v>59.336194500849054</v>
      </c>
      <c r="AT915" s="87">
        <f>AS915*(1+AT888)</f>
        <v>58.039773444527981</v>
      </c>
      <c r="AU915" s="87">
        <f>AT915*(1+AU888)</f>
        <v>60.376318269186918</v>
      </c>
      <c r="AV915" s="88">
        <f>AU915</f>
        <v>60.376318269186918</v>
      </c>
      <c r="AW915" s="87">
        <f>AV915*(1+AW888)</f>
        <v>68.287697904459691</v>
      </c>
      <c r="AX915" s="87">
        <f>AW915*(1+AX888)</f>
        <v>81.445571403123878</v>
      </c>
      <c r="AY915" s="87">
        <f>AX915*(1+AY888)</f>
        <v>116.69813215969988</v>
      </c>
      <c r="AZ915" s="87">
        <f>AY915*(1+AZ888)</f>
        <v>116.9277465401067</v>
      </c>
      <c r="BA915" s="88">
        <f>AZ915</f>
        <v>116.9277465401067</v>
      </c>
      <c r="BB915" s="87">
        <f>BA915*(1+BB888)</f>
        <v>159.13392291057733</v>
      </c>
      <c r="BC915" s="87">
        <f>BB915*(1+BC888)</f>
        <v>175.44308231372312</v>
      </c>
      <c r="BD915" s="87">
        <f>BC915*(1+BD888)</f>
        <v>191.86979595155387</v>
      </c>
      <c r="BE915" s="87">
        <f>BD915*(1+BE888)</f>
        <v>191.80049385087065</v>
      </c>
      <c r="BF915" s="88">
        <f>BE915</f>
        <v>191.80049385087065</v>
      </c>
      <c r="BG915" s="87">
        <f>BF915*(1+BG888)</f>
        <v>194.15314604668282</v>
      </c>
      <c r="BH915" s="87">
        <f>BG915*(1+BH888)</f>
        <v>196.53670668696776</v>
      </c>
      <c r="BI915" s="87">
        <f>BH915*(1+BI888)</f>
        <v>198.94649762130302</v>
      </c>
      <c r="BJ915" s="87">
        <f>BI915*(1+BJ888)</f>
        <v>201.3851724934423</v>
      </c>
      <c r="BK915" s="88">
        <f>BJ915</f>
        <v>201.3851724934423</v>
      </c>
      <c r="BL915" s="87">
        <f>BK915*(1+BL888)</f>
        <v>203.85568550559134</v>
      </c>
      <c r="BM915" s="87">
        <f>BL915*(1+BM888)</f>
        <v>206.35585515267607</v>
      </c>
      <c r="BN915" s="87">
        <f>BM915*(1+BN888)</f>
        <v>208.88966967591759</v>
      </c>
      <c r="BO915" s="87">
        <f>BN915*(1+BO888)</f>
        <v>211.45326805981807</v>
      </c>
      <c r="BP915" s="88">
        <f>BO915</f>
        <v>211.45326805981807</v>
      </c>
      <c r="BQ915" s="87">
        <f>BP915*(1+BQ888)</f>
        <v>214.05149105678899</v>
      </c>
      <c r="BR915" s="87">
        <f>BQ915*(1+BR888)</f>
        <v>216.67849108441271</v>
      </c>
      <c r="BS915" s="87">
        <f>BR915*(1+BS888)</f>
        <v>219.3386771778197</v>
      </c>
      <c r="BT915" s="87">
        <f>BS915*(1+BT888)</f>
        <v>222.02609058432586</v>
      </c>
      <c r="BU915" s="88">
        <f>BT915</f>
        <v>222.02609058432586</v>
      </c>
      <c r="BV915" s="87">
        <f>BU915*(1+BV888)</f>
        <v>224.74574489389391</v>
      </c>
      <c r="BW915" s="87">
        <f>BV915*(1+BW888)</f>
        <v>227.50411912138813</v>
      </c>
      <c r="BX915" s="87">
        <f>BW915*(1+BX888)</f>
        <v>230.29455168165717</v>
      </c>
      <c r="BY915" s="87">
        <f>BX915*(1+BY888)</f>
        <v>233.12498751238144</v>
      </c>
      <c r="BZ915" s="88">
        <f>BY915</f>
        <v>233.12498751238144</v>
      </c>
    </row>
    <row r="916" spans="1:78">
      <c r="A916" s="1" t="s">
        <v>308</v>
      </c>
      <c r="AD916" s="16">
        <f t="shared" ref="AD916:AJ916" si="3050">AD915/Y915-1</f>
        <v>-7.493276118790515E-2</v>
      </c>
      <c r="AE916" s="16">
        <f t="shared" si="3050"/>
        <v>4.4466749732353206E-2</v>
      </c>
      <c r="AF916" s="16">
        <f t="shared" si="3050"/>
        <v>2.8490933668677831E-2</v>
      </c>
      <c r="AG916" s="16">
        <f t="shared" si="3050"/>
        <v>2.8490933668677831E-2</v>
      </c>
      <c r="AH916" s="16">
        <f t="shared" si="3050"/>
        <v>-0.16172443430668848</v>
      </c>
      <c r="AI916" s="16">
        <f t="shared" si="3050"/>
        <v>-0.25517323930771452</v>
      </c>
      <c r="AJ916" s="16">
        <f t="shared" si="3050"/>
        <v>-0.38161204059349929</v>
      </c>
      <c r="AK916" s="16">
        <f t="shared" ref="AK916" si="3051">AK915/AF915-1</f>
        <v>-0.37369402957534936</v>
      </c>
      <c r="AL916" s="16">
        <f t="shared" ref="AL916:AO916" si="3052">AL915/AG915-1</f>
        <v>-0.37369402957534936</v>
      </c>
      <c r="AM916" s="16">
        <f t="shared" si="3052"/>
        <v>-0.20761432327512508</v>
      </c>
      <c r="AN916" s="16">
        <f t="shared" si="3052"/>
        <v>-0.15541625944515136</v>
      </c>
      <c r="AO916" s="16">
        <f t="shared" si="3052"/>
        <v>-4.6765241213562958E-2</v>
      </c>
      <c r="AP916" s="16">
        <f t="shared" ref="AP916" si="3053">AP915/AK915-1</f>
        <v>-9.8061939001298226E-3</v>
      </c>
      <c r="AQ916" s="16">
        <f t="shared" ref="AQ916:AR916" si="3054">AQ915/AL915-1</f>
        <v>-9.8061939001298226E-3</v>
      </c>
      <c r="AR916" s="16">
        <f t="shared" si="3054"/>
        <v>-9.599549067355162E-2</v>
      </c>
      <c r="AS916" s="16">
        <f t="shared" ref="AS916:AW916" si="3055">AS915/AN915-1</f>
        <v>1.9643606916042833E-2</v>
      </c>
      <c r="AT916" s="16">
        <f t="shared" si="3055"/>
        <v>-5.7307190097147021E-2</v>
      </c>
      <c r="AU916" s="16">
        <f t="shared" si="3055"/>
        <v>-1.1157234302377916E-2</v>
      </c>
      <c r="AV916" s="16">
        <f t="shared" si="3055"/>
        <v>-1.1157234302377916E-2</v>
      </c>
      <c r="AW916" s="16">
        <f t="shared" si="3055"/>
        <v>0.21295756369845242</v>
      </c>
      <c r="AX916" s="16">
        <f t="shared" ref="AX916" si="3056">AX915/AS915-1</f>
        <v>0.37261197972442361</v>
      </c>
      <c r="AY916" s="16">
        <f t="shared" ref="AY916" si="3057">AY915/AT915-1</f>
        <v>1.0106579546047874</v>
      </c>
      <c r="AZ916" s="16">
        <f t="shared" ref="AZ916" si="3058">AZ915/AU915-1</f>
        <v>0.93664916795333686</v>
      </c>
      <c r="BA916" s="16">
        <f t="shared" ref="BA916" si="3059">BA915/AV915-1</f>
        <v>0.93664916795333686</v>
      </c>
      <c r="BB916" s="16">
        <f t="shared" ref="BB916" si="3060">BB915/AW915-1</f>
        <v>1.3303454032557847</v>
      </c>
      <c r="BC916" s="16">
        <f t="shared" ref="BC916" si="3061">BC915/AX915-1</f>
        <v>1.1541144508072532</v>
      </c>
      <c r="BD916" s="16">
        <f t="shared" ref="BD916" si="3062">BD915/AY915-1</f>
        <v>0.64415481551137899</v>
      </c>
      <c r="BE916" s="16">
        <f t="shared" ref="BE916" si="3063">BE915/AZ915-1</f>
        <v>0.64033344972642814</v>
      </c>
      <c r="BF916" s="16">
        <f t="shared" ref="BF916" si="3064">BF915/BA915-1</f>
        <v>0.64033344972642814</v>
      </c>
      <c r="BG916" s="16">
        <f t="shared" ref="BG916" si="3065">BG915/BB915-1</f>
        <v>0.22006133259081384</v>
      </c>
      <c r="BH916" s="16">
        <f t="shared" ref="BH916" si="3066">BH915/BC915-1</f>
        <v>0.12023058472904347</v>
      </c>
      <c r="BI916" s="16">
        <f t="shared" ref="BI916" si="3067">BI915/BD915-1</f>
        <v>3.6882833145535754E-2</v>
      </c>
      <c r="BJ916" s="16">
        <f t="shared" ref="BJ916" si="3068">BJ915/BE915-1</f>
        <v>4.9972127027076096E-2</v>
      </c>
      <c r="BK916" s="16">
        <f t="shared" ref="BK916" si="3069">BK915/BF915-1</f>
        <v>4.9972127027076096E-2</v>
      </c>
      <c r="BL916" s="16">
        <f t="shared" ref="BL916" si="3070">BL915/BG915-1</f>
        <v>4.997364017256567E-2</v>
      </c>
      <c r="BM916" s="16">
        <f t="shared" ref="BM916" si="3071">BM915/BH915-1</f>
        <v>4.9960888381770152E-2</v>
      </c>
      <c r="BN916" s="16">
        <f t="shared" ref="BN916" si="3072">BN915/BI915-1</f>
        <v>4.9979125913246936E-2</v>
      </c>
      <c r="BO916" s="16">
        <f t="shared" ref="BO916" si="3073">BO915/BJ915-1</f>
        <v>4.9994224707400559E-2</v>
      </c>
      <c r="BP916" s="16">
        <f t="shared" ref="BP916" si="3074">BP915/BK915-1</f>
        <v>4.9994224707400559E-2</v>
      </c>
      <c r="BQ916" s="16">
        <f t="shared" ref="BQ916" si="3075">BQ915/BL915-1</f>
        <v>5.0014820660559955E-2</v>
      </c>
      <c r="BR916" s="16">
        <f t="shared" ref="BR916" si="3076">BR915/BM915-1</f>
        <v>5.0023470010575943E-2</v>
      </c>
      <c r="BS916" s="16">
        <f t="shared" ref="BS916" si="3077">BS915/BN915-1</f>
        <v>5.0021657452535839E-2</v>
      </c>
      <c r="BT916" s="16">
        <f t="shared" ref="BT916" si="3078">BT915/BO915-1</f>
        <v>5.000075251386904E-2</v>
      </c>
      <c r="BU916" s="16">
        <f t="shared" ref="BU916" si="3079">BU915/BP915-1</f>
        <v>5.000075251386904E-2</v>
      </c>
      <c r="BV916" s="16">
        <f t="shared" ref="BV916" si="3080">BV915/BQ915-1</f>
        <v>4.9961127503978409E-2</v>
      </c>
      <c r="BW916" s="16">
        <f t="shared" ref="BW916" si="3081">BW915/BR915-1</f>
        <v>4.9961710471566834E-2</v>
      </c>
      <c r="BX916" s="16">
        <f t="shared" ref="BX916" si="3082">BX915/BS915-1</f>
        <v>4.9949578637038305E-2</v>
      </c>
      <c r="BY916" s="16">
        <f t="shared" ref="BY916" si="3083">BY915/BT915-1</f>
        <v>4.9989156224143017E-2</v>
      </c>
      <c r="BZ916" s="16">
        <f t="shared" ref="BZ916" si="3084">BZ915/BU915-1</f>
        <v>4.9989156224143017E-2</v>
      </c>
    </row>
    <row r="918" spans="1:78">
      <c r="A918" s="1" t="s">
        <v>503</v>
      </c>
      <c r="Z918" s="84">
        <v>0.25</v>
      </c>
      <c r="AA918" s="42">
        <f>Z918+0.25</f>
        <v>0.5</v>
      </c>
      <c r="AB918" s="42">
        <f>AA918</f>
        <v>0.5</v>
      </c>
      <c r="AC918" s="42">
        <f t="shared" ref="AC918:AJ918" si="3085">AB918+0.25</f>
        <v>0.75</v>
      </c>
      <c r="AD918" s="42">
        <f t="shared" si="3085"/>
        <v>1</v>
      </c>
      <c r="AE918" s="42">
        <f t="shared" si="3085"/>
        <v>1.25</v>
      </c>
      <c r="AF918" s="42">
        <f t="shared" si="3085"/>
        <v>1.5</v>
      </c>
      <c r="AG918" s="42">
        <f>AF918</f>
        <v>1.5</v>
      </c>
      <c r="AH918" s="42">
        <f t="shared" si="3085"/>
        <v>1.75</v>
      </c>
      <c r="AI918" s="42">
        <f t="shared" si="3085"/>
        <v>2</v>
      </c>
      <c r="AJ918" s="42">
        <f t="shared" si="3085"/>
        <v>2.25</v>
      </c>
      <c r="AK918" s="42">
        <f t="shared" ref="AK918" si="3086">AJ918+0.25</f>
        <v>2.5</v>
      </c>
      <c r="AL918" s="42">
        <f>AK918</f>
        <v>2.5</v>
      </c>
      <c r="AM918" s="42">
        <f t="shared" ref="AM918:AO918" si="3087">AL918+0.25</f>
        <v>2.75</v>
      </c>
      <c r="AN918" s="42">
        <f t="shared" si="3087"/>
        <v>3</v>
      </c>
      <c r="AO918" s="42">
        <f t="shared" si="3087"/>
        <v>3.25</v>
      </c>
      <c r="AP918" s="42">
        <f t="shared" ref="AP918" si="3088">AO918+0.25</f>
        <v>3.5</v>
      </c>
      <c r="AQ918" s="42">
        <f>AP918</f>
        <v>3.5</v>
      </c>
      <c r="AR918" s="42">
        <f t="shared" ref="AR918" si="3089">AQ918+0.25</f>
        <v>3.75</v>
      </c>
      <c r="AS918" s="42">
        <f t="shared" ref="AS918:AU918" si="3090">AR918+0.25</f>
        <v>4</v>
      </c>
      <c r="AT918" s="42">
        <f t="shared" si="3090"/>
        <v>4.25</v>
      </c>
      <c r="AU918" s="42">
        <f t="shared" si="3090"/>
        <v>4.5</v>
      </c>
      <c r="AV918" s="42">
        <f>AU918</f>
        <v>4.5</v>
      </c>
      <c r="AW918" s="42">
        <f t="shared" ref="AW918" si="3091">AV918+0.25</f>
        <v>4.75</v>
      </c>
      <c r="AX918" s="42">
        <f t="shared" ref="AX918" si="3092">AW918+0.25</f>
        <v>5</v>
      </c>
      <c r="AY918" s="42">
        <f t="shared" ref="AY918" si="3093">AX918+0.25</f>
        <v>5.25</v>
      </c>
      <c r="AZ918" s="42">
        <f t="shared" ref="AZ918" si="3094">AY918+0.25</f>
        <v>5.5</v>
      </c>
      <c r="BA918" s="42">
        <f>AZ918</f>
        <v>5.5</v>
      </c>
      <c r="BB918" s="42">
        <f t="shared" ref="BB918" si="3095">BA918+0.25</f>
        <v>5.75</v>
      </c>
      <c r="BC918" s="42">
        <f t="shared" ref="BC918" si="3096">BB918+0.25</f>
        <v>6</v>
      </c>
      <c r="BD918" s="42">
        <f t="shared" ref="BD918" si="3097">BC918+0.25</f>
        <v>6.25</v>
      </c>
      <c r="BE918" s="42">
        <f t="shared" ref="BE918" si="3098">BD918+0.25</f>
        <v>6.5</v>
      </c>
      <c r="BF918" s="42">
        <f>BE918</f>
        <v>6.5</v>
      </c>
      <c r="BG918" s="42">
        <f t="shared" ref="BG918" si="3099">BF918+0.25</f>
        <v>6.75</v>
      </c>
      <c r="BH918" s="42">
        <f t="shared" ref="BH918" si="3100">BG918+0.25</f>
        <v>7</v>
      </c>
      <c r="BI918" s="42">
        <f t="shared" ref="BI918" si="3101">BH918+0.25</f>
        <v>7.25</v>
      </c>
      <c r="BJ918" s="42">
        <f t="shared" ref="BJ918" si="3102">BI918+0.25</f>
        <v>7.5</v>
      </c>
      <c r="BK918" s="42">
        <f>BJ918</f>
        <v>7.5</v>
      </c>
      <c r="BL918" s="42">
        <f t="shared" ref="BL918" si="3103">BK918+0.25</f>
        <v>7.75</v>
      </c>
      <c r="BM918" s="42">
        <f t="shared" ref="BM918" si="3104">BL918+0.25</f>
        <v>8</v>
      </c>
      <c r="BN918" s="42">
        <f t="shared" ref="BN918" si="3105">BM918+0.25</f>
        <v>8.25</v>
      </c>
      <c r="BO918" s="42">
        <f t="shared" ref="BO918" si="3106">BN918+0.25</f>
        <v>8.5</v>
      </c>
      <c r="BP918" s="42">
        <f>BO918</f>
        <v>8.5</v>
      </c>
      <c r="BQ918" s="42">
        <f t="shared" ref="BQ918" si="3107">BP918+0.25</f>
        <v>8.75</v>
      </c>
      <c r="BR918" s="42">
        <f t="shared" ref="BR918" si="3108">BQ918+0.25</f>
        <v>9</v>
      </c>
      <c r="BS918" s="42">
        <f t="shared" ref="BS918" si="3109">BR918+0.25</f>
        <v>9.25</v>
      </c>
      <c r="BT918" s="42">
        <f t="shared" ref="BT918" si="3110">BS918+0.25</f>
        <v>9.5</v>
      </c>
      <c r="BU918" s="42">
        <f>BT918</f>
        <v>9.5</v>
      </c>
      <c r="BV918" s="42">
        <f t="shared" ref="BV918" si="3111">BU918+0.25</f>
        <v>9.75</v>
      </c>
      <c r="BW918" s="42">
        <f t="shared" ref="BW918" si="3112">BV918+0.25</f>
        <v>10</v>
      </c>
      <c r="BX918" s="42">
        <f t="shared" ref="BX918" si="3113">BW918+0.25</f>
        <v>10.25</v>
      </c>
      <c r="BY918" s="42">
        <f t="shared" ref="BY918" si="3114">BX918+0.25</f>
        <v>10.5</v>
      </c>
      <c r="BZ918" s="42">
        <f>BY918</f>
        <v>10.5</v>
      </c>
    </row>
    <row r="919" spans="1:78">
      <c r="A919" s="1" t="s">
        <v>304</v>
      </c>
      <c r="Z919" s="16">
        <f t="shared" ref="Z919:AJ919" si="3115">(Z915/$Y$915)^(1/Z918)-1</f>
        <v>0</v>
      </c>
      <c r="AA919" s="16">
        <f t="shared" si="3115"/>
        <v>-8.3643801592519496E-2</v>
      </c>
      <c r="AB919" s="16">
        <f t="shared" si="3115"/>
        <v>-8.3643801592519496E-2</v>
      </c>
      <c r="AC919" s="16">
        <f t="shared" si="3115"/>
        <v>-8.2363966114993636E-2</v>
      </c>
      <c r="AD919" s="16">
        <f t="shared" si="3115"/>
        <v>-7.493276118790515E-2</v>
      </c>
      <c r="AE919" s="16">
        <f t="shared" si="3115"/>
        <v>3.5417963087883031E-2</v>
      </c>
      <c r="AF919" s="16">
        <f t="shared" si="3115"/>
        <v>-1.0334527003792782E-2</v>
      </c>
      <c r="AG919" s="16">
        <f t="shared" si="3115"/>
        <v>-1.0334527003792782E-2</v>
      </c>
      <c r="AH919" s="16">
        <f t="shared" si="3115"/>
        <v>-0.12858976179213732</v>
      </c>
      <c r="AI919" s="16">
        <f t="shared" si="3115"/>
        <v>-0.1699308252278191</v>
      </c>
      <c r="AJ919" s="16">
        <f t="shared" si="3115"/>
        <v>-0.17657370674011708</v>
      </c>
      <c r="AK919" s="16">
        <f t="shared" ref="AK919" si="3116">(AK915/$Y$915)^(1/AK918)-1</f>
        <v>-0.17584732584805363</v>
      </c>
      <c r="AL919" s="16">
        <f t="shared" ref="AL919:AP919" si="3117">(AL915/$Y$915)^(1/AL918)-1</f>
        <v>-0.17584732584805363</v>
      </c>
      <c r="AM919" s="16">
        <f>(AM915/$Y$915)^(1/AM918)-1</f>
        <v>-0.158198777474018</v>
      </c>
      <c r="AN919" s="16">
        <f t="shared" si="3117"/>
        <v>-0.16512056598076075</v>
      </c>
      <c r="AO919" s="16">
        <f t="shared" si="3117"/>
        <v>-0.13863680299226544</v>
      </c>
      <c r="AP919" s="16">
        <f t="shared" si="3117"/>
        <v>-0.13147428454988985</v>
      </c>
      <c r="AQ919" s="16">
        <f t="shared" ref="AQ919" si="3118">(AQ915/$Y$915)^(1/AQ918)-1</f>
        <v>-0.13147428454988985</v>
      </c>
      <c r="AR919" s="16">
        <f>(AR915/$Y$915)^(1/AR918)-1</f>
        <v>-0.14204239006171004</v>
      </c>
      <c r="AS919" s="16">
        <f t="shared" ref="AS919:AV919" si="3119">(AS915/$Y$915)^(1/AS918)-1</f>
        <v>-0.12233269065873764</v>
      </c>
      <c r="AT919" s="16">
        <f t="shared" si="3119"/>
        <v>-0.1201552457396966</v>
      </c>
      <c r="AU919" s="16">
        <f t="shared" si="3119"/>
        <v>-0.10606962447783985</v>
      </c>
      <c r="AV919" s="16">
        <f t="shared" si="3119"/>
        <v>-0.10606962447783985</v>
      </c>
      <c r="AW919" s="16">
        <f>(AW915/$Y$915)^(1/AW918)-1</f>
        <v>-7.7163568870143973E-2</v>
      </c>
      <c r="AX919" s="16">
        <f t="shared" ref="AX919:BZ919" si="3120">(AX915/$Y$915)^(1/AX918)-1</f>
        <v>-4.0216024033854159E-2</v>
      </c>
      <c r="AY919" s="16">
        <f t="shared" si="3120"/>
        <v>2.9850246125504132E-2</v>
      </c>
      <c r="AZ919" s="16">
        <f t="shared" si="3120"/>
        <v>2.8841919282045492E-2</v>
      </c>
      <c r="BA919" s="16">
        <f t="shared" si="3120"/>
        <v>2.8841919282045492E-2</v>
      </c>
      <c r="BB919" s="16">
        <f t="shared" si="3120"/>
        <v>8.414950839112012E-2</v>
      </c>
      <c r="BC919" s="16">
        <f t="shared" si="3120"/>
        <v>9.8220066464270062E-2</v>
      </c>
      <c r="BD919" s="16">
        <f t="shared" si="3120"/>
        <v>0.10989286160081302</v>
      </c>
      <c r="BE919" s="16">
        <f t="shared" si="3120"/>
        <v>0.10538951721317202</v>
      </c>
      <c r="BF919" s="16">
        <f t="shared" si="3120"/>
        <v>0.10538951721317202</v>
      </c>
      <c r="BG919" s="16">
        <f t="shared" si="3120"/>
        <v>0.10328589010452416</v>
      </c>
      <c r="BH919" s="16">
        <f t="shared" si="3120"/>
        <v>0.1013377483388771</v>
      </c>
      <c r="BI919" s="16">
        <f t="shared" si="3120"/>
        <v>9.9524742299865077E-2</v>
      </c>
      <c r="BJ919" s="16">
        <f t="shared" si="3120"/>
        <v>9.7834814118254121E-2</v>
      </c>
      <c r="BK919" s="16">
        <f t="shared" si="3120"/>
        <v>9.7834814118254121E-2</v>
      </c>
      <c r="BL919" s="16">
        <f t="shared" si="3120"/>
        <v>9.6257614658656676E-2</v>
      </c>
      <c r="BM919" s="16">
        <f t="shared" si="3120"/>
        <v>9.4780616627342607E-2</v>
      </c>
      <c r="BN919" s="16">
        <f t="shared" si="3120"/>
        <v>9.3396838236776469E-2</v>
      </c>
      <c r="BO919" s="16">
        <f t="shared" si="3120"/>
        <v>9.2095249169900528E-2</v>
      </c>
      <c r="BP919" s="16">
        <f t="shared" si="3120"/>
        <v>9.2095249169900528E-2</v>
      </c>
      <c r="BQ919" s="16">
        <f t="shared" si="3120"/>
        <v>9.0871297965435138E-2</v>
      </c>
      <c r="BR919" s="16">
        <f t="shared" si="3120"/>
        <v>8.9714844233486746E-2</v>
      </c>
      <c r="BS919" s="16">
        <f t="shared" si="3120"/>
        <v>8.862253725297542E-2</v>
      </c>
      <c r="BT919" s="16">
        <f t="shared" si="3120"/>
        <v>8.7585929209874847E-2</v>
      </c>
      <c r="BU919" s="16">
        <f t="shared" si="3120"/>
        <v>8.7585929209874847E-2</v>
      </c>
      <c r="BV919" s="16">
        <f t="shared" si="3120"/>
        <v>8.6603052736937913E-2</v>
      </c>
      <c r="BW919" s="16">
        <f t="shared" si="3120"/>
        <v>8.5672722750140817E-2</v>
      </c>
      <c r="BX919" s="16">
        <f t="shared" si="3120"/>
        <v>8.4787688540753692E-2</v>
      </c>
      <c r="BY919" s="16">
        <f t="shared" si="3120"/>
        <v>8.3948028004977582E-2</v>
      </c>
      <c r="BZ919" s="16">
        <f t="shared" si="3120"/>
        <v>8.3948028004977582E-2</v>
      </c>
    </row>
    <row r="921" spans="1:78">
      <c r="A921" s="3" t="s">
        <v>360</v>
      </c>
    </row>
    <row r="922" spans="1:78">
      <c r="AC922" s="123" t="s">
        <v>565</v>
      </c>
      <c r="AD922" s="12"/>
      <c r="AE922" s="12"/>
      <c r="AF922" s="12"/>
      <c r="BB922" s="430" t="s">
        <v>3623</v>
      </c>
      <c r="BC922" s="46"/>
      <c r="BD922" s="46"/>
      <c r="BE922" s="46"/>
      <c r="BF922" s="46"/>
    </row>
    <row r="923" spans="1:78">
      <c r="A923" s="1" t="s">
        <v>633</v>
      </c>
      <c r="AC923" s="125">
        <v>99275</v>
      </c>
      <c r="AD923" s="37">
        <v>111920</v>
      </c>
      <c r="AE923" s="37">
        <v>534329</v>
      </c>
      <c r="AF923" s="37">
        <v>731540</v>
      </c>
      <c r="AG923" s="36">
        <f>AF923</f>
        <v>731540</v>
      </c>
      <c r="AH923" s="37">
        <v>792632</v>
      </c>
      <c r="AI923" s="37">
        <v>835528</v>
      </c>
      <c r="AJ923" s="37">
        <v>765118</v>
      </c>
      <c r="AK923" s="37">
        <v>770004</v>
      </c>
      <c r="AL923" s="36">
        <f>AK923</f>
        <v>770004</v>
      </c>
      <c r="AM923" s="37">
        <v>829296</v>
      </c>
      <c r="AN923" s="37">
        <v>542213</v>
      </c>
      <c r="AO923" s="37">
        <v>513237</v>
      </c>
      <c r="AP923" s="37">
        <v>547894</v>
      </c>
      <c r="AQ923" s="36">
        <f>AP923</f>
        <v>547894</v>
      </c>
      <c r="AR923" s="37">
        <v>582854</v>
      </c>
      <c r="AS923" s="37">
        <v>508082</v>
      </c>
      <c r="AT923" s="37">
        <v>540195</v>
      </c>
      <c r="AU923" s="37">
        <v>501245</v>
      </c>
      <c r="AV923" s="36">
        <f>AU923</f>
        <v>501245</v>
      </c>
      <c r="AW923" s="37">
        <v>460917</v>
      </c>
      <c r="AX923" s="37">
        <v>647086</v>
      </c>
      <c r="AY923" s="37">
        <v>834711</v>
      </c>
      <c r="AZ923" s="36">
        <f>AZ924*AZ237</f>
        <v>826683</v>
      </c>
      <c r="BA923" s="36">
        <f>AZ923</f>
        <v>826683</v>
      </c>
      <c r="BB923" s="36">
        <f>BB924*BB237</f>
        <v>1056601</v>
      </c>
      <c r="BC923" s="36">
        <f>BC924*BC237</f>
        <v>1246744</v>
      </c>
      <c r="BD923" s="36">
        <f>BD924*BD237</f>
        <v>1397412</v>
      </c>
      <c r="BE923" s="36">
        <f>BE924*BE237</f>
        <v>1624030</v>
      </c>
      <c r="BF923" s="36">
        <f>BE923</f>
        <v>1624030</v>
      </c>
      <c r="BG923" s="36">
        <f>BG924*BG237</f>
        <v>1619798</v>
      </c>
      <c r="BH923" s="36">
        <f>BH924*BH237</f>
        <v>1615566.0000000002</v>
      </c>
      <c r="BI923" s="36">
        <f>BI924*BI237</f>
        <v>1611334.0000000002</v>
      </c>
      <c r="BJ923" s="36">
        <f>BJ924*BJ237</f>
        <v>1607102</v>
      </c>
      <c r="BK923" s="36">
        <f>BJ923</f>
        <v>1607102</v>
      </c>
      <c r="BL923" s="36">
        <f>BL924*BL237</f>
        <v>1602870</v>
      </c>
      <c r="BM923" s="36">
        <f>BM924*BM237</f>
        <v>1598638</v>
      </c>
      <c r="BN923" s="36">
        <f>BN924*BN237</f>
        <v>1594406.0000000002</v>
      </c>
      <c r="BO923" s="36">
        <f>BO924*BO237</f>
        <v>1590174.0000000002</v>
      </c>
      <c r="BP923" s="36">
        <f>BO923</f>
        <v>1590174.0000000002</v>
      </c>
      <c r="BQ923" s="36">
        <f>BQ924*BQ237</f>
        <v>1585942</v>
      </c>
      <c r="BR923" s="36">
        <f>BR924*BR237</f>
        <v>1581710</v>
      </c>
      <c r="BS923" s="36">
        <f>BS924*BS237</f>
        <v>1577478</v>
      </c>
      <c r="BT923" s="36">
        <f>BT924*BT237</f>
        <v>1573246.0000000002</v>
      </c>
      <c r="BU923" s="36">
        <f>BT923</f>
        <v>1573246.0000000002</v>
      </c>
      <c r="BV923" s="36">
        <f>BV924*BV237</f>
        <v>1569014.0000000002</v>
      </c>
      <c r="BW923" s="36">
        <f>BW924*BW237</f>
        <v>1564782</v>
      </c>
      <c r="BX923" s="36">
        <f>BX924*BX237</f>
        <v>1560550</v>
      </c>
      <c r="BY923" s="36">
        <f>BY924*BY237</f>
        <v>1556318</v>
      </c>
      <c r="BZ923" s="36">
        <f>BY923</f>
        <v>1556318</v>
      </c>
    </row>
    <row r="924" spans="1:78">
      <c r="A924" s="1" t="s">
        <v>634</v>
      </c>
      <c r="AC924" s="38">
        <f t="shared" ref="AC924:AY924" si="3121">AC923/AC$237</f>
        <v>897.76632302405494</v>
      </c>
      <c r="AD924" s="38">
        <f t="shared" si="3121"/>
        <v>1000</v>
      </c>
      <c r="AE924" s="38">
        <f t="shared" si="3121"/>
        <v>4645.5312119631371</v>
      </c>
      <c r="AF924" s="38">
        <f t="shared" si="3121"/>
        <v>5977.1223139145359</v>
      </c>
      <c r="AG924" s="38">
        <f t="shared" si="3121"/>
        <v>5977.1223139145359</v>
      </c>
      <c r="AH924" s="38">
        <f t="shared" si="3121"/>
        <v>5799.1805677494876</v>
      </c>
      <c r="AI924" s="38">
        <f t="shared" si="3121"/>
        <v>5769.8225260686413</v>
      </c>
      <c r="AJ924" s="38">
        <f t="shared" si="3121"/>
        <v>5765.7724189902037</v>
      </c>
      <c r="AK924" s="38">
        <f t="shared" si="3121"/>
        <v>5766.5243765445966</v>
      </c>
      <c r="AL924" s="38">
        <f t="shared" ref="AL924" si="3122">AL923/AL$237</f>
        <v>5766.5243765445966</v>
      </c>
      <c r="AM924" s="38">
        <f t="shared" si="3121"/>
        <v>5719.6772191185592</v>
      </c>
      <c r="AN924" s="38">
        <f t="shared" si="3121"/>
        <v>3624.9030619066716</v>
      </c>
      <c r="AO924" s="38">
        <f t="shared" si="3121"/>
        <v>3618.6772897130363</v>
      </c>
      <c r="AP924" s="38">
        <f t="shared" si="3121"/>
        <v>3618.6117165312726</v>
      </c>
      <c r="AQ924" s="38">
        <f t="shared" si="3121"/>
        <v>3618.6117165312726</v>
      </c>
      <c r="AR924" s="38">
        <f t="shared" si="3121"/>
        <v>3618.6378593158256</v>
      </c>
      <c r="AS924" s="38">
        <f t="shared" si="3121"/>
        <v>3559.7421705317734</v>
      </c>
      <c r="AT924" s="38">
        <f t="shared" si="3121"/>
        <v>3415.0651156909848</v>
      </c>
      <c r="AU924" s="38">
        <f t="shared" si="3121"/>
        <v>3352.3608881754949</v>
      </c>
      <c r="AV924" s="38">
        <f t="shared" si="3121"/>
        <v>3352.3608881754949</v>
      </c>
      <c r="AW924" s="38">
        <f t="shared" si="3121"/>
        <v>3182.9086389061526</v>
      </c>
      <c r="AX924" s="38">
        <f t="shared" si="3121"/>
        <v>4346.3594841483073</v>
      </c>
      <c r="AY924" s="38">
        <f t="shared" si="3121"/>
        <v>5331.5725600408787</v>
      </c>
      <c r="AZ924" s="877">
        <f>MROUND(AY924, 5)</f>
        <v>5330</v>
      </c>
      <c r="BA924" s="38">
        <f>AZ924</f>
        <v>5330</v>
      </c>
      <c r="BB924" s="877">
        <f>BA924+BB925</f>
        <v>6830</v>
      </c>
      <c r="BC924" s="877">
        <f>BB924+BC925</f>
        <v>8080</v>
      </c>
      <c r="BD924" s="877">
        <f>BC924+BD925</f>
        <v>9080</v>
      </c>
      <c r="BE924" s="877">
        <f>BD924+BE925</f>
        <v>10580</v>
      </c>
      <c r="BF924" s="38">
        <f>BE924</f>
        <v>10580</v>
      </c>
      <c r="BG924" s="877">
        <f>MROUND(BF924, 5)</f>
        <v>10580</v>
      </c>
      <c r="BH924" s="877">
        <f t="shared" ref="BH924:BJ924" si="3123">MROUND(BG924, 5)</f>
        <v>10580</v>
      </c>
      <c r="BI924" s="877">
        <f t="shared" si="3123"/>
        <v>10580</v>
      </c>
      <c r="BJ924" s="877">
        <f t="shared" si="3123"/>
        <v>10580</v>
      </c>
      <c r="BK924" s="38">
        <f>BJ924</f>
        <v>10580</v>
      </c>
      <c r="BL924" s="877">
        <f>MROUND(BK924, 5)</f>
        <v>10580</v>
      </c>
      <c r="BM924" s="877">
        <f t="shared" ref="BM924:BO924" si="3124">MROUND(BL924, 5)</f>
        <v>10580</v>
      </c>
      <c r="BN924" s="877">
        <f t="shared" si="3124"/>
        <v>10580</v>
      </c>
      <c r="BO924" s="877">
        <f t="shared" si="3124"/>
        <v>10580</v>
      </c>
      <c r="BP924" s="38">
        <f>BO924</f>
        <v>10580</v>
      </c>
      <c r="BQ924" s="877">
        <f>MROUND(BP924, 5)</f>
        <v>10580</v>
      </c>
      <c r="BR924" s="877">
        <f t="shared" ref="BR924:BT924" si="3125">MROUND(BQ924, 5)</f>
        <v>10580</v>
      </c>
      <c r="BS924" s="877">
        <f t="shared" si="3125"/>
        <v>10580</v>
      </c>
      <c r="BT924" s="877">
        <f t="shared" si="3125"/>
        <v>10580</v>
      </c>
      <c r="BU924" s="38">
        <f>BT924</f>
        <v>10580</v>
      </c>
      <c r="BV924" s="877">
        <f>MROUND(BU924, 5)</f>
        <v>10580</v>
      </c>
      <c r="BW924" s="877">
        <f t="shared" ref="BW924:BY924" si="3126">MROUND(BV924, 5)</f>
        <v>10580</v>
      </c>
      <c r="BX924" s="877">
        <f t="shared" si="3126"/>
        <v>10580</v>
      </c>
      <c r="BY924" s="877">
        <f t="shared" si="3126"/>
        <v>10580</v>
      </c>
      <c r="BZ924" s="38">
        <f>BY924</f>
        <v>10580</v>
      </c>
    </row>
    <row r="925" spans="1:78">
      <c r="A925" s="1" t="s">
        <v>3478</v>
      </c>
      <c r="AC925" s="38"/>
      <c r="AD925" s="38">
        <f>AD924-AC924</f>
        <v>102.23367697594506</v>
      </c>
      <c r="AE925" s="38">
        <f>AE924-AD924</f>
        <v>3645.5312119631371</v>
      </c>
      <c r="AF925" s="38">
        <f>AF924-AE924</f>
        <v>1331.5911019513987</v>
      </c>
      <c r="AG925" s="38"/>
      <c r="AH925" s="38">
        <f>AH924-AG924</f>
        <v>-177.94174616504824</v>
      </c>
      <c r="AI925" s="38">
        <f>AI924-AH924</f>
        <v>-29.358041680846327</v>
      </c>
      <c r="AJ925" s="38">
        <f>AJ924-AI924</f>
        <v>-4.050107078437577</v>
      </c>
      <c r="AK925" s="38">
        <f>AK924-AJ924</f>
        <v>0.75195755439290224</v>
      </c>
      <c r="AL925" s="38">
        <f>SUM(AH925:AK925)</f>
        <v>-210.59793736993925</v>
      </c>
      <c r="AM925" s="38">
        <f>AM924-AL924</f>
        <v>-46.847157426037484</v>
      </c>
      <c r="AN925" s="38">
        <f>AN924-AM924</f>
        <v>-2094.7741572118875</v>
      </c>
      <c r="AO925" s="38">
        <f>AO924-AN924</f>
        <v>-6.2257721936352937</v>
      </c>
      <c r="AP925" s="38">
        <f>AP924-AO924</f>
        <v>-6.557318176373883E-2</v>
      </c>
      <c r="AQ925" s="38">
        <f>SUM(AM925:AP925)</f>
        <v>-2147.9126600133241</v>
      </c>
      <c r="AR925" s="38">
        <f>AR924-AQ924</f>
        <v>2.6142784553030651E-2</v>
      </c>
      <c r="AS925" s="38">
        <f>AS924-AR924</f>
        <v>-58.895688784052254</v>
      </c>
      <c r="AT925" s="38">
        <f>AT924-AS924</f>
        <v>-144.67705484078851</v>
      </c>
      <c r="AU925" s="38">
        <f>AU924-AT924</f>
        <v>-62.704227515489947</v>
      </c>
      <c r="AV925" s="38">
        <f>SUM(AR925:AU925)</f>
        <v>-266.25082835577768</v>
      </c>
      <c r="AW925" s="38">
        <f>AW924-AV924</f>
        <v>-169.45224926934225</v>
      </c>
      <c r="AX925" s="38">
        <f>AX924-AW924</f>
        <v>1163.4508452421546</v>
      </c>
      <c r="AY925" s="38">
        <f>AY924-AX924</f>
        <v>985.2130758925714</v>
      </c>
      <c r="AZ925" s="38">
        <f>AZ924-AY924</f>
        <v>-1.5725600408786704</v>
      </c>
      <c r="BA925" s="38">
        <f>SUM(AW925:AZ925)</f>
        <v>1977.6391118245051</v>
      </c>
      <c r="BB925" s="940">
        <v>1500</v>
      </c>
      <c r="BC925" s="228">
        <v>1250</v>
      </c>
      <c r="BD925" s="228">
        <v>1000</v>
      </c>
      <c r="BE925" s="228">
        <v>1500</v>
      </c>
      <c r="BF925" s="629">
        <f>SUM(BB925:BE925)</f>
        <v>5250</v>
      </c>
      <c r="BG925" s="877"/>
      <c r="BH925" s="877"/>
      <c r="BI925" s="877"/>
      <c r="BJ925" s="877"/>
      <c r="BK925" s="38"/>
      <c r="BL925" s="877"/>
      <c r="BM925" s="877"/>
      <c r="BN925" s="877"/>
      <c r="BO925" s="877"/>
      <c r="BP925" s="38"/>
      <c r="BQ925" s="877"/>
      <c r="BR925" s="877"/>
      <c r="BS925" s="877"/>
      <c r="BT925" s="877"/>
      <c r="BU925" s="38"/>
      <c r="BV925" s="877"/>
      <c r="BW925" s="877"/>
      <c r="BX925" s="877"/>
      <c r="BY925" s="877"/>
      <c r="BZ925" s="38"/>
    </row>
    <row r="926" spans="1:78">
      <c r="A926" s="262" t="s">
        <v>3479</v>
      </c>
      <c r="AC926" s="38"/>
      <c r="AD926" s="38"/>
      <c r="AE926" s="38"/>
      <c r="AF926" s="38"/>
      <c r="AG926" s="38"/>
      <c r="AH926" s="38"/>
      <c r="AI926" s="38"/>
      <c r="AJ926" s="38"/>
      <c r="AK926" s="38"/>
      <c r="AL926" s="38"/>
      <c r="AM926" s="38"/>
      <c r="AN926" s="38"/>
      <c r="AO926" s="38"/>
      <c r="AP926" s="38"/>
      <c r="AQ926" s="38"/>
      <c r="AR926" s="877">
        <v>0</v>
      </c>
      <c r="AS926" s="877">
        <v>0</v>
      </c>
      <c r="AT926" s="877">
        <v>0</v>
      </c>
      <c r="AU926" s="877">
        <v>0</v>
      </c>
      <c r="AV926" s="629">
        <f>SUM(AR926:AU926)</f>
        <v>0</v>
      </c>
      <c r="AW926" s="877">
        <v>0</v>
      </c>
      <c r="AX926" s="877">
        <v>1150</v>
      </c>
      <c r="AY926" s="877">
        <v>985</v>
      </c>
      <c r="AZ926" s="877">
        <v>0</v>
      </c>
      <c r="BA926" s="629">
        <f>SUM(AW926:AZ926)</f>
        <v>2135</v>
      </c>
      <c r="BB926" s="877">
        <f>BB925</f>
        <v>1500</v>
      </c>
      <c r="BC926" s="877">
        <f>BC925</f>
        <v>1250</v>
      </c>
      <c r="BD926" s="877">
        <f>BD925</f>
        <v>1000</v>
      </c>
      <c r="BE926" s="877">
        <f>BE925</f>
        <v>1500</v>
      </c>
      <c r="BF926" s="629">
        <f>SUM(BB926:BE926)</f>
        <v>5250</v>
      </c>
      <c r="BG926" s="877"/>
      <c r="BH926" s="877"/>
      <c r="BI926" s="877"/>
      <c r="BJ926" s="877"/>
      <c r="BK926" s="38"/>
      <c r="BL926" s="877"/>
      <c r="BM926" s="877"/>
      <c r="BN926" s="877"/>
      <c r="BO926" s="877"/>
      <c r="BP926" s="38"/>
      <c r="BQ926" s="877"/>
      <c r="BR926" s="877"/>
      <c r="BS926" s="877"/>
      <c r="BT926" s="877"/>
      <c r="BU926" s="38"/>
      <c r="BV926" s="877"/>
      <c r="BW926" s="877"/>
      <c r="BX926" s="877"/>
      <c r="BY926" s="877"/>
      <c r="BZ926" s="38"/>
    </row>
    <row r="927" spans="1:78">
      <c r="AC927" s="123" t="s">
        <v>567</v>
      </c>
      <c r="AD927" s="12"/>
      <c r="AE927" s="12"/>
      <c r="AF927" s="12"/>
      <c r="AG927" s="12"/>
      <c r="AH927" s="12"/>
    </row>
    <row r="928" spans="1:78">
      <c r="A928" s="1" t="s">
        <v>400</v>
      </c>
      <c r="AC928" s="125">
        <f>AC29-AC756</f>
        <v>-749.32043811472977</v>
      </c>
      <c r="AD928" s="38">
        <f>AD29-AD756</f>
        <v>-754.6968469764488</v>
      </c>
      <c r="AE928" s="38">
        <f>AE29-AE756</f>
        <v>-3997.8946841198631</v>
      </c>
      <c r="AF928" s="38">
        <f>AF29-AF756</f>
        <v>-8875.8063431875107</v>
      </c>
      <c r="AG928" s="38">
        <f>AG29-AG756</f>
        <v>-14377.718312398552</v>
      </c>
      <c r="AH928" s="612">
        <f>AH29*AH923/(AH753+AH923+AH1007)</f>
        <v>-8636.8083871100116</v>
      </c>
      <c r="AI928" s="612">
        <f>AI29*AI923/(AI753+AI923+AI1007)</f>
        <v>-11504.418550733248</v>
      </c>
      <c r="AJ928" s="612">
        <f>AJ29*AJ923/(AJ753+AJ923+AJ1007)</f>
        <v>-13494.035230656171</v>
      </c>
      <c r="AK928" s="612">
        <f>AK29*AK923/(AK753+AK923+AK1007)</f>
        <v>-12869.63897526622</v>
      </c>
      <c r="AL928" s="38">
        <f>AL29-AL756</f>
        <v>-46616.599791784232</v>
      </c>
      <c r="AM928" s="612">
        <f>AM29*AM923/(AM753+AM923+AM1007)</f>
        <v>-13799.834559227447</v>
      </c>
      <c r="AN928" s="612">
        <f>AN29*AN923/(AN753+AN923+AN1007)</f>
        <v>-28904</v>
      </c>
      <c r="AO928" s="612">
        <f>AO29*AO923/(AO753+AO923+AO1007)</f>
        <v>-11991</v>
      </c>
      <c r="AP928" s="612">
        <f>AP29*AP923/(AP753+AP923+AP1007)</f>
        <v>-9799</v>
      </c>
      <c r="AQ928" s="38">
        <f>AQ29-AQ756</f>
        <v>-74322</v>
      </c>
      <c r="AR928" s="612">
        <f>AR29*AR923/(AR753+AR923+AR1007)</f>
        <v>-10524</v>
      </c>
      <c r="AS928" s="612">
        <f>AS29*AS923/(AS753+AS923+AS1007)</f>
        <v>-10147</v>
      </c>
      <c r="AT928" s="612">
        <f>AT29*AT923/(AT753+AT923+AT1007)</f>
        <v>-9999</v>
      </c>
      <c r="AU928" s="612">
        <f>AU29*AU923/(AU753+AU923+AU1007)</f>
        <v>-9574</v>
      </c>
      <c r="AV928" s="38">
        <f>AV29-AV756</f>
        <v>-40244</v>
      </c>
      <c r="AW928" s="612">
        <f>AW29*AW923/(AW753+AW923+AW1007)</f>
        <v>-40183</v>
      </c>
      <c r="AX928" s="612">
        <f>AX29*AX923/(AX753+AX923+AX1007)</f>
        <v>-43588</v>
      </c>
      <c r="AY928" s="612">
        <f>AY29*AY923/(AY753+AY923+AY1007)</f>
        <v>-59980</v>
      </c>
      <c r="AZ928" s="36">
        <f>AZ929*AZ102</f>
        <v>-15502.592850584439</v>
      </c>
      <c r="BA928" s="36">
        <f>SUM(AW928:AZ928)</f>
        <v>-159253.59285058445</v>
      </c>
      <c r="BB928" s="36">
        <f>BB929*BB102</f>
        <v>-17635.800000000003</v>
      </c>
      <c r="BC928" s="36">
        <f>BC929*BC102</f>
        <v>-21568.246875000001</v>
      </c>
      <c r="BD928" s="36">
        <f>BD929*BD102</f>
        <v>-24758.662500000002</v>
      </c>
      <c r="BE928" s="36">
        <f>BE929*BE102</f>
        <v>-28291.96875</v>
      </c>
      <c r="BF928" s="36">
        <f>SUM(BB928:BE928)</f>
        <v>-92254.678125000006</v>
      </c>
      <c r="BG928" s="36">
        <f>BG929*BG102</f>
        <v>-30371.212499999998</v>
      </c>
      <c r="BH928" s="36">
        <f>BH929*BH102</f>
        <v>-30291.862500000003</v>
      </c>
      <c r="BI928" s="36">
        <f>BI929*BI102</f>
        <v>-30212.512500000001</v>
      </c>
      <c r="BJ928" s="36">
        <f>BJ929*BJ102</f>
        <v>-30133.162500000002</v>
      </c>
      <c r="BK928" s="36">
        <f>SUM(BG928:BJ928)</f>
        <v>-121008.75</v>
      </c>
      <c r="BL928" s="36">
        <f>BL929*BL102</f>
        <v>-30053.8125</v>
      </c>
      <c r="BM928" s="36">
        <f>BM929*BM102</f>
        <v>-29974.462499999998</v>
      </c>
      <c r="BN928" s="36">
        <f>BN929*BN102</f>
        <v>-29895.112500000003</v>
      </c>
      <c r="BO928" s="36">
        <f>BO929*BO102</f>
        <v>-29815.762500000001</v>
      </c>
      <c r="BP928" s="36">
        <f>SUM(BL928:BO928)</f>
        <v>-119739.15</v>
      </c>
      <c r="BQ928" s="36">
        <f>BQ929*BQ102</f>
        <v>-29736.412500000002</v>
      </c>
      <c r="BR928" s="36">
        <f>BR929*BR102</f>
        <v>-29657.0625</v>
      </c>
      <c r="BS928" s="36">
        <f>BS929*BS102</f>
        <v>-29577.712499999998</v>
      </c>
      <c r="BT928" s="36">
        <f>BT929*BT102</f>
        <v>-29498.362500000003</v>
      </c>
      <c r="BU928" s="36">
        <f>SUM(BQ928:BT928)</f>
        <v>-118469.55</v>
      </c>
      <c r="BV928" s="36">
        <f>BV929*BV102</f>
        <v>-29419.012500000001</v>
      </c>
      <c r="BW928" s="36">
        <f>BW929*BW102</f>
        <v>-29339.662500000002</v>
      </c>
      <c r="BX928" s="36">
        <f>BX929*BX102</f>
        <v>-29260.3125</v>
      </c>
      <c r="BY928" s="36">
        <f>BY929*BY102</f>
        <v>-29180.962499999998</v>
      </c>
      <c r="BZ928" s="36">
        <f>SUM(BV928:BY928)</f>
        <v>-117199.95</v>
      </c>
    </row>
    <row r="929" spans="1:78">
      <c r="A929" s="1" t="s">
        <v>401</v>
      </c>
      <c r="AC929" s="38">
        <f>AC928/AC$102</f>
        <v>-6.8120039828611798</v>
      </c>
      <c r="AD929" s="38">
        <f t="shared" ref="AD929:AF929" si="3127">AD928/AD$102</f>
        <v>-6.8316904768394027</v>
      </c>
      <c r="AE929" s="38">
        <f t="shared" si="3127"/>
        <v>-35.192734895421331</v>
      </c>
      <c r="AF929" s="38">
        <f t="shared" si="3127"/>
        <v>-75.796809079312652</v>
      </c>
      <c r="AG929" s="38">
        <f>SUM(AC929:AF929)</f>
        <v>-124.63323843443456</v>
      </c>
      <c r="AH929" s="38">
        <f>AH928/AH$102</f>
        <v>-66.931249125155091</v>
      </c>
      <c r="AI929" s="38">
        <f>AI928/AI$102</f>
        <v>-82.956580261993423</v>
      </c>
      <c r="AJ929" s="38">
        <f>AJ928/AJ$102</f>
        <v>-95.593902172401329</v>
      </c>
      <c r="AK929" s="38">
        <f>AK928/AK$102</f>
        <v>-96.575408789330794</v>
      </c>
      <c r="AL929" s="38">
        <f>SUM(AH929:AK929)</f>
        <v>-342.05714034888064</v>
      </c>
      <c r="AM929" s="38">
        <f>AM928/AM$102</f>
        <v>-99.919155450202339</v>
      </c>
      <c r="AN929" s="38">
        <f>AN928/AN$102</f>
        <v>-198.73487348734875</v>
      </c>
      <c r="AO929" s="38">
        <f>AO928/AO$102</f>
        <v>-81.571428571428569</v>
      </c>
      <c r="AP929" s="38">
        <f>AP928/AP$102</f>
        <v>-66.267667545817275</v>
      </c>
      <c r="AQ929" s="38">
        <f>SUM(AM929:AP929)</f>
        <v>-446.49312505479691</v>
      </c>
      <c r="AR929" s="38">
        <f>AR928/AR$102</f>
        <v>-67.233118252092254</v>
      </c>
      <c r="AS929" s="38">
        <f>AS928/AS$102</f>
        <v>-67.529615333422072</v>
      </c>
      <c r="AT929" s="38">
        <f>AT928/AT$102</f>
        <v>-66.078509119746229</v>
      </c>
      <c r="AU929" s="38">
        <f>AU928/AU$102</f>
        <v>-62.59561948349134</v>
      </c>
      <c r="AV929" s="38">
        <f>SUM(AR929:AU929)</f>
        <v>-263.43686218875189</v>
      </c>
      <c r="AW929" s="38">
        <f>AW928/AW$102</f>
        <v>-276.76148495075421</v>
      </c>
      <c r="AX929" s="38">
        <f>AX928/AX$102</f>
        <v>-295.51186440677964</v>
      </c>
      <c r="AY929" s="38">
        <f>AY928/AY$102</f>
        <v>-389.37938197870687</v>
      </c>
      <c r="AZ929" s="38">
        <f>-AZ931*AVERAGE(AY924:AZ924)/4</f>
        <v>-99.952242750383235</v>
      </c>
      <c r="BA929" s="38">
        <f>SUM(AW929:AZ929)</f>
        <v>-1061.604974086624</v>
      </c>
      <c r="BB929" s="38">
        <f>-BB931*AVERAGE(BA924:BB924)/4</f>
        <v>-114</v>
      </c>
      <c r="BC929" s="38">
        <f>-BC931*AVERAGE(BB924:BC924)/4</f>
        <v>-139.78125</v>
      </c>
      <c r="BD929" s="38">
        <f>-BD931*AVERAGE(BC924:BD924)/4</f>
        <v>-160.875</v>
      </c>
      <c r="BE929" s="38">
        <f>-BE931*AVERAGE(BD924:BE924)/4</f>
        <v>-184.3125</v>
      </c>
      <c r="BF929" s="38">
        <f>SUM(BB929:BE929)</f>
        <v>-598.96875</v>
      </c>
      <c r="BG929" s="38">
        <f>-BG931*AVERAGE(BF924:BG924)/4</f>
        <v>-198.375</v>
      </c>
      <c r="BH929" s="38">
        <f>-BH931*AVERAGE(BG924:BH924)/4</f>
        <v>-198.375</v>
      </c>
      <c r="BI929" s="38">
        <f>-BI931*AVERAGE(BH924:BI924)/4</f>
        <v>-198.375</v>
      </c>
      <c r="BJ929" s="38">
        <f>-BJ931*AVERAGE(BI924:BJ924)/4</f>
        <v>-198.375</v>
      </c>
      <c r="BK929" s="38">
        <f>SUM(BG929:BJ929)</f>
        <v>-793.5</v>
      </c>
      <c r="BL929" s="38">
        <f>-BL931*AVERAGE(BK924:BL924)/4</f>
        <v>-198.375</v>
      </c>
      <c r="BM929" s="38">
        <f>-BM931*AVERAGE(BL924:BM924)/4</f>
        <v>-198.375</v>
      </c>
      <c r="BN929" s="38">
        <f>-BN931*AVERAGE(BM924:BN924)/4</f>
        <v>-198.375</v>
      </c>
      <c r="BO929" s="38">
        <f>-BO931*AVERAGE(BN924:BO924)/4</f>
        <v>-198.375</v>
      </c>
      <c r="BP929" s="38">
        <f>SUM(BL929:BO929)</f>
        <v>-793.5</v>
      </c>
      <c r="BQ929" s="38">
        <f>-BQ931*AVERAGE(BP924:BQ924)/4</f>
        <v>-198.375</v>
      </c>
      <c r="BR929" s="38">
        <f>-BR931*AVERAGE(BQ924:BR924)/4</f>
        <v>-198.375</v>
      </c>
      <c r="BS929" s="38">
        <f>-BS931*AVERAGE(BR924:BS924)/4</f>
        <v>-198.375</v>
      </c>
      <c r="BT929" s="38">
        <f>-BT931*AVERAGE(BS924:BT924)/4</f>
        <v>-198.375</v>
      </c>
      <c r="BU929" s="38">
        <f>SUM(BQ929:BT929)</f>
        <v>-793.5</v>
      </c>
      <c r="BV929" s="38">
        <f>-BV931*AVERAGE(BU924:BV924)/4</f>
        <v>-198.375</v>
      </c>
      <c r="BW929" s="38">
        <f>-BW931*AVERAGE(BV924:BW924)/4</f>
        <v>-198.375</v>
      </c>
      <c r="BX929" s="38">
        <f>-BX931*AVERAGE(BW924:BX924)/4</f>
        <v>-198.375</v>
      </c>
      <c r="BY929" s="38">
        <f>-BY931*AVERAGE(BX924:BY924)/4</f>
        <v>-198.375</v>
      </c>
      <c r="BZ929" s="38">
        <f>SUM(BV929:BY929)</f>
        <v>-793.5</v>
      </c>
    </row>
    <row r="930" spans="1:78">
      <c r="AH930" s="522" t="s">
        <v>639</v>
      </c>
      <c r="AI930" s="647"/>
      <c r="AJ930" s="647"/>
      <c r="AK930" s="647"/>
      <c r="AL930" s="647"/>
      <c r="AM930" s="219"/>
    </row>
    <row r="931" spans="1:78">
      <c r="A931" s="1" t="s">
        <v>402</v>
      </c>
      <c r="Y931" s="117">
        <v>0.03</v>
      </c>
      <c r="Z931" s="117">
        <v>0.03</v>
      </c>
      <c r="AA931" s="117">
        <v>0.03</v>
      </c>
      <c r="AC931" s="16">
        <f>-4*AC929/AVERAGE(AB924:AC924)</f>
        <v>3.0350900042298234E-2</v>
      </c>
      <c r="AD931" s="16">
        <f>-4*AD929/AVERAGE(AC924:AD924)</f>
        <v>2.8798869044965376E-2</v>
      </c>
      <c r="AE931" s="16">
        <f>-4*AE929/AVERAGE(AD924:AE924)</f>
        <v>4.9869864959168168E-2</v>
      </c>
      <c r="AF931" s="16">
        <f>-4*AF929/AVERAGE(AE924:AF924)</f>
        <v>5.708314510657081E-2</v>
      </c>
      <c r="AH931" s="16">
        <f>-4*AH929/AVERAGE(AG924:AH924)</f>
        <v>4.5468429131094175E-2</v>
      </c>
      <c r="AI931" s="16">
        <f>-4*AI929/AVERAGE(AH924:AI924)</f>
        <v>5.7364721637127802E-2</v>
      </c>
      <c r="AJ931" s="16">
        <f>-4*AJ929/AVERAGE(AI924:AJ924)</f>
        <v>6.6294909020430198E-2</v>
      </c>
      <c r="AK931" s="16">
        <f>-4*AK929/AVERAGE(AJ924:AK924)</f>
        <v>6.6994743892976397E-2</v>
      </c>
      <c r="AM931" s="16">
        <f>-4*AM929/AVERAGE(AL924:AM924)</f>
        <v>6.9592479023128984E-2</v>
      </c>
      <c r="AN931" s="16">
        <f>-4*AN929/AVERAGE(AM924:AN924)</f>
        <v>0.17013915447086916</v>
      </c>
      <c r="AO931" s="16">
        <f>-4*AO929/AVERAGE(AN924:AO924)</f>
        <v>9.008962376257891E-2</v>
      </c>
      <c r="AP931" s="16">
        <f>-4*AP929/AVERAGE(AO924:AP924)</f>
        <v>7.3251370770067908E-2</v>
      </c>
      <c r="AR931" s="16">
        <f>-4*AR929/AVERAGE(AQ924:AR924)</f>
        <v>7.4318971645216836E-2</v>
      </c>
      <c r="AS931" s="16">
        <f>-4*AS929/AVERAGE(AR924:AS924)</f>
        <v>7.5258891340536357E-2</v>
      </c>
      <c r="AT931" s="16">
        <f>-4*AT929/AVERAGE(AS924:AT924)</f>
        <v>7.5791065081061329E-2</v>
      </c>
      <c r="AU931" s="16">
        <f>-4*AU929/AVERAGE(AT924:AU924)</f>
        <v>7.3996369606675452E-2</v>
      </c>
      <c r="AW931" s="792">
        <f>-4*AW929/AVERAGE(AV924:AW924)</f>
        <v>0.33879121135417745</v>
      </c>
      <c r="AX931" s="792">
        <f>-4*AX929/AVERAGE(AW924:AX924)</f>
        <v>0.31398734599654227</v>
      </c>
      <c r="AY931" s="792">
        <f>-4*AY929/AVERAGE(AX924:AY924)</f>
        <v>0.32186990377763408</v>
      </c>
      <c r="AZ931" s="303">
        <v>7.4999999999999997E-2</v>
      </c>
      <c r="BB931" s="303">
        <v>7.4999999999999997E-2</v>
      </c>
      <c r="BC931" s="303">
        <v>7.4999999999999997E-2</v>
      </c>
      <c r="BD931" s="303">
        <v>7.4999999999999997E-2</v>
      </c>
      <c r="BE931" s="303">
        <v>7.4999999999999997E-2</v>
      </c>
      <c r="BG931" s="303">
        <v>7.4999999999999997E-2</v>
      </c>
      <c r="BH931" s="303">
        <v>7.4999999999999997E-2</v>
      </c>
      <c r="BI931" s="303">
        <v>7.4999999999999997E-2</v>
      </c>
      <c r="BJ931" s="303">
        <v>7.4999999999999997E-2</v>
      </c>
      <c r="BL931" s="303">
        <v>7.4999999999999997E-2</v>
      </c>
      <c r="BM931" s="303">
        <v>7.4999999999999997E-2</v>
      </c>
      <c r="BN931" s="303">
        <v>7.4999999999999997E-2</v>
      </c>
      <c r="BO931" s="303">
        <v>7.4999999999999997E-2</v>
      </c>
      <c r="BQ931" s="303">
        <v>7.4999999999999997E-2</v>
      </c>
      <c r="BR931" s="303">
        <v>7.4999999999999997E-2</v>
      </c>
      <c r="BS931" s="303">
        <v>7.4999999999999997E-2</v>
      </c>
      <c r="BT931" s="303">
        <v>7.4999999999999997E-2</v>
      </c>
      <c r="BV931" s="303">
        <v>7.4999999999999997E-2</v>
      </c>
      <c r="BW931" s="303">
        <v>7.4999999999999997E-2</v>
      </c>
      <c r="BX931" s="303">
        <v>7.4999999999999997E-2</v>
      </c>
      <c r="BY931" s="303">
        <v>7.4999999999999997E-2</v>
      </c>
    </row>
    <row r="932" spans="1:78">
      <c r="AP932" s="262" t="s">
        <v>1322</v>
      </c>
      <c r="AW932" s="678" t="s">
        <v>3196</v>
      </c>
      <c r="AX932" s="706"/>
      <c r="AY932" s="706"/>
      <c r="AZ932" s="706"/>
      <c r="BA932" s="706"/>
      <c r="BB932" s="706"/>
      <c r="BC932" s="706"/>
    </row>
    <row r="933" spans="1:78">
      <c r="A933" s="1" t="s">
        <v>568</v>
      </c>
      <c r="Y933" s="21">
        <f t="shared" ref="Y933:AG933" si="3128">Y924/(Y924+(Y245+(Y247*Y245/(Y244+Y245))))</f>
        <v>0</v>
      </c>
      <c r="Z933" s="21">
        <f t="shared" si="3128"/>
        <v>0</v>
      </c>
      <c r="AA933" s="21">
        <f t="shared" si="3128"/>
        <v>0</v>
      </c>
      <c r="AB933" s="21">
        <f t="shared" si="3128"/>
        <v>0</v>
      </c>
      <c r="AC933" s="21">
        <f t="shared" si="3128"/>
        <v>3.685522334301472E-2</v>
      </c>
      <c r="AD933" s="21">
        <f t="shared" si="3128"/>
        <v>2.6824854212748842E-2</v>
      </c>
      <c r="AE933" s="21">
        <f t="shared" si="3128"/>
        <v>9.434019688789054E-2</v>
      </c>
      <c r="AF933" s="21">
        <f t="shared" si="3128"/>
        <v>0.12072294768702307</v>
      </c>
      <c r="AG933" s="21">
        <f t="shared" si="3128"/>
        <v>0.12072294768702307</v>
      </c>
      <c r="AH933" s="878">
        <f t="shared" ref="AH933:AP933" si="3129">AH924/(AH924+(AH245+(AH247*AH245/(AH244+AH245+AH246))))</f>
        <v>0.14275158401625887</v>
      </c>
      <c r="AI933" s="21">
        <f t="shared" si="3129"/>
        <v>0.16065069531788551</v>
      </c>
      <c r="AJ933" s="21">
        <f t="shared" si="3129"/>
        <v>0.16931028960705682</v>
      </c>
      <c r="AK933" s="21">
        <f t="shared" si="3129"/>
        <v>0.17697190311237762</v>
      </c>
      <c r="AL933" s="21">
        <f t="shared" si="3129"/>
        <v>0.17697190311237762</v>
      </c>
      <c r="AM933" s="21">
        <f t="shared" si="3129"/>
        <v>0.1710636651589133</v>
      </c>
      <c r="AN933" s="21">
        <f t="shared" si="3129"/>
        <v>0.12114526335164338</v>
      </c>
      <c r="AO933" s="21">
        <f t="shared" si="3129"/>
        <v>0.11523171886885633</v>
      </c>
      <c r="AP933" s="21">
        <f t="shared" si="3129"/>
        <v>0.11664761999897316</v>
      </c>
      <c r="AQ933" s="21">
        <f>AP933</f>
        <v>0.11664761999897316</v>
      </c>
      <c r="AR933" s="21">
        <f>AR924/(AR924+(AR245+(AR247*AR245/(AR244+AR245+AR246))))</f>
        <v>0.12429629600548578</v>
      </c>
      <c r="AS933" s="21">
        <f>AS924/(AS924+(AS245+(AS247*AS245/(AS244+AS245+AS246))))</f>
        <v>0.11703166617243554</v>
      </c>
      <c r="AT933" s="21">
        <f>AT924/(AT924+(AT245+(AT247*AT245/(AT244+AT245+AT246))))</f>
        <v>0.11347301677624548</v>
      </c>
      <c r="AU933" s="21">
        <f>AU924/(AU924+(AU245+(AU247*AU245/(AU244+AU245+AU246))))</f>
        <v>0.10841046903063882</v>
      </c>
      <c r="AV933" s="21">
        <f>AU933</f>
        <v>0.10841046903063882</v>
      </c>
      <c r="AW933" s="21">
        <f>AW924/(AW924+(AW245+(AW247*AW245/(AW244+AW245+AW246))))</f>
        <v>8.4364831068951471E-2</v>
      </c>
      <c r="AX933" s="21">
        <f>AX924/(AX924+(AX245+(AX247*AX245/(AX244+AX245+AX246))))</f>
        <v>9.4143488086295815E-2</v>
      </c>
      <c r="AY933" s="21">
        <f>AY924/(AY924+(AY245+(AY247*AY245/(AY244+AY245+AY246))))</f>
        <v>6.3733260532322172E-2</v>
      </c>
      <c r="AZ933" s="21">
        <f>AZ924/(AZ924+(AZ245+(AZ247*AZ245/(AZ244+AZ245+AZ246))))</f>
        <v>6.4393980200447787E-2</v>
      </c>
      <c r="BA933" s="21">
        <f>AZ933</f>
        <v>6.4393980200447787E-2</v>
      </c>
      <c r="BB933" s="21">
        <f>BB924/(BB924+(BB245+(BB247*BB245/(BB244+BB245+BB246))))</f>
        <v>5.9671163300711698E-2</v>
      </c>
      <c r="BC933" s="21">
        <f>BC924/(BC924+(BC245+(BC247*BC245/(BC244+BC245+BC246))))</f>
        <v>6.3775437738040092E-2</v>
      </c>
      <c r="BD933" s="21">
        <f>BD924/(BD924+(BD245+(BD247*BD245/(BD244+BD245+BD246))))</f>
        <v>6.5523139869128708E-2</v>
      </c>
      <c r="BE933" s="21">
        <f>BE924/(BE924+(BE245+(BE247*BE245/(BE244+BE245+BE246))))</f>
        <v>7.6140566174428381E-2</v>
      </c>
      <c r="BF933" s="21">
        <f>BE933</f>
        <v>7.6140566174428381E-2</v>
      </c>
      <c r="BG933" s="21">
        <f>BG924/(BG924+(BG245+(BG247*BG245/(BG244+BG245+BG246))))</f>
        <v>7.6918889182121211E-2</v>
      </c>
      <c r="BH933" s="21">
        <f>BH924/(BH924+(BH245+(BH247*BH245/(BH244+BH245+BH246))))</f>
        <v>7.7781929387911716E-2</v>
      </c>
      <c r="BI933" s="21">
        <f>BI924/(BI924+(BI245+(BI247*BI245/(BI244+BI245+BI246))))</f>
        <v>7.874369070913538E-2</v>
      </c>
      <c r="BJ933" s="21">
        <f>BJ924/(BJ924+(BJ245+(BJ247*BJ245/(BJ244+BJ245+BJ246))))</f>
        <v>7.9813882662933613E-2</v>
      </c>
      <c r="BK933" s="21">
        <f>BJ933</f>
        <v>7.9813882662933613E-2</v>
      </c>
      <c r="BL933" s="21">
        <f>BL924/(BL924+(BL245+(BL247*BL245/(BL244+BL245+BL246))))</f>
        <v>8.2106180311338484E-2</v>
      </c>
      <c r="BM933" s="21">
        <f>BM924/(BM924+(BM245+(BM247*BM245/(BM244+BM245+BM246))))</f>
        <v>8.4659530013257919E-2</v>
      </c>
      <c r="BN933" s="21">
        <f>BN924/(BN924+(BN245+(BN247*BN245/(BN244+BN245+BN246))))</f>
        <v>8.7518218274936013E-2</v>
      </c>
      <c r="BO933" s="21">
        <f>BO924/(BO924+(BO245+(BO247*BO245/(BO244+BO245+BO246))))</f>
        <v>9.0736577351586134E-2</v>
      </c>
      <c r="BP933" s="21">
        <f>BO933</f>
        <v>9.0736577351586134E-2</v>
      </c>
      <c r="BQ933" s="21">
        <f>BQ924/(BQ924+(BQ245+(BQ247*BQ245/(BQ244+BQ245+BQ246))))</f>
        <v>9.6052258678451241E-2</v>
      </c>
      <c r="BR933" s="21">
        <f>BR924/(BR924+(BR245+(BR247*BR245/(BR244+BR245+BR246))))</f>
        <v>0.10220870532768142</v>
      </c>
      <c r="BS933" s="21">
        <f>BS924/(BS924+(BS245+(BS247*BS245/(BS244+BS245+BS246))))</f>
        <v>0.10940876656467377</v>
      </c>
      <c r="BT933" s="21">
        <f>BT924/(BT924+(BT245+(BT247*BT245/(BT244+BT245+BT246))))</f>
        <v>0.11792066432505957</v>
      </c>
      <c r="BU933" s="21">
        <f>BT933</f>
        <v>0.11792066432505957</v>
      </c>
      <c r="BV933" s="21">
        <f>BV924/(BV924+(BV245+(BV247*BV245/(BV244+BV245+BV246))))</f>
        <v>0.12815523492083877</v>
      </c>
      <c r="BW933" s="21">
        <f>BW924/(BW924+(BW245+(BW247*BW245/(BW244+BW245+BW246))))</f>
        <v>0.14068027952616349</v>
      </c>
      <c r="BX933" s="21">
        <f>BX924/(BX924+(BX245+(BX247*BX245/(BX244+BX245+BX246))))</f>
        <v>0.15636793575678823</v>
      </c>
      <c r="BY933" s="21">
        <f>BY924/(BY924+(BY245+(BY247*BY245/(BY244+BY245+BY246))))</f>
        <v>0.17656598138833829</v>
      </c>
      <c r="BZ933" s="21">
        <f>BY933</f>
        <v>0.17656598138833829</v>
      </c>
    </row>
    <row r="934" spans="1:78">
      <c r="A934" s="1" t="s">
        <v>574</v>
      </c>
      <c r="Y934" s="21">
        <f t="shared" ref="Y934:AP934" si="3130">(Y245+(Y247*Y245/(Y244+Y245)))/((Y245+(Y247*Y245/(Y244+Y245)))+Y924)</f>
        <v>1</v>
      </c>
      <c r="Z934" s="21">
        <f t="shared" si="3130"/>
        <v>1</v>
      </c>
      <c r="AA934" s="21">
        <f t="shared" si="3130"/>
        <v>1</v>
      </c>
      <c r="AB934" s="21">
        <f t="shared" si="3130"/>
        <v>1</v>
      </c>
      <c r="AC934" s="21">
        <f t="shared" si="3130"/>
        <v>0.96314477665698528</v>
      </c>
      <c r="AD934" s="21">
        <f t="shared" si="3130"/>
        <v>0.97317514578725117</v>
      </c>
      <c r="AE934" s="21">
        <f t="shared" si="3130"/>
        <v>0.90565980311210947</v>
      </c>
      <c r="AF934" s="21">
        <f t="shared" si="3130"/>
        <v>0.87927705231297693</v>
      </c>
      <c r="AG934" s="21">
        <f t="shared" si="3130"/>
        <v>0.87927705231297693</v>
      </c>
      <c r="AH934" s="21">
        <f t="shared" si="3130"/>
        <v>0.85705227680357443</v>
      </c>
      <c r="AI934" s="21">
        <f t="shared" si="3130"/>
        <v>0.83904522925660985</v>
      </c>
      <c r="AJ934" s="21">
        <f t="shared" si="3130"/>
        <v>0.83043801961159192</v>
      </c>
      <c r="AK934" s="21">
        <f t="shared" si="3130"/>
        <v>0.82270039576950216</v>
      </c>
      <c r="AL934" s="21">
        <f t="shared" si="3130"/>
        <v>0.82270039576950216</v>
      </c>
      <c r="AM934" s="21">
        <f t="shared" si="3130"/>
        <v>0.82864309329524466</v>
      </c>
      <c r="AN934" s="21">
        <f t="shared" si="3130"/>
        <v>0.87879701589391446</v>
      </c>
      <c r="AO934" s="21">
        <f t="shared" si="3130"/>
        <v>0.884705447774633</v>
      </c>
      <c r="AP934" s="21">
        <f t="shared" si="3130"/>
        <v>0.88326141665708058</v>
      </c>
      <c r="AQ934" s="21">
        <f>AQ886/(AQ886+AQ924)</f>
        <v>0.89204171857909653</v>
      </c>
      <c r="AR934" s="21">
        <f>(AR245+(AR247*AR245/(AR244+AR245)))/((AR245+(AR247*AR245/(AR244+AR245)))+AR924)</f>
        <v>0.87567222271030487</v>
      </c>
      <c r="AS934" s="21">
        <f>(AS245+(AS247*AS245/(AS244+AS245)))/((AS245+(AS247*AS245/(AS244+AS245)))+AS924)</f>
        <v>0.88292831532175842</v>
      </c>
      <c r="AT934" s="21">
        <f>(AT245+(AT247*AT245/(AT244+AT245)))/((AT245+(AT247*AT245/(AT244+AT245)))+AT924)</f>
        <v>0.88646269707350578</v>
      </c>
      <c r="AU934" s="21">
        <f>(AU245+(AU247*AU245/(AU244+AU245)))/((AU245+(AU247*AU245/(AU244+AU245)))+AU924)</f>
        <v>0.89154885162333186</v>
      </c>
      <c r="AV934" s="21">
        <f>AV886/(AV886+AV924)</f>
        <v>0.90597085846039049</v>
      </c>
      <c r="AW934" s="21">
        <f>(AW245+(AW247*AW245/(AW244+AW245)))/((AW245+(AW247*AW245/(AW244+AW245)))+AW924)</f>
        <v>0.91559461630651728</v>
      </c>
      <c r="AX934" s="21">
        <f>(AX245+(AX247*AX245/(AX244+AX245)))/((AX245+(AX247*AX245/(AX244+AX245)))+AX924)</f>
        <v>0.9058141840445002</v>
      </c>
      <c r="AY934" s="21">
        <f>(AY245+(AY247*AY245/(AY244+AY245)))/((AY245+(AY247*AY245/(AY244+AY245)))+AY924)</f>
        <v>0.93624841204210696</v>
      </c>
      <c r="AZ934" s="21">
        <f>(AZ245+(AZ247*AZ245/(AZ244+AZ245)))/((AZ245+(AZ247*AZ245/(AZ244+AZ245)))+AZ924)</f>
        <v>0.93558685143726295</v>
      </c>
      <c r="BA934" s="21">
        <f t="shared" ref="BA934" si="3131">BA886/(BA886+BA924)</f>
        <v>0.94169765915554582</v>
      </c>
      <c r="BB934" s="21">
        <f>(BB245+(BB247*BB245/(BB244+BB245)))/((BB245+(BB247*BB245/(BB244+BB245)))+BB924)</f>
        <v>0.94031700030071352</v>
      </c>
      <c r="BC934" s="21">
        <f>(BC245+(BC247*BC245/(BC244+BC245)))/((BC245+(BC247*BC245/(BC244+BC245)))+BC924)</f>
        <v>0.93621336651659448</v>
      </c>
      <c r="BD934" s="21">
        <f>(BD245+(BD247*BD245/(BD244+BD245)))/((BD245+(BD247*BD245/(BD244+BD245)))+BD924)</f>
        <v>0.93446659794829168</v>
      </c>
      <c r="BE934" s="21">
        <f>(BE245+(BE247*BE245/(BE244+BE245)))/((BE245+(BE247*BE245/(BE244+BE245)))+BE924)</f>
        <v>0.92384723744617891</v>
      </c>
      <c r="BF934" s="21">
        <f t="shared" ref="BF934" si="3132">BF886/(BF886+BF924)</f>
        <v>0.92848935451165937</v>
      </c>
      <c r="BG934" s="21">
        <f>(BG245+(BG247*BG245/(BG244+BG245)))/((BG245+(BG247*BG245/(BG244+BG245)))+BG924)</f>
        <v>0.92306858137136005</v>
      </c>
      <c r="BH934" s="21">
        <f>(BH245+(BH247*BH245/(BH244+BH245)))/((BH245+(BH247*BH245/(BH244+BH245)))+BH924)</f>
        <v>0.92220517248514866</v>
      </c>
      <c r="BI934" s="21">
        <f>(BI245+(BI247*BI245/(BI244+BI245)))/((BI245+(BI247*BI245/(BI244+BI245)))+BI924)</f>
        <v>0.92124298605400956</v>
      </c>
      <c r="BJ934" s="21">
        <f>(BJ245+(BJ247*BJ245/(BJ244+BJ245)))/((BJ245+(BJ247*BJ245/(BJ244+BJ245)))+BJ924)</f>
        <v>0.92017231313154102</v>
      </c>
      <c r="BK934" s="21">
        <f t="shared" ref="BK934" si="3133">BK886/(BK886+BK924)</f>
        <v>0.92539839232830345</v>
      </c>
      <c r="BL934" s="21">
        <f>(BL245+(BL247*BL245/(BL244+BL245)))/((BL245+(BL247*BL245/(BL244+BL245)))+BL924)</f>
        <v>0.91787912180156028</v>
      </c>
      <c r="BM934" s="21">
        <f>(BM245+(BM247*BM245/(BM244+BM245)))/((BM245+(BM247*BM245/(BM244+BM245)))+BM924)</f>
        <v>0.91532471806557381</v>
      </c>
      <c r="BN934" s="21">
        <f>(BN245+(BN247*BN245/(BN244+BN245)))/((BN245+(BN247*BN245/(BN244+BN245)))+BN924)</f>
        <v>0.91246478535657827</v>
      </c>
      <c r="BO934" s="21">
        <f>(BO245+(BO247*BO245/(BO244+BO245)))/((BO245+(BO247*BO245/(BO244+BO245)))+BO924)</f>
        <v>0.90924490026824667</v>
      </c>
      <c r="BP934" s="21">
        <f t="shared" ref="BP934" si="3134">BP886/(BP886+BP924)</f>
        <v>0.91612826509175949</v>
      </c>
      <c r="BQ934" s="21">
        <f>(BQ245+(BQ247*BQ245/(BQ244+BQ245)))/((BQ245+(BQ247*BQ245/(BQ244+BQ245)))+BQ924)</f>
        <v>0.90392628244802875</v>
      </c>
      <c r="BR934" s="21">
        <f>(BR245+(BR247*BR245/(BR244+BR245)))/((BR245+(BR247*BR245/(BR244+BR245)))+BR924)</f>
        <v>0.8977659496202568</v>
      </c>
      <c r="BS934" s="21">
        <f>(BS245+(BS247*BS245/(BS244+BS245)))/((BS245+(BS247*BS245/(BS244+BS245)))+BS924)</f>
        <v>0.89056062080470522</v>
      </c>
      <c r="BT934" s="21">
        <f>(BT245+(BT247*BT245/(BT244+BT245)))/((BT245+(BT247*BT245/(BT244+BT245)))+BT924)</f>
        <v>0.88204408240079313</v>
      </c>
      <c r="BU934" s="21">
        <f t="shared" ref="BU934" si="3135">BU886/(BU886+BU924)</f>
        <v>0.89373775925274945</v>
      </c>
      <c r="BV934" s="21">
        <f>(BV245+(BV247*BV245/(BV244+BV245)))/((BV245+(BV247*BV245/(BV244+BV245)))+BV924)</f>
        <v>0.87180345458186026</v>
      </c>
      <c r="BW934" s="21">
        <f>(BW245+(BW247*BW245/(BW244+BW245)))/((BW245+(BW247*BW245/(BW244+BW245)))+BW924)</f>
        <v>0.85927019357996737</v>
      </c>
      <c r="BX934" s="21">
        <f>(BX245+(BX247*BX245/(BX244+BX245)))/((BX245+(BX247*BX245/(BX244+BX245)))+BX924)</f>
        <v>0.84357101642984855</v>
      </c>
      <c r="BY934" s="21">
        <f>(BY245+(BY247*BY245/(BY244+BY245)))/((BY245+(BY247*BY245/(BY244+BY245)))+BY924)</f>
        <v>0.82335614148371661</v>
      </c>
      <c r="BZ934" s="21">
        <f t="shared" ref="BZ934" si="3136">BZ886/(BZ886+BZ924)</f>
        <v>0.84893267651888338</v>
      </c>
    </row>
    <row r="935" spans="1:78">
      <c r="A935" s="1" t="s">
        <v>364</v>
      </c>
      <c r="Y935" s="103">
        <f t="shared" ref="Y935:AB935" si="3137">1/Y934</f>
        <v>1</v>
      </c>
      <c r="Z935" s="103">
        <f t="shared" si="3137"/>
        <v>1</v>
      </c>
      <c r="AA935" s="103">
        <f t="shared" si="3137"/>
        <v>1</v>
      </c>
      <c r="AB935" s="103">
        <f t="shared" si="3137"/>
        <v>1</v>
      </c>
      <c r="AC935" s="103">
        <f t="shared" ref="AC935:AD935" si="3138">1/AC934</f>
        <v>1.0382655071555669</v>
      </c>
      <c r="AD935" s="103">
        <f t="shared" si="3138"/>
        <v>1.0275642615092155</v>
      </c>
      <c r="AE935" s="103">
        <f t="shared" ref="AE935:AH935" si="3139">1/AE934</f>
        <v>1.1041673667791265</v>
      </c>
      <c r="AF935" s="103">
        <f t="shared" si="3139"/>
        <v>1.137297962422033</v>
      </c>
      <c r="AG935" s="103">
        <f t="shared" si="3139"/>
        <v>1.137297962422033</v>
      </c>
      <c r="AH935" s="103">
        <f t="shared" si="3139"/>
        <v>1.1667899696032047</v>
      </c>
      <c r="AI935" s="103">
        <f t="shared" ref="AI935:AM935" si="3140">1/AI934</f>
        <v>1.1918308633802677</v>
      </c>
      <c r="AJ935" s="103">
        <f t="shared" si="3140"/>
        <v>1.2041837878132251</v>
      </c>
      <c r="AK935" s="103">
        <f t="shared" si="3140"/>
        <v>1.2155093216706951</v>
      </c>
      <c r="AL935" s="103">
        <f t="shared" si="3140"/>
        <v>1.2155093216706951</v>
      </c>
      <c r="AM935" s="103">
        <f t="shared" si="3140"/>
        <v>1.2067921739663872</v>
      </c>
      <c r="AN935" s="103">
        <f t="shared" ref="AN935:AO935" si="3141">1/AN934</f>
        <v>1.1379192030855927</v>
      </c>
      <c r="AO935" s="103">
        <f t="shared" si="3141"/>
        <v>1.13031970416298</v>
      </c>
      <c r="AP935" s="103">
        <f t="shared" ref="AP935" si="3142">1/AP934</f>
        <v>1.1321676472462086</v>
      </c>
      <c r="AQ935" s="103">
        <f t="shared" ref="AQ935:AU935" si="3143">1/AQ934</f>
        <v>1.1210238032284707</v>
      </c>
      <c r="AR935" s="103">
        <f t="shared" si="3143"/>
        <v>1.1419798116981335</v>
      </c>
      <c r="AS935" s="103">
        <f t="shared" si="3143"/>
        <v>1.1325947788134738</v>
      </c>
      <c r="AT935" s="103">
        <f t="shared" si="3143"/>
        <v>1.12807905318669</v>
      </c>
      <c r="AU935" s="103">
        <f t="shared" si="3143"/>
        <v>1.1216435287636795</v>
      </c>
      <c r="AV935" s="103">
        <f t="shared" ref="AV935:AZ935" si="3144">1/AV934</f>
        <v>1.103788262791811</v>
      </c>
      <c r="AW935" s="103">
        <f t="shared" si="3144"/>
        <v>1.0921864132774957</v>
      </c>
      <c r="AX935" s="103">
        <f t="shared" si="3144"/>
        <v>1.1039791798522696</v>
      </c>
      <c r="AY935" s="103">
        <f t="shared" si="3144"/>
        <v>1.0680925992908663</v>
      </c>
      <c r="AZ935" s="103">
        <f t="shared" si="3144"/>
        <v>1.0688478557215555</v>
      </c>
      <c r="BA935" s="103">
        <f t="shared" ref="BA935:BE935" si="3145">1/BA934</f>
        <v>1.0619119526077361</v>
      </c>
      <c r="BB935" s="103">
        <f t="shared" si="3145"/>
        <v>1.0634711482193768</v>
      </c>
      <c r="BC935" s="103">
        <f t="shared" si="3145"/>
        <v>1.0681325814869946</v>
      </c>
      <c r="BD935" s="103">
        <f t="shared" si="3145"/>
        <v>1.0701292076095528</v>
      </c>
      <c r="BE935" s="103">
        <f t="shared" si="3145"/>
        <v>1.0824300376373184</v>
      </c>
      <c r="BF935" s="103">
        <f t="shared" ref="BF935:BZ935" si="3146">1/BF934</f>
        <v>1.0770182718206305</v>
      </c>
      <c r="BG935" s="103">
        <f t="shared" si="3146"/>
        <v>1.0833431233401385</v>
      </c>
      <c r="BH935" s="103">
        <f t="shared" si="3146"/>
        <v>1.0843573966357298</v>
      </c>
      <c r="BI935" s="103">
        <f t="shared" si="3146"/>
        <v>1.085489946885059</v>
      </c>
      <c r="BJ935" s="103">
        <f t="shared" si="3146"/>
        <v>1.0867529762950467</v>
      </c>
      <c r="BK935" s="103">
        <f t="shared" si="3146"/>
        <v>1.0806156659555015</v>
      </c>
      <c r="BL935" s="103">
        <f t="shared" si="3146"/>
        <v>1.0894680750960515</v>
      </c>
      <c r="BM935" s="103">
        <f t="shared" si="3146"/>
        <v>1.0925084620388894</v>
      </c>
      <c r="BN935" s="103">
        <f t="shared" si="3146"/>
        <v>1.0959327045253744</v>
      </c>
      <c r="BO935" s="103">
        <f t="shared" si="3146"/>
        <v>1.0998137022324554</v>
      </c>
      <c r="BP935" s="103">
        <f t="shared" si="3146"/>
        <v>1.0915502098386189</v>
      </c>
      <c r="BQ935" s="103">
        <f t="shared" si="3146"/>
        <v>1.1062849033350184</v>
      </c>
      <c r="BR935" s="103">
        <f t="shared" si="3146"/>
        <v>1.1138760613754475</v>
      </c>
      <c r="BS935" s="103">
        <f t="shared" si="3146"/>
        <v>1.1228881859793061</v>
      </c>
      <c r="BT935" s="103">
        <f t="shared" si="3146"/>
        <v>1.133730184185521</v>
      </c>
      <c r="BU935" s="103">
        <f t="shared" si="3146"/>
        <v>1.1188964432207675</v>
      </c>
      <c r="BV935" s="103">
        <f t="shared" si="3146"/>
        <v>1.1470475308905792</v>
      </c>
      <c r="BW935" s="103">
        <f t="shared" si="3146"/>
        <v>1.1637782940354437</v>
      </c>
      <c r="BX935" s="103">
        <f t="shared" si="3146"/>
        <v>1.1854366502919793</v>
      </c>
      <c r="BY935" s="103">
        <f t="shared" si="3146"/>
        <v>1.2145412533122848</v>
      </c>
      <c r="BZ935" s="103">
        <f t="shared" si="3146"/>
        <v>1.1779497098646035</v>
      </c>
    </row>
    <row r="937" spans="1:78">
      <c r="A937" s="1" t="s">
        <v>362</v>
      </c>
      <c r="Y937" s="85">
        <f>Y888</f>
        <v>1.9230769230769229</v>
      </c>
      <c r="Z937" s="85">
        <f>Z888</f>
        <v>0</v>
      </c>
      <c r="AA937" s="85">
        <f>AA888</f>
        <v>-4.2735042735042694E-2</v>
      </c>
      <c r="AC937" s="85">
        <f>AC888</f>
        <v>-2.0576131687242816E-2</v>
      </c>
      <c r="AD937" s="85">
        <f>AD888</f>
        <v>-1.3333333333333308E-2</v>
      </c>
      <c r="AE937" s="85">
        <f>AE888</f>
        <v>0.12907117008443914</v>
      </c>
      <c r="AF937" s="85">
        <f>AF888</f>
        <v>-5.7377049180327822E-2</v>
      </c>
      <c r="AH937" s="85">
        <f>AH888</f>
        <v>-0.20171673819742486</v>
      </c>
      <c r="AI937" s="85">
        <f>AI888</f>
        <v>-0.12332439678284179</v>
      </c>
      <c r="AJ937" s="85">
        <f>AJ888</f>
        <v>-6.2595419847328193E-2</v>
      </c>
      <c r="AK937" s="85">
        <f>AK888</f>
        <v>-4.530744336569581E-2</v>
      </c>
      <c r="AM937" s="85">
        <f>AM888</f>
        <v>9.966777408637828E-3</v>
      </c>
      <c r="AN937" s="85">
        <f>AN888</f>
        <v>-6.557377049180324E-2</v>
      </c>
      <c r="AO937" s="85">
        <f>AO888</f>
        <v>5.7996485061511338E-2</v>
      </c>
      <c r="AP937" s="85">
        <f>AP888</f>
        <v>-8.2918739635157168E-3</v>
      </c>
      <c r="AR937" s="85">
        <f>AR888</f>
        <v>-7.7943615257048071E-2</v>
      </c>
      <c r="AS937" s="85">
        <f>AS888</f>
        <v>5.3956834532374209E-2</v>
      </c>
      <c r="AT937" s="85">
        <f>AT888</f>
        <v>-2.1848739495798353E-2</v>
      </c>
      <c r="AU937" s="85">
        <f>AU888</f>
        <v>4.0257648953301084E-2</v>
      </c>
      <c r="AW937" s="85">
        <f>AW888</f>
        <v>0.13103448275862073</v>
      </c>
      <c r="AX937" s="85">
        <f>AX888</f>
        <v>0.19268292682926824</v>
      </c>
      <c r="AY937" s="85">
        <f>AY888</f>
        <v>0.43283582089552231</v>
      </c>
      <c r="AZ937" s="85">
        <f>AZ888</f>
        <v>1.9675925925926041E-3</v>
      </c>
      <c r="BB937" s="85">
        <f>BB888</f>
        <v>0.36095946102915555</v>
      </c>
      <c r="BC937" s="85">
        <f>BC888</f>
        <v>0.10248700657188259</v>
      </c>
      <c r="BD937" s="85">
        <f>BD888</f>
        <v>9.3629873695771471E-2</v>
      </c>
      <c r="BE937" s="85">
        <f>BE888</f>
        <v>-3.6119338293727488E-4</v>
      </c>
      <c r="BG937" s="85">
        <f>BG888</f>
        <v>1.2266142534760105E-2</v>
      </c>
      <c r="BH937" s="85">
        <f>BH888</f>
        <v>1.2276703668308464E-2</v>
      </c>
      <c r="BI937" s="85">
        <f>BI888</f>
        <v>1.2261276658987796E-2</v>
      </c>
      <c r="BJ937" s="85">
        <f>BJ888</f>
        <v>1.2257943222410139E-2</v>
      </c>
      <c r="BL937" s="85">
        <f>BL888</f>
        <v>1.2267601341054535E-2</v>
      </c>
      <c r="BM937" s="85">
        <f>BM888</f>
        <v>1.2264409701814083E-2</v>
      </c>
      <c r="BN937" s="85">
        <f>BN888</f>
        <v>1.2278859358591188E-2</v>
      </c>
      <c r="BO937" s="85">
        <f>BO888</f>
        <v>1.2272499582568042E-2</v>
      </c>
      <c r="BQ937" s="85">
        <f>BQ888</f>
        <v>1.228745727512659E-2</v>
      </c>
      <c r="BR937" s="85">
        <f>BR888</f>
        <v>1.2272748088107299E-2</v>
      </c>
      <c r="BS937" s="85">
        <f>BS888</f>
        <v>1.2277111955568465E-2</v>
      </c>
      <c r="BT937" s="85">
        <f>BT888</f>
        <v>1.2252346193952102E-2</v>
      </c>
      <c r="BV937" s="85">
        <f>BV888</f>
        <v>1.2249255492498667E-2</v>
      </c>
      <c r="BW937" s="85">
        <f>BW888</f>
        <v>1.22733101300605E-2</v>
      </c>
      <c r="BX937" s="85">
        <f>BX888</f>
        <v>1.2265415549597813E-2</v>
      </c>
      <c r="BY937" s="85">
        <f>BY888</f>
        <v>1.2290502793296021E-2</v>
      </c>
    </row>
    <row r="938" spans="1:78">
      <c r="A938" s="1" t="s">
        <v>363</v>
      </c>
      <c r="Y938" s="16">
        <f t="shared" ref="Y938:Z938" si="3147">Y937*Y935</f>
        <v>1.9230769230769229</v>
      </c>
      <c r="Z938" s="16">
        <f t="shared" si="3147"/>
        <v>0</v>
      </c>
      <c r="AA938" s="16">
        <f t="shared" ref="AA938:AC938" si="3148">AA937*AA935</f>
        <v>-4.2735042735042694E-2</v>
      </c>
      <c r="AC938" s="16">
        <f t="shared" si="3148"/>
        <v>-2.1363487801554892E-2</v>
      </c>
      <c r="AD938" s="16">
        <f t="shared" ref="AD938:AF938" si="3149">AD937*AD935</f>
        <v>-1.3700856820122847E-2</v>
      </c>
      <c r="AE938" s="16">
        <f t="shared" si="3149"/>
        <v>0.14251617399923594</v>
      </c>
      <c r="AF938" s="16">
        <f t="shared" si="3149"/>
        <v>-6.5254801122575604E-2</v>
      </c>
      <c r="AH938" s="16">
        <f t="shared" ref="AH938:AI938" si="3150">AH937*AH935</f>
        <v>-0.23536106682983096</v>
      </c>
      <c r="AI938" s="16">
        <f t="shared" si="3150"/>
        <v>-0.14698182229354503</v>
      </c>
      <c r="AJ938" s="16">
        <f t="shared" ref="AJ938:AK938" si="3151">AJ937*AJ935</f>
        <v>-7.5376389771514798E-2</v>
      </c>
      <c r="AK938" s="16">
        <f t="shared" si="3151"/>
        <v>-5.5071619752070353E-2</v>
      </c>
      <c r="AM938" s="16">
        <f t="shared" ref="AM938:AN938" si="3152">AM937*AM935</f>
        <v>1.2027828976409119E-2</v>
      </c>
      <c r="AN938" s="16">
        <f t="shared" si="3152"/>
        <v>-7.4617652661350301E-2</v>
      </c>
      <c r="AO938" s="16">
        <f t="shared" ref="AO938" si="3153">AO937*AO935</f>
        <v>6.5554569837220189E-2</v>
      </c>
      <c r="AP938" s="16">
        <f t="shared" ref="AP938" si="3154">AP937*AP935</f>
        <v>-9.3877914365356838E-3</v>
      </c>
      <c r="AR938" s="16">
        <f t="shared" ref="AR938:AU938" si="3155">AR937*AR935</f>
        <v>-8.9010035074315513E-2</v>
      </c>
      <c r="AS938" s="16">
        <f t="shared" si="3155"/>
        <v>6.1111229072669575E-2</v>
      </c>
      <c r="AT938" s="16">
        <f t="shared" si="3155"/>
        <v>-2.4647105363742844E-2</v>
      </c>
      <c r="AU938" s="16">
        <f t="shared" si="3155"/>
        <v>4.5154731431710074E-2</v>
      </c>
      <c r="AW938" s="16">
        <f t="shared" ref="AW938" si="3156">AW937*AW935</f>
        <v>0.14311408173980983</v>
      </c>
      <c r="AX938" s="16">
        <f t="shared" ref="AX938:AZ938" si="3157">AX937*AX935</f>
        <v>0.21271793953251042</v>
      </c>
      <c r="AY938" s="16">
        <f t="shared" si="3157"/>
        <v>0.46230873700649427</v>
      </c>
      <c r="AZ938" s="16">
        <f t="shared" si="3157"/>
        <v>2.1030571235262211E-3</v>
      </c>
      <c r="BB938" s="16">
        <f t="shared" ref="BB938:BE938" si="3158">BB937*BB935</f>
        <v>0.38386997248132343</v>
      </c>
      <c r="BC938" s="16">
        <f t="shared" si="3158"/>
        <v>0.10946971089849954</v>
      </c>
      <c r="BD938" s="16">
        <f t="shared" si="3158"/>
        <v>0.10019606254663843</v>
      </c>
      <c r="BE938" s="16">
        <f t="shared" si="3158"/>
        <v>-3.9096656708714479E-4</v>
      </c>
      <c r="BG938" s="16">
        <f t="shared" ref="BG938:BJ938" si="3159">BG937*BG935</f>
        <v>1.3288441164942336E-2</v>
      </c>
      <c r="BH938" s="16">
        <f t="shared" si="3159"/>
        <v>1.331233442903528E-2</v>
      </c>
      <c r="BI938" s="16">
        <f t="shared" si="3159"/>
        <v>1.3309492549307677E-2</v>
      </c>
      <c r="BJ938" s="16">
        <f t="shared" si="3159"/>
        <v>1.3321356280209916E-2</v>
      </c>
      <c r="BL938" s="16">
        <f t="shared" ref="BL938:BO938" si="3160">BL937*BL935</f>
        <v>1.3365160019084424E-2</v>
      </c>
      <c r="BM938" s="16">
        <f t="shared" si="3160"/>
        <v>1.3398971381143737E-2</v>
      </c>
      <c r="BN938" s="16">
        <f t="shared" si="3160"/>
        <v>1.3456803545347545E-2</v>
      </c>
      <c r="BO938" s="16">
        <f t="shared" si="3160"/>
        <v>1.3497463201550422E-2</v>
      </c>
      <c r="BQ938" s="16">
        <f t="shared" ref="BQ938:BT938" si="3161">BQ937*BQ935</f>
        <v>1.3593428483846587E-2</v>
      </c>
      <c r="BR938" s="16">
        <f t="shared" si="3161"/>
        <v>1.3670320302634011E-2</v>
      </c>
      <c r="BS938" s="16">
        <f t="shared" si="3161"/>
        <v>1.3785823972853124E-2</v>
      </c>
      <c r="BT938" s="16">
        <f t="shared" si="3161"/>
        <v>1.3890854707174083E-2</v>
      </c>
      <c r="BV938" s="16">
        <f t="shared" ref="BV938:BY938" si="3162">BV937*BV935</f>
        <v>1.4050478267918462E-2</v>
      </c>
      <c r="BW938" s="16">
        <f t="shared" si="3162"/>
        <v>1.4283411925329739E-2</v>
      </c>
      <c r="BX938" s="16">
        <f t="shared" si="3162"/>
        <v>1.4539873123554389E-2</v>
      </c>
      <c r="BY938" s="16">
        <f t="shared" si="3162"/>
        <v>1.4927322666407887E-2</v>
      </c>
    </row>
    <row r="939" spans="1:78">
      <c r="A939" s="1" t="s">
        <v>365</v>
      </c>
      <c r="Y939" s="16">
        <f>-Y933*Y931</f>
        <v>0</v>
      </c>
      <c r="Z939" s="16">
        <f>-Z933*Z931</f>
        <v>0</v>
      </c>
      <c r="AA939" s="16">
        <f>-AA933*AA931</f>
        <v>0</v>
      </c>
      <c r="AC939" s="16">
        <f>-AC933*AC931</f>
        <v>-1.1185891997204163E-3</v>
      </c>
      <c r="AD939" s="16">
        <f>-AD933*AD931</f>
        <v>-7.7252546362324172E-4</v>
      </c>
      <c r="AE939" s="16">
        <f>-AE933*AE931</f>
        <v>-4.7047328790204386E-3</v>
      </c>
      <c r="AF939" s="16">
        <f>-AF933*AF931</f>
        <v>-6.8912455405112953E-3</v>
      </c>
      <c r="AH939" s="16">
        <f>-AH933*AH931</f>
        <v>-6.4906902811947024E-3</v>
      </c>
      <c r="AI939" s="16">
        <f>-AI933*AI931</f>
        <v>-9.2156824177215321E-3</v>
      </c>
      <c r="AJ939" s="16">
        <f>-AJ933*AJ931</f>
        <v>-1.1224410245722521E-2</v>
      </c>
      <c r="AK939" s="16">
        <f>-AK933*AK931</f>
        <v>-1.1856187325266372E-2</v>
      </c>
      <c r="AM939" s="16">
        <f>-AM933*AM931</f>
        <v>-1.1904744529191234E-2</v>
      </c>
      <c r="AN939" s="16">
        <f>-AN933*AN931</f>
        <v>-2.0611552674799378E-2</v>
      </c>
      <c r="AO939" s="16">
        <f>-AO933*AO931</f>
        <v>-1.0381182198410532E-2</v>
      </c>
      <c r="AP939" s="16">
        <f>-AP933*AP931</f>
        <v>-8.5445980619907706E-3</v>
      </c>
      <c r="AR939" s="16">
        <f>-AR933*AR931</f>
        <v>-9.2375728984371765E-3</v>
      </c>
      <c r="AS939" s="16">
        <f>-AS933*AS931</f>
        <v>-8.8076734478732509E-3</v>
      </c>
      <c r="AT939" s="16">
        <f>-AT933*AT931</f>
        <v>-8.6002407994327859E-3</v>
      </c>
      <c r="AU939" s="16">
        <f>-AU933*AU931</f>
        <v>-8.0219811356241934E-3</v>
      </c>
      <c r="AW939" s="16">
        <f>-AW933*AW931</f>
        <v>-2.8582063313540615E-2</v>
      </c>
      <c r="AX939" s="16">
        <f>-AX933*AX931</f>
        <v>-2.9559863967073118E-2</v>
      </c>
      <c r="AY939" s="16">
        <f>-AY933*AY931</f>
        <v>-2.0513818434973422E-2</v>
      </c>
      <c r="AZ939" s="16">
        <f>-AZ933*AZ931</f>
        <v>-4.8295485150335838E-3</v>
      </c>
      <c r="BB939" s="16">
        <f>-BB933*BB931</f>
        <v>-4.4753372475533773E-3</v>
      </c>
      <c r="BC939" s="16">
        <f>-BC933*BC931</f>
        <v>-4.7831578303530065E-3</v>
      </c>
      <c r="BD939" s="16">
        <f>-BD933*BD931</f>
        <v>-4.9142354901846527E-3</v>
      </c>
      <c r="BE939" s="16">
        <f>-BE933*BE931</f>
        <v>-5.7105424630821281E-3</v>
      </c>
      <c r="BG939" s="16">
        <f>-BG933*BG931</f>
        <v>-5.7689166886590905E-3</v>
      </c>
      <c r="BH939" s="16">
        <f>-BH933*BH931</f>
        <v>-5.8336447040933789E-3</v>
      </c>
      <c r="BI939" s="16">
        <f>-BI933*BI931</f>
        <v>-5.9057768031851535E-3</v>
      </c>
      <c r="BJ939" s="16">
        <f>-BJ933*BJ931</f>
        <v>-5.986041199720021E-3</v>
      </c>
      <c r="BL939" s="16">
        <f>-BL933*BL931</f>
        <v>-6.1579635233503863E-3</v>
      </c>
      <c r="BM939" s="16">
        <f>-BM933*BM931</f>
        <v>-6.3494647509943439E-3</v>
      </c>
      <c r="BN939" s="16">
        <f>-BN933*BN931</f>
        <v>-6.563866370620201E-3</v>
      </c>
      <c r="BO939" s="16">
        <f>-BO933*BO931</f>
        <v>-6.8052433013689601E-3</v>
      </c>
      <c r="BQ939" s="16">
        <f>-BQ933*BQ931</f>
        <v>-7.2039194008838431E-3</v>
      </c>
      <c r="BR939" s="16">
        <f>-BR933*BR931</f>
        <v>-7.6656528995761065E-3</v>
      </c>
      <c r="BS939" s="16">
        <f>-BS933*BS931</f>
        <v>-8.2056574923505318E-3</v>
      </c>
      <c r="BT939" s="16">
        <f>-BT933*BT931</f>
        <v>-8.8440498243794671E-3</v>
      </c>
      <c r="BV939" s="16">
        <f>-BV933*BV931</f>
        <v>-9.6116426190629069E-3</v>
      </c>
      <c r="BW939" s="16">
        <f>-BW933*BW931</f>
        <v>-1.0551020964462261E-2</v>
      </c>
      <c r="BX939" s="16">
        <f>-BX933*BX931</f>
        <v>-1.1727595181759117E-2</v>
      </c>
      <c r="BY939" s="16">
        <f>-BY933*BY931</f>
        <v>-1.3242448604125372E-2</v>
      </c>
    </row>
    <row r="940" spans="1:78">
      <c r="A940" s="9" t="s">
        <v>366</v>
      </c>
      <c r="B940" s="9"/>
      <c r="C940" s="9"/>
      <c r="D940" s="9"/>
      <c r="E940" s="9"/>
      <c r="F940" s="9"/>
      <c r="G940" s="9"/>
      <c r="H940" s="9"/>
      <c r="I940" s="9"/>
      <c r="J940" s="105"/>
      <c r="K940" s="105"/>
      <c r="L940" s="105"/>
      <c r="M940" s="9"/>
      <c r="N940" s="105"/>
      <c r="O940" s="105"/>
      <c r="P940" s="105"/>
      <c r="Q940" s="105"/>
      <c r="R940" s="105"/>
      <c r="S940" s="105"/>
      <c r="T940" s="105"/>
      <c r="U940" s="105"/>
      <c r="V940" s="105"/>
      <c r="W940" s="105"/>
      <c r="X940" s="105"/>
      <c r="Y940" s="105">
        <f t="shared" ref="Y940:AA940" si="3163">SUM(Y938:Y939)</f>
        <v>1.9230769230769229</v>
      </c>
      <c r="Z940" s="105">
        <f t="shared" si="3163"/>
        <v>0</v>
      </c>
      <c r="AA940" s="105">
        <f t="shared" si="3163"/>
        <v>-4.2735042735042694E-2</v>
      </c>
      <c r="AB940" s="105"/>
      <c r="AC940" s="105">
        <f t="shared" ref="AC940:AD940" si="3164">SUM(AC938:AC939)</f>
        <v>-2.2482077001275309E-2</v>
      </c>
      <c r="AD940" s="105">
        <f t="shared" si="3164"/>
        <v>-1.4473382283746089E-2</v>
      </c>
      <c r="AE940" s="105">
        <f t="shared" ref="AE940:AF940" si="3165">SUM(AE938:AE939)</f>
        <v>0.13781144112021551</v>
      </c>
      <c r="AF940" s="105">
        <f t="shared" si="3165"/>
        <v>-7.2146046663086896E-2</v>
      </c>
      <c r="AG940" s="105"/>
      <c r="AH940" s="105">
        <f t="shared" ref="AH940:AI940" si="3166">SUM(AH938:AH939)</f>
        <v>-0.24185175711102566</v>
      </c>
      <c r="AI940" s="105">
        <f t="shared" si="3166"/>
        <v>-0.15619750471126656</v>
      </c>
      <c r="AJ940" s="105">
        <f t="shared" ref="AJ940:AK940" si="3167">SUM(AJ938:AJ939)</f>
        <v>-8.6600800017237314E-2</v>
      </c>
      <c r="AK940" s="105">
        <f t="shared" si="3167"/>
        <v>-6.6927807077336726E-2</v>
      </c>
      <c r="AL940" s="105"/>
      <c r="AM940" s="105">
        <f t="shared" ref="AM940:AN940" si="3168">SUM(AM938:AM939)</f>
        <v>1.2308444721788499E-4</v>
      </c>
      <c r="AN940" s="105">
        <f t="shared" si="3168"/>
        <v>-9.5229205336149675E-2</v>
      </c>
      <c r="AO940" s="105">
        <f t="shared" ref="AO940" si="3169">SUM(AO938:AO939)</f>
        <v>5.5173387638809655E-2</v>
      </c>
      <c r="AP940" s="105">
        <f t="shared" ref="AP940" si="3170">SUM(AP938:AP939)</f>
        <v>-1.7932389498526456E-2</v>
      </c>
      <c r="AQ940" s="105"/>
      <c r="AR940" s="105">
        <f t="shared" ref="AR940:AU940" si="3171">SUM(AR938:AR939)</f>
        <v>-9.8247607972752685E-2</v>
      </c>
      <c r="AS940" s="105">
        <f t="shared" si="3171"/>
        <v>5.2303555624796327E-2</v>
      </c>
      <c r="AT940" s="105">
        <f t="shared" si="3171"/>
        <v>-3.324734616317563E-2</v>
      </c>
      <c r="AU940" s="105">
        <f t="shared" si="3171"/>
        <v>3.7132750296085884E-2</v>
      </c>
      <c r="AV940" s="105"/>
      <c r="AW940" s="105">
        <f t="shared" ref="AW940" si="3172">SUM(AW938:AW939)</f>
        <v>0.11453201842626921</v>
      </c>
      <c r="AX940" s="105">
        <f t="shared" ref="AX940:AZ940" si="3173">SUM(AX938:AX939)</f>
        <v>0.18315807556543731</v>
      </c>
      <c r="AY940" s="105">
        <f t="shared" si="3173"/>
        <v>0.44179491857152087</v>
      </c>
      <c r="AZ940" s="105">
        <f t="shared" si="3173"/>
        <v>-2.7264913915073627E-3</v>
      </c>
      <c r="BA940" s="105"/>
      <c r="BB940" s="105">
        <f t="shared" ref="BB940:BE940" si="3174">SUM(BB938:BB939)</f>
        <v>0.37939463523377004</v>
      </c>
      <c r="BC940" s="105">
        <f t="shared" si="3174"/>
        <v>0.10468655306814653</v>
      </c>
      <c r="BD940" s="105">
        <f t="shared" si="3174"/>
        <v>9.5281827056453772E-2</v>
      </c>
      <c r="BE940" s="105">
        <f t="shared" si="3174"/>
        <v>-6.1015090301692731E-3</v>
      </c>
      <c r="BF940" s="105"/>
      <c r="BG940" s="105">
        <f t="shared" ref="BG940:BJ940" si="3175">SUM(BG938:BG939)</f>
        <v>7.5195244762832451E-3</v>
      </c>
      <c r="BH940" s="105">
        <f t="shared" si="3175"/>
        <v>7.478689724941901E-3</v>
      </c>
      <c r="BI940" s="105">
        <f t="shared" si="3175"/>
        <v>7.4037157461225231E-3</v>
      </c>
      <c r="BJ940" s="105">
        <f t="shared" si="3175"/>
        <v>7.3353150804898945E-3</v>
      </c>
      <c r="BK940" s="105"/>
      <c r="BL940" s="105">
        <f t="shared" ref="BL940:BO940" si="3176">SUM(BL938:BL939)</f>
        <v>7.2071964957340379E-3</v>
      </c>
      <c r="BM940" s="105">
        <f t="shared" si="3176"/>
        <v>7.0495066301493933E-3</v>
      </c>
      <c r="BN940" s="105">
        <f t="shared" si="3176"/>
        <v>6.8929371747273437E-3</v>
      </c>
      <c r="BO940" s="105">
        <f t="shared" si="3176"/>
        <v>6.6922199001814616E-3</v>
      </c>
      <c r="BP940" s="105"/>
      <c r="BQ940" s="105">
        <f t="shared" ref="BQ940:BT940" si="3177">SUM(BQ938:BQ939)</f>
        <v>6.3895090829627441E-3</v>
      </c>
      <c r="BR940" s="105">
        <f t="shared" si="3177"/>
        <v>6.0046674030579048E-3</v>
      </c>
      <c r="BS940" s="105">
        <f t="shared" si="3177"/>
        <v>5.5801664805025918E-3</v>
      </c>
      <c r="BT940" s="105">
        <f t="shared" si="3177"/>
        <v>5.0468048827946154E-3</v>
      </c>
      <c r="BU940" s="105"/>
      <c r="BV940" s="105">
        <f t="shared" ref="BV940:BY940" si="3178">SUM(BV938:BV939)</f>
        <v>4.4388356488555547E-3</v>
      </c>
      <c r="BW940" s="105">
        <f t="shared" si="3178"/>
        <v>3.732390960867478E-3</v>
      </c>
      <c r="BX940" s="105">
        <f t="shared" si="3178"/>
        <v>2.8122779417952722E-3</v>
      </c>
      <c r="BY940" s="105">
        <f t="shared" si="3178"/>
        <v>1.6848740622825154E-3</v>
      </c>
      <c r="BZ940" s="105"/>
    </row>
    <row r="941" spans="1:78">
      <c r="U941" s="116" t="s">
        <v>575</v>
      </c>
      <c r="V941" s="115"/>
      <c r="W941" s="115"/>
      <c r="X941" s="115"/>
      <c r="Y941" s="115"/>
    </row>
    <row r="942" spans="1:78" s="26" customFormat="1">
      <c r="A942" s="26" t="s">
        <v>591</v>
      </c>
      <c r="U942" s="213">
        <f>U909</f>
        <v>100</v>
      </c>
      <c r="V942" s="213">
        <f>V909</f>
        <v>101.94265469082735</v>
      </c>
      <c r="W942" s="213">
        <f>W909</f>
        <v>101.94265469082735</v>
      </c>
      <c r="X942" s="213">
        <f>X909</f>
        <v>103.92304845413264</v>
      </c>
      <c r="Y942" s="213">
        <f>Y909</f>
        <v>292.30769230769226</v>
      </c>
      <c r="Z942" s="204">
        <f>Y942*(1+Z940)</f>
        <v>292.30769230769226</v>
      </c>
      <c r="AA942" s="204">
        <f>Z942*(1+AA940)</f>
        <v>279.81591058514135</v>
      </c>
      <c r="AB942" s="206">
        <f>AA942</f>
        <v>279.81591058514135</v>
      </c>
      <c r="AC942" s="204">
        <f>AB942*(1+AC940)</f>
        <v>273.5250677371842</v>
      </c>
      <c r="AD942" s="204">
        <f>AC942*(1+AD940)</f>
        <v>269.56623486763641</v>
      </c>
      <c r="AE942" s="204">
        <f>AD942*(1+AE940)</f>
        <v>306.71554617209591</v>
      </c>
      <c r="AF942" s="204">
        <f>AE942*(1+AF940)</f>
        <v>284.5872320656697</v>
      </c>
      <c r="AG942" s="206">
        <f>AF942</f>
        <v>284.5872320656697</v>
      </c>
      <c r="AH942" s="204">
        <f>AG942*(1+AH940)</f>
        <v>215.75930993922424</v>
      </c>
      <c r="AI942" s="204">
        <f>AH942*(1+AI940)</f>
        <v>182.05824410849263</v>
      </c>
      <c r="AJ942" s="204">
        <f>AI942*(1+AJ940)</f>
        <v>166.29185451896367</v>
      </c>
      <c r="AK942" s="204">
        <f>AJ942*(1+AK940)</f>
        <v>155.16230536118593</v>
      </c>
      <c r="AL942" s="206">
        <f>AK942</f>
        <v>155.16230536118593</v>
      </c>
      <c r="AM942" s="204">
        <f>AL942*(1+AM940)</f>
        <v>155.18140342777039</v>
      </c>
      <c r="AN942" s="204">
        <f>AM942*(1+AN940)</f>
        <v>140.40360169639536</v>
      </c>
      <c r="AO942" s="204">
        <f>AN942*(1+AO940)</f>
        <v>148.15014403867562</v>
      </c>
      <c r="AP942" s="204">
        <f>AO942*(1+AP940)</f>
        <v>145.49345795151129</v>
      </c>
      <c r="AQ942" s="206">
        <f>AP942</f>
        <v>145.49345795151129</v>
      </c>
      <c r="AR942" s="204">
        <f>AQ942*(1+AR940)</f>
        <v>131.19907373209102</v>
      </c>
      <c r="AS942" s="204">
        <f>AR942*(1+AS940)</f>
        <v>138.0612517829592</v>
      </c>
      <c r="AT942" s="204">
        <f>AS942*(1+AT940)</f>
        <v>133.47108155320981</v>
      </c>
      <c r="AU942" s="204">
        <f>AT942*(1+AU940)</f>
        <v>138.42722989627367</v>
      </c>
      <c r="AV942" s="206">
        <f>AU942</f>
        <v>138.42722989627367</v>
      </c>
      <c r="AW942" s="204">
        <f>AV942*(1+AW940)</f>
        <v>154.2815799414511</v>
      </c>
      <c r="AX942" s="204">
        <f>AW942*(1+AX940)</f>
        <v>182.53949721872246</v>
      </c>
      <c r="AY942" s="204">
        <f>AX942*(1+AY940)</f>
        <v>263.18451952855429</v>
      </c>
      <c r="AZ942" s="204">
        <f>AY942*(1+AZ940)</f>
        <v>262.4669492016817</v>
      </c>
      <c r="BA942" s="206">
        <f>AZ942</f>
        <v>262.4669492016817</v>
      </c>
      <c r="BB942" s="204">
        <f>BA942*(1+BB940)</f>
        <v>362.0455016549742</v>
      </c>
      <c r="BC942" s="204">
        <f>BB942*(1+BC940)</f>
        <v>399.94679727706136</v>
      </c>
      <c r="BD942" s="204">
        <f>BC942*(1+BD940)</f>
        <v>438.05445884699685</v>
      </c>
      <c r="BE942" s="204">
        <f>BD942*(1+BE940)</f>
        <v>435.38166561063599</v>
      </c>
      <c r="BF942" s="206">
        <f>BE942</f>
        <v>435.38166561063599</v>
      </c>
      <c r="BG942" s="204">
        <f>BF942*(1+BG940)</f>
        <v>438.65552870172019</v>
      </c>
      <c r="BH942" s="204">
        <f>BG942*(1+BH940)</f>
        <v>441.93609729701069</v>
      </c>
      <c r="BI942" s="204">
        <f>BH942*(1+BI940)</f>
        <v>445.20806653934847</v>
      </c>
      <c r="BJ942" s="204">
        <f>BI942*(1+BJ940)</f>
        <v>448.47380798379027</v>
      </c>
      <c r="BK942" s="206">
        <f>BJ942</f>
        <v>448.47380798379027</v>
      </c>
      <c r="BL942" s="204">
        <f>BK942*(1+BL940)</f>
        <v>451.70604684111959</v>
      </c>
      <c r="BM942" s="204">
        <f>BL942*(1+BM940)</f>
        <v>454.89035161320464</v>
      </c>
      <c r="BN942" s="204">
        <f>BM942*(1+BN940)</f>
        <v>458.02588222826404</v>
      </c>
      <c r="BO942" s="204">
        <f>BN942*(1+BO940)</f>
        <v>461.09109215211021</v>
      </c>
      <c r="BP942" s="206">
        <f>BO942</f>
        <v>461.09109215211021</v>
      </c>
      <c r="BQ942" s="204">
        <f>BP942*(1+BQ940)</f>
        <v>464.03723787348929</v>
      </c>
      <c r="BR942" s="204">
        <f>BQ942*(1+BR940)</f>
        <v>466.8236271495532</v>
      </c>
      <c r="BS942" s="204">
        <f>BR942*(1+BS940)</f>
        <v>469.4285807060798</v>
      </c>
      <c r="BT942" s="204">
        <f>BS942*(1+BT940)</f>
        <v>471.79769515931054</v>
      </c>
      <c r="BU942" s="206">
        <f>BT942</f>
        <v>471.79769515931054</v>
      </c>
      <c r="BV942" s="204">
        <f>BU942*(1+BV940)</f>
        <v>473.89192758763159</v>
      </c>
      <c r="BW942" s="204">
        <f>BV942*(1+BW940)</f>
        <v>475.66067753458776</v>
      </c>
      <c r="BX942" s="204">
        <f>BW942*(1+BX940)</f>
        <v>476.99836756579765</v>
      </c>
      <c r="BY942" s="204">
        <f>BX942*(1+BY940)</f>
        <v>477.80204974306037</v>
      </c>
      <c r="BZ942" s="206">
        <f>BY942</f>
        <v>477.80204974306037</v>
      </c>
    </row>
    <row r="943" spans="1:78" s="26" customFormat="1">
      <c r="A943" s="26" t="s">
        <v>308</v>
      </c>
      <c r="Z943" s="208">
        <f t="shared" ref="Z943" si="3179">Z942/U942-1</f>
        <v>1.9230769230769225</v>
      </c>
      <c r="AA943" s="208">
        <f t="shared" ref="AA943" si="3180">AA942/V942-1</f>
        <v>1.7448364125279028</v>
      </c>
      <c r="AB943" s="208">
        <f t="shared" ref="AB943" si="3181">AB942/W942-1</f>
        <v>1.7448364125279028</v>
      </c>
      <c r="AC943" s="208">
        <f t="shared" ref="AC943:AE943" si="3182">AC942/X942-1</f>
        <v>1.6319961914695651</v>
      </c>
      <c r="AD943" s="208">
        <f t="shared" si="3182"/>
        <v>-7.77997228212437E-2</v>
      </c>
      <c r="AE943" s="208">
        <f t="shared" si="3182"/>
        <v>4.9290026378222995E-2</v>
      </c>
      <c r="AF943" s="208">
        <f t="shared" ref="AF943" si="3183">AF942/AA942-1</f>
        <v>1.7051644670779131E-2</v>
      </c>
      <c r="AG943" s="208">
        <f t="shared" ref="AG943:AJ943" si="3184">AG942/AB942-1</f>
        <v>1.7051644670779131E-2</v>
      </c>
      <c r="AH943" s="208">
        <f t="shared" si="3184"/>
        <v>-0.21118999540277617</v>
      </c>
      <c r="AI943" s="208">
        <f t="shared" si="3184"/>
        <v>-0.32462519203160711</v>
      </c>
      <c r="AJ943" s="208">
        <f t="shared" si="3184"/>
        <v>-0.45783036890585749</v>
      </c>
      <c r="AK943" s="208">
        <f t="shared" ref="AK943" si="3185">AK942/AF942-1</f>
        <v>-0.45478121335611577</v>
      </c>
      <c r="AL943" s="208">
        <f t="shared" ref="AL943:AQ943" si="3186">AL942/AG942-1</f>
        <v>-0.45478121335611577</v>
      </c>
      <c r="AM943" s="208">
        <f t="shared" si="3186"/>
        <v>-0.28076613022407992</v>
      </c>
      <c r="AN943" s="208">
        <f t="shared" si="3186"/>
        <v>-0.22879844093890267</v>
      </c>
      <c r="AO943" s="208">
        <f t="shared" si="3186"/>
        <v>-0.10909560502988558</v>
      </c>
      <c r="AP943" s="208">
        <f t="shared" si="3186"/>
        <v>-6.231440933522836E-2</v>
      </c>
      <c r="AQ943" s="208">
        <f t="shared" si="3186"/>
        <v>-6.231440933522836E-2</v>
      </c>
      <c r="AR943" s="208">
        <f t="shared" ref="AR943" si="3187">AR942/AM942-1</f>
        <v>-0.15454383815288797</v>
      </c>
      <c r="AS943" s="208">
        <f t="shared" ref="AS943" si="3188">AS942/AN942-1</f>
        <v>-1.6682975971664793E-2</v>
      </c>
      <c r="AT943" s="208">
        <f t="shared" ref="AT943" si="3189">AT942/AO942-1</f>
        <v>-9.9082336913784763E-2</v>
      </c>
      <c r="AU943" s="208">
        <f t="shared" ref="AU943" si="3190">AU942/AP942-1</f>
        <v>-4.8567324983042059E-2</v>
      </c>
      <c r="AV943" s="208">
        <f t="shared" ref="AV943:AW943" si="3191">AV942/AQ942-1</f>
        <v>-4.8567324983042059E-2</v>
      </c>
      <c r="AW943" s="208">
        <f t="shared" si="3191"/>
        <v>0.17593497844729167</v>
      </c>
      <c r="AX943" s="208">
        <f t="shared" ref="AX943" si="3192">AX942/AS942-1</f>
        <v>0.32216313311200295</v>
      </c>
      <c r="AY943" s="208">
        <f t="shared" ref="AY943" si="3193">AY942/AT942-1</f>
        <v>0.97184675860765157</v>
      </c>
      <c r="AZ943" s="208">
        <f t="shared" ref="AZ943" si="3194">AZ942/AU942-1</f>
        <v>0.8960644477127333</v>
      </c>
      <c r="BA943" s="208">
        <f t="shared" ref="BA943" si="3195">BA942/AV942-1</f>
        <v>0.8960644477127333</v>
      </c>
      <c r="BB943" s="208">
        <f t="shared" ref="BB943" si="3196">BB942/AW942-1</f>
        <v>1.3466540969593921</v>
      </c>
      <c r="BC943" s="208">
        <f t="shared" ref="BC943" si="3197">BC942/AX942-1</f>
        <v>1.1910151138295135</v>
      </c>
      <c r="BD943" s="208">
        <f t="shared" ref="BD943" si="3198">BD942/AY942-1</f>
        <v>0.66443854536615321</v>
      </c>
      <c r="BE943" s="208">
        <f t="shared" ref="BE943" si="3199">BE942/AZ942-1</f>
        <v>0.65880567795256106</v>
      </c>
      <c r="BF943" s="208">
        <f t="shared" ref="BF943" si="3200">BF942/BA942-1</f>
        <v>0.65880567795256106</v>
      </c>
      <c r="BG943" s="208">
        <f t="shared" ref="BG943" si="3201">BG942/BB942-1</f>
        <v>0.21160331145269851</v>
      </c>
      <c r="BH943" s="208">
        <f t="shared" ref="BH943" si="3202">BH942/BC942-1</f>
        <v>0.10498721406402822</v>
      </c>
      <c r="BI943" s="208">
        <f t="shared" ref="BI943" si="3203">BI942/BD942-1</f>
        <v>1.6330407208228426E-2</v>
      </c>
      <c r="BJ943" s="208">
        <f t="shared" ref="BJ943" si="3204">BJ942/BE942-1</f>
        <v>3.0070495400379649E-2</v>
      </c>
      <c r="BK943" s="208">
        <f t="shared" ref="BK943" si="3205">BK942/BF942-1</f>
        <v>3.0070495400379649E-2</v>
      </c>
      <c r="BL943" s="208">
        <f t="shared" ref="BL943" si="3206">BL942/BG942-1</f>
        <v>2.9751176687604408E-2</v>
      </c>
      <c r="BM943" s="208">
        <f t="shared" ref="BM943" si="3207">BM942/BH942-1</f>
        <v>2.9312505575863401E-2</v>
      </c>
      <c r="BN943" s="208">
        <f t="shared" ref="BN943" si="3208">BN942/BI942-1</f>
        <v>2.8790618706776572E-2</v>
      </c>
      <c r="BO943" s="208">
        <f t="shared" ref="BO943" si="3209">BO942/BJ942-1</f>
        <v>2.8133826198331713E-2</v>
      </c>
      <c r="BP943" s="208">
        <f t="shared" ref="BP943" si="3210">BP942/BK942-1</f>
        <v>2.8133826198331713E-2</v>
      </c>
      <c r="BQ943" s="208">
        <f t="shared" ref="BQ943" si="3211">BQ942/BL942-1</f>
        <v>2.7299149786912169E-2</v>
      </c>
      <c r="BR943" s="208">
        <f t="shared" ref="BR943" si="3212">BR942/BM942-1</f>
        <v>2.6233301045029522E-2</v>
      </c>
      <c r="BS943" s="208">
        <f t="shared" ref="BS943" si="3213">BS942/BN942-1</f>
        <v>2.4895314697812365E-2</v>
      </c>
      <c r="BT943" s="208">
        <f t="shared" ref="BT943" si="3214">BT942/BO942-1</f>
        <v>2.3220147145389447E-2</v>
      </c>
      <c r="BU943" s="208">
        <f t="shared" ref="BU943" si="3215">BU942/BP942-1</f>
        <v>2.3220147145389447E-2</v>
      </c>
      <c r="BV943" s="208">
        <f t="shared" ref="BV943" si="3216">BV942/BQ942-1</f>
        <v>2.123685107536355E-2</v>
      </c>
      <c r="BW943" s="208">
        <f t="shared" ref="BW943" si="3217">BW942/BR942-1</f>
        <v>1.8930169492478388E-2</v>
      </c>
      <c r="BX943" s="208">
        <f t="shared" ref="BX943" si="3218">BX942/BS942-1</f>
        <v>1.6125534683746556E-2</v>
      </c>
      <c r="BY943" s="208">
        <f t="shared" ref="BY943" si="3219">BY942/BT942-1</f>
        <v>1.2726544969072773E-2</v>
      </c>
      <c r="BZ943" s="208">
        <f t="shared" ref="BZ943" si="3220">BZ942/BU942-1</f>
        <v>1.2726544969072773E-2</v>
      </c>
    </row>
    <row r="945" spans="1:78">
      <c r="A945" s="1" t="s">
        <v>668</v>
      </c>
      <c r="Y945" s="86">
        <v>100</v>
      </c>
      <c r="Z945" s="87">
        <f>Y945*(1+Z940)</f>
        <v>100</v>
      </c>
      <c r="AA945" s="87">
        <f>Z945*(1+AA940)</f>
        <v>95.726495726495727</v>
      </c>
      <c r="AB945" s="88">
        <f>AA945</f>
        <v>95.726495726495727</v>
      </c>
      <c r="AC945" s="87">
        <f>AB945*(1+AC940)</f>
        <v>93.574365278510399</v>
      </c>
      <c r="AD945" s="87">
        <f>AC945*(1+AD940)</f>
        <v>92.220027717875624</v>
      </c>
      <c r="AE945" s="87">
        <f>AD945*(1+AE940)</f>
        <v>104.92900263782229</v>
      </c>
      <c r="AF945" s="87">
        <f>AE945*(1+AF940)</f>
        <v>97.358789917202799</v>
      </c>
      <c r="AG945" s="88">
        <f>AF945</f>
        <v>97.358789917202799</v>
      </c>
      <c r="AH945" s="87">
        <f>AG945*(1+AH940)</f>
        <v>73.812395505524094</v>
      </c>
      <c r="AI945" s="87">
        <f>AH945*(1+AI940)</f>
        <v>62.283083510800118</v>
      </c>
      <c r="AJ945" s="87">
        <f>AI945*(1+AJ940)</f>
        <v>56.889318651224421</v>
      </c>
      <c r="AK945" s="87">
        <f>AJ945*(1+AK940)</f>
        <v>53.081841307774141</v>
      </c>
      <c r="AL945" s="88">
        <f>AK945</f>
        <v>53.081841307774141</v>
      </c>
      <c r="AM945" s="87">
        <f>AL945*(1+AM940)</f>
        <v>53.088374856868818</v>
      </c>
      <c r="AN945" s="87">
        <f>AM945*(1+AN940)</f>
        <v>48.032811106661576</v>
      </c>
      <c r="AO945" s="87">
        <f>AN945*(1+AO940)</f>
        <v>50.682944013231136</v>
      </c>
      <c r="AP945" s="87">
        <f>AO945*(1+AP940)</f>
        <v>49.774077720253864</v>
      </c>
      <c r="AQ945" s="88">
        <f>AP945</f>
        <v>49.774077720253864</v>
      </c>
      <c r="AR945" s="87">
        <f>AQ945*(1+AR940)</f>
        <v>44.88389364518904</v>
      </c>
      <c r="AS945" s="87">
        <f>AR945*(1+AS940)</f>
        <v>47.231480873117633</v>
      </c>
      <c r="AT945" s="87">
        <f>AS945*(1+AT940)</f>
        <v>45.661159478729687</v>
      </c>
      <c r="AU945" s="87">
        <f>AT945*(1+AU940)</f>
        <v>47.35668391188311</v>
      </c>
      <c r="AV945" s="88">
        <f>AU945</f>
        <v>47.35668391188311</v>
      </c>
      <c r="AW945" s="87">
        <f>AV945*(1+AW940)</f>
        <v>52.780540506285917</v>
      </c>
      <c r="AX945" s="87">
        <f>AW945*(1+AX940)</f>
        <v>62.447722732720862</v>
      </c>
      <c r="AY945" s="87">
        <f>AX945*(1+AY940)</f>
        <v>90.036809312400194</v>
      </c>
      <c r="AZ945" s="87">
        <f>AY945*(1+AZ940)</f>
        <v>89.791324726891148</v>
      </c>
      <c r="BA945" s="88">
        <f>AZ945</f>
        <v>89.791324726891148</v>
      </c>
      <c r="BB945" s="87">
        <f>BA945*(1+BB940)</f>
        <v>123.857671618807</v>
      </c>
      <c r="BC945" s="87">
        <f>BB945*(1+BC940)</f>
        <v>136.8239043316263</v>
      </c>
      <c r="BD945" s="87">
        <f>BC945*(1+BD940)</f>
        <v>149.86073592134107</v>
      </c>
      <c r="BE945" s="87">
        <f>BD945*(1+BE940)</f>
        <v>148.94635928784919</v>
      </c>
      <c r="BF945" s="88">
        <f>BE945</f>
        <v>148.94635928784919</v>
      </c>
      <c r="BG945" s="87">
        <f>BF945*(1+BG940)</f>
        <v>150.06636508216747</v>
      </c>
      <c r="BH945" s="87">
        <f>BG945*(1+BH940)</f>
        <v>151.18866486476685</v>
      </c>
      <c r="BI945" s="87">
        <f>BH945*(1+BI940)</f>
        <v>152.30802276346134</v>
      </c>
      <c r="BJ945" s="87">
        <f>BI945*(1+BJ940)</f>
        <v>153.42525009971774</v>
      </c>
      <c r="BK945" s="88">
        <f>BJ945</f>
        <v>153.42525009971774</v>
      </c>
      <c r="BL945" s="87">
        <f>BK945*(1+BL940)</f>
        <v>154.53101602459355</v>
      </c>
      <c r="BM945" s="87">
        <f>BL945*(1+BM940)</f>
        <v>155.62038344662267</v>
      </c>
      <c r="BN945" s="87">
        <f>BM945*(1+BN940)</f>
        <v>156.69306497282722</v>
      </c>
      <c r="BO945" s="87">
        <f>BN945*(1+BO940)</f>
        <v>157.74168942045881</v>
      </c>
      <c r="BP945" s="88">
        <f>BO945</f>
        <v>157.74168942045881</v>
      </c>
      <c r="BQ945" s="87">
        <f>BP945*(1+BQ940)</f>
        <v>158.7495813777727</v>
      </c>
      <c r="BR945" s="87">
        <f>BQ945*(1+BR940)</f>
        <v>159.70281981432089</v>
      </c>
      <c r="BS945" s="87">
        <f>BR945*(1+BS940)</f>
        <v>160.59398813629051</v>
      </c>
      <c r="BT945" s="87">
        <f>BS945*(1+BT940)</f>
        <v>161.40447465976419</v>
      </c>
      <c r="BU945" s="88">
        <f>BT945</f>
        <v>161.40447465976419</v>
      </c>
      <c r="BV945" s="87">
        <f>BU945*(1+BV940)</f>
        <v>162.12092259576877</v>
      </c>
      <c r="BW945" s="87">
        <f>BV945*(1+BW940)</f>
        <v>162.72602126183273</v>
      </c>
      <c r="BX945" s="87">
        <f>BW945*(1+BX940)</f>
        <v>163.18365206198348</v>
      </c>
      <c r="BY945" s="87">
        <f>BX945*(1+BY940)</f>
        <v>163.45859596473127</v>
      </c>
      <c r="BZ945" s="88">
        <f>BY945</f>
        <v>163.45859596473127</v>
      </c>
    </row>
    <row r="946" spans="1:78">
      <c r="A946" s="1" t="s">
        <v>308</v>
      </c>
      <c r="AD946" s="16">
        <f t="shared" ref="AD946" si="3221">AD945/Y945-1</f>
        <v>-7.7799722821243811E-2</v>
      </c>
      <c r="AE946" s="16">
        <f t="shared" ref="AE946" si="3222">AE945/Z945-1</f>
        <v>4.9290026378222995E-2</v>
      </c>
      <c r="AF946" s="16">
        <f t="shared" ref="AF946" si="3223">AF945/AA945-1</f>
        <v>1.7051644670779131E-2</v>
      </c>
      <c r="AG946" s="16">
        <f t="shared" ref="AG946" si="3224">AG945/AB945-1</f>
        <v>1.7051644670779131E-2</v>
      </c>
      <c r="AH946" s="16">
        <f t="shared" ref="AH946" si="3225">AH945/AC945-1</f>
        <v>-0.21118999540277617</v>
      </c>
      <c r="AI946" s="16">
        <f t="shared" ref="AI946:AJ946" si="3226">AI945/AD945-1</f>
        <v>-0.32462519203160711</v>
      </c>
      <c r="AJ946" s="16">
        <f t="shared" si="3226"/>
        <v>-0.45783036890585749</v>
      </c>
      <c r="AK946" s="16">
        <f t="shared" ref="AK946" si="3227">AK945/AF945-1</f>
        <v>-0.45478121335611577</v>
      </c>
      <c r="AL946" s="16">
        <f t="shared" ref="AL946:AQ946" si="3228">AL945/AG945-1</f>
        <v>-0.45478121335611577</v>
      </c>
      <c r="AM946" s="16">
        <f t="shared" si="3228"/>
        <v>-0.28076613022408003</v>
      </c>
      <c r="AN946" s="16">
        <f t="shared" si="3228"/>
        <v>-0.22879844093890267</v>
      </c>
      <c r="AO946" s="16">
        <f t="shared" si="3228"/>
        <v>-0.10909560502988558</v>
      </c>
      <c r="AP946" s="16">
        <f t="shared" si="3228"/>
        <v>-6.2314409335228471E-2</v>
      </c>
      <c r="AQ946" s="16">
        <f t="shared" si="3228"/>
        <v>-6.2314409335228471E-2</v>
      </c>
      <c r="AR946" s="16">
        <f t="shared" ref="AR946" si="3229">AR945/AM945-1</f>
        <v>-0.15454383815288786</v>
      </c>
      <c r="AS946" s="16">
        <f t="shared" ref="AS946" si="3230">AS945/AN945-1</f>
        <v>-1.6682975971664682E-2</v>
      </c>
      <c r="AT946" s="16">
        <f t="shared" ref="AT946" si="3231">AT945/AO945-1</f>
        <v>-9.9082336913784652E-2</v>
      </c>
      <c r="AU946" s="16">
        <f t="shared" ref="AU946" si="3232">AU945/AP945-1</f>
        <v>-4.8567324983041837E-2</v>
      </c>
      <c r="AV946" s="16">
        <f t="shared" ref="AV946:AW946" si="3233">AV945/AQ945-1</f>
        <v>-4.8567324983041837E-2</v>
      </c>
      <c r="AW946" s="16">
        <f t="shared" si="3233"/>
        <v>0.17593497844729189</v>
      </c>
      <c r="AX946" s="16">
        <f t="shared" ref="AX946" si="3234">AX945/AS945-1</f>
        <v>0.32216313311200317</v>
      </c>
      <c r="AY946" s="16">
        <f t="shared" ref="AY946" si="3235">AY945/AT945-1</f>
        <v>0.97184675860765202</v>
      </c>
      <c r="AZ946" s="16">
        <f t="shared" ref="AZ946" si="3236">AZ945/AU945-1</f>
        <v>0.89606444771273375</v>
      </c>
      <c r="BA946" s="16">
        <f t="shared" ref="BA946" si="3237">BA945/AV945-1</f>
        <v>0.89606444771273375</v>
      </c>
      <c r="BB946" s="16">
        <f t="shared" ref="BB946" si="3238">BB945/AW945-1</f>
        <v>1.3466540969593921</v>
      </c>
      <c r="BC946" s="16">
        <f t="shared" ref="BC946" si="3239">BC945/AX945-1</f>
        <v>1.1910151138295135</v>
      </c>
      <c r="BD946" s="16">
        <f t="shared" ref="BD946" si="3240">BD945/AY945-1</f>
        <v>0.66443854536615299</v>
      </c>
      <c r="BE946" s="16">
        <f t="shared" ref="BE946" si="3241">BE945/AZ945-1</f>
        <v>0.65880567795256062</v>
      </c>
      <c r="BF946" s="16">
        <f t="shared" ref="BF946" si="3242">BF945/BA945-1</f>
        <v>0.65880567795256062</v>
      </c>
      <c r="BG946" s="16">
        <f t="shared" ref="BG946" si="3243">BG945/BB945-1</f>
        <v>0.21160331145269851</v>
      </c>
      <c r="BH946" s="16">
        <f t="shared" ref="BH946" si="3244">BH945/BC945-1</f>
        <v>0.10498721406402822</v>
      </c>
      <c r="BI946" s="16">
        <f t="shared" ref="BI946" si="3245">BI945/BD945-1</f>
        <v>1.6330407208228204E-2</v>
      </c>
      <c r="BJ946" s="16">
        <f t="shared" ref="BJ946" si="3246">BJ945/BE945-1</f>
        <v>3.0070495400379649E-2</v>
      </c>
      <c r="BK946" s="16">
        <f t="shared" ref="BK946" si="3247">BK945/BF945-1</f>
        <v>3.0070495400379649E-2</v>
      </c>
      <c r="BL946" s="16">
        <f t="shared" ref="BL946" si="3248">BL945/BG945-1</f>
        <v>2.9751176687604186E-2</v>
      </c>
      <c r="BM946" s="16">
        <f t="shared" ref="BM946" si="3249">BM945/BH945-1</f>
        <v>2.9312505575863401E-2</v>
      </c>
      <c r="BN946" s="16">
        <f t="shared" ref="BN946" si="3250">BN945/BI945-1</f>
        <v>2.8790618706776572E-2</v>
      </c>
      <c r="BO946" s="16">
        <f t="shared" ref="BO946" si="3251">BO945/BJ945-1</f>
        <v>2.8133826198331935E-2</v>
      </c>
      <c r="BP946" s="16">
        <f t="shared" ref="BP946" si="3252">BP945/BK945-1</f>
        <v>2.8133826198331935E-2</v>
      </c>
      <c r="BQ946" s="16">
        <f t="shared" ref="BQ946" si="3253">BQ945/BL945-1</f>
        <v>2.7299149786912391E-2</v>
      </c>
      <c r="BR946" s="16">
        <f t="shared" ref="BR946" si="3254">BR945/BM945-1</f>
        <v>2.6233301045029744E-2</v>
      </c>
      <c r="BS946" s="16">
        <f t="shared" ref="BS946" si="3255">BS945/BN945-1</f>
        <v>2.4895314697812365E-2</v>
      </c>
      <c r="BT946" s="16">
        <f t="shared" ref="BT946" si="3256">BT945/BO945-1</f>
        <v>2.3220147145389447E-2</v>
      </c>
      <c r="BU946" s="16">
        <f t="shared" ref="BU946" si="3257">BU945/BP945-1</f>
        <v>2.3220147145389447E-2</v>
      </c>
      <c r="BV946" s="16">
        <f t="shared" ref="BV946" si="3258">BV945/BQ945-1</f>
        <v>2.123685107536355E-2</v>
      </c>
      <c r="BW946" s="16">
        <f t="shared" ref="BW946" si="3259">BW945/BR945-1</f>
        <v>1.8930169492478388E-2</v>
      </c>
      <c r="BX946" s="16">
        <f t="shared" ref="BX946" si="3260">BX945/BS945-1</f>
        <v>1.6125534683746778E-2</v>
      </c>
      <c r="BY946" s="16">
        <f t="shared" ref="BY946" si="3261">BY945/BT945-1</f>
        <v>1.2726544969072995E-2</v>
      </c>
      <c r="BZ946" s="16">
        <f t="shared" ref="BZ946" si="3262">BZ945/BU945-1</f>
        <v>1.2726544969072995E-2</v>
      </c>
    </row>
    <row r="948" spans="1:78">
      <c r="A948" s="3" t="s">
        <v>592</v>
      </c>
    </row>
    <row r="950" spans="1:78">
      <c r="A950" s="1" t="s">
        <v>593</v>
      </c>
      <c r="Y950" s="37">
        <v>2800</v>
      </c>
      <c r="Z950" s="37">
        <v>4400</v>
      </c>
      <c r="AA950" s="37">
        <v>6800</v>
      </c>
      <c r="AB950" s="36">
        <f>AA950</f>
        <v>6800</v>
      </c>
      <c r="AC950" s="37">
        <v>24600</v>
      </c>
      <c r="AD950" s="37">
        <v>34800</v>
      </c>
      <c r="AE950" s="37">
        <v>44300</v>
      </c>
      <c r="AF950" s="37">
        <v>46600</v>
      </c>
      <c r="AG950" s="36">
        <f>AF950</f>
        <v>46600</v>
      </c>
      <c r="AH950" s="37">
        <v>48000</v>
      </c>
      <c r="AI950" s="37">
        <v>48200</v>
      </c>
      <c r="AJ950" s="37">
        <v>49100</v>
      </c>
      <c r="AK950" s="37">
        <v>49300</v>
      </c>
      <c r="AL950" s="36">
        <f>AK950</f>
        <v>49300</v>
      </c>
      <c r="AM950" s="37">
        <v>51100</v>
      </c>
      <c r="AN950" s="37">
        <v>53400</v>
      </c>
      <c r="AO950" s="37">
        <v>55100</v>
      </c>
      <c r="AP950" s="37">
        <v>55700</v>
      </c>
      <c r="AQ950" s="36">
        <f>AP950</f>
        <v>55700</v>
      </c>
      <c r="AR950" s="37">
        <v>56000</v>
      </c>
      <c r="AS950" s="37">
        <v>56700</v>
      </c>
      <c r="AT950" s="37">
        <v>58200</v>
      </c>
      <c r="AU950" s="37">
        <v>62300</v>
      </c>
      <c r="AV950" s="36">
        <f>AU950</f>
        <v>62300</v>
      </c>
      <c r="AW950" s="37">
        <v>62900</v>
      </c>
      <c r="AX950" s="37">
        <v>64200</v>
      </c>
      <c r="AY950" s="37">
        <v>89200</v>
      </c>
    </row>
    <row r="951" spans="1:78">
      <c r="A951" s="1" t="s">
        <v>600</v>
      </c>
      <c r="Y951" s="38">
        <f>Y952-Y950</f>
        <v>0</v>
      </c>
      <c r="Z951" s="38">
        <f>Z952-Z950</f>
        <v>0</v>
      </c>
      <c r="AA951" s="38">
        <f>AA952-AA950</f>
        <v>0</v>
      </c>
      <c r="AB951" s="36">
        <f>AA951</f>
        <v>0</v>
      </c>
      <c r="AC951" s="38">
        <f>AC952-AC950</f>
        <v>-4000</v>
      </c>
      <c r="AD951" s="38">
        <f>AD952-AD950</f>
        <v>-1800</v>
      </c>
      <c r="AE951" s="38">
        <f>AE952-AE950</f>
        <v>-1900</v>
      </c>
      <c r="AF951" s="38">
        <f>AF952-AF950</f>
        <v>700</v>
      </c>
      <c r="AG951" s="36">
        <f>AF951</f>
        <v>700</v>
      </c>
      <c r="AH951" s="38">
        <f>AH952-AH950</f>
        <v>700</v>
      </c>
      <c r="AI951" s="38">
        <f>AI952-AI950</f>
        <v>700</v>
      </c>
      <c r="AJ951" s="38">
        <f>AJ952-AJ950</f>
        <v>700</v>
      </c>
      <c r="AK951" s="38">
        <f>AK952-AK950</f>
        <v>700</v>
      </c>
      <c r="AL951" s="36">
        <f>AK951</f>
        <v>700</v>
      </c>
      <c r="AM951" s="38">
        <f>AM952-AM950</f>
        <v>700</v>
      </c>
      <c r="AN951" s="38">
        <f>AN952-AN950</f>
        <v>700</v>
      </c>
      <c r="AO951" s="38">
        <f>AO952-AO950</f>
        <v>700</v>
      </c>
      <c r="AP951" s="38">
        <f>AP952-AP950</f>
        <v>700</v>
      </c>
      <c r="AQ951" s="36">
        <f>AP951</f>
        <v>700</v>
      </c>
      <c r="AR951" s="38">
        <f>AR952-AR950</f>
        <v>700</v>
      </c>
      <c r="AS951" s="38">
        <f>AS952-AS950</f>
        <v>700</v>
      </c>
      <c r="AT951" s="38">
        <f>AT952-AT950</f>
        <v>700</v>
      </c>
      <c r="AU951" s="38">
        <f>AU952-AU950</f>
        <v>700</v>
      </c>
      <c r="AV951" s="36">
        <f>AU951</f>
        <v>700</v>
      </c>
      <c r="AW951" s="38">
        <f>AW952-AW950</f>
        <v>700</v>
      </c>
      <c r="AX951" s="38">
        <f>AX952-AX950</f>
        <v>700</v>
      </c>
      <c r="AY951" s="38">
        <f>AY952-AY950</f>
        <v>700</v>
      </c>
    </row>
    <row r="952" spans="1:78">
      <c r="A952" s="9" t="s">
        <v>599</v>
      </c>
      <c r="B952" s="9"/>
      <c r="C952" s="9"/>
      <c r="D952" s="9"/>
      <c r="E952" s="9"/>
      <c r="F952" s="9"/>
      <c r="G952" s="9"/>
      <c r="H952" s="9"/>
      <c r="I952" s="9"/>
      <c r="J952" s="9"/>
      <c r="K952" s="9"/>
      <c r="L952" s="9"/>
      <c r="M952" s="9"/>
      <c r="N952" s="9"/>
      <c r="O952" s="9"/>
      <c r="P952" s="9"/>
      <c r="Q952" s="9"/>
      <c r="R952" s="9"/>
      <c r="S952" s="9"/>
      <c r="T952" s="9"/>
      <c r="U952" s="9"/>
      <c r="V952" s="9"/>
      <c r="W952" s="9"/>
      <c r="X952" s="9"/>
      <c r="Y952" s="39">
        <f>Y869</f>
        <v>2800</v>
      </c>
      <c r="Z952" s="39">
        <f>Z869</f>
        <v>4400</v>
      </c>
      <c r="AA952" s="39">
        <f>AA869</f>
        <v>6800</v>
      </c>
      <c r="AB952" s="39">
        <f>AA952</f>
        <v>6800</v>
      </c>
      <c r="AC952" s="39">
        <f>AC869</f>
        <v>20600</v>
      </c>
      <c r="AD952" s="39">
        <f>AD869</f>
        <v>33000</v>
      </c>
      <c r="AE952" s="39">
        <f>AE869</f>
        <v>42400</v>
      </c>
      <c r="AF952" s="39">
        <f>AF869</f>
        <v>47300</v>
      </c>
      <c r="AG952" s="39">
        <f>AF952</f>
        <v>47300</v>
      </c>
      <c r="AH952" s="39">
        <f>AH869</f>
        <v>48700</v>
      </c>
      <c r="AI952" s="39">
        <f>AI869</f>
        <v>48900</v>
      </c>
      <c r="AJ952" s="39">
        <f>AJ869</f>
        <v>49800</v>
      </c>
      <c r="AK952" s="39">
        <f>AK869</f>
        <v>50000</v>
      </c>
      <c r="AL952" s="39">
        <f>AK952</f>
        <v>50000</v>
      </c>
      <c r="AM952" s="39">
        <f>AM869</f>
        <v>51800</v>
      </c>
      <c r="AN952" s="39">
        <f>AN869</f>
        <v>54100</v>
      </c>
      <c r="AO952" s="39">
        <f>AO869</f>
        <v>55800</v>
      </c>
      <c r="AP952" s="39">
        <f>AP869</f>
        <v>56400</v>
      </c>
      <c r="AQ952" s="39">
        <f>AP952</f>
        <v>56400</v>
      </c>
      <c r="AR952" s="39">
        <f>AR869</f>
        <v>56700</v>
      </c>
      <c r="AS952" s="39">
        <f>AS869</f>
        <v>57400</v>
      </c>
      <c r="AT952" s="39">
        <f>AT869</f>
        <v>58900</v>
      </c>
      <c r="AU952" s="39">
        <f>AU869</f>
        <v>63000</v>
      </c>
      <c r="AV952" s="39">
        <f>AU952</f>
        <v>63000</v>
      </c>
      <c r="AW952" s="39">
        <f>AW869</f>
        <v>63600</v>
      </c>
      <c r="AX952" s="39">
        <f>AX869</f>
        <v>64900</v>
      </c>
      <c r="AY952" s="39">
        <f>AY869</f>
        <v>89900</v>
      </c>
    </row>
    <row r="954" spans="1:78">
      <c r="A954" s="1" t="s">
        <v>594</v>
      </c>
      <c r="Y954" s="37">
        <v>6500</v>
      </c>
      <c r="Z954" s="37">
        <v>8100</v>
      </c>
      <c r="AA954" s="37">
        <v>10700</v>
      </c>
      <c r="AB954" s="36">
        <f>AA954</f>
        <v>10700</v>
      </c>
      <c r="AC954" s="37">
        <v>24600</v>
      </c>
      <c r="AD954" s="37">
        <v>35200</v>
      </c>
      <c r="AE954" s="37">
        <v>41400</v>
      </c>
      <c r="AF954" s="37">
        <v>37800</v>
      </c>
      <c r="AG954" s="36">
        <f>AF954</f>
        <v>37800</v>
      </c>
      <c r="AH954" s="37">
        <v>30100</v>
      </c>
      <c r="AI954" s="37">
        <v>26100</v>
      </c>
      <c r="AJ954" s="37">
        <v>24200</v>
      </c>
      <c r="AK954" s="37">
        <v>22300</v>
      </c>
      <c r="AL954" s="36">
        <f>AK954</f>
        <v>22300</v>
      </c>
      <c r="AM954" s="37">
        <v>23600</v>
      </c>
      <c r="AN954" s="37">
        <v>23400</v>
      </c>
      <c r="AO954" s="37">
        <v>26500</v>
      </c>
      <c r="AP954" s="37">
        <v>26300</v>
      </c>
      <c r="AQ954" s="36">
        <f>AP954</f>
        <v>26300</v>
      </c>
      <c r="AR954" s="37">
        <v>24000</v>
      </c>
      <c r="AS954" s="37">
        <v>25300</v>
      </c>
      <c r="AT954" s="37">
        <v>25600</v>
      </c>
      <c r="AU954" s="37">
        <v>28800</v>
      </c>
      <c r="AV954" s="36">
        <f>AU954</f>
        <v>28800</v>
      </c>
      <c r="AW954" s="37">
        <v>29800</v>
      </c>
      <c r="AX954" s="37">
        <v>42800</v>
      </c>
      <c r="AY954" s="37">
        <v>74600</v>
      </c>
    </row>
    <row r="955" spans="1:78">
      <c r="A955" s="1" t="s">
        <v>595</v>
      </c>
      <c r="Y955" s="37">
        <v>1200</v>
      </c>
      <c r="Z955" s="37">
        <v>1200</v>
      </c>
      <c r="AA955" s="37">
        <v>1100</v>
      </c>
      <c r="AB955" s="36">
        <f>AA955</f>
        <v>1100</v>
      </c>
      <c r="AC955" s="37">
        <v>1200</v>
      </c>
      <c r="AD955" s="37">
        <v>900</v>
      </c>
      <c r="AE955" s="37">
        <v>1100</v>
      </c>
      <c r="AF955" s="37">
        <v>0</v>
      </c>
      <c r="AG955" s="36">
        <f>AF955</f>
        <v>0</v>
      </c>
      <c r="AH955" s="37">
        <v>0</v>
      </c>
      <c r="AI955" s="37">
        <v>0</v>
      </c>
      <c r="AJ955" s="37">
        <v>0</v>
      </c>
      <c r="AK955" s="37">
        <v>0</v>
      </c>
      <c r="AL955" s="36">
        <f>AK955</f>
        <v>0</v>
      </c>
      <c r="AM955" s="37">
        <v>0</v>
      </c>
      <c r="AN955" s="37">
        <v>0</v>
      </c>
      <c r="AO955" s="37">
        <v>0</v>
      </c>
      <c r="AP955" s="37">
        <v>0</v>
      </c>
      <c r="AQ955" s="36">
        <f>AP955</f>
        <v>0</v>
      </c>
      <c r="AR955" s="37">
        <v>0</v>
      </c>
      <c r="AS955" s="37">
        <v>0</v>
      </c>
      <c r="AT955" s="37">
        <v>0</v>
      </c>
      <c r="AU955" s="37">
        <v>0</v>
      </c>
      <c r="AV955" s="36">
        <f>AU955</f>
        <v>0</v>
      </c>
      <c r="AW955" s="37">
        <v>0</v>
      </c>
      <c r="AX955" s="37">
        <v>0</v>
      </c>
      <c r="AY955" s="37">
        <v>0</v>
      </c>
    </row>
    <row r="956" spans="1:78">
      <c r="A956" s="9" t="s">
        <v>596</v>
      </c>
      <c r="B956" s="9"/>
      <c r="C956" s="9"/>
      <c r="D956" s="9"/>
      <c r="E956" s="9"/>
      <c r="F956" s="9"/>
      <c r="G956" s="9"/>
      <c r="H956" s="9"/>
      <c r="I956" s="9"/>
      <c r="J956" s="9"/>
      <c r="K956" s="9"/>
      <c r="L956" s="9"/>
      <c r="M956" s="9"/>
      <c r="N956" s="9"/>
      <c r="O956" s="9"/>
      <c r="P956" s="9"/>
      <c r="Q956" s="9"/>
      <c r="R956" s="9"/>
      <c r="S956" s="9"/>
      <c r="T956" s="9"/>
      <c r="U956" s="9"/>
      <c r="V956" s="9"/>
      <c r="W956" s="9"/>
      <c r="X956" s="9"/>
      <c r="Y956" s="39">
        <f>SUM(Y954:Y955)</f>
        <v>7700</v>
      </c>
      <c r="Z956" s="39">
        <f>SUM(Z954:Z955)</f>
        <v>9300</v>
      </c>
      <c r="AA956" s="39">
        <f>SUM(AA954:AA955)</f>
        <v>11800</v>
      </c>
      <c r="AB956" s="39">
        <f>AA956</f>
        <v>11800</v>
      </c>
      <c r="AC956" s="39">
        <f>SUM(AC954:AC955)</f>
        <v>25800</v>
      </c>
      <c r="AD956" s="39">
        <f>SUM(AD954:AD955)</f>
        <v>36100</v>
      </c>
      <c r="AE956" s="39">
        <f>SUM(AE954:AE955)</f>
        <v>42500</v>
      </c>
      <c r="AF956" s="39">
        <f>SUM(AF954:AF955)</f>
        <v>37800</v>
      </c>
      <c r="AG956" s="39">
        <f>AF956</f>
        <v>37800</v>
      </c>
      <c r="AH956" s="39">
        <f>SUM(AH954:AH955)</f>
        <v>30100</v>
      </c>
      <c r="AI956" s="39">
        <f>SUM(AI954:AI955)</f>
        <v>26100</v>
      </c>
      <c r="AJ956" s="39">
        <f>SUM(AJ954:AJ955)</f>
        <v>24200</v>
      </c>
      <c r="AK956" s="39">
        <f>SUM(AK954:AK955)</f>
        <v>22300</v>
      </c>
      <c r="AL956" s="39">
        <f>AK956</f>
        <v>22300</v>
      </c>
      <c r="AM956" s="39">
        <f>SUM(AM954:AM955)</f>
        <v>23600</v>
      </c>
      <c r="AN956" s="39">
        <f>SUM(AN954:AN955)</f>
        <v>23400</v>
      </c>
      <c r="AO956" s="39">
        <f>SUM(AO954:AO955)</f>
        <v>26500</v>
      </c>
      <c r="AP956" s="39">
        <f>SUM(AP954:AP955)</f>
        <v>26300</v>
      </c>
      <c r="AQ956" s="39">
        <f>AP956</f>
        <v>26300</v>
      </c>
      <c r="AR956" s="39">
        <f>SUM(AR954:AR955)</f>
        <v>24000</v>
      </c>
      <c r="AS956" s="39">
        <f>SUM(AS954:AS955)</f>
        <v>25300</v>
      </c>
      <c r="AT956" s="39">
        <f>SUM(AT954:AT955)</f>
        <v>25600</v>
      </c>
      <c r="AU956" s="39">
        <f>SUM(AU954:AU955)</f>
        <v>28800</v>
      </c>
      <c r="AV956" s="39">
        <f>AU956</f>
        <v>28800</v>
      </c>
      <c r="AW956" s="39">
        <f>SUM(AW954:AW955)</f>
        <v>29800</v>
      </c>
      <c r="AX956" s="39">
        <f>SUM(AX954:AX955)</f>
        <v>42800</v>
      </c>
      <c r="AY956" s="39">
        <f>SUM(AY954:AY955)</f>
        <v>74600</v>
      </c>
    </row>
    <row r="957" spans="1:78">
      <c r="AD957" s="144" t="s">
        <v>601</v>
      </c>
      <c r="AE957" s="46"/>
      <c r="AF957" s="46"/>
      <c r="AG957" s="46"/>
      <c r="AH957" s="46"/>
      <c r="AI957" s="46"/>
      <c r="AJ957" s="46"/>
      <c r="AK957" s="46"/>
      <c r="AL957" s="46"/>
      <c r="AM957" s="46"/>
      <c r="AN957" s="46"/>
    </row>
    <row r="958" spans="1:78">
      <c r="A958" s="1" t="s">
        <v>597</v>
      </c>
      <c r="Y958" s="101">
        <v>0</v>
      </c>
      <c r="Z958" s="101">
        <v>0</v>
      </c>
      <c r="AA958" s="101">
        <v>0</v>
      </c>
      <c r="AB958" s="36">
        <f>AA958</f>
        <v>0</v>
      </c>
      <c r="AC958" s="101">
        <v>2100</v>
      </c>
      <c r="AD958" s="148">
        <v>3200</v>
      </c>
      <c r="AE958" s="148">
        <v>7000</v>
      </c>
      <c r="AF958" s="101">
        <v>8400</v>
      </c>
      <c r="AG958" s="36">
        <f>AF958</f>
        <v>8400</v>
      </c>
      <c r="AH958" s="101">
        <v>8900</v>
      </c>
      <c r="AI958" s="101">
        <v>8900</v>
      </c>
      <c r="AJ958" s="101">
        <v>8900</v>
      </c>
      <c r="AK958" s="101">
        <v>8900</v>
      </c>
      <c r="AL958" s="36">
        <f>AK958</f>
        <v>8900</v>
      </c>
      <c r="AM958" s="101">
        <v>8900</v>
      </c>
      <c r="AN958" s="101">
        <v>9000</v>
      </c>
      <c r="AO958" s="101">
        <v>9000</v>
      </c>
      <c r="AP958" s="101">
        <v>9000</v>
      </c>
      <c r="AQ958" s="36">
        <f>AP958</f>
        <v>9000</v>
      </c>
      <c r="AR958" s="101">
        <v>9000</v>
      </c>
      <c r="AS958" s="101">
        <v>9000</v>
      </c>
      <c r="AT958" s="101">
        <v>9000</v>
      </c>
      <c r="AU958" s="101">
        <v>9100</v>
      </c>
      <c r="AV958" s="36">
        <f>AU958</f>
        <v>9100</v>
      </c>
      <c r="AW958" s="101">
        <v>9100</v>
      </c>
      <c r="AX958" s="101">
        <v>9100</v>
      </c>
      <c r="AY958" s="101">
        <v>9100</v>
      </c>
    </row>
    <row r="959" spans="1:78">
      <c r="A959" s="9" t="s">
        <v>598</v>
      </c>
      <c r="B959" s="9"/>
      <c r="C959" s="9"/>
      <c r="D959" s="9"/>
      <c r="E959" s="9"/>
      <c r="F959" s="9"/>
      <c r="G959" s="9"/>
      <c r="H959" s="9"/>
      <c r="I959" s="9"/>
      <c r="J959" s="9"/>
      <c r="K959" s="9"/>
      <c r="L959" s="9"/>
      <c r="M959" s="9"/>
      <c r="N959" s="9"/>
      <c r="O959" s="9"/>
      <c r="P959" s="9"/>
      <c r="Q959" s="9"/>
      <c r="R959" s="9"/>
      <c r="S959" s="9"/>
      <c r="T959" s="9"/>
      <c r="U959" s="9"/>
      <c r="V959" s="9"/>
      <c r="W959" s="9"/>
      <c r="X959" s="9"/>
      <c r="Y959" s="39">
        <f>Y956+Y958</f>
        <v>7700</v>
      </c>
      <c r="Z959" s="39">
        <f>Z956+Z958</f>
        <v>9300</v>
      </c>
      <c r="AA959" s="39">
        <f>AA956+AA958</f>
        <v>11800</v>
      </c>
      <c r="AB959" s="39">
        <f>AA959</f>
        <v>11800</v>
      </c>
      <c r="AC959" s="39">
        <f>AC956+AC958</f>
        <v>27900</v>
      </c>
      <c r="AD959" s="39">
        <f>AD956+AD958</f>
        <v>39300</v>
      </c>
      <c r="AE959" s="39">
        <f>AE956+AE958</f>
        <v>49500</v>
      </c>
      <c r="AF959" s="39">
        <f>AF956+AF958</f>
        <v>46200</v>
      </c>
      <c r="AG959" s="39">
        <f>AF959</f>
        <v>46200</v>
      </c>
      <c r="AH959" s="39">
        <f>AH956+AH958</f>
        <v>39000</v>
      </c>
      <c r="AI959" s="39">
        <f>AI956+AI958</f>
        <v>35000</v>
      </c>
      <c r="AJ959" s="39">
        <f>AJ956+AJ958</f>
        <v>33100</v>
      </c>
      <c r="AK959" s="39">
        <f>AK956+AK958</f>
        <v>31200</v>
      </c>
      <c r="AL959" s="39">
        <f>AK959</f>
        <v>31200</v>
      </c>
      <c r="AM959" s="39">
        <f>AM956+AM958</f>
        <v>32500</v>
      </c>
      <c r="AN959" s="39">
        <f>AN956+AN958</f>
        <v>32400</v>
      </c>
      <c r="AO959" s="39">
        <f>AO956+AO958</f>
        <v>35500</v>
      </c>
      <c r="AP959" s="39">
        <f>AP956+AP958</f>
        <v>35300</v>
      </c>
      <c r="AQ959" s="39">
        <f>AP959</f>
        <v>35300</v>
      </c>
      <c r="AR959" s="39">
        <f>AR956+AR958</f>
        <v>33000</v>
      </c>
      <c r="AS959" s="39">
        <f>AS956+AS958</f>
        <v>34300</v>
      </c>
      <c r="AT959" s="39">
        <f>AT956+AT958</f>
        <v>34600</v>
      </c>
      <c r="AU959" s="39">
        <f>AU956+AU958</f>
        <v>37900</v>
      </c>
      <c r="AV959" s="39">
        <f>AU959</f>
        <v>37900</v>
      </c>
      <c r="AW959" s="39">
        <f>AW956+AW958</f>
        <v>38900</v>
      </c>
      <c r="AX959" s="39">
        <f>AX956+AX958</f>
        <v>51900</v>
      </c>
      <c r="AY959" s="39">
        <f>AY956+AY958</f>
        <v>83700</v>
      </c>
    </row>
    <row r="960" spans="1:78">
      <c r="AC960" s="22" t="s">
        <v>602</v>
      </c>
    </row>
    <row r="961" spans="1:51">
      <c r="A961" s="1" t="s">
        <v>622</v>
      </c>
      <c r="Y961" s="36"/>
      <c r="Z961" s="36"/>
      <c r="AA961" s="36"/>
      <c r="AB961" s="36"/>
      <c r="AC961" s="36">
        <f t="shared" ref="AC961:AO961" si="3263">AC901</f>
        <v>1200</v>
      </c>
      <c r="AD961" s="36">
        <f t="shared" si="3263"/>
        <v>900</v>
      </c>
      <c r="AE961" s="36">
        <f t="shared" si="3263"/>
        <v>1200</v>
      </c>
      <c r="AF961" s="36">
        <f t="shared" si="3263"/>
        <v>1600</v>
      </c>
      <c r="AG961" s="36">
        <f t="shared" si="3263"/>
        <v>1600</v>
      </c>
      <c r="AH961" s="36">
        <f t="shared" si="3263"/>
        <v>2500</v>
      </c>
      <c r="AI961" s="36">
        <f t="shared" si="3263"/>
        <v>2500</v>
      </c>
      <c r="AJ961" s="36">
        <f t="shared" si="3263"/>
        <v>2500</v>
      </c>
      <c r="AK961" s="36">
        <f t="shared" si="3263"/>
        <v>2400</v>
      </c>
      <c r="AL961" s="36">
        <f t="shared" si="3263"/>
        <v>2400</v>
      </c>
      <c r="AM961" s="36">
        <f t="shared" si="3263"/>
        <v>2800</v>
      </c>
      <c r="AN961" s="36">
        <f t="shared" si="3263"/>
        <v>3000</v>
      </c>
      <c r="AO961" s="36">
        <f t="shared" si="3263"/>
        <v>3200</v>
      </c>
      <c r="AP961" s="36">
        <f t="shared" ref="AP961:AT961" si="3264">AP901</f>
        <v>3200</v>
      </c>
      <c r="AQ961" s="36">
        <f t="shared" si="3264"/>
        <v>3200</v>
      </c>
      <c r="AR961" s="36">
        <f t="shared" si="3264"/>
        <v>3300</v>
      </c>
      <c r="AS961" s="36">
        <f t="shared" si="3264"/>
        <v>3400</v>
      </c>
      <c r="AT961" s="36">
        <f t="shared" si="3264"/>
        <v>3900</v>
      </c>
      <c r="AU961" s="36">
        <f t="shared" ref="AU961:AV961" si="3265">AU901</f>
        <v>5600</v>
      </c>
      <c r="AV961" s="36">
        <f t="shared" si="3265"/>
        <v>5600</v>
      </c>
      <c r="AW961" s="36">
        <f>AW901</f>
        <v>7800</v>
      </c>
      <c r="AX961" s="36">
        <f t="shared" ref="AX961:AY961" si="3266">AX901</f>
        <v>8000</v>
      </c>
      <c r="AY961" s="36">
        <f t="shared" si="3266"/>
        <v>6300</v>
      </c>
    </row>
    <row r="962" spans="1:51">
      <c r="A962" s="1" t="s">
        <v>623</v>
      </c>
      <c r="Y962" s="36"/>
      <c r="Z962" s="36"/>
      <c r="AA962" s="36"/>
      <c r="AB962" s="36"/>
      <c r="AC962" s="36">
        <f t="shared" ref="AC962:AO962" si="3267">MROUND(AC924, 100)</f>
        <v>900</v>
      </c>
      <c r="AD962" s="36">
        <f t="shared" si="3267"/>
        <v>1000</v>
      </c>
      <c r="AE962" s="36">
        <f t="shared" si="3267"/>
        <v>4600</v>
      </c>
      <c r="AF962" s="36">
        <f t="shared" si="3267"/>
        <v>6000</v>
      </c>
      <c r="AG962" s="36">
        <f t="shared" si="3267"/>
        <v>6000</v>
      </c>
      <c r="AH962" s="36">
        <f t="shared" si="3267"/>
        <v>5800</v>
      </c>
      <c r="AI962" s="36">
        <f t="shared" si="3267"/>
        <v>5800</v>
      </c>
      <c r="AJ962" s="36">
        <f t="shared" si="3267"/>
        <v>5800</v>
      </c>
      <c r="AK962" s="36">
        <f t="shared" si="3267"/>
        <v>5800</v>
      </c>
      <c r="AL962" s="36">
        <f t="shared" si="3267"/>
        <v>5800</v>
      </c>
      <c r="AM962" s="36">
        <f t="shared" si="3267"/>
        <v>5700</v>
      </c>
      <c r="AN962" s="36">
        <f t="shared" si="3267"/>
        <v>3600</v>
      </c>
      <c r="AO962" s="36">
        <f t="shared" si="3267"/>
        <v>3600</v>
      </c>
      <c r="AP962" s="36">
        <f t="shared" ref="AP962:AT962" si="3268">MROUND(AP924, 100)</f>
        <v>3600</v>
      </c>
      <c r="AQ962" s="36">
        <f t="shared" si="3268"/>
        <v>3600</v>
      </c>
      <c r="AR962" s="36">
        <f t="shared" si="3268"/>
        <v>3600</v>
      </c>
      <c r="AS962" s="36">
        <f t="shared" si="3268"/>
        <v>3600</v>
      </c>
      <c r="AT962" s="36">
        <f t="shared" si="3268"/>
        <v>3400</v>
      </c>
      <c r="AU962" s="36">
        <f t="shared" ref="AU962:AY962" si="3269">MROUND(AU924, 100)</f>
        <v>3400</v>
      </c>
      <c r="AV962" s="36">
        <f t="shared" si="3269"/>
        <v>3400</v>
      </c>
      <c r="AW962" s="36">
        <f t="shared" si="3269"/>
        <v>3200</v>
      </c>
      <c r="AX962" s="36">
        <f t="shared" si="3269"/>
        <v>4300</v>
      </c>
      <c r="AY962" s="36">
        <f t="shared" si="3269"/>
        <v>5300</v>
      </c>
    </row>
    <row r="963" spans="1:51">
      <c r="A963" s="9" t="s">
        <v>624</v>
      </c>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177">
        <f>SUM(AC961:AC962)</f>
        <v>2100</v>
      </c>
      <c r="AD963" s="177">
        <f t="shared" ref="AD963:AG963" si="3270">SUM(AD961:AD962)</f>
        <v>1900</v>
      </c>
      <c r="AE963" s="177">
        <f t="shared" si="3270"/>
        <v>5800</v>
      </c>
      <c r="AF963" s="177">
        <f t="shared" si="3270"/>
        <v>7600</v>
      </c>
      <c r="AG963" s="177">
        <f t="shared" si="3270"/>
        <v>7600</v>
      </c>
      <c r="AH963" s="177">
        <f>SUM(AH961:AH962)</f>
        <v>8300</v>
      </c>
      <c r="AI963" s="177">
        <f>SUM(AI961:AI962)</f>
        <v>8300</v>
      </c>
      <c r="AJ963" s="177">
        <f>SUM(AJ961:AJ962)</f>
        <v>8300</v>
      </c>
      <c r="AK963" s="177">
        <f t="shared" ref="AK963:AL963" si="3271">SUM(AK961:AK962)</f>
        <v>8200</v>
      </c>
      <c r="AL963" s="177">
        <f t="shared" si="3271"/>
        <v>8200</v>
      </c>
      <c r="AM963" s="177">
        <f>SUM(AM961:AM962)</f>
        <v>8500</v>
      </c>
      <c r="AN963" s="177">
        <f>SUM(AN961:AN962)</f>
        <v>6600</v>
      </c>
      <c r="AO963" s="177">
        <f>SUM(AO961:AO962)</f>
        <v>6800</v>
      </c>
      <c r="AP963" s="177">
        <f t="shared" ref="AP963:AQ963" si="3272">SUM(AP961:AP962)</f>
        <v>6800</v>
      </c>
      <c r="AQ963" s="177">
        <f t="shared" si="3272"/>
        <v>6800</v>
      </c>
      <c r="AR963" s="177">
        <f>SUM(AR961:AR962)</f>
        <v>6900</v>
      </c>
      <c r="AS963" s="177">
        <f>SUM(AS961:AS962)</f>
        <v>7000</v>
      </c>
      <c r="AT963" s="177">
        <f>SUM(AT961:AT962)</f>
        <v>7300</v>
      </c>
      <c r="AU963" s="177">
        <f t="shared" ref="AU963:AV963" si="3273">SUM(AU961:AU962)</f>
        <v>9000</v>
      </c>
      <c r="AV963" s="177">
        <f t="shared" si="3273"/>
        <v>9000</v>
      </c>
      <c r="AW963" s="177">
        <f>SUM(AW961:AW962)</f>
        <v>11000</v>
      </c>
      <c r="AX963" s="177">
        <f>SUM(AX961:AX962)</f>
        <v>12300</v>
      </c>
      <c r="AY963" s="177">
        <f>SUM(AY961:AY962)</f>
        <v>11600</v>
      </c>
    </row>
    <row r="964" spans="1:51">
      <c r="AC964" s="22"/>
      <c r="AH964" s="22"/>
      <c r="AM964" s="22"/>
      <c r="AR964" s="22"/>
      <c r="AW964" s="22"/>
    </row>
    <row r="965" spans="1:51">
      <c r="A965" s="1" t="s">
        <v>276</v>
      </c>
      <c r="AC965" s="138">
        <f t="shared" ref="AC965:AJ965" si="3274">AC966-AC963</f>
        <v>0</v>
      </c>
      <c r="AD965" s="138">
        <f t="shared" si="3274"/>
        <v>1300</v>
      </c>
      <c r="AE965" s="138">
        <f t="shared" si="3274"/>
        <v>1200</v>
      </c>
      <c r="AF965" s="138">
        <f t="shared" si="3274"/>
        <v>800</v>
      </c>
      <c r="AG965" s="138">
        <f t="shared" si="3274"/>
        <v>800</v>
      </c>
      <c r="AH965" s="138">
        <f t="shared" si="3274"/>
        <v>600</v>
      </c>
      <c r="AI965" s="138">
        <f t="shared" si="3274"/>
        <v>600</v>
      </c>
      <c r="AJ965" s="138">
        <f t="shared" si="3274"/>
        <v>600</v>
      </c>
      <c r="AK965" s="138">
        <f t="shared" ref="AK965" si="3275">AK966-AK963</f>
        <v>700</v>
      </c>
      <c r="AL965" s="138">
        <f t="shared" ref="AL965:AP965" si="3276">AL966-AL963</f>
        <v>700</v>
      </c>
      <c r="AM965" s="138">
        <f t="shared" si="3276"/>
        <v>400</v>
      </c>
      <c r="AN965" s="138">
        <f t="shared" si="3276"/>
        <v>2400</v>
      </c>
      <c r="AO965" s="138">
        <f t="shared" si="3276"/>
        <v>2200</v>
      </c>
      <c r="AP965" s="138">
        <f t="shared" si="3276"/>
        <v>2200</v>
      </c>
      <c r="AQ965" s="138">
        <f t="shared" ref="AQ965:AU965" si="3277">AQ966-AQ963</f>
        <v>2200</v>
      </c>
      <c r="AR965" s="138">
        <f t="shared" si="3277"/>
        <v>2100</v>
      </c>
      <c r="AS965" s="138">
        <f t="shared" si="3277"/>
        <v>2000</v>
      </c>
      <c r="AT965" s="138">
        <f t="shared" si="3277"/>
        <v>1700</v>
      </c>
      <c r="AU965" s="138">
        <f t="shared" si="3277"/>
        <v>100</v>
      </c>
      <c r="AV965" s="138">
        <f t="shared" ref="AV965:AY965" si="3278">AV966-AV963</f>
        <v>100</v>
      </c>
      <c r="AW965" s="138">
        <f t="shared" si="3278"/>
        <v>-1900</v>
      </c>
      <c r="AX965" s="138">
        <f t="shared" si="3278"/>
        <v>-3200</v>
      </c>
      <c r="AY965" s="138">
        <f t="shared" si="3278"/>
        <v>-2500</v>
      </c>
    </row>
    <row r="966" spans="1:51">
      <c r="A966" s="9" t="s">
        <v>625</v>
      </c>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177">
        <f t="shared" ref="AC966:AH966" si="3279">AC958</f>
        <v>2100</v>
      </c>
      <c r="AD966" s="177">
        <f t="shared" si="3279"/>
        <v>3200</v>
      </c>
      <c r="AE966" s="177">
        <f t="shared" si="3279"/>
        <v>7000</v>
      </c>
      <c r="AF966" s="177">
        <f t="shared" si="3279"/>
        <v>8400</v>
      </c>
      <c r="AG966" s="177">
        <f t="shared" si="3279"/>
        <v>8400</v>
      </c>
      <c r="AH966" s="177">
        <f t="shared" si="3279"/>
        <v>8900</v>
      </c>
      <c r="AI966" s="177">
        <f t="shared" ref="AI966:AM966" si="3280">AI958</f>
        <v>8900</v>
      </c>
      <c r="AJ966" s="177">
        <f t="shared" si="3280"/>
        <v>8900</v>
      </c>
      <c r="AK966" s="177">
        <f t="shared" si="3280"/>
        <v>8900</v>
      </c>
      <c r="AL966" s="177">
        <f t="shared" si="3280"/>
        <v>8900</v>
      </c>
      <c r="AM966" s="177">
        <f t="shared" si="3280"/>
        <v>8900</v>
      </c>
      <c r="AN966" s="177">
        <f t="shared" ref="AN966:AR966" si="3281">AN958</f>
        <v>9000</v>
      </c>
      <c r="AO966" s="177">
        <f t="shared" si="3281"/>
        <v>9000</v>
      </c>
      <c r="AP966" s="177">
        <f t="shared" si="3281"/>
        <v>9000</v>
      </c>
      <c r="AQ966" s="177">
        <f t="shared" si="3281"/>
        <v>9000</v>
      </c>
      <c r="AR966" s="177">
        <f t="shared" si="3281"/>
        <v>9000</v>
      </c>
      <c r="AS966" s="177">
        <f t="shared" ref="AS966:AW966" si="3282">AS958</f>
        <v>9000</v>
      </c>
      <c r="AT966" s="177">
        <f t="shared" si="3282"/>
        <v>9000</v>
      </c>
      <c r="AU966" s="177">
        <f t="shared" si="3282"/>
        <v>9100</v>
      </c>
      <c r="AV966" s="177">
        <f t="shared" si="3282"/>
        <v>9100</v>
      </c>
      <c r="AW966" s="177">
        <f t="shared" si="3282"/>
        <v>9100</v>
      </c>
      <c r="AX966" s="177">
        <f t="shared" ref="AX966:AY966" si="3283">AX958</f>
        <v>9100</v>
      </c>
      <c r="AY966" s="177">
        <f t="shared" si="3283"/>
        <v>9100</v>
      </c>
    </row>
    <row r="967" spans="1:51">
      <c r="AC967" s="22"/>
    </row>
    <row r="968" spans="1:51" s="179" customFormat="1">
      <c r="A968" s="178" t="s">
        <v>187</v>
      </c>
    </row>
    <row r="970" spans="1:51">
      <c r="A970" s="5" t="s">
        <v>630</v>
      </c>
      <c r="AH970" s="37">
        <v>7100</v>
      </c>
      <c r="AI970" s="37">
        <v>7200</v>
      </c>
      <c r="AJ970" s="37">
        <v>7200</v>
      </c>
      <c r="AK970" s="37">
        <v>7300</v>
      </c>
      <c r="AL970" s="36">
        <f>AK970</f>
        <v>7300</v>
      </c>
      <c r="AM970" s="37">
        <v>7300</v>
      </c>
      <c r="AN970" s="37">
        <v>7400</v>
      </c>
      <c r="AO970" s="37">
        <v>7400</v>
      </c>
      <c r="AP970" s="37">
        <v>7400</v>
      </c>
      <c r="AQ970" s="36">
        <f>AP970</f>
        <v>7400</v>
      </c>
      <c r="AR970" s="37">
        <v>7400</v>
      </c>
      <c r="AS970" s="37">
        <v>7500</v>
      </c>
      <c r="AT970" s="37">
        <v>7600</v>
      </c>
      <c r="AU970" s="37">
        <v>7600</v>
      </c>
      <c r="AV970" s="36">
        <f>AU970</f>
        <v>7600</v>
      </c>
      <c r="AW970" s="37">
        <v>7600</v>
      </c>
      <c r="AX970" s="37">
        <v>7600</v>
      </c>
      <c r="AY970" s="37">
        <v>7700</v>
      </c>
    </row>
    <row r="971" spans="1:51">
      <c r="A971" s="5" t="s">
        <v>631</v>
      </c>
      <c r="AH971" s="36">
        <f>AH972-AH970</f>
        <v>500</v>
      </c>
      <c r="AI971" s="36">
        <f>AI972-AI970</f>
        <v>400</v>
      </c>
      <c r="AJ971" s="36">
        <f>AJ972-AJ970</f>
        <v>400</v>
      </c>
      <c r="AK971" s="36">
        <f>AK972-AK970</f>
        <v>300</v>
      </c>
      <c r="AL971" s="36">
        <f>AK971</f>
        <v>300</v>
      </c>
      <c r="AM971" s="36">
        <f>AM972-AM970</f>
        <v>300</v>
      </c>
      <c r="AN971" s="36">
        <f>AN972-AN970</f>
        <v>200</v>
      </c>
      <c r="AO971" s="36">
        <f>AO972-AO970</f>
        <v>400</v>
      </c>
      <c r="AP971" s="36">
        <f>AP972-AP970</f>
        <v>400</v>
      </c>
      <c r="AQ971" s="36">
        <f>AP971</f>
        <v>400</v>
      </c>
      <c r="AR971" s="36">
        <f>AR972-AR970</f>
        <v>400</v>
      </c>
      <c r="AS971" s="36">
        <f>AS972-AS970</f>
        <v>300</v>
      </c>
      <c r="AT971" s="36">
        <f>AT972-AT970</f>
        <v>200</v>
      </c>
      <c r="AU971" s="36">
        <f>AU972-AU970</f>
        <v>200</v>
      </c>
      <c r="AV971" s="36">
        <f>AU971</f>
        <v>200</v>
      </c>
      <c r="AW971" s="36">
        <f>AW972-AW970</f>
        <v>200</v>
      </c>
      <c r="AX971" s="36">
        <f>AX972-AX970</f>
        <v>200</v>
      </c>
      <c r="AY971" s="36">
        <f>AY972-AY970</f>
        <v>100</v>
      </c>
    </row>
    <row r="972" spans="1:51">
      <c r="A972" s="9" t="s">
        <v>202</v>
      </c>
      <c r="B972" s="9"/>
      <c r="C972" s="9"/>
      <c r="D972" s="9"/>
      <c r="E972" s="9"/>
      <c r="F972" s="9"/>
      <c r="G972" s="9"/>
      <c r="H972" s="9"/>
      <c r="I972" s="9"/>
      <c r="J972" s="9"/>
      <c r="K972" s="9"/>
      <c r="L972" s="9"/>
      <c r="M972" s="9"/>
      <c r="N972" s="9"/>
      <c r="O972" s="9"/>
      <c r="P972" s="9"/>
      <c r="Q972" s="9"/>
      <c r="R972" s="9"/>
      <c r="S972" s="9"/>
      <c r="T972" s="9"/>
      <c r="U972" s="9"/>
      <c r="V972" s="9"/>
      <c r="W972" s="9"/>
      <c r="X972" s="9"/>
      <c r="Y972" s="48"/>
      <c r="Z972" s="48"/>
      <c r="AA972" s="48"/>
      <c r="AB972" s="39"/>
      <c r="AC972" s="39"/>
      <c r="AD972" s="39"/>
      <c r="AE972" s="39"/>
      <c r="AF972" s="39"/>
      <c r="AG972" s="9"/>
      <c r="AH972" s="67">
        <v>7600</v>
      </c>
      <c r="AI972" s="67">
        <v>7600</v>
      </c>
      <c r="AJ972" s="67">
        <v>7600</v>
      </c>
      <c r="AK972" s="67">
        <v>7600</v>
      </c>
      <c r="AL972" s="48">
        <f>AK972</f>
        <v>7600</v>
      </c>
      <c r="AM972" s="67">
        <v>7600</v>
      </c>
      <c r="AN972" s="67">
        <v>7600</v>
      </c>
      <c r="AO972" s="67">
        <v>7800</v>
      </c>
      <c r="AP972" s="67">
        <v>7800</v>
      </c>
      <c r="AQ972" s="48">
        <f>AP972</f>
        <v>7800</v>
      </c>
      <c r="AR972" s="67">
        <v>7800</v>
      </c>
      <c r="AS972" s="67">
        <v>7800</v>
      </c>
      <c r="AT972" s="67">
        <v>7800</v>
      </c>
      <c r="AU972" s="67">
        <v>7800</v>
      </c>
      <c r="AV972" s="48">
        <f>AU972</f>
        <v>7800</v>
      </c>
      <c r="AW972" s="67">
        <v>7800</v>
      </c>
      <c r="AX972" s="67">
        <v>7800</v>
      </c>
      <c r="AY972" s="67">
        <v>7800</v>
      </c>
    </row>
    <row r="974" spans="1:51">
      <c r="A974" s="1" t="s">
        <v>203</v>
      </c>
    </row>
    <row r="975" spans="1:51">
      <c r="A975" s="5" t="s">
        <v>630</v>
      </c>
      <c r="AI975" s="36">
        <f t="shared" ref="AI975:AK977" si="3284">AI970-AH970</f>
        <v>100</v>
      </c>
      <c r="AJ975" s="36">
        <f t="shared" si="3284"/>
        <v>0</v>
      </c>
      <c r="AK975" s="36">
        <f t="shared" si="3284"/>
        <v>100</v>
      </c>
      <c r="AL975" s="36">
        <f>AL970-AG970</f>
        <v>7300</v>
      </c>
      <c r="AM975" s="36">
        <f t="shared" ref="AM975:AO977" si="3285">AM970-AL970</f>
        <v>0</v>
      </c>
      <c r="AN975" s="36">
        <f t="shared" si="3285"/>
        <v>100</v>
      </c>
      <c r="AO975" s="36">
        <f t="shared" si="3285"/>
        <v>0</v>
      </c>
      <c r="AP975" s="36">
        <f t="shared" ref="AP975:AP977" si="3286">AP970-AO970</f>
        <v>0</v>
      </c>
      <c r="AQ975" s="36">
        <f>AQ970-AL970</f>
        <v>100</v>
      </c>
      <c r="AR975" s="36">
        <f t="shared" ref="AR975:AT977" si="3287">AR970-AQ970</f>
        <v>0</v>
      </c>
      <c r="AS975" s="36">
        <f t="shared" si="3287"/>
        <v>100</v>
      </c>
      <c r="AT975" s="36">
        <f t="shared" si="3287"/>
        <v>100</v>
      </c>
      <c r="AU975" s="36">
        <f t="shared" ref="AU975:AU977" si="3288">AU970-AT970</f>
        <v>0</v>
      </c>
      <c r="AV975" s="36">
        <f>AV970-AQ970</f>
        <v>200</v>
      </c>
      <c r="AW975" s="36">
        <f t="shared" ref="AW975:AY977" si="3289">AW970-AV970</f>
        <v>0</v>
      </c>
      <c r="AX975" s="36">
        <f t="shared" si="3289"/>
        <v>0</v>
      </c>
      <c r="AY975" s="36">
        <f t="shared" si="3289"/>
        <v>100</v>
      </c>
    </row>
    <row r="976" spans="1:51">
      <c r="A976" s="5" t="s">
        <v>631</v>
      </c>
      <c r="AI976" s="36">
        <f t="shared" si="3284"/>
        <v>-100</v>
      </c>
      <c r="AJ976" s="36">
        <f t="shared" si="3284"/>
        <v>0</v>
      </c>
      <c r="AK976" s="36">
        <f t="shared" si="3284"/>
        <v>-100</v>
      </c>
      <c r="AL976" s="36">
        <f>AL971-AG971</f>
        <v>300</v>
      </c>
      <c r="AM976" s="36">
        <f t="shared" si="3285"/>
        <v>0</v>
      </c>
      <c r="AN976" s="36">
        <f t="shared" si="3285"/>
        <v>-100</v>
      </c>
      <c r="AO976" s="36">
        <f t="shared" si="3285"/>
        <v>200</v>
      </c>
      <c r="AP976" s="36">
        <f t="shared" si="3286"/>
        <v>0</v>
      </c>
      <c r="AQ976" s="36">
        <f>AQ971-AL971</f>
        <v>100</v>
      </c>
      <c r="AR976" s="36">
        <f t="shared" si="3287"/>
        <v>0</v>
      </c>
      <c r="AS976" s="36">
        <f t="shared" si="3287"/>
        <v>-100</v>
      </c>
      <c r="AT976" s="36">
        <f t="shared" si="3287"/>
        <v>-100</v>
      </c>
      <c r="AU976" s="36">
        <f t="shared" si="3288"/>
        <v>0</v>
      </c>
      <c r="AV976" s="36">
        <f>AV971-AQ971</f>
        <v>-200</v>
      </c>
      <c r="AW976" s="36">
        <f t="shared" si="3289"/>
        <v>0</v>
      </c>
      <c r="AX976" s="36">
        <f t="shared" si="3289"/>
        <v>0</v>
      </c>
      <c r="AY976" s="36">
        <f t="shared" si="3289"/>
        <v>-100</v>
      </c>
    </row>
    <row r="977" spans="1:78">
      <c r="A977" s="9" t="s">
        <v>202</v>
      </c>
      <c r="B977" s="9"/>
      <c r="C977" s="9"/>
      <c r="D977" s="9"/>
      <c r="E977" s="9"/>
      <c r="F977" s="9"/>
      <c r="G977" s="9"/>
      <c r="H977" s="9"/>
      <c r="I977" s="9"/>
      <c r="J977" s="9"/>
      <c r="K977" s="9"/>
      <c r="L977" s="9"/>
      <c r="M977" s="9"/>
      <c r="N977" s="9"/>
      <c r="O977" s="9"/>
      <c r="P977" s="9"/>
      <c r="Q977" s="9"/>
      <c r="R977" s="9"/>
      <c r="S977" s="9"/>
      <c r="T977" s="9"/>
      <c r="U977" s="9"/>
      <c r="V977" s="9"/>
      <c r="W977" s="9"/>
      <c r="X977" s="9"/>
      <c r="Y977" s="39"/>
      <c r="Z977" s="39"/>
      <c r="AA977" s="39"/>
      <c r="AB977" s="39"/>
      <c r="AC977" s="39"/>
      <c r="AD977" s="39"/>
      <c r="AE977" s="39"/>
      <c r="AF977" s="39"/>
      <c r="AG977" s="39"/>
      <c r="AH977" s="9"/>
      <c r="AI977" s="39">
        <f t="shared" si="3284"/>
        <v>0</v>
      </c>
      <c r="AJ977" s="39">
        <f t="shared" si="3284"/>
        <v>0</v>
      </c>
      <c r="AK977" s="39">
        <f t="shared" si="3284"/>
        <v>0</v>
      </c>
      <c r="AL977" s="39">
        <f>AL972-AG972</f>
        <v>7600</v>
      </c>
      <c r="AM977" s="39">
        <f t="shared" si="3285"/>
        <v>0</v>
      </c>
      <c r="AN977" s="39">
        <f t="shared" si="3285"/>
        <v>0</v>
      </c>
      <c r="AO977" s="39">
        <f t="shared" si="3285"/>
        <v>200</v>
      </c>
      <c r="AP977" s="39">
        <f t="shared" si="3286"/>
        <v>0</v>
      </c>
      <c r="AQ977" s="39">
        <f>AQ972-AL972</f>
        <v>200</v>
      </c>
      <c r="AR977" s="39">
        <f t="shared" si="3287"/>
        <v>0</v>
      </c>
      <c r="AS977" s="39">
        <f t="shared" si="3287"/>
        <v>0</v>
      </c>
      <c r="AT977" s="39">
        <f t="shared" si="3287"/>
        <v>0</v>
      </c>
      <c r="AU977" s="39">
        <f t="shared" si="3288"/>
        <v>0</v>
      </c>
      <c r="AV977" s="39">
        <f>AV972-AQ972</f>
        <v>0</v>
      </c>
      <c r="AW977" s="39">
        <f t="shared" si="3289"/>
        <v>0</v>
      </c>
      <c r="AX977" s="39">
        <f t="shared" si="3289"/>
        <v>0</v>
      </c>
      <c r="AY977" s="39">
        <f t="shared" si="3289"/>
        <v>0</v>
      </c>
    </row>
    <row r="979" spans="1:78">
      <c r="A979" s="1" t="s">
        <v>300</v>
      </c>
    </row>
    <row r="980" spans="1:78">
      <c r="A980" s="1" t="s">
        <v>301</v>
      </c>
      <c r="AH980" s="36">
        <f t="shared" ref="AH980:BZ980" si="3290">AH993-AH999</f>
        <v>7000</v>
      </c>
      <c r="AI980" s="36">
        <f t="shared" si="3290"/>
        <v>6700</v>
      </c>
      <c r="AJ980" s="36">
        <f t="shared" si="3290"/>
        <v>6300</v>
      </c>
      <c r="AK980" s="36">
        <f t="shared" si="3290"/>
        <v>5600</v>
      </c>
      <c r="AL980" s="36">
        <f t="shared" si="3290"/>
        <v>5600</v>
      </c>
      <c r="AM980" s="36">
        <f t="shared" si="3290"/>
        <v>5900</v>
      </c>
      <c r="AN980" s="36">
        <f t="shared" si="3290"/>
        <v>5800</v>
      </c>
      <c r="AO980" s="36">
        <f t="shared" si="3290"/>
        <v>6000</v>
      </c>
      <c r="AP980" s="36">
        <f t="shared" si="3290"/>
        <v>5900</v>
      </c>
      <c r="AQ980" s="36">
        <f t="shared" si="3290"/>
        <v>5900</v>
      </c>
      <c r="AR980" s="36">
        <f t="shared" ref="AR980:AV980" si="3291">AR993-AR999</f>
        <v>5800</v>
      </c>
      <c r="AS980" s="36">
        <f t="shared" si="3291"/>
        <v>6000</v>
      </c>
      <c r="AT980" s="36">
        <f t="shared" si="3291"/>
        <v>5900</v>
      </c>
      <c r="AU980" s="36">
        <f t="shared" si="3291"/>
        <v>5700</v>
      </c>
      <c r="AV980" s="36">
        <f t="shared" si="3291"/>
        <v>5700</v>
      </c>
      <c r="AW980" s="36">
        <f t="shared" ref="AW980:AY980" si="3292">AW993-AW999</f>
        <v>6200</v>
      </c>
      <c r="AX980" s="36">
        <f t="shared" si="3292"/>
        <v>6400</v>
      </c>
      <c r="AY980" s="36">
        <f t="shared" si="3292"/>
        <v>6000</v>
      </c>
      <c r="AZ980" s="36">
        <f t="shared" si="3290"/>
        <v>6060</v>
      </c>
      <c r="BA980" s="36">
        <f t="shared" si="3290"/>
        <v>6060</v>
      </c>
      <c r="BB980" s="36">
        <f t="shared" si="3290"/>
        <v>6075</v>
      </c>
      <c r="BC980" s="36">
        <f t="shared" si="3290"/>
        <v>6085</v>
      </c>
      <c r="BD980" s="36">
        <f t="shared" si="3290"/>
        <v>6095</v>
      </c>
      <c r="BE980" s="36">
        <f t="shared" si="3290"/>
        <v>6100</v>
      </c>
      <c r="BF980" s="36">
        <f t="shared" si="3290"/>
        <v>6100</v>
      </c>
      <c r="BG980" s="36">
        <f t="shared" si="3290"/>
        <v>6030</v>
      </c>
      <c r="BH980" s="36">
        <f t="shared" si="3290"/>
        <v>5950</v>
      </c>
      <c r="BI980" s="36">
        <f t="shared" si="3290"/>
        <v>5865</v>
      </c>
      <c r="BJ980" s="36">
        <f t="shared" si="3290"/>
        <v>5770</v>
      </c>
      <c r="BK980" s="36">
        <f t="shared" si="3290"/>
        <v>5770</v>
      </c>
      <c r="BL980" s="36">
        <f t="shared" si="3290"/>
        <v>5585</v>
      </c>
      <c r="BM980" s="36">
        <f t="shared" si="3290"/>
        <v>5390</v>
      </c>
      <c r="BN980" s="36">
        <f t="shared" si="3290"/>
        <v>5180</v>
      </c>
      <c r="BO980" s="36">
        <f t="shared" si="3290"/>
        <v>4965</v>
      </c>
      <c r="BP980" s="36">
        <f t="shared" si="3290"/>
        <v>4965</v>
      </c>
      <c r="BQ980" s="36">
        <f t="shared" si="3290"/>
        <v>4735</v>
      </c>
      <c r="BR980" s="36">
        <f t="shared" si="3290"/>
        <v>4495</v>
      </c>
      <c r="BS980" s="36">
        <f t="shared" si="3290"/>
        <v>4240</v>
      </c>
      <c r="BT980" s="36">
        <f t="shared" si="3290"/>
        <v>3970</v>
      </c>
      <c r="BU980" s="36">
        <f t="shared" si="3290"/>
        <v>3970</v>
      </c>
      <c r="BV980" s="36">
        <f t="shared" si="3290"/>
        <v>3685</v>
      </c>
      <c r="BW980" s="36">
        <f t="shared" si="3290"/>
        <v>3390</v>
      </c>
      <c r="BX980" s="36">
        <f t="shared" si="3290"/>
        <v>3080</v>
      </c>
      <c r="BY980" s="36">
        <f t="shared" si="3290"/>
        <v>2750</v>
      </c>
      <c r="BZ980" s="36">
        <f t="shared" si="3290"/>
        <v>2750</v>
      </c>
    </row>
    <row r="981" spans="1:78" s="26" customFormat="1">
      <c r="A981" s="26" t="s">
        <v>305</v>
      </c>
      <c r="AM981" s="208">
        <f>AM980/AL980-1</f>
        <v>5.3571428571428603E-2</v>
      </c>
      <c r="AN981" s="208">
        <f>AN980/AM980-1</f>
        <v>-1.6949152542372836E-2</v>
      </c>
      <c r="AO981" s="208">
        <f>AO980/AN980-1</f>
        <v>3.4482758620689724E-2</v>
      </c>
      <c r="AP981" s="208">
        <f>AP980/AO980-1</f>
        <v>-1.6666666666666718E-2</v>
      </c>
      <c r="AQ981" s="208">
        <f>(1+AM981)*(1+AN981)*(1+AO981)*(1+AP981)-1</f>
        <v>5.3571428571428603E-2</v>
      </c>
      <c r="AR981" s="208">
        <f>AR980/AQ980-1</f>
        <v>-1.6949152542372836E-2</v>
      </c>
      <c r="AS981" s="208">
        <f>AS980/AR980-1</f>
        <v>3.4482758620689724E-2</v>
      </c>
      <c r="AT981" s="208">
        <f>AT980/AS980-1</f>
        <v>-1.6666666666666718E-2</v>
      </c>
      <c r="AU981" s="208">
        <f>AU980/AT980-1</f>
        <v>-3.3898305084745783E-2</v>
      </c>
      <c r="AV981" s="208">
        <f>(1+AR981)*(1+AS981)*(1+AT981)*(1+AU981)-1</f>
        <v>-3.3898305084745561E-2</v>
      </c>
      <c r="AW981" s="208">
        <f>AW980/AV980-1</f>
        <v>8.7719298245614086E-2</v>
      </c>
      <c r="AX981" s="208">
        <f>AX980/AW980-1</f>
        <v>3.2258064516129004E-2</v>
      </c>
      <c r="AY981" s="208">
        <f>AY980/AX980-1</f>
        <v>-6.25E-2</v>
      </c>
    </row>
    <row r="983" spans="1:78">
      <c r="A983" s="1" t="s">
        <v>1337</v>
      </c>
      <c r="AN983" s="36"/>
      <c r="AO983" s="142" t="s">
        <v>1243</v>
      </c>
      <c r="AP983" s="209">
        <v>0.09</v>
      </c>
    </row>
    <row r="984" spans="1:78">
      <c r="A984" s="1" t="s">
        <v>1338</v>
      </c>
      <c r="AN984" s="36"/>
      <c r="AO984" s="142"/>
      <c r="AP984" s="330">
        <f>(1+AP983)^(1/4)-1</f>
        <v>2.1778180864641117E-2</v>
      </c>
    </row>
    <row r="985" spans="1:78">
      <c r="AU985" s="349" t="s">
        <v>1340</v>
      </c>
      <c r="AV985" s="350"/>
      <c r="AW985" s="350"/>
      <c r="AX985" s="350"/>
      <c r="AY985" s="350"/>
    </row>
    <row r="986" spans="1:78">
      <c r="A986" s="1" t="s">
        <v>1339</v>
      </c>
      <c r="AP986" s="332">
        <f>AQ986</f>
        <v>9</v>
      </c>
      <c r="AQ986" s="332">
        <f>AR986+0.25</f>
        <v>9</v>
      </c>
      <c r="AR986" s="332">
        <f>AS986+0.25</f>
        <v>8.75</v>
      </c>
      <c r="AS986" s="332">
        <f t="shared" ref="AS986:AT986" si="3293">AT986+0.25</f>
        <v>8.5</v>
      </c>
      <c r="AT986" s="332">
        <f t="shared" si="3293"/>
        <v>8.25</v>
      </c>
      <c r="AU986" s="348">
        <f>'SVF2'!AU17</f>
        <v>8</v>
      </c>
      <c r="AV986" s="332">
        <f>'SVF2'!AV17</f>
        <v>8</v>
      </c>
      <c r="AW986" s="332">
        <f>'SVF2'!AW17</f>
        <v>7.75</v>
      </c>
      <c r="AX986" s="332">
        <f>'SVF2'!AX17</f>
        <v>7.5</v>
      </c>
      <c r="AY986" s="332">
        <f>'SVF2'!AY17</f>
        <v>7.25</v>
      </c>
      <c r="AZ986" s="332">
        <f>'SVF2'!AZ17</f>
        <v>7</v>
      </c>
      <c r="BA986" s="332">
        <f>'SVF2'!BA17</f>
        <v>7</v>
      </c>
      <c r="BB986" s="332">
        <f>'SVF2'!BB17</f>
        <v>6.75</v>
      </c>
      <c r="BC986" s="332">
        <f>'SVF2'!BC17</f>
        <v>6.5</v>
      </c>
      <c r="BD986" s="332">
        <f>'SVF2'!BD17</f>
        <v>6.25</v>
      </c>
      <c r="BE986" s="332">
        <f>'SVF2'!BE17</f>
        <v>6</v>
      </c>
      <c r="BF986" s="332">
        <f>'SVF2'!BF17</f>
        <v>6</v>
      </c>
      <c r="BG986" s="332">
        <f>'SVF2'!BG17</f>
        <v>5.75</v>
      </c>
      <c r="BH986" s="332">
        <f>'SVF2'!BH17</f>
        <v>5.5</v>
      </c>
      <c r="BI986" s="332">
        <f>'SVF2'!BI17</f>
        <v>5.25</v>
      </c>
      <c r="BJ986" s="332">
        <f>'SVF2'!BJ17</f>
        <v>5</v>
      </c>
      <c r="BK986" s="332">
        <f>'SVF2'!BK17</f>
        <v>5</v>
      </c>
      <c r="BL986" s="332">
        <f>'SVF2'!BL17</f>
        <v>4.75</v>
      </c>
      <c r="BM986" s="332">
        <f>'SVF2'!BM17</f>
        <v>4.5</v>
      </c>
      <c r="BN986" s="332">
        <f>'SVF2'!BN17</f>
        <v>4.25</v>
      </c>
      <c r="BO986" s="332">
        <f>'SVF2'!BO17</f>
        <v>4</v>
      </c>
      <c r="BP986" s="332">
        <f>'SVF2'!BP17</f>
        <v>4</v>
      </c>
      <c r="BQ986" s="332">
        <f>'SVF2'!BQ17</f>
        <v>3.75</v>
      </c>
      <c r="BR986" s="332">
        <f>'SVF2'!BR17</f>
        <v>3.5</v>
      </c>
      <c r="BS986" s="332">
        <f>'SVF2'!BS17</f>
        <v>3.25</v>
      </c>
      <c r="BT986" s="332">
        <f>'SVF2'!BT17</f>
        <v>3</v>
      </c>
      <c r="BU986" s="332">
        <f>'SVF2'!BU17</f>
        <v>3</v>
      </c>
      <c r="BV986" s="332">
        <f>'SVF2'!BV17</f>
        <v>2.75</v>
      </c>
      <c r="BW986" s="332">
        <f>'SVF2'!BW17</f>
        <v>2.5</v>
      </c>
      <c r="BX986" s="332">
        <f>'SVF2'!BX17</f>
        <v>2.25</v>
      </c>
      <c r="BY986" s="332">
        <f>'SVF2'!BY17</f>
        <v>2</v>
      </c>
      <c r="BZ986" s="332">
        <f>'SVF2'!BZ17</f>
        <v>2</v>
      </c>
    </row>
    <row r="987" spans="1:78">
      <c r="A987" s="1" t="s">
        <v>1247</v>
      </c>
      <c r="AO987" s="291"/>
      <c r="AP987" s="291"/>
      <c r="AQ987" s="293"/>
      <c r="AR987" s="293"/>
      <c r="AS987" s="293"/>
      <c r="AT987" s="293"/>
      <c r="AU987" s="293"/>
      <c r="AV987" s="293"/>
      <c r="AW987" s="293"/>
      <c r="AX987" s="293"/>
      <c r="AY987" s="648">
        <f>AY980</f>
        <v>6000</v>
      </c>
      <c r="AZ987" s="59">
        <f>MROUND(AY989*(1+$AP$984), 5)</f>
        <v>6130</v>
      </c>
      <c r="BA987" s="36">
        <f>AZ987</f>
        <v>6130</v>
      </c>
      <c r="BB987" s="59">
        <f>MROUND(BA989*(1+$AP$984), 5)</f>
        <v>6190</v>
      </c>
      <c r="BC987" s="59">
        <f>MROUND(BB989*(1+$AP$984), 5)</f>
        <v>6205</v>
      </c>
      <c r="BD987" s="59">
        <f>MROUND(BC989*(1+$AP$984), 5)</f>
        <v>6220</v>
      </c>
      <c r="BE987" s="59">
        <f>MROUND(BD989*(1+$AP$984), 5)</f>
        <v>6230</v>
      </c>
      <c r="BF987" s="36">
        <f>BE987</f>
        <v>6230</v>
      </c>
      <c r="BG987" s="59">
        <f>MROUND(BF989*(1+$AP$984), 5)</f>
        <v>6235</v>
      </c>
      <c r="BH987" s="59">
        <f>MROUND(BG989*(1+$AP$984), 5)</f>
        <v>6160</v>
      </c>
      <c r="BI987" s="59">
        <f>MROUND(BH989*(1+$AP$984), 5)</f>
        <v>6080</v>
      </c>
      <c r="BJ987" s="59">
        <f>MROUND(BI989*(1+$AP$984), 5)</f>
        <v>5995</v>
      </c>
      <c r="BK987" s="36">
        <f>BJ987</f>
        <v>5995</v>
      </c>
      <c r="BL987" s="59">
        <f>MROUND(BK989*(1+$AP$984), 5)</f>
        <v>5895</v>
      </c>
      <c r="BM987" s="59">
        <f>MROUND(BL989*(1+$AP$984), 5)</f>
        <v>5705</v>
      </c>
      <c r="BN987" s="59">
        <f>MROUND(BM989*(1+$AP$984), 5)</f>
        <v>5505</v>
      </c>
      <c r="BO987" s="59">
        <f>MROUND(BN989*(1+$AP$984), 5)</f>
        <v>5295</v>
      </c>
      <c r="BP987" s="36">
        <f>BO987</f>
        <v>5295</v>
      </c>
      <c r="BQ987" s="59">
        <f>MROUND(BP989*(1+$AP$984), 5)</f>
        <v>5075</v>
      </c>
      <c r="BR987" s="59">
        <f>MROUND(BQ989*(1+$AP$984), 5)</f>
        <v>4840</v>
      </c>
      <c r="BS987" s="59">
        <f>MROUND(BR989*(1+$AP$984), 5)</f>
        <v>4595</v>
      </c>
      <c r="BT987" s="59">
        <f>MROUND(BS989*(1+$AP$984), 5)</f>
        <v>4330</v>
      </c>
      <c r="BU987" s="36">
        <f>BT987</f>
        <v>4330</v>
      </c>
      <c r="BV987" s="59">
        <f>MROUND(BU989*(1+$AP$984), 5)</f>
        <v>4055</v>
      </c>
      <c r="BW987" s="59">
        <f>MROUND(BV989*(1+$AP$984), 5)</f>
        <v>3765</v>
      </c>
      <c r="BX987" s="59">
        <f>MROUND(BW989*(1+$AP$984), 5)</f>
        <v>3465</v>
      </c>
      <c r="BY987" s="59">
        <f>MROUND(BX989*(1+$AP$984), 5)</f>
        <v>3145</v>
      </c>
      <c r="BZ987" s="36">
        <f>BY987</f>
        <v>3145</v>
      </c>
    </row>
    <row r="988" spans="1:78">
      <c r="A988" s="1" t="s">
        <v>1248</v>
      </c>
      <c r="AO988" s="291"/>
      <c r="AP988" s="293"/>
      <c r="AQ988" s="291"/>
      <c r="AR988" s="291"/>
      <c r="AS988" s="291"/>
      <c r="AT988" s="291"/>
      <c r="AU988" s="291"/>
      <c r="AV988" s="291"/>
      <c r="AW988" s="291"/>
      <c r="AX988" s="291"/>
      <c r="AY988" s="59">
        <f>MROUND(AY987*AY990*(1/AY986/4), 5)</f>
        <v>70</v>
      </c>
      <c r="AZ988" s="59">
        <f>MROUND(AZ987*AZ990*(1/AZ986/4), 5)</f>
        <v>70</v>
      </c>
      <c r="BB988" s="59">
        <f>MROUND(BB987*BB990*(1/BB986/4), 5)</f>
        <v>115</v>
      </c>
      <c r="BC988" s="59">
        <f>MROUND(BC987*BC990*(1/BC986/4), 5)</f>
        <v>120</v>
      </c>
      <c r="BD988" s="59">
        <f>MROUND(BD987*BD990*(1/BD986/4), 5)</f>
        <v>125</v>
      </c>
      <c r="BE988" s="59">
        <f>MROUND(BE987*BE990*(1/BE986/4), 5)</f>
        <v>130</v>
      </c>
      <c r="BG988" s="59">
        <f>MROUND(BG987*BG990*(1/BG986/4), 5)</f>
        <v>205</v>
      </c>
      <c r="BH988" s="59">
        <f>MROUND(BH987*BH990*(1/BH986/4), 5)</f>
        <v>210</v>
      </c>
      <c r="BI988" s="59">
        <f>MROUND(BI987*BI990*(1/BI986/4), 5)</f>
        <v>215</v>
      </c>
      <c r="BJ988" s="59">
        <f>MROUND(BJ987*BJ990*(1/BJ986/4), 5)</f>
        <v>225</v>
      </c>
      <c r="BL988" s="59">
        <f>MROUND(BL987*BL990*(1/BL986/4), 5)</f>
        <v>310</v>
      </c>
      <c r="BM988" s="59">
        <f>MROUND(BM987*BM990*(1/BM986/4), 5)</f>
        <v>315</v>
      </c>
      <c r="BN988" s="59">
        <f>MROUND(BN987*BN990*(1/BN986/4), 5)</f>
        <v>325</v>
      </c>
      <c r="BO988" s="59">
        <f>MROUND(BO987*BO990*(1/BO986/4), 5)</f>
        <v>330</v>
      </c>
      <c r="BQ988" s="59">
        <f>MROUND(BQ987*BQ990*(1/BQ986/4), 5)</f>
        <v>340</v>
      </c>
      <c r="BR988" s="59">
        <f>MROUND(BR987*BR990*(1/BR986/4), 5)</f>
        <v>345</v>
      </c>
      <c r="BS988" s="59">
        <f>MROUND(BS987*BS990*(1/BS986/4), 5)</f>
        <v>355</v>
      </c>
      <c r="BT988" s="59">
        <f>MROUND(BT987*BT990*(1/BT986/4), 5)</f>
        <v>360</v>
      </c>
      <c r="BV988" s="59">
        <f>MROUND(BV987*BV990*(1/BV986/4), 5)</f>
        <v>370</v>
      </c>
      <c r="BW988" s="59">
        <f>MROUND(BW987*BW990*(1/BW986/4), 5)</f>
        <v>375</v>
      </c>
      <c r="BX988" s="59">
        <f>MROUND(BX987*BX990*(1/BX986/4), 5)</f>
        <v>385</v>
      </c>
      <c r="BY988" s="59">
        <f>MROUND(BY987*BY990*(1/BY986/4), 5)</f>
        <v>395</v>
      </c>
    </row>
    <row r="989" spans="1:78">
      <c r="A989" s="1" t="s">
        <v>1249</v>
      </c>
      <c r="AO989" s="293">
        <f>AO980</f>
        <v>6000</v>
      </c>
      <c r="AP989" s="293">
        <f>AP980</f>
        <v>5900</v>
      </c>
      <c r="AQ989" s="293">
        <f>AP989</f>
        <v>5900</v>
      </c>
      <c r="AR989" s="293">
        <f>AR980</f>
        <v>5800</v>
      </c>
      <c r="AS989" s="293">
        <f>AS980</f>
        <v>6000</v>
      </c>
      <c r="AT989" s="293">
        <f>AT980</f>
        <v>5900</v>
      </c>
      <c r="AU989" s="293">
        <f>AU980</f>
        <v>5700</v>
      </c>
      <c r="AV989" s="293">
        <f>AU989</f>
        <v>5700</v>
      </c>
      <c r="AW989" s="293">
        <f>AW980</f>
        <v>6200</v>
      </c>
      <c r="AX989" s="293">
        <f>AX980</f>
        <v>6400</v>
      </c>
      <c r="AY989" s="293">
        <f>AY980</f>
        <v>6000</v>
      </c>
      <c r="AZ989" s="36">
        <f>AZ987-AZ988</f>
        <v>6060</v>
      </c>
      <c r="BA989" s="36">
        <f>AZ989</f>
        <v>6060</v>
      </c>
      <c r="BB989" s="36">
        <f>BB987-BB988</f>
        <v>6075</v>
      </c>
      <c r="BC989" s="36">
        <f>BC987-BC988</f>
        <v>6085</v>
      </c>
      <c r="BD989" s="36">
        <f>BD987-BD988</f>
        <v>6095</v>
      </c>
      <c r="BE989" s="36">
        <f>BE987-BE988</f>
        <v>6100</v>
      </c>
      <c r="BF989" s="36">
        <f>BE989</f>
        <v>6100</v>
      </c>
      <c r="BG989" s="36">
        <f>BG987-BG988</f>
        <v>6030</v>
      </c>
      <c r="BH989" s="36">
        <f>BH987-BH988</f>
        <v>5950</v>
      </c>
      <c r="BI989" s="36">
        <f>BI987-BI988</f>
        <v>5865</v>
      </c>
      <c r="BJ989" s="36">
        <f>BJ987-BJ988</f>
        <v>5770</v>
      </c>
      <c r="BK989" s="36">
        <f>BJ989</f>
        <v>5770</v>
      </c>
      <c r="BL989" s="36">
        <f>BL987-BL988</f>
        <v>5585</v>
      </c>
      <c r="BM989" s="36">
        <f>BM987-BM988</f>
        <v>5390</v>
      </c>
      <c r="BN989" s="36">
        <f>BN987-BN988</f>
        <v>5180</v>
      </c>
      <c r="BO989" s="36">
        <f>BO987-BO988</f>
        <v>4965</v>
      </c>
      <c r="BP989" s="36">
        <f>BO989</f>
        <v>4965</v>
      </c>
      <c r="BQ989" s="36">
        <f>BQ987-BQ988</f>
        <v>4735</v>
      </c>
      <c r="BR989" s="36">
        <f>BR987-BR988</f>
        <v>4495</v>
      </c>
      <c r="BS989" s="36">
        <f>BS987-BS988</f>
        <v>4240</v>
      </c>
      <c r="BT989" s="36">
        <f>BT987-BT988</f>
        <v>3970</v>
      </c>
      <c r="BU989" s="36">
        <f>BT989</f>
        <v>3970</v>
      </c>
      <c r="BV989" s="36">
        <f>BV987-BV988</f>
        <v>3685</v>
      </c>
      <c r="BW989" s="36">
        <f>BW987-BW988</f>
        <v>3390</v>
      </c>
      <c r="BX989" s="36">
        <f>BX987-BX988</f>
        <v>3080</v>
      </c>
      <c r="BY989" s="36">
        <f>BY987-BY988</f>
        <v>2750</v>
      </c>
      <c r="BZ989" s="36">
        <f>BY989</f>
        <v>2750</v>
      </c>
    </row>
    <row r="990" spans="1:78">
      <c r="A990" s="1" t="s">
        <v>1251</v>
      </c>
      <c r="AP990" s="615">
        <v>0.25</v>
      </c>
      <c r="AR990" s="615">
        <v>0.25</v>
      </c>
      <c r="AS990" s="615">
        <v>0.25</v>
      </c>
      <c r="AT990" s="615">
        <v>0.25</v>
      </c>
      <c r="AU990" s="615">
        <v>0.25</v>
      </c>
      <c r="AW990" s="615">
        <v>0.33</v>
      </c>
      <c r="AX990" s="615">
        <v>0.33</v>
      </c>
      <c r="AY990" s="615">
        <v>0.33</v>
      </c>
      <c r="AZ990" s="261">
        <v>0.33</v>
      </c>
      <c r="BB990" s="261">
        <v>0.5</v>
      </c>
      <c r="BC990" s="261">
        <v>0.5</v>
      </c>
      <c r="BD990" s="261">
        <v>0.5</v>
      </c>
      <c r="BE990" s="261">
        <v>0.5</v>
      </c>
      <c r="BG990" s="261">
        <v>0.75</v>
      </c>
      <c r="BH990" s="261">
        <v>0.75</v>
      </c>
      <c r="BI990" s="261">
        <v>0.75</v>
      </c>
      <c r="BJ990" s="261">
        <v>0.75</v>
      </c>
      <c r="BL990" s="261">
        <v>1</v>
      </c>
      <c r="BM990" s="261">
        <v>1</v>
      </c>
      <c r="BN990" s="261">
        <v>1</v>
      </c>
      <c r="BO990" s="261">
        <v>1</v>
      </c>
      <c r="BQ990" s="261">
        <v>1</v>
      </c>
      <c r="BR990" s="261">
        <v>1</v>
      </c>
      <c r="BS990" s="261">
        <v>1</v>
      </c>
      <c r="BT990" s="261">
        <v>1</v>
      </c>
      <c r="BV990" s="261">
        <v>1</v>
      </c>
      <c r="BW990" s="261">
        <v>1</v>
      </c>
      <c r="BX990" s="261">
        <v>1</v>
      </c>
      <c r="BY990" s="261">
        <v>1</v>
      </c>
    </row>
    <row r="991" spans="1:78">
      <c r="AH991" s="22" t="s">
        <v>669</v>
      </c>
    </row>
    <row r="992" spans="1:78">
      <c r="A992" s="1" t="s">
        <v>441</v>
      </c>
      <c r="AH992" s="210">
        <v>7200</v>
      </c>
      <c r="AI992" s="210">
        <v>7300</v>
      </c>
      <c r="AJ992" s="210">
        <v>7300</v>
      </c>
      <c r="AK992" s="210">
        <v>7300</v>
      </c>
      <c r="AL992" s="36">
        <f>AK992</f>
        <v>7300</v>
      </c>
      <c r="AM992" s="210">
        <v>7300</v>
      </c>
      <c r="AN992" s="210">
        <v>7400</v>
      </c>
      <c r="AO992" s="210">
        <v>7400</v>
      </c>
      <c r="AP992" s="210">
        <v>7400</v>
      </c>
      <c r="AQ992" s="36">
        <f>AP992</f>
        <v>7400</v>
      </c>
      <c r="AR992" s="210">
        <v>7400</v>
      </c>
      <c r="AS992" s="210">
        <v>7400</v>
      </c>
      <c r="AT992" s="210">
        <v>7500</v>
      </c>
      <c r="AU992" s="210">
        <v>7500</v>
      </c>
      <c r="AV992" s="36">
        <f>AU992</f>
        <v>7500</v>
      </c>
      <c r="AW992" s="210">
        <v>7500</v>
      </c>
      <c r="AX992" s="210">
        <v>7600</v>
      </c>
      <c r="AY992" s="210">
        <v>7500</v>
      </c>
      <c r="AZ992" s="36">
        <f t="shared" ref="AZ992" si="3294">AY992</f>
        <v>7500</v>
      </c>
      <c r="BA992" s="36">
        <f>AZ992</f>
        <v>7500</v>
      </c>
      <c r="BB992" s="36">
        <f>BA992</f>
        <v>7500</v>
      </c>
      <c r="BC992" s="36">
        <f t="shared" ref="BC992:BE992" si="3295">BB992</f>
        <v>7500</v>
      </c>
      <c r="BD992" s="36">
        <f t="shared" si="3295"/>
        <v>7500</v>
      </c>
      <c r="BE992" s="36">
        <f t="shared" si="3295"/>
        <v>7500</v>
      </c>
      <c r="BF992" s="36">
        <f>BE992</f>
        <v>7500</v>
      </c>
      <c r="BG992" s="36">
        <f>BF992</f>
        <v>7500</v>
      </c>
      <c r="BH992" s="36">
        <f t="shared" ref="BH992:BJ992" si="3296">BG992</f>
        <v>7500</v>
      </c>
      <c r="BI992" s="36">
        <f t="shared" si="3296"/>
        <v>7500</v>
      </c>
      <c r="BJ992" s="36">
        <f t="shared" si="3296"/>
        <v>7500</v>
      </c>
      <c r="BK992" s="36">
        <f>BJ992</f>
        <v>7500</v>
      </c>
      <c r="BL992" s="36">
        <f>BK992</f>
        <v>7500</v>
      </c>
      <c r="BM992" s="36">
        <f t="shared" ref="BM992:BO992" si="3297">BL992</f>
        <v>7500</v>
      </c>
      <c r="BN992" s="36">
        <f t="shared" si="3297"/>
        <v>7500</v>
      </c>
      <c r="BO992" s="36">
        <f t="shared" si="3297"/>
        <v>7500</v>
      </c>
      <c r="BP992" s="36">
        <f>BO992</f>
        <v>7500</v>
      </c>
      <c r="BQ992" s="36">
        <f>BP992</f>
        <v>7500</v>
      </c>
      <c r="BR992" s="36">
        <f t="shared" ref="BR992:BT992" si="3298">BQ992</f>
        <v>7500</v>
      </c>
      <c r="BS992" s="36">
        <f t="shared" si="3298"/>
        <v>7500</v>
      </c>
      <c r="BT992" s="36">
        <f t="shared" si="3298"/>
        <v>7500</v>
      </c>
      <c r="BU992" s="36">
        <f>BT992</f>
        <v>7500</v>
      </c>
      <c r="BV992" s="36">
        <f>BU992</f>
        <v>7500</v>
      </c>
      <c r="BW992" s="36">
        <f t="shared" ref="BW992:BY992" si="3299">BV992</f>
        <v>7500</v>
      </c>
      <c r="BX992" s="36">
        <f t="shared" si="3299"/>
        <v>7500</v>
      </c>
      <c r="BY992" s="36">
        <f t="shared" si="3299"/>
        <v>7500</v>
      </c>
      <c r="BZ992" s="36">
        <f>BY992</f>
        <v>7500</v>
      </c>
    </row>
    <row r="993" spans="1:78">
      <c r="A993" s="1" t="s">
        <v>2643</v>
      </c>
      <c r="AH993" s="37">
        <v>7100</v>
      </c>
      <c r="AI993" s="37">
        <v>6800</v>
      </c>
      <c r="AJ993" s="37">
        <v>6400</v>
      </c>
      <c r="AK993" s="37">
        <v>5700</v>
      </c>
      <c r="AL993" s="36">
        <f>AK993</f>
        <v>5700</v>
      </c>
      <c r="AM993" s="37">
        <v>6000</v>
      </c>
      <c r="AN993" s="37">
        <v>5900</v>
      </c>
      <c r="AO993" s="37">
        <v>6300</v>
      </c>
      <c r="AP993" s="37">
        <v>6300</v>
      </c>
      <c r="AQ993" s="36">
        <f>AP993</f>
        <v>6300</v>
      </c>
      <c r="AR993" s="37">
        <v>6200</v>
      </c>
      <c r="AS993" s="37">
        <v>6400</v>
      </c>
      <c r="AT993" s="37">
        <v>6400</v>
      </c>
      <c r="AU993" s="37">
        <v>6400</v>
      </c>
      <c r="AV993" s="36">
        <f>AU993</f>
        <v>6400</v>
      </c>
      <c r="AW993" s="37">
        <v>6900</v>
      </c>
      <c r="AX993" s="37">
        <v>7100</v>
      </c>
      <c r="AY993" s="37">
        <v>6900</v>
      </c>
      <c r="AZ993" s="36">
        <f t="shared" ref="AZ993" si="3300">AY993+(AZ987-AY989)</f>
        <v>7030</v>
      </c>
      <c r="BA993" s="36">
        <f>AZ993</f>
        <v>7030</v>
      </c>
      <c r="BB993" s="36">
        <f>BA993+(BB987-BA989)</f>
        <v>7160</v>
      </c>
      <c r="BC993" s="36">
        <f t="shared" ref="BC993:BE993" si="3301">BB993+(BC987-BB989)</f>
        <v>7290</v>
      </c>
      <c r="BD993" s="36">
        <f t="shared" si="3301"/>
        <v>7425</v>
      </c>
      <c r="BE993" s="36">
        <f t="shared" si="3301"/>
        <v>7560</v>
      </c>
      <c r="BF993" s="36">
        <f>BE993</f>
        <v>7560</v>
      </c>
      <c r="BG993" s="36">
        <f>BF993+(BG987-BF989)</f>
        <v>7695</v>
      </c>
      <c r="BH993" s="36">
        <f t="shared" ref="BH993:BJ993" si="3302">BG993+(BH987-BG989)</f>
        <v>7825</v>
      </c>
      <c r="BI993" s="36">
        <f t="shared" si="3302"/>
        <v>7955</v>
      </c>
      <c r="BJ993" s="36">
        <f t="shared" si="3302"/>
        <v>8085</v>
      </c>
      <c r="BK993" s="36">
        <f>BJ993</f>
        <v>8085</v>
      </c>
      <c r="BL993" s="36">
        <f>BK993+(BL987-BK989)</f>
        <v>8210</v>
      </c>
      <c r="BM993" s="36">
        <f t="shared" ref="BM993:BO993" si="3303">BL993+(BM987-BL989)</f>
        <v>8330</v>
      </c>
      <c r="BN993" s="36">
        <f t="shared" si="3303"/>
        <v>8445</v>
      </c>
      <c r="BO993" s="36">
        <f t="shared" si="3303"/>
        <v>8560</v>
      </c>
      <c r="BP993" s="36">
        <f>BO993</f>
        <v>8560</v>
      </c>
      <c r="BQ993" s="36">
        <f>BP993+(BQ987-BP989)</f>
        <v>8670</v>
      </c>
      <c r="BR993" s="36">
        <f t="shared" ref="BR993:BT993" si="3304">BQ993+(BR987-BQ989)</f>
        <v>8775</v>
      </c>
      <c r="BS993" s="36">
        <f t="shared" si="3304"/>
        <v>8875</v>
      </c>
      <c r="BT993" s="36">
        <f t="shared" si="3304"/>
        <v>8965</v>
      </c>
      <c r="BU993" s="36">
        <f>BT993</f>
        <v>8965</v>
      </c>
      <c r="BV993" s="36">
        <f>BU993+(BV987-BU989)</f>
        <v>9050</v>
      </c>
      <c r="BW993" s="36">
        <f t="shared" ref="BW993:BY993" si="3305">BV993+(BW987-BV989)</f>
        <v>9130</v>
      </c>
      <c r="BX993" s="36">
        <f t="shared" si="3305"/>
        <v>9205</v>
      </c>
      <c r="BY993" s="36">
        <f t="shared" si="3305"/>
        <v>9270</v>
      </c>
      <c r="BZ993" s="36">
        <f>BY993</f>
        <v>9270</v>
      </c>
    </row>
    <row r="994" spans="1:78">
      <c r="A994" s="1" t="s">
        <v>444</v>
      </c>
      <c r="AH994" s="38">
        <f>AH993-AH992</f>
        <v>-100</v>
      </c>
      <c r="AI994" s="38">
        <f>AI993-AI992</f>
        <v>-500</v>
      </c>
      <c r="AJ994" s="38">
        <f>AJ993-AJ992</f>
        <v>-900</v>
      </c>
      <c r="AK994" s="38">
        <f>AK993-AK992</f>
        <v>-1600</v>
      </c>
      <c r="AL994" s="36">
        <f t="shared" ref="AL994" si="3306">AL993-AL992</f>
        <v>-1600</v>
      </c>
      <c r="AM994" s="38">
        <f>AM993-AM992</f>
        <v>-1300</v>
      </c>
      <c r="AN994" s="38">
        <f>AN993-AN992</f>
        <v>-1500</v>
      </c>
      <c r="AO994" s="38">
        <f>AO993-AO992</f>
        <v>-1100</v>
      </c>
      <c r="AP994" s="38">
        <f>AP993-AP992</f>
        <v>-1100</v>
      </c>
      <c r="AQ994" s="36">
        <f t="shared" ref="AQ994" si="3307">AQ993-AQ992</f>
        <v>-1100</v>
      </c>
      <c r="AR994" s="38">
        <f>AR993-AR992</f>
        <v>-1200</v>
      </c>
      <c r="AS994" s="38">
        <f t="shared" ref="AS994:AV994" si="3308">AS993-AS992</f>
        <v>-1000</v>
      </c>
      <c r="AT994" s="38">
        <f>AT993-AT992</f>
        <v>-1100</v>
      </c>
      <c r="AU994" s="38">
        <f t="shared" si="3308"/>
        <v>-1100</v>
      </c>
      <c r="AV994" s="36">
        <f t="shared" si="3308"/>
        <v>-1100</v>
      </c>
      <c r="AW994" s="38">
        <f>AW993-AW992</f>
        <v>-600</v>
      </c>
      <c r="AX994" s="38">
        <f t="shared" ref="AX994" si="3309">AX993-AX992</f>
        <v>-500</v>
      </c>
      <c r="AY994" s="38">
        <f t="shared" ref="AY994" si="3310">AY993-AY992</f>
        <v>-600</v>
      </c>
      <c r="AZ994" s="38">
        <f t="shared" ref="AZ994" si="3311">AZ993-AZ992</f>
        <v>-470</v>
      </c>
      <c r="BA994" s="36">
        <f t="shared" ref="BA994" si="3312">BA993-BA992</f>
        <v>-470</v>
      </c>
      <c r="BB994" s="38">
        <f>BB993-BB992</f>
        <v>-340</v>
      </c>
      <c r="BC994" s="38">
        <f t="shared" ref="BC994" si="3313">BC993-BC992</f>
        <v>-210</v>
      </c>
      <c r="BD994" s="38">
        <f t="shared" ref="BD994" si="3314">BD993-BD992</f>
        <v>-75</v>
      </c>
      <c r="BE994" s="38">
        <f t="shared" ref="BE994" si="3315">BE993-BE992</f>
        <v>60</v>
      </c>
      <c r="BF994" s="36">
        <f t="shared" ref="BF994" si="3316">BF993-BF992</f>
        <v>60</v>
      </c>
      <c r="BG994" s="38">
        <f>BG993-BG992</f>
        <v>195</v>
      </c>
      <c r="BH994" s="38">
        <f t="shared" ref="BH994" si="3317">BH993-BH992</f>
        <v>325</v>
      </c>
      <c r="BI994" s="38">
        <f t="shared" ref="BI994" si="3318">BI993-BI992</f>
        <v>455</v>
      </c>
      <c r="BJ994" s="38">
        <f t="shared" ref="BJ994" si="3319">BJ993-BJ992</f>
        <v>585</v>
      </c>
      <c r="BK994" s="36">
        <f t="shared" ref="BK994" si="3320">BK993-BK992</f>
        <v>585</v>
      </c>
      <c r="BL994" s="38">
        <f>BL993-BL992</f>
        <v>710</v>
      </c>
      <c r="BM994" s="38">
        <f t="shared" ref="BM994" si="3321">BM993-BM992</f>
        <v>830</v>
      </c>
      <c r="BN994" s="38">
        <f t="shared" ref="BN994" si="3322">BN993-BN992</f>
        <v>945</v>
      </c>
      <c r="BO994" s="38">
        <f t="shared" ref="BO994" si="3323">BO993-BO992</f>
        <v>1060</v>
      </c>
      <c r="BP994" s="36">
        <f t="shared" ref="BP994" si="3324">BP993-BP992</f>
        <v>1060</v>
      </c>
      <c r="BQ994" s="38">
        <f>BQ993-BQ992</f>
        <v>1170</v>
      </c>
      <c r="BR994" s="38">
        <f t="shared" ref="BR994" si="3325">BR993-BR992</f>
        <v>1275</v>
      </c>
      <c r="BS994" s="38">
        <f t="shared" ref="BS994" si="3326">BS993-BS992</f>
        <v>1375</v>
      </c>
      <c r="BT994" s="38">
        <f t="shared" ref="BT994" si="3327">BT993-BT992</f>
        <v>1465</v>
      </c>
      <c r="BU994" s="36">
        <f t="shared" ref="BU994" si="3328">BU993-BU992</f>
        <v>1465</v>
      </c>
      <c r="BV994" s="38">
        <f>BV993-BV992</f>
        <v>1550</v>
      </c>
      <c r="BW994" s="38">
        <f t="shared" ref="BW994" si="3329">BW993-BW992</f>
        <v>1630</v>
      </c>
      <c r="BX994" s="38">
        <f t="shared" ref="BX994" si="3330">BX993-BX992</f>
        <v>1705</v>
      </c>
      <c r="BY994" s="38">
        <f t="shared" ref="BY994" si="3331">BY993-BY992</f>
        <v>1770</v>
      </c>
      <c r="BZ994" s="36">
        <f t="shared" ref="BZ994" si="3332">BZ993-BZ992</f>
        <v>1770</v>
      </c>
    </row>
    <row r="995" spans="1:78">
      <c r="A995" s="1" t="s">
        <v>560</v>
      </c>
      <c r="AH995" s="167">
        <f>AH993/AH992</f>
        <v>0.98611111111111116</v>
      </c>
      <c r="AI995" s="167">
        <f>AI993/AI992</f>
        <v>0.93150684931506844</v>
      </c>
      <c r="AJ995" s="167">
        <f>AJ993/AJ992</f>
        <v>0.87671232876712324</v>
      </c>
      <c r="AK995" s="167">
        <f>AK993/AK992</f>
        <v>0.78082191780821919</v>
      </c>
      <c r="AL995" s="167">
        <f t="shared" ref="AL995" si="3333">AL993/AL992</f>
        <v>0.78082191780821919</v>
      </c>
      <c r="AM995" s="167">
        <f>AM993/AM992</f>
        <v>0.82191780821917804</v>
      </c>
      <c r="AN995" s="167">
        <f>AN993/AN992</f>
        <v>0.79729729729729726</v>
      </c>
      <c r="AO995" s="167">
        <f>AO993/AO992</f>
        <v>0.85135135135135132</v>
      </c>
      <c r="AP995" s="167">
        <f>AP993/AP992</f>
        <v>0.85135135135135132</v>
      </c>
      <c r="AQ995" s="167">
        <f t="shared" ref="AQ995" si="3334">AQ993/AQ992</f>
        <v>0.85135135135135132</v>
      </c>
      <c r="AR995" s="167">
        <f>AR993/AR992</f>
        <v>0.83783783783783783</v>
      </c>
      <c r="AS995" s="167">
        <f t="shared" ref="AS995:AV995" si="3335">AS993/AS992</f>
        <v>0.86486486486486491</v>
      </c>
      <c r="AT995" s="167">
        <f>AT993/AT992</f>
        <v>0.85333333333333339</v>
      </c>
      <c r="AU995" s="167">
        <f t="shared" si="3335"/>
        <v>0.85333333333333339</v>
      </c>
      <c r="AV995" s="167">
        <f t="shared" si="3335"/>
        <v>0.85333333333333339</v>
      </c>
      <c r="AW995" s="167">
        <f>AW993/AW992</f>
        <v>0.92</v>
      </c>
      <c r="AX995" s="167">
        <f t="shared" ref="AX995" si="3336">AX993/AX992</f>
        <v>0.93421052631578949</v>
      </c>
      <c r="AY995" s="167">
        <f t="shared" ref="AY995:BA995" si="3337">AY993/AY992</f>
        <v>0.92</v>
      </c>
      <c r="AZ995" s="167">
        <f t="shared" si="3337"/>
        <v>0.93733333333333335</v>
      </c>
      <c r="BA995" s="167">
        <f t="shared" si="3337"/>
        <v>0.93733333333333335</v>
      </c>
      <c r="BB995" s="167">
        <f>BB993/BB992</f>
        <v>0.95466666666666666</v>
      </c>
      <c r="BC995" s="167">
        <f t="shared" ref="BC995:BF995" si="3338">BC993/BC992</f>
        <v>0.97199999999999998</v>
      </c>
      <c r="BD995" s="167">
        <f t="shared" si="3338"/>
        <v>0.99</v>
      </c>
      <c r="BE995" s="167">
        <f t="shared" si="3338"/>
        <v>1.008</v>
      </c>
      <c r="BF995" s="167">
        <f t="shared" si="3338"/>
        <v>1.008</v>
      </c>
      <c r="BG995" s="167">
        <f>BG993/BG992</f>
        <v>1.026</v>
      </c>
      <c r="BH995" s="167">
        <f t="shared" ref="BH995:BK995" si="3339">BH993/BH992</f>
        <v>1.0433333333333332</v>
      </c>
      <c r="BI995" s="167">
        <f t="shared" si="3339"/>
        <v>1.0606666666666666</v>
      </c>
      <c r="BJ995" s="167">
        <f t="shared" si="3339"/>
        <v>1.0780000000000001</v>
      </c>
      <c r="BK995" s="167">
        <f t="shared" si="3339"/>
        <v>1.0780000000000001</v>
      </c>
      <c r="BL995" s="167">
        <f>BL993/BL992</f>
        <v>1.0946666666666667</v>
      </c>
      <c r="BM995" s="167">
        <f t="shared" ref="BM995:BP995" si="3340">BM993/BM992</f>
        <v>1.1106666666666667</v>
      </c>
      <c r="BN995" s="167">
        <f t="shared" si="3340"/>
        <v>1.1259999999999999</v>
      </c>
      <c r="BO995" s="167">
        <f t="shared" si="3340"/>
        <v>1.1413333333333333</v>
      </c>
      <c r="BP995" s="167">
        <f t="shared" si="3340"/>
        <v>1.1413333333333333</v>
      </c>
      <c r="BQ995" s="167">
        <f>BQ993/BQ992</f>
        <v>1.1559999999999999</v>
      </c>
      <c r="BR995" s="167">
        <f t="shared" ref="BR995:BU995" si="3341">BR993/BR992</f>
        <v>1.17</v>
      </c>
      <c r="BS995" s="167">
        <f t="shared" si="3341"/>
        <v>1.1833333333333333</v>
      </c>
      <c r="BT995" s="167">
        <f t="shared" si="3341"/>
        <v>1.1953333333333334</v>
      </c>
      <c r="BU995" s="167">
        <f t="shared" si="3341"/>
        <v>1.1953333333333334</v>
      </c>
      <c r="BV995" s="167">
        <f>BV993/BV992</f>
        <v>1.2066666666666668</v>
      </c>
      <c r="BW995" s="167">
        <f t="shared" ref="BW995:BZ995" si="3342">BW993/BW992</f>
        <v>1.2173333333333334</v>
      </c>
      <c r="BX995" s="167">
        <f t="shared" si="3342"/>
        <v>1.2273333333333334</v>
      </c>
      <c r="BY995" s="167">
        <f t="shared" si="3342"/>
        <v>1.236</v>
      </c>
      <c r="BZ995" s="167">
        <f t="shared" si="3342"/>
        <v>1.236</v>
      </c>
    </row>
    <row r="997" spans="1:78">
      <c r="A997" s="64" t="s">
        <v>443</v>
      </c>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c r="AB997" s="64"/>
      <c r="AC997" s="64"/>
      <c r="AD997" s="64"/>
      <c r="AE997" s="64"/>
      <c r="AF997" s="64"/>
      <c r="AG997" s="64"/>
      <c r="AH997" s="64"/>
    </row>
    <row r="998" spans="1:78">
      <c r="A998" s="9" t="s">
        <v>300</v>
      </c>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39"/>
      <c r="AD998" s="39"/>
      <c r="AE998" s="39"/>
      <c r="AF998" s="39"/>
      <c r="AG998" s="39"/>
      <c r="AH998" s="39"/>
      <c r="AI998" s="39"/>
      <c r="AJ998" s="39"/>
      <c r="AK998" s="39"/>
      <c r="AL998" s="39"/>
      <c r="AM998" s="39"/>
      <c r="AN998" s="39"/>
      <c r="AO998" s="39"/>
      <c r="AP998" s="9"/>
      <c r="AQ998" s="9"/>
      <c r="AR998" s="39"/>
      <c r="AS998" s="9"/>
      <c r="AT998" s="9"/>
      <c r="AU998" s="9"/>
      <c r="AV998" s="9"/>
      <c r="AW998" s="9"/>
      <c r="AX998" s="9"/>
      <c r="AY998" s="9"/>
      <c r="AZ998" s="9"/>
      <c r="BA998" s="9"/>
      <c r="BB998" s="9"/>
      <c r="BC998" s="9"/>
      <c r="BD998" s="9"/>
      <c r="BE998" s="9"/>
      <c r="BF998" s="9"/>
      <c r="BG998" s="9"/>
      <c r="BH998" s="9"/>
      <c r="BI998" s="9"/>
      <c r="BJ998" s="9"/>
      <c r="BK998" s="9"/>
      <c r="BL998" s="9"/>
      <c r="BM998" s="9"/>
      <c r="BN998" s="9"/>
      <c r="BO998" s="9"/>
      <c r="BP998" s="9"/>
      <c r="BQ998" s="9"/>
      <c r="BR998" s="9"/>
      <c r="BS998" s="9"/>
      <c r="BT998" s="9"/>
      <c r="BU998" s="9"/>
      <c r="BV998" s="9"/>
      <c r="BW998" s="9"/>
      <c r="BX998" s="9"/>
      <c r="BY998" s="9"/>
      <c r="BZ998" s="9"/>
    </row>
    <row r="999" spans="1:78">
      <c r="A999" s="1" t="s">
        <v>559</v>
      </c>
      <c r="AC999" s="36"/>
      <c r="AD999" s="36"/>
      <c r="AE999" s="36"/>
      <c r="AF999" s="36"/>
      <c r="AG999" s="36"/>
      <c r="AH999" s="210">
        <v>100</v>
      </c>
      <c r="AI999" s="210">
        <v>100</v>
      </c>
      <c r="AJ999" s="210">
        <v>100</v>
      </c>
      <c r="AK999" s="210">
        <v>100</v>
      </c>
      <c r="AL999" s="36">
        <f>AK999</f>
        <v>100</v>
      </c>
      <c r="AM999" s="210">
        <v>100</v>
      </c>
      <c r="AN999" s="210">
        <v>100</v>
      </c>
      <c r="AO999" s="210">
        <v>300</v>
      </c>
      <c r="AP999" s="210">
        <v>400</v>
      </c>
      <c r="AQ999" s="36">
        <f>AP999</f>
        <v>400</v>
      </c>
      <c r="AR999" s="37">
        <v>400</v>
      </c>
      <c r="AS999" s="37">
        <v>400</v>
      </c>
      <c r="AT999" s="37">
        <v>500</v>
      </c>
      <c r="AU999" s="37">
        <v>700</v>
      </c>
      <c r="AV999" s="36">
        <f>AU999</f>
        <v>700</v>
      </c>
      <c r="AW999" s="37">
        <v>700</v>
      </c>
      <c r="AX999" s="37">
        <v>700</v>
      </c>
      <c r="AY999" s="37">
        <v>900</v>
      </c>
      <c r="AZ999" s="36">
        <f>AY999+AZ1004</f>
        <v>970</v>
      </c>
      <c r="BA999" s="36">
        <f>AZ999</f>
        <v>970</v>
      </c>
      <c r="BB999" s="36">
        <f>BA999+BB1004</f>
        <v>1085</v>
      </c>
      <c r="BC999" s="36">
        <f>BB999+BC1004</f>
        <v>1205</v>
      </c>
      <c r="BD999" s="36">
        <f>BC999+BD1004</f>
        <v>1330</v>
      </c>
      <c r="BE999" s="36">
        <f>BD999+BE1004</f>
        <v>1460</v>
      </c>
      <c r="BF999" s="36">
        <f>BE999</f>
        <v>1460</v>
      </c>
      <c r="BG999" s="36">
        <f>BF999+BG1004</f>
        <v>1665</v>
      </c>
      <c r="BH999" s="36">
        <f>BG999+BH1004</f>
        <v>1875</v>
      </c>
      <c r="BI999" s="36">
        <f>BH999+BI1004</f>
        <v>2090</v>
      </c>
      <c r="BJ999" s="36">
        <f>BI999+BJ1004</f>
        <v>2315</v>
      </c>
      <c r="BK999" s="36">
        <f>BJ999</f>
        <v>2315</v>
      </c>
      <c r="BL999" s="36">
        <f>BK999+BL1004</f>
        <v>2625</v>
      </c>
      <c r="BM999" s="36">
        <f>BL999+BM1004</f>
        <v>2940</v>
      </c>
      <c r="BN999" s="36">
        <f>BM999+BN1004</f>
        <v>3265</v>
      </c>
      <c r="BO999" s="36">
        <f>BN999+BO1004</f>
        <v>3595</v>
      </c>
      <c r="BP999" s="36">
        <f>BO999</f>
        <v>3595</v>
      </c>
      <c r="BQ999" s="36">
        <f>BP999+BQ1004</f>
        <v>3935</v>
      </c>
      <c r="BR999" s="36">
        <f>BQ999+BR1004</f>
        <v>4280</v>
      </c>
      <c r="BS999" s="36">
        <f>BR999+BS1004</f>
        <v>4635</v>
      </c>
      <c r="BT999" s="36">
        <f>BS999+BT1004</f>
        <v>4995</v>
      </c>
      <c r="BU999" s="36">
        <f>BT999</f>
        <v>4995</v>
      </c>
      <c r="BV999" s="36">
        <f>BU999+BV1004</f>
        <v>5365</v>
      </c>
      <c r="BW999" s="36">
        <f>BV999+BW1004</f>
        <v>5740</v>
      </c>
      <c r="BX999" s="36">
        <f>BW999+BX1004</f>
        <v>6125</v>
      </c>
      <c r="BY999" s="36">
        <f>BX999+BY1004</f>
        <v>6520</v>
      </c>
      <c r="BZ999" s="36">
        <f>BY999</f>
        <v>6520</v>
      </c>
    </row>
    <row r="1000" spans="1:78">
      <c r="A1000" s="1" t="s">
        <v>444</v>
      </c>
      <c r="AC1000" s="36"/>
      <c r="AD1000" s="36"/>
      <c r="AE1000" s="36"/>
      <c r="AF1000" s="36"/>
      <c r="AG1000" s="36"/>
      <c r="AH1000" s="36"/>
      <c r="AI1000" s="36"/>
    </row>
    <row r="1001" spans="1:78">
      <c r="A1001" s="1" t="s">
        <v>561</v>
      </c>
      <c r="AC1001" s="167"/>
      <c r="AD1001" s="167"/>
      <c r="AE1001" s="167"/>
      <c r="AF1001" s="167"/>
      <c r="AG1001" s="167"/>
      <c r="AH1001" s="167"/>
      <c r="AI1001" s="167"/>
    </row>
    <row r="1003" spans="1:78">
      <c r="A1003" s="1" t="s">
        <v>1094</v>
      </c>
      <c r="AP1003" s="283"/>
      <c r="AQ1003" s="26"/>
      <c r="AR1003" s="26"/>
      <c r="AS1003" s="26"/>
      <c r="AT1003" s="26"/>
      <c r="AU1003" s="26"/>
      <c r="AV1003" s="26"/>
      <c r="AW1003" s="26"/>
      <c r="AX1003" s="26"/>
      <c r="AY1003" s="283">
        <f>MROUND(AY1004/AY995, 5)</f>
        <v>75</v>
      </c>
      <c r="AZ1003" s="283">
        <f>MROUND(AZ1004/AZ995, 5)</f>
        <v>75</v>
      </c>
      <c r="BA1003" s="26"/>
      <c r="BB1003" s="283">
        <f>MROUND(BB1004/BB995, 5)</f>
        <v>120</v>
      </c>
      <c r="BC1003" s="283">
        <f>MROUND(BC1004/BC995, 5)</f>
        <v>125</v>
      </c>
      <c r="BD1003" s="283">
        <f>MROUND(BD1004/BD995, 5)</f>
        <v>125</v>
      </c>
      <c r="BE1003" s="283">
        <f>MROUND(BE1004/BE995, 5)</f>
        <v>130</v>
      </c>
      <c r="BF1003" s="26"/>
      <c r="BG1003" s="283">
        <f>MROUND(BG1004/BG995, 5)</f>
        <v>200</v>
      </c>
      <c r="BH1003" s="283">
        <f>MROUND(BH1004/BH995, 5)</f>
        <v>200</v>
      </c>
      <c r="BI1003" s="283">
        <f>MROUND(BI1004/BI995, 5)</f>
        <v>205</v>
      </c>
      <c r="BJ1003" s="283">
        <f>MROUND(BJ1004/BJ995, 5)</f>
        <v>210</v>
      </c>
      <c r="BK1003" s="26"/>
      <c r="BL1003" s="283">
        <f>MROUND(BL1004/BL995, 5)</f>
        <v>285</v>
      </c>
      <c r="BM1003" s="283">
        <f>MROUND(BM1004/BM995, 5)</f>
        <v>285</v>
      </c>
      <c r="BN1003" s="283">
        <f>MROUND(BN1004/BN995, 5)</f>
        <v>290</v>
      </c>
      <c r="BO1003" s="283">
        <f>MROUND(BO1004/BO995, 5)</f>
        <v>290</v>
      </c>
      <c r="BP1003" s="26"/>
      <c r="BQ1003" s="283">
        <f>MROUND(BQ1004/BQ995, 5)</f>
        <v>295</v>
      </c>
      <c r="BR1003" s="283">
        <f>MROUND(BR1004/BR995, 5)</f>
        <v>295</v>
      </c>
      <c r="BS1003" s="283">
        <f>MROUND(BS1004/BS995, 5)</f>
        <v>300</v>
      </c>
      <c r="BT1003" s="283">
        <f>MROUND(BT1004/BT995, 5)</f>
        <v>300</v>
      </c>
      <c r="BU1003" s="26"/>
      <c r="BV1003" s="283">
        <f>MROUND(BV1004/BV995, 5)</f>
        <v>305</v>
      </c>
      <c r="BW1003" s="283">
        <f>MROUND(BW1004/BW995, 5)</f>
        <v>310</v>
      </c>
      <c r="BX1003" s="283">
        <f>MROUND(BX1004/BX995, 5)</f>
        <v>315</v>
      </c>
      <c r="BY1003" s="283">
        <f>MROUND(BY1004/BY995, 5)</f>
        <v>320</v>
      </c>
      <c r="BZ1003" s="26"/>
    </row>
    <row r="1004" spans="1:78">
      <c r="A1004" s="1" t="s">
        <v>1096</v>
      </c>
      <c r="AP1004" s="283"/>
      <c r="AQ1004" s="26"/>
      <c r="AR1004" s="26"/>
      <c r="AS1004" s="26"/>
      <c r="AT1004" s="26"/>
      <c r="AU1004" s="26"/>
      <c r="AV1004" s="26"/>
      <c r="AW1004" s="26"/>
      <c r="AX1004" s="26"/>
      <c r="AY1004" s="61">
        <f>AY988</f>
        <v>70</v>
      </c>
      <c r="AZ1004" s="61">
        <f>AZ988</f>
        <v>70</v>
      </c>
      <c r="BA1004" s="26"/>
      <c r="BB1004" s="61">
        <f>BB988</f>
        <v>115</v>
      </c>
      <c r="BC1004" s="61">
        <f>BC988</f>
        <v>120</v>
      </c>
      <c r="BD1004" s="61">
        <f>BD988</f>
        <v>125</v>
      </c>
      <c r="BE1004" s="61">
        <f>BE988</f>
        <v>130</v>
      </c>
      <c r="BF1004" s="26"/>
      <c r="BG1004" s="61">
        <f>BG988</f>
        <v>205</v>
      </c>
      <c r="BH1004" s="61">
        <f>BH988</f>
        <v>210</v>
      </c>
      <c r="BI1004" s="61">
        <f>BI988</f>
        <v>215</v>
      </c>
      <c r="BJ1004" s="61">
        <f>BJ988</f>
        <v>225</v>
      </c>
      <c r="BK1004" s="26"/>
      <c r="BL1004" s="61">
        <f>BL988</f>
        <v>310</v>
      </c>
      <c r="BM1004" s="61">
        <f>BM988</f>
        <v>315</v>
      </c>
      <c r="BN1004" s="61">
        <f>BN988</f>
        <v>325</v>
      </c>
      <c r="BO1004" s="61">
        <f>BO988</f>
        <v>330</v>
      </c>
      <c r="BP1004" s="26"/>
      <c r="BQ1004" s="61">
        <f>BQ988</f>
        <v>340</v>
      </c>
      <c r="BR1004" s="61">
        <f>BR988</f>
        <v>345</v>
      </c>
      <c r="BS1004" s="61">
        <f>BS988</f>
        <v>355</v>
      </c>
      <c r="BT1004" s="61">
        <f>BT988</f>
        <v>360</v>
      </c>
      <c r="BU1004" s="26"/>
      <c r="BV1004" s="61">
        <f>BV988</f>
        <v>370</v>
      </c>
      <c r="BW1004" s="61">
        <f>BW988</f>
        <v>375</v>
      </c>
      <c r="BX1004" s="61">
        <f>BX988</f>
        <v>385</v>
      </c>
      <c r="BY1004" s="61">
        <f>BY988</f>
        <v>395</v>
      </c>
      <c r="BZ1004" s="26"/>
    </row>
    <row r="1005" spans="1:78">
      <c r="A1005" s="1" t="s">
        <v>1095</v>
      </c>
      <c r="AP1005" s="339"/>
      <c r="AY1005" s="339">
        <f t="shared" ref="AY1005" si="3343">AY1004/AY1003</f>
        <v>0.93333333333333335</v>
      </c>
      <c r="AZ1005" s="339">
        <f t="shared" ref="AZ1005" si="3344">AZ1004/AZ1003</f>
        <v>0.93333333333333335</v>
      </c>
      <c r="BB1005" s="339">
        <f t="shared" ref="BB1005" si="3345">BB1004/BB1003</f>
        <v>0.95833333333333337</v>
      </c>
      <c r="BC1005" s="339">
        <f t="shared" ref="BC1005" si="3346">BC1004/BC1003</f>
        <v>0.96</v>
      </c>
      <c r="BD1005" s="339">
        <f t="shared" ref="BD1005" si="3347">BD1004/BD1003</f>
        <v>1</v>
      </c>
      <c r="BE1005" s="339">
        <f t="shared" ref="BE1005" si="3348">BE1004/BE1003</f>
        <v>1</v>
      </c>
      <c r="BG1005" s="339">
        <f t="shared" ref="BG1005" si="3349">BG1004/BG1003</f>
        <v>1.0249999999999999</v>
      </c>
      <c r="BH1005" s="339">
        <f t="shared" ref="BH1005" si="3350">BH1004/BH1003</f>
        <v>1.05</v>
      </c>
      <c r="BI1005" s="339">
        <f t="shared" ref="BI1005" si="3351">BI1004/BI1003</f>
        <v>1.0487804878048781</v>
      </c>
      <c r="BJ1005" s="339">
        <f t="shared" ref="BJ1005" si="3352">BJ1004/BJ1003</f>
        <v>1.0714285714285714</v>
      </c>
      <c r="BL1005" s="339">
        <f t="shared" ref="BL1005" si="3353">BL1004/BL1003</f>
        <v>1.0877192982456141</v>
      </c>
      <c r="BM1005" s="339">
        <f t="shared" ref="BM1005" si="3354">BM1004/BM1003</f>
        <v>1.1052631578947369</v>
      </c>
      <c r="BN1005" s="339">
        <f t="shared" ref="BN1005" si="3355">BN1004/BN1003</f>
        <v>1.1206896551724137</v>
      </c>
      <c r="BO1005" s="339">
        <f t="shared" ref="BO1005" si="3356">BO1004/BO1003</f>
        <v>1.1379310344827587</v>
      </c>
      <c r="BQ1005" s="339">
        <f t="shared" ref="BQ1005" si="3357">BQ1004/BQ1003</f>
        <v>1.152542372881356</v>
      </c>
      <c r="BR1005" s="339">
        <f t="shared" ref="BR1005" si="3358">BR1004/BR1003</f>
        <v>1.1694915254237288</v>
      </c>
      <c r="BS1005" s="339">
        <f t="shared" ref="BS1005" si="3359">BS1004/BS1003</f>
        <v>1.1833333333333333</v>
      </c>
      <c r="BT1005" s="339">
        <f t="shared" ref="BT1005" si="3360">BT1004/BT1003</f>
        <v>1.2</v>
      </c>
      <c r="BV1005" s="339">
        <f t="shared" ref="BV1005" si="3361">BV1004/BV1003</f>
        <v>1.2131147540983607</v>
      </c>
      <c r="BW1005" s="339">
        <f t="shared" ref="BW1005" si="3362">BW1004/BW1003</f>
        <v>1.2096774193548387</v>
      </c>
      <c r="BX1005" s="339">
        <f t="shared" ref="BX1005" si="3363">BX1004/BX1003</f>
        <v>1.2222222222222223</v>
      </c>
      <c r="BY1005" s="339">
        <f t="shared" ref="BY1005" si="3364">BY1004/BY1003</f>
        <v>1.234375</v>
      </c>
    </row>
    <row r="1007" spans="1:78">
      <c r="A1007" s="1" t="s">
        <v>637</v>
      </c>
      <c r="AF1007" s="37">
        <v>9179</v>
      </c>
      <c r="AG1007" s="36">
        <f>AF1007</f>
        <v>9179</v>
      </c>
      <c r="AH1007" s="37">
        <v>10251</v>
      </c>
      <c r="AI1007" s="37">
        <v>0</v>
      </c>
      <c r="AJ1007" s="37">
        <v>0</v>
      </c>
      <c r="AK1007" s="37">
        <v>0</v>
      </c>
      <c r="AL1007" s="36">
        <f>AK1007</f>
        <v>0</v>
      </c>
      <c r="AM1007" s="37">
        <v>0</v>
      </c>
    </row>
    <row r="1008" spans="1:78">
      <c r="A1008" s="1" t="s">
        <v>638</v>
      </c>
      <c r="AF1008" s="38">
        <f t="shared" ref="AF1008:AM1008" si="3365">AF1007/AF$237</f>
        <v>74.997957349456655</v>
      </c>
      <c r="AG1008" s="38">
        <f t="shared" si="3365"/>
        <v>74.997957349456655</v>
      </c>
      <c r="AH1008" s="38">
        <f t="shared" si="3365"/>
        <v>75</v>
      </c>
      <c r="AI1008" s="38">
        <f t="shared" si="3365"/>
        <v>0</v>
      </c>
      <c r="AJ1008" s="38">
        <f t="shared" si="3365"/>
        <v>0</v>
      </c>
      <c r="AK1008" s="38">
        <f t="shared" si="3365"/>
        <v>0</v>
      </c>
      <c r="AL1008" s="38">
        <f t="shared" si="3365"/>
        <v>0</v>
      </c>
      <c r="AM1008" s="38">
        <f t="shared" si="3365"/>
        <v>0</v>
      </c>
    </row>
    <row r="1010" spans="1:78">
      <c r="A1010" s="1" t="s">
        <v>400</v>
      </c>
      <c r="AH1010" s="80">
        <f t="shared" ref="AH1010:AM1010" si="3366">AH29-AH756-AH928</f>
        <v>-111.69864801858239</v>
      </c>
      <c r="AI1010" s="80">
        <f t="shared" si="3366"/>
        <v>0</v>
      </c>
      <c r="AJ1010" s="80">
        <f t="shared" si="3366"/>
        <v>0</v>
      </c>
      <c r="AK1010" s="80">
        <f t="shared" si="3366"/>
        <v>0</v>
      </c>
      <c r="AL1010" s="80">
        <f t="shared" si="3366"/>
        <v>0</v>
      </c>
      <c r="AM1010" s="80">
        <f t="shared" si="3366"/>
        <v>0</v>
      </c>
    </row>
    <row r="1011" spans="1:78">
      <c r="A1011" s="1" t="s">
        <v>401</v>
      </c>
      <c r="AH1011" s="80">
        <f>AH1010/AH$102</f>
        <v>-0.86561258538889019</v>
      </c>
      <c r="AI1011" s="80">
        <f>AI1010/AI$102</f>
        <v>0</v>
      </c>
      <c r="AJ1011" s="80">
        <f>AJ1010/AJ$102</f>
        <v>0</v>
      </c>
      <c r="AK1011" s="80">
        <f>AK1010/AK$102</f>
        <v>0</v>
      </c>
      <c r="AL1011" s="59">
        <f>SUM(AH1011:AK1011)</f>
        <v>-0.86561258538889019</v>
      </c>
      <c r="AM1011" s="80">
        <f>AM1010/AM$102</f>
        <v>0</v>
      </c>
    </row>
    <row r="1013" spans="1:78">
      <c r="A1013" s="1" t="s">
        <v>402</v>
      </c>
      <c r="AH1013" s="16">
        <f>-4*AH1011/AVERAGE(AG1008:AH1008)</f>
        <v>4.6166633236063896E-2</v>
      </c>
      <c r="AI1013" s="16"/>
      <c r="AJ1013" s="16"/>
    </row>
    <row r="1015" spans="1:78">
      <c r="A1015" s="3" t="s">
        <v>655</v>
      </c>
    </row>
    <row r="1017" spans="1:78">
      <c r="A1017" s="1" t="s">
        <v>235</v>
      </c>
    </row>
    <row r="1018" spans="1:78">
      <c r="A1018" s="5" t="s">
        <v>205</v>
      </c>
      <c r="AD1018" s="36"/>
      <c r="AE1018" s="36"/>
      <c r="AF1018" s="36"/>
      <c r="AG1018" s="36"/>
      <c r="AH1018" s="136">
        <v>80663</v>
      </c>
      <c r="AI1018" s="36">
        <f>AH1023</f>
        <v>62727</v>
      </c>
      <c r="AJ1018" s="36">
        <f>AI1023</f>
        <v>60413</v>
      </c>
      <c r="AK1018" s="36">
        <f>AJ1023</f>
        <v>43823</v>
      </c>
      <c r="AL1018" s="136">
        <v>80663</v>
      </c>
      <c r="AM1018" s="36">
        <f>AL1023</f>
        <v>28652</v>
      </c>
      <c r="AN1018" s="36">
        <f>AM1023</f>
        <v>27746</v>
      </c>
      <c r="AO1018" s="36">
        <f>AN1023</f>
        <v>22929</v>
      </c>
      <c r="AP1018" s="36">
        <f>AO1023</f>
        <v>19106</v>
      </c>
      <c r="AQ1018" s="136">
        <v>28652</v>
      </c>
      <c r="AR1018" s="36">
        <f>AQ1023</f>
        <v>14086</v>
      </c>
      <c r="AS1018" s="36">
        <f>AR1023</f>
        <v>9540</v>
      </c>
      <c r="AT1018" s="36">
        <f>AS1023</f>
        <v>9904</v>
      </c>
      <c r="AU1018" s="36">
        <f>AT1023</f>
        <v>8695</v>
      </c>
      <c r="AV1018" s="136">
        <v>14086</v>
      </c>
      <c r="AW1018" s="36">
        <f>AV1023</f>
        <v>5150</v>
      </c>
      <c r="AX1018" s="36">
        <f>AW1023</f>
        <v>8704</v>
      </c>
      <c r="AY1018" s="36">
        <f>AX1023</f>
        <v>8703</v>
      </c>
      <c r="AZ1018" s="36">
        <f>AY1023</f>
        <v>7517</v>
      </c>
      <c r="BA1018" s="36">
        <f>AV1023</f>
        <v>5150</v>
      </c>
      <c r="BB1018" s="36">
        <f>BA1023</f>
        <v>3102</v>
      </c>
      <c r="BC1018" s="36">
        <f>BB1023</f>
        <v>0</v>
      </c>
      <c r="BD1018" s="36">
        <f>BC1023</f>
        <v>0</v>
      </c>
      <c r="BE1018" s="36">
        <f>BD1023</f>
        <v>0</v>
      </c>
      <c r="BF1018" s="36">
        <f>BA1023</f>
        <v>3102</v>
      </c>
      <c r="BG1018" s="36">
        <f>BF1023</f>
        <v>6907.5</v>
      </c>
      <c r="BH1018" s="36">
        <f>BG1023</f>
        <v>13779</v>
      </c>
      <c r="BI1018" s="36">
        <f>BH1023</f>
        <v>20614.500000000004</v>
      </c>
      <c r="BJ1018" s="36">
        <f>BI1023</f>
        <v>26652.500000000004</v>
      </c>
      <c r="BK1018" s="36">
        <f>BF1023</f>
        <v>6907.5</v>
      </c>
      <c r="BL1018" s="36">
        <f>BK1023</f>
        <v>32658.5</v>
      </c>
      <c r="BM1018" s="36">
        <f>BL1023</f>
        <v>37875</v>
      </c>
      <c r="BN1018" s="36">
        <f>BM1023</f>
        <v>43063.5</v>
      </c>
      <c r="BO1018" s="36">
        <f>BN1023</f>
        <v>46717.000000000007</v>
      </c>
      <c r="BP1018" s="36">
        <f>BK1023</f>
        <v>32658.5</v>
      </c>
      <c r="BQ1018" s="36">
        <f>BP1023</f>
        <v>50350.500000000007</v>
      </c>
      <c r="BR1018" s="36">
        <f>BQ1023</f>
        <v>53214.5</v>
      </c>
      <c r="BS1018" s="36">
        <f>BR1023</f>
        <v>55315</v>
      </c>
      <c r="BT1018" s="36">
        <f>BS1023</f>
        <v>56658</v>
      </c>
      <c r="BU1018" s="36">
        <f>BP1023</f>
        <v>50350.500000000007</v>
      </c>
      <c r="BV1018" s="36">
        <f>BU1023</f>
        <v>57249.500000000007</v>
      </c>
      <c r="BW1018" s="36">
        <f>BV1023</f>
        <v>57095.500000000007</v>
      </c>
      <c r="BX1018" s="36">
        <f>BW1023</f>
        <v>56202</v>
      </c>
      <c r="BY1018" s="36">
        <f>BX1023</f>
        <v>54575</v>
      </c>
      <c r="BZ1018" s="36">
        <f>BU1023</f>
        <v>57249.500000000007</v>
      </c>
    </row>
    <row r="1019" spans="1:78">
      <c r="A1019" s="5" t="s">
        <v>619</v>
      </c>
      <c r="AD1019" s="36"/>
      <c r="AE1019" s="36"/>
      <c r="AF1019" s="36"/>
      <c r="AG1019" s="36"/>
      <c r="AH1019" s="136">
        <v>0</v>
      </c>
      <c r="AI1019" s="136">
        <v>0</v>
      </c>
      <c r="AJ1019" s="136">
        <v>0</v>
      </c>
      <c r="AK1019" s="36">
        <f>AL1019-SUM(AH1019:AJ1019)</f>
        <v>0</v>
      </c>
      <c r="AL1019" s="136">
        <v>0</v>
      </c>
      <c r="AM1019" s="136">
        <v>0</v>
      </c>
      <c r="AN1019" s="136">
        <v>0</v>
      </c>
      <c r="AO1019" s="136">
        <v>0</v>
      </c>
      <c r="AP1019" s="36">
        <f>AQ1019-SUM(AM1019:AO1019)</f>
        <v>0</v>
      </c>
      <c r="AQ1019" s="136">
        <v>0</v>
      </c>
      <c r="AR1019" s="136">
        <v>0</v>
      </c>
      <c r="AS1019" s="136">
        <v>0</v>
      </c>
      <c r="AT1019" s="136">
        <v>0</v>
      </c>
      <c r="AU1019" s="36">
        <f>AV1019-SUM(AR1019:AT1019)</f>
        <v>0</v>
      </c>
      <c r="AV1019" s="136">
        <v>0</v>
      </c>
      <c r="AW1019" s="136">
        <v>0</v>
      </c>
      <c r="AX1019" s="136">
        <v>0</v>
      </c>
      <c r="AY1019" s="136">
        <v>0</v>
      </c>
      <c r="AZ1019" s="36"/>
      <c r="BA1019" s="36">
        <f>SUM(AW1019:AZ1019)</f>
        <v>0</v>
      </c>
      <c r="BB1019" s="36"/>
      <c r="BC1019" s="36"/>
      <c r="BD1019" s="36"/>
      <c r="BE1019" s="36"/>
      <c r="BF1019" s="36">
        <f>SUM(BB1019:BE1019)</f>
        <v>0</v>
      </c>
      <c r="BG1019" s="36"/>
      <c r="BH1019" s="36"/>
      <c r="BI1019" s="36"/>
      <c r="BJ1019" s="36"/>
      <c r="BK1019" s="36">
        <f>SUM(BG1019:BJ1019)</f>
        <v>0</v>
      </c>
      <c r="BL1019" s="36"/>
      <c r="BM1019" s="36"/>
      <c r="BN1019" s="36"/>
      <c r="BO1019" s="36"/>
      <c r="BP1019" s="36">
        <f>SUM(BL1019:BO1019)</f>
        <v>0</v>
      </c>
      <c r="BQ1019" s="36"/>
      <c r="BR1019" s="36"/>
      <c r="BS1019" s="36"/>
      <c r="BT1019" s="36"/>
      <c r="BU1019" s="36">
        <f>SUM(BQ1019:BT1019)</f>
        <v>0</v>
      </c>
      <c r="BV1019" s="36"/>
      <c r="BW1019" s="36"/>
      <c r="BX1019" s="36"/>
      <c r="BY1019" s="36"/>
      <c r="BZ1019" s="36">
        <f>SUM(BV1019:BY1019)</f>
        <v>0</v>
      </c>
    </row>
    <row r="1020" spans="1:78">
      <c r="A1020" s="5" t="s">
        <v>620</v>
      </c>
      <c r="AD1020" s="36"/>
      <c r="AE1020" s="36"/>
      <c r="AF1020" s="36"/>
      <c r="AG1020" s="36"/>
      <c r="AH1020" s="136">
        <v>-25825</v>
      </c>
      <c r="AI1020" s="136">
        <f>-31615-AH1020</f>
        <v>-5790</v>
      </c>
      <c r="AJ1020" s="136">
        <f>-43888-AI1020-AH1020</f>
        <v>-12273</v>
      </c>
      <c r="AK1020" s="36">
        <f>AL1020-SUM(AH1020:AJ1020)</f>
        <v>-15414</v>
      </c>
      <c r="AL1020" s="136">
        <v>-59302</v>
      </c>
      <c r="AM1020" s="136">
        <v>-3205</v>
      </c>
      <c r="AN1020" s="136">
        <f>-8743-AM1020</f>
        <v>-5538</v>
      </c>
      <c r="AO1020" s="136">
        <f>-11093-AN1020-AM1020</f>
        <v>-2350</v>
      </c>
      <c r="AP1020" s="36">
        <f>AQ1020-SUM(AM1020:AO1020)</f>
        <v>-6164</v>
      </c>
      <c r="AQ1020" s="136">
        <v>-17257</v>
      </c>
      <c r="AR1020" s="136">
        <v>-5291</v>
      </c>
      <c r="AS1020" s="136">
        <f>-3764-AR1020</f>
        <v>1527</v>
      </c>
      <c r="AT1020" s="136">
        <f>-5947-AS1020-AR1020</f>
        <v>-2183</v>
      </c>
      <c r="AU1020" s="36">
        <f>AV1020-SUM(AR1020:AT1020)</f>
        <v>-3139</v>
      </c>
      <c r="AV1020" s="136">
        <v>-9086</v>
      </c>
      <c r="AW1020" s="136">
        <v>3726</v>
      </c>
      <c r="AX1020" s="136">
        <f>3483-AW1020</f>
        <v>-243</v>
      </c>
      <c r="AY1020" s="136">
        <f>1874-AX1020-AW1020</f>
        <v>-1609</v>
      </c>
      <c r="AZ1020" s="36">
        <f>AZ1030*AZ1035</f>
        <v>-2472.0677299437907</v>
      </c>
      <c r="BA1020" s="36">
        <f>SUM(AW1020:AZ1020)</f>
        <v>-598.06772994379071</v>
      </c>
      <c r="BB1020" s="36">
        <f t="shared" ref="BB1020:BE1020" si="3367">BB1030*BB1035</f>
        <v>-25.138750000000222</v>
      </c>
      <c r="BC1020" s="36">
        <f t="shared" si="3367"/>
        <v>3194.01</v>
      </c>
      <c r="BD1020" s="36">
        <f t="shared" si="3367"/>
        <v>3318.46875</v>
      </c>
      <c r="BE1020" s="36">
        <f t="shared" si="3367"/>
        <v>10349.737499999999</v>
      </c>
      <c r="BF1020" s="36">
        <f>SUM(BB1020:BE1020)</f>
        <v>16837.077499999999</v>
      </c>
      <c r="BG1020" s="36">
        <f t="shared" ref="BG1020:BJ1020" si="3368">BG1030*BG1035</f>
        <v>12303.498749999999</v>
      </c>
      <c r="BH1020" s="36">
        <f t="shared" si="3368"/>
        <v>12403.057500000001</v>
      </c>
      <c r="BI1020" s="36">
        <f t="shared" si="3368"/>
        <v>11740.426250000002</v>
      </c>
      <c r="BJ1020" s="36">
        <f t="shared" si="3368"/>
        <v>11971.61875</v>
      </c>
      <c r="BK1020" s="36">
        <f>SUM(BG1020:BJ1020)</f>
        <v>48418.601250000007</v>
      </c>
      <c r="BL1020" s="36">
        <f t="shared" ref="BL1020:BO1020" si="3369">BL1030*BL1035</f>
        <v>13403.9625</v>
      </c>
      <c r="BM1020" s="36">
        <f t="shared" si="3369"/>
        <v>13498.89625</v>
      </c>
      <c r="BN1020" s="36">
        <f t="shared" si="3369"/>
        <v>12216.118750000001</v>
      </c>
      <c r="BO1020" s="36">
        <f t="shared" si="3369"/>
        <v>12313.327500000003</v>
      </c>
      <c r="BP1020" s="36">
        <f>SUM(BL1020:BO1020)</f>
        <v>51432.305000000008</v>
      </c>
      <c r="BQ1020" s="36">
        <f t="shared" ref="BQ1020:BT1020" si="3370">BQ1030*BQ1035</f>
        <v>11789.634999999997</v>
      </c>
      <c r="BR1020" s="36">
        <f t="shared" si="3370"/>
        <v>11139.618749999998</v>
      </c>
      <c r="BS1020" s="36">
        <f t="shared" si="3370"/>
        <v>10621.511250000001</v>
      </c>
      <c r="BT1020" s="36">
        <f t="shared" si="3370"/>
        <v>9977.7700000000041</v>
      </c>
      <c r="BU1020" s="36">
        <f>SUM(BQ1020:BT1020)</f>
        <v>43528.535000000003</v>
      </c>
      <c r="BV1020" s="36">
        <f t="shared" ref="BV1020:BY1020" si="3371">BV1030*BV1035</f>
        <v>9465.2474999999995</v>
      </c>
      <c r="BW1020" s="36">
        <f t="shared" si="3371"/>
        <v>8827.78125</v>
      </c>
      <c r="BX1020" s="36">
        <f t="shared" si="3371"/>
        <v>8320.8437500000036</v>
      </c>
      <c r="BY1020" s="36">
        <f t="shared" si="3371"/>
        <v>7081.0262499999981</v>
      </c>
      <c r="BZ1020" s="36">
        <f>SUM(BV1020:BY1020)</f>
        <v>33694.89875</v>
      </c>
    </row>
    <row r="1021" spans="1:78">
      <c r="A1021" s="5" t="s">
        <v>621</v>
      </c>
      <c r="AD1021" s="36"/>
      <c r="AE1021" s="36"/>
      <c r="AF1021" s="36"/>
      <c r="AG1021" s="36"/>
      <c r="AH1021" s="136">
        <v>0</v>
      </c>
      <c r="AI1021" s="136">
        <v>0</v>
      </c>
      <c r="AJ1021" s="136">
        <v>0</v>
      </c>
      <c r="AK1021" s="36">
        <f>AL1021-SUM(AH1021:AJ1021)</f>
        <v>0</v>
      </c>
      <c r="AL1021" s="136">
        <v>0</v>
      </c>
      <c r="AM1021" s="136">
        <v>0</v>
      </c>
      <c r="AN1021" s="136">
        <v>0</v>
      </c>
      <c r="AO1021" s="136">
        <v>0</v>
      </c>
      <c r="AP1021" s="36">
        <f>AQ1021-SUM(AM1021:AO1021)</f>
        <v>0</v>
      </c>
      <c r="AQ1021" s="136">
        <v>0</v>
      </c>
      <c r="AR1021" s="136">
        <v>0</v>
      </c>
      <c r="AS1021" s="136">
        <v>0</v>
      </c>
      <c r="AT1021" s="136">
        <v>0</v>
      </c>
      <c r="AU1021" s="36">
        <f>AV1021-SUM(AR1021:AT1021)</f>
        <v>0</v>
      </c>
      <c r="AV1021" s="136">
        <v>0</v>
      </c>
      <c r="AW1021" s="136">
        <v>0</v>
      </c>
      <c r="AX1021" s="136">
        <v>0</v>
      </c>
      <c r="AY1021" s="136">
        <v>0</v>
      </c>
      <c r="AZ1021" s="36">
        <f>AZ1031*AZ1036</f>
        <v>-1872.8324999999998</v>
      </c>
      <c r="BA1021" s="36">
        <f>SUM(AW1021:AZ1021)</f>
        <v>-1872.8324999999998</v>
      </c>
      <c r="BB1021" s="36">
        <f t="shared" ref="BB1021:BE1021" si="3372">BB1031*BB1036</f>
        <v>-3068.8612499999999</v>
      </c>
      <c r="BC1021" s="36">
        <f t="shared" si="3372"/>
        <v>-3194.01</v>
      </c>
      <c r="BD1021" s="36">
        <f t="shared" si="3372"/>
        <v>-3318.46875</v>
      </c>
      <c r="BE1021" s="36">
        <f t="shared" si="3372"/>
        <v>-3442.2374999999997</v>
      </c>
      <c r="BF1021" s="36">
        <f>SUM(BB1021:BE1021)</f>
        <v>-13023.577499999999</v>
      </c>
      <c r="BG1021" s="36">
        <f t="shared" ref="BG1021:BJ1021" si="3373">BG1031*BG1036</f>
        <v>-5413.9987499999997</v>
      </c>
      <c r="BH1021" s="36">
        <f t="shared" si="3373"/>
        <v>-5531.5574999999999</v>
      </c>
      <c r="BI1021" s="36">
        <f t="shared" si="3373"/>
        <v>-5648.4262500000004</v>
      </c>
      <c r="BJ1021" s="36">
        <f t="shared" si="3373"/>
        <v>-5895.6187500000005</v>
      </c>
      <c r="BK1021" s="36">
        <f>SUM(BG1021:BJ1021)</f>
        <v>-22489.60125</v>
      </c>
      <c r="BL1021" s="36">
        <f t="shared" ref="BL1021:BO1021" si="3374">BL1031*BL1036</f>
        <v>-8101.4624999999987</v>
      </c>
      <c r="BM1021" s="36">
        <f t="shared" si="3374"/>
        <v>-8210.3962499999998</v>
      </c>
      <c r="BN1021" s="36">
        <f t="shared" si="3374"/>
        <v>-8448.6187499999996</v>
      </c>
      <c r="BO1021" s="36">
        <f t="shared" si="3374"/>
        <v>-8555.8274999999994</v>
      </c>
      <c r="BP1021" s="36">
        <f>SUM(BL1021:BO1021)</f>
        <v>-33316.305</v>
      </c>
      <c r="BQ1021" s="36">
        <f t="shared" ref="BQ1021:BT1021" si="3375">BQ1031*BQ1036</f>
        <v>-8791.6350000000002</v>
      </c>
      <c r="BR1021" s="36">
        <f t="shared" si="3375"/>
        <v>-8897.1187499999996</v>
      </c>
      <c r="BS1021" s="36">
        <f t="shared" si="3375"/>
        <v>-9130.5112499999996</v>
      </c>
      <c r="BT1021" s="36">
        <f t="shared" si="3375"/>
        <v>-9234.27</v>
      </c>
      <c r="BU1021" s="36">
        <f>SUM(BQ1021:BT1021)</f>
        <v>-36053.535000000003</v>
      </c>
      <c r="BV1021" s="36">
        <f t="shared" ref="BV1021:BY1021" si="3376">BV1031*BV1036</f>
        <v>-9465.2474999999995</v>
      </c>
      <c r="BW1021" s="36">
        <f t="shared" si="3376"/>
        <v>-9567.28125</v>
      </c>
      <c r="BX1021" s="36">
        <f t="shared" si="3376"/>
        <v>-9795.84375</v>
      </c>
      <c r="BY1021" s="36">
        <f t="shared" si="3376"/>
        <v>-10023.026249999997</v>
      </c>
      <c r="BZ1021" s="36">
        <f>SUM(BV1021:BY1021)</f>
        <v>-38851.398749999993</v>
      </c>
    </row>
    <row r="1022" spans="1:78">
      <c r="A1022" s="5" t="s">
        <v>213</v>
      </c>
      <c r="AD1022" s="36"/>
      <c r="AE1022" s="36"/>
      <c r="AF1022" s="36"/>
      <c r="AG1022" s="36"/>
      <c r="AH1022" s="136">
        <v>7889</v>
      </c>
      <c r="AI1022" s="136">
        <f>11365-AH1022</f>
        <v>3476</v>
      </c>
      <c r="AJ1022" s="136">
        <f>7048-AI1022-AH1022</f>
        <v>-4317</v>
      </c>
      <c r="AK1022" s="36">
        <f>AL1022-SUM(AH1022:AJ1022)</f>
        <v>243</v>
      </c>
      <c r="AL1022" s="136">
        <v>7291</v>
      </c>
      <c r="AM1022" s="136">
        <v>2299</v>
      </c>
      <c r="AN1022" s="136">
        <f>3020-AM1022</f>
        <v>721</v>
      </c>
      <c r="AO1022" s="136">
        <f>1547-AN1022-AM1022</f>
        <v>-1473</v>
      </c>
      <c r="AP1022" s="36">
        <f>AQ1022-SUM(AM1022:AO1022)</f>
        <v>1144</v>
      </c>
      <c r="AQ1022" s="136">
        <v>2691</v>
      </c>
      <c r="AR1022" s="136">
        <v>745</v>
      </c>
      <c r="AS1022" s="136">
        <f>-418-AR1022</f>
        <v>-1163</v>
      </c>
      <c r="AT1022" s="136">
        <f>556-AS1022-AR1022</f>
        <v>974</v>
      </c>
      <c r="AU1022" s="36">
        <f>AV1022-SUM(AR1022:AT1022)</f>
        <v>-406</v>
      </c>
      <c r="AV1022" s="136">
        <v>150</v>
      </c>
      <c r="AW1022" s="136">
        <v>-172</v>
      </c>
      <c r="AX1022" s="136">
        <f>70-AW1022</f>
        <v>242</v>
      </c>
      <c r="AY1022" s="136">
        <f>493-AX1022-AW1022</f>
        <v>423</v>
      </c>
      <c r="AZ1022" s="36">
        <f>AZ1023-SUM(AZ1018:AZ1021)</f>
        <v>-70.099770056210218</v>
      </c>
      <c r="BA1022" s="36">
        <f>SUM(AW1022:AZ1022)</f>
        <v>422.90022994378978</v>
      </c>
      <c r="BB1022" s="36">
        <f>BB1023-SUM(BB1018:BB1021)</f>
        <v>-8</v>
      </c>
      <c r="BC1022" s="36">
        <f>BC1023-SUM(BC1018:BC1021)</f>
        <v>0</v>
      </c>
      <c r="BD1022" s="36">
        <f>BD1023-SUM(BD1018:BD1021)</f>
        <v>0</v>
      </c>
      <c r="BE1022" s="36">
        <f>BE1023-SUM(BE1018:BE1021)</f>
        <v>0</v>
      </c>
      <c r="BF1022" s="36">
        <f>SUM(BB1022:BE1022)</f>
        <v>-8</v>
      </c>
      <c r="BG1022" s="36">
        <f>BG1023-SUM(BG1018:BG1021)</f>
        <v>-18</v>
      </c>
      <c r="BH1022" s="36">
        <f>BH1023-SUM(BH1018:BH1021)</f>
        <v>-36</v>
      </c>
      <c r="BI1022" s="36">
        <f>BI1023-SUM(BI1018:BI1021)</f>
        <v>-54</v>
      </c>
      <c r="BJ1022" s="36">
        <f>BJ1023-SUM(BJ1018:BJ1021)</f>
        <v>-70</v>
      </c>
      <c r="BK1022" s="36">
        <f>SUM(BG1022:BJ1022)</f>
        <v>-178</v>
      </c>
      <c r="BL1022" s="36">
        <f>BL1023-SUM(BL1018:BL1021)</f>
        <v>-86</v>
      </c>
      <c r="BM1022" s="36">
        <f>BM1023-SUM(BM1018:BM1021)</f>
        <v>-100</v>
      </c>
      <c r="BN1022" s="36">
        <f>BN1023-SUM(BN1018:BN1021)</f>
        <v>-113.99999999999272</v>
      </c>
      <c r="BO1022" s="36">
        <f>BO1023-SUM(BO1018:BO1021)</f>
        <v>-124.00000000000728</v>
      </c>
      <c r="BP1022" s="36">
        <f>SUM(BL1022:BO1022)</f>
        <v>-424</v>
      </c>
      <c r="BQ1022" s="36">
        <f>BQ1023-SUM(BQ1018:BQ1021)</f>
        <v>-134</v>
      </c>
      <c r="BR1022" s="36">
        <f>BR1023-SUM(BR1018:BR1021)</f>
        <v>-141.99999999999272</v>
      </c>
      <c r="BS1022" s="36">
        <f>BS1023-SUM(BS1018:BS1021)</f>
        <v>-148</v>
      </c>
      <c r="BT1022" s="36">
        <f>BT1023-SUM(BT1018:BT1021)</f>
        <v>-151.99999999999272</v>
      </c>
      <c r="BU1022" s="36">
        <f>SUM(BQ1022:BT1022)</f>
        <v>-575.99999999998545</v>
      </c>
      <c r="BV1022" s="36">
        <f>BV1023-SUM(BV1018:BV1021)</f>
        <v>-154.00000000000728</v>
      </c>
      <c r="BW1022" s="36">
        <f>BW1023-SUM(BW1018:BW1021)</f>
        <v>-154</v>
      </c>
      <c r="BX1022" s="36">
        <f>BX1023-SUM(BX1018:BX1021)</f>
        <v>-152</v>
      </c>
      <c r="BY1022" s="36">
        <f>BY1023-SUM(BY1018:BY1021)</f>
        <v>-148</v>
      </c>
      <c r="BZ1022" s="36">
        <f>SUM(BV1022:BY1022)</f>
        <v>-608.00000000000728</v>
      </c>
    </row>
    <row r="1023" spans="1:78">
      <c r="A1023" s="9" t="s">
        <v>214</v>
      </c>
      <c r="B1023" s="9"/>
      <c r="C1023" s="9"/>
      <c r="D1023" s="9"/>
      <c r="E1023" s="9"/>
      <c r="F1023" s="9"/>
      <c r="G1023" s="9"/>
      <c r="H1023" s="9"/>
      <c r="I1023" s="39"/>
      <c r="J1023" s="39"/>
      <c r="K1023" s="39"/>
      <c r="L1023" s="39"/>
      <c r="M1023" s="39"/>
      <c r="N1023" s="39"/>
      <c r="O1023" s="39"/>
      <c r="P1023" s="39"/>
      <c r="Q1023" s="39"/>
      <c r="R1023" s="39"/>
      <c r="S1023" s="39"/>
      <c r="T1023" s="39"/>
      <c r="U1023" s="39"/>
      <c r="V1023" s="39"/>
      <c r="W1023" s="39"/>
      <c r="X1023" s="39"/>
      <c r="Y1023" s="39"/>
      <c r="Z1023" s="39"/>
      <c r="AA1023" s="39"/>
      <c r="AB1023" s="39"/>
      <c r="AC1023" s="39"/>
      <c r="AD1023" s="39"/>
      <c r="AE1023" s="39"/>
      <c r="AF1023" s="39"/>
      <c r="AG1023" s="39"/>
      <c r="AH1023" s="39">
        <f t="shared" ref="AH1023:AY1023" si="3377">SUM(AH1018:AH1022)</f>
        <v>62727</v>
      </c>
      <c r="AI1023" s="39">
        <f t="shared" si="3377"/>
        <v>60413</v>
      </c>
      <c r="AJ1023" s="39">
        <f t="shared" si="3377"/>
        <v>43823</v>
      </c>
      <c r="AK1023" s="39">
        <f t="shared" si="3377"/>
        <v>28652</v>
      </c>
      <c r="AL1023" s="39">
        <f t="shared" si="3377"/>
        <v>28652</v>
      </c>
      <c r="AM1023" s="39">
        <f t="shared" si="3377"/>
        <v>27746</v>
      </c>
      <c r="AN1023" s="39">
        <f t="shared" si="3377"/>
        <v>22929</v>
      </c>
      <c r="AO1023" s="39">
        <f t="shared" si="3377"/>
        <v>19106</v>
      </c>
      <c r="AP1023" s="39">
        <f t="shared" ref="AP1023" si="3378">SUM(AP1018:AP1022)</f>
        <v>14086</v>
      </c>
      <c r="AQ1023" s="39">
        <f t="shared" si="3377"/>
        <v>14086</v>
      </c>
      <c r="AR1023" s="39">
        <f t="shared" si="3377"/>
        <v>9540</v>
      </c>
      <c r="AS1023" s="39">
        <f t="shared" si="3377"/>
        <v>9904</v>
      </c>
      <c r="AT1023" s="39">
        <f t="shared" si="3377"/>
        <v>8695</v>
      </c>
      <c r="AU1023" s="39">
        <f t="shared" si="3377"/>
        <v>5150</v>
      </c>
      <c r="AV1023" s="39">
        <f t="shared" si="3377"/>
        <v>5150</v>
      </c>
      <c r="AW1023" s="39">
        <f t="shared" si="3377"/>
        <v>8704</v>
      </c>
      <c r="AX1023" s="39">
        <f t="shared" si="3377"/>
        <v>8703</v>
      </c>
      <c r="AY1023" s="39">
        <f t="shared" si="3377"/>
        <v>7517</v>
      </c>
      <c r="AZ1023" s="39">
        <f t="shared" ref="AZ1023:BZ1023" si="3379">AZ1033*AZ1036</f>
        <v>3102</v>
      </c>
      <c r="BA1023" s="39">
        <f t="shared" si="3379"/>
        <v>3102</v>
      </c>
      <c r="BB1023" s="39">
        <f t="shared" si="3379"/>
        <v>0</v>
      </c>
      <c r="BC1023" s="39">
        <f t="shared" si="3379"/>
        <v>0</v>
      </c>
      <c r="BD1023" s="39">
        <f t="shared" si="3379"/>
        <v>0</v>
      </c>
      <c r="BE1023" s="39">
        <f t="shared" si="3379"/>
        <v>6907.5</v>
      </c>
      <c r="BF1023" s="39">
        <f t="shared" si="3379"/>
        <v>6907.5</v>
      </c>
      <c r="BG1023" s="39">
        <f t="shared" si="3379"/>
        <v>13779</v>
      </c>
      <c r="BH1023" s="39">
        <f t="shared" si="3379"/>
        <v>20614.500000000004</v>
      </c>
      <c r="BI1023" s="39">
        <f t="shared" si="3379"/>
        <v>26652.500000000004</v>
      </c>
      <c r="BJ1023" s="39">
        <f t="shared" si="3379"/>
        <v>32658.5</v>
      </c>
      <c r="BK1023" s="39">
        <f t="shared" si="3379"/>
        <v>32658.5</v>
      </c>
      <c r="BL1023" s="39">
        <f t="shared" si="3379"/>
        <v>37875</v>
      </c>
      <c r="BM1023" s="39">
        <f t="shared" si="3379"/>
        <v>43063.5</v>
      </c>
      <c r="BN1023" s="39">
        <f t="shared" si="3379"/>
        <v>46717.000000000007</v>
      </c>
      <c r="BO1023" s="39">
        <f t="shared" si="3379"/>
        <v>50350.500000000007</v>
      </c>
      <c r="BP1023" s="39">
        <f t="shared" si="3379"/>
        <v>50350.500000000007</v>
      </c>
      <c r="BQ1023" s="39">
        <f t="shared" si="3379"/>
        <v>53214.5</v>
      </c>
      <c r="BR1023" s="39">
        <f t="shared" si="3379"/>
        <v>55315</v>
      </c>
      <c r="BS1023" s="39">
        <f t="shared" si="3379"/>
        <v>56658</v>
      </c>
      <c r="BT1023" s="39">
        <f t="shared" si="3379"/>
        <v>57249.500000000007</v>
      </c>
      <c r="BU1023" s="39">
        <f t="shared" si="3379"/>
        <v>57249.500000000007</v>
      </c>
      <c r="BV1023" s="39">
        <f t="shared" si="3379"/>
        <v>57095.500000000007</v>
      </c>
      <c r="BW1023" s="39">
        <f t="shared" si="3379"/>
        <v>56202</v>
      </c>
      <c r="BX1023" s="39">
        <f t="shared" si="3379"/>
        <v>54575</v>
      </c>
      <c r="BY1023" s="39">
        <f t="shared" si="3379"/>
        <v>51485</v>
      </c>
      <c r="BZ1023" s="39">
        <f t="shared" si="3379"/>
        <v>51485</v>
      </c>
    </row>
    <row r="1024" spans="1:78">
      <c r="A1024" s="1" t="s">
        <v>3385</v>
      </c>
      <c r="AE1024" s="36"/>
      <c r="AF1024" s="36"/>
      <c r="AI1024" s="136">
        <v>60413</v>
      </c>
      <c r="AJ1024" s="136">
        <v>43823</v>
      </c>
      <c r="AK1024" s="136">
        <v>28652</v>
      </c>
      <c r="AN1024" s="136">
        <v>22929</v>
      </c>
      <c r="AO1024" s="136">
        <v>19106</v>
      </c>
      <c r="AP1024" s="136">
        <v>14086</v>
      </c>
      <c r="AS1024" s="136">
        <v>9904</v>
      </c>
      <c r="AT1024" s="136">
        <v>8695</v>
      </c>
      <c r="AU1024" s="136">
        <v>5150</v>
      </c>
      <c r="AX1024" s="136">
        <v>8703</v>
      </c>
      <c r="AY1024" s="136">
        <v>7517</v>
      </c>
    </row>
    <row r="1025" spans="1:78">
      <c r="A1025" s="1" t="s">
        <v>240</v>
      </c>
      <c r="AE1025" s="36"/>
      <c r="AF1025" s="36"/>
      <c r="AI1025" s="36">
        <f>AI1024-AI1023</f>
        <v>0</v>
      </c>
      <c r="AJ1025" s="36">
        <f>AJ1024-AJ1023</f>
        <v>0</v>
      </c>
      <c r="AK1025" s="36">
        <f>AK1024-AK1023</f>
        <v>0</v>
      </c>
      <c r="AN1025" s="36">
        <f>AN1024-AN1023</f>
        <v>0</v>
      </c>
      <c r="AO1025" s="36">
        <f>AO1024-AO1023</f>
        <v>0</v>
      </c>
      <c r="AP1025" s="36">
        <f>AP1024-AP1023</f>
        <v>0</v>
      </c>
      <c r="AS1025" s="36">
        <f>AS1024-AS1023</f>
        <v>0</v>
      </c>
      <c r="AT1025" s="36">
        <f>AT1024-AT1023</f>
        <v>0</v>
      </c>
      <c r="AU1025" s="36">
        <f>AU1024-AU1023</f>
        <v>0</v>
      </c>
      <c r="AX1025" s="36">
        <f>AX1024-AX1023</f>
        <v>0</v>
      </c>
      <c r="AY1025" s="36">
        <f>AY1024-AY1023</f>
        <v>0</v>
      </c>
    </row>
    <row r="1027" spans="1:78">
      <c r="A1027" s="1" t="s">
        <v>236</v>
      </c>
      <c r="AH1027" s="212" t="s">
        <v>1368</v>
      </c>
      <c r="AI1027" s="179"/>
      <c r="AL1027" s="212" t="s">
        <v>1368</v>
      </c>
      <c r="AM1027" s="179"/>
      <c r="AQ1027" s="212" t="s">
        <v>1368</v>
      </c>
      <c r="AR1027" s="179"/>
    </row>
    <row r="1028" spans="1:78">
      <c r="A1028" s="5" t="s">
        <v>205</v>
      </c>
      <c r="AD1028" s="36"/>
      <c r="AE1028" s="36"/>
      <c r="AF1028" s="36"/>
      <c r="AG1028" s="36"/>
      <c r="AH1028" s="360">
        <f>AH1018/$AF$1036</f>
        <v>659.06528311136526</v>
      </c>
      <c r="AI1028" s="36">
        <f>AH1033</f>
        <v>458.9332748024583</v>
      </c>
      <c r="AJ1028" s="36">
        <f>AI1033</f>
        <v>417.18803950003451</v>
      </c>
      <c r="AK1028" s="36">
        <f>AJ1033</f>
        <v>330.24114544084404</v>
      </c>
      <c r="AL1028" s="360">
        <f>AL1018/$AF$1036</f>
        <v>659.06528311136526</v>
      </c>
      <c r="AM1028" s="36">
        <f>AL1033</f>
        <v>214.57350408147983</v>
      </c>
      <c r="AN1028" s="36">
        <f>AM1033</f>
        <v>191.36492171873923</v>
      </c>
      <c r="AO1028" s="36">
        <f>AN1033</f>
        <v>153.28920978740473</v>
      </c>
      <c r="AP1028" s="36">
        <f>AO1033</f>
        <v>134.71056899104562</v>
      </c>
      <c r="AQ1028" s="360">
        <f>AQ1018/$AK$1036</f>
        <v>214.57350408147983</v>
      </c>
      <c r="AR1028" s="36">
        <f>AQ1033</f>
        <v>93.032164322039492</v>
      </c>
      <c r="AS1028" s="36">
        <f>AR1033</f>
        <v>59.228906686533804</v>
      </c>
      <c r="AT1028" s="36">
        <f>AS1033</f>
        <v>69.389756883626433</v>
      </c>
      <c r="AU1028" s="36">
        <f>AT1033</f>
        <v>54.969022632444052</v>
      </c>
      <c r="AV1028" s="36">
        <f>AQ1033</f>
        <v>93.032164322039492</v>
      </c>
      <c r="AW1028" s="36">
        <f>AV1033</f>
        <v>35</v>
      </c>
      <c r="AX1028" s="36">
        <f>AW1033</f>
        <v>60.106346246806162</v>
      </c>
      <c r="AY1028" s="36">
        <f>AX1033</f>
        <v>58.456475013433639</v>
      </c>
      <c r="AZ1028" s="36">
        <f>AY1033</f>
        <v>48.013541134389371</v>
      </c>
      <c r="BA1028" s="36">
        <f>AV1033</f>
        <v>35</v>
      </c>
      <c r="BB1028" s="36">
        <f>BA1033</f>
        <v>20</v>
      </c>
      <c r="BC1028" s="36">
        <f>BB1033</f>
        <v>0</v>
      </c>
      <c r="BD1028" s="36">
        <f>BC1033</f>
        <v>0</v>
      </c>
      <c r="BE1028" s="36">
        <f>BD1033</f>
        <v>0</v>
      </c>
      <c r="BF1028" s="36">
        <f>BA1033</f>
        <v>20</v>
      </c>
      <c r="BG1028" s="36">
        <f>BF1033</f>
        <v>45</v>
      </c>
      <c r="BH1028" s="36">
        <f>BG1033</f>
        <v>90</v>
      </c>
      <c r="BI1028" s="36">
        <f>BH1033</f>
        <v>135</v>
      </c>
      <c r="BJ1028" s="36">
        <f>BI1033</f>
        <v>175</v>
      </c>
      <c r="BK1028" s="36">
        <f>BF1033</f>
        <v>45</v>
      </c>
      <c r="BL1028" s="36">
        <f>BK1033</f>
        <v>215</v>
      </c>
      <c r="BM1028" s="36">
        <f>BL1033</f>
        <v>250</v>
      </c>
      <c r="BN1028" s="36">
        <f>BM1033</f>
        <v>285</v>
      </c>
      <c r="BO1028" s="36">
        <f>BN1033</f>
        <v>310</v>
      </c>
      <c r="BP1028" s="36">
        <f>BK1033</f>
        <v>215</v>
      </c>
      <c r="BQ1028" s="36">
        <f>BP1033</f>
        <v>335</v>
      </c>
      <c r="BR1028" s="36">
        <f>BQ1033</f>
        <v>355</v>
      </c>
      <c r="BS1028" s="36">
        <f>BR1033</f>
        <v>370</v>
      </c>
      <c r="BT1028" s="36">
        <f>BS1033</f>
        <v>380</v>
      </c>
      <c r="BU1028" s="36">
        <f>BP1033</f>
        <v>335</v>
      </c>
      <c r="BV1028" s="36">
        <f>BU1033</f>
        <v>385</v>
      </c>
      <c r="BW1028" s="36">
        <f>BV1033</f>
        <v>385</v>
      </c>
      <c r="BX1028" s="36">
        <f>BW1033</f>
        <v>380</v>
      </c>
      <c r="BY1028" s="36">
        <f>BX1033</f>
        <v>370</v>
      </c>
      <c r="BZ1028" s="36">
        <f>BU1033</f>
        <v>385</v>
      </c>
    </row>
    <row r="1029" spans="1:78">
      <c r="A1029" s="5" t="s">
        <v>619</v>
      </c>
      <c r="AD1029" s="36"/>
      <c r="AE1029" s="36"/>
      <c r="AF1029" s="36"/>
      <c r="AG1029" s="36"/>
      <c r="AH1029" s="36">
        <f t="shared" ref="AH1029:AK1031" si="3380">AH1019/AH$1035</f>
        <v>0</v>
      </c>
      <c r="AI1029" s="36">
        <f t="shared" si="3380"/>
        <v>0</v>
      </c>
      <c r="AJ1029" s="36">
        <f t="shared" si="3380"/>
        <v>0</v>
      </c>
      <c r="AK1029" s="36">
        <f t="shared" si="3380"/>
        <v>0</v>
      </c>
      <c r="AL1029" s="36">
        <f>SUM(AH1029:AK1029)</f>
        <v>0</v>
      </c>
      <c r="AM1029" s="36">
        <f t="shared" ref="AM1029:AP1031" si="3381">AM1019/AM$1035</f>
        <v>0</v>
      </c>
      <c r="AN1029" s="36">
        <f t="shared" si="3381"/>
        <v>0</v>
      </c>
      <c r="AO1029" s="36">
        <f t="shared" si="3381"/>
        <v>0</v>
      </c>
      <c r="AP1029" s="36">
        <f t="shared" si="3381"/>
        <v>0</v>
      </c>
      <c r="AQ1029" s="36">
        <f>SUM(AM1029:AP1029)</f>
        <v>0</v>
      </c>
      <c r="AR1029" s="36">
        <f t="shared" ref="AR1029:AU1029" si="3382">AR1019/AR$1035</f>
        <v>0</v>
      </c>
      <c r="AS1029" s="36">
        <f t="shared" si="3382"/>
        <v>0</v>
      </c>
      <c r="AT1029" s="36">
        <f t="shared" si="3382"/>
        <v>0</v>
      </c>
      <c r="AU1029" s="36">
        <f t="shared" si="3382"/>
        <v>0</v>
      </c>
      <c r="AV1029" s="36">
        <f>SUM(AR1029:AU1029)</f>
        <v>0</v>
      </c>
      <c r="AW1029" s="36">
        <f t="shared" ref="AW1029:AY1029" si="3383">AW1019/AW$1035</f>
        <v>0</v>
      </c>
      <c r="AX1029" s="36">
        <f t="shared" si="3383"/>
        <v>0</v>
      </c>
      <c r="AY1029" s="36">
        <f t="shared" si="3383"/>
        <v>0</v>
      </c>
      <c r="AZ1029" s="36"/>
      <c r="BA1029" s="36">
        <f>SUM(AW1029:AZ1029)</f>
        <v>0</v>
      </c>
      <c r="BB1029" s="36"/>
      <c r="BC1029" s="36"/>
      <c r="BD1029" s="36"/>
      <c r="BE1029" s="36"/>
      <c r="BF1029" s="36">
        <f>SUM(BB1029:BE1029)</f>
        <v>0</v>
      </c>
      <c r="BG1029" s="36"/>
      <c r="BH1029" s="36"/>
      <c r="BI1029" s="36"/>
      <c r="BJ1029" s="36"/>
      <c r="BK1029" s="36">
        <f>SUM(BG1029:BJ1029)</f>
        <v>0</v>
      </c>
      <c r="BL1029" s="36"/>
      <c r="BM1029" s="36"/>
      <c r="BN1029" s="36"/>
      <c r="BO1029" s="36"/>
      <c r="BP1029" s="36">
        <f>SUM(BL1029:BO1029)</f>
        <v>0</v>
      </c>
      <c r="BQ1029" s="36"/>
      <c r="BR1029" s="36"/>
      <c r="BS1029" s="36"/>
      <c r="BT1029" s="36"/>
      <c r="BU1029" s="36">
        <f>SUM(BQ1029:BT1029)</f>
        <v>0</v>
      </c>
      <c r="BV1029" s="36"/>
      <c r="BW1029" s="36"/>
      <c r="BX1029" s="36"/>
      <c r="BY1029" s="36"/>
      <c r="BZ1029" s="36">
        <f>SUM(BV1029:BY1029)</f>
        <v>0</v>
      </c>
    </row>
    <row r="1030" spans="1:78">
      <c r="A1030" s="5" t="s">
        <v>620</v>
      </c>
      <c r="AD1030" s="36"/>
      <c r="AE1030" s="36"/>
      <c r="AF1030" s="36"/>
      <c r="AG1030" s="36"/>
      <c r="AH1030" s="36">
        <f t="shared" si="3380"/>
        <v>-200.13174209547429</v>
      </c>
      <c r="AI1030" s="36">
        <f t="shared" si="3380"/>
        <v>-41.750793192962213</v>
      </c>
      <c r="AJ1030" s="36">
        <f t="shared" si="3380"/>
        <v>-86.943893454236331</v>
      </c>
      <c r="AK1030" s="36">
        <f t="shared" si="3380"/>
        <v>-115.66861773975687</v>
      </c>
      <c r="AL1030" s="36">
        <f>SUM(AH1030:AK1030)</f>
        <v>-444.49504648242976</v>
      </c>
      <c r="AM1030" s="36">
        <f t="shared" si="3381"/>
        <v>-23.206140033306781</v>
      </c>
      <c r="AN1030" s="36">
        <f t="shared" si="3381"/>
        <v>-38.07755775577558</v>
      </c>
      <c r="AO1030" s="36">
        <f t="shared" si="3381"/>
        <v>-15.986394557823129</v>
      </c>
      <c r="AP1030" s="36">
        <f t="shared" si="3381"/>
        <v>-41.685264083316426</v>
      </c>
      <c r="AQ1030" s="36">
        <f>SUM(AM1030:AP1030)</f>
        <v>-118.95535643022191</v>
      </c>
      <c r="AR1030" s="36">
        <f t="shared" ref="AR1030:AT1030" si="3384">AR1020/AR$1035</f>
        <v>-33.801827125790581</v>
      </c>
      <c r="AS1030" s="36">
        <f t="shared" si="3384"/>
        <v>10.162385198988421</v>
      </c>
      <c r="AT1030" s="36">
        <f t="shared" si="3384"/>
        <v>-14.426381178958499</v>
      </c>
      <c r="AU1030" s="36">
        <f>AU1033-AU1028</f>
        <v>-19.969022632444052</v>
      </c>
      <c r="AV1030" s="36">
        <f>SUM(AR1030:AU1030)</f>
        <v>-58.034845738204709</v>
      </c>
      <c r="AW1030" s="36">
        <f t="shared" ref="AW1030:AY1030" si="3385">AW1020/AW$1035</f>
        <v>25.662924443832221</v>
      </c>
      <c r="AX1030" s="36">
        <f t="shared" si="3385"/>
        <v>-1.6474576271186441</v>
      </c>
      <c r="AY1030" s="36">
        <f t="shared" si="3385"/>
        <v>-10.445338873019995</v>
      </c>
      <c r="AZ1030" s="360">
        <f>AZ1033-SUM(AZ1028:AZ1029, AZ1031)</f>
        <v>-15.938541134389368</v>
      </c>
      <c r="BA1030" s="36">
        <f>SUM(AW1030:AZ1030)</f>
        <v>-2.3684131906957866</v>
      </c>
      <c r="BB1030" s="360">
        <f t="shared" ref="BB1030:BE1030" si="3386">BB1033-SUM(BB1028:BB1029, BB1031)</f>
        <v>-0.16250000000000142</v>
      </c>
      <c r="BC1030" s="360">
        <f t="shared" si="3386"/>
        <v>20.7</v>
      </c>
      <c r="BD1030" s="360">
        <f t="shared" si="3386"/>
        <v>21.5625</v>
      </c>
      <c r="BE1030" s="360">
        <f t="shared" si="3386"/>
        <v>67.424999999999997</v>
      </c>
      <c r="BF1030" s="36">
        <f>SUM(BB1030:BE1030)</f>
        <v>109.52499999999999</v>
      </c>
      <c r="BG1030" s="360">
        <f t="shared" ref="BG1030" si="3387">BG1033-SUM(BG1028:BG1029, BG1031)</f>
        <v>80.362499999999997</v>
      </c>
      <c r="BH1030" s="360">
        <f t="shared" ref="BH1030" si="3388">BH1033-SUM(BH1028:BH1029, BH1031)</f>
        <v>81.224999999999994</v>
      </c>
      <c r="BI1030" s="360">
        <f t="shared" ref="BI1030" si="3389">BI1033-SUM(BI1028:BI1029, BI1031)</f>
        <v>77.087500000000006</v>
      </c>
      <c r="BJ1030" s="360">
        <f t="shared" ref="BJ1030" si="3390">BJ1033-SUM(BJ1028:BJ1029, BJ1031)</f>
        <v>78.8125</v>
      </c>
      <c r="BK1030" s="36">
        <f>SUM(BG1030:BJ1030)</f>
        <v>317.48749999999995</v>
      </c>
      <c r="BL1030" s="360">
        <f t="shared" ref="BL1030" si="3391">BL1033-SUM(BL1028:BL1029, BL1031)</f>
        <v>88.474999999999994</v>
      </c>
      <c r="BM1030" s="360">
        <f t="shared" ref="BM1030" si="3392">BM1033-SUM(BM1028:BM1029, BM1031)</f>
        <v>89.337500000000006</v>
      </c>
      <c r="BN1030" s="360">
        <f t="shared" ref="BN1030" si="3393">BN1033-SUM(BN1028:BN1029, BN1031)</f>
        <v>81.0625</v>
      </c>
      <c r="BO1030" s="360">
        <f t="shared" ref="BO1030" si="3394">BO1033-SUM(BO1028:BO1029, BO1031)</f>
        <v>81.925000000000011</v>
      </c>
      <c r="BP1030" s="36">
        <f>SUM(BL1030:BO1030)</f>
        <v>340.8</v>
      </c>
      <c r="BQ1030" s="360">
        <f t="shared" ref="BQ1030" si="3395">BQ1033-SUM(BQ1028:BQ1029, BQ1031)</f>
        <v>78.649999999999977</v>
      </c>
      <c r="BR1030" s="360">
        <f t="shared" ref="BR1030" si="3396">BR1033-SUM(BR1028:BR1029, BR1031)</f>
        <v>74.512499999999989</v>
      </c>
      <c r="BS1030" s="360">
        <f t="shared" ref="BS1030" si="3397">BS1033-SUM(BS1028:BS1029, BS1031)</f>
        <v>71.237500000000011</v>
      </c>
      <c r="BT1030" s="360">
        <f t="shared" ref="BT1030" si="3398">BT1033-SUM(BT1028:BT1029, BT1031)</f>
        <v>67.100000000000023</v>
      </c>
      <c r="BU1030" s="36">
        <f>SUM(BQ1030:BT1030)</f>
        <v>291.5</v>
      </c>
      <c r="BV1030" s="360">
        <f t="shared" ref="BV1030" si="3399">BV1033-SUM(BV1028:BV1029, BV1031)</f>
        <v>63.824999999999989</v>
      </c>
      <c r="BW1030" s="360">
        <f t="shared" ref="BW1030" si="3400">BW1033-SUM(BW1028:BW1029, BW1031)</f>
        <v>59.6875</v>
      </c>
      <c r="BX1030" s="360">
        <f t="shared" ref="BX1030" si="3401">BX1033-SUM(BX1028:BX1029, BX1031)</f>
        <v>56.412500000000023</v>
      </c>
      <c r="BY1030" s="360">
        <f t="shared" ref="BY1030" si="3402">BY1033-SUM(BY1028:BY1029, BY1031)</f>
        <v>48.137499999999989</v>
      </c>
      <c r="BZ1030" s="36">
        <f>SUM(BV1030:BY1030)</f>
        <v>228.0625</v>
      </c>
    </row>
    <row r="1031" spans="1:78">
      <c r="A1031" s="5" t="s">
        <v>621</v>
      </c>
      <c r="AD1031" s="36"/>
      <c r="AE1031" s="36"/>
      <c r="AF1031" s="36"/>
      <c r="AG1031" s="36"/>
      <c r="AH1031" s="36">
        <f t="shared" si="3380"/>
        <v>0</v>
      </c>
      <c r="AI1031" s="36">
        <f t="shared" si="3380"/>
        <v>0</v>
      </c>
      <c r="AJ1031" s="36">
        <f t="shared" si="3380"/>
        <v>0</v>
      </c>
      <c r="AK1031" s="36">
        <f t="shared" si="3380"/>
        <v>0</v>
      </c>
      <c r="AL1031" s="36">
        <f>SUM(AH1031:AK1031)</f>
        <v>0</v>
      </c>
      <c r="AM1031" s="36">
        <f t="shared" si="3381"/>
        <v>0</v>
      </c>
      <c r="AN1031" s="36">
        <f t="shared" si="3381"/>
        <v>0</v>
      </c>
      <c r="AO1031" s="36">
        <f t="shared" si="3381"/>
        <v>0</v>
      </c>
      <c r="AP1031" s="36">
        <f t="shared" si="3381"/>
        <v>0</v>
      </c>
      <c r="AQ1031" s="36">
        <f>SUM(AM1031:AP1031)</f>
        <v>0</v>
      </c>
      <c r="AR1031" s="36">
        <f t="shared" ref="AR1031:AT1031" si="3403">AR1021/AR$1035</f>
        <v>0</v>
      </c>
      <c r="AS1031" s="36">
        <f t="shared" si="3403"/>
        <v>0</v>
      </c>
      <c r="AT1031" s="36">
        <f t="shared" si="3403"/>
        <v>0</v>
      </c>
      <c r="AU1031" s="36">
        <f t="shared" ref="AU1031" si="3404">AU1021/AU$1035</f>
        <v>0</v>
      </c>
      <c r="AV1031" s="36">
        <f>SUM(AR1031:AU1031)</f>
        <v>0</v>
      </c>
      <c r="AW1031" s="36">
        <f t="shared" ref="AW1031:AY1031" si="3405">AW1021/AW$1035</f>
        <v>0</v>
      </c>
      <c r="AX1031" s="36">
        <f t="shared" si="3405"/>
        <v>0</v>
      </c>
      <c r="AY1031" s="36">
        <f t="shared" si="3405"/>
        <v>0</v>
      </c>
      <c r="AZ1031" s="360">
        <f>-17.25%*AZ988</f>
        <v>-12.074999999999999</v>
      </c>
      <c r="BA1031" s="36">
        <f>SUM(AW1031:AZ1031)</f>
        <v>-12.074999999999999</v>
      </c>
      <c r="BB1031" s="360">
        <f t="shared" ref="BB1031:BE1031" si="3406">-17.25%*BB988</f>
        <v>-19.837499999999999</v>
      </c>
      <c r="BC1031" s="360">
        <f t="shared" si="3406"/>
        <v>-20.7</v>
      </c>
      <c r="BD1031" s="360">
        <f t="shared" si="3406"/>
        <v>-21.5625</v>
      </c>
      <c r="BE1031" s="360">
        <f t="shared" si="3406"/>
        <v>-22.424999999999997</v>
      </c>
      <c r="BF1031" s="36">
        <f>SUM(BB1031:BE1031)</f>
        <v>-84.524999999999991</v>
      </c>
      <c r="BG1031" s="360">
        <f t="shared" ref="BG1031:BJ1031" si="3407">-17.25%*BG988</f>
        <v>-35.362499999999997</v>
      </c>
      <c r="BH1031" s="360">
        <f t="shared" si="3407"/>
        <v>-36.224999999999994</v>
      </c>
      <c r="BI1031" s="360">
        <f t="shared" si="3407"/>
        <v>-37.087499999999999</v>
      </c>
      <c r="BJ1031" s="360">
        <f t="shared" si="3407"/>
        <v>-38.8125</v>
      </c>
      <c r="BK1031" s="36">
        <f>SUM(BG1031:BJ1031)</f>
        <v>-147.48749999999998</v>
      </c>
      <c r="BL1031" s="360">
        <f t="shared" ref="BL1031:BO1031" si="3408">-17.25%*BL988</f>
        <v>-53.474999999999994</v>
      </c>
      <c r="BM1031" s="360">
        <f t="shared" si="3408"/>
        <v>-54.337499999999999</v>
      </c>
      <c r="BN1031" s="360">
        <f t="shared" si="3408"/>
        <v>-56.062499999999993</v>
      </c>
      <c r="BO1031" s="360">
        <f t="shared" si="3408"/>
        <v>-56.924999999999997</v>
      </c>
      <c r="BP1031" s="36">
        <f>SUM(BL1031:BO1031)</f>
        <v>-220.8</v>
      </c>
      <c r="BQ1031" s="360">
        <f t="shared" ref="BQ1031:BT1031" si="3409">-17.25%*BQ988</f>
        <v>-58.65</v>
      </c>
      <c r="BR1031" s="360">
        <f t="shared" si="3409"/>
        <v>-59.512499999999996</v>
      </c>
      <c r="BS1031" s="360">
        <f t="shared" si="3409"/>
        <v>-61.237499999999997</v>
      </c>
      <c r="BT1031" s="360">
        <f t="shared" si="3409"/>
        <v>-62.099999999999994</v>
      </c>
      <c r="BU1031" s="36">
        <f>SUM(BQ1031:BT1031)</f>
        <v>-241.49999999999997</v>
      </c>
      <c r="BV1031" s="360">
        <f t="shared" ref="BV1031:BY1031" si="3410">-17.25%*BV988</f>
        <v>-63.824999999999996</v>
      </c>
      <c r="BW1031" s="360">
        <f t="shared" si="3410"/>
        <v>-64.6875</v>
      </c>
      <c r="BX1031" s="360">
        <f t="shared" si="3410"/>
        <v>-66.412499999999994</v>
      </c>
      <c r="BY1031" s="360">
        <f t="shared" si="3410"/>
        <v>-68.137499999999989</v>
      </c>
      <c r="BZ1031" s="36">
        <f>SUM(BV1031:BY1031)</f>
        <v>-263.0625</v>
      </c>
    </row>
    <row r="1032" spans="1:78">
      <c r="A1032" s="5" t="s">
        <v>213</v>
      </c>
      <c r="AD1032" s="36"/>
      <c r="AE1032" s="36"/>
      <c r="AF1032" s="36"/>
      <c r="AG1032" s="36"/>
      <c r="AH1032" s="36">
        <f t="shared" ref="AH1032:AO1032" si="3411">AH1033-SUM(AH1028:AH1031)</f>
        <v>-2.6621343266697295E-4</v>
      </c>
      <c r="AI1032" s="36">
        <f t="shared" si="3411"/>
        <v>5.5578905383981692E-3</v>
      </c>
      <c r="AJ1032" s="36">
        <f t="shared" si="3411"/>
        <v>-3.0006049541384527E-3</v>
      </c>
      <c r="AK1032" s="36">
        <f t="shared" si="3411"/>
        <v>9.7638039267167187E-4</v>
      </c>
      <c r="AL1032" s="36">
        <f t="shared" si="3411"/>
        <v>3.2674525443212588E-3</v>
      </c>
      <c r="AM1032" s="36">
        <f t="shared" si="3411"/>
        <v>-2.4423294338191681E-3</v>
      </c>
      <c r="AN1032" s="36">
        <f t="shared" si="3411"/>
        <v>1.8458244410908264E-3</v>
      </c>
      <c r="AO1032" s="36">
        <f t="shared" si="3411"/>
        <v>-2.5922462385359779</v>
      </c>
      <c r="AP1032" s="36">
        <f t="shared" ref="AP1032:AQ1032" si="3412">AP1033-SUM(AP1028:AP1031)</f>
        <v>6.8594143102984617E-3</v>
      </c>
      <c r="AQ1032" s="36">
        <f t="shared" si="3412"/>
        <v>-2.585983329218422</v>
      </c>
      <c r="AR1032" s="36">
        <f t="shared" ref="AR1032" si="3413">AR1033-SUM(AR1028:AR1031)</f>
        <v>-1.4305097151066093E-3</v>
      </c>
      <c r="AS1032" s="36">
        <f t="shared" ref="AS1032:AT1032" si="3414">AS1033-SUM(AS1028:AS1031)</f>
        <v>-1.5350018957889233E-3</v>
      </c>
      <c r="AT1032" s="36">
        <f t="shared" si="3414"/>
        <v>5.6469277761195258E-3</v>
      </c>
      <c r="AU1032" s="36">
        <f t="shared" ref="AU1032" si="3415">AU1033-SUM(AU1028:AU1031)</f>
        <v>0</v>
      </c>
      <c r="AV1032" s="36">
        <f>AV1033-SUM(AV1028:AV1031)</f>
        <v>2.6814161652168877E-3</v>
      </c>
      <c r="AW1032" s="36">
        <f t="shared" ref="AW1032:AY1032" si="3416">AW1033-SUM(AW1028:AW1031)</f>
        <v>-0.55657819702606304</v>
      </c>
      <c r="AX1032" s="36">
        <f t="shared" si="3416"/>
        <v>-2.4136062538815395E-3</v>
      </c>
      <c r="AY1032" s="36">
        <f t="shared" si="3416"/>
        <v>2.4049939757304628E-3</v>
      </c>
      <c r="AZ1032" s="36"/>
      <c r="BA1032" s="36">
        <f>BA1033-SUM(BA1028:BA1031)</f>
        <v>-0.55658680930421056</v>
      </c>
      <c r="BB1032" s="36"/>
      <c r="BC1032" s="36"/>
      <c r="BD1032" s="36"/>
      <c r="BE1032" s="36"/>
      <c r="BF1032" s="36">
        <f>BF1033-SUM(BF1028:BF1031)</f>
        <v>0</v>
      </c>
      <c r="BG1032" s="36"/>
      <c r="BH1032" s="36"/>
      <c r="BI1032" s="36"/>
      <c r="BJ1032" s="36"/>
      <c r="BK1032" s="36">
        <f>BK1033-SUM(BK1028:BK1031)</f>
        <v>0</v>
      </c>
      <c r="BL1032" s="36"/>
      <c r="BM1032" s="36"/>
      <c r="BN1032" s="36"/>
      <c r="BO1032" s="36"/>
      <c r="BP1032" s="36">
        <f>BP1033-SUM(BP1028:BP1031)</f>
        <v>0</v>
      </c>
      <c r="BQ1032" s="36"/>
      <c r="BR1032" s="36"/>
      <c r="BS1032" s="36"/>
      <c r="BT1032" s="36"/>
      <c r="BU1032" s="36">
        <f>BU1033-SUM(BU1028:BU1031)</f>
        <v>0</v>
      </c>
      <c r="BV1032" s="36"/>
      <c r="BW1032" s="36"/>
      <c r="BX1032" s="36"/>
      <c r="BY1032" s="36"/>
      <c r="BZ1032" s="36">
        <f>BZ1033-SUM(BZ1028:BZ1031)</f>
        <v>0</v>
      </c>
    </row>
    <row r="1033" spans="1:78">
      <c r="A1033" s="9" t="s">
        <v>214</v>
      </c>
      <c r="B1033" s="9"/>
      <c r="C1033" s="9"/>
      <c r="D1033" s="9"/>
      <c r="E1033" s="9"/>
      <c r="F1033" s="9"/>
      <c r="G1033" s="9"/>
      <c r="H1033" s="9"/>
      <c r="I1033" s="39"/>
      <c r="J1033" s="39"/>
      <c r="K1033" s="39"/>
      <c r="L1033" s="39"/>
      <c r="M1033" s="39"/>
      <c r="N1033" s="39"/>
      <c r="O1033" s="39"/>
      <c r="P1033" s="39"/>
      <c r="Q1033" s="39"/>
      <c r="R1033" s="39"/>
      <c r="S1033" s="39"/>
      <c r="T1033" s="39"/>
      <c r="U1033" s="39"/>
      <c r="V1033" s="39"/>
      <c r="W1033" s="39"/>
      <c r="X1033" s="39"/>
      <c r="Y1033" s="39"/>
      <c r="Z1033" s="39"/>
      <c r="AA1033" s="39"/>
      <c r="AB1033" s="39"/>
      <c r="AC1033" s="39"/>
      <c r="AD1033" s="39"/>
      <c r="AE1033" s="39"/>
      <c r="AF1033" s="39"/>
      <c r="AG1033" s="39"/>
      <c r="AH1033" s="39">
        <f t="shared" ref="AH1033:AO1033" si="3417">AH1023/AH1036</f>
        <v>458.9332748024583</v>
      </c>
      <c r="AI1033" s="39">
        <f t="shared" si="3417"/>
        <v>417.18803950003451</v>
      </c>
      <c r="AJ1033" s="39">
        <f t="shared" si="3417"/>
        <v>330.24114544084404</v>
      </c>
      <c r="AK1033" s="39">
        <f t="shared" si="3417"/>
        <v>214.57350408147983</v>
      </c>
      <c r="AL1033" s="39">
        <f t="shared" si="3417"/>
        <v>214.57350408147983</v>
      </c>
      <c r="AM1033" s="39">
        <f t="shared" si="3417"/>
        <v>191.36492171873923</v>
      </c>
      <c r="AN1033" s="39">
        <f t="shared" si="3417"/>
        <v>153.28920978740473</v>
      </c>
      <c r="AO1033" s="39">
        <f t="shared" si="3417"/>
        <v>134.71056899104562</v>
      </c>
      <c r="AP1033" s="39">
        <f t="shared" ref="AP1033:AT1033" si="3418">AP1023/AP1036</f>
        <v>93.032164322039492</v>
      </c>
      <c r="AQ1033" s="39">
        <f t="shared" si="3418"/>
        <v>93.032164322039492</v>
      </c>
      <c r="AR1033" s="39">
        <f t="shared" si="3418"/>
        <v>59.228906686533804</v>
      </c>
      <c r="AS1033" s="39">
        <f t="shared" si="3418"/>
        <v>69.389756883626433</v>
      </c>
      <c r="AT1033" s="39">
        <f t="shared" si="3418"/>
        <v>54.969022632444052</v>
      </c>
      <c r="AU1033" s="39">
        <f>-AU297</f>
        <v>35</v>
      </c>
      <c r="AV1033" s="39">
        <f>AU1033</f>
        <v>35</v>
      </c>
      <c r="AW1033" s="39">
        <f t="shared" ref="AW1033:AY1033" si="3419">AW1023/AW1036</f>
        <v>60.106346246806162</v>
      </c>
      <c r="AX1033" s="39">
        <f t="shared" si="3419"/>
        <v>58.456475013433639</v>
      </c>
      <c r="AY1033" s="39">
        <f t="shared" si="3419"/>
        <v>48.013541134389371</v>
      </c>
      <c r="AZ1033" s="39">
        <f>-AZ297</f>
        <v>20</v>
      </c>
      <c r="BA1033" s="39">
        <f>AZ1033</f>
        <v>20</v>
      </c>
      <c r="BB1033" s="39">
        <f>-BB297</f>
        <v>0</v>
      </c>
      <c r="BC1033" s="39">
        <f>-BC297</f>
        <v>0</v>
      </c>
      <c r="BD1033" s="39">
        <f>-BD297</f>
        <v>0</v>
      </c>
      <c r="BE1033" s="39">
        <f>-BE297</f>
        <v>45</v>
      </c>
      <c r="BF1033" s="39">
        <f>BE1033</f>
        <v>45</v>
      </c>
      <c r="BG1033" s="39">
        <f>-BG297</f>
        <v>90</v>
      </c>
      <c r="BH1033" s="39">
        <f>-BH297</f>
        <v>135</v>
      </c>
      <c r="BI1033" s="39">
        <f>-BI297</f>
        <v>175</v>
      </c>
      <c r="BJ1033" s="39">
        <f>-BJ297</f>
        <v>215</v>
      </c>
      <c r="BK1033" s="39">
        <f>BJ1033</f>
        <v>215</v>
      </c>
      <c r="BL1033" s="39">
        <f>-BL297</f>
        <v>250</v>
      </c>
      <c r="BM1033" s="39">
        <f>-BM297</f>
        <v>285</v>
      </c>
      <c r="BN1033" s="39">
        <f>-BN297</f>
        <v>310</v>
      </c>
      <c r="BO1033" s="39">
        <f>-BO297</f>
        <v>335</v>
      </c>
      <c r="BP1033" s="39">
        <f>BO1033</f>
        <v>335</v>
      </c>
      <c r="BQ1033" s="39">
        <f>-BQ297</f>
        <v>355</v>
      </c>
      <c r="BR1033" s="39">
        <f>-BR297</f>
        <v>370</v>
      </c>
      <c r="BS1033" s="39">
        <f>-BS297</f>
        <v>380</v>
      </c>
      <c r="BT1033" s="39">
        <f>-BT297</f>
        <v>385</v>
      </c>
      <c r="BU1033" s="39">
        <f>BT1033</f>
        <v>385</v>
      </c>
      <c r="BV1033" s="39">
        <f>-BV297</f>
        <v>385</v>
      </c>
      <c r="BW1033" s="39">
        <f>-BW297</f>
        <v>380</v>
      </c>
      <c r="BX1033" s="39">
        <f>-BX297</f>
        <v>370</v>
      </c>
      <c r="BY1033" s="39">
        <f>-BY297</f>
        <v>350</v>
      </c>
      <c r="BZ1033" s="39">
        <f>BY1033</f>
        <v>350</v>
      </c>
    </row>
    <row r="1035" spans="1:78">
      <c r="A1035" s="1" t="s">
        <v>114</v>
      </c>
      <c r="AF1035" s="41">
        <f>AF845</f>
        <v>117.1</v>
      </c>
      <c r="AH1035" s="41">
        <f t="shared" ref="AH1035:AK1036" si="3420">AH845</f>
        <v>129.04</v>
      </c>
      <c r="AI1035" s="41">
        <f t="shared" si="3420"/>
        <v>138.68</v>
      </c>
      <c r="AJ1035" s="41">
        <f t="shared" si="3420"/>
        <v>141.16</v>
      </c>
      <c r="AK1035" s="41">
        <f t="shared" si="3420"/>
        <v>133.26</v>
      </c>
      <c r="AM1035" s="41">
        <f t="shared" ref="AM1035:AP1036" si="3421">AM845</f>
        <v>138.11000000000001</v>
      </c>
      <c r="AN1035" s="41">
        <f t="shared" si="3421"/>
        <v>145.44</v>
      </c>
      <c r="AO1035" s="41">
        <f t="shared" si="3421"/>
        <v>147</v>
      </c>
      <c r="AP1035" s="41">
        <f t="shared" si="3421"/>
        <v>147.87</v>
      </c>
      <c r="AR1035" s="41">
        <f t="shared" ref="AR1035:AU1036" si="3422">AR845</f>
        <v>156.53</v>
      </c>
      <c r="AS1035" s="41">
        <f t="shared" si="3422"/>
        <v>150.26</v>
      </c>
      <c r="AT1035" s="41">
        <f t="shared" si="3422"/>
        <v>151.32</v>
      </c>
      <c r="AU1035" s="41">
        <f t="shared" si="3422"/>
        <v>152.94999999999999</v>
      </c>
      <c r="AW1035" s="41">
        <f t="shared" ref="AW1035:AZ1036" si="3423">AW845</f>
        <v>145.19</v>
      </c>
      <c r="AX1035" s="41">
        <f t="shared" si="3423"/>
        <v>147.5</v>
      </c>
      <c r="AY1035" s="41">
        <f t="shared" si="3423"/>
        <v>154.04</v>
      </c>
      <c r="AZ1035" s="41">
        <f t="shared" si="3423"/>
        <v>155.1</v>
      </c>
      <c r="BB1035" s="41">
        <f t="shared" ref="BB1035:BE1036" si="3424">BB845</f>
        <v>154.70000000000002</v>
      </c>
      <c r="BC1035" s="41">
        <f t="shared" si="3424"/>
        <v>154.30000000000001</v>
      </c>
      <c r="BD1035" s="41">
        <f t="shared" si="3424"/>
        <v>153.9</v>
      </c>
      <c r="BE1035" s="41">
        <f t="shared" si="3424"/>
        <v>153.5</v>
      </c>
      <c r="BG1035" s="41">
        <f t="shared" ref="BG1035:BJ1036" si="3425">BG845</f>
        <v>153.1</v>
      </c>
      <c r="BH1035" s="41">
        <f t="shared" si="3425"/>
        <v>152.70000000000002</v>
      </c>
      <c r="BI1035" s="41">
        <f t="shared" si="3425"/>
        <v>152.30000000000001</v>
      </c>
      <c r="BJ1035" s="41">
        <f t="shared" si="3425"/>
        <v>151.9</v>
      </c>
      <c r="BL1035" s="41">
        <f t="shared" ref="BL1035:BO1036" si="3426">BL845</f>
        <v>151.5</v>
      </c>
      <c r="BM1035" s="41">
        <f t="shared" si="3426"/>
        <v>151.1</v>
      </c>
      <c r="BN1035" s="41">
        <f t="shared" si="3426"/>
        <v>150.70000000000002</v>
      </c>
      <c r="BO1035" s="41">
        <f t="shared" si="3426"/>
        <v>150.30000000000001</v>
      </c>
      <c r="BQ1035" s="41">
        <f t="shared" ref="BQ1035:BT1036" si="3427">BQ845</f>
        <v>149.9</v>
      </c>
      <c r="BR1035" s="41">
        <f t="shared" si="3427"/>
        <v>149.5</v>
      </c>
      <c r="BS1035" s="41">
        <f t="shared" si="3427"/>
        <v>149.1</v>
      </c>
      <c r="BT1035" s="41">
        <f t="shared" si="3427"/>
        <v>148.70000000000002</v>
      </c>
      <c r="BV1035" s="41">
        <f t="shared" ref="BV1035:BY1036" si="3428">BV845</f>
        <v>148.30000000000001</v>
      </c>
      <c r="BW1035" s="41">
        <f t="shared" si="3428"/>
        <v>147.9</v>
      </c>
      <c r="BX1035" s="41">
        <f t="shared" si="3428"/>
        <v>147.5</v>
      </c>
      <c r="BY1035" s="41">
        <f t="shared" si="3428"/>
        <v>147.1</v>
      </c>
    </row>
    <row r="1036" spans="1:78">
      <c r="A1036" s="1" t="s">
        <v>1007</v>
      </c>
      <c r="AF1036" s="41">
        <f>AF846</f>
        <v>122.39</v>
      </c>
      <c r="AH1036" s="41">
        <f t="shared" si="3420"/>
        <v>136.68</v>
      </c>
      <c r="AI1036" s="41">
        <f t="shared" si="3420"/>
        <v>144.81</v>
      </c>
      <c r="AJ1036" s="41">
        <f t="shared" si="3420"/>
        <v>132.69999999999999</v>
      </c>
      <c r="AK1036" s="41">
        <f t="shared" si="3420"/>
        <v>133.53</v>
      </c>
      <c r="AL1036" s="41">
        <f>AK1036</f>
        <v>133.53</v>
      </c>
      <c r="AM1036" s="41">
        <f t="shared" si="3421"/>
        <v>144.99</v>
      </c>
      <c r="AN1036" s="41">
        <f t="shared" si="3421"/>
        <v>149.58000000000001</v>
      </c>
      <c r="AO1036" s="41">
        <f t="shared" si="3421"/>
        <v>141.83000000000001</v>
      </c>
      <c r="AP1036" s="41">
        <f t="shared" si="3421"/>
        <v>151.41</v>
      </c>
      <c r="AQ1036" s="41">
        <f>AP1036</f>
        <v>151.41</v>
      </c>
      <c r="AR1036" s="41">
        <f t="shared" si="3422"/>
        <v>161.07</v>
      </c>
      <c r="AS1036" s="41">
        <f t="shared" si="3422"/>
        <v>142.72999999999999</v>
      </c>
      <c r="AT1036" s="41">
        <f t="shared" si="3422"/>
        <v>158.18</v>
      </c>
      <c r="AU1036" s="41">
        <f t="shared" si="3422"/>
        <v>149.52000000000001</v>
      </c>
      <c r="AV1036" s="41">
        <f>AU1036</f>
        <v>149.52000000000001</v>
      </c>
      <c r="AW1036" s="41">
        <f t="shared" si="3423"/>
        <v>144.81</v>
      </c>
      <c r="AX1036" s="41">
        <f t="shared" si="3423"/>
        <v>148.88</v>
      </c>
      <c r="AY1036" s="41">
        <f t="shared" si="3423"/>
        <v>156.56</v>
      </c>
      <c r="AZ1036" s="41">
        <f t="shared" si="3423"/>
        <v>155.1</v>
      </c>
      <c r="BA1036" s="41">
        <f>AZ1036</f>
        <v>155.1</v>
      </c>
      <c r="BB1036" s="41">
        <f t="shared" si="3424"/>
        <v>154.70000000000002</v>
      </c>
      <c r="BC1036" s="41">
        <f t="shared" si="3424"/>
        <v>154.30000000000001</v>
      </c>
      <c r="BD1036" s="41">
        <f t="shared" si="3424"/>
        <v>153.9</v>
      </c>
      <c r="BE1036" s="41">
        <f t="shared" si="3424"/>
        <v>153.5</v>
      </c>
      <c r="BF1036" s="41">
        <f>BE1036</f>
        <v>153.5</v>
      </c>
      <c r="BG1036" s="41">
        <f t="shared" si="3425"/>
        <v>153.1</v>
      </c>
      <c r="BH1036" s="41">
        <f t="shared" si="3425"/>
        <v>152.70000000000002</v>
      </c>
      <c r="BI1036" s="41">
        <f t="shared" si="3425"/>
        <v>152.30000000000001</v>
      </c>
      <c r="BJ1036" s="41">
        <f t="shared" si="3425"/>
        <v>151.9</v>
      </c>
      <c r="BK1036" s="41">
        <f>BJ1036</f>
        <v>151.9</v>
      </c>
      <c r="BL1036" s="41">
        <f t="shared" si="3426"/>
        <v>151.5</v>
      </c>
      <c r="BM1036" s="41">
        <f t="shared" si="3426"/>
        <v>151.1</v>
      </c>
      <c r="BN1036" s="41">
        <f t="shared" si="3426"/>
        <v>150.70000000000002</v>
      </c>
      <c r="BO1036" s="41">
        <f t="shared" si="3426"/>
        <v>150.30000000000001</v>
      </c>
      <c r="BP1036" s="41">
        <f>BO1036</f>
        <v>150.30000000000001</v>
      </c>
      <c r="BQ1036" s="41">
        <f t="shared" si="3427"/>
        <v>149.9</v>
      </c>
      <c r="BR1036" s="41">
        <f t="shared" si="3427"/>
        <v>149.5</v>
      </c>
      <c r="BS1036" s="41">
        <f t="shared" si="3427"/>
        <v>149.1</v>
      </c>
      <c r="BT1036" s="41">
        <f t="shared" si="3427"/>
        <v>148.70000000000002</v>
      </c>
      <c r="BU1036" s="41">
        <f>BT1036</f>
        <v>148.70000000000002</v>
      </c>
      <c r="BV1036" s="41">
        <f t="shared" si="3428"/>
        <v>148.30000000000001</v>
      </c>
      <c r="BW1036" s="41">
        <f t="shared" si="3428"/>
        <v>147.9</v>
      </c>
      <c r="BX1036" s="41">
        <f t="shared" si="3428"/>
        <v>147.5</v>
      </c>
      <c r="BY1036" s="41">
        <f t="shared" si="3428"/>
        <v>147.1</v>
      </c>
      <c r="BZ1036" s="41">
        <f>BY1036</f>
        <v>147.1</v>
      </c>
    </row>
    <row r="1038" spans="1:78">
      <c r="A1038" s="3" t="s">
        <v>1343</v>
      </c>
    </row>
    <row r="1040" spans="1:78">
      <c r="A1040" s="1" t="s">
        <v>235</v>
      </c>
    </row>
    <row r="1041" spans="1:78">
      <c r="A1041" s="5" t="s">
        <v>1346</v>
      </c>
      <c r="AD1041" s="136">
        <v>0</v>
      </c>
      <c r="AE1041" s="36">
        <f>AD1047</f>
        <v>77369</v>
      </c>
      <c r="AF1041" s="36">
        <f>AE1047</f>
        <v>80120</v>
      </c>
      <c r="AG1041" s="136">
        <v>0</v>
      </c>
      <c r="AH1041" s="36">
        <f>AG1047</f>
        <v>80663</v>
      </c>
      <c r="AI1041" s="36">
        <f>AH1047</f>
        <v>90745</v>
      </c>
      <c r="AJ1041" s="36">
        <f>AI1047</f>
        <v>96854</v>
      </c>
      <c r="AK1041" s="36">
        <f>AJ1047</f>
        <v>89405</v>
      </c>
      <c r="AL1041" s="36">
        <f>AG1047</f>
        <v>80663</v>
      </c>
      <c r="AM1041" s="36">
        <f>AL1047</f>
        <v>90606</v>
      </c>
      <c r="AN1041" s="36">
        <f>AM1047</f>
        <v>99086</v>
      </c>
      <c r="AO1041" s="36">
        <f>AN1047</f>
        <v>102957</v>
      </c>
      <c r="AP1041" s="36">
        <f>AO1047</f>
        <v>97930</v>
      </c>
      <c r="AQ1041" s="36">
        <f>AL1047</f>
        <v>90606</v>
      </c>
      <c r="AR1041" s="36">
        <f>AQ1047</f>
        <v>105278</v>
      </c>
      <c r="AS1041" s="36">
        <f>AR1047</f>
        <v>112774</v>
      </c>
      <c r="AT1041" s="36">
        <f>AS1047</f>
        <v>90727</v>
      </c>
      <c r="AU1041" s="36">
        <f>AT1047</f>
        <v>112297</v>
      </c>
      <c r="AV1041" s="36">
        <f>AQ1047</f>
        <v>105278</v>
      </c>
      <c r="AW1041" s="36">
        <f>AV1047</f>
        <v>106864</v>
      </c>
      <c r="AX1041" s="36">
        <f>AW1047</f>
        <v>104199</v>
      </c>
      <c r="AY1041" s="36">
        <f>AX1047</f>
        <v>107847</v>
      </c>
      <c r="AZ1041" s="36">
        <f>AY1047</f>
        <v>114176</v>
      </c>
      <c r="BA1041" s="36">
        <f>AV1047</f>
        <v>106864</v>
      </c>
      <c r="BB1041" s="36">
        <f>BA1047</f>
        <v>113688.3</v>
      </c>
      <c r="BC1041" s="36">
        <f>BB1047</f>
        <v>114168.6</v>
      </c>
      <c r="BD1041" s="36">
        <f>BC1047</f>
        <v>114644.90000000001</v>
      </c>
      <c r="BE1041" s="36">
        <f>BD1047</f>
        <v>114963.3</v>
      </c>
      <c r="BF1041" s="36">
        <f>BA1047</f>
        <v>113688.3</v>
      </c>
      <c r="BG1041" s="36">
        <f>BF1047</f>
        <v>115278.5</v>
      </c>
      <c r="BH1041" s="36">
        <f>BG1047</f>
        <v>115743.59999999999</v>
      </c>
      <c r="BI1041" s="36">
        <f>BH1047</f>
        <v>116204.70000000001</v>
      </c>
      <c r="BJ1041" s="36">
        <f>BI1047</f>
        <v>116509.50000000001</v>
      </c>
      <c r="BK1041" s="36">
        <f>BF1047</f>
        <v>115278.5</v>
      </c>
      <c r="BL1041" s="36">
        <f>BK1047</f>
        <v>116811.1</v>
      </c>
      <c r="BM1041" s="36">
        <f>BL1047</f>
        <v>117261</v>
      </c>
      <c r="BN1041" s="36">
        <f>BM1047</f>
        <v>117706.9</v>
      </c>
      <c r="BO1041" s="36">
        <f>BN1047</f>
        <v>117998.10000000002</v>
      </c>
      <c r="BP1041" s="36">
        <f>BK1047</f>
        <v>116811.1</v>
      </c>
      <c r="BQ1041" s="36">
        <f>BP1047</f>
        <v>118286.1</v>
      </c>
      <c r="BR1041" s="36">
        <f>BQ1047</f>
        <v>118720.8</v>
      </c>
      <c r="BS1041" s="36">
        <f>BR1047</f>
        <v>119151.5</v>
      </c>
      <c r="BT1041" s="36">
        <f>BS1047</f>
        <v>119429.09999999999</v>
      </c>
      <c r="BU1041" s="36">
        <f>BP1047</f>
        <v>118286.1</v>
      </c>
      <c r="BV1041" s="36">
        <f>BU1047</f>
        <v>119703.50000000001</v>
      </c>
      <c r="BW1041" s="36">
        <f>BV1047</f>
        <v>120123.00000000001</v>
      </c>
      <c r="BX1041" s="36">
        <f>BW1047</f>
        <v>120538.5</v>
      </c>
      <c r="BY1041" s="36">
        <f>BX1047</f>
        <v>120802.5</v>
      </c>
      <c r="BZ1041" s="36">
        <f>BU1047</f>
        <v>119703.50000000001</v>
      </c>
    </row>
    <row r="1042" spans="1:78">
      <c r="A1042" s="5" t="s">
        <v>1349</v>
      </c>
      <c r="AD1042" s="136">
        <v>76367</v>
      </c>
      <c r="AE1042" s="136">
        <f>76367-AD1042</f>
        <v>0</v>
      </c>
      <c r="AF1042" s="136">
        <f>71450-AE1042-AD1042</f>
        <v>-4917</v>
      </c>
      <c r="AG1042" s="36">
        <f>SUM(AC1042:AF1042)</f>
        <v>71450</v>
      </c>
      <c r="AH1042" s="136">
        <v>0</v>
      </c>
      <c r="AI1042" s="136">
        <v>0</v>
      </c>
      <c r="AJ1042" s="136">
        <v>0</v>
      </c>
      <c r="AK1042" s="136">
        <v>0</v>
      </c>
      <c r="AL1042" s="36">
        <f>SUM(AH1042:AK1042)</f>
        <v>0</v>
      </c>
      <c r="AM1042" s="136">
        <v>0</v>
      </c>
      <c r="AN1042" s="136">
        <v>0</v>
      </c>
      <c r="AO1042" s="136">
        <v>0</v>
      </c>
      <c r="AP1042" s="136">
        <v>0</v>
      </c>
      <c r="AQ1042" s="36">
        <f>SUM(AM1042:AP1042)</f>
        <v>0</v>
      </c>
      <c r="AR1042" s="136">
        <v>0</v>
      </c>
      <c r="AS1042" s="136">
        <v>0</v>
      </c>
      <c r="AT1042" s="136">
        <v>0</v>
      </c>
      <c r="AU1042" s="136">
        <v>0</v>
      </c>
      <c r="AV1042" s="36">
        <f>SUM(AR1042:AU1042)</f>
        <v>0</v>
      </c>
      <c r="AW1042" s="136">
        <v>0</v>
      </c>
      <c r="AX1042" s="136">
        <v>0</v>
      </c>
      <c r="AY1042" s="136">
        <v>0</v>
      </c>
      <c r="AZ1042" s="36"/>
      <c r="BA1042" s="36">
        <f>SUM(AW1042:AZ1042)</f>
        <v>0</v>
      </c>
      <c r="BB1042" s="36"/>
      <c r="BC1042" s="36"/>
      <c r="BD1042" s="36"/>
      <c r="BE1042" s="36"/>
      <c r="BF1042" s="36">
        <f>SUM(BB1042:BE1042)</f>
        <v>0</v>
      </c>
      <c r="BG1042" s="36"/>
      <c r="BH1042" s="36"/>
      <c r="BI1042" s="36"/>
      <c r="BJ1042" s="36"/>
      <c r="BK1042" s="36">
        <f>SUM(BG1042:BJ1042)</f>
        <v>0</v>
      </c>
      <c r="BL1042" s="36"/>
      <c r="BM1042" s="36"/>
      <c r="BN1042" s="36"/>
      <c r="BO1042" s="36"/>
      <c r="BP1042" s="36">
        <f>SUM(BL1042:BO1042)</f>
        <v>0</v>
      </c>
      <c r="BQ1042" s="36"/>
      <c r="BR1042" s="36"/>
      <c r="BS1042" s="36"/>
      <c r="BT1042" s="36"/>
      <c r="BU1042" s="36">
        <f>SUM(BQ1042:BT1042)</f>
        <v>0</v>
      </c>
      <c r="BV1042" s="36"/>
      <c r="BW1042" s="36"/>
      <c r="BX1042" s="36"/>
      <c r="BY1042" s="36"/>
      <c r="BZ1042" s="36">
        <f>SUM(BV1042:BY1042)</f>
        <v>0</v>
      </c>
    </row>
    <row r="1043" spans="1:78">
      <c r="A1043" s="5" t="s">
        <v>1345</v>
      </c>
      <c r="AD1043" s="136"/>
      <c r="AE1043" s="136">
        <v>600</v>
      </c>
      <c r="AF1043" s="136">
        <f>1125-AE1043-AD1043</f>
        <v>525</v>
      </c>
      <c r="AG1043" s="36">
        <f>SUM(AC1043:AF1043)</f>
        <v>1125</v>
      </c>
      <c r="AH1043" s="136">
        <v>627</v>
      </c>
      <c r="AI1043" s="136">
        <f>1308-AH1043</f>
        <v>681</v>
      </c>
      <c r="AJ1043" s="136">
        <f>2001-AI1043-AH1043</f>
        <v>693</v>
      </c>
      <c r="AK1043" s="136">
        <f>2641-AJ1043-AI1043-AH1043</f>
        <v>640</v>
      </c>
      <c r="AL1043" s="36">
        <f>SUM(AH1043:AK1043)</f>
        <v>2641</v>
      </c>
      <c r="AM1043" s="136">
        <v>671</v>
      </c>
      <c r="AN1043" s="136">
        <f>1385-AM1043</f>
        <v>714</v>
      </c>
      <c r="AO1043" s="136">
        <f>2083-AN1043-AM1043</f>
        <v>698</v>
      </c>
      <c r="AP1043" s="136">
        <f>2799-AO1043-AN1043-AM1043</f>
        <v>716</v>
      </c>
      <c r="AQ1043" s="36">
        <f>SUM(AM1043:AP1043)</f>
        <v>2799</v>
      </c>
      <c r="AR1043" s="136">
        <v>757</v>
      </c>
      <c r="AS1043" s="136">
        <f>1492-AR1043</f>
        <v>735</v>
      </c>
      <c r="AT1043" s="136">
        <f>2232-AS1043-AR1043</f>
        <v>740</v>
      </c>
      <c r="AU1043" s="136">
        <f>2964-AT1043-AS1043-AR1043</f>
        <v>732</v>
      </c>
      <c r="AV1043" s="36">
        <f>SUM(AR1043:AU1043)</f>
        <v>2964</v>
      </c>
      <c r="AW1043" s="136">
        <v>702</v>
      </c>
      <c r="AX1043" s="136">
        <f>1416-AW1043</f>
        <v>714</v>
      </c>
      <c r="AY1043" s="136">
        <f>2169-AX1043-AW1043</f>
        <v>753</v>
      </c>
      <c r="AZ1043" s="36">
        <f>AZ1056*AZ1035</f>
        <v>620.4</v>
      </c>
      <c r="BA1043" s="36">
        <f>SUM(AW1043:AZ1043)</f>
        <v>2789.4</v>
      </c>
      <c r="BB1043" s="36">
        <f>BB1056*BB1035</f>
        <v>773.50000000000011</v>
      </c>
      <c r="BC1043" s="36">
        <f>BC1056*BC1035</f>
        <v>771.5</v>
      </c>
      <c r="BD1043" s="36">
        <f>BD1056*BD1035</f>
        <v>615.6</v>
      </c>
      <c r="BE1043" s="36">
        <f>BE1056*BE1035</f>
        <v>614</v>
      </c>
      <c r="BF1043" s="36">
        <f>SUM(BB1043:BE1043)</f>
        <v>2774.6</v>
      </c>
      <c r="BG1043" s="36">
        <f>BG1056*BG1035</f>
        <v>765.5</v>
      </c>
      <c r="BH1043" s="36">
        <f>BH1056*BH1035</f>
        <v>763.50000000000011</v>
      </c>
      <c r="BI1043" s="36">
        <f>BI1056*BI1035</f>
        <v>609.20000000000005</v>
      </c>
      <c r="BJ1043" s="36">
        <f>BJ1056*BJ1035</f>
        <v>607.6</v>
      </c>
      <c r="BK1043" s="36">
        <f>SUM(BG1043:BJ1043)</f>
        <v>2745.7999999999997</v>
      </c>
      <c r="BL1043" s="36">
        <f>BL1056*BL1035</f>
        <v>757.5</v>
      </c>
      <c r="BM1043" s="36">
        <f>BM1056*BM1035</f>
        <v>755.5</v>
      </c>
      <c r="BN1043" s="36">
        <f>BN1056*BN1035</f>
        <v>602.80000000000007</v>
      </c>
      <c r="BO1043" s="36">
        <f>BO1056*BO1035</f>
        <v>601.20000000000005</v>
      </c>
      <c r="BP1043" s="36">
        <f>SUM(BL1043:BO1043)</f>
        <v>2717</v>
      </c>
      <c r="BQ1043" s="36">
        <f>BQ1056*BQ1035</f>
        <v>749.5</v>
      </c>
      <c r="BR1043" s="36">
        <f>BR1056*BR1035</f>
        <v>747.5</v>
      </c>
      <c r="BS1043" s="36">
        <f>BS1056*BS1035</f>
        <v>596.4</v>
      </c>
      <c r="BT1043" s="36">
        <f>BT1056*BT1035</f>
        <v>594.80000000000007</v>
      </c>
      <c r="BU1043" s="36">
        <f>SUM(BQ1043:BT1043)</f>
        <v>2688.2000000000003</v>
      </c>
      <c r="BV1043" s="36">
        <f>BV1056*BV1035</f>
        <v>741.5</v>
      </c>
      <c r="BW1043" s="36">
        <f>BW1056*BW1035</f>
        <v>739.5</v>
      </c>
      <c r="BX1043" s="36">
        <f>BX1056*BX1035</f>
        <v>590</v>
      </c>
      <c r="BY1043" s="36">
        <f>BY1056*BY1035</f>
        <v>588.4</v>
      </c>
      <c r="BZ1043" s="36">
        <f>SUM(BV1043:BY1043)</f>
        <v>2659.4</v>
      </c>
    </row>
    <row r="1044" spans="1:78">
      <c r="A1044" s="5" t="s">
        <v>1347</v>
      </c>
      <c r="AD1044" s="36"/>
      <c r="AG1044" s="36"/>
      <c r="AZ1044" s="36"/>
      <c r="BB1044" s="36"/>
      <c r="BC1044" s="36"/>
      <c r="BD1044" s="36"/>
      <c r="BE1044" s="36"/>
      <c r="BG1044" s="36"/>
      <c r="BH1044" s="36"/>
      <c r="BI1044" s="36"/>
      <c r="BJ1044" s="36"/>
      <c r="BL1044" s="36"/>
      <c r="BM1044" s="36"/>
      <c r="BN1044" s="36"/>
      <c r="BO1044" s="36"/>
      <c r="BQ1044" s="36"/>
      <c r="BR1044" s="36"/>
      <c r="BS1044" s="36"/>
      <c r="BT1044" s="36"/>
      <c r="BV1044" s="36"/>
      <c r="BW1044" s="36"/>
      <c r="BX1044" s="36"/>
      <c r="BY1044" s="36"/>
    </row>
    <row r="1045" spans="1:78">
      <c r="A1045" s="5" t="s">
        <v>1351</v>
      </c>
      <c r="AD1045" s="136"/>
      <c r="AE1045" s="136"/>
      <c r="AF1045" s="136"/>
      <c r="AG1045" s="36"/>
      <c r="AH1045" s="136"/>
      <c r="AI1045" s="136"/>
      <c r="AJ1045" s="136"/>
      <c r="AK1045" s="136"/>
      <c r="AL1045" s="36"/>
      <c r="AM1045" s="136"/>
      <c r="AN1045" s="136"/>
      <c r="AO1045" s="136"/>
      <c r="AP1045" s="136"/>
      <c r="AQ1045" s="36"/>
      <c r="AR1045" s="136"/>
      <c r="AS1045" s="136"/>
      <c r="AT1045" s="136"/>
      <c r="AU1045" s="136"/>
      <c r="AV1045" s="36"/>
      <c r="AW1045" s="136"/>
      <c r="AX1045" s="136"/>
      <c r="AY1045" s="136"/>
      <c r="AZ1045" s="36"/>
      <c r="BA1045" s="36">
        <f>SUM(AW1045:AZ1045)</f>
        <v>0</v>
      </c>
      <c r="BB1045" s="36"/>
      <c r="BC1045" s="36"/>
      <c r="BD1045" s="36"/>
      <c r="BE1045" s="36"/>
      <c r="BF1045" s="36">
        <f>SUM(BB1045:BE1045)</f>
        <v>0</v>
      </c>
      <c r="BG1045" s="36"/>
      <c r="BH1045" s="36"/>
      <c r="BI1045" s="36"/>
      <c r="BJ1045" s="36"/>
      <c r="BK1045" s="36">
        <f>SUM(BG1045:BJ1045)</f>
        <v>0</v>
      </c>
      <c r="BL1045" s="36"/>
      <c r="BM1045" s="36"/>
      <c r="BN1045" s="36"/>
      <c r="BO1045" s="36"/>
      <c r="BP1045" s="36">
        <f>SUM(BL1045:BO1045)</f>
        <v>0</v>
      </c>
      <c r="BQ1045" s="36"/>
      <c r="BR1045" s="36"/>
      <c r="BS1045" s="36"/>
      <c r="BT1045" s="36"/>
      <c r="BU1045" s="36">
        <f>SUM(BQ1045:BT1045)</f>
        <v>0</v>
      </c>
      <c r="BV1045" s="36"/>
      <c r="BW1045" s="36"/>
      <c r="BX1045" s="36"/>
      <c r="BY1045" s="36"/>
      <c r="BZ1045" s="36">
        <f>SUM(BV1045:BY1045)</f>
        <v>0</v>
      </c>
    </row>
    <row r="1046" spans="1:78">
      <c r="A1046" s="5" t="s">
        <v>1352</v>
      </c>
      <c r="AD1046" s="36">
        <f t="shared" ref="AD1046:BI1046" si="3429">AD1047-SUM(AD1041:AD1045)</f>
        <v>1002</v>
      </c>
      <c r="AE1046" s="36">
        <f t="shared" si="3429"/>
        <v>2151</v>
      </c>
      <c r="AF1046" s="36">
        <f t="shared" si="3429"/>
        <v>4935</v>
      </c>
      <c r="AG1046" s="36">
        <f t="shared" si="3429"/>
        <v>8088</v>
      </c>
      <c r="AH1046" s="36">
        <f t="shared" si="3429"/>
        <v>9455</v>
      </c>
      <c r="AI1046" s="36">
        <f t="shared" si="3429"/>
        <v>5428</v>
      </c>
      <c r="AJ1046" s="36">
        <f t="shared" si="3429"/>
        <v>-8142</v>
      </c>
      <c r="AK1046" s="36">
        <f t="shared" si="3429"/>
        <v>561</v>
      </c>
      <c r="AL1046" s="36">
        <f t="shared" si="3429"/>
        <v>7302</v>
      </c>
      <c r="AM1046" s="36">
        <f t="shared" si="3429"/>
        <v>7809</v>
      </c>
      <c r="AN1046" s="36">
        <f t="shared" si="3429"/>
        <v>3157</v>
      </c>
      <c r="AO1046" s="36">
        <f t="shared" si="3429"/>
        <v>-5725</v>
      </c>
      <c r="AP1046" s="36">
        <f t="shared" si="3429"/>
        <v>6632</v>
      </c>
      <c r="AQ1046" s="36">
        <f t="shared" ref="AQ1046" si="3430">AQ1047-SUM(AQ1041:AQ1045)</f>
        <v>11873</v>
      </c>
      <c r="AR1046" s="36">
        <f t="shared" si="3429"/>
        <v>6739</v>
      </c>
      <c r="AS1046" s="36">
        <f t="shared" si="3429"/>
        <v>-22782</v>
      </c>
      <c r="AT1046" s="36">
        <f t="shared" si="3429"/>
        <v>20830</v>
      </c>
      <c r="AU1046" s="36">
        <f t="shared" si="3429"/>
        <v>-6165</v>
      </c>
      <c r="AV1046" s="36">
        <f t="shared" ref="AV1046" si="3431">AV1047-SUM(AV1041:AV1045)</f>
        <v>-1378</v>
      </c>
      <c r="AW1046" s="36">
        <f t="shared" si="3429"/>
        <v>-3367</v>
      </c>
      <c r="AX1046" s="36">
        <f t="shared" si="3429"/>
        <v>2934</v>
      </c>
      <c r="AY1046" s="36">
        <f t="shared" si="3429"/>
        <v>5576</v>
      </c>
      <c r="AZ1046" s="36">
        <f t="shared" si="3429"/>
        <v>-1108.0999999999913</v>
      </c>
      <c r="BA1046" s="36">
        <f t="shared" si="3429"/>
        <v>4034.9000000000087</v>
      </c>
      <c r="BB1046" s="36">
        <f t="shared" si="3429"/>
        <v>-293.19999999999709</v>
      </c>
      <c r="BC1046" s="36">
        <f t="shared" si="3429"/>
        <v>-295.19999999999709</v>
      </c>
      <c r="BD1046" s="36">
        <f t="shared" si="3429"/>
        <v>-297.20000000001164</v>
      </c>
      <c r="BE1046" s="36">
        <f t="shared" si="3429"/>
        <v>-298.80000000000291</v>
      </c>
      <c r="BF1046" s="36">
        <f t="shared" si="3429"/>
        <v>-1184.4000000000087</v>
      </c>
      <c r="BG1046" s="36">
        <f t="shared" si="3429"/>
        <v>-300.40000000000873</v>
      </c>
      <c r="BH1046" s="36">
        <f t="shared" si="3429"/>
        <v>-302.39999999997963</v>
      </c>
      <c r="BI1046" s="36">
        <f t="shared" si="3429"/>
        <v>-304.39999999999418</v>
      </c>
      <c r="BJ1046" s="36">
        <f t="shared" ref="BJ1046:BZ1046" si="3432">BJ1047-SUM(BJ1041:BJ1045)</f>
        <v>-306.00000000001455</v>
      </c>
      <c r="BK1046" s="36">
        <f t="shared" si="3432"/>
        <v>-1213.1999999999971</v>
      </c>
      <c r="BL1046" s="36">
        <f t="shared" si="3432"/>
        <v>-307.60000000000582</v>
      </c>
      <c r="BM1046" s="36">
        <f t="shared" si="3432"/>
        <v>-309.60000000000582</v>
      </c>
      <c r="BN1046" s="36">
        <f t="shared" si="3432"/>
        <v>-311.59999999997672</v>
      </c>
      <c r="BO1046" s="36">
        <f t="shared" si="3432"/>
        <v>-313.20000000001164</v>
      </c>
      <c r="BP1046" s="36">
        <f t="shared" si="3432"/>
        <v>-1242</v>
      </c>
      <c r="BQ1046" s="36">
        <f t="shared" si="3432"/>
        <v>-314.80000000000291</v>
      </c>
      <c r="BR1046" s="36">
        <f t="shared" si="3432"/>
        <v>-316.80000000000291</v>
      </c>
      <c r="BS1046" s="36">
        <f t="shared" si="3432"/>
        <v>-318.80000000000291</v>
      </c>
      <c r="BT1046" s="36">
        <f t="shared" si="3432"/>
        <v>-320.39999999997963</v>
      </c>
      <c r="BU1046" s="36">
        <f t="shared" si="3432"/>
        <v>-1270.7999999999884</v>
      </c>
      <c r="BV1046" s="36">
        <f t="shared" si="3432"/>
        <v>-322</v>
      </c>
      <c r="BW1046" s="36">
        <f t="shared" si="3432"/>
        <v>-324.00000000001455</v>
      </c>
      <c r="BX1046" s="36">
        <f t="shared" si="3432"/>
        <v>-326</v>
      </c>
      <c r="BY1046" s="36">
        <f t="shared" si="3432"/>
        <v>-327.60000000000582</v>
      </c>
      <c r="BZ1046" s="36">
        <f t="shared" si="3432"/>
        <v>-1299.6000000000204</v>
      </c>
    </row>
    <row r="1047" spans="1:78">
      <c r="A1047" s="9" t="s">
        <v>1344</v>
      </c>
      <c r="B1047" s="9"/>
      <c r="C1047" s="9"/>
      <c r="D1047" s="9"/>
      <c r="E1047" s="9"/>
      <c r="F1047" s="9"/>
      <c r="G1047" s="9"/>
      <c r="H1047" s="9"/>
      <c r="I1047" s="39"/>
      <c r="J1047" s="39"/>
      <c r="K1047" s="39"/>
      <c r="L1047" s="39"/>
      <c r="M1047" s="39"/>
      <c r="N1047" s="39"/>
      <c r="O1047" s="39"/>
      <c r="P1047" s="39"/>
      <c r="Q1047" s="39"/>
      <c r="R1047" s="39"/>
      <c r="S1047" s="39"/>
      <c r="T1047" s="39"/>
      <c r="U1047" s="39"/>
      <c r="V1047" s="39"/>
      <c r="W1047" s="39"/>
      <c r="X1047" s="39"/>
      <c r="Y1047" s="39"/>
      <c r="Z1047" s="39"/>
      <c r="AA1047" s="39"/>
      <c r="AB1047" s="39"/>
      <c r="AC1047" s="39"/>
      <c r="AD1047" s="67">
        <v>77369</v>
      </c>
      <c r="AE1047" s="67">
        <v>80120</v>
      </c>
      <c r="AF1047" s="67">
        <v>80663</v>
      </c>
      <c r="AG1047" s="39">
        <f>AF1047</f>
        <v>80663</v>
      </c>
      <c r="AH1047" s="67">
        <v>90745</v>
      </c>
      <c r="AI1047" s="67">
        <v>96854</v>
      </c>
      <c r="AJ1047" s="67">
        <v>89405</v>
      </c>
      <c r="AK1047" s="67">
        <v>90606</v>
      </c>
      <c r="AL1047" s="39">
        <f>AK1047</f>
        <v>90606</v>
      </c>
      <c r="AM1047" s="67">
        <v>99086</v>
      </c>
      <c r="AN1047" s="67">
        <v>102957</v>
      </c>
      <c r="AO1047" s="67">
        <v>97930</v>
      </c>
      <c r="AP1047" s="67">
        <v>105278</v>
      </c>
      <c r="AQ1047" s="39">
        <f>AP1047</f>
        <v>105278</v>
      </c>
      <c r="AR1047" s="67">
        <v>112774</v>
      </c>
      <c r="AS1047" s="67">
        <v>90727</v>
      </c>
      <c r="AT1047" s="67">
        <v>112297</v>
      </c>
      <c r="AU1047" s="67">
        <v>106864</v>
      </c>
      <c r="AV1047" s="39">
        <f>AU1047</f>
        <v>106864</v>
      </c>
      <c r="AW1047" s="67">
        <v>104199</v>
      </c>
      <c r="AX1047" s="67">
        <v>107847</v>
      </c>
      <c r="AY1047" s="67">
        <v>114176</v>
      </c>
      <c r="AZ1047" s="39">
        <f>AZ1060*AZ1036</f>
        <v>113688.3</v>
      </c>
      <c r="BA1047" s="39">
        <f>AZ1047</f>
        <v>113688.3</v>
      </c>
      <c r="BB1047" s="39">
        <f>BB1060*BB1036</f>
        <v>114168.6</v>
      </c>
      <c r="BC1047" s="39">
        <f>BC1060*BC1036</f>
        <v>114644.90000000001</v>
      </c>
      <c r="BD1047" s="39">
        <f>BD1060*BD1036</f>
        <v>114963.3</v>
      </c>
      <c r="BE1047" s="39">
        <f>BE1060*BE1036</f>
        <v>115278.5</v>
      </c>
      <c r="BF1047" s="39">
        <f>BE1047</f>
        <v>115278.5</v>
      </c>
      <c r="BG1047" s="39">
        <f>BG1060*BG1036</f>
        <v>115743.59999999999</v>
      </c>
      <c r="BH1047" s="39">
        <f>BH1060*BH1036</f>
        <v>116204.70000000001</v>
      </c>
      <c r="BI1047" s="39">
        <f>BI1060*BI1036</f>
        <v>116509.50000000001</v>
      </c>
      <c r="BJ1047" s="39">
        <f>BJ1060*BJ1036</f>
        <v>116811.1</v>
      </c>
      <c r="BK1047" s="39">
        <f>BJ1047</f>
        <v>116811.1</v>
      </c>
      <c r="BL1047" s="39">
        <f>BL1060*BL1036</f>
        <v>117261</v>
      </c>
      <c r="BM1047" s="39">
        <f>BM1060*BM1036</f>
        <v>117706.9</v>
      </c>
      <c r="BN1047" s="39">
        <f>BN1060*BN1036</f>
        <v>117998.10000000002</v>
      </c>
      <c r="BO1047" s="39">
        <f>BO1060*BO1036</f>
        <v>118286.1</v>
      </c>
      <c r="BP1047" s="39">
        <f>BO1047</f>
        <v>118286.1</v>
      </c>
      <c r="BQ1047" s="39">
        <f>BQ1060*BQ1036</f>
        <v>118720.8</v>
      </c>
      <c r="BR1047" s="39">
        <f>BR1060*BR1036</f>
        <v>119151.5</v>
      </c>
      <c r="BS1047" s="39">
        <f>BS1060*BS1036</f>
        <v>119429.09999999999</v>
      </c>
      <c r="BT1047" s="39">
        <f>BT1060*BT1036</f>
        <v>119703.50000000001</v>
      </c>
      <c r="BU1047" s="39">
        <f>BT1047</f>
        <v>119703.50000000001</v>
      </c>
      <c r="BV1047" s="39">
        <f>BV1060*BV1036</f>
        <v>120123.00000000001</v>
      </c>
      <c r="BW1047" s="39">
        <f>BW1060*BW1036</f>
        <v>120538.5</v>
      </c>
      <c r="BX1047" s="39">
        <f>BX1060*BX1036</f>
        <v>120802.5</v>
      </c>
      <c r="BY1047" s="39">
        <f>BY1060*BY1036</f>
        <v>121063.29999999999</v>
      </c>
      <c r="BZ1047" s="39">
        <f>BY1047</f>
        <v>121063.29999999999</v>
      </c>
    </row>
    <row r="1049" spans="1:78">
      <c r="A1049" s="353" t="s">
        <v>1355</v>
      </c>
      <c r="B1049" s="291"/>
      <c r="C1049" s="291"/>
      <c r="D1049" s="291"/>
      <c r="E1049" s="291"/>
      <c r="F1049" s="291"/>
      <c r="G1049" s="291"/>
      <c r="H1049" s="291"/>
      <c r="I1049" s="291"/>
      <c r="J1049" s="291"/>
      <c r="K1049" s="291"/>
      <c r="L1049" s="291"/>
      <c r="M1049" s="291"/>
      <c r="N1049" s="291"/>
      <c r="O1049" s="291"/>
      <c r="P1049" s="291"/>
      <c r="Q1049" s="291"/>
      <c r="R1049" s="291"/>
      <c r="S1049" s="291"/>
      <c r="T1049" s="291"/>
      <c r="U1049" s="291"/>
      <c r="V1049" s="291"/>
      <c r="W1049" s="291"/>
      <c r="X1049" s="291"/>
      <c r="Y1049" s="291"/>
      <c r="Z1049" s="291"/>
      <c r="AA1049" s="291"/>
      <c r="AB1049" s="291"/>
      <c r="AC1049" s="291"/>
      <c r="AD1049" s="293">
        <f>(AD1041+0.5*AD1042)*3%/4</f>
        <v>286.37624999999997</v>
      </c>
      <c r="AE1049" s="293">
        <f>(AE1041+0.5*AE1042)*3%/4</f>
        <v>580.26749999999993</v>
      </c>
      <c r="AF1049" s="293">
        <f>(AF1041+0.5*AF1042)*3%/4</f>
        <v>582.46124999999995</v>
      </c>
      <c r="AG1049" s="291"/>
      <c r="AH1049" s="293">
        <f>(AH1041+0.5*AH1042)*3%/4</f>
        <v>604.97249999999997</v>
      </c>
      <c r="AI1049" s="293">
        <f>(AI1041+0.5*AI1042)*3%/4</f>
        <v>680.58749999999998</v>
      </c>
      <c r="AJ1049" s="293">
        <f>(AJ1041+0.5*AJ1042)*3%/4</f>
        <v>726.40499999999997</v>
      </c>
      <c r="AK1049" s="293">
        <f>(AK1041+0.5*AK1042)*3%/4</f>
        <v>670.53750000000002</v>
      </c>
      <c r="AL1049" s="291"/>
      <c r="AM1049" s="293">
        <f>(AM1041+0.5*AM1042)*3%/4</f>
        <v>679.54499999999996</v>
      </c>
      <c r="AN1049" s="293">
        <f>(AN1041+0.5*AN1042)*3%/4</f>
        <v>743.14499999999998</v>
      </c>
      <c r="AO1049" s="293">
        <f>(AO1041+0.5*AO1042)*3%/4</f>
        <v>772.17750000000001</v>
      </c>
      <c r="AP1049" s="293">
        <f>(AP1041+0.5*AP1042)*3%/4</f>
        <v>734.47500000000002</v>
      </c>
      <c r="AQ1049" s="291"/>
      <c r="AR1049" s="293">
        <f>(AR1041+0.5*AR1042)*3%/4</f>
        <v>789.58499999999992</v>
      </c>
      <c r="AS1049" s="293">
        <f>(AS1041+0.5*AS1042)*3%/4</f>
        <v>845.80499999999995</v>
      </c>
      <c r="AT1049" s="293">
        <f>(AT1041+0.5*AT1042)*3%/4</f>
        <v>680.45249999999999</v>
      </c>
      <c r="AU1049" s="293">
        <f>(AU1041+0.5*AU1042)*3%/4</f>
        <v>842.22749999999996</v>
      </c>
      <c r="AV1049" s="291"/>
      <c r="AW1049" s="293">
        <f>(AW1041+0.5*AW1042)*3%/4</f>
        <v>801.48</v>
      </c>
      <c r="AX1049" s="293">
        <f>(AX1041+0.5*AX1042)*3%/4</f>
        <v>781.49249999999995</v>
      </c>
      <c r="AY1049" s="293">
        <f>(AY1041+0.5*AY1042)*3%/4</f>
        <v>808.85249999999996</v>
      </c>
    </row>
    <row r="1050" spans="1:78">
      <c r="A1050" s="353" t="s">
        <v>276</v>
      </c>
      <c r="B1050" s="291"/>
      <c r="C1050" s="291"/>
      <c r="D1050" s="291"/>
      <c r="E1050" s="291"/>
      <c r="F1050" s="291"/>
      <c r="G1050" s="291"/>
      <c r="H1050" s="291"/>
      <c r="I1050" s="291"/>
      <c r="J1050" s="291"/>
      <c r="K1050" s="291"/>
      <c r="L1050" s="291"/>
      <c r="M1050" s="291"/>
      <c r="N1050" s="291"/>
      <c r="O1050" s="291"/>
      <c r="P1050" s="291"/>
      <c r="Q1050" s="291"/>
      <c r="R1050" s="291"/>
      <c r="S1050" s="291"/>
      <c r="T1050" s="291"/>
      <c r="U1050" s="291"/>
      <c r="V1050" s="291"/>
      <c r="W1050" s="291"/>
      <c r="X1050" s="291"/>
      <c r="Y1050" s="291"/>
      <c r="Z1050" s="291"/>
      <c r="AA1050" s="291"/>
      <c r="AB1050" s="291"/>
      <c r="AC1050" s="291"/>
      <c r="AD1050" s="293">
        <f>AD1051-AD1049</f>
        <v>-286.37624999999997</v>
      </c>
      <c r="AE1050" s="293">
        <f>AE1051-AE1049</f>
        <v>19.732500000000073</v>
      </c>
      <c r="AF1050" s="293">
        <f>AF1051-AF1049</f>
        <v>-57.46124999999995</v>
      </c>
      <c r="AG1050" s="291"/>
      <c r="AH1050" s="293">
        <f>AH1051-AH1049</f>
        <v>22.027500000000032</v>
      </c>
      <c r="AI1050" s="293">
        <f>AI1051-AI1049</f>
        <v>0.41250000000002274</v>
      </c>
      <c r="AJ1050" s="293">
        <f>AJ1051-AJ1049</f>
        <v>-33.404999999999973</v>
      </c>
      <c r="AK1050" s="293">
        <f>AK1051-AK1049</f>
        <v>-30.537500000000023</v>
      </c>
      <c r="AL1050" s="291"/>
      <c r="AM1050" s="293">
        <f>AM1051-AM1049</f>
        <v>-8.5449999999999591</v>
      </c>
      <c r="AN1050" s="293">
        <f>AN1051-AN1049</f>
        <v>-29.144999999999982</v>
      </c>
      <c r="AO1050" s="293">
        <f>AO1051-AO1049</f>
        <v>-74.177500000000009</v>
      </c>
      <c r="AP1050" s="293">
        <f>AP1051-AP1049</f>
        <v>-18.475000000000023</v>
      </c>
      <c r="AQ1050" s="291"/>
      <c r="AR1050" s="293">
        <f>AR1051-AR1049</f>
        <v>-32.584999999999923</v>
      </c>
      <c r="AS1050" s="293">
        <f>AS1051-AS1049</f>
        <v>-110.80499999999995</v>
      </c>
      <c r="AT1050" s="293">
        <f>AT1051-AT1049</f>
        <v>59.547500000000014</v>
      </c>
      <c r="AU1050" s="293">
        <f>AU1051-AU1049</f>
        <v>-110.22749999999996</v>
      </c>
      <c r="AV1050" s="291"/>
      <c r="AW1050" s="293">
        <f>AW1051-AW1049</f>
        <v>-99.480000000000018</v>
      </c>
      <c r="AX1050" s="293">
        <f>AX1051-AX1049</f>
        <v>-67.49249999999995</v>
      </c>
      <c r="AY1050" s="293">
        <f>AY1051-AY1049</f>
        <v>-55.852499999999964</v>
      </c>
    </row>
    <row r="1051" spans="1:78">
      <c r="A1051" s="354" t="s">
        <v>1356</v>
      </c>
      <c r="B1051" s="354"/>
      <c r="C1051" s="354"/>
      <c r="D1051" s="354"/>
      <c r="E1051" s="354"/>
      <c r="F1051" s="354"/>
      <c r="G1051" s="354"/>
      <c r="H1051" s="354"/>
      <c r="I1051" s="355"/>
      <c r="J1051" s="355"/>
      <c r="K1051" s="355"/>
      <c r="L1051" s="355"/>
      <c r="M1051" s="355"/>
      <c r="N1051" s="355"/>
      <c r="O1051" s="355"/>
      <c r="P1051" s="355"/>
      <c r="Q1051" s="355"/>
      <c r="R1051" s="355"/>
      <c r="S1051" s="355"/>
      <c r="T1051" s="355"/>
      <c r="U1051" s="355"/>
      <c r="V1051" s="355"/>
      <c r="W1051" s="355"/>
      <c r="X1051" s="355"/>
      <c r="Y1051" s="355"/>
      <c r="Z1051" s="355"/>
      <c r="AA1051" s="355"/>
      <c r="AB1051" s="355"/>
      <c r="AC1051" s="355"/>
      <c r="AD1051" s="355">
        <f>AD1043</f>
        <v>0</v>
      </c>
      <c r="AE1051" s="355">
        <f>AE1043</f>
        <v>600</v>
      </c>
      <c r="AF1051" s="355">
        <f>AF1043</f>
        <v>525</v>
      </c>
      <c r="AG1051" s="355"/>
      <c r="AH1051" s="355">
        <f>AH1043</f>
        <v>627</v>
      </c>
      <c r="AI1051" s="355">
        <f>AI1043</f>
        <v>681</v>
      </c>
      <c r="AJ1051" s="355">
        <f>AJ1043</f>
        <v>693</v>
      </c>
      <c r="AK1051" s="355">
        <f>AK1043</f>
        <v>640</v>
      </c>
      <c r="AL1051" s="355"/>
      <c r="AM1051" s="355">
        <f>AM1043</f>
        <v>671</v>
      </c>
      <c r="AN1051" s="355">
        <f>AN1043</f>
        <v>714</v>
      </c>
      <c r="AO1051" s="355">
        <f>AO1043</f>
        <v>698</v>
      </c>
      <c r="AP1051" s="355">
        <f>AP1043</f>
        <v>716</v>
      </c>
      <c r="AQ1051" s="355"/>
      <c r="AR1051" s="355">
        <f>AR1043</f>
        <v>757</v>
      </c>
      <c r="AS1051" s="355">
        <f>AS1043</f>
        <v>735</v>
      </c>
      <c r="AT1051" s="355">
        <f>AT1043</f>
        <v>740</v>
      </c>
      <c r="AU1051" s="355">
        <f>AU1043</f>
        <v>732</v>
      </c>
      <c r="AV1051" s="355"/>
      <c r="AW1051" s="355">
        <f>AW1043</f>
        <v>702</v>
      </c>
      <c r="AX1051" s="355">
        <f>AX1043</f>
        <v>714</v>
      </c>
      <c r="AY1051" s="355">
        <f>AY1043</f>
        <v>753</v>
      </c>
    </row>
    <row r="1053" spans="1:78">
      <c r="A1053" s="1" t="s">
        <v>236</v>
      </c>
    </row>
    <row r="1054" spans="1:78">
      <c r="A1054" s="5" t="s">
        <v>1346</v>
      </c>
      <c r="AD1054" s="136">
        <v>0</v>
      </c>
      <c r="AE1054" s="36">
        <f>AD1060</f>
        <v>691</v>
      </c>
      <c r="AF1054" s="36">
        <f>AE1060</f>
        <v>696</v>
      </c>
      <c r="AG1054" s="136">
        <v>0</v>
      </c>
      <c r="AH1054" s="36">
        <f>AG1060</f>
        <v>659</v>
      </c>
      <c r="AI1054" s="36">
        <f>AH1060</f>
        <v>664</v>
      </c>
      <c r="AJ1054" s="36">
        <f>AI1060</f>
        <v>669</v>
      </c>
      <c r="AK1054" s="36">
        <f>AJ1060</f>
        <v>674</v>
      </c>
      <c r="AL1054" s="36">
        <f>AG1060</f>
        <v>659</v>
      </c>
      <c r="AM1054" s="36">
        <f>AL1060</f>
        <v>678</v>
      </c>
      <c r="AN1054" s="36">
        <f>AM1060</f>
        <v>683</v>
      </c>
      <c r="AO1054" s="36">
        <f>AN1060</f>
        <v>688</v>
      </c>
      <c r="AP1054" s="36">
        <f>AO1060</f>
        <v>691</v>
      </c>
      <c r="AQ1054" s="36">
        <f>AL1060</f>
        <v>678</v>
      </c>
      <c r="AR1054" s="36">
        <f>AQ1060</f>
        <v>696</v>
      </c>
      <c r="AS1054" s="36">
        <f>AR1060</f>
        <v>700</v>
      </c>
      <c r="AT1054" s="36">
        <f>AS1060</f>
        <v>705</v>
      </c>
      <c r="AU1054" s="36">
        <f>AT1060</f>
        <v>710</v>
      </c>
      <c r="AV1054" s="36">
        <f>AQ1060</f>
        <v>696</v>
      </c>
      <c r="AW1054" s="36">
        <f>AV1060</f>
        <v>715</v>
      </c>
      <c r="AX1054" s="36">
        <f>AW1060</f>
        <v>720</v>
      </c>
      <c r="AY1054" s="36">
        <f>AX1060</f>
        <v>725</v>
      </c>
      <c r="AZ1054" s="36">
        <f>AY1060</f>
        <v>729</v>
      </c>
      <c r="BA1054" s="36">
        <f>AV1060</f>
        <v>715</v>
      </c>
      <c r="BB1054" s="36">
        <f>BA1060</f>
        <v>733</v>
      </c>
      <c r="BC1054" s="36">
        <f>BB1060</f>
        <v>738</v>
      </c>
      <c r="BD1054" s="36">
        <f>BC1060</f>
        <v>743</v>
      </c>
      <c r="BE1054" s="36">
        <f>BD1060</f>
        <v>747</v>
      </c>
      <c r="BF1054" s="36">
        <f>BA1060</f>
        <v>733</v>
      </c>
      <c r="BG1054" s="36">
        <f>BF1060</f>
        <v>751</v>
      </c>
      <c r="BH1054" s="36">
        <f>BG1060</f>
        <v>756</v>
      </c>
      <c r="BI1054" s="36">
        <f>BH1060</f>
        <v>761</v>
      </c>
      <c r="BJ1054" s="36">
        <f>BI1060</f>
        <v>765</v>
      </c>
      <c r="BK1054" s="36">
        <f>BF1060</f>
        <v>751</v>
      </c>
      <c r="BL1054" s="36">
        <f>BK1060</f>
        <v>769</v>
      </c>
      <c r="BM1054" s="36">
        <f>BL1060</f>
        <v>774</v>
      </c>
      <c r="BN1054" s="36">
        <f>BM1060</f>
        <v>779</v>
      </c>
      <c r="BO1054" s="36">
        <f>BN1060</f>
        <v>783</v>
      </c>
      <c r="BP1054" s="36">
        <f>BK1060</f>
        <v>769</v>
      </c>
      <c r="BQ1054" s="36">
        <f>BP1060</f>
        <v>787</v>
      </c>
      <c r="BR1054" s="36">
        <f>BQ1060</f>
        <v>792</v>
      </c>
      <c r="BS1054" s="36">
        <f>BR1060</f>
        <v>797</v>
      </c>
      <c r="BT1054" s="36">
        <f>BS1060</f>
        <v>801</v>
      </c>
      <c r="BU1054" s="36">
        <f>BP1060</f>
        <v>787</v>
      </c>
      <c r="BV1054" s="36">
        <f>BU1060</f>
        <v>805</v>
      </c>
      <c r="BW1054" s="36">
        <f>BV1060</f>
        <v>810</v>
      </c>
      <c r="BX1054" s="36">
        <f>BW1060</f>
        <v>815</v>
      </c>
      <c r="BY1054" s="36">
        <f>BX1060</f>
        <v>819</v>
      </c>
      <c r="BZ1054" s="36">
        <f>BU1060</f>
        <v>805</v>
      </c>
    </row>
    <row r="1055" spans="1:78">
      <c r="A1055" s="5" t="s">
        <v>1349</v>
      </c>
      <c r="AD1055" s="136">
        <v>691</v>
      </c>
      <c r="AE1055" s="136">
        <f>691-AD1055</f>
        <v>0</v>
      </c>
      <c r="AF1055" s="136">
        <f>649-AE1055-AD1055</f>
        <v>-42</v>
      </c>
      <c r="AG1055" s="36">
        <f>SUM(AC1055:AF1055)</f>
        <v>649</v>
      </c>
      <c r="AH1055" s="136">
        <v>0</v>
      </c>
      <c r="AI1055" s="136">
        <v>0</v>
      </c>
      <c r="AJ1055" s="136">
        <v>0</v>
      </c>
      <c r="AK1055" s="136">
        <v>0</v>
      </c>
      <c r="AL1055" s="36">
        <f>SUM(AH1055:AK1055)</f>
        <v>0</v>
      </c>
      <c r="AM1055" s="136">
        <v>0</v>
      </c>
      <c r="AN1055" s="136">
        <v>0</v>
      </c>
      <c r="AO1055" s="136">
        <v>0</v>
      </c>
      <c r="AP1055" s="136">
        <v>0</v>
      </c>
      <c r="AQ1055" s="36">
        <f>SUM(AM1055:AP1055)</f>
        <v>0</v>
      </c>
      <c r="AR1055" s="136">
        <v>0</v>
      </c>
      <c r="AS1055" s="136">
        <v>0</v>
      </c>
      <c r="AT1055" s="136">
        <v>0</v>
      </c>
      <c r="AU1055" s="136">
        <v>0</v>
      </c>
      <c r="AV1055" s="36">
        <f>SUM(AR1055:AU1055)</f>
        <v>0</v>
      </c>
      <c r="AW1055" s="136">
        <v>0</v>
      </c>
      <c r="AX1055" s="136">
        <v>0</v>
      </c>
      <c r="AY1055" s="136">
        <v>0</v>
      </c>
      <c r="BA1055" s="36">
        <f>SUM(AW1055:AZ1055)</f>
        <v>0</v>
      </c>
      <c r="BF1055" s="36">
        <f>SUM(BB1055:BE1055)</f>
        <v>0</v>
      </c>
      <c r="BK1055" s="36">
        <f>SUM(BG1055:BJ1055)</f>
        <v>0</v>
      </c>
      <c r="BP1055" s="36">
        <f>SUM(BL1055:BO1055)</f>
        <v>0</v>
      </c>
      <c r="BU1055" s="36">
        <f>SUM(BQ1055:BT1055)</f>
        <v>0</v>
      </c>
      <c r="BZ1055" s="36">
        <f>SUM(BV1055:BY1055)</f>
        <v>0</v>
      </c>
    </row>
    <row r="1056" spans="1:78">
      <c r="A1056" s="5" t="s">
        <v>1345</v>
      </c>
      <c r="AD1056" s="136"/>
      <c r="AE1056" s="136">
        <v>5</v>
      </c>
      <c r="AF1056" s="136">
        <f>10-AE1056-AD1056</f>
        <v>5</v>
      </c>
      <c r="AG1056" s="36">
        <f>SUM(AC1056:AF1056)</f>
        <v>10</v>
      </c>
      <c r="AH1056" s="136">
        <v>5</v>
      </c>
      <c r="AI1056" s="136">
        <f>10-AH1056</f>
        <v>5</v>
      </c>
      <c r="AJ1056" s="136">
        <f>15-AI1056-AH1056</f>
        <v>5</v>
      </c>
      <c r="AK1056" s="136">
        <f>19-AJ1056-AI1056-AH1056</f>
        <v>4</v>
      </c>
      <c r="AL1056" s="36">
        <f>SUM(AH1056:AK1056)</f>
        <v>19</v>
      </c>
      <c r="AM1056" s="136">
        <v>5</v>
      </c>
      <c r="AN1056" s="136">
        <f>10-AM1056</f>
        <v>5</v>
      </c>
      <c r="AO1056" s="136">
        <f>15-AN1056-AM1056</f>
        <v>5</v>
      </c>
      <c r="AP1056" s="136">
        <f>19-AO1056-AN1056-AM1056</f>
        <v>4</v>
      </c>
      <c r="AQ1056" s="36">
        <f>SUM(AM1056:AP1056)</f>
        <v>19</v>
      </c>
      <c r="AR1056" s="136">
        <v>5</v>
      </c>
      <c r="AS1056" s="136">
        <f>10-AR1056</f>
        <v>5</v>
      </c>
      <c r="AT1056" s="136">
        <f>15-AS1056-AR1056</f>
        <v>5</v>
      </c>
      <c r="AU1056" s="136">
        <f>19-AT1056-AS1056-AR1056</f>
        <v>4</v>
      </c>
      <c r="AV1056" s="36">
        <f>SUM(AR1056:AU1056)</f>
        <v>19</v>
      </c>
      <c r="AW1056" s="136">
        <v>5</v>
      </c>
      <c r="AX1056" s="136">
        <f>10-AW1056</f>
        <v>5</v>
      </c>
      <c r="AY1056" s="136">
        <f>14-AX1056-AW1056</f>
        <v>4</v>
      </c>
      <c r="AZ1056" s="356">
        <f>AU1056</f>
        <v>4</v>
      </c>
      <c r="BA1056" s="36">
        <f>SUM(AW1056:AZ1056)</f>
        <v>18</v>
      </c>
      <c r="BB1056" s="356">
        <f>AW1056</f>
        <v>5</v>
      </c>
      <c r="BC1056" s="356">
        <f>AX1056</f>
        <v>5</v>
      </c>
      <c r="BD1056" s="356">
        <f>AY1056</f>
        <v>4</v>
      </c>
      <c r="BE1056" s="356">
        <f>AZ1056</f>
        <v>4</v>
      </c>
      <c r="BF1056" s="36">
        <f>SUM(BB1056:BE1056)</f>
        <v>18</v>
      </c>
      <c r="BG1056" s="356">
        <f>BB1056</f>
        <v>5</v>
      </c>
      <c r="BH1056" s="356">
        <f>BC1056</f>
        <v>5</v>
      </c>
      <c r="BI1056" s="356">
        <f>BD1056</f>
        <v>4</v>
      </c>
      <c r="BJ1056" s="356">
        <f>BE1056</f>
        <v>4</v>
      </c>
      <c r="BK1056" s="36">
        <f>SUM(BG1056:BJ1056)</f>
        <v>18</v>
      </c>
      <c r="BL1056" s="356">
        <f>BG1056</f>
        <v>5</v>
      </c>
      <c r="BM1056" s="356">
        <f>BH1056</f>
        <v>5</v>
      </c>
      <c r="BN1056" s="356">
        <f>BI1056</f>
        <v>4</v>
      </c>
      <c r="BO1056" s="356">
        <f>BJ1056</f>
        <v>4</v>
      </c>
      <c r="BP1056" s="36">
        <f>SUM(BL1056:BO1056)</f>
        <v>18</v>
      </c>
      <c r="BQ1056" s="356">
        <f>BL1056</f>
        <v>5</v>
      </c>
      <c r="BR1056" s="356">
        <f>BM1056</f>
        <v>5</v>
      </c>
      <c r="BS1056" s="356">
        <f>BN1056</f>
        <v>4</v>
      </c>
      <c r="BT1056" s="356">
        <f>BO1056</f>
        <v>4</v>
      </c>
      <c r="BU1056" s="36">
        <f>SUM(BQ1056:BT1056)</f>
        <v>18</v>
      </c>
      <c r="BV1056" s="356">
        <f>BQ1056</f>
        <v>5</v>
      </c>
      <c r="BW1056" s="356">
        <f>BR1056</f>
        <v>5</v>
      </c>
      <c r="BX1056" s="356">
        <f>BS1056</f>
        <v>4</v>
      </c>
      <c r="BY1056" s="356">
        <f>BT1056</f>
        <v>4</v>
      </c>
      <c r="BZ1056" s="36">
        <f>SUM(BV1056:BY1056)</f>
        <v>18</v>
      </c>
    </row>
    <row r="1057" spans="1:78">
      <c r="A1057" s="5" t="s">
        <v>1347</v>
      </c>
      <c r="AD1057" s="36"/>
      <c r="AG1057" s="36"/>
    </row>
    <row r="1058" spans="1:78">
      <c r="A1058" s="5" t="s">
        <v>1351</v>
      </c>
      <c r="AD1058" s="136"/>
      <c r="AE1058" s="136"/>
      <c r="AF1058" s="136"/>
      <c r="AG1058" s="36"/>
      <c r="AH1058" s="136"/>
      <c r="AI1058" s="136"/>
      <c r="AJ1058" s="136"/>
      <c r="AK1058" s="136"/>
      <c r="AL1058" s="36"/>
      <c r="AM1058" s="136"/>
      <c r="AN1058" s="136"/>
      <c r="AO1058" s="136"/>
      <c r="AP1058" s="136"/>
      <c r="AQ1058" s="36"/>
      <c r="AR1058" s="136"/>
      <c r="AS1058" s="136"/>
      <c r="AT1058" s="136"/>
      <c r="AU1058" s="136"/>
      <c r="AV1058" s="36"/>
      <c r="AW1058" s="136"/>
      <c r="AX1058" s="136"/>
      <c r="AY1058" s="136"/>
      <c r="AZ1058" s="360"/>
      <c r="BA1058" s="36"/>
      <c r="BF1058" s="36"/>
      <c r="BK1058" s="36"/>
      <c r="BP1058" s="36"/>
      <c r="BU1058" s="36"/>
      <c r="BZ1058" s="36"/>
    </row>
    <row r="1059" spans="1:78">
      <c r="A1059" s="5" t="s">
        <v>1352</v>
      </c>
      <c r="AD1059" s="36">
        <f t="shared" ref="AD1059:AP1059" si="3433">AD1060-SUM(AD1054:AD1058)</f>
        <v>0</v>
      </c>
      <c r="AE1059" s="36">
        <f t="shared" si="3433"/>
        <v>0</v>
      </c>
      <c r="AF1059" s="36">
        <f t="shared" si="3433"/>
        <v>0</v>
      </c>
      <c r="AG1059" s="36">
        <f t="shared" si="3433"/>
        <v>0</v>
      </c>
      <c r="AH1059" s="36">
        <f t="shared" si="3433"/>
        <v>0</v>
      </c>
      <c r="AI1059" s="36">
        <f t="shared" si="3433"/>
        <v>0</v>
      </c>
      <c r="AJ1059" s="36">
        <f t="shared" si="3433"/>
        <v>0</v>
      </c>
      <c r="AK1059" s="36">
        <f t="shared" si="3433"/>
        <v>0</v>
      </c>
      <c r="AL1059" s="36">
        <f t="shared" si="3433"/>
        <v>0</v>
      </c>
      <c r="AM1059" s="36">
        <f t="shared" si="3433"/>
        <v>0</v>
      </c>
      <c r="AN1059" s="36">
        <f t="shared" si="3433"/>
        <v>0</v>
      </c>
      <c r="AO1059" s="36">
        <f t="shared" si="3433"/>
        <v>-2</v>
      </c>
      <c r="AP1059" s="36">
        <f t="shared" si="3433"/>
        <v>1</v>
      </c>
      <c r="AQ1059" s="36">
        <f t="shared" ref="AQ1059" si="3434">AQ1060-SUM(AQ1054:AQ1058)</f>
        <v>-1</v>
      </c>
      <c r="AR1059" s="36">
        <f t="shared" ref="AR1059:AU1059" si="3435">AR1060-SUM(AR1054:AR1058)</f>
        <v>-1</v>
      </c>
      <c r="AS1059" s="36">
        <f t="shared" si="3435"/>
        <v>0</v>
      </c>
      <c r="AT1059" s="36">
        <f t="shared" si="3435"/>
        <v>0</v>
      </c>
      <c r="AU1059" s="36">
        <f t="shared" si="3435"/>
        <v>1</v>
      </c>
      <c r="AV1059" s="36">
        <f t="shared" ref="AV1059:AY1059" si="3436">AV1060-SUM(AV1054:AV1058)</f>
        <v>0</v>
      </c>
      <c r="AW1059" s="36">
        <f t="shared" si="3436"/>
        <v>0</v>
      </c>
      <c r="AX1059" s="36">
        <f t="shared" si="3436"/>
        <v>0</v>
      </c>
      <c r="AY1059" s="36">
        <f t="shared" si="3436"/>
        <v>0</v>
      </c>
      <c r="BA1059" s="36">
        <f>BA1060-SUM(BA1054:BA1058)</f>
        <v>0</v>
      </c>
      <c r="BF1059" s="36">
        <f>BF1060-SUM(BF1054:BF1058)</f>
        <v>0</v>
      </c>
      <c r="BK1059" s="36">
        <f>BK1060-SUM(BK1054:BK1058)</f>
        <v>0</v>
      </c>
      <c r="BP1059" s="36">
        <f>BP1060-SUM(BP1054:BP1058)</f>
        <v>0</v>
      </c>
      <c r="BU1059" s="36">
        <f>BU1060-SUM(BU1054:BU1058)</f>
        <v>0</v>
      </c>
      <c r="BZ1059" s="36">
        <f>BZ1060-SUM(BZ1054:BZ1058)</f>
        <v>0</v>
      </c>
    </row>
    <row r="1060" spans="1:78">
      <c r="A1060" s="9" t="s">
        <v>1344</v>
      </c>
      <c r="B1060" s="9"/>
      <c r="C1060" s="9"/>
      <c r="D1060" s="9"/>
      <c r="E1060" s="9"/>
      <c r="F1060" s="9"/>
      <c r="G1060" s="9"/>
      <c r="H1060" s="9"/>
      <c r="I1060" s="39"/>
      <c r="J1060" s="39"/>
      <c r="K1060" s="39"/>
      <c r="L1060" s="39"/>
      <c r="M1060" s="39"/>
      <c r="N1060" s="39"/>
      <c r="O1060" s="39"/>
      <c r="P1060" s="39"/>
      <c r="Q1060" s="39"/>
      <c r="R1060" s="39"/>
      <c r="S1060" s="39"/>
      <c r="T1060" s="39"/>
      <c r="U1060" s="39"/>
      <c r="V1060" s="39"/>
      <c r="W1060" s="39"/>
      <c r="X1060" s="39"/>
      <c r="Y1060" s="39"/>
      <c r="Z1060" s="39"/>
      <c r="AA1060" s="39"/>
      <c r="AB1060" s="39"/>
      <c r="AC1060" s="39"/>
      <c r="AD1060" s="67">
        <v>691</v>
      </c>
      <c r="AE1060" s="67">
        <v>696</v>
      </c>
      <c r="AF1060" s="67">
        <v>659</v>
      </c>
      <c r="AG1060" s="39">
        <f>AF1060</f>
        <v>659</v>
      </c>
      <c r="AH1060" s="67">
        <v>664</v>
      </c>
      <c r="AI1060" s="67">
        <v>669</v>
      </c>
      <c r="AJ1060" s="67">
        <v>674</v>
      </c>
      <c r="AK1060" s="67">
        <v>678</v>
      </c>
      <c r="AL1060" s="39">
        <f>AK1060</f>
        <v>678</v>
      </c>
      <c r="AM1060" s="67">
        <v>683</v>
      </c>
      <c r="AN1060" s="67">
        <v>688</v>
      </c>
      <c r="AO1060" s="67">
        <v>691</v>
      </c>
      <c r="AP1060" s="67">
        <v>696</v>
      </c>
      <c r="AQ1060" s="39">
        <f>AP1060</f>
        <v>696</v>
      </c>
      <c r="AR1060" s="67">
        <v>700</v>
      </c>
      <c r="AS1060" s="67">
        <v>705</v>
      </c>
      <c r="AT1060" s="67">
        <v>710</v>
      </c>
      <c r="AU1060" s="67">
        <v>715</v>
      </c>
      <c r="AV1060" s="39">
        <f>AU1060</f>
        <v>715</v>
      </c>
      <c r="AW1060" s="67">
        <v>720</v>
      </c>
      <c r="AX1060" s="67">
        <v>725</v>
      </c>
      <c r="AY1060" s="67">
        <v>729</v>
      </c>
      <c r="AZ1060" s="39">
        <f>SUM(AZ1054:AZ1059)</f>
        <v>733</v>
      </c>
      <c r="BA1060" s="39">
        <f>AZ1060</f>
        <v>733</v>
      </c>
      <c r="BB1060" s="39">
        <f>SUM(BB1054:BB1059)</f>
        <v>738</v>
      </c>
      <c r="BC1060" s="39">
        <f>SUM(BC1054:BC1059)</f>
        <v>743</v>
      </c>
      <c r="BD1060" s="39">
        <f>SUM(BD1054:BD1059)</f>
        <v>747</v>
      </c>
      <c r="BE1060" s="39">
        <f>SUM(BE1054:BE1059)</f>
        <v>751</v>
      </c>
      <c r="BF1060" s="39">
        <f>BE1060</f>
        <v>751</v>
      </c>
      <c r="BG1060" s="39">
        <f>SUM(BG1054:BG1059)</f>
        <v>756</v>
      </c>
      <c r="BH1060" s="39">
        <f>SUM(BH1054:BH1059)</f>
        <v>761</v>
      </c>
      <c r="BI1060" s="39">
        <f>SUM(BI1054:BI1059)</f>
        <v>765</v>
      </c>
      <c r="BJ1060" s="39">
        <f>SUM(BJ1054:BJ1059)</f>
        <v>769</v>
      </c>
      <c r="BK1060" s="39">
        <f>BJ1060</f>
        <v>769</v>
      </c>
      <c r="BL1060" s="39">
        <f>SUM(BL1054:BL1059)</f>
        <v>774</v>
      </c>
      <c r="BM1060" s="39">
        <f>SUM(BM1054:BM1059)</f>
        <v>779</v>
      </c>
      <c r="BN1060" s="39">
        <f>SUM(BN1054:BN1059)</f>
        <v>783</v>
      </c>
      <c r="BO1060" s="39">
        <f>SUM(BO1054:BO1059)</f>
        <v>787</v>
      </c>
      <c r="BP1060" s="39">
        <f>BO1060</f>
        <v>787</v>
      </c>
      <c r="BQ1060" s="39">
        <f>SUM(BQ1054:BQ1059)</f>
        <v>792</v>
      </c>
      <c r="BR1060" s="39">
        <f>SUM(BR1054:BR1059)</f>
        <v>797</v>
      </c>
      <c r="BS1060" s="39">
        <f>SUM(BS1054:BS1059)</f>
        <v>801</v>
      </c>
      <c r="BT1060" s="39">
        <f>SUM(BT1054:BT1059)</f>
        <v>805</v>
      </c>
      <c r="BU1060" s="39">
        <f>BT1060</f>
        <v>805</v>
      </c>
      <c r="BV1060" s="39">
        <f>SUM(BV1054:BV1059)</f>
        <v>810</v>
      </c>
      <c r="BW1060" s="39">
        <f>SUM(BW1054:BW1059)</f>
        <v>815</v>
      </c>
      <c r="BX1060" s="39">
        <f>SUM(BX1054:BX1059)</f>
        <v>819</v>
      </c>
      <c r="BY1060" s="39">
        <f>SUM(BY1054:BY1059)</f>
        <v>823</v>
      </c>
      <c r="BZ1060" s="39">
        <f>BY1060</f>
        <v>823</v>
      </c>
    </row>
    <row r="1062" spans="1:78">
      <c r="A1062" s="353" t="s">
        <v>1355</v>
      </c>
      <c r="B1062" s="291"/>
      <c r="C1062" s="291"/>
      <c r="D1062" s="291"/>
      <c r="E1062" s="291"/>
      <c r="F1062" s="291"/>
      <c r="G1062" s="291"/>
      <c r="H1062" s="291"/>
      <c r="I1062" s="291"/>
      <c r="J1062" s="291"/>
      <c r="K1062" s="291"/>
      <c r="L1062" s="291"/>
      <c r="M1062" s="291"/>
      <c r="N1062" s="291"/>
      <c r="O1062" s="291"/>
      <c r="P1062" s="291"/>
      <c r="Q1062" s="291"/>
      <c r="R1062" s="291"/>
      <c r="S1062" s="291"/>
      <c r="T1062" s="291"/>
      <c r="U1062" s="291"/>
      <c r="V1062" s="291"/>
      <c r="W1062" s="291"/>
      <c r="X1062" s="291"/>
      <c r="Y1062" s="291"/>
      <c r="Z1062" s="291"/>
      <c r="AA1062" s="291"/>
      <c r="AB1062" s="291"/>
      <c r="AC1062" s="291"/>
      <c r="AD1062" s="293">
        <f>(AD1054+0.5*AD1055)*3%/4</f>
        <v>2.5912500000000001</v>
      </c>
      <c r="AE1062" s="293">
        <f>(AE1054+0.5*AE1055)*3%/4</f>
        <v>5.1825000000000001</v>
      </c>
      <c r="AF1062" s="293">
        <f>(AF1054+0.5*AF1055)*3%/4</f>
        <v>5.0625</v>
      </c>
      <c r="AG1062" s="291"/>
      <c r="AH1062" s="293">
        <f>(AH1054+0.5*AH1055)*3%/4</f>
        <v>4.9424999999999999</v>
      </c>
      <c r="AI1062" s="293">
        <f>(AI1054+0.5*AI1055)*3%/4</f>
        <v>4.9799999999999995</v>
      </c>
      <c r="AJ1062" s="293">
        <f>(AJ1054+0.5*AJ1055)*3%/4</f>
        <v>5.0175000000000001</v>
      </c>
      <c r="AK1062" s="293">
        <f>(AK1054+0.5*AK1055)*3%/4</f>
        <v>5.0549999999999997</v>
      </c>
      <c r="AL1062" s="291"/>
      <c r="AM1062" s="293">
        <f>(AM1054+0.5*AM1055)*3%/4</f>
        <v>5.085</v>
      </c>
      <c r="AN1062" s="293">
        <f>(AN1054+0.5*AN1055)*3%/4</f>
        <v>5.1224999999999996</v>
      </c>
      <c r="AO1062" s="293">
        <f>(AO1054+0.5*AO1055)*3%/4</f>
        <v>5.16</v>
      </c>
      <c r="AP1062" s="293">
        <f>(AP1054+0.5*AP1055)*3%/4</f>
        <v>5.1825000000000001</v>
      </c>
      <c r="AQ1062" s="291"/>
      <c r="AR1062" s="293">
        <f>(AR1054+0.5*AR1055)*3%/4</f>
        <v>5.22</v>
      </c>
      <c r="AS1062" s="293">
        <f>(AS1054+0.5*AS1055)*3%/4</f>
        <v>5.25</v>
      </c>
      <c r="AT1062" s="293">
        <f>(AT1054+0.5*AT1055)*3%/4</f>
        <v>5.2874999999999996</v>
      </c>
      <c r="AU1062" s="293">
        <f>(AU1054+0.5*AU1055)*3%/4</f>
        <v>5.3250000000000002</v>
      </c>
      <c r="AV1062" s="291"/>
      <c r="AW1062" s="293">
        <f>(AW1054+0.5*AW1055)*3%/4</f>
        <v>5.3624999999999998</v>
      </c>
      <c r="AX1062" s="293">
        <f>(AX1054+0.5*AX1055)*3%/4</f>
        <v>5.3999999999999995</v>
      </c>
      <c r="AY1062" s="293">
        <f>(AY1054+0.5*AY1055)*3%/4</f>
        <v>5.4375</v>
      </c>
    </row>
    <row r="1063" spans="1:78">
      <c r="A1063" s="353" t="s">
        <v>276</v>
      </c>
      <c r="B1063" s="291"/>
      <c r="C1063" s="291"/>
      <c r="D1063" s="291"/>
      <c r="E1063" s="291"/>
      <c r="F1063" s="291"/>
      <c r="G1063" s="291"/>
      <c r="H1063" s="291"/>
      <c r="I1063" s="291"/>
      <c r="J1063" s="291"/>
      <c r="K1063" s="291"/>
      <c r="L1063" s="291"/>
      <c r="M1063" s="291"/>
      <c r="N1063" s="291"/>
      <c r="O1063" s="291"/>
      <c r="P1063" s="291"/>
      <c r="Q1063" s="291"/>
      <c r="R1063" s="291"/>
      <c r="S1063" s="291"/>
      <c r="T1063" s="291"/>
      <c r="U1063" s="291"/>
      <c r="V1063" s="291"/>
      <c r="W1063" s="291"/>
      <c r="X1063" s="291"/>
      <c r="Y1063" s="291"/>
      <c r="Z1063" s="291"/>
      <c r="AA1063" s="291"/>
      <c r="AB1063" s="291"/>
      <c r="AC1063" s="291"/>
      <c r="AD1063" s="293">
        <f>AD1064-AD1062</f>
        <v>-2.5912500000000001</v>
      </c>
      <c r="AE1063" s="293">
        <f>AE1064-AE1062</f>
        <v>-0.18250000000000011</v>
      </c>
      <c r="AF1063" s="293">
        <f>AF1064-AF1062</f>
        <v>-6.25E-2</v>
      </c>
      <c r="AG1063" s="291"/>
      <c r="AH1063" s="293">
        <f>AH1064-AH1062</f>
        <v>5.7500000000000107E-2</v>
      </c>
      <c r="AI1063" s="293">
        <f>AI1064-AI1062</f>
        <v>2.0000000000000462E-2</v>
      </c>
      <c r="AJ1063" s="293">
        <f>AJ1064-AJ1062</f>
        <v>-1.7500000000000071E-2</v>
      </c>
      <c r="AK1063" s="293">
        <f>AK1064-AK1062</f>
        <v>-1.0549999999999997</v>
      </c>
      <c r="AL1063" s="291"/>
      <c r="AM1063" s="293">
        <f>AM1064-AM1062</f>
        <v>-8.4999999999999964E-2</v>
      </c>
      <c r="AN1063" s="293">
        <f>AN1064-AN1062</f>
        <v>-0.12249999999999961</v>
      </c>
      <c r="AO1063" s="293">
        <f>AO1064-AO1062</f>
        <v>-0.16000000000000014</v>
      </c>
      <c r="AP1063" s="293">
        <f>AP1064-AP1062</f>
        <v>-1.1825000000000001</v>
      </c>
      <c r="AQ1063" s="291"/>
      <c r="AR1063" s="293">
        <f>AR1064-AR1062</f>
        <v>-0.21999999999999975</v>
      </c>
      <c r="AS1063" s="293">
        <f>AS1064-AS1062</f>
        <v>-0.25</v>
      </c>
      <c r="AT1063" s="293">
        <f>AT1064-AT1062</f>
        <v>-0.28749999999999964</v>
      </c>
      <c r="AU1063" s="293">
        <f>AU1064-AU1062</f>
        <v>-1.3250000000000002</v>
      </c>
      <c r="AV1063" s="291"/>
      <c r="AW1063" s="293">
        <f>AW1064-AW1062</f>
        <v>-0.36249999999999982</v>
      </c>
      <c r="AX1063" s="293">
        <f>AX1064-AX1062</f>
        <v>-0.39999999999999947</v>
      </c>
      <c r="AY1063" s="293">
        <f>AY1064-AY1062</f>
        <v>-1.4375</v>
      </c>
    </row>
    <row r="1064" spans="1:78">
      <c r="A1064" s="354" t="s">
        <v>1356</v>
      </c>
      <c r="B1064" s="354"/>
      <c r="C1064" s="354"/>
      <c r="D1064" s="354"/>
      <c r="E1064" s="354"/>
      <c r="F1064" s="354"/>
      <c r="G1064" s="354"/>
      <c r="H1064" s="354"/>
      <c r="I1064" s="355"/>
      <c r="J1064" s="355"/>
      <c r="K1064" s="355"/>
      <c r="L1064" s="355"/>
      <c r="M1064" s="355"/>
      <c r="N1064" s="355"/>
      <c r="O1064" s="355"/>
      <c r="P1064" s="355"/>
      <c r="Q1064" s="355"/>
      <c r="R1064" s="355"/>
      <c r="S1064" s="355"/>
      <c r="T1064" s="355"/>
      <c r="U1064" s="355"/>
      <c r="V1064" s="355"/>
      <c r="W1064" s="355"/>
      <c r="X1064" s="355"/>
      <c r="Y1064" s="355"/>
      <c r="Z1064" s="355"/>
      <c r="AA1064" s="355"/>
      <c r="AB1064" s="355"/>
      <c r="AC1064" s="355"/>
      <c r="AD1064" s="355">
        <f>AD1056</f>
        <v>0</v>
      </c>
      <c r="AE1064" s="355">
        <f>AE1056</f>
        <v>5</v>
      </c>
      <c r="AF1064" s="355">
        <f>AF1056</f>
        <v>5</v>
      </c>
      <c r="AG1064" s="355"/>
      <c r="AH1064" s="355">
        <f>AH1056</f>
        <v>5</v>
      </c>
      <c r="AI1064" s="355">
        <f>AI1056</f>
        <v>5</v>
      </c>
      <c r="AJ1064" s="355">
        <f>AJ1056</f>
        <v>5</v>
      </c>
      <c r="AK1064" s="355">
        <f>AK1056</f>
        <v>4</v>
      </c>
      <c r="AL1064" s="355"/>
      <c r="AM1064" s="355">
        <f>AM1056</f>
        <v>5</v>
      </c>
      <c r="AN1064" s="355">
        <f>AN1056</f>
        <v>5</v>
      </c>
      <c r="AO1064" s="355">
        <f>AO1056</f>
        <v>5</v>
      </c>
      <c r="AP1064" s="355">
        <f>AP1056</f>
        <v>4</v>
      </c>
      <c r="AQ1064" s="355"/>
      <c r="AR1064" s="355">
        <f>AR1056</f>
        <v>5</v>
      </c>
      <c r="AS1064" s="355">
        <f>AS1056</f>
        <v>5</v>
      </c>
      <c r="AT1064" s="355">
        <f>AT1056</f>
        <v>5</v>
      </c>
      <c r="AU1064" s="355">
        <f>AU1056</f>
        <v>4</v>
      </c>
      <c r="AV1064" s="355"/>
      <c r="AW1064" s="355">
        <f>AW1056</f>
        <v>5</v>
      </c>
      <c r="AX1064" s="355">
        <f>AX1056</f>
        <v>5</v>
      </c>
      <c r="AY1064" s="355">
        <f>AY1056</f>
        <v>4</v>
      </c>
    </row>
    <row r="1066" spans="1:78">
      <c r="A1066" s="1" t="s">
        <v>1353</v>
      </c>
      <c r="AD1066" s="136">
        <v>-690</v>
      </c>
      <c r="AE1066" s="136">
        <v>-696</v>
      </c>
      <c r="AF1066" s="136">
        <v>-659</v>
      </c>
      <c r="AG1066" s="36">
        <f>AF1066</f>
        <v>-659</v>
      </c>
      <c r="AH1066" s="36">
        <f t="shared" ref="AH1066:BZ1066" si="3437">AH297</f>
        <v>-460</v>
      </c>
      <c r="AI1066" s="36">
        <f t="shared" si="3437"/>
        <v>-415</v>
      </c>
      <c r="AJ1066" s="36">
        <f t="shared" si="3437"/>
        <v>-330</v>
      </c>
      <c r="AK1066" s="36">
        <f t="shared" si="3437"/>
        <v>-215</v>
      </c>
      <c r="AL1066" s="36">
        <f t="shared" si="3437"/>
        <v>-215</v>
      </c>
      <c r="AM1066" s="36">
        <f t="shared" si="3437"/>
        <v>-190</v>
      </c>
      <c r="AN1066" s="36">
        <f t="shared" si="3437"/>
        <v>-155</v>
      </c>
      <c r="AO1066" s="36">
        <f t="shared" si="3437"/>
        <v>-135</v>
      </c>
      <c r="AP1066" s="36">
        <f t="shared" si="3437"/>
        <v>-95</v>
      </c>
      <c r="AQ1066" s="36">
        <f t="shared" si="3437"/>
        <v>-95</v>
      </c>
      <c r="AR1066" s="36">
        <f t="shared" si="3437"/>
        <v>-60</v>
      </c>
      <c r="AS1066" s="36">
        <f t="shared" si="3437"/>
        <v>-70</v>
      </c>
      <c r="AT1066" s="36">
        <f t="shared" si="3437"/>
        <v>-55</v>
      </c>
      <c r="AU1066" s="36">
        <f t="shared" si="3437"/>
        <v>-35</v>
      </c>
      <c r="AV1066" s="36">
        <f t="shared" si="3437"/>
        <v>-35</v>
      </c>
      <c r="AW1066" s="36">
        <f>AW297</f>
        <v>-60</v>
      </c>
      <c r="AX1066" s="36">
        <f t="shared" si="3437"/>
        <v>-60</v>
      </c>
      <c r="AY1066" s="36">
        <f t="shared" ref="AY1066" si="3438">AY297</f>
        <v>-50</v>
      </c>
      <c r="AZ1066" s="36">
        <f t="shared" si="3437"/>
        <v>-20</v>
      </c>
      <c r="BA1066" s="36">
        <f t="shared" si="3437"/>
        <v>-20</v>
      </c>
      <c r="BB1066" s="36">
        <f t="shared" si="3437"/>
        <v>0</v>
      </c>
      <c r="BC1066" s="36">
        <f t="shared" si="3437"/>
        <v>0</v>
      </c>
      <c r="BD1066" s="36">
        <f t="shared" si="3437"/>
        <v>0</v>
      </c>
      <c r="BE1066" s="36">
        <f t="shared" si="3437"/>
        <v>-45</v>
      </c>
      <c r="BF1066" s="36">
        <f t="shared" si="3437"/>
        <v>-45</v>
      </c>
      <c r="BG1066" s="36">
        <f t="shared" si="3437"/>
        <v>-90</v>
      </c>
      <c r="BH1066" s="36">
        <f t="shared" si="3437"/>
        <v>-135</v>
      </c>
      <c r="BI1066" s="36">
        <f t="shared" si="3437"/>
        <v>-175</v>
      </c>
      <c r="BJ1066" s="36">
        <f t="shared" si="3437"/>
        <v>-215</v>
      </c>
      <c r="BK1066" s="36">
        <f t="shared" si="3437"/>
        <v>-215</v>
      </c>
      <c r="BL1066" s="36">
        <f t="shared" si="3437"/>
        <v>-250</v>
      </c>
      <c r="BM1066" s="36">
        <f t="shared" si="3437"/>
        <v>-285</v>
      </c>
      <c r="BN1066" s="36">
        <f t="shared" si="3437"/>
        <v>-310</v>
      </c>
      <c r="BO1066" s="36">
        <f t="shared" si="3437"/>
        <v>-335</v>
      </c>
      <c r="BP1066" s="36">
        <f t="shared" si="3437"/>
        <v>-335</v>
      </c>
      <c r="BQ1066" s="36">
        <f t="shared" si="3437"/>
        <v>-355</v>
      </c>
      <c r="BR1066" s="36">
        <f t="shared" si="3437"/>
        <v>-370</v>
      </c>
      <c r="BS1066" s="36">
        <f t="shared" si="3437"/>
        <v>-380</v>
      </c>
      <c r="BT1066" s="36">
        <f t="shared" si="3437"/>
        <v>-385</v>
      </c>
      <c r="BU1066" s="36">
        <f t="shared" si="3437"/>
        <v>-385</v>
      </c>
      <c r="BV1066" s="36">
        <f t="shared" si="3437"/>
        <v>-385</v>
      </c>
      <c r="BW1066" s="36">
        <f t="shared" si="3437"/>
        <v>-380</v>
      </c>
      <c r="BX1066" s="36">
        <f t="shared" si="3437"/>
        <v>-370</v>
      </c>
      <c r="BY1066" s="36">
        <f t="shared" si="3437"/>
        <v>-350</v>
      </c>
      <c r="BZ1066" s="36">
        <f t="shared" si="3437"/>
        <v>-350</v>
      </c>
    </row>
    <row r="1067" spans="1:78">
      <c r="A1067" s="9" t="s">
        <v>1354</v>
      </c>
      <c r="B1067" s="9"/>
      <c r="C1067" s="9"/>
      <c r="D1067" s="9"/>
      <c r="E1067" s="9"/>
      <c r="F1067" s="9"/>
      <c r="G1067" s="9"/>
      <c r="H1067" s="9"/>
      <c r="I1067" s="39"/>
      <c r="J1067" s="39"/>
      <c r="K1067" s="39"/>
      <c r="L1067" s="39"/>
      <c r="M1067" s="39"/>
      <c r="N1067" s="39"/>
      <c r="O1067" s="39"/>
      <c r="P1067" s="39"/>
      <c r="Q1067" s="39"/>
      <c r="R1067" s="39"/>
      <c r="S1067" s="39"/>
      <c r="T1067" s="39"/>
      <c r="U1067" s="39"/>
      <c r="V1067" s="39"/>
      <c r="W1067" s="39"/>
      <c r="X1067" s="39"/>
      <c r="Y1067" s="39"/>
      <c r="Z1067" s="39"/>
      <c r="AA1067" s="39"/>
      <c r="AB1067" s="39"/>
      <c r="AC1067" s="39"/>
      <c r="AD1067" s="39">
        <f t="shared" ref="AD1067:AO1067" si="3439">AD1060+AD1066</f>
        <v>1</v>
      </c>
      <c r="AE1067" s="39">
        <f t="shared" si="3439"/>
        <v>0</v>
      </c>
      <c r="AF1067" s="39">
        <f t="shared" si="3439"/>
        <v>0</v>
      </c>
      <c r="AG1067" s="39">
        <f t="shared" si="3439"/>
        <v>0</v>
      </c>
      <c r="AH1067" s="39">
        <f t="shared" si="3439"/>
        <v>204</v>
      </c>
      <c r="AI1067" s="39">
        <f t="shared" si="3439"/>
        <v>254</v>
      </c>
      <c r="AJ1067" s="39">
        <f t="shared" si="3439"/>
        <v>344</v>
      </c>
      <c r="AK1067" s="39">
        <f t="shared" si="3439"/>
        <v>463</v>
      </c>
      <c r="AL1067" s="39">
        <f t="shared" si="3439"/>
        <v>463</v>
      </c>
      <c r="AM1067" s="39">
        <f t="shared" si="3439"/>
        <v>493</v>
      </c>
      <c r="AN1067" s="39">
        <f t="shared" si="3439"/>
        <v>533</v>
      </c>
      <c r="AO1067" s="39">
        <f t="shared" si="3439"/>
        <v>556</v>
      </c>
      <c r="AP1067" s="39">
        <f t="shared" ref="AP1067:AQ1067" si="3440">AP1060+AP1066</f>
        <v>601</v>
      </c>
      <c r="AQ1067" s="39">
        <f t="shared" si="3440"/>
        <v>601</v>
      </c>
      <c r="AR1067" s="39">
        <f t="shared" ref="AR1067:BZ1067" si="3441">AR1060+AR1066</f>
        <v>640</v>
      </c>
      <c r="AS1067" s="39">
        <f t="shared" si="3441"/>
        <v>635</v>
      </c>
      <c r="AT1067" s="39">
        <f t="shared" si="3441"/>
        <v>655</v>
      </c>
      <c r="AU1067" s="39">
        <f t="shared" si="3441"/>
        <v>680</v>
      </c>
      <c r="AV1067" s="39">
        <f t="shared" si="3441"/>
        <v>680</v>
      </c>
      <c r="AW1067" s="39">
        <f t="shared" si="3441"/>
        <v>660</v>
      </c>
      <c r="AX1067" s="39">
        <f t="shared" si="3441"/>
        <v>665</v>
      </c>
      <c r="AY1067" s="39">
        <f t="shared" ref="AY1067" si="3442">AY1060+AY1066</f>
        <v>679</v>
      </c>
      <c r="AZ1067" s="39">
        <f t="shared" si="3441"/>
        <v>713</v>
      </c>
      <c r="BA1067" s="39">
        <f t="shared" si="3441"/>
        <v>713</v>
      </c>
      <c r="BB1067" s="39">
        <f t="shared" si="3441"/>
        <v>738</v>
      </c>
      <c r="BC1067" s="39">
        <f t="shared" si="3441"/>
        <v>743</v>
      </c>
      <c r="BD1067" s="39">
        <f t="shared" si="3441"/>
        <v>747</v>
      </c>
      <c r="BE1067" s="39">
        <f t="shared" si="3441"/>
        <v>706</v>
      </c>
      <c r="BF1067" s="39">
        <f t="shared" si="3441"/>
        <v>706</v>
      </c>
      <c r="BG1067" s="39">
        <f t="shared" si="3441"/>
        <v>666</v>
      </c>
      <c r="BH1067" s="39">
        <f t="shared" si="3441"/>
        <v>626</v>
      </c>
      <c r="BI1067" s="39">
        <f t="shared" si="3441"/>
        <v>590</v>
      </c>
      <c r="BJ1067" s="39">
        <f t="shared" si="3441"/>
        <v>554</v>
      </c>
      <c r="BK1067" s="39">
        <f t="shared" si="3441"/>
        <v>554</v>
      </c>
      <c r="BL1067" s="39">
        <f t="shared" si="3441"/>
        <v>524</v>
      </c>
      <c r="BM1067" s="39">
        <f t="shared" si="3441"/>
        <v>494</v>
      </c>
      <c r="BN1067" s="39">
        <f t="shared" si="3441"/>
        <v>473</v>
      </c>
      <c r="BO1067" s="39">
        <f t="shared" si="3441"/>
        <v>452</v>
      </c>
      <c r="BP1067" s="39">
        <f t="shared" si="3441"/>
        <v>452</v>
      </c>
      <c r="BQ1067" s="39">
        <f t="shared" si="3441"/>
        <v>437</v>
      </c>
      <c r="BR1067" s="39">
        <f t="shared" si="3441"/>
        <v>427</v>
      </c>
      <c r="BS1067" s="39">
        <f t="shared" si="3441"/>
        <v>421</v>
      </c>
      <c r="BT1067" s="39">
        <f t="shared" si="3441"/>
        <v>420</v>
      </c>
      <c r="BU1067" s="39">
        <f t="shared" si="3441"/>
        <v>420</v>
      </c>
      <c r="BV1067" s="39">
        <f t="shared" si="3441"/>
        <v>425</v>
      </c>
      <c r="BW1067" s="39">
        <f t="shared" si="3441"/>
        <v>435</v>
      </c>
      <c r="BX1067" s="39">
        <f t="shared" si="3441"/>
        <v>449</v>
      </c>
      <c r="BY1067" s="39">
        <f t="shared" si="3441"/>
        <v>473</v>
      </c>
      <c r="BZ1067" s="39">
        <f t="shared" si="3441"/>
        <v>473</v>
      </c>
    </row>
    <row r="1069" spans="1:78">
      <c r="A1069" s="343" t="s">
        <v>1342</v>
      </c>
    </row>
    <row r="1070" spans="1:78">
      <c r="AD1070" s="25"/>
    </row>
    <row r="1071" spans="1:78" s="26" customFormat="1">
      <c r="A1071" s="26" t="s">
        <v>1303</v>
      </c>
      <c r="AD1071" s="260"/>
      <c r="AE1071" s="260"/>
      <c r="AF1071" s="260"/>
      <c r="AG1071" s="260"/>
      <c r="AH1071" s="260">
        <f t="shared" ref="AH1071:BZ1071" si="3443">AH993/AH992</f>
        <v>0.98611111111111116</v>
      </c>
      <c r="AI1071" s="260">
        <f t="shared" si="3443"/>
        <v>0.93150684931506844</v>
      </c>
      <c r="AJ1071" s="260">
        <f t="shared" si="3443"/>
        <v>0.87671232876712324</v>
      </c>
      <c r="AK1071" s="260">
        <f t="shared" si="3443"/>
        <v>0.78082191780821919</v>
      </c>
      <c r="AL1071" s="260">
        <f t="shared" si="3443"/>
        <v>0.78082191780821919</v>
      </c>
      <c r="AM1071" s="260">
        <f t="shared" si="3443"/>
        <v>0.82191780821917804</v>
      </c>
      <c r="AN1071" s="260">
        <f t="shared" si="3443"/>
        <v>0.79729729729729726</v>
      </c>
      <c r="AO1071" s="260">
        <f t="shared" si="3443"/>
        <v>0.85135135135135132</v>
      </c>
      <c r="AP1071" s="260">
        <f t="shared" si="3443"/>
        <v>0.85135135135135132</v>
      </c>
      <c r="AQ1071" s="260">
        <f t="shared" si="3443"/>
        <v>0.85135135135135132</v>
      </c>
      <c r="AR1071" s="260">
        <f t="shared" si="3443"/>
        <v>0.83783783783783783</v>
      </c>
      <c r="AS1071" s="260">
        <f t="shared" si="3443"/>
        <v>0.86486486486486491</v>
      </c>
      <c r="AT1071" s="260">
        <f t="shared" ref="AT1071" si="3444">AT993/AT992</f>
        <v>0.85333333333333339</v>
      </c>
      <c r="AU1071" s="260">
        <f t="shared" si="3443"/>
        <v>0.85333333333333339</v>
      </c>
      <c r="AV1071" s="260">
        <f t="shared" si="3443"/>
        <v>0.85333333333333339</v>
      </c>
      <c r="AW1071" s="260">
        <f t="shared" si="3443"/>
        <v>0.92</v>
      </c>
      <c r="AX1071" s="260">
        <f t="shared" si="3443"/>
        <v>0.93421052631578949</v>
      </c>
      <c r="AY1071" s="260">
        <f t="shared" si="3443"/>
        <v>0.92</v>
      </c>
      <c r="AZ1071" s="260">
        <f t="shared" si="3443"/>
        <v>0.93733333333333335</v>
      </c>
      <c r="BA1071" s="260">
        <f t="shared" si="3443"/>
        <v>0.93733333333333335</v>
      </c>
      <c r="BB1071" s="260">
        <f t="shared" si="3443"/>
        <v>0.95466666666666666</v>
      </c>
      <c r="BC1071" s="260">
        <f t="shared" si="3443"/>
        <v>0.97199999999999998</v>
      </c>
      <c r="BD1071" s="260">
        <f t="shared" si="3443"/>
        <v>0.99</v>
      </c>
      <c r="BE1071" s="260">
        <f t="shared" si="3443"/>
        <v>1.008</v>
      </c>
      <c r="BF1071" s="260">
        <f t="shared" si="3443"/>
        <v>1.008</v>
      </c>
      <c r="BG1071" s="260">
        <f t="shared" si="3443"/>
        <v>1.026</v>
      </c>
      <c r="BH1071" s="260">
        <f t="shared" si="3443"/>
        <v>1.0433333333333332</v>
      </c>
      <c r="BI1071" s="260">
        <f t="shared" si="3443"/>
        <v>1.0606666666666666</v>
      </c>
      <c r="BJ1071" s="260">
        <f t="shared" si="3443"/>
        <v>1.0780000000000001</v>
      </c>
      <c r="BK1071" s="260">
        <f t="shared" si="3443"/>
        <v>1.0780000000000001</v>
      </c>
      <c r="BL1071" s="260">
        <f t="shared" si="3443"/>
        <v>1.0946666666666667</v>
      </c>
      <c r="BM1071" s="260">
        <f t="shared" si="3443"/>
        <v>1.1106666666666667</v>
      </c>
      <c r="BN1071" s="260">
        <f t="shared" si="3443"/>
        <v>1.1259999999999999</v>
      </c>
      <c r="BO1071" s="260">
        <f t="shared" si="3443"/>
        <v>1.1413333333333333</v>
      </c>
      <c r="BP1071" s="260">
        <f t="shared" si="3443"/>
        <v>1.1413333333333333</v>
      </c>
      <c r="BQ1071" s="260">
        <f t="shared" si="3443"/>
        <v>1.1559999999999999</v>
      </c>
      <c r="BR1071" s="260">
        <f t="shared" si="3443"/>
        <v>1.17</v>
      </c>
      <c r="BS1071" s="260">
        <f t="shared" si="3443"/>
        <v>1.1833333333333333</v>
      </c>
      <c r="BT1071" s="260">
        <f t="shared" si="3443"/>
        <v>1.1953333333333334</v>
      </c>
      <c r="BU1071" s="260">
        <f t="shared" si="3443"/>
        <v>1.1953333333333334</v>
      </c>
      <c r="BV1071" s="260">
        <f t="shared" si="3443"/>
        <v>1.2066666666666668</v>
      </c>
      <c r="BW1071" s="260">
        <f t="shared" si="3443"/>
        <v>1.2173333333333334</v>
      </c>
      <c r="BX1071" s="260">
        <f t="shared" si="3443"/>
        <v>1.2273333333333334</v>
      </c>
      <c r="BY1071" s="260">
        <f t="shared" si="3443"/>
        <v>1.236</v>
      </c>
      <c r="BZ1071" s="260">
        <f t="shared" si="3443"/>
        <v>1.236</v>
      </c>
    </row>
    <row r="1073" spans="1:78">
      <c r="A1073" s="1" t="s">
        <v>1305</v>
      </c>
      <c r="AD1073" s="36">
        <f t="shared" ref="AD1073:BI1073" si="3445">-AD1066</f>
        <v>690</v>
      </c>
      <c r="AE1073" s="36">
        <f t="shared" si="3445"/>
        <v>696</v>
      </c>
      <c r="AF1073" s="36">
        <f t="shared" si="3445"/>
        <v>659</v>
      </c>
      <c r="AG1073" s="36">
        <f t="shared" si="3445"/>
        <v>659</v>
      </c>
      <c r="AH1073" s="36">
        <f t="shared" si="3445"/>
        <v>460</v>
      </c>
      <c r="AI1073" s="36">
        <f t="shared" si="3445"/>
        <v>415</v>
      </c>
      <c r="AJ1073" s="36">
        <f t="shared" si="3445"/>
        <v>330</v>
      </c>
      <c r="AK1073" s="36">
        <f t="shared" si="3445"/>
        <v>215</v>
      </c>
      <c r="AL1073" s="36">
        <f t="shared" si="3445"/>
        <v>215</v>
      </c>
      <c r="AM1073" s="36">
        <f t="shared" si="3445"/>
        <v>190</v>
      </c>
      <c r="AN1073" s="36">
        <f t="shared" si="3445"/>
        <v>155</v>
      </c>
      <c r="AO1073" s="36">
        <f t="shared" si="3445"/>
        <v>135</v>
      </c>
      <c r="AP1073" s="36">
        <f t="shared" si="3445"/>
        <v>95</v>
      </c>
      <c r="AQ1073" s="36">
        <f t="shared" si="3445"/>
        <v>95</v>
      </c>
      <c r="AR1073" s="36">
        <f t="shared" si="3445"/>
        <v>60</v>
      </c>
      <c r="AS1073" s="36">
        <f t="shared" si="3445"/>
        <v>70</v>
      </c>
      <c r="AT1073" s="36">
        <f t="shared" ref="AT1073" si="3446">-AT1066</f>
        <v>55</v>
      </c>
      <c r="AU1073" s="36">
        <f t="shared" si="3445"/>
        <v>35</v>
      </c>
      <c r="AV1073" s="36">
        <f t="shared" si="3445"/>
        <v>35</v>
      </c>
      <c r="AW1073" s="36">
        <f t="shared" si="3445"/>
        <v>60</v>
      </c>
      <c r="AX1073" s="36">
        <f t="shared" si="3445"/>
        <v>60</v>
      </c>
      <c r="AY1073" s="36">
        <f t="shared" si="3445"/>
        <v>50</v>
      </c>
      <c r="AZ1073" s="36">
        <f t="shared" si="3445"/>
        <v>20</v>
      </c>
      <c r="BA1073" s="36">
        <f t="shared" si="3445"/>
        <v>20</v>
      </c>
      <c r="BB1073" s="36">
        <f t="shared" si="3445"/>
        <v>0</v>
      </c>
      <c r="BC1073" s="36">
        <f t="shared" si="3445"/>
        <v>0</v>
      </c>
      <c r="BD1073" s="36">
        <f t="shared" si="3445"/>
        <v>0</v>
      </c>
      <c r="BE1073" s="36">
        <f t="shared" si="3445"/>
        <v>45</v>
      </c>
      <c r="BF1073" s="36">
        <f t="shared" si="3445"/>
        <v>45</v>
      </c>
      <c r="BG1073" s="36">
        <f t="shared" si="3445"/>
        <v>90</v>
      </c>
      <c r="BH1073" s="36">
        <f t="shared" si="3445"/>
        <v>135</v>
      </c>
      <c r="BI1073" s="36">
        <f t="shared" si="3445"/>
        <v>175</v>
      </c>
      <c r="BJ1073" s="36">
        <f t="shared" ref="BJ1073:BZ1073" si="3447">-BJ1066</f>
        <v>215</v>
      </c>
      <c r="BK1073" s="36">
        <f t="shared" si="3447"/>
        <v>215</v>
      </c>
      <c r="BL1073" s="36">
        <f t="shared" si="3447"/>
        <v>250</v>
      </c>
      <c r="BM1073" s="36">
        <f t="shared" si="3447"/>
        <v>285</v>
      </c>
      <c r="BN1073" s="36">
        <f t="shared" si="3447"/>
        <v>310</v>
      </c>
      <c r="BO1073" s="36">
        <f t="shared" si="3447"/>
        <v>335</v>
      </c>
      <c r="BP1073" s="36">
        <f t="shared" si="3447"/>
        <v>335</v>
      </c>
      <c r="BQ1073" s="36">
        <f t="shared" si="3447"/>
        <v>355</v>
      </c>
      <c r="BR1073" s="36">
        <f t="shared" si="3447"/>
        <v>370</v>
      </c>
      <c r="BS1073" s="36">
        <f t="shared" si="3447"/>
        <v>380</v>
      </c>
      <c r="BT1073" s="36">
        <f t="shared" si="3447"/>
        <v>385</v>
      </c>
      <c r="BU1073" s="36">
        <f t="shared" si="3447"/>
        <v>385</v>
      </c>
      <c r="BV1073" s="36">
        <f t="shared" si="3447"/>
        <v>385</v>
      </c>
      <c r="BW1073" s="36">
        <f t="shared" si="3447"/>
        <v>380</v>
      </c>
      <c r="BX1073" s="36">
        <f t="shared" si="3447"/>
        <v>370</v>
      </c>
      <c r="BY1073" s="36">
        <f t="shared" si="3447"/>
        <v>350</v>
      </c>
      <c r="BZ1073" s="36">
        <f t="shared" si="3447"/>
        <v>350</v>
      </c>
    </row>
    <row r="1074" spans="1:78">
      <c r="A1074" s="1" t="s">
        <v>1306</v>
      </c>
      <c r="AD1074" s="36">
        <f t="shared" ref="AD1074:BI1074" si="3448">AD1060</f>
        <v>691</v>
      </c>
      <c r="AE1074" s="36">
        <f t="shared" si="3448"/>
        <v>696</v>
      </c>
      <c r="AF1074" s="36">
        <f t="shared" si="3448"/>
        <v>659</v>
      </c>
      <c r="AG1074" s="36">
        <f t="shared" si="3448"/>
        <v>659</v>
      </c>
      <c r="AH1074" s="36">
        <f t="shared" si="3448"/>
        <v>664</v>
      </c>
      <c r="AI1074" s="36">
        <f t="shared" si="3448"/>
        <v>669</v>
      </c>
      <c r="AJ1074" s="36">
        <f t="shared" si="3448"/>
        <v>674</v>
      </c>
      <c r="AK1074" s="36">
        <f t="shared" si="3448"/>
        <v>678</v>
      </c>
      <c r="AL1074" s="36">
        <f t="shared" si="3448"/>
        <v>678</v>
      </c>
      <c r="AM1074" s="36">
        <f t="shared" si="3448"/>
        <v>683</v>
      </c>
      <c r="AN1074" s="36">
        <f t="shared" si="3448"/>
        <v>688</v>
      </c>
      <c r="AO1074" s="36">
        <f t="shared" si="3448"/>
        <v>691</v>
      </c>
      <c r="AP1074" s="36">
        <f t="shared" si="3448"/>
        <v>696</v>
      </c>
      <c r="AQ1074" s="36">
        <f t="shared" si="3448"/>
        <v>696</v>
      </c>
      <c r="AR1074" s="36">
        <f t="shared" si="3448"/>
        <v>700</v>
      </c>
      <c r="AS1074" s="36">
        <f t="shared" si="3448"/>
        <v>705</v>
      </c>
      <c r="AT1074" s="36">
        <f t="shared" ref="AT1074" si="3449">AT1060</f>
        <v>710</v>
      </c>
      <c r="AU1074" s="36">
        <f t="shared" si="3448"/>
        <v>715</v>
      </c>
      <c r="AV1074" s="36">
        <f t="shared" si="3448"/>
        <v>715</v>
      </c>
      <c r="AW1074" s="36">
        <f t="shared" si="3448"/>
        <v>720</v>
      </c>
      <c r="AX1074" s="36">
        <f t="shared" si="3448"/>
        <v>725</v>
      </c>
      <c r="AY1074" s="36">
        <f t="shared" si="3448"/>
        <v>729</v>
      </c>
      <c r="AZ1074" s="36">
        <f t="shared" si="3448"/>
        <v>733</v>
      </c>
      <c r="BA1074" s="36">
        <f t="shared" si="3448"/>
        <v>733</v>
      </c>
      <c r="BB1074" s="36">
        <f t="shared" si="3448"/>
        <v>738</v>
      </c>
      <c r="BC1074" s="36">
        <f t="shared" si="3448"/>
        <v>743</v>
      </c>
      <c r="BD1074" s="36">
        <f t="shared" si="3448"/>
        <v>747</v>
      </c>
      <c r="BE1074" s="36">
        <f t="shared" si="3448"/>
        <v>751</v>
      </c>
      <c r="BF1074" s="36">
        <f t="shared" si="3448"/>
        <v>751</v>
      </c>
      <c r="BG1074" s="36">
        <f t="shared" si="3448"/>
        <v>756</v>
      </c>
      <c r="BH1074" s="36">
        <f t="shared" si="3448"/>
        <v>761</v>
      </c>
      <c r="BI1074" s="36">
        <f t="shared" si="3448"/>
        <v>765</v>
      </c>
      <c r="BJ1074" s="36">
        <f t="shared" ref="BJ1074:BZ1074" si="3450">BJ1060</f>
        <v>769</v>
      </c>
      <c r="BK1074" s="36">
        <f t="shared" si="3450"/>
        <v>769</v>
      </c>
      <c r="BL1074" s="36">
        <f t="shared" si="3450"/>
        <v>774</v>
      </c>
      <c r="BM1074" s="36">
        <f t="shared" si="3450"/>
        <v>779</v>
      </c>
      <c r="BN1074" s="36">
        <f t="shared" si="3450"/>
        <v>783</v>
      </c>
      <c r="BO1074" s="36">
        <f t="shared" si="3450"/>
        <v>787</v>
      </c>
      <c r="BP1074" s="36">
        <f t="shared" si="3450"/>
        <v>787</v>
      </c>
      <c r="BQ1074" s="36">
        <f t="shared" si="3450"/>
        <v>792</v>
      </c>
      <c r="BR1074" s="36">
        <f t="shared" si="3450"/>
        <v>797</v>
      </c>
      <c r="BS1074" s="36">
        <f t="shared" si="3450"/>
        <v>801</v>
      </c>
      <c r="BT1074" s="36">
        <f t="shared" si="3450"/>
        <v>805</v>
      </c>
      <c r="BU1074" s="36">
        <f t="shared" si="3450"/>
        <v>805</v>
      </c>
      <c r="BV1074" s="36">
        <f t="shared" si="3450"/>
        <v>810</v>
      </c>
      <c r="BW1074" s="36">
        <f t="shared" si="3450"/>
        <v>815</v>
      </c>
      <c r="BX1074" s="36">
        <f t="shared" si="3450"/>
        <v>819</v>
      </c>
      <c r="BY1074" s="36">
        <f t="shared" si="3450"/>
        <v>823</v>
      </c>
      <c r="BZ1074" s="36">
        <f t="shared" si="3450"/>
        <v>823</v>
      </c>
    </row>
    <row r="1075" spans="1:78">
      <c r="A1075" s="9" t="s">
        <v>1307</v>
      </c>
      <c r="B1075" s="9"/>
      <c r="C1075" s="9"/>
      <c r="D1075" s="9"/>
      <c r="E1075" s="9"/>
      <c r="F1075" s="9"/>
      <c r="G1075" s="9"/>
      <c r="H1075" s="9"/>
      <c r="I1075" s="9"/>
      <c r="J1075" s="9"/>
      <c r="K1075" s="9"/>
      <c r="L1075" s="9"/>
      <c r="M1075" s="9"/>
      <c r="N1075" s="9"/>
      <c r="O1075" s="9"/>
      <c r="P1075" s="9"/>
      <c r="Q1075" s="9"/>
      <c r="R1075" s="9"/>
      <c r="S1075" s="9"/>
      <c r="T1075" s="9"/>
      <c r="U1075" s="9"/>
      <c r="V1075" s="9"/>
      <c r="W1075" s="9"/>
      <c r="X1075" s="9"/>
      <c r="Y1075" s="9"/>
      <c r="Z1075" s="9"/>
      <c r="AA1075" s="9"/>
      <c r="AB1075" s="9"/>
      <c r="AC1075" s="9"/>
      <c r="AD1075" s="39">
        <f t="shared" ref="AD1075:BI1075" si="3451">IF(AD1074&gt;AD1073, AD1074-AD1073, 0)</f>
        <v>1</v>
      </c>
      <c r="AE1075" s="39">
        <f t="shared" si="3451"/>
        <v>0</v>
      </c>
      <c r="AF1075" s="39">
        <f t="shared" si="3451"/>
        <v>0</v>
      </c>
      <c r="AG1075" s="39">
        <f t="shared" si="3451"/>
        <v>0</v>
      </c>
      <c r="AH1075" s="39">
        <f t="shared" si="3451"/>
        <v>204</v>
      </c>
      <c r="AI1075" s="39">
        <f t="shared" si="3451"/>
        <v>254</v>
      </c>
      <c r="AJ1075" s="39">
        <f t="shared" si="3451"/>
        <v>344</v>
      </c>
      <c r="AK1075" s="39">
        <f t="shared" si="3451"/>
        <v>463</v>
      </c>
      <c r="AL1075" s="39">
        <f t="shared" si="3451"/>
        <v>463</v>
      </c>
      <c r="AM1075" s="39">
        <f t="shared" si="3451"/>
        <v>493</v>
      </c>
      <c r="AN1075" s="39">
        <f t="shared" si="3451"/>
        <v>533</v>
      </c>
      <c r="AO1075" s="39">
        <f t="shared" si="3451"/>
        <v>556</v>
      </c>
      <c r="AP1075" s="39">
        <f t="shared" si="3451"/>
        <v>601</v>
      </c>
      <c r="AQ1075" s="39">
        <f t="shared" si="3451"/>
        <v>601</v>
      </c>
      <c r="AR1075" s="39">
        <f t="shared" si="3451"/>
        <v>640</v>
      </c>
      <c r="AS1075" s="39">
        <f t="shared" si="3451"/>
        <v>635</v>
      </c>
      <c r="AT1075" s="39">
        <f t="shared" ref="AT1075" si="3452">IF(AT1074&gt;AT1073, AT1074-AT1073, 0)</f>
        <v>655</v>
      </c>
      <c r="AU1075" s="39">
        <f t="shared" si="3451"/>
        <v>680</v>
      </c>
      <c r="AV1075" s="39">
        <f t="shared" si="3451"/>
        <v>680</v>
      </c>
      <c r="AW1075" s="39">
        <f t="shared" si="3451"/>
        <v>660</v>
      </c>
      <c r="AX1075" s="39">
        <f t="shared" si="3451"/>
        <v>665</v>
      </c>
      <c r="AY1075" s="39">
        <f t="shared" si="3451"/>
        <v>679</v>
      </c>
      <c r="AZ1075" s="39">
        <f t="shared" si="3451"/>
        <v>713</v>
      </c>
      <c r="BA1075" s="39">
        <f t="shared" si="3451"/>
        <v>713</v>
      </c>
      <c r="BB1075" s="39">
        <f t="shared" si="3451"/>
        <v>738</v>
      </c>
      <c r="BC1075" s="39">
        <f t="shared" si="3451"/>
        <v>743</v>
      </c>
      <c r="BD1075" s="39">
        <f t="shared" si="3451"/>
        <v>747</v>
      </c>
      <c r="BE1075" s="39">
        <f t="shared" si="3451"/>
        <v>706</v>
      </c>
      <c r="BF1075" s="39">
        <f t="shared" si="3451"/>
        <v>706</v>
      </c>
      <c r="BG1075" s="39">
        <f t="shared" si="3451"/>
        <v>666</v>
      </c>
      <c r="BH1075" s="39">
        <f t="shared" si="3451"/>
        <v>626</v>
      </c>
      <c r="BI1075" s="39">
        <f t="shared" si="3451"/>
        <v>590</v>
      </c>
      <c r="BJ1075" s="39">
        <f t="shared" ref="BJ1075:BZ1075" si="3453">IF(BJ1074&gt;BJ1073, BJ1074-BJ1073, 0)</f>
        <v>554</v>
      </c>
      <c r="BK1075" s="39">
        <f t="shared" si="3453"/>
        <v>554</v>
      </c>
      <c r="BL1075" s="39">
        <f t="shared" si="3453"/>
        <v>524</v>
      </c>
      <c r="BM1075" s="39">
        <f t="shared" si="3453"/>
        <v>494</v>
      </c>
      <c r="BN1075" s="39">
        <f t="shared" si="3453"/>
        <v>473</v>
      </c>
      <c r="BO1075" s="39">
        <f t="shared" si="3453"/>
        <v>452</v>
      </c>
      <c r="BP1075" s="39">
        <f t="shared" si="3453"/>
        <v>452</v>
      </c>
      <c r="BQ1075" s="39">
        <f t="shared" si="3453"/>
        <v>437</v>
      </c>
      <c r="BR1075" s="39">
        <f t="shared" si="3453"/>
        <v>427</v>
      </c>
      <c r="BS1075" s="39">
        <f t="shared" si="3453"/>
        <v>421</v>
      </c>
      <c r="BT1075" s="39">
        <f t="shared" si="3453"/>
        <v>420</v>
      </c>
      <c r="BU1075" s="39">
        <f t="shared" si="3453"/>
        <v>420</v>
      </c>
      <c r="BV1075" s="39">
        <f t="shared" si="3453"/>
        <v>425</v>
      </c>
      <c r="BW1075" s="39">
        <f t="shared" si="3453"/>
        <v>435</v>
      </c>
      <c r="BX1075" s="39">
        <f t="shared" si="3453"/>
        <v>449</v>
      </c>
      <c r="BY1075" s="39">
        <f t="shared" si="3453"/>
        <v>473</v>
      </c>
      <c r="BZ1075" s="39">
        <f t="shared" si="3453"/>
        <v>473</v>
      </c>
    </row>
    <row r="1077" spans="1:78">
      <c r="A1077" s="1" t="s">
        <v>1371</v>
      </c>
      <c r="AD1077" s="36"/>
      <c r="AE1077" s="36"/>
      <c r="AF1077" s="36"/>
      <c r="AG1077" s="36"/>
      <c r="AH1077" s="36"/>
      <c r="AI1077" s="36"/>
      <c r="AJ1077" s="36"/>
      <c r="AK1077" s="36"/>
      <c r="AL1077" s="36"/>
      <c r="AM1077" s="36"/>
      <c r="AN1077" s="36"/>
      <c r="AO1077" s="36"/>
      <c r="AP1077" s="36"/>
      <c r="AQ1077" s="36"/>
      <c r="AR1077" s="36"/>
      <c r="AS1077" s="36"/>
      <c r="AT1077" s="36"/>
      <c r="AU1077" s="36"/>
      <c r="AV1077" s="36"/>
      <c r="AW1077" s="36"/>
      <c r="AX1077" s="36"/>
      <c r="AY1077" s="36"/>
      <c r="AZ1077" s="36"/>
      <c r="BA1077" s="36"/>
      <c r="BB1077" s="36"/>
      <c r="BC1077" s="36"/>
      <c r="BD1077" s="36"/>
      <c r="BE1077" s="36"/>
      <c r="BF1077" s="36"/>
      <c r="BG1077" s="36"/>
      <c r="BH1077" s="36"/>
      <c r="BI1077" s="36"/>
      <c r="BJ1077" s="36"/>
      <c r="BK1077" s="36"/>
      <c r="BL1077" s="36"/>
      <c r="BM1077" s="36"/>
      <c r="BN1077" s="36"/>
      <c r="BO1077" s="36"/>
      <c r="BP1077" s="36"/>
      <c r="BQ1077" s="36"/>
      <c r="BR1077" s="36"/>
      <c r="BS1077" s="36"/>
      <c r="BT1077" s="36"/>
      <c r="BU1077" s="36"/>
      <c r="BV1077" s="36"/>
      <c r="BW1077" s="36"/>
      <c r="BX1077" s="36"/>
      <c r="BY1077" s="36"/>
      <c r="BZ1077" s="36"/>
    </row>
    <row r="1078" spans="1:78">
      <c r="A1078" s="1" t="s">
        <v>1372</v>
      </c>
      <c r="AD1078" s="36"/>
      <c r="AE1078" s="36"/>
      <c r="AF1078" s="36"/>
      <c r="AG1078" s="36"/>
      <c r="AH1078" s="36"/>
      <c r="AI1078" s="36"/>
      <c r="AJ1078" s="36"/>
      <c r="AK1078" s="36"/>
      <c r="AL1078" s="36"/>
      <c r="AM1078" s="36"/>
      <c r="AN1078" s="36"/>
      <c r="AO1078" s="36"/>
      <c r="AP1078" s="36"/>
      <c r="AQ1078" s="36"/>
      <c r="AR1078" s="36"/>
      <c r="AS1078" s="36"/>
      <c r="AT1078" s="36"/>
      <c r="AU1078" s="36"/>
      <c r="AV1078" s="36"/>
      <c r="AW1078" s="36"/>
      <c r="AX1078" s="36"/>
      <c r="AY1078" s="36"/>
      <c r="AZ1078" s="36"/>
      <c r="BA1078" s="36"/>
      <c r="BB1078" s="36"/>
      <c r="BC1078" s="36"/>
      <c r="BD1078" s="36"/>
      <c r="BE1078" s="36"/>
      <c r="BF1078" s="36"/>
      <c r="BG1078" s="36"/>
      <c r="BH1078" s="36"/>
      <c r="BI1078" s="36"/>
      <c r="BJ1078" s="36"/>
      <c r="BK1078" s="36"/>
      <c r="BL1078" s="36"/>
      <c r="BM1078" s="36"/>
      <c r="BN1078" s="36"/>
      <c r="BO1078" s="36"/>
      <c r="BP1078" s="36"/>
      <c r="BQ1078" s="36"/>
      <c r="BR1078" s="36"/>
      <c r="BS1078" s="36"/>
      <c r="BT1078" s="36"/>
      <c r="BU1078" s="36"/>
      <c r="BV1078" s="36"/>
      <c r="BW1078" s="36"/>
      <c r="BX1078" s="36"/>
      <c r="BY1078" s="36"/>
      <c r="BZ1078" s="36"/>
    </row>
    <row r="1079" spans="1:78">
      <c r="A1079" s="1" t="s">
        <v>1309</v>
      </c>
      <c r="AD1079" s="36"/>
      <c r="AE1079" s="36"/>
      <c r="AF1079" s="36"/>
      <c r="AG1079" s="36"/>
      <c r="AH1079" s="36"/>
      <c r="AI1079" s="36"/>
      <c r="AJ1079" s="36"/>
      <c r="AK1079" s="36"/>
      <c r="AL1079" s="36"/>
      <c r="AM1079" s="36"/>
      <c r="AN1079" s="36"/>
      <c r="AO1079" s="36"/>
      <c r="AP1079" s="36"/>
      <c r="AQ1079" s="36"/>
      <c r="AR1079" s="36"/>
      <c r="AS1079" s="36"/>
      <c r="AT1079" s="36"/>
      <c r="AU1079" s="36"/>
      <c r="AV1079" s="36"/>
      <c r="AW1079" s="36"/>
      <c r="AX1079" s="36"/>
      <c r="AY1079" s="36"/>
      <c r="AZ1079" s="36"/>
      <c r="BA1079" s="36"/>
      <c r="BB1079" s="36"/>
      <c r="BC1079" s="36"/>
      <c r="BD1079" s="36"/>
      <c r="BE1079" s="36"/>
      <c r="BF1079" s="36"/>
      <c r="BG1079" s="36"/>
      <c r="BH1079" s="36"/>
      <c r="BI1079" s="36"/>
      <c r="BJ1079" s="36"/>
      <c r="BK1079" s="36"/>
      <c r="BL1079" s="36"/>
      <c r="BM1079" s="36"/>
      <c r="BN1079" s="36"/>
      <c r="BO1079" s="36"/>
      <c r="BP1079" s="36"/>
      <c r="BQ1079" s="36"/>
      <c r="BR1079" s="36"/>
      <c r="BS1079" s="36"/>
      <c r="BT1079" s="36"/>
      <c r="BU1079" s="36"/>
      <c r="BV1079" s="36"/>
      <c r="BW1079" s="36"/>
      <c r="BX1079" s="36"/>
      <c r="BY1079" s="36"/>
      <c r="BZ1079" s="36"/>
    </row>
    <row r="1080" spans="1:78">
      <c r="A1080" s="9" t="s">
        <v>1373</v>
      </c>
      <c r="B1080" s="9"/>
      <c r="C1080" s="9"/>
      <c r="D1080" s="9"/>
      <c r="E1080" s="9"/>
      <c r="F1080" s="9"/>
      <c r="G1080" s="9"/>
      <c r="H1080" s="9"/>
      <c r="I1080" s="9"/>
      <c r="J1080" s="9"/>
      <c r="K1080" s="9"/>
      <c r="L1080" s="9"/>
      <c r="M1080" s="9"/>
      <c r="N1080" s="9"/>
      <c r="O1080" s="9"/>
      <c r="P1080" s="9"/>
      <c r="Q1080" s="9"/>
      <c r="R1080" s="9"/>
      <c r="S1080" s="9"/>
      <c r="T1080" s="9"/>
      <c r="U1080" s="9"/>
      <c r="V1080" s="9"/>
      <c r="W1080" s="9"/>
      <c r="X1080" s="9"/>
      <c r="Y1080" s="9"/>
      <c r="Z1080" s="9"/>
      <c r="AA1080" s="9"/>
      <c r="AB1080" s="9"/>
      <c r="AC1080" s="9"/>
      <c r="AD1080" s="39"/>
      <c r="AE1080" s="39"/>
      <c r="AF1080" s="39"/>
      <c r="AG1080" s="39"/>
      <c r="AH1080" s="39"/>
      <c r="AI1080" s="39"/>
      <c r="AJ1080" s="39"/>
      <c r="AK1080" s="39"/>
      <c r="AL1080" s="39"/>
      <c r="AM1080" s="39"/>
      <c r="AN1080" s="39"/>
      <c r="AO1080" s="39"/>
      <c r="AP1080" s="39"/>
      <c r="AQ1080" s="39"/>
      <c r="AR1080" s="39"/>
      <c r="AS1080" s="39"/>
      <c r="AT1080" s="39"/>
      <c r="AU1080" s="39"/>
      <c r="AV1080" s="39"/>
      <c r="AW1080" s="39"/>
      <c r="AX1080" s="39"/>
      <c r="AY1080" s="39"/>
      <c r="AZ1080" s="39"/>
      <c r="BA1080" s="39"/>
      <c r="BB1080" s="39"/>
      <c r="BC1080" s="39"/>
      <c r="BD1080" s="39"/>
      <c r="BE1080" s="39"/>
      <c r="BF1080" s="39"/>
      <c r="BG1080" s="39"/>
      <c r="BH1080" s="39"/>
      <c r="BI1080" s="39"/>
      <c r="BJ1080" s="39"/>
      <c r="BK1080" s="39"/>
      <c r="BL1080" s="39"/>
      <c r="BM1080" s="39"/>
      <c r="BN1080" s="39"/>
      <c r="BO1080" s="39"/>
      <c r="BP1080" s="39"/>
      <c r="BQ1080" s="39"/>
      <c r="BR1080" s="39"/>
      <c r="BS1080" s="39"/>
      <c r="BT1080" s="39"/>
      <c r="BU1080" s="39"/>
      <c r="BV1080" s="39"/>
      <c r="BW1080" s="39"/>
      <c r="BX1080" s="39"/>
      <c r="BY1080" s="39"/>
      <c r="BZ1080" s="39"/>
    </row>
    <row r="1082" spans="1:78">
      <c r="A1082" s="1" t="s">
        <v>1311</v>
      </c>
      <c r="AD1082" s="36"/>
      <c r="AE1082" s="36"/>
      <c r="AF1082" s="36"/>
      <c r="AG1082" s="36"/>
      <c r="AH1082" s="36"/>
      <c r="AI1082" s="36"/>
      <c r="AJ1082" s="36"/>
      <c r="AK1082" s="36"/>
      <c r="AL1082" s="36"/>
      <c r="AM1082" s="36"/>
      <c r="AN1082" s="36"/>
      <c r="AO1082" s="36"/>
      <c r="AP1082" s="36"/>
      <c r="AQ1082" s="36"/>
      <c r="AR1082" s="36"/>
      <c r="AS1082" s="36"/>
      <c r="AT1082" s="36"/>
      <c r="AU1082" s="36"/>
      <c r="AV1082" s="36"/>
      <c r="AW1082" s="36"/>
      <c r="AX1082" s="36"/>
      <c r="AY1082" s="36"/>
      <c r="AZ1082" s="36"/>
      <c r="BA1082" s="36"/>
      <c r="BB1082" s="36"/>
      <c r="BC1082" s="36"/>
      <c r="BD1082" s="36"/>
      <c r="BE1082" s="36"/>
      <c r="BF1082" s="36"/>
      <c r="BG1082" s="36"/>
      <c r="BH1082" s="36"/>
      <c r="BI1082" s="36"/>
      <c r="BJ1082" s="36"/>
      <c r="BK1082" s="36"/>
      <c r="BL1082" s="36"/>
      <c r="BM1082" s="36"/>
      <c r="BN1082" s="36"/>
      <c r="BO1082" s="36"/>
      <c r="BP1082" s="36"/>
      <c r="BQ1082" s="36"/>
      <c r="BR1082" s="36"/>
      <c r="BS1082" s="36"/>
      <c r="BT1082" s="36"/>
      <c r="BU1082" s="36"/>
      <c r="BV1082" s="36"/>
      <c r="BW1082" s="36"/>
      <c r="BX1082" s="36"/>
      <c r="BY1082" s="36"/>
      <c r="BZ1082" s="36"/>
    </row>
    <row r="1083" spans="1:78">
      <c r="A1083" s="361" t="s">
        <v>1374</v>
      </c>
      <c r="B1083" s="361"/>
      <c r="C1083" s="361"/>
      <c r="D1083" s="361"/>
      <c r="E1083" s="361"/>
      <c r="F1083" s="361"/>
      <c r="G1083" s="361"/>
      <c r="H1083" s="361"/>
      <c r="I1083" s="361"/>
      <c r="J1083" s="361"/>
      <c r="K1083" s="361"/>
      <c r="L1083" s="361"/>
      <c r="M1083" s="361"/>
      <c r="N1083" s="361"/>
      <c r="O1083" s="361"/>
      <c r="P1083" s="361"/>
      <c r="Q1083" s="361"/>
      <c r="R1083" s="361"/>
      <c r="S1083" s="361"/>
      <c r="T1083" s="361"/>
      <c r="U1083" s="361"/>
      <c r="V1083" s="361"/>
      <c r="W1083" s="361"/>
      <c r="X1083" s="361"/>
      <c r="Y1083" s="361"/>
      <c r="Z1083" s="361"/>
      <c r="AA1083" s="361"/>
      <c r="AB1083" s="361"/>
      <c r="AC1083" s="361"/>
      <c r="AD1083" s="362"/>
      <c r="AE1083" s="362"/>
      <c r="AF1083" s="362"/>
      <c r="AG1083" s="362"/>
      <c r="AH1083" s="362"/>
      <c r="AI1083" s="362"/>
      <c r="AJ1083" s="362"/>
      <c r="AK1083" s="362"/>
      <c r="AL1083" s="362"/>
      <c r="AM1083" s="362"/>
      <c r="AN1083" s="362"/>
      <c r="AO1083" s="362"/>
      <c r="AP1083" s="362"/>
      <c r="AQ1083" s="362"/>
      <c r="AR1083" s="362"/>
      <c r="AS1083" s="362"/>
      <c r="AT1083" s="362"/>
      <c r="AU1083" s="362"/>
      <c r="AV1083" s="362"/>
      <c r="AW1083" s="362"/>
      <c r="AX1083" s="362"/>
      <c r="AY1083" s="362"/>
      <c r="AZ1083" s="362"/>
      <c r="BA1083" s="362"/>
      <c r="BB1083" s="362"/>
      <c r="BC1083" s="362"/>
      <c r="BD1083" s="362"/>
      <c r="BE1083" s="362"/>
      <c r="BF1083" s="362"/>
      <c r="BG1083" s="362"/>
      <c r="BH1083" s="362"/>
      <c r="BI1083" s="362"/>
      <c r="BJ1083" s="362"/>
      <c r="BK1083" s="362"/>
      <c r="BL1083" s="362"/>
      <c r="BM1083" s="362"/>
      <c r="BN1083" s="362"/>
      <c r="BO1083" s="362"/>
      <c r="BP1083" s="362"/>
      <c r="BQ1083" s="362"/>
      <c r="BR1083" s="362"/>
      <c r="BS1083" s="362"/>
      <c r="BT1083" s="362"/>
      <c r="BU1083" s="362"/>
      <c r="BV1083" s="362"/>
      <c r="BW1083" s="362"/>
      <c r="BX1083" s="362"/>
      <c r="BY1083" s="362"/>
      <c r="BZ1083" s="362"/>
    </row>
    <row r="1084" spans="1:78">
      <c r="AD1084" s="36"/>
      <c r="AE1084" s="36"/>
      <c r="AF1084" s="36"/>
      <c r="AG1084" s="36"/>
      <c r="AH1084" s="36"/>
      <c r="AI1084" s="36"/>
      <c r="AJ1084" s="36"/>
      <c r="AK1084" s="36"/>
      <c r="AL1084" s="36"/>
      <c r="AM1084" s="36"/>
      <c r="AN1084" s="36"/>
      <c r="AO1084" s="36"/>
      <c r="AP1084" s="36"/>
      <c r="AQ1084" s="36"/>
      <c r="AR1084" s="36"/>
      <c r="AS1084" s="36"/>
      <c r="AT1084" s="36"/>
      <c r="AU1084" s="36"/>
      <c r="AV1084" s="36"/>
      <c r="AW1084" s="36"/>
      <c r="AX1084" s="36"/>
      <c r="AY1084" s="36"/>
      <c r="AZ1084" s="36"/>
      <c r="BA1084" s="36"/>
      <c r="BB1084" s="36"/>
      <c r="BC1084" s="36"/>
      <c r="BD1084" s="36"/>
      <c r="BE1084" s="36"/>
      <c r="BF1084" s="36"/>
      <c r="BG1084" s="36"/>
      <c r="BH1084" s="36"/>
      <c r="BI1084" s="36"/>
      <c r="BJ1084" s="36"/>
      <c r="BK1084" s="36"/>
      <c r="BL1084" s="36"/>
      <c r="BM1084" s="36"/>
      <c r="BN1084" s="36"/>
      <c r="BO1084" s="36"/>
      <c r="BP1084" s="36"/>
      <c r="BQ1084" s="36"/>
      <c r="BR1084" s="36"/>
      <c r="BS1084" s="36"/>
      <c r="BT1084" s="36"/>
      <c r="BU1084" s="36"/>
      <c r="BV1084" s="36"/>
      <c r="BW1084" s="36"/>
      <c r="BX1084" s="36"/>
      <c r="BY1084" s="36"/>
      <c r="BZ1084" s="36"/>
    </row>
    <row r="1085" spans="1:78">
      <c r="A1085" s="1" t="s">
        <v>276</v>
      </c>
      <c r="AD1085" s="36"/>
      <c r="AE1085" s="36"/>
      <c r="AF1085" s="36"/>
      <c r="AG1085" s="36"/>
      <c r="AH1085" s="36"/>
      <c r="AI1085" s="36"/>
      <c r="AJ1085" s="36"/>
      <c r="AK1085" s="36"/>
      <c r="AL1085" s="36"/>
      <c r="AM1085" s="36"/>
      <c r="AN1085" s="36"/>
      <c r="AO1085" s="36"/>
      <c r="AP1085" s="36"/>
      <c r="AQ1085" s="36"/>
      <c r="AR1085" s="36"/>
      <c r="AS1085" s="36"/>
      <c r="AT1085" s="36"/>
      <c r="AU1085" s="36"/>
      <c r="AV1085" s="36"/>
      <c r="AW1085" s="36"/>
      <c r="AX1085" s="36"/>
      <c r="AY1085" s="36"/>
      <c r="AZ1085" s="56"/>
      <c r="BA1085" s="56"/>
      <c r="BB1085" s="56"/>
      <c r="BC1085" s="56"/>
      <c r="BD1085" s="56"/>
      <c r="BE1085" s="56"/>
      <c r="BF1085" s="56"/>
      <c r="BG1085" s="56"/>
      <c r="BH1085" s="56"/>
      <c r="BI1085" s="56"/>
      <c r="BJ1085" s="56"/>
      <c r="BK1085" s="56"/>
      <c r="BL1085" s="56"/>
      <c r="BM1085" s="56"/>
      <c r="BN1085" s="56"/>
      <c r="BO1085" s="56"/>
      <c r="BP1085" s="56"/>
      <c r="BQ1085" s="56"/>
      <c r="BR1085" s="56"/>
      <c r="BS1085" s="56"/>
      <c r="BT1085" s="56"/>
      <c r="BU1085" s="56"/>
      <c r="BV1085" s="56"/>
      <c r="BW1085" s="56"/>
      <c r="BX1085" s="56"/>
      <c r="BY1085" s="56"/>
      <c r="BZ1085" s="56"/>
    </row>
    <row r="1086" spans="1:78">
      <c r="A1086" s="361" t="s">
        <v>3386</v>
      </c>
      <c r="B1086" s="361"/>
      <c r="C1086" s="361"/>
      <c r="D1086" s="361"/>
      <c r="E1086" s="361"/>
      <c r="F1086" s="361"/>
      <c r="G1086" s="361"/>
      <c r="H1086" s="361"/>
      <c r="I1086" s="361"/>
      <c r="J1086" s="361"/>
      <c r="K1086" s="361"/>
      <c r="L1086" s="361"/>
      <c r="M1086" s="361"/>
      <c r="N1086" s="361"/>
      <c r="O1086" s="361"/>
      <c r="P1086" s="361"/>
      <c r="Q1086" s="361"/>
      <c r="R1086" s="361"/>
      <c r="S1086" s="361"/>
      <c r="T1086" s="361"/>
      <c r="U1086" s="361"/>
      <c r="V1086" s="361"/>
      <c r="W1086" s="361"/>
      <c r="X1086" s="361"/>
      <c r="Y1086" s="361"/>
      <c r="Z1086" s="361"/>
      <c r="AA1086" s="361"/>
      <c r="AB1086" s="361"/>
      <c r="AC1086" s="361"/>
      <c r="AD1086" s="362"/>
      <c r="AE1086" s="362"/>
      <c r="AF1086" s="362"/>
      <c r="AG1086" s="362"/>
      <c r="AH1086" s="362"/>
      <c r="AI1086" s="362"/>
      <c r="AJ1086" s="362"/>
      <c r="AK1086" s="362"/>
      <c r="AL1086" s="362"/>
      <c r="AM1086" s="362"/>
      <c r="AN1086" s="362"/>
      <c r="AO1086" s="362"/>
      <c r="AP1086" s="362"/>
      <c r="AQ1086" s="362"/>
      <c r="AR1086" s="362"/>
      <c r="AS1086" s="362"/>
      <c r="AT1086" s="362"/>
      <c r="AU1086" s="362"/>
      <c r="AV1086" s="362"/>
      <c r="AW1086" s="362"/>
      <c r="AX1086" s="362"/>
      <c r="AY1086" s="362"/>
      <c r="AZ1086" s="362"/>
      <c r="BA1086" s="362"/>
      <c r="BB1086" s="362"/>
      <c r="BC1086" s="362"/>
      <c r="BD1086" s="362"/>
      <c r="BE1086" s="362"/>
      <c r="BF1086" s="362"/>
      <c r="BG1086" s="362"/>
      <c r="BH1086" s="362"/>
      <c r="BI1086" s="362"/>
      <c r="BJ1086" s="362"/>
      <c r="BK1086" s="362"/>
      <c r="BL1086" s="362"/>
      <c r="BM1086" s="362"/>
      <c r="BN1086" s="362"/>
      <c r="BO1086" s="362"/>
      <c r="BP1086" s="362"/>
      <c r="BQ1086" s="362"/>
      <c r="BR1086" s="362"/>
      <c r="BS1086" s="362"/>
      <c r="BT1086" s="362"/>
      <c r="BU1086" s="362"/>
      <c r="BV1086" s="362"/>
      <c r="BW1086" s="362"/>
      <c r="BX1086" s="362"/>
      <c r="BY1086" s="362"/>
      <c r="BZ1086" s="362"/>
    </row>
    <row r="1087" spans="1:78">
      <c r="A1087" s="25" t="s">
        <v>1312</v>
      </c>
    </row>
    <row r="1089" spans="1:51">
      <c r="A1089" s="3" t="s">
        <v>674</v>
      </c>
    </row>
    <row r="1091" spans="1:51">
      <c r="A1091" s="1" t="s">
        <v>593</v>
      </c>
      <c r="Y1091" s="80"/>
      <c r="Z1091" s="80"/>
      <c r="AA1091" s="80"/>
      <c r="AB1091" s="59"/>
      <c r="AC1091" s="80"/>
      <c r="AD1091" s="80"/>
      <c r="AE1091" s="80"/>
      <c r="AF1091" s="80"/>
      <c r="AG1091" s="59"/>
      <c r="AH1091" s="59"/>
      <c r="AI1091" s="136">
        <v>6800</v>
      </c>
      <c r="AJ1091" s="136">
        <v>6900</v>
      </c>
      <c r="AK1091" s="136">
        <v>6900</v>
      </c>
      <c r="AL1091" s="36">
        <f>AK1091</f>
        <v>6900</v>
      </c>
      <c r="AM1091" s="136">
        <v>6900</v>
      </c>
      <c r="AN1091" s="136">
        <v>7000</v>
      </c>
      <c r="AO1091" s="136">
        <v>7100</v>
      </c>
      <c r="AP1091" s="136">
        <v>7100</v>
      </c>
      <c r="AQ1091" s="36">
        <f>AP1091</f>
        <v>7100</v>
      </c>
      <c r="AR1091" s="136">
        <v>7100</v>
      </c>
      <c r="AS1091" s="136">
        <v>7100</v>
      </c>
      <c r="AT1091" s="136">
        <v>7200</v>
      </c>
      <c r="AU1091" s="136">
        <v>7300</v>
      </c>
      <c r="AV1091" s="36">
        <f>AU1091</f>
        <v>7300</v>
      </c>
      <c r="AW1091" s="136">
        <v>7300</v>
      </c>
      <c r="AX1091" s="136">
        <v>7300</v>
      </c>
      <c r="AY1091" s="136">
        <v>7300</v>
      </c>
    </row>
    <row r="1092" spans="1:51">
      <c r="A1092" s="1" t="s">
        <v>600</v>
      </c>
      <c r="Y1092" s="80"/>
      <c r="Z1092" s="80"/>
      <c r="AA1092" s="80"/>
      <c r="AB1092" s="59"/>
      <c r="AC1092" s="80"/>
      <c r="AD1092" s="80"/>
      <c r="AE1092" s="80"/>
      <c r="AF1092" s="80"/>
      <c r="AG1092" s="59"/>
      <c r="AH1092" s="59"/>
      <c r="AI1092" s="80">
        <f>AI1093-AI1091</f>
        <v>400</v>
      </c>
      <c r="AJ1092" s="80">
        <f>AJ1093-AJ1091</f>
        <v>300</v>
      </c>
      <c r="AK1092" s="80">
        <f>AK1093-AK1091</f>
        <v>400</v>
      </c>
      <c r="AL1092" s="36">
        <f>AK1092</f>
        <v>400</v>
      </c>
      <c r="AM1092" s="80">
        <f>AM1093-AM1091</f>
        <v>400</v>
      </c>
      <c r="AN1092" s="80">
        <f>AN1093-AN1091</f>
        <v>400</v>
      </c>
      <c r="AO1092" s="80">
        <f>AO1093-AO1091</f>
        <v>300</v>
      </c>
      <c r="AP1092" s="80">
        <f>AP1093-AP1091</f>
        <v>300</v>
      </c>
      <c r="AQ1092" s="36">
        <f>AP1092</f>
        <v>300</v>
      </c>
      <c r="AR1092" s="80">
        <f>AR1093-AR1091</f>
        <v>300</v>
      </c>
      <c r="AS1092" s="80">
        <f>AS1093-AS1091</f>
        <v>400</v>
      </c>
      <c r="AT1092" s="80">
        <f>AT1093-AT1091</f>
        <v>400</v>
      </c>
      <c r="AU1092" s="80">
        <f>AU1093-AU1091</f>
        <v>300</v>
      </c>
      <c r="AV1092" s="36">
        <f>AU1092</f>
        <v>300</v>
      </c>
      <c r="AW1092" s="80">
        <f>AW1093-AW1091</f>
        <v>300</v>
      </c>
      <c r="AX1092" s="80">
        <f>AX1093-AX1091</f>
        <v>300</v>
      </c>
      <c r="AY1092" s="80">
        <f>AY1093-AY1091</f>
        <v>400</v>
      </c>
    </row>
    <row r="1093" spans="1:51">
      <c r="A1093" s="9" t="s">
        <v>599</v>
      </c>
      <c r="B1093" s="9"/>
      <c r="C1093" s="9"/>
      <c r="D1093" s="9"/>
      <c r="E1093" s="9"/>
      <c r="F1093" s="9"/>
      <c r="G1093" s="9"/>
      <c r="H1093" s="9"/>
      <c r="I1093" s="9"/>
      <c r="J1093" s="9"/>
      <c r="K1093" s="9"/>
      <c r="L1093" s="9"/>
      <c r="M1093" s="9"/>
      <c r="N1093" s="9"/>
      <c r="O1093" s="9"/>
      <c r="P1093" s="9"/>
      <c r="Q1093" s="9"/>
      <c r="R1093" s="9"/>
      <c r="S1093" s="9"/>
      <c r="T1093" s="9"/>
      <c r="U1093" s="9"/>
      <c r="V1093" s="9"/>
      <c r="W1093" s="9"/>
      <c r="X1093" s="9"/>
      <c r="Y1093" s="81"/>
      <c r="Z1093" s="81"/>
      <c r="AA1093" s="81"/>
      <c r="AB1093" s="81"/>
      <c r="AC1093" s="81"/>
      <c r="AD1093" s="81"/>
      <c r="AE1093" s="81"/>
      <c r="AF1093" s="81"/>
      <c r="AG1093" s="81"/>
      <c r="AH1093" s="81"/>
      <c r="AI1093" s="81">
        <f>AI970</f>
        <v>7200</v>
      </c>
      <c r="AJ1093" s="81">
        <f>AJ970</f>
        <v>7200</v>
      </c>
      <c r="AK1093" s="81">
        <f>AK970</f>
        <v>7300</v>
      </c>
      <c r="AL1093" s="39">
        <f>AK1093</f>
        <v>7300</v>
      </c>
      <c r="AM1093" s="81">
        <f>AM970</f>
        <v>7300</v>
      </c>
      <c r="AN1093" s="81">
        <f>AN970</f>
        <v>7400</v>
      </c>
      <c r="AO1093" s="81">
        <f>AO970</f>
        <v>7400</v>
      </c>
      <c r="AP1093" s="81">
        <f>AP970</f>
        <v>7400</v>
      </c>
      <c r="AQ1093" s="39">
        <f>AP1093</f>
        <v>7400</v>
      </c>
      <c r="AR1093" s="81">
        <f>AR970</f>
        <v>7400</v>
      </c>
      <c r="AS1093" s="81">
        <f>AS970</f>
        <v>7500</v>
      </c>
      <c r="AT1093" s="81">
        <f>AT970</f>
        <v>7600</v>
      </c>
      <c r="AU1093" s="81">
        <f>AU970</f>
        <v>7600</v>
      </c>
      <c r="AV1093" s="39">
        <f>AU1093</f>
        <v>7600</v>
      </c>
      <c r="AW1093" s="81">
        <f>AW970</f>
        <v>7600</v>
      </c>
      <c r="AX1093" s="81">
        <f>AX970</f>
        <v>7600</v>
      </c>
      <c r="AY1093" s="81">
        <f>AY970</f>
        <v>7700</v>
      </c>
    </row>
    <row r="1094" spans="1:51">
      <c r="Y1094" s="79"/>
      <c r="Z1094" s="79"/>
      <c r="AA1094" s="79"/>
      <c r="AB1094" s="79"/>
      <c r="AC1094" s="79"/>
      <c r="AD1094" s="79"/>
      <c r="AE1094" s="79"/>
      <c r="AF1094" s="79"/>
      <c r="AG1094" s="79"/>
      <c r="AH1094" s="79"/>
      <c r="AI1094" s="79"/>
      <c r="AJ1094" s="79"/>
      <c r="AK1094" s="79"/>
      <c r="AL1094" s="79"/>
      <c r="AM1094" s="79"/>
      <c r="AN1094" s="79"/>
      <c r="AR1094" s="79"/>
      <c r="AS1094" s="79"/>
      <c r="AW1094" s="79"/>
      <c r="AX1094" s="79"/>
    </row>
    <row r="1095" spans="1:51">
      <c r="A1095" s="1" t="s">
        <v>594</v>
      </c>
      <c r="Y1095" s="80"/>
      <c r="Z1095" s="80"/>
      <c r="AA1095" s="80"/>
      <c r="AB1095" s="59"/>
      <c r="AC1095" s="80"/>
      <c r="AD1095" s="80"/>
      <c r="AE1095" s="80"/>
      <c r="AF1095" s="80"/>
      <c r="AG1095" s="59"/>
      <c r="AH1095" s="80"/>
      <c r="AI1095" s="37">
        <v>6100</v>
      </c>
      <c r="AJ1095" s="37">
        <v>5800</v>
      </c>
      <c r="AK1095" s="37">
        <v>5200</v>
      </c>
      <c r="AL1095" s="36">
        <f>AK1095</f>
        <v>5200</v>
      </c>
      <c r="AM1095" s="37">
        <v>5600</v>
      </c>
      <c r="AN1095" s="37">
        <v>5600</v>
      </c>
      <c r="AO1095" s="37">
        <v>5700</v>
      </c>
      <c r="AP1095" s="37">
        <v>5700</v>
      </c>
      <c r="AQ1095" s="36">
        <f>AP1095</f>
        <v>5700</v>
      </c>
      <c r="AR1095" s="37">
        <v>5700</v>
      </c>
      <c r="AS1095" s="37">
        <v>5900</v>
      </c>
      <c r="AT1095" s="37">
        <v>5800</v>
      </c>
      <c r="AU1095" s="37">
        <v>5700</v>
      </c>
      <c r="AV1095" s="36">
        <f>AU1095</f>
        <v>5700</v>
      </c>
      <c r="AW1095" s="37">
        <v>6100</v>
      </c>
      <c r="AX1095" s="37">
        <v>6200</v>
      </c>
      <c r="AY1095" s="37">
        <v>5900</v>
      </c>
    </row>
    <row r="1096" spans="1:51">
      <c r="A1096" s="1" t="s">
        <v>595</v>
      </c>
      <c r="Y1096" s="80"/>
      <c r="Z1096" s="80"/>
      <c r="AA1096" s="80"/>
      <c r="AB1096" s="59"/>
      <c r="AC1096" s="80"/>
      <c r="AD1096" s="80"/>
      <c r="AE1096" s="80"/>
      <c r="AF1096" s="80"/>
      <c r="AG1096" s="59"/>
      <c r="AH1096" s="80"/>
      <c r="AI1096" s="37">
        <v>0</v>
      </c>
      <c r="AJ1096" s="37">
        <v>0</v>
      </c>
      <c r="AK1096" s="37">
        <v>0</v>
      </c>
      <c r="AL1096" s="36">
        <f>AK1096</f>
        <v>0</v>
      </c>
      <c r="AM1096" s="37">
        <v>0</v>
      </c>
      <c r="AN1096" s="37">
        <v>0</v>
      </c>
      <c r="AO1096" s="37">
        <v>0</v>
      </c>
      <c r="AP1096" s="37">
        <v>0</v>
      </c>
      <c r="AQ1096" s="36">
        <f>AP1096</f>
        <v>0</v>
      </c>
      <c r="AR1096" s="37">
        <v>0</v>
      </c>
      <c r="AS1096" s="37">
        <v>0</v>
      </c>
      <c r="AT1096" s="37">
        <v>0</v>
      </c>
      <c r="AU1096" s="37">
        <v>0</v>
      </c>
      <c r="AV1096" s="36">
        <f>AU1096</f>
        <v>0</v>
      </c>
      <c r="AW1096" s="37">
        <v>0</v>
      </c>
      <c r="AX1096" s="37">
        <v>0</v>
      </c>
      <c r="AY1096" s="37">
        <v>0</v>
      </c>
    </row>
    <row r="1097" spans="1:51">
      <c r="A1097" s="9" t="s">
        <v>675</v>
      </c>
      <c r="B1097" s="9"/>
      <c r="C1097" s="9"/>
      <c r="D1097" s="9"/>
      <c r="E1097" s="9"/>
      <c r="F1097" s="9"/>
      <c r="G1097" s="9"/>
      <c r="H1097" s="9"/>
      <c r="I1097" s="9"/>
      <c r="J1097" s="9"/>
      <c r="K1097" s="9"/>
      <c r="L1097" s="9"/>
      <c r="M1097" s="9"/>
      <c r="N1097" s="9"/>
      <c r="O1097" s="9"/>
      <c r="P1097" s="9"/>
      <c r="Q1097" s="9"/>
      <c r="R1097" s="9"/>
      <c r="S1097" s="9"/>
      <c r="T1097" s="9"/>
      <c r="U1097" s="9"/>
      <c r="V1097" s="9"/>
      <c r="W1097" s="9"/>
      <c r="X1097" s="9"/>
      <c r="Y1097" s="81"/>
      <c r="Z1097" s="81"/>
      <c r="AA1097" s="81"/>
      <c r="AB1097" s="81"/>
      <c r="AC1097" s="81"/>
      <c r="AD1097" s="81"/>
      <c r="AE1097" s="81"/>
      <c r="AF1097" s="81"/>
      <c r="AG1097" s="81"/>
      <c r="AH1097" s="81"/>
      <c r="AI1097" s="39">
        <f>SUM(AI1095:AI1096)</f>
        <v>6100</v>
      </c>
      <c r="AJ1097" s="39">
        <f>SUM(AJ1095:AJ1096)</f>
        <v>5800</v>
      </c>
      <c r="AK1097" s="39">
        <f>SUM(AK1095:AK1096)</f>
        <v>5200</v>
      </c>
      <c r="AL1097" s="39">
        <f>AK1097</f>
        <v>5200</v>
      </c>
      <c r="AM1097" s="39">
        <f>SUM(AM1095:AM1096)</f>
        <v>5600</v>
      </c>
      <c r="AN1097" s="39">
        <f>SUM(AN1095:AN1096)</f>
        <v>5600</v>
      </c>
      <c r="AO1097" s="39">
        <f>SUM(AO1095:AO1096)</f>
        <v>5700</v>
      </c>
      <c r="AP1097" s="39">
        <f>SUM(AP1095:AP1096)</f>
        <v>5700</v>
      </c>
      <c r="AQ1097" s="39">
        <f>AP1097</f>
        <v>5700</v>
      </c>
      <c r="AR1097" s="39">
        <f>SUM(AR1095:AR1096)</f>
        <v>5700</v>
      </c>
      <c r="AS1097" s="39">
        <f>SUM(AS1095:AS1096)</f>
        <v>5900</v>
      </c>
      <c r="AT1097" s="39">
        <f>SUM(AT1095:AT1096)</f>
        <v>5800</v>
      </c>
      <c r="AU1097" s="39">
        <f>SUM(AU1095:AU1096)</f>
        <v>5700</v>
      </c>
      <c r="AV1097" s="39">
        <f>AU1097</f>
        <v>5700</v>
      </c>
      <c r="AW1097" s="39">
        <f>SUM(AW1095:AW1096)</f>
        <v>6100</v>
      </c>
      <c r="AX1097" s="39">
        <f>SUM(AX1095:AX1096)</f>
        <v>6200</v>
      </c>
      <c r="AY1097" s="39">
        <f>SUM(AY1095:AY1096)</f>
        <v>5900</v>
      </c>
    </row>
    <row r="1098" spans="1:51">
      <c r="Y1098" s="79"/>
      <c r="Z1098" s="79"/>
      <c r="AA1098" s="79"/>
      <c r="AB1098" s="79"/>
      <c r="AC1098" s="79"/>
      <c r="AD1098" s="82"/>
      <c r="AE1098" s="79"/>
      <c r="AF1098" s="79"/>
      <c r="AG1098" s="79"/>
      <c r="AH1098" s="79"/>
      <c r="AI1098" s="79"/>
      <c r="AJ1098" s="79"/>
      <c r="AK1098" s="79"/>
      <c r="AL1098" s="79"/>
      <c r="AM1098" s="79"/>
      <c r="AN1098" s="79"/>
      <c r="AR1098" s="79"/>
      <c r="AS1098" s="79"/>
      <c r="AW1098" s="79"/>
      <c r="AX1098" s="79"/>
    </row>
    <row r="1099" spans="1:51">
      <c r="A1099" s="1" t="s">
        <v>597</v>
      </c>
      <c r="Y1099" s="80"/>
      <c r="Z1099" s="80"/>
      <c r="AA1099" s="80"/>
      <c r="AB1099" s="59"/>
      <c r="AC1099" s="80"/>
      <c r="AD1099" s="80"/>
      <c r="AE1099" s="80"/>
      <c r="AF1099" s="80"/>
      <c r="AG1099" s="59"/>
      <c r="AH1099" s="80"/>
      <c r="AI1099" s="37">
        <v>100</v>
      </c>
      <c r="AJ1099" s="37">
        <v>100</v>
      </c>
      <c r="AK1099" s="37">
        <v>100</v>
      </c>
      <c r="AL1099" s="59">
        <f>AK1099</f>
        <v>100</v>
      </c>
      <c r="AM1099" s="37">
        <v>100</v>
      </c>
      <c r="AN1099" s="37">
        <v>100</v>
      </c>
      <c r="AO1099" s="37">
        <v>300</v>
      </c>
      <c r="AP1099" s="37">
        <v>400</v>
      </c>
      <c r="AQ1099" s="59">
        <f>AP1099</f>
        <v>400</v>
      </c>
      <c r="AR1099" s="37">
        <v>400</v>
      </c>
      <c r="AS1099" s="37">
        <v>400</v>
      </c>
      <c r="AT1099" s="37">
        <v>500</v>
      </c>
      <c r="AU1099" s="37">
        <v>700</v>
      </c>
      <c r="AV1099" s="59">
        <f>AU1099</f>
        <v>700</v>
      </c>
      <c r="AW1099" s="37">
        <v>700</v>
      </c>
      <c r="AX1099" s="37">
        <v>700</v>
      </c>
      <c r="AY1099" s="37">
        <v>900</v>
      </c>
    </row>
    <row r="1100" spans="1:51">
      <c r="A1100" s="9" t="s">
        <v>598</v>
      </c>
      <c r="B1100" s="9"/>
      <c r="C1100" s="9"/>
      <c r="D1100" s="9"/>
      <c r="E1100" s="9"/>
      <c r="F1100" s="9"/>
      <c r="G1100" s="9"/>
      <c r="H1100" s="9"/>
      <c r="I1100" s="9"/>
      <c r="J1100" s="9"/>
      <c r="K1100" s="9"/>
      <c r="L1100" s="9"/>
      <c r="M1100" s="9"/>
      <c r="N1100" s="9"/>
      <c r="O1100" s="9"/>
      <c r="P1100" s="9"/>
      <c r="Q1100" s="9"/>
      <c r="R1100" s="9"/>
      <c r="S1100" s="9"/>
      <c r="T1100" s="9"/>
      <c r="U1100" s="9"/>
      <c r="V1100" s="9"/>
      <c r="W1100" s="9"/>
      <c r="X1100" s="9"/>
      <c r="Y1100" s="81"/>
      <c r="Z1100" s="81"/>
      <c r="AA1100" s="81"/>
      <c r="AB1100" s="81"/>
      <c r="AC1100" s="81"/>
      <c r="AD1100" s="81"/>
      <c r="AE1100" s="81"/>
      <c r="AF1100" s="81"/>
      <c r="AG1100" s="81"/>
      <c r="AH1100" s="81"/>
      <c r="AI1100" s="39">
        <f>AI1097+AI1099</f>
        <v>6200</v>
      </c>
      <c r="AJ1100" s="39">
        <f>AJ1097+AJ1099</f>
        <v>5900</v>
      </c>
      <c r="AK1100" s="39">
        <f>AK1097+AK1099</f>
        <v>5300</v>
      </c>
      <c r="AL1100" s="39">
        <f>AK1100</f>
        <v>5300</v>
      </c>
      <c r="AM1100" s="39">
        <f>AM1097+AM1099</f>
        <v>5700</v>
      </c>
      <c r="AN1100" s="39">
        <f>AN1097+AN1099</f>
        <v>5700</v>
      </c>
      <c r="AO1100" s="39">
        <f>AO1097+AO1099</f>
        <v>6000</v>
      </c>
      <c r="AP1100" s="39">
        <f>AP1097+AP1099</f>
        <v>6100</v>
      </c>
      <c r="AQ1100" s="39">
        <f>AP1100</f>
        <v>6100</v>
      </c>
      <c r="AR1100" s="39">
        <f>AR1097+AR1099</f>
        <v>6100</v>
      </c>
      <c r="AS1100" s="39">
        <f>AS1097+AS1099</f>
        <v>6300</v>
      </c>
      <c r="AT1100" s="39">
        <f>AT1097+AT1099</f>
        <v>6300</v>
      </c>
      <c r="AU1100" s="39">
        <f>AU1097+AU1099</f>
        <v>6400</v>
      </c>
      <c r="AV1100" s="39">
        <f>AU1100</f>
        <v>6400</v>
      </c>
      <c r="AW1100" s="39">
        <f>AW1097+AW1099</f>
        <v>6800</v>
      </c>
      <c r="AX1100" s="39">
        <f>AX1097+AX1099</f>
        <v>6900</v>
      </c>
      <c r="AY1100" s="39">
        <f>AY1097+AY1099</f>
        <v>6800</v>
      </c>
    </row>
  </sheetData>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5AF25-233A-40C3-B129-2207A53A3D1F}">
  <sheetPr codeName="Sheet11"/>
  <dimension ref="A1:BZ760"/>
  <sheetViews>
    <sheetView zoomScale="90" zoomScaleNormal="90" workbookViewId="0">
      <pane xSplit="8" ySplit="2" topLeftCell="AQ163" activePane="bottomRight" state="frozen"/>
      <selection pane="topRight" activeCell="I1" sqref="I1"/>
      <selection pane="bottomLeft" activeCell="A3" sqref="A3"/>
      <selection pane="bottomRight"/>
    </sheetView>
  </sheetViews>
  <sheetFormatPr defaultColWidth="9.140625" defaultRowHeight="12" outlineLevelRow="1" outlineLevelCol="1"/>
  <cols>
    <col min="1" max="1" width="9.140625" style="1"/>
    <col min="2" max="2" width="18.42578125" style="1" customWidth="1"/>
    <col min="3" max="3" width="15.7109375" style="1" customWidth="1"/>
    <col min="4" max="8" width="9.140625" style="1"/>
    <col min="9" max="12" width="11.42578125" style="1" hidden="1" customWidth="1" outlineLevel="1"/>
    <col min="13" max="13" width="11.42578125" style="1" customWidth="1" collapsed="1"/>
    <col min="14" max="17" width="11.42578125" style="1" hidden="1" customWidth="1" outlineLevel="1"/>
    <col min="18" max="18" width="11.42578125" style="1" customWidth="1" collapsed="1"/>
    <col min="19" max="22" width="11.42578125" style="1" hidden="1" customWidth="1" outlineLevel="1"/>
    <col min="23" max="23" width="11.42578125" style="1" customWidth="1" collapsed="1"/>
    <col min="24" max="27" width="11.42578125" style="1" hidden="1" customWidth="1" outlineLevel="1"/>
    <col min="28" max="28" width="11.42578125" style="1" customWidth="1" collapsed="1"/>
    <col min="29" max="32" width="11.42578125" style="1" hidden="1" customWidth="1" outlineLevel="1"/>
    <col min="33" max="33" width="11.42578125" style="1" customWidth="1" collapsed="1"/>
    <col min="34" max="37" width="11.42578125" style="1" hidden="1" customWidth="1" outlineLevel="1"/>
    <col min="38" max="38" width="11.42578125" style="1" customWidth="1" collapsed="1"/>
    <col min="39" max="42" width="11.42578125" style="1" customWidth="1" outlineLevel="1"/>
    <col min="43" max="43" width="11.42578125" style="1" customWidth="1"/>
    <col min="44" max="47" width="11.42578125" style="1" customWidth="1" outlineLevel="1"/>
    <col min="48" max="48" width="11.42578125" style="1" customWidth="1"/>
    <col min="49" max="52" width="11.42578125" style="1" customWidth="1" outlineLevel="1"/>
    <col min="53" max="53" width="11.42578125" style="1" customWidth="1"/>
    <col min="54" max="57" width="11.42578125" style="1" customWidth="1" outlineLevel="1"/>
    <col min="58" max="58" width="11.42578125" style="1" customWidth="1"/>
    <col min="59" max="62" width="11.42578125" style="1" customWidth="1" outlineLevel="1"/>
    <col min="63" max="63" width="11.42578125" style="1" customWidth="1"/>
    <col min="64" max="67" width="11.42578125" style="1" customWidth="1" outlineLevel="1"/>
    <col min="68" max="68" width="11.42578125" style="1" customWidth="1"/>
    <col min="69" max="70" width="11.42578125" style="1" customWidth="1" outlineLevel="1"/>
    <col min="71" max="71" width="11.42578125" style="46" customWidth="1" outlineLevel="1"/>
    <col min="72" max="72" width="11.42578125" style="1" customWidth="1" outlineLevel="1"/>
    <col min="73" max="73" width="11.42578125" style="1" customWidth="1"/>
    <col min="74" max="77" width="11.42578125" style="1" customWidth="1" outlineLevel="1"/>
    <col min="78" max="78" width="11.42578125" style="1" customWidth="1"/>
    <col min="79" max="16384" width="9.140625" style="1"/>
  </cols>
  <sheetData>
    <row r="1" spans="1:78" s="2" customFormat="1">
      <c r="A1" s="2" t="s">
        <v>0</v>
      </c>
      <c r="I1" s="43" t="s">
        <v>160</v>
      </c>
      <c r="J1" s="43" t="s">
        <v>161</v>
      </c>
      <c r="K1" s="43" t="s">
        <v>162</v>
      </c>
      <c r="M1" s="18" t="s">
        <v>159</v>
      </c>
      <c r="N1" s="43" t="s">
        <v>150</v>
      </c>
      <c r="O1" s="43" t="s">
        <v>151</v>
      </c>
      <c r="P1" s="43" t="s">
        <v>152</v>
      </c>
      <c r="R1" s="18" t="s">
        <v>153</v>
      </c>
      <c r="S1" s="43" t="s">
        <v>146</v>
      </c>
      <c r="T1" s="43" t="s">
        <v>147</v>
      </c>
      <c r="U1" s="43" t="s">
        <v>148</v>
      </c>
      <c r="W1" s="18" t="s">
        <v>149</v>
      </c>
      <c r="X1" s="43" t="s">
        <v>142</v>
      </c>
      <c r="Y1" s="43" t="s">
        <v>143</v>
      </c>
      <c r="Z1" s="43" t="s">
        <v>144</v>
      </c>
      <c r="AB1" s="18" t="s">
        <v>145</v>
      </c>
      <c r="AC1" s="43" t="s">
        <v>138</v>
      </c>
      <c r="AD1" s="43" t="s">
        <v>139</v>
      </c>
      <c r="AE1" s="43" t="s">
        <v>140</v>
      </c>
      <c r="AG1" s="18" t="s">
        <v>141</v>
      </c>
      <c r="AH1" s="43" t="s">
        <v>126</v>
      </c>
      <c r="AI1" s="43" t="s">
        <v>127</v>
      </c>
      <c r="AJ1" s="43" t="s">
        <v>128</v>
      </c>
      <c r="AL1" s="18" t="s">
        <v>79</v>
      </c>
      <c r="AM1" s="43" t="s">
        <v>129</v>
      </c>
      <c r="AN1" s="43" t="s">
        <v>130</v>
      </c>
      <c r="AO1" s="43" t="s">
        <v>131</v>
      </c>
      <c r="AQ1" s="18" t="s">
        <v>90</v>
      </c>
      <c r="AR1" s="43" t="s">
        <v>700</v>
      </c>
      <c r="AS1" s="43" t="s">
        <v>701</v>
      </c>
      <c r="AT1" s="43" t="s">
        <v>702</v>
      </c>
      <c r="AV1" s="18" t="s">
        <v>699</v>
      </c>
      <c r="AW1" s="43" t="s">
        <v>1177</v>
      </c>
      <c r="AX1" s="43" t="s">
        <v>1178</v>
      </c>
      <c r="AY1" s="43" t="s">
        <v>1179</v>
      </c>
      <c r="BA1" s="18" t="s">
        <v>1180</v>
      </c>
      <c r="BB1" s="43" t="s">
        <v>1189</v>
      </c>
      <c r="BC1" s="43" t="s">
        <v>1190</v>
      </c>
      <c r="BD1" s="43" t="s">
        <v>1191</v>
      </c>
      <c r="BF1" s="18" t="s">
        <v>1198</v>
      </c>
      <c r="BG1" s="43" t="s">
        <v>1192</v>
      </c>
      <c r="BH1" s="43" t="s">
        <v>1199</v>
      </c>
      <c r="BI1" s="43" t="s">
        <v>1200</v>
      </c>
      <c r="BK1" s="18" t="s">
        <v>1209</v>
      </c>
      <c r="BL1" s="43" t="s">
        <v>1201</v>
      </c>
      <c r="BM1" s="43" t="s">
        <v>1203</v>
      </c>
      <c r="BN1" s="43" t="s">
        <v>1205</v>
      </c>
      <c r="BP1" s="18" t="s">
        <v>1210</v>
      </c>
      <c r="BQ1" s="43" t="s">
        <v>1211</v>
      </c>
      <c r="BR1" s="43" t="s">
        <v>1213</v>
      </c>
      <c r="BS1" s="327" t="s">
        <v>1215</v>
      </c>
      <c r="BU1" s="18" t="s">
        <v>1219</v>
      </c>
      <c r="BV1" s="43" t="s">
        <v>1211</v>
      </c>
      <c r="BW1" s="43" t="s">
        <v>1213</v>
      </c>
      <c r="BX1" s="43" t="s">
        <v>1215</v>
      </c>
      <c r="BZ1" s="18" t="s">
        <v>1220</v>
      </c>
    </row>
    <row r="2" spans="1:78" s="2" customFormat="1">
      <c r="A2" s="2" t="s">
        <v>2</v>
      </c>
      <c r="I2" s="6" t="s">
        <v>194</v>
      </c>
      <c r="J2" s="6" t="s">
        <v>195</v>
      </c>
      <c r="K2" s="6" t="s">
        <v>196</v>
      </c>
      <c r="L2" s="6" t="s">
        <v>197</v>
      </c>
      <c r="M2" s="6" t="s">
        <v>198</v>
      </c>
      <c r="N2" s="6" t="s">
        <v>163</v>
      </c>
      <c r="O2" s="6" t="s">
        <v>164</v>
      </c>
      <c r="P2" s="6" t="s">
        <v>165</v>
      </c>
      <c r="Q2" s="6" t="s">
        <v>166</v>
      </c>
      <c r="R2" s="6" t="s">
        <v>167</v>
      </c>
      <c r="S2" s="6" t="s">
        <v>154</v>
      </c>
      <c r="T2" s="6" t="s">
        <v>155</v>
      </c>
      <c r="U2" s="6" t="s">
        <v>156</v>
      </c>
      <c r="V2" s="6" t="s">
        <v>157</v>
      </c>
      <c r="W2" s="6" t="s">
        <v>158</v>
      </c>
      <c r="X2" s="6" t="s">
        <v>133</v>
      </c>
      <c r="Y2" s="6" t="s">
        <v>134</v>
      </c>
      <c r="Z2" s="6" t="s">
        <v>135</v>
      </c>
      <c r="AA2" s="6" t="s">
        <v>136</v>
      </c>
      <c r="AB2" s="6" t="s">
        <v>137</v>
      </c>
      <c r="AC2" s="6" t="s">
        <v>74</v>
      </c>
      <c r="AD2" s="6" t="s">
        <v>75</v>
      </c>
      <c r="AE2" s="6" t="s">
        <v>76</v>
      </c>
      <c r="AF2" s="6" t="s">
        <v>77</v>
      </c>
      <c r="AG2" s="6" t="s">
        <v>78</v>
      </c>
      <c r="AH2" s="6" t="s">
        <v>10</v>
      </c>
      <c r="AI2" s="6" t="s">
        <v>11</v>
      </c>
      <c r="AJ2" s="6" t="s">
        <v>12</v>
      </c>
      <c r="AK2" s="6" t="s">
        <v>13</v>
      </c>
      <c r="AL2" s="6" t="s">
        <v>14</v>
      </c>
      <c r="AM2" s="6" t="s">
        <v>91</v>
      </c>
      <c r="AN2" s="6" t="s">
        <v>92</v>
      </c>
      <c r="AO2" s="6" t="s">
        <v>93</v>
      </c>
      <c r="AP2" s="6" t="s">
        <v>94</v>
      </c>
      <c r="AQ2" s="6" t="s">
        <v>95</v>
      </c>
      <c r="AR2" s="6" t="s">
        <v>686</v>
      </c>
      <c r="AS2" s="6" t="s">
        <v>695</v>
      </c>
      <c r="AT2" s="6" t="s">
        <v>696</v>
      </c>
      <c r="AU2" s="6" t="s">
        <v>697</v>
      </c>
      <c r="AV2" s="6" t="s">
        <v>698</v>
      </c>
      <c r="AW2" s="6" t="s">
        <v>1172</v>
      </c>
      <c r="AX2" s="6" t="s">
        <v>1173</v>
      </c>
      <c r="AY2" s="6" t="s">
        <v>1174</v>
      </c>
      <c r="AZ2" s="6" t="s">
        <v>1175</v>
      </c>
      <c r="BA2" s="6" t="s">
        <v>1176</v>
      </c>
      <c r="BB2" s="6" t="s">
        <v>1184</v>
      </c>
      <c r="BC2" s="6" t="s">
        <v>1185</v>
      </c>
      <c r="BD2" s="6" t="s">
        <v>1186</v>
      </c>
      <c r="BE2" s="6" t="s">
        <v>1187</v>
      </c>
      <c r="BF2" s="6" t="s">
        <v>1188</v>
      </c>
      <c r="BG2" s="6" t="s">
        <v>1193</v>
      </c>
      <c r="BH2" s="6" t="s">
        <v>1194</v>
      </c>
      <c r="BI2" s="6" t="s">
        <v>1195</v>
      </c>
      <c r="BJ2" s="6" t="s">
        <v>1196</v>
      </c>
      <c r="BK2" s="6" t="s">
        <v>1197</v>
      </c>
      <c r="BL2" s="6" t="s">
        <v>1202</v>
      </c>
      <c r="BM2" s="6" t="s">
        <v>1204</v>
      </c>
      <c r="BN2" s="6" t="s">
        <v>1206</v>
      </c>
      <c r="BO2" s="6" t="s">
        <v>1207</v>
      </c>
      <c r="BP2" s="6" t="s">
        <v>1208</v>
      </c>
      <c r="BQ2" s="6" t="s">
        <v>1212</v>
      </c>
      <c r="BR2" s="6" t="s">
        <v>1214</v>
      </c>
      <c r="BS2" s="241" t="s">
        <v>1216</v>
      </c>
      <c r="BT2" s="6" t="s">
        <v>1217</v>
      </c>
      <c r="BU2" s="6" t="s">
        <v>1218</v>
      </c>
      <c r="BV2" s="6" t="s">
        <v>1221</v>
      </c>
      <c r="BW2" s="6" t="s">
        <v>1222</v>
      </c>
      <c r="BX2" s="6" t="s">
        <v>1223</v>
      </c>
      <c r="BY2" s="6" t="s">
        <v>1224</v>
      </c>
      <c r="BZ2" s="6" t="s">
        <v>1225</v>
      </c>
    </row>
    <row r="3" spans="1:78">
      <c r="AO3" s="36"/>
      <c r="AP3" s="36"/>
    </row>
    <row r="4" spans="1:78">
      <c r="A4" s="1" t="s">
        <v>2186</v>
      </c>
      <c r="AO4" s="21">
        <f>AO74/AO9</f>
        <v>0.42654028436018959</v>
      </c>
      <c r="AP4" s="21">
        <f>AP74/AP9</f>
        <v>0.40100250626566414</v>
      </c>
      <c r="AQ4" s="21">
        <f>AQ74/AQ9</f>
        <v>0.40100250626566414</v>
      </c>
      <c r="AR4" s="21">
        <f>AR74/AR9</f>
        <v>0.39952153110047844</v>
      </c>
      <c r="AS4" s="21">
        <f>(AS74+$BJ$59)/AS9</f>
        <v>0.45785876993166286</v>
      </c>
      <c r="AT4" s="21">
        <f>(AT74+$BJ$59)/AT9</f>
        <v>0.45368171021377673</v>
      </c>
      <c r="AU4" s="21">
        <f>(AU74+$BJ$59)/AU9</f>
        <v>0.43879907621247111</v>
      </c>
      <c r="AV4" s="21">
        <f t="shared" ref="AV4:BA4" si="0">AV74/AV9</f>
        <v>0.43187066974595845</v>
      </c>
      <c r="AW4" s="21">
        <f t="shared" si="0"/>
        <v>0.4517543859649123</v>
      </c>
      <c r="AX4" s="21">
        <f t="shared" si="0"/>
        <v>0.44311377245508982</v>
      </c>
      <c r="AY4" s="21">
        <f t="shared" si="0"/>
        <v>0.3915929203539823</v>
      </c>
      <c r="AZ4" s="21">
        <f t="shared" si="0"/>
        <v>0.34449318864003692</v>
      </c>
      <c r="BA4" s="21">
        <f t="shared" si="0"/>
        <v>0.34449318864003692</v>
      </c>
    </row>
    <row r="5" spans="1:78">
      <c r="A5" s="1" t="s">
        <v>2194</v>
      </c>
      <c r="AO5" s="21">
        <f>(AO134-AO129)/AO9</f>
        <v>0.3127962085308057</v>
      </c>
      <c r="AP5" s="21">
        <f>(AP134-AP129)/AP9</f>
        <v>0.32330827067669171</v>
      </c>
      <c r="AQ5" s="21">
        <f>(AQ134-AQ129)/AQ9</f>
        <v>0.32330827067669171</v>
      </c>
      <c r="AR5" s="21">
        <f>(AR134-AR129)/AR9</f>
        <v>0.30442583732057416</v>
      </c>
      <c r="AS5" s="21">
        <f>(AS134-$BJ$59-AS129)/AS9</f>
        <v>0.26025056947608199</v>
      </c>
      <c r="AT5" s="21">
        <f>(AT134-$BJ$59-AT129)/AT9</f>
        <v>0.25237529691211402</v>
      </c>
      <c r="AU5" s="21">
        <f>(AU134-$BJ$59-AU129)/AU9</f>
        <v>0.24676674364896073</v>
      </c>
      <c r="AV5" s="21">
        <f t="shared" ref="AV5:BA5" si="1">(AV134-AV129)/AV9</f>
        <v>0.25369515011547344</v>
      </c>
      <c r="AW5" s="21">
        <f t="shared" si="1"/>
        <v>0.24967105263157896</v>
      </c>
      <c r="AX5" s="21">
        <f t="shared" si="1"/>
        <v>0.23073852295409181</v>
      </c>
      <c r="AY5" s="21">
        <f t="shared" si="1"/>
        <v>0.26493362831858408</v>
      </c>
      <c r="AZ5" s="21">
        <f t="shared" si="1"/>
        <v>0.26818286769799121</v>
      </c>
      <c r="BA5" s="21">
        <f t="shared" si="1"/>
        <v>0.26818286769799121</v>
      </c>
    </row>
    <row r="6" spans="1:78">
      <c r="A6" s="1" t="s">
        <v>1079</v>
      </c>
      <c r="AO6" s="21">
        <f t="shared" ref="AO6:AS6" si="2">1-SUM(AO4:AO5)</f>
        <v>0.26066350710900466</v>
      </c>
      <c r="AP6" s="21">
        <f t="shared" si="2"/>
        <v>0.27568922305764421</v>
      </c>
      <c r="AQ6" s="21">
        <f t="shared" si="2"/>
        <v>0.27568922305764421</v>
      </c>
      <c r="AR6" s="21">
        <f t="shared" si="2"/>
        <v>0.29605263157894735</v>
      </c>
      <c r="AS6" s="21">
        <f t="shared" si="2"/>
        <v>0.28189066059225509</v>
      </c>
      <c r="AT6" s="21">
        <f t="shared" ref="AT6:AU6" si="3">1-SUM(AT4:AT5)</f>
        <v>0.2939429928741093</v>
      </c>
      <c r="AU6" s="21">
        <f t="shared" si="3"/>
        <v>0.31443418013856816</v>
      </c>
      <c r="AV6" s="21">
        <f t="shared" ref="AV6:AW6" si="4">1-SUM(AV4:AV5)</f>
        <v>0.31443418013856816</v>
      </c>
      <c r="AW6" s="21">
        <f t="shared" si="4"/>
        <v>0.29857456140350869</v>
      </c>
      <c r="AX6" s="21">
        <f t="shared" ref="AX6:AY6" si="5">1-SUM(AX4:AX5)</f>
        <v>0.32614770459081832</v>
      </c>
      <c r="AY6" s="21">
        <f t="shared" si="5"/>
        <v>0.34347345132743357</v>
      </c>
      <c r="AZ6" s="21">
        <f t="shared" ref="AZ6:BA6" si="6">1-SUM(AZ4:AZ5)</f>
        <v>0.38732394366197187</v>
      </c>
      <c r="BA6" s="21">
        <f t="shared" si="6"/>
        <v>0.38732394366197187</v>
      </c>
    </row>
    <row r="7" spans="1:78">
      <c r="BB7" s="522" t="s">
        <v>1261</v>
      </c>
      <c r="BC7" s="71"/>
      <c r="BS7" s="329" t="s">
        <v>1242</v>
      </c>
    </row>
    <row r="8" spans="1:78">
      <c r="A8" s="1" t="s">
        <v>300</v>
      </c>
      <c r="AO8" s="36">
        <f t="shared" ref="AO8:AT8" si="7">AO118+AO150</f>
        <v>53500</v>
      </c>
      <c r="AP8" s="36">
        <f t="shared" si="7"/>
        <v>51600</v>
      </c>
      <c r="AQ8" s="36">
        <f t="shared" si="7"/>
        <v>51600</v>
      </c>
      <c r="AR8" s="36">
        <f t="shared" si="7"/>
        <v>46300</v>
      </c>
      <c r="AS8" s="36">
        <f t="shared" si="7"/>
        <v>45400</v>
      </c>
      <c r="AT8" s="36">
        <f t="shared" si="7"/>
        <v>45000</v>
      </c>
      <c r="AU8" s="36">
        <f t="shared" ref="AU8:AV8" si="8">AU118+AU150</f>
        <v>44200</v>
      </c>
      <c r="AV8" s="36">
        <f t="shared" si="8"/>
        <v>44200</v>
      </c>
      <c r="AW8" s="36">
        <f>AW118+AW150</f>
        <v>41300</v>
      </c>
      <c r="AX8" s="36">
        <f>AX118+AX150</f>
        <v>40700</v>
      </c>
      <c r="AY8" s="36">
        <f>AY118+AY150</f>
        <v>40100</v>
      </c>
      <c r="AZ8" s="36">
        <f>AZ118+AZ150</f>
        <v>40100</v>
      </c>
      <c r="BA8" s="36">
        <f>AZ8</f>
        <v>40100</v>
      </c>
      <c r="BB8" s="613">
        <f>MROUND(BA8-BB17/1, 5)</f>
        <v>36460</v>
      </c>
      <c r="BC8" s="59">
        <f t="shared" ref="BC8:BE8" si="9">MROUND(BB8-BC17/1, 5)</f>
        <v>32855</v>
      </c>
      <c r="BD8" s="59">
        <f t="shared" si="9"/>
        <v>29285</v>
      </c>
      <c r="BE8" s="59">
        <f t="shared" si="9"/>
        <v>25760</v>
      </c>
      <c r="BF8" s="36">
        <f>BE8</f>
        <v>25760</v>
      </c>
      <c r="BG8" s="59">
        <f>MROUND(BF8-BG17/1, 5)</f>
        <v>22980</v>
      </c>
      <c r="BH8" s="59">
        <f t="shared" ref="BH8" si="10">MROUND(BG8-BH17/1, 5)</f>
        <v>20180</v>
      </c>
      <c r="BI8" s="59">
        <f t="shared" ref="BI8" si="11">MROUND(BH8-BI17/1, 5)</f>
        <v>17355</v>
      </c>
      <c r="BJ8" s="59">
        <f t="shared" ref="BJ8" si="12">MROUND(BI8-BJ17/1, 5)</f>
        <v>14505</v>
      </c>
      <c r="BK8" s="36">
        <f>BJ8</f>
        <v>14505</v>
      </c>
      <c r="BL8" s="59">
        <f>MROUND(BK8-BL17/1, 5)</f>
        <v>11630</v>
      </c>
      <c r="BM8" s="59">
        <f t="shared" ref="BM8" si="13">MROUND(BL8-BM17/1, 5)</f>
        <v>8730</v>
      </c>
      <c r="BN8" s="59">
        <f t="shared" ref="BN8" si="14">MROUND(BM8-BN17/1, 5)</f>
        <v>5805</v>
      </c>
      <c r="BO8" s="59">
        <f t="shared" ref="BO8" si="15">MROUND(BN8-BO17/1, 5)</f>
        <v>2855</v>
      </c>
      <c r="BP8" s="36">
        <f>BO8</f>
        <v>2855</v>
      </c>
      <c r="BQ8" s="613" t="e">
        <f>MROUND(BP8-BQ17/1, 5)</f>
        <v>#NUM!</v>
      </c>
      <c r="BR8" s="59" t="e">
        <f t="shared" ref="BR8" si="16">MROUND(BQ8-BR17/1, 5)</f>
        <v>#NUM!</v>
      </c>
      <c r="BS8" s="338" t="e">
        <f t="shared" ref="BS8" si="17">MROUND(BR8-BS17*0.5, 5)</f>
        <v>#NUM!</v>
      </c>
      <c r="BT8" s="25" t="s">
        <v>1264</v>
      </c>
    </row>
    <row r="9" spans="1:78">
      <c r="A9" s="1" t="s">
        <v>301</v>
      </c>
      <c r="AO9" s="36">
        <f>AO74+AO134</f>
        <v>42200</v>
      </c>
      <c r="AP9" s="36">
        <f>AP74+AP134</f>
        <v>39900</v>
      </c>
      <c r="AQ9" s="36">
        <f>AQ74+AQ134</f>
        <v>39900</v>
      </c>
      <c r="AR9" s="36">
        <f>AR74+AR134</f>
        <v>41800</v>
      </c>
      <c r="AS9" s="36">
        <f t="shared" ref="AS9:AT9" si="18">AS74+AS134</f>
        <v>43900</v>
      </c>
      <c r="AT9" s="36">
        <f t="shared" si="18"/>
        <v>42100</v>
      </c>
      <c r="AU9" s="36">
        <f t="shared" ref="AU9:AZ9" si="19">AU74+AU134</f>
        <v>43300</v>
      </c>
      <c r="AV9" s="36">
        <f t="shared" si="19"/>
        <v>43300</v>
      </c>
      <c r="AW9" s="36">
        <f t="shared" si="19"/>
        <v>45600</v>
      </c>
      <c r="AX9" s="36">
        <f t="shared" si="19"/>
        <v>50100</v>
      </c>
      <c r="AY9" s="36">
        <f t="shared" si="19"/>
        <v>45200</v>
      </c>
      <c r="AZ9" s="36">
        <f t="shared" si="19"/>
        <v>43310</v>
      </c>
      <c r="BA9" s="36">
        <f>AZ9</f>
        <v>43310</v>
      </c>
      <c r="BB9" s="36">
        <f>BB18</f>
        <v>40045</v>
      </c>
      <c r="BC9" s="36">
        <f>BC18</f>
        <v>36785</v>
      </c>
      <c r="BD9" s="36">
        <f>BD18</f>
        <v>33535</v>
      </c>
      <c r="BE9" s="36">
        <f>BE18</f>
        <v>30300</v>
      </c>
      <c r="BF9" s="36">
        <f>BE9</f>
        <v>30300</v>
      </c>
      <c r="BG9" s="36">
        <f>BG18</f>
        <v>27780</v>
      </c>
      <c r="BH9" s="36">
        <f>BH18</f>
        <v>25220</v>
      </c>
      <c r="BI9" s="36">
        <f>BI18</f>
        <v>22615</v>
      </c>
      <c r="BJ9" s="36">
        <f>BJ18</f>
        <v>19960</v>
      </c>
      <c r="BK9" s="36">
        <f>BJ9</f>
        <v>19960</v>
      </c>
      <c r="BL9" s="36">
        <f>BL18</f>
        <v>17255</v>
      </c>
      <c r="BM9" s="36">
        <f>BM18</f>
        <v>14505</v>
      </c>
      <c r="BN9" s="36">
        <f>BN18</f>
        <v>11705</v>
      </c>
      <c r="BO9" s="36">
        <f>BO18</f>
        <v>8855</v>
      </c>
      <c r="BP9" s="36">
        <f>BO9</f>
        <v>8855</v>
      </c>
      <c r="BQ9" s="36">
        <f>BQ18</f>
        <v>5955</v>
      </c>
      <c r="BR9" s="36">
        <f>BR18</f>
        <v>3000</v>
      </c>
      <c r="BS9" s="111">
        <f>BS18</f>
        <v>0</v>
      </c>
    </row>
    <row r="10" spans="1:78">
      <c r="A10" s="1" t="s">
        <v>1250</v>
      </c>
      <c r="AO10" s="167">
        <f t="shared" ref="AO10:BK10" si="20">AO9/AO8</f>
        <v>0.78878504672897198</v>
      </c>
      <c r="AP10" s="167">
        <f t="shared" si="20"/>
        <v>0.77325581395348841</v>
      </c>
      <c r="AQ10" s="167">
        <f t="shared" si="20"/>
        <v>0.77325581395348841</v>
      </c>
      <c r="AR10" s="167">
        <f t="shared" si="20"/>
        <v>0.90280777537796975</v>
      </c>
      <c r="AS10" s="167">
        <f t="shared" ref="AS10:AV10" si="21">AS9/AS8</f>
        <v>0.96696035242290745</v>
      </c>
      <c r="AT10" s="167">
        <f t="shared" si="21"/>
        <v>0.93555555555555558</v>
      </c>
      <c r="AU10" s="167">
        <f t="shared" si="21"/>
        <v>0.97963800904977372</v>
      </c>
      <c r="AV10" s="167">
        <f t="shared" si="21"/>
        <v>0.97963800904977372</v>
      </c>
      <c r="AW10" s="167">
        <f t="shared" ref="AW10" si="22">AW9/AW8</f>
        <v>1.1041162227602905</v>
      </c>
      <c r="AX10" s="167">
        <f t="shared" ref="AX10:AY10" si="23">AX9/AX8</f>
        <v>1.230958230958231</v>
      </c>
      <c r="AY10" s="167">
        <f t="shared" si="23"/>
        <v>1.1271820448877805</v>
      </c>
      <c r="AZ10" s="167">
        <f t="shared" ref="AZ10" si="24">AZ9/AZ8</f>
        <v>1.0800498753117207</v>
      </c>
      <c r="BA10" s="167">
        <f t="shared" si="20"/>
        <v>1.0800498753117207</v>
      </c>
      <c r="BB10" s="167">
        <f t="shared" si="20"/>
        <v>1.0983269336258914</v>
      </c>
      <c r="BC10" s="167">
        <f t="shared" si="20"/>
        <v>1.1196164967280475</v>
      </c>
      <c r="BD10" s="167">
        <f t="shared" si="20"/>
        <v>1.145125490865631</v>
      </c>
      <c r="BE10" s="167">
        <f t="shared" si="20"/>
        <v>1.1762422360248448</v>
      </c>
      <c r="BF10" s="167">
        <f t="shared" si="20"/>
        <v>1.1762422360248448</v>
      </c>
      <c r="BG10" s="167">
        <f t="shared" si="20"/>
        <v>1.2088772845953002</v>
      </c>
      <c r="BH10" s="167">
        <f t="shared" si="20"/>
        <v>1.2497522299306243</v>
      </c>
      <c r="BI10" s="167">
        <f t="shared" si="20"/>
        <v>1.3030826851051571</v>
      </c>
      <c r="BJ10" s="167">
        <f t="shared" si="20"/>
        <v>1.3760772147535332</v>
      </c>
      <c r="BK10" s="167">
        <f t="shared" si="20"/>
        <v>1.3760772147535332</v>
      </c>
      <c r="BL10" s="167">
        <f t="shared" ref="BL10:BS10" si="25">BL9/BL8</f>
        <v>1.4836629406706794</v>
      </c>
      <c r="BM10" s="167">
        <f t="shared" si="25"/>
        <v>1.661512027491409</v>
      </c>
      <c r="BN10" s="167">
        <f t="shared" si="25"/>
        <v>2.016365202411714</v>
      </c>
      <c r="BO10" s="167">
        <f t="shared" si="25"/>
        <v>3.1015761821366024</v>
      </c>
      <c r="BP10" s="167">
        <f t="shared" si="25"/>
        <v>3.1015761821366024</v>
      </c>
      <c r="BQ10" s="167" t="e">
        <f t="shared" si="25"/>
        <v>#NUM!</v>
      </c>
      <c r="BR10" s="167" t="e">
        <f t="shared" si="25"/>
        <v>#NUM!</v>
      </c>
      <c r="BS10" s="333" t="e">
        <f t="shared" si="25"/>
        <v>#NUM!</v>
      </c>
    </row>
    <row r="11" spans="1:78">
      <c r="AO11" s="36"/>
      <c r="AP11" s="36"/>
      <c r="BB11" s="522" t="s">
        <v>1260</v>
      </c>
      <c r="BC11" s="647"/>
      <c r="BD11" s="647"/>
    </row>
    <row r="12" spans="1:78">
      <c r="A12" s="1" t="s">
        <v>1244</v>
      </c>
      <c r="AQ12" s="36"/>
      <c r="AR12" s="142" t="s">
        <v>1243</v>
      </c>
      <c r="AS12" s="209">
        <v>3.5000000000000003E-2</v>
      </c>
    </row>
    <row r="13" spans="1:78">
      <c r="A13" s="1" t="s">
        <v>1245</v>
      </c>
      <c r="AQ13" s="36"/>
      <c r="AR13" s="142"/>
      <c r="AS13" s="330">
        <f>(1+AS12)^(1/4)-1</f>
        <v>8.6374459977134332E-3</v>
      </c>
    </row>
    <row r="14" spans="1:78">
      <c r="AO14" s="36"/>
      <c r="AP14" s="36"/>
      <c r="AY14" s="842" t="s">
        <v>3013</v>
      </c>
      <c r="AZ14" s="179"/>
      <c r="BA14" s="179"/>
      <c r="BB14" s="179"/>
    </row>
    <row r="15" spans="1:78">
      <c r="A15" s="1" t="s">
        <v>1246</v>
      </c>
      <c r="AO15" s="36"/>
      <c r="AP15" s="36"/>
      <c r="AR15" s="332"/>
      <c r="AS15" s="332">
        <f>AT15+0.25</f>
        <v>5.5</v>
      </c>
      <c r="AT15" s="332">
        <f>AU15+0.25</f>
        <v>5.25</v>
      </c>
      <c r="AU15" s="332">
        <f>AV15</f>
        <v>5</v>
      </c>
      <c r="AV15" s="332">
        <f>AW15+0.25</f>
        <v>5</v>
      </c>
      <c r="AW15" s="332">
        <f>AX15+0.25</f>
        <v>4.75</v>
      </c>
      <c r="AX15" s="332">
        <f>AY15+0.25</f>
        <v>4.5</v>
      </c>
      <c r="AY15" s="332">
        <f>AZ15+0.25</f>
        <v>4.25</v>
      </c>
      <c r="AZ15" s="332">
        <f>BA15</f>
        <v>4</v>
      </c>
      <c r="BA15" s="332">
        <f>BB15+0.25</f>
        <v>4</v>
      </c>
      <c r="BB15" s="332">
        <f>BC15+0.25</f>
        <v>3.75</v>
      </c>
      <c r="BC15" s="332">
        <f>BD15+0.25</f>
        <v>3.5</v>
      </c>
      <c r="BD15" s="332">
        <f>BE15+0.25</f>
        <v>3.25</v>
      </c>
      <c r="BE15" s="332">
        <f>BF15</f>
        <v>3</v>
      </c>
      <c r="BF15" s="332">
        <f>BG15+0.25</f>
        <v>3</v>
      </c>
      <c r="BG15" s="332">
        <f>BH15+0.25</f>
        <v>2.75</v>
      </c>
      <c r="BH15" s="332">
        <f>BI15+0.25</f>
        <v>2.5</v>
      </c>
      <c r="BI15" s="332">
        <f>BJ15+0.25</f>
        <v>2.25</v>
      </c>
      <c r="BJ15" s="332">
        <f>BK15</f>
        <v>2</v>
      </c>
      <c r="BK15" s="332">
        <f>BL15+0.25</f>
        <v>2</v>
      </c>
      <c r="BL15" s="332">
        <f>BM15+0.25</f>
        <v>1.75</v>
      </c>
      <c r="BM15" s="332">
        <f>BN15+0.25</f>
        <v>1.5</v>
      </c>
      <c r="BN15" s="332">
        <f>BO15+0.25</f>
        <v>1.25</v>
      </c>
      <c r="BO15" s="332">
        <f>BP15</f>
        <v>1</v>
      </c>
      <c r="BP15" s="332">
        <f>BQ15+0.25</f>
        <v>1</v>
      </c>
      <c r="BQ15" s="332">
        <f>BR15+0.25</f>
        <v>0.75</v>
      </c>
      <c r="BR15" s="332">
        <f>BS15+0.25</f>
        <v>0.5</v>
      </c>
      <c r="BS15" s="296">
        <v>0.25</v>
      </c>
    </row>
    <row r="16" spans="1:78">
      <c r="A16" s="1" t="s">
        <v>1247</v>
      </c>
      <c r="AO16" s="36"/>
      <c r="AP16" s="36"/>
      <c r="AQ16" s="36"/>
      <c r="AZ16" s="36">
        <f>SUM(AZ17:AZ18)</f>
        <v>43310</v>
      </c>
      <c r="BA16" s="36">
        <f>AZ16</f>
        <v>43310</v>
      </c>
      <c r="BB16" s="36">
        <f>MROUND(BA18*(1+$AS$13), 5)</f>
        <v>43685</v>
      </c>
      <c r="BC16" s="36">
        <f t="shared" ref="BC16:BE16" si="26">MROUND(BB18*(1+$AS$13), 5)</f>
        <v>40390</v>
      </c>
      <c r="BD16" s="36">
        <f t="shared" si="26"/>
        <v>37105</v>
      </c>
      <c r="BE16" s="36">
        <f t="shared" si="26"/>
        <v>33825</v>
      </c>
      <c r="BF16" s="36">
        <f>BE16</f>
        <v>33825</v>
      </c>
      <c r="BG16" s="36">
        <f>MROUND(BF18*(1+$AS$13), 5)</f>
        <v>30560</v>
      </c>
      <c r="BH16" s="36">
        <f t="shared" ref="BH16:BJ16" si="27">MROUND(BG18*(1+$AS$13), 5)</f>
        <v>28020</v>
      </c>
      <c r="BI16" s="36">
        <f t="shared" si="27"/>
        <v>25440</v>
      </c>
      <c r="BJ16" s="36">
        <f t="shared" si="27"/>
        <v>22810</v>
      </c>
      <c r="BK16" s="36">
        <f>BJ16</f>
        <v>22810</v>
      </c>
      <c r="BL16" s="36">
        <f>MROUND(BK18*(1+$AS$13), 5)</f>
        <v>20130</v>
      </c>
      <c r="BM16" s="36">
        <f t="shared" ref="BM16:BO16" si="28">MROUND(BL18*(1+$AS$13), 5)</f>
        <v>17405</v>
      </c>
      <c r="BN16" s="36">
        <f t="shared" si="28"/>
        <v>14630</v>
      </c>
      <c r="BO16" s="36">
        <f t="shared" si="28"/>
        <v>11805</v>
      </c>
      <c r="BP16" s="36">
        <f>BO16</f>
        <v>11805</v>
      </c>
      <c r="BQ16" s="36">
        <f>MROUND(BP18*(1+$AS$13), 5)</f>
        <v>8930</v>
      </c>
      <c r="BR16" s="36">
        <f t="shared" ref="BR16:BS16" si="29">MROUND(BQ18*(1+$AS$13), 5)</f>
        <v>6005</v>
      </c>
      <c r="BS16" s="111">
        <f t="shared" si="29"/>
        <v>3025</v>
      </c>
    </row>
    <row r="17" spans="1:72">
      <c r="A17" s="1" t="s">
        <v>1248</v>
      </c>
      <c r="AO17" s="36"/>
      <c r="AP17" s="648">
        <f>AP22</f>
        <v>2300</v>
      </c>
      <c r="AQ17" s="36"/>
      <c r="AR17" s="648">
        <f>AR22</f>
        <v>900</v>
      </c>
      <c r="AS17" s="648">
        <f>AS22</f>
        <v>900</v>
      </c>
      <c r="AT17" s="648">
        <f>AT22</f>
        <v>800</v>
      </c>
      <c r="AU17" s="648">
        <f>AU22</f>
        <v>700</v>
      </c>
      <c r="AW17" s="648">
        <f>AW22</f>
        <v>1300</v>
      </c>
      <c r="AX17" s="648">
        <f>AX22</f>
        <v>1200</v>
      </c>
      <c r="AY17" s="622">
        <f>AY22</f>
        <v>425</v>
      </c>
      <c r="AZ17" s="622">
        <f>AZ22</f>
        <v>0</v>
      </c>
      <c r="BB17" s="36">
        <f>MROUND(BB16*BB19*(1/BB15/4), 5)</f>
        <v>3640</v>
      </c>
      <c r="BC17" s="36">
        <f t="shared" ref="BC17" si="30">MROUND(BC16*BC19*(1/BC15/4), 5)</f>
        <v>3605</v>
      </c>
      <c r="BD17" s="36">
        <f t="shared" ref="BD17" si="31">MROUND(BD16*BD19*(1/BD15/4), 5)</f>
        <v>3570</v>
      </c>
      <c r="BE17" s="36">
        <f t="shared" ref="BE17" si="32">MROUND(BE16*BE19*(1/BE15/4), 5)</f>
        <v>3525</v>
      </c>
      <c r="BG17" s="36">
        <f>MROUND(BG16*BG19*(1/BG15/4), 5)</f>
        <v>2780</v>
      </c>
      <c r="BH17" s="36">
        <f t="shared" ref="BH17" si="33">MROUND(BH16*BH19*(1/BH15/4), 5)</f>
        <v>2800</v>
      </c>
      <c r="BI17" s="36">
        <f t="shared" ref="BI17" si="34">MROUND(BI16*BI19*(1/BI15/4), 5)</f>
        <v>2825</v>
      </c>
      <c r="BJ17" s="36">
        <f t="shared" ref="BJ17" si="35">MROUND(BJ16*BJ19*(1/BJ15/4), 5)</f>
        <v>2850</v>
      </c>
      <c r="BL17" s="36">
        <f>MROUND(BL16*BL19*(1/BL15/4), 5)</f>
        <v>2875</v>
      </c>
      <c r="BM17" s="36">
        <f t="shared" ref="BM17" si="36">MROUND(BM16*BM19*(1/BM15/4), 5)</f>
        <v>2900</v>
      </c>
      <c r="BN17" s="36">
        <f t="shared" ref="BN17" si="37">MROUND(BN16*BN19*(1/BN15/4), 5)</f>
        <v>2925</v>
      </c>
      <c r="BO17" s="36">
        <f t="shared" ref="BO17" si="38">MROUND(BO16*BO19*(1/BO15/4), 5)</f>
        <v>2950</v>
      </c>
      <c r="BQ17" s="36">
        <f>MROUND(BQ16*BQ19*(1/BQ15/4), 5)</f>
        <v>2975</v>
      </c>
      <c r="BR17" s="36">
        <f>MROUND(BR16*BR19*(1/BR15/4), 5)</f>
        <v>3005</v>
      </c>
      <c r="BS17" s="111">
        <f t="shared" ref="BS17" si="39">MROUND(BS16*BS19*(1/BS15/4), 5)</f>
        <v>3025</v>
      </c>
    </row>
    <row r="18" spans="1:72">
      <c r="A18" s="1" t="s">
        <v>1249</v>
      </c>
      <c r="AO18" s="36"/>
      <c r="AP18" s="61">
        <f>AP9</f>
        <v>39900</v>
      </c>
      <c r="AQ18" s="36"/>
      <c r="AR18" s="61">
        <f>AR9</f>
        <v>41800</v>
      </c>
      <c r="AS18" s="61">
        <f>AS9</f>
        <v>43900</v>
      </c>
      <c r="AT18" s="61">
        <f>AT9</f>
        <v>42100</v>
      </c>
      <c r="AU18" s="61">
        <f>AU9</f>
        <v>43300</v>
      </c>
      <c r="AV18" s="61">
        <f>AU18</f>
        <v>43300</v>
      </c>
      <c r="AW18" s="61">
        <f>AW9</f>
        <v>45600</v>
      </c>
      <c r="AX18" s="61">
        <f>AX9</f>
        <v>50100</v>
      </c>
      <c r="AY18" s="61">
        <f>AY9</f>
        <v>45200</v>
      </c>
      <c r="AZ18" s="61">
        <f>AZ9</f>
        <v>43310</v>
      </c>
      <c r="BA18" s="36">
        <f>AZ18</f>
        <v>43310</v>
      </c>
      <c r="BB18" s="36">
        <f>BB16-BB17</f>
        <v>40045</v>
      </c>
      <c r="BC18" s="36">
        <f t="shared" ref="BC18" si="40">BC16-BC17</f>
        <v>36785</v>
      </c>
      <c r="BD18" s="36">
        <f t="shared" ref="BD18" si="41">BD16-BD17</f>
        <v>33535</v>
      </c>
      <c r="BE18" s="36">
        <f t="shared" ref="BE18" si="42">BE16-BE17</f>
        <v>30300</v>
      </c>
      <c r="BF18" s="36">
        <f>BE18</f>
        <v>30300</v>
      </c>
      <c r="BG18" s="36">
        <f>BG16-BG17</f>
        <v>27780</v>
      </c>
      <c r="BH18" s="36">
        <f t="shared" ref="BH18" si="43">BH16-BH17</f>
        <v>25220</v>
      </c>
      <c r="BI18" s="36">
        <f t="shared" ref="BI18" si="44">BI16-BI17</f>
        <v>22615</v>
      </c>
      <c r="BJ18" s="36">
        <f t="shared" ref="BJ18" si="45">BJ16-BJ17</f>
        <v>19960</v>
      </c>
      <c r="BK18" s="36">
        <f>BJ18</f>
        <v>19960</v>
      </c>
      <c r="BL18" s="36">
        <f>BL16-BL17</f>
        <v>17255</v>
      </c>
      <c r="BM18" s="36">
        <f t="shared" ref="BM18" si="46">BM16-BM17</f>
        <v>14505</v>
      </c>
      <c r="BN18" s="36">
        <f t="shared" ref="BN18" si="47">BN16-BN17</f>
        <v>11705</v>
      </c>
      <c r="BO18" s="36">
        <f t="shared" ref="BO18" si="48">BO16-BO17</f>
        <v>8855</v>
      </c>
      <c r="BP18" s="36">
        <f>BO18</f>
        <v>8855</v>
      </c>
      <c r="BQ18" s="36">
        <f>BQ16-BQ17</f>
        <v>5955</v>
      </c>
      <c r="BR18" s="36">
        <f t="shared" ref="BR18" si="49">BR16-BR17</f>
        <v>3000</v>
      </c>
      <c r="BS18" s="111">
        <f t="shared" ref="BS18" si="50">BS16-BS17</f>
        <v>0</v>
      </c>
    </row>
    <row r="19" spans="1:72">
      <c r="A19" s="1" t="s">
        <v>1251</v>
      </c>
      <c r="AO19" s="36"/>
      <c r="AP19" s="36"/>
      <c r="AQ19" s="36"/>
      <c r="AR19" s="615">
        <v>0.125</v>
      </c>
      <c r="AS19" s="615">
        <f>AR19+12.5%</f>
        <v>0.25</v>
      </c>
      <c r="AT19" s="615">
        <f>AS19+12.5%</f>
        <v>0.375</v>
      </c>
      <c r="AU19" s="615">
        <f>AT19+12.5%</f>
        <v>0.5</v>
      </c>
      <c r="AW19" s="615">
        <f>AU19+5%</f>
        <v>0.55000000000000004</v>
      </c>
      <c r="AX19" s="615">
        <f>AW19+5%</f>
        <v>0.60000000000000009</v>
      </c>
      <c r="AY19" s="261">
        <f>AX19+5%</f>
        <v>0.65000000000000013</v>
      </c>
      <c r="AZ19" s="261">
        <f>AY19+5%</f>
        <v>0.70000000000000018</v>
      </c>
      <c r="BB19" s="1144">
        <v>1.25</v>
      </c>
      <c r="BC19" s="1144">
        <v>1.25</v>
      </c>
      <c r="BD19" s="1144">
        <v>1.25</v>
      </c>
      <c r="BE19" s="1144">
        <v>1.25</v>
      </c>
      <c r="BG19" s="261">
        <v>1</v>
      </c>
      <c r="BH19" s="261">
        <v>1</v>
      </c>
      <c r="BI19" s="261">
        <v>1</v>
      </c>
      <c r="BJ19" s="261">
        <v>1</v>
      </c>
      <c r="BL19" s="261">
        <v>1</v>
      </c>
      <c r="BM19" s="261">
        <v>1</v>
      </c>
      <c r="BN19" s="261">
        <v>1</v>
      </c>
      <c r="BO19" s="261">
        <v>1</v>
      </c>
      <c r="BQ19" s="261">
        <v>1</v>
      </c>
      <c r="BR19" s="261">
        <v>1</v>
      </c>
      <c r="BS19" s="261">
        <v>1</v>
      </c>
    </row>
    <row r="20" spans="1:72">
      <c r="A20" s="25" t="s">
        <v>1098</v>
      </c>
    </row>
    <row r="21" spans="1:72">
      <c r="A21" s="1" t="s">
        <v>1094</v>
      </c>
      <c r="AO21" s="36"/>
      <c r="AP21" s="648">
        <f>'SVF Segment'!AP741</f>
        <v>1900</v>
      </c>
      <c r="AQ21" s="36"/>
      <c r="AR21" s="648">
        <f>'SVF Segment'!AR741</f>
        <v>5200</v>
      </c>
      <c r="AS21" s="648">
        <f>'SVF Segment'!AS741</f>
        <v>900</v>
      </c>
      <c r="AT21" s="648">
        <f>'SVF Segment'!AT741</f>
        <v>400</v>
      </c>
      <c r="AU21" s="648">
        <f>'SVF Segment'!AU741</f>
        <v>900</v>
      </c>
      <c r="AW21" s="648">
        <f>'SVF Segment'!AW741</f>
        <v>2900</v>
      </c>
      <c r="AX21" s="648">
        <f>'SVF Segment'!AX741</f>
        <v>600</v>
      </c>
      <c r="AY21" s="36">
        <f>AY185+AY208+AY231+AY254+AY306+AY329+AY358+AY387+AY416+AY439+AY468+AY491+AY520</f>
        <v>235</v>
      </c>
      <c r="AZ21" s="36">
        <f>AZ185+AZ208+AZ231+AZ254+AZ306+AZ329+AZ358+AZ387+AZ416+AZ439+AZ468+AZ491+AZ520</f>
        <v>0</v>
      </c>
      <c r="BB21" s="61">
        <f t="shared" ref="BB21:BE21" si="51">BA8-BB8</f>
        <v>3640</v>
      </c>
      <c r="BC21" s="61">
        <f t="shared" si="51"/>
        <v>3605</v>
      </c>
      <c r="BD21" s="61">
        <f t="shared" si="51"/>
        <v>3570</v>
      </c>
      <c r="BE21" s="61">
        <f t="shared" si="51"/>
        <v>3525</v>
      </c>
      <c r="BG21" s="61">
        <f t="shared" ref="BG21:BJ21" si="52">BF8-BG8</f>
        <v>2780</v>
      </c>
      <c r="BH21" s="61">
        <f t="shared" si="52"/>
        <v>2800</v>
      </c>
      <c r="BI21" s="61">
        <f t="shared" si="52"/>
        <v>2825</v>
      </c>
      <c r="BJ21" s="61">
        <f t="shared" si="52"/>
        <v>2850</v>
      </c>
      <c r="BL21" s="61">
        <f t="shared" ref="BL21:BO21" si="53">BK8-BL8</f>
        <v>2875</v>
      </c>
      <c r="BM21" s="61">
        <f t="shared" si="53"/>
        <v>2900</v>
      </c>
      <c r="BN21" s="61">
        <f t="shared" si="53"/>
        <v>2925</v>
      </c>
      <c r="BO21" s="61">
        <f t="shared" si="53"/>
        <v>2950</v>
      </c>
      <c r="BQ21" s="61" t="e">
        <f t="shared" ref="BQ21:BS21" si="54">BP8-BQ8</f>
        <v>#NUM!</v>
      </c>
      <c r="BR21" s="61" t="e">
        <f t="shared" si="54"/>
        <v>#NUM!</v>
      </c>
      <c r="BS21" s="337" t="e">
        <f t="shared" si="54"/>
        <v>#NUM!</v>
      </c>
    </row>
    <row r="22" spans="1:72">
      <c r="A22" s="1" t="s">
        <v>1096</v>
      </c>
      <c r="AO22" s="36"/>
      <c r="AP22" s="648">
        <f>'SVF Segment'!AP742</f>
        <v>2300</v>
      </c>
      <c r="AQ22" s="36"/>
      <c r="AR22" s="648">
        <f>'SVF Segment'!AR742</f>
        <v>900</v>
      </c>
      <c r="AS22" s="648">
        <f>'SVF Segment'!AS742</f>
        <v>900</v>
      </c>
      <c r="AT22" s="648">
        <f>'SVF Segment'!AT742</f>
        <v>800</v>
      </c>
      <c r="AU22" s="648">
        <f>'SVF Segment'!AU742</f>
        <v>700</v>
      </c>
      <c r="AW22" s="648">
        <f>'SVF Segment'!AW742</f>
        <v>1300</v>
      </c>
      <c r="AX22" s="648">
        <f>'SVF Segment'!AX742</f>
        <v>1200</v>
      </c>
      <c r="AY22" s="36">
        <f>AY186+AY209+AY232+AY255+AY307+AY330+AY359+AY388+AY417+AY440+AY469+AY492+AY521</f>
        <v>425</v>
      </c>
      <c r="AZ22" s="36">
        <f>AZ186+AZ209+AZ232+AZ255+AZ307+AZ330+AZ359+AZ388+AZ417+AZ440+AZ469+AZ492+AZ521</f>
        <v>0</v>
      </c>
      <c r="BB22" s="61">
        <f t="shared" ref="BB22:BE22" si="55">BB17</f>
        <v>3640</v>
      </c>
      <c r="BC22" s="61">
        <f t="shared" si="55"/>
        <v>3605</v>
      </c>
      <c r="BD22" s="61">
        <f t="shared" si="55"/>
        <v>3570</v>
      </c>
      <c r="BE22" s="61">
        <f t="shared" si="55"/>
        <v>3525</v>
      </c>
      <c r="BG22" s="61">
        <f t="shared" ref="BG22:BJ22" si="56">BG17</f>
        <v>2780</v>
      </c>
      <c r="BH22" s="61">
        <f t="shared" si="56"/>
        <v>2800</v>
      </c>
      <c r="BI22" s="61">
        <f t="shared" si="56"/>
        <v>2825</v>
      </c>
      <c r="BJ22" s="61">
        <f t="shared" si="56"/>
        <v>2850</v>
      </c>
      <c r="BL22" s="61">
        <f t="shared" ref="BL22:BO22" si="57">BL17</f>
        <v>2875</v>
      </c>
      <c r="BM22" s="61">
        <f t="shared" si="57"/>
        <v>2900</v>
      </c>
      <c r="BN22" s="61">
        <f t="shared" si="57"/>
        <v>2925</v>
      </c>
      <c r="BO22" s="61">
        <f t="shared" si="57"/>
        <v>2950</v>
      </c>
      <c r="BQ22" s="61">
        <f t="shared" ref="BQ22:BS22" si="58">BQ17</f>
        <v>2975</v>
      </c>
      <c r="BR22" s="61">
        <f t="shared" si="58"/>
        <v>3005</v>
      </c>
      <c r="BS22" s="337">
        <f t="shared" si="58"/>
        <v>3025</v>
      </c>
    </row>
    <row r="23" spans="1:72">
      <c r="A23" s="1" t="s">
        <v>1095</v>
      </c>
      <c r="AP23" s="771">
        <f>AP22/AP21</f>
        <v>1.2105263157894737</v>
      </c>
      <c r="AR23" s="771">
        <f>AR22/AR21</f>
        <v>0.17307692307692307</v>
      </c>
      <c r="AS23" s="771">
        <f>AS22/AS21</f>
        <v>1</v>
      </c>
      <c r="AT23" s="771">
        <f>AT22/AT21</f>
        <v>2</v>
      </c>
      <c r="AU23" s="771">
        <f>AU22/AU21</f>
        <v>0.77777777777777779</v>
      </c>
      <c r="AW23" s="771">
        <f>AW22/AW21</f>
        <v>0.44827586206896552</v>
      </c>
      <c r="AX23" s="771">
        <f>AX22/AX21</f>
        <v>2</v>
      </c>
      <c r="AY23" s="167">
        <f>AY22/AY21</f>
        <v>1.8085106382978724</v>
      </c>
      <c r="AZ23" s="167" t="e">
        <f>AZ22/AZ21</f>
        <v>#DIV/0!</v>
      </c>
      <c r="BB23" s="339">
        <f t="shared" ref="BB23" si="59">BB22/BB21</f>
        <v>1</v>
      </c>
      <c r="BC23" s="339">
        <f t="shared" ref="BC23" si="60">BC22/BC21</f>
        <v>1</v>
      </c>
      <c r="BD23" s="339">
        <f t="shared" ref="BD23" si="61">BD22/BD21</f>
        <v>1</v>
      </c>
      <c r="BE23" s="339">
        <f t="shared" ref="BE23" si="62">BE22/BE21</f>
        <v>1</v>
      </c>
      <c r="BG23" s="339">
        <f t="shared" ref="BG23" si="63">BG22/BG21</f>
        <v>1</v>
      </c>
      <c r="BH23" s="339">
        <f t="shared" ref="BH23" si="64">BH22/BH21</f>
        <v>1</v>
      </c>
      <c r="BI23" s="339">
        <f t="shared" ref="BI23" si="65">BI22/BI21</f>
        <v>1</v>
      </c>
      <c r="BJ23" s="339">
        <f t="shared" ref="BJ23" si="66">BJ22/BJ21</f>
        <v>1</v>
      </c>
      <c r="BL23" s="339">
        <f t="shared" ref="BL23" si="67">BL22/BL21</f>
        <v>1</v>
      </c>
      <c r="BM23" s="339">
        <f t="shared" ref="BM23" si="68">BM22/BM21</f>
        <v>1</v>
      </c>
      <c r="BN23" s="339">
        <f t="shared" ref="BN23" si="69">BN22/BN21</f>
        <v>1</v>
      </c>
      <c r="BO23" s="339">
        <f t="shared" ref="BO23" si="70">BO22/BO21</f>
        <v>1</v>
      </c>
      <c r="BQ23" s="339" t="e">
        <f t="shared" ref="BQ23" si="71">BQ22/BQ21</f>
        <v>#NUM!</v>
      </c>
      <c r="BR23" s="339" t="e">
        <f t="shared" ref="BR23" si="72">BR22/BR21</f>
        <v>#NUM!</v>
      </c>
      <c r="BS23" s="340" t="e">
        <f t="shared" ref="BS23" si="73">BS22/BS21</f>
        <v>#NUM!</v>
      </c>
    </row>
    <row r="24" spans="1:72">
      <c r="AQ24" s="36"/>
      <c r="AR24" s="142"/>
      <c r="AS24" s="330"/>
    </row>
    <row r="25" spans="1:72">
      <c r="A25" s="1" t="s">
        <v>441</v>
      </c>
      <c r="AO25" s="61">
        <f>'SVF Segment'!AO730</f>
        <v>89600</v>
      </c>
      <c r="AP25" s="61">
        <f>'SVF Segment'!AP730</f>
        <v>89600</v>
      </c>
      <c r="AQ25" s="61">
        <f>'SVF Segment'!AQ730</f>
        <v>89600</v>
      </c>
      <c r="AR25" s="61">
        <f>'SVF Segment'!AR730</f>
        <v>89500</v>
      </c>
      <c r="AS25" s="61">
        <f>'SVF Segment'!AS730</f>
        <v>89500</v>
      </c>
      <c r="AT25" s="61">
        <f>'SVF Segment'!AT730</f>
        <v>89500</v>
      </c>
      <c r="AU25" s="61">
        <f>'SVF Segment'!AU730</f>
        <v>89600</v>
      </c>
      <c r="AV25" s="61">
        <f>'SVF Segment'!AV730</f>
        <v>89600</v>
      </c>
      <c r="AW25" s="61">
        <f>'SVF Segment'!AW730</f>
        <v>89600</v>
      </c>
      <c r="AX25" s="61">
        <f>'SVF Segment'!AX730</f>
        <v>89500</v>
      </c>
      <c r="AY25" s="61">
        <f>'SVF Segment'!AY730</f>
        <v>85700</v>
      </c>
      <c r="AZ25" s="622">
        <f t="shared" ref="AZ25:BS25" si="74">AY25</f>
        <v>85700</v>
      </c>
      <c r="BA25" s="36">
        <f>AZ25</f>
        <v>85700</v>
      </c>
      <c r="BB25" s="622">
        <f t="shared" si="74"/>
        <v>85700</v>
      </c>
      <c r="BC25" s="622">
        <f t="shared" si="74"/>
        <v>85700</v>
      </c>
      <c r="BD25" s="622">
        <f t="shared" si="74"/>
        <v>85700</v>
      </c>
      <c r="BE25" s="622">
        <f t="shared" si="74"/>
        <v>85700</v>
      </c>
      <c r="BF25" s="36">
        <f>BE25</f>
        <v>85700</v>
      </c>
      <c r="BG25" s="622">
        <f t="shared" si="74"/>
        <v>85700</v>
      </c>
      <c r="BH25" s="622">
        <f t="shared" si="74"/>
        <v>85700</v>
      </c>
      <c r="BI25" s="622">
        <f t="shared" si="74"/>
        <v>85700</v>
      </c>
      <c r="BJ25" s="622">
        <f t="shared" si="74"/>
        <v>85700</v>
      </c>
      <c r="BK25" s="36">
        <f>BJ25</f>
        <v>85700</v>
      </c>
      <c r="BL25" s="622">
        <f t="shared" si="74"/>
        <v>85700</v>
      </c>
      <c r="BM25" s="622">
        <f t="shared" si="74"/>
        <v>85700</v>
      </c>
      <c r="BN25" s="622">
        <f t="shared" si="74"/>
        <v>85700</v>
      </c>
      <c r="BO25" s="622">
        <f t="shared" si="74"/>
        <v>85700</v>
      </c>
      <c r="BP25" s="36">
        <f>BO25</f>
        <v>85700</v>
      </c>
      <c r="BQ25" s="622">
        <f t="shared" si="74"/>
        <v>85700</v>
      </c>
      <c r="BR25" s="622">
        <f t="shared" si="74"/>
        <v>85700</v>
      </c>
      <c r="BS25" s="721">
        <f t="shared" si="74"/>
        <v>85700</v>
      </c>
    </row>
    <row r="26" spans="1:72">
      <c r="A26" s="1" t="s">
        <v>442</v>
      </c>
      <c r="AO26" s="61">
        <f>'SVF Segment'!AO731</f>
        <v>106300</v>
      </c>
      <c r="AP26" s="61">
        <f>'SVF Segment'!AP731</f>
        <v>106300</v>
      </c>
      <c r="AQ26" s="61">
        <f>'SVF Segment'!AQ731</f>
        <v>106300</v>
      </c>
      <c r="AR26" s="61">
        <f>'SVF Segment'!AR731</f>
        <v>109100</v>
      </c>
      <c r="AS26" s="61">
        <f>'SVF Segment'!AS731</f>
        <v>112100</v>
      </c>
      <c r="AT26" s="61">
        <f>'SVF Segment'!AT731</f>
        <v>111100</v>
      </c>
      <c r="AU26" s="61">
        <f>'SVF Segment'!AU731</f>
        <v>113000</v>
      </c>
      <c r="AV26" s="61">
        <f>'SVF Segment'!AV731</f>
        <v>113000</v>
      </c>
      <c r="AW26" s="61">
        <f>'SVF Segment'!AW731</f>
        <v>116600</v>
      </c>
      <c r="AX26" s="61">
        <f>'SVF Segment'!AX731</f>
        <v>122300</v>
      </c>
      <c r="AY26" s="61">
        <f>'SVF Segment'!AY731</f>
        <v>114400</v>
      </c>
      <c r="AZ26" s="36">
        <f>AY26+AZ16-AY18</f>
        <v>112510</v>
      </c>
      <c r="BA26" s="36">
        <f>AZ26</f>
        <v>112510</v>
      </c>
      <c r="BB26" s="36">
        <f>BA26+BB16-BA18</f>
        <v>112885</v>
      </c>
      <c r="BC26" s="36">
        <f>BB26+BC16-BB18</f>
        <v>113230</v>
      </c>
      <c r="BD26" s="36">
        <f>BC26+BD16-BC18</f>
        <v>113550</v>
      </c>
      <c r="BE26" s="36">
        <f>BD26+BE16-BD18</f>
        <v>113840</v>
      </c>
      <c r="BF26" s="36">
        <f>BE26</f>
        <v>113840</v>
      </c>
      <c r="BG26" s="36">
        <f>BF26+BG16-BF18</f>
        <v>114100</v>
      </c>
      <c r="BH26" s="36">
        <f>BG26+BH16-BG18</f>
        <v>114340</v>
      </c>
      <c r="BI26" s="36">
        <f>BH26+BI16-BH18</f>
        <v>114560</v>
      </c>
      <c r="BJ26" s="36">
        <f>BI26+BJ16-BI18</f>
        <v>114755</v>
      </c>
      <c r="BK26" s="36">
        <f>BJ26</f>
        <v>114755</v>
      </c>
      <c r="BL26" s="36">
        <f>BK26+BL16-BK18</f>
        <v>114925</v>
      </c>
      <c r="BM26" s="36">
        <f>BL26+BM16-BL18</f>
        <v>115075</v>
      </c>
      <c r="BN26" s="36">
        <f>BM26+BN16-BM18</f>
        <v>115200</v>
      </c>
      <c r="BO26" s="36">
        <f>BN26+BO16-BN18</f>
        <v>115300</v>
      </c>
      <c r="BP26" s="36">
        <f>BO26</f>
        <v>115300</v>
      </c>
      <c r="BQ26" s="36">
        <f>BP26+BQ16-BP18</f>
        <v>115375</v>
      </c>
      <c r="BR26" s="36">
        <f>BQ26+BR16-BQ18</f>
        <v>115425</v>
      </c>
      <c r="BS26" s="111">
        <f>BR26+BS16-BR18</f>
        <v>115450</v>
      </c>
    </row>
    <row r="27" spans="1:72">
      <c r="A27" s="1" t="s">
        <v>1250</v>
      </c>
      <c r="AO27" s="339">
        <f t="shared" ref="AO27:BS27" si="75">AO26/AO25</f>
        <v>1.1863839285714286</v>
      </c>
      <c r="AP27" s="339">
        <f t="shared" si="75"/>
        <v>1.1863839285714286</v>
      </c>
      <c r="AQ27" s="339">
        <f t="shared" si="75"/>
        <v>1.1863839285714286</v>
      </c>
      <c r="AR27" s="339">
        <f t="shared" si="75"/>
        <v>1.2189944134078212</v>
      </c>
      <c r="AS27" s="339">
        <f t="shared" ref="AS27" si="76">AS26/AS25</f>
        <v>1.252513966480447</v>
      </c>
      <c r="AT27" s="339">
        <f t="shared" ref="AT27:AW27" si="77">AT26/AT25</f>
        <v>1.241340782122905</v>
      </c>
      <c r="AU27" s="339">
        <f t="shared" si="77"/>
        <v>1.2611607142857142</v>
      </c>
      <c r="AV27" s="339">
        <f t="shared" si="77"/>
        <v>1.2611607142857142</v>
      </c>
      <c r="AW27" s="339">
        <f t="shared" si="77"/>
        <v>1.3013392857142858</v>
      </c>
      <c r="AX27" s="339">
        <f t="shared" ref="AX27:AY27" si="78">AX26/AX25</f>
        <v>1.3664804469273744</v>
      </c>
      <c r="AY27" s="339">
        <f t="shared" si="78"/>
        <v>1.3348891481913652</v>
      </c>
      <c r="AZ27" s="167">
        <f t="shared" si="75"/>
        <v>1.3128354725787632</v>
      </c>
      <c r="BA27" s="167">
        <f t="shared" si="75"/>
        <v>1.3128354725787632</v>
      </c>
      <c r="BB27" s="167">
        <f t="shared" si="75"/>
        <v>1.3172112018669779</v>
      </c>
      <c r="BC27" s="167">
        <f t="shared" si="75"/>
        <v>1.3212368728121353</v>
      </c>
      <c r="BD27" s="167">
        <f t="shared" si="75"/>
        <v>1.3249708284714119</v>
      </c>
      <c r="BE27" s="167">
        <f t="shared" si="75"/>
        <v>1.3283547257876314</v>
      </c>
      <c r="BF27" s="167">
        <f t="shared" si="75"/>
        <v>1.3283547257876314</v>
      </c>
      <c r="BG27" s="167">
        <f t="shared" si="75"/>
        <v>1.3313885647607935</v>
      </c>
      <c r="BH27" s="167">
        <f t="shared" si="75"/>
        <v>1.3341890315052509</v>
      </c>
      <c r="BI27" s="167">
        <f t="shared" si="75"/>
        <v>1.3367561260210035</v>
      </c>
      <c r="BJ27" s="167">
        <f t="shared" si="75"/>
        <v>1.3390315052508752</v>
      </c>
      <c r="BK27" s="167">
        <f t="shared" si="75"/>
        <v>1.3390315052508752</v>
      </c>
      <c r="BL27" s="167">
        <f t="shared" si="75"/>
        <v>1.3410151691948657</v>
      </c>
      <c r="BM27" s="167">
        <f t="shared" si="75"/>
        <v>1.3427654609101516</v>
      </c>
      <c r="BN27" s="167">
        <f t="shared" si="75"/>
        <v>1.3442240373395566</v>
      </c>
      <c r="BO27" s="167">
        <f t="shared" si="75"/>
        <v>1.3453908984830805</v>
      </c>
      <c r="BP27" s="167">
        <f t="shared" si="75"/>
        <v>1.3453908984830805</v>
      </c>
      <c r="BQ27" s="167">
        <f t="shared" si="75"/>
        <v>1.3462660443407235</v>
      </c>
      <c r="BR27" s="167">
        <f t="shared" si="75"/>
        <v>1.3468494749124855</v>
      </c>
      <c r="BS27" s="333">
        <f t="shared" si="75"/>
        <v>1.3471411901983663</v>
      </c>
    </row>
    <row r="28" spans="1:72">
      <c r="AR28" s="25" t="s">
        <v>1262</v>
      </c>
    </row>
    <row r="29" spans="1:72">
      <c r="A29" s="5" t="s">
        <v>1102</v>
      </c>
      <c r="AP29" s="59">
        <f>'SVF Segment'!AP464</f>
        <v>251.76844525596806</v>
      </c>
      <c r="AQ29" s="59"/>
      <c r="AR29" s="59">
        <f>'SVF Segment'!AR464</f>
        <v>223.29904810579441</v>
      </c>
      <c r="AS29" s="59">
        <f>'SVF Segment'!AS464</f>
        <v>179.01637162252098</v>
      </c>
      <c r="AT29" s="59">
        <f>'SVF Segment'!AT464</f>
        <v>135.43484007401534</v>
      </c>
      <c r="AU29" s="59">
        <f>'SVF Segment'!AU464</f>
        <v>103.66132723112129</v>
      </c>
      <c r="AW29" s="59">
        <f>'SVF Segment'!AW464</f>
        <v>82.202631035195267</v>
      </c>
      <c r="AX29" s="59">
        <f>'SVF Segment'!AX464</f>
        <v>66.840677966101694</v>
      </c>
      <c r="AY29" s="36">
        <f>'SVF Segment'!AY464</f>
        <v>67.274733835367442</v>
      </c>
      <c r="AZ29" s="36">
        <f>'SVF Segment'!AZ464</f>
        <v>65</v>
      </c>
      <c r="BB29" s="36">
        <f>'SVF Segment'!BB464</f>
        <v>65</v>
      </c>
      <c r="BC29" s="36">
        <f>'SVF Segment'!BC464</f>
        <v>60</v>
      </c>
      <c r="BD29" s="36">
        <f>'SVF Segment'!BD464</f>
        <v>55</v>
      </c>
      <c r="BE29" s="36">
        <f>'SVF Segment'!BE464</f>
        <v>50</v>
      </c>
      <c r="BG29" s="36">
        <f>'SVF Segment'!BG464</f>
        <v>45</v>
      </c>
      <c r="BH29" s="36">
        <f>'SVF Segment'!BH464</f>
        <v>40</v>
      </c>
      <c r="BI29" s="36">
        <f>'SVF Segment'!BI464</f>
        <v>35</v>
      </c>
      <c r="BJ29" s="36">
        <f>'SVF Segment'!BJ464</f>
        <v>30</v>
      </c>
      <c r="BL29" s="36">
        <f>'SVF Segment'!BL464</f>
        <v>0</v>
      </c>
      <c r="BM29" s="36">
        <f>'SVF Segment'!BM464</f>
        <v>0</v>
      </c>
      <c r="BN29" s="36">
        <f>'SVF Segment'!BN464</f>
        <v>0</v>
      </c>
      <c r="BO29" s="36">
        <f>'SVF Segment'!BO464</f>
        <v>0</v>
      </c>
      <c r="BQ29" s="36">
        <f>'SVF Segment'!BQ464</f>
        <v>0</v>
      </c>
      <c r="BR29" s="36">
        <f>'SVF Segment'!BR464</f>
        <v>0</v>
      </c>
      <c r="BS29" s="111">
        <f>'SVF Segment'!BS464</f>
        <v>0</v>
      </c>
    </row>
    <row r="30" spans="1:72">
      <c r="A30" s="34" t="s">
        <v>1103</v>
      </c>
      <c r="AO30" s="36"/>
      <c r="AP30" s="59">
        <f>-MROUND(-AO38*AP32, 5)</f>
        <v>-115</v>
      </c>
      <c r="AQ30" s="59"/>
      <c r="AR30" s="59">
        <f>AR32-AR31</f>
        <v>1131.7009518942054</v>
      </c>
      <c r="AS30" s="59">
        <f>AS32-AS31</f>
        <v>1240.9836283774789</v>
      </c>
      <c r="AT30" s="59">
        <f>-MROUND(-AS38*AT32, 5)</f>
        <v>-525</v>
      </c>
      <c r="AU30" s="59">
        <f>AU32-AU31</f>
        <v>791.33867276887872</v>
      </c>
      <c r="AW30" s="59">
        <f>AW32-AW31</f>
        <v>1547.7973689648047</v>
      </c>
      <c r="AX30" s="59">
        <f>AX32-AX31</f>
        <v>2478.1593220338982</v>
      </c>
      <c r="AY30" s="59">
        <f>-MROUND(-AX38*AY32, 5)</f>
        <v>-3675</v>
      </c>
      <c r="AZ30" s="59">
        <f>-MROUND(-AY38*AZ32, 5)</f>
        <v>-910</v>
      </c>
      <c r="BB30" s="36">
        <f>BB32-BB31</f>
        <v>135</v>
      </c>
      <c r="BC30" s="36">
        <f>BC32-BC31</f>
        <v>125</v>
      </c>
      <c r="BD30" s="36">
        <f>BD32-BD31</f>
        <v>115</v>
      </c>
      <c r="BE30" s="36">
        <f>BE32-BE31</f>
        <v>105</v>
      </c>
      <c r="BG30" s="36">
        <f>BG32-BG31</f>
        <v>95</v>
      </c>
      <c r="BH30" s="36">
        <f>BH32-BH31</f>
        <v>90</v>
      </c>
      <c r="BI30" s="36">
        <f>BI32-BI31</f>
        <v>80</v>
      </c>
      <c r="BJ30" s="36">
        <f>BJ32-BJ31</f>
        <v>75</v>
      </c>
      <c r="BL30" s="36">
        <f>BL32-BL31</f>
        <v>75</v>
      </c>
      <c r="BM30" s="36">
        <f>BM32-BM31</f>
        <v>65</v>
      </c>
      <c r="BN30" s="36">
        <f>BN32-BN31</f>
        <v>55</v>
      </c>
      <c r="BO30" s="36">
        <f>BO32-BO31</f>
        <v>45</v>
      </c>
      <c r="BQ30" s="36">
        <f>BQ32-BQ31</f>
        <v>35</v>
      </c>
      <c r="BR30" s="36">
        <f>BR32-BR31</f>
        <v>20</v>
      </c>
      <c r="BS30" s="111">
        <f>BS32-BS31</f>
        <v>10</v>
      </c>
      <c r="BT30" s="36"/>
    </row>
    <row r="31" spans="1:72">
      <c r="A31" s="34" t="s">
        <v>1104</v>
      </c>
      <c r="AO31" s="36"/>
      <c r="AP31" s="59">
        <f>-MROUND(-AO39*AP32, 5)</f>
        <v>-135</v>
      </c>
      <c r="AQ31" s="59"/>
      <c r="AR31" s="59">
        <f>MROUND($AS$36*AR32, 5)</f>
        <v>1445</v>
      </c>
      <c r="AS31" s="59">
        <f>MROUND($AS$36*AS32, 5)</f>
        <v>1580</v>
      </c>
      <c r="AT31" s="59">
        <f>-MROUND(-AS39*AT32, 5)</f>
        <v>-610</v>
      </c>
      <c r="AU31" s="59">
        <f>MROUND($AS$36*AU32, 5)</f>
        <v>1005</v>
      </c>
      <c r="AW31" s="59">
        <f>MROUND($AS$36*AW32, 5)</f>
        <v>1970</v>
      </c>
      <c r="AX31" s="59">
        <f>MROUND($AS$36*AX32, 5)</f>
        <v>3155</v>
      </c>
      <c r="AY31" s="59">
        <f>-MROUND(-AX39*AY32, 5)</f>
        <v>-4295</v>
      </c>
      <c r="AZ31" s="59">
        <f>-MROUND(-AY39*AZ32, 5)</f>
        <v>-1045</v>
      </c>
      <c r="BB31" s="36">
        <f>MROUND($AS$36*BB32, 5)</f>
        <v>175</v>
      </c>
      <c r="BC31" s="36">
        <f>MROUND($AS$36*BC32, 5)</f>
        <v>160</v>
      </c>
      <c r="BD31" s="36">
        <f>MROUND($AS$36*BD32, 5)</f>
        <v>150</v>
      </c>
      <c r="BE31" s="36">
        <f>MROUND($AS$36*BE32, 5)</f>
        <v>135</v>
      </c>
      <c r="BG31" s="36">
        <f>MROUND($AS$36*BG32, 5)</f>
        <v>120</v>
      </c>
      <c r="BH31" s="36">
        <f>MROUND($AS$36*BH32, 5)</f>
        <v>110</v>
      </c>
      <c r="BI31" s="36">
        <f>MROUND($AS$36*BI32, 5)</f>
        <v>105</v>
      </c>
      <c r="BJ31" s="36">
        <f>MROUND($AS$36*BJ32, 5)</f>
        <v>90</v>
      </c>
      <c r="BL31" s="36">
        <f>MROUND($AS$36*BL32, 5)</f>
        <v>95</v>
      </c>
      <c r="BM31" s="36">
        <f>MROUND($AS$36*BM32, 5)</f>
        <v>85</v>
      </c>
      <c r="BN31" s="36">
        <f>MROUND($AS$36*BN32, 5)</f>
        <v>70</v>
      </c>
      <c r="BO31" s="36">
        <f>MROUND($AS$36*BO32, 5)</f>
        <v>55</v>
      </c>
      <c r="BQ31" s="36">
        <f>MROUND($AS$36*BQ32, 5)</f>
        <v>40</v>
      </c>
      <c r="BR31" s="36">
        <f>MROUND($AS$36*BR32, 5)</f>
        <v>30</v>
      </c>
      <c r="BS31" s="111">
        <f>MROUND($AS$36*BS32, 5)</f>
        <v>15</v>
      </c>
      <c r="BT31" s="36"/>
    </row>
    <row r="32" spans="1:72">
      <c r="A32" s="5" t="s">
        <v>1107</v>
      </c>
      <c r="AO32" s="36"/>
      <c r="AP32" s="59">
        <f>AP33-AP29</f>
        <v>-251.76844525596806</v>
      </c>
      <c r="AQ32" s="59"/>
      <c r="AR32" s="59">
        <f>AR33-AR29</f>
        <v>2576.7009518942054</v>
      </c>
      <c r="AS32" s="59">
        <f>AS33-AS29</f>
        <v>2820.9836283774789</v>
      </c>
      <c r="AT32" s="59">
        <f>AT33-AT29</f>
        <v>-1135.4348400740153</v>
      </c>
      <c r="AU32" s="59">
        <f>AU33-AU29</f>
        <v>1796.3386727688787</v>
      </c>
      <c r="AW32" s="59">
        <f>AW33-AW29</f>
        <v>3517.7973689648047</v>
      </c>
      <c r="AX32" s="59">
        <f>AX33-AX29</f>
        <v>5633.1593220338982</v>
      </c>
      <c r="AY32" s="59">
        <f>AY33-AY29</f>
        <v>-7967.2747338353674</v>
      </c>
      <c r="AZ32" s="36">
        <f>AZ33-AZ29</f>
        <v>-1955</v>
      </c>
      <c r="BB32" s="36">
        <f>BB33-BB29</f>
        <v>310</v>
      </c>
      <c r="BC32" s="36">
        <f>BC33-BC29</f>
        <v>285</v>
      </c>
      <c r="BD32" s="36">
        <f>BD33-BD29</f>
        <v>265</v>
      </c>
      <c r="BE32" s="36">
        <f>BE33-BE29</f>
        <v>240</v>
      </c>
      <c r="BG32" s="36">
        <f>BG33-BG29</f>
        <v>215</v>
      </c>
      <c r="BH32" s="36">
        <f>BH33-BH29</f>
        <v>200</v>
      </c>
      <c r="BI32" s="36">
        <f>BI33-BI29</f>
        <v>185</v>
      </c>
      <c r="BJ32" s="36">
        <f>BJ33-BJ29</f>
        <v>165</v>
      </c>
      <c r="BL32" s="36">
        <f>BL33-BL29</f>
        <v>170</v>
      </c>
      <c r="BM32" s="36">
        <f>BM33-BM29</f>
        <v>150</v>
      </c>
      <c r="BN32" s="36">
        <f>BN33-BN29</f>
        <v>125</v>
      </c>
      <c r="BO32" s="36">
        <f>BO33-BO29</f>
        <v>100</v>
      </c>
      <c r="BQ32" s="36">
        <f>BQ33-BQ29</f>
        <v>75</v>
      </c>
      <c r="BR32" s="36">
        <f>BR33-BR29</f>
        <v>50</v>
      </c>
      <c r="BS32" s="111">
        <f>BS33-BS29</f>
        <v>25</v>
      </c>
    </row>
    <row r="33" spans="1:71">
      <c r="A33" s="9" t="s">
        <v>1101</v>
      </c>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39"/>
      <c r="AP33" s="81">
        <f>AP26-AO26</f>
        <v>0</v>
      </c>
      <c r="AQ33" s="81"/>
      <c r="AR33" s="81">
        <f>AR26-AQ26</f>
        <v>2800</v>
      </c>
      <c r="AS33" s="81">
        <f>AS26-AR26</f>
        <v>3000</v>
      </c>
      <c r="AT33" s="81">
        <f>AT26-AS26</f>
        <v>-1000</v>
      </c>
      <c r="AU33" s="81">
        <f>AU26-AT26</f>
        <v>1900</v>
      </c>
      <c r="AV33" s="39"/>
      <c r="AW33" s="81">
        <f>AW26-AV26</f>
        <v>3600</v>
      </c>
      <c r="AX33" s="81">
        <f>AX26-AW26</f>
        <v>5700</v>
      </c>
      <c r="AY33" s="81">
        <f>AY26-AX26</f>
        <v>-7900</v>
      </c>
      <c r="AZ33" s="39">
        <f>AZ26-AY26</f>
        <v>-1890</v>
      </c>
      <c r="BA33" s="39"/>
      <c r="BB33" s="39">
        <f>BB26-BA26</f>
        <v>375</v>
      </c>
      <c r="BC33" s="39">
        <f>BC26-BB26</f>
        <v>345</v>
      </c>
      <c r="BD33" s="39">
        <f>BD26-BC26</f>
        <v>320</v>
      </c>
      <c r="BE33" s="39">
        <f>BE26-BD26</f>
        <v>290</v>
      </c>
      <c r="BF33" s="39"/>
      <c r="BG33" s="39">
        <f>BG26-BF26</f>
        <v>260</v>
      </c>
      <c r="BH33" s="39">
        <f>BH26-BG26</f>
        <v>240</v>
      </c>
      <c r="BI33" s="39">
        <f>BI26-BH26</f>
        <v>220</v>
      </c>
      <c r="BJ33" s="39">
        <f>BJ26-BI26</f>
        <v>195</v>
      </c>
      <c r="BK33" s="39"/>
      <c r="BL33" s="39">
        <f>BL26-BK26</f>
        <v>170</v>
      </c>
      <c r="BM33" s="39">
        <f>BM26-BL26</f>
        <v>150</v>
      </c>
      <c r="BN33" s="39">
        <f>BN26-BM26</f>
        <v>125</v>
      </c>
      <c r="BO33" s="39">
        <f>BO26-BN26</f>
        <v>100</v>
      </c>
      <c r="BP33" s="39"/>
      <c r="BQ33" s="39">
        <f>BQ26-BP26</f>
        <v>75</v>
      </c>
      <c r="BR33" s="39">
        <f>BR26-BQ26</f>
        <v>50</v>
      </c>
      <c r="BS33" s="331">
        <f>BS26-BR26</f>
        <v>25</v>
      </c>
    </row>
    <row r="35" spans="1:71">
      <c r="A35" s="1" t="s">
        <v>1106</v>
      </c>
      <c r="AS35" s="117">
        <v>0.44</v>
      </c>
    </row>
    <row r="36" spans="1:71">
      <c r="A36" s="1" t="s">
        <v>1105</v>
      </c>
      <c r="AS36" s="117">
        <v>0.56000000000000005</v>
      </c>
    </row>
    <row r="38" spans="1:71">
      <c r="A38" s="1" t="s">
        <v>1106</v>
      </c>
      <c r="AO38" s="21">
        <f>1-AO39</f>
        <v>0.4638115074199427</v>
      </c>
      <c r="AP38" s="21">
        <f t="shared" ref="AP38:BR38" si="79">1-AP39</f>
        <v>0.46392296530800681</v>
      </c>
      <c r="AQ38" s="21">
        <f t="shared" si="79"/>
        <v>0.46413502109704641</v>
      </c>
      <c r="AR38" s="21">
        <f t="shared" si="79"/>
        <v>0.46072785197892419</v>
      </c>
      <c r="AS38" s="21">
        <f t="shared" si="79"/>
        <v>0.46293529479370188</v>
      </c>
      <c r="AT38" s="21">
        <f t="shared" si="79"/>
        <v>0.46172839506172836</v>
      </c>
      <c r="AU38" s="21">
        <f t="shared" si="79"/>
        <v>0.46285510519434214</v>
      </c>
      <c r="AV38" s="21">
        <f t="shared" si="79"/>
        <v>0.46285510519434214</v>
      </c>
      <c r="AW38" s="21">
        <f t="shared" si="79"/>
        <v>0.46253746253746253</v>
      </c>
      <c r="AX38" s="21">
        <f t="shared" si="79"/>
        <v>0.46114441416893737</v>
      </c>
      <c r="AY38" s="21">
        <f t="shared" si="79"/>
        <v>0.46591597045647171</v>
      </c>
      <c r="AZ38" s="21">
        <f t="shared" si="79"/>
        <v>0.46546470289487052</v>
      </c>
      <c r="BA38" s="21">
        <f t="shared" si="79"/>
        <v>0.46546470289487052</v>
      </c>
      <c r="BB38" s="21">
        <f t="shared" si="79"/>
        <v>0.46519594409427245</v>
      </c>
      <c r="BC38" s="21">
        <f t="shared" si="79"/>
        <v>0.46491881424102488</v>
      </c>
      <c r="BD38" s="21">
        <f t="shared" si="79"/>
        <v>0.46463494132985661</v>
      </c>
      <c r="BE38" s="21">
        <f t="shared" si="79"/>
        <v>0.4643628509719222</v>
      </c>
      <c r="BF38" s="21">
        <f t="shared" si="79"/>
        <v>0.4643628509719222</v>
      </c>
      <c r="BG38" s="21">
        <f t="shared" si="79"/>
        <v>0.46425073457394717</v>
      </c>
      <c r="BH38" s="21">
        <f t="shared" si="79"/>
        <v>0.46420124704364651</v>
      </c>
      <c r="BI38" s="21">
        <f t="shared" si="79"/>
        <v>0.46397900763358779</v>
      </c>
      <c r="BJ38" s="21">
        <f t="shared" si="79"/>
        <v>0.46392785571142281</v>
      </c>
      <c r="BK38" s="21">
        <f t="shared" si="79"/>
        <v>0.46392785571142281</v>
      </c>
      <c r="BL38" s="21">
        <f t="shared" si="79"/>
        <v>0.46363372935381053</v>
      </c>
      <c r="BM38" s="21">
        <f t="shared" si="79"/>
        <v>0.4632885211995863</v>
      </c>
      <c r="BN38" s="21">
        <f t="shared" si="79"/>
        <v>0.46304997864160613</v>
      </c>
      <c r="BO38" s="21">
        <f t="shared" si="79"/>
        <v>0.46301524562394125</v>
      </c>
      <c r="BP38" s="21">
        <f t="shared" si="79"/>
        <v>0.46301524562394125</v>
      </c>
      <c r="BQ38" s="21">
        <f t="shared" si="79"/>
        <v>0.46347607052896722</v>
      </c>
      <c r="BR38" s="21">
        <f t="shared" si="79"/>
        <v>0.46166666666666667</v>
      </c>
      <c r="BS38" s="341"/>
    </row>
    <row r="39" spans="1:71">
      <c r="A39" s="1" t="s">
        <v>1105</v>
      </c>
      <c r="AO39" s="21">
        <f>'SVF Segment'!AO596</f>
        <v>0.5361884925800573</v>
      </c>
      <c r="AP39" s="21">
        <f>'SVF Segment'!AP596</f>
        <v>0.53607703469199319</v>
      </c>
      <c r="AQ39" s="21">
        <f>'SVF Segment'!AQ596</f>
        <v>0.53586497890295359</v>
      </c>
      <c r="AR39" s="21">
        <f>'SVF Segment'!AR596</f>
        <v>0.53927214802107581</v>
      </c>
      <c r="AS39" s="21">
        <f>'SVF Segment'!AS596</f>
        <v>0.53706470520629812</v>
      </c>
      <c r="AT39" s="21">
        <f>'SVF Segment'!AT596</f>
        <v>0.53827160493827164</v>
      </c>
      <c r="AU39" s="21">
        <f>'SVF Segment'!AU596</f>
        <v>0.53714489480565786</v>
      </c>
      <c r="AV39" s="21">
        <f>'SVF Segment'!AV596</f>
        <v>0.53714489480565786</v>
      </c>
      <c r="AW39" s="21">
        <f>'SVF Segment'!AW596</f>
        <v>0.53746253746253747</v>
      </c>
      <c r="AX39" s="21">
        <f>'SVF Segment'!AX596</f>
        <v>0.53885558583106263</v>
      </c>
      <c r="AY39" s="21">
        <f>'SVF Segment'!AY596</f>
        <v>0.53408402954352829</v>
      </c>
      <c r="AZ39" s="21">
        <f>'SVF Segment'!AZ596</f>
        <v>0.53453529710512948</v>
      </c>
      <c r="BA39" s="21">
        <f>'SVF Segment'!BA596</f>
        <v>0.53453529710512948</v>
      </c>
      <c r="BB39" s="21">
        <f>'SVF Segment'!BB596</f>
        <v>0.53480405590572755</v>
      </c>
      <c r="BC39" s="21">
        <f>'SVF Segment'!BC596</f>
        <v>0.53508118575897512</v>
      </c>
      <c r="BD39" s="21">
        <f>'SVF Segment'!BD596</f>
        <v>0.53536505867014339</v>
      </c>
      <c r="BE39" s="21">
        <f>'SVF Segment'!BE596</f>
        <v>0.5356371490280778</v>
      </c>
      <c r="BF39" s="21">
        <f>'SVF Segment'!BF596</f>
        <v>0.5356371490280778</v>
      </c>
      <c r="BG39" s="21">
        <f>'SVF Segment'!BG596</f>
        <v>0.53574926542605283</v>
      </c>
      <c r="BH39" s="21">
        <f>'SVF Segment'!BH596</f>
        <v>0.53579875295635349</v>
      </c>
      <c r="BI39" s="21">
        <f>'SVF Segment'!BI596</f>
        <v>0.53602099236641221</v>
      </c>
      <c r="BJ39" s="21">
        <f>'SVF Segment'!BJ596</f>
        <v>0.53607214428857719</v>
      </c>
      <c r="BK39" s="21">
        <f>'SVF Segment'!BK596</f>
        <v>0.53607214428857719</v>
      </c>
      <c r="BL39" s="21">
        <f>'SVF Segment'!BL596</f>
        <v>0.53636627064618947</v>
      </c>
      <c r="BM39" s="21">
        <f>'SVF Segment'!BM596</f>
        <v>0.5367114788004137</v>
      </c>
      <c r="BN39" s="21">
        <f>'SVF Segment'!BN596</f>
        <v>0.53695002135839387</v>
      </c>
      <c r="BO39" s="21">
        <f>'SVF Segment'!BO596</f>
        <v>0.53698475437605875</v>
      </c>
      <c r="BP39" s="21">
        <f>'SVF Segment'!BP596</f>
        <v>0.53698475437605875</v>
      </c>
      <c r="BQ39" s="21">
        <f>'SVF Segment'!BQ596</f>
        <v>0.53652392947103278</v>
      </c>
      <c r="BR39" s="21">
        <f>'SVF Segment'!BR596</f>
        <v>0.53833333333333333</v>
      </c>
      <c r="BS39" s="341"/>
    </row>
    <row r="41" spans="1:71">
      <c r="A41" s="3" t="s">
        <v>2637</v>
      </c>
    </row>
    <row r="43" spans="1:71">
      <c r="A43" s="1" t="s">
        <v>2638</v>
      </c>
      <c r="AR43" s="649">
        <f>AR26-AQ26</f>
        <v>2800</v>
      </c>
      <c r="AS43" s="649">
        <f>AS26-AR26</f>
        <v>3000</v>
      </c>
      <c r="AT43" s="92">
        <f>AT26-AS26</f>
        <v>-1000</v>
      </c>
      <c r="AU43" s="649">
        <f>AU26-AT26</f>
        <v>1900</v>
      </c>
      <c r="AV43" s="36">
        <f>SUM(AR43:AU43)</f>
        <v>6700</v>
      </c>
      <c r="AW43" s="649">
        <f>AW26-AV26</f>
        <v>3600</v>
      </c>
      <c r="AX43" s="649">
        <f>AX26-AW26</f>
        <v>5700</v>
      </c>
      <c r="AY43" s="92">
        <f>AY26-AX26</f>
        <v>-7900</v>
      </c>
      <c r="AZ43" s="92">
        <f>AZ26-AY26</f>
        <v>-1890</v>
      </c>
      <c r="BA43" s="36">
        <f>SUM(AW43:AZ43)</f>
        <v>-490</v>
      </c>
    </row>
    <row r="44" spans="1:71">
      <c r="A44" s="135" t="s">
        <v>2639</v>
      </c>
      <c r="AR44" s="649">
        <f>MROUND($AS$36*AR43, 5)</f>
        <v>1570</v>
      </c>
      <c r="AS44" s="649">
        <f>MROUND($AS$36*AS43, 5)</f>
        <v>1680</v>
      </c>
      <c r="AT44" s="92">
        <f>-MROUND(-$AS$36*AT43, 5)</f>
        <v>-560</v>
      </c>
      <c r="AU44" s="649">
        <f>MROUND($AS$36*AU43, 5)</f>
        <v>1065</v>
      </c>
      <c r="AV44" s="36">
        <f>SUM(AR44:AU44)</f>
        <v>3755</v>
      </c>
      <c r="AW44" s="649">
        <f>MROUND($AS$36*AW43, 5)</f>
        <v>2015</v>
      </c>
      <c r="AX44" s="649">
        <f>MROUND($AS$36*AX43, 5)</f>
        <v>3190</v>
      </c>
      <c r="AY44" s="92">
        <f>-MROUND(-$AS$36*AY43, 5)</f>
        <v>-4425</v>
      </c>
      <c r="AZ44" s="92">
        <f>-MROUND(-$AS$36*AZ43, 5)</f>
        <v>-1060</v>
      </c>
      <c r="BA44" s="36">
        <f>SUM(AW44:AZ44)</f>
        <v>-280</v>
      </c>
    </row>
    <row r="45" spans="1:71">
      <c r="BB45" s="1146" t="s">
        <v>3476</v>
      </c>
    </row>
    <row r="46" spans="1:71">
      <c r="A46" s="1" t="s">
        <v>3475</v>
      </c>
      <c r="BB46" s="1143">
        <f>MROUND(BB39*(BB22-'SVF Segment'!BB491), 5)</f>
        <v>1760</v>
      </c>
      <c r="BC46" s="1143">
        <f>MROUND(BC39*(BC22-'SVF Segment'!BC491), 5)</f>
        <v>1740</v>
      </c>
      <c r="BD46" s="1143">
        <f>MROUND(BD39*(BD22-'SVF Segment'!BD491), 5)</f>
        <v>1725</v>
      </c>
      <c r="BE46" s="1143">
        <f>MROUND(BE39*(BE22-'SVF Segment'!BE491), 5)</f>
        <v>1700</v>
      </c>
      <c r="BF46" s="36">
        <f>SUM(BB46:BE46)</f>
        <v>6925</v>
      </c>
      <c r="BG46" s="1143">
        <f>MROUND(BG39*(BG22-'SVF Segment'!BG491), 5)</f>
        <v>1355</v>
      </c>
      <c r="BH46" s="1143">
        <f>MROUND(BH39*(BH22-'SVF Segment'!BH491), 5)</f>
        <v>1340</v>
      </c>
      <c r="BI46" s="1143">
        <f>MROUND(BI39*(BI22-'SVF Segment'!BI491), 5)</f>
        <v>1355</v>
      </c>
      <c r="BJ46" s="1143">
        <f>MROUND(BJ39*(BJ22-'SVF Segment'!BJ491), 5)</f>
        <v>635</v>
      </c>
      <c r="BK46" s="36">
        <f>SUM(BG46:BJ46)</f>
        <v>4685</v>
      </c>
      <c r="BL46" s="1143">
        <f>MROUND(BL39*(BL22-'SVF Segment'!BL491), 5)</f>
        <v>1540</v>
      </c>
      <c r="BM46" s="1143">
        <f>MROUND(BM39*(BM22-'SVF Segment'!BM491), 5)</f>
        <v>1555</v>
      </c>
      <c r="BN46" s="1143">
        <f>MROUND(BN39*(BN22-'SVF Segment'!BN491), 5)</f>
        <v>1570</v>
      </c>
      <c r="BO46" s="1143">
        <f>MROUND(BO39*(BO22-'SVF Segment'!BO491), 5)</f>
        <v>1585</v>
      </c>
      <c r="BP46" s="36">
        <f>SUM(BL46:BO46)</f>
        <v>6250</v>
      </c>
    </row>
    <row r="48" spans="1:71" s="44" customFormat="1">
      <c r="A48" s="49" t="s">
        <v>1092</v>
      </c>
      <c r="BS48" s="46"/>
    </row>
    <row r="50" spans="1:73">
      <c r="A50" s="3" t="s">
        <v>736</v>
      </c>
      <c r="AO50" s="218" t="s">
        <v>735</v>
      </c>
      <c r="AP50" s="12"/>
      <c r="BH50" s="3" t="s">
        <v>2387</v>
      </c>
      <c r="BM50" s="3" t="s">
        <v>2393</v>
      </c>
      <c r="BS50" s="1"/>
    </row>
    <row r="51" spans="1:73">
      <c r="AP51" s="25" t="s">
        <v>752</v>
      </c>
      <c r="BN51" s="239"/>
      <c r="BO51" s="239"/>
      <c r="BS51" s="1"/>
    </row>
    <row r="52" spans="1:73">
      <c r="A52" s="5" t="s">
        <v>733</v>
      </c>
      <c r="AO52" s="151">
        <v>6400</v>
      </c>
      <c r="AP52" s="151">
        <v>6200</v>
      </c>
      <c r="AQ52" s="36">
        <f t="shared" ref="AQ52:AQ72" si="80">AP52</f>
        <v>6200</v>
      </c>
      <c r="AR52" s="151">
        <v>7300</v>
      </c>
      <c r="AS52" s="151">
        <v>8600</v>
      </c>
      <c r="AT52" s="151">
        <v>7700</v>
      </c>
      <c r="AU52" s="151">
        <v>7700</v>
      </c>
      <c r="AV52" s="36">
        <f t="shared" ref="AV52:AV72" si="81">AU52</f>
        <v>7700</v>
      </c>
      <c r="AW52" s="151">
        <v>9300</v>
      </c>
      <c r="AX52" s="151">
        <v>9300</v>
      </c>
      <c r="AY52" s="151">
        <v>6800</v>
      </c>
      <c r="AZ52" s="80">
        <f>MROUND(AZ168*AZ171, 5)</f>
        <v>5505</v>
      </c>
      <c r="BA52" s="36">
        <f>AZ52</f>
        <v>5505</v>
      </c>
      <c r="BH52" s="5" t="s">
        <v>1079</v>
      </c>
      <c r="BJ52" s="36">
        <f>$AY$129</f>
        <v>15525</v>
      </c>
      <c r="BK52" s="541">
        <f>BJ52/1000</f>
        <v>15.525</v>
      </c>
      <c r="BL52" s="554">
        <f t="shared" ref="BL52:BL60" si="82">BK52/$BK$61</f>
        <v>0.34347345132743362</v>
      </c>
      <c r="BO52" s="365" t="s">
        <v>2392</v>
      </c>
      <c r="BP52" s="365" t="s">
        <v>2391</v>
      </c>
      <c r="BS52" s="1"/>
      <c r="BT52" s="365" t="s">
        <v>2392</v>
      </c>
      <c r="BU52" s="365" t="s">
        <v>2391</v>
      </c>
    </row>
    <row r="53" spans="1:73">
      <c r="A53" s="5" t="s">
        <v>744</v>
      </c>
      <c r="AO53" s="151">
        <v>3800</v>
      </c>
      <c r="AP53" s="151">
        <v>3700</v>
      </c>
      <c r="AQ53" s="36">
        <f t="shared" si="80"/>
        <v>3700</v>
      </c>
      <c r="AR53" s="151">
        <v>4000</v>
      </c>
      <c r="AS53" s="151">
        <v>4600</v>
      </c>
      <c r="AT53" s="151">
        <v>4400</v>
      </c>
      <c r="AU53" s="151">
        <v>4700</v>
      </c>
      <c r="AV53" s="36">
        <f t="shared" si="81"/>
        <v>4700</v>
      </c>
      <c r="AW53" s="151">
        <v>4700</v>
      </c>
      <c r="AX53" s="151">
        <v>6000</v>
      </c>
      <c r="AY53" s="151">
        <v>5100</v>
      </c>
      <c r="AZ53" s="80">
        <f>MROUND(AZ191*AZ194, 5)</f>
        <v>4250</v>
      </c>
      <c r="BA53" s="36">
        <f t="shared" ref="BA53:BA72" si="83">AZ53</f>
        <v>4250</v>
      </c>
      <c r="BH53" s="5" t="s">
        <v>733</v>
      </c>
      <c r="BJ53" s="36">
        <f>$AY$52</f>
        <v>6800</v>
      </c>
      <c r="BK53" s="541">
        <f t="shared" ref="BK53:BK54" si="84">BJ53/1000</f>
        <v>6.8</v>
      </c>
      <c r="BL53" s="554">
        <f t="shared" si="82"/>
        <v>0.15044247787610618</v>
      </c>
      <c r="BM53" s="28" t="s">
        <v>733</v>
      </c>
      <c r="BO53" s="36">
        <f>AU96</f>
        <v>1700</v>
      </c>
      <c r="BP53" s="36">
        <f>AU52</f>
        <v>7700</v>
      </c>
      <c r="BR53" s="28" t="s">
        <v>2394</v>
      </c>
      <c r="BS53" s="1"/>
      <c r="BT53" s="541">
        <f>BO53/1000</f>
        <v>1.7</v>
      </c>
      <c r="BU53" s="541">
        <f>BP53/1000</f>
        <v>7.7</v>
      </c>
    </row>
    <row r="54" spans="1:73">
      <c r="A54" s="5" t="s">
        <v>751</v>
      </c>
      <c r="AO54" s="151">
        <v>1900</v>
      </c>
      <c r="AP54" s="151">
        <v>1300</v>
      </c>
      <c r="AQ54" s="36">
        <f t="shared" si="80"/>
        <v>1300</v>
      </c>
      <c r="AR54" s="151">
        <v>1400</v>
      </c>
      <c r="AS54" s="151">
        <v>1500</v>
      </c>
      <c r="AT54" s="151">
        <v>1900</v>
      </c>
      <c r="AU54" s="151">
        <v>1800</v>
      </c>
      <c r="AV54" s="36">
        <f t="shared" si="81"/>
        <v>1800</v>
      </c>
      <c r="AW54" s="151">
        <v>2000</v>
      </c>
      <c r="AX54" s="151">
        <v>2400</v>
      </c>
      <c r="AY54" s="151">
        <v>2000</v>
      </c>
      <c r="AZ54" s="80">
        <f>MROUND(AZ214*AZ217, 5)</f>
        <v>1690</v>
      </c>
      <c r="BA54" s="36">
        <f t="shared" si="83"/>
        <v>1690</v>
      </c>
      <c r="BH54" s="5" t="s">
        <v>2400</v>
      </c>
      <c r="BJ54" s="36">
        <f>SUM(AY53:AY54, AY57, AY59, AY61)</f>
        <v>7700</v>
      </c>
      <c r="BK54" s="541">
        <f t="shared" si="84"/>
        <v>7.7</v>
      </c>
      <c r="BL54" s="554">
        <f t="shared" si="82"/>
        <v>0.17035398230088494</v>
      </c>
      <c r="BM54" s="28" t="s">
        <v>744</v>
      </c>
      <c r="BN54" s="36"/>
      <c r="BO54" s="36">
        <f>AU97</f>
        <v>12100</v>
      </c>
      <c r="BP54" s="36">
        <f>AU53</f>
        <v>4700</v>
      </c>
      <c r="BR54" s="28" t="s">
        <v>2395</v>
      </c>
      <c r="BS54" s="36"/>
      <c r="BT54" s="541">
        <f t="shared" ref="BT54:BT55" si="85">BO54/1000</f>
        <v>12.1</v>
      </c>
      <c r="BU54" s="541">
        <f t="shared" ref="BU54:BU55" si="86">BP54/1000</f>
        <v>4.7</v>
      </c>
    </row>
    <row r="55" spans="1:73">
      <c r="A55" s="5" t="s">
        <v>753</v>
      </c>
      <c r="AO55" s="151">
        <v>1100</v>
      </c>
      <c r="AP55" s="151">
        <v>1100</v>
      </c>
      <c r="AQ55" s="36">
        <f t="shared" si="80"/>
        <v>1100</v>
      </c>
      <c r="AR55" s="151">
        <v>1100</v>
      </c>
      <c r="AS55" s="151">
        <v>1200</v>
      </c>
      <c r="AT55" s="151">
        <v>1200</v>
      </c>
      <c r="AU55" s="151">
        <v>1200</v>
      </c>
      <c r="AV55" s="36">
        <f t="shared" si="81"/>
        <v>1200</v>
      </c>
      <c r="AW55" s="151">
        <v>1100</v>
      </c>
      <c r="AX55" s="151">
        <v>900</v>
      </c>
      <c r="AY55" s="151">
        <v>700</v>
      </c>
      <c r="AZ55" s="80">
        <f>MROUND(AZ237*AZ240, 5)</f>
        <v>615</v>
      </c>
      <c r="BA55" s="36">
        <f t="shared" si="83"/>
        <v>615</v>
      </c>
      <c r="BH55" s="5" t="s">
        <v>2388</v>
      </c>
      <c r="BJ55" s="36">
        <f>$AY$66+$AY$132</f>
        <v>2115</v>
      </c>
      <c r="BK55" s="541">
        <f t="shared" ref="BK55:BK61" si="87">BJ55/1000</f>
        <v>2.1150000000000002</v>
      </c>
      <c r="BL55" s="554">
        <f t="shared" si="82"/>
        <v>4.679203539823009E-2</v>
      </c>
      <c r="BM55" s="28" t="s">
        <v>751</v>
      </c>
      <c r="BO55" s="36">
        <f>AU98</f>
        <v>1700</v>
      </c>
      <c r="BP55" s="36">
        <f>AU54</f>
        <v>1800</v>
      </c>
      <c r="BR55" s="28" t="s">
        <v>2396</v>
      </c>
      <c r="BS55" s="1"/>
      <c r="BT55" s="541">
        <f t="shared" si="85"/>
        <v>1.7</v>
      </c>
      <c r="BU55" s="541">
        <f t="shared" si="86"/>
        <v>1.8</v>
      </c>
    </row>
    <row r="56" spans="1:73">
      <c r="A56" s="5" t="s">
        <v>2731</v>
      </c>
      <c r="AO56" s="38"/>
      <c r="AP56" s="38"/>
      <c r="AQ56" s="36"/>
      <c r="AR56" s="38"/>
      <c r="AS56" s="151">
        <v>800</v>
      </c>
      <c r="AT56" s="151">
        <v>800</v>
      </c>
      <c r="AU56" s="151">
        <v>400</v>
      </c>
      <c r="AV56" s="36">
        <f t="shared" si="81"/>
        <v>400</v>
      </c>
      <c r="AW56" s="151">
        <v>500</v>
      </c>
      <c r="AX56" s="151">
        <v>400</v>
      </c>
      <c r="AY56" s="151">
        <v>300</v>
      </c>
      <c r="AZ56" s="80">
        <f>MROUND(AZ266*AZ269, 5)</f>
        <v>225</v>
      </c>
      <c r="BA56" s="36">
        <f t="shared" si="83"/>
        <v>225</v>
      </c>
      <c r="BH56" s="5" t="s">
        <v>2389</v>
      </c>
      <c r="BJ56" s="36">
        <f>AY74-SUM(BJ53:BJ55)-BJ59+$AY$132</f>
        <v>2800</v>
      </c>
      <c r="BK56" s="541">
        <f t="shared" si="87"/>
        <v>2.8</v>
      </c>
      <c r="BL56" s="554">
        <f t="shared" si="82"/>
        <v>6.1946902654867249E-2</v>
      </c>
      <c r="BM56" s="28" t="s">
        <v>753</v>
      </c>
      <c r="BO56" s="36">
        <f>AU99</f>
        <v>800</v>
      </c>
      <c r="BP56" s="36">
        <f>AU55</f>
        <v>1200</v>
      </c>
      <c r="BR56" s="28" t="s">
        <v>2397</v>
      </c>
      <c r="BS56" s="1"/>
      <c r="BT56" s="541">
        <f t="shared" ref="BT56:BU56" si="88">BO56/1000</f>
        <v>0.8</v>
      </c>
      <c r="BU56" s="541">
        <f t="shared" si="88"/>
        <v>1.2</v>
      </c>
    </row>
    <row r="57" spans="1:73" s="26" customFormat="1">
      <c r="A57" s="29" t="s">
        <v>755</v>
      </c>
      <c r="AO57" s="282">
        <v>900</v>
      </c>
      <c r="AP57" s="282">
        <v>900</v>
      </c>
      <c r="AQ57" s="61">
        <f t="shared" si="80"/>
        <v>900</v>
      </c>
      <c r="AR57" s="282">
        <v>500</v>
      </c>
      <c r="AS57" s="282">
        <v>200</v>
      </c>
      <c r="AT57" s="282">
        <v>0</v>
      </c>
      <c r="AU57" s="282">
        <v>0</v>
      </c>
      <c r="AV57" s="61">
        <f t="shared" si="81"/>
        <v>0</v>
      </c>
      <c r="AW57" s="290"/>
      <c r="AX57" s="290"/>
      <c r="AY57" s="290"/>
      <c r="AZ57" s="290"/>
      <c r="BA57" s="290"/>
      <c r="BH57" s="165" t="s">
        <v>1082</v>
      </c>
      <c r="BI57" s="79"/>
      <c r="BJ57" s="59">
        <f>$AY$130</f>
        <v>1000</v>
      </c>
      <c r="BK57" s="794">
        <f t="shared" si="87"/>
        <v>1</v>
      </c>
      <c r="BL57" s="769">
        <f t="shared" si="82"/>
        <v>2.2123893805309734E-2</v>
      </c>
      <c r="BM57" s="667" t="s">
        <v>758</v>
      </c>
      <c r="BO57" s="61">
        <f>AU102</f>
        <v>600</v>
      </c>
      <c r="BP57" s="61">
        <f>AU58</f>
        <v>600</v>
      </c>
      <c r="BR57" s="667" t="s">
        <v>2398</v>
      </c>
      <c r="BT57" s="549">
        <f t="shared" ref="BT57:BT58" si="89">BO57/1000</f>
        <v>0.6</v>
      </c>
      <c r="BU57" s="549">
        <f t="shared" ref="BU57:BU58" si="90">BP57/1000</f>
        <v>0.6</v>
      </c>
    </row>
    <row r="58" spans="1:73">
      <c r="A58" s="5" t="s">
        <v>758</v>
      </c>
      <c r="AO58" s="151">
        <v>800</v>
      </c>
      <c r="AP58" s="151">
        <v>800</v>
      </c>
      <c r="AQ58" s="36">
        <f t="shared" si="80"/>
        <v>800</v>
      </c>
      <c r="AR58" s="151">
        <v>800</v>
      </c>
      <c r="AS58" s="151">
        <v>800</v>
      </c>
      <c r="AT58" s="151">
        <v>700</v>
      </c>
      <c r="AU58" s="151">
        <v>600</v>
      </c>
      <c r="AV58" s="36">
        <f t="shared" si="81"/>
        <v>600</v>
      </c>
      <c r="AW58" s="151">
        <v>700</v>
      </c>
      <c r="AX58" s="151">
        <v>600</v>
      </c>
      <c r="AY58" s="151">
        <v>400</v>
      </c>
      <c r="AZ58" s="80">
        <f>MROUND(AZ312*AZ315, 5)</f>
        <v>535</v>
      </c>
      <c r="BA58" s="36">
        <f t="shared" si="83"/>
        <v>535</v>
      </c>
      <c r="BH58" s="5" t="s">
        <v>1083</v>
      </c>
      <c r="BJ58" s="36">
        <f>$AY$131</f>
        <v>900</v>
      </c>
      <c r="BK58" s="541">
        <f t="shared" si="87"/>
        <v>0.9</v>
      </c>
      <c r="BL58" s="554">
        <f t="shared" si="82"/>
        <v>1.9911504424778761E-2</v>
      </c>
      <c r="BM58" s="667" t="s">
        <v>760</v>
      </c>
      <c r="BN58" s="26"/>
      <c r="BO58" s="61">
        <f>AU103</f>
        <v>1000</v>
      </c>
      <c r="BP58" s="61">
        <f>AU59</f>
        <v>500</v>
      </c>
      <c r="BR58" s="667" t="s">
        <v>2399</v>
      </c>
      <c r="BS58" s="1"/>
      <c r="BT58" s="541">
        <f t="shared" si="89"/>
        <v>1</v>
      </c>
      <c r="BU58" s="541">
        <f t="shared" si="90"/>
        <v>0.5</v>
      </c>
    </row>
    <row r="59" spans="1:73">
      <c r="A59" s="5" t="s">
        <v>760</v>
      </c>
      <c r="AO59" s="151">
        <v>500</v>
      </c>
      <c r="AP59" s="151">
        <v>400</v>
      </c>
      <c r="AQ59" s="36">
        <f t="shared" si="80"/>
        <v>400</v>
      </c>
      <c r="AR59" s="151">
        <v>300</v>
      </c>
      <c r="AS59" s="151">
        <v>400</v>
      </c>
      <c r="AT59" s="151">
        <v>400</v>
      </c>
      <c r="AU59" s="151">
        <v>500</v>
      </c>
      <c r="AV59" s="36">
        <f t="shared" si="81"/>
        <v>500</v>
      </c>
      <c r="AW59" s="151">
        <v>300</v>
      </c>
      <c r="AX59" s="151">
        <v>300</v>
      </c>
      <c r="AY59" s="151">
        <v>300</v>
      </c>
      <c r="AZ59" s="80">
        <f>MROUND(AZ341*AZ344, 5)</f>
        <v>285</v>
      </c>
      <c r="BA59" s="36">
        <f t="shared" si="83"/>
        <v>285</v>
      </c>
      <c r="BH59" s="5" t="s">
        <v>2725</v>
      </c>
      <c r="BJ59" s="622">
        <f>$AY$56</f>
        <v>300</v>
      </c>
      <c r="BK59" s="541">
        <f t="shared" si="87"/>
        <v>0.3</v>
      </c>
      <c r="BL59" s="554">
        <f t="shared" si="82"/>
        <v>6.6371681415929194E-3</v>
      </c>
      <c r="BQ59" s="26"/>
      <c r="BR59" s="26"/>
      <c r="BS59" s="26"/>
      <c r="BT59" s="26"/>
      <c r="BU59" s="26"/>
    </row>
    <row r="60" spans="1:73" s="26" customFormat="1">
      <c r="A60" s="29" t="s">
        <v>865</v>
      </c>
      <c r="AO60" s="282">
        <v>400</v>
      </c>
      <c r="AP60" s="282">
        <v>100</v>
      </c>
      <c r="AQ60" s="61">
        <f t="shared" si="80"/>
        <v>100</v>
      </c>
      <c r="AR60" s="290"/>
      <c r="AS60" s="290"/>
      <c r="AT60" s="290"/>
      <c r="AU60" s="290"/>
      <c r="AV60" s="290"/>
      <c r="AW60" s="290"/>
      <c r="AX60" s="290"/>
      <c r="AY60" s="290"/>
      <c r="AZ60" s="290"/>
      <c r="BA60" s="290"/>
      <c r="BH60" s="29" t="s">
        <v>2390</v>
      </c>
      <c r="BJ60" s="61">
        <f>$AY$133</f>
        <v>8060</v>
      </c>
      <c r="BK60" s="549">
        <f t="shared" si="87"/>
        <v>8.06</v>
      </c>
      <c r="BL60" s="666">
        <f t="shared" si="82"/>
        <v>0.17831858407079645</v>
      </c>
      <c r="BM60" s="1"/>
      <c r="BN60" s="1"/>
      <c r="BO60" s="1"/>
      <c r="BP60" s="1"/>
      <c r="BQ60" s="1"/>
      <c r="BR60" s="1"/>
      <c r="BS60" s="1"/>
      <c r="BT60" s="1"/>
      <c r="BU60" s="1"/>
    </row>
    <row r="61" spans="1:73">
      <c r="A61" s="5" t="s">
        <v>1050</v>
      </c>
      <c r="AO61" s="151">
        <v>400</v>
      </c>
      <c r="AP61" s="151">
        <v>400</v>
      </c>
      <c r="AQ61" s="36">
        <f t="shared" si="80"/>
        <v>400</v>
      </c>
      <c r="AR61" s="151">
        <v>400</v>
      </c>
      <c r="AS61" s="151">
        <v>400</v>
      </c>
      <c r="AT61" s="151">
        <v>300</v>
      </c>
      <c r="AU61" s="151">
        <v>200</v>
      </c>
      <c r="AV61" s="36">
        <f t="shared" si="81"/>
        <v>200</v>
      </c>
      <c r="AW61" s="151">
        <v>300</v>
      </c>
      <c r="AX61" s="151">
        <v>300</v>
      </c>
      <c r="AY61" s="151">
        <v>300</v>
      </c>
      <c r="AZ61" s="80">
        <f>MROUND(AZ399*AZ402, 5)</f>
        <v>320</v>
      </c>
      <c r="BA61" s="36">
        <f t="shared" si="83"/>
        <v>320</v>
      </c>
      <c r="BH61" s="9" t="s">
        <v>89</v>
      </c>
      <c r="BI61" s="9"/>
      <c r="BJ61" s="39">
        <f>SUM(BJ52:BJ60)</f>
        <v>45200</v>
      </c>
      <c r="BK61" s="545">
        <f t="shared" si="87"/>
        <v>45.2</v>
      </c>
      <c r="BS61" s="1"/>
    </row>
    <row r="62" spans="1:73">
      <c r="A62" s="5" t="s">
        <v>1053</v>
      </c>
      <c r="AO62" s="151">
        <v>400</v>
      </c>
      <c r="AP62" s="151">
        <v>400</v>
      </c>
      <c r="AQ62" s="36">
        <f t="shared" si="80"/>
        <v>400</v>
      </c>
      <c r="AR62" s="151">
        <v>300</v>
      </c>
      <c r="AS62" s="151">
        <v>400</v>
      </c>
      <c r="AT62" s="151">
        <v>400</v>
      </c>
      <c r="AU62" s="151">
        <v>400</v>
      </c>
      <c r="AV62" s="36">
        <f t="shared" si="81"/>
        <v>400</v>
      </c>
      <c r="AW62" s="151">
        <v>300</v>
      </c>
      <c r="AX62" s="151">
        <v>400</v>
      </c>
      <c r="AY62" s="151">
        <v>300</v>
      </c>
      <c r="AZ62" s="80">
        <f>MROUND(AZ422*AZ425, 5)</f>
        <v>275</v>
      </c>
      <c r="BA62" s="36">
        <f t="shared" si="83"/>
        <v>275</v>
      </c>
      <c r="BH62" s="1" t="s">
        <v>706</v>
      </c>
      <c r="BJ62" s="36">
        <f>BJ61-$AY$9</f>
        <v>0</v>
      </c>
      <c r="BL62" s="26"/>
      <c r="BM62" s="26"/>
      <c r="BN62" s="26"/>
      <c r="BO62" s="26"/>
      <c r="BP62" s="26"/>
      <c r="BQ62" s="26"/>
      <c r="BR62" s="26"/>
      <c r="BS62" s="26"/>
      <c r="BT62" s="26"/>
      <c r="BU62" s="26"/>
    </row>
    <row r="63" spans="1:73" s="26" customFormat="1">
      <c r="A63" s="29" t="s">
        <v>1056</v>
      </c>
      <c r="AO63" s="282">
        <v>300</v>
      </c>
      <c r="AP63" s="282">
        <v>0</v>
      </c>
      <c r="AQ63" s="61">
        <f t="shared" si="80"/>
        <v>0</v>
      </c>
      <c r="AR63" s="290"/>
      <c r="AS63" s="290"/>
      <c r="AT63" s="290"/>
      <c r="AU63" s="290"/>
      <c r="AV63" s="290"/>
      <c r="AW63" s="290"/>
      <c r="AX63" s="290"/>
      <c r="AY63" s="290"/>
      <c r="AZ63" s="290"/>
      <c r="BA63" s="290"/>
    </row>
    <row r="64" spans="1:73">
      <c r="A64" s="5" t="s">
        <v>1058</v>
      </c>
      <c r="AO64" s="151">
        <v>300</v>
      </c>
      <c r="AP64" s="151">
        <v>200</v>
      </c>
      <c r="AQ64" s="36">
        <f t="shared" si="80"/>
        <v>200</v>
      </c>
      <c r="AR64" s="151">
        <v>200</v>
      </c>
      <c r="AS64" s="151">
        <v>200</v>
      </c>
      <c r="AT64" s="151">
        <v>100</v>
      </c>
      <c r="AU64" s="151">
        <v>100</v>
      </c>
      <c r="AV64" s="36">
        <f t="shared" si="81"/>
        <v>100</v>
      </c>
      <c r="AW64" s="151">
        <v>100</v>
      </c>
      <c r="AX64" s="151">
        <v>200</v>
      </c>
      <c r="AY64" s="151">
        <v>200</v>
      </c>
      <c r="AZ64" s="80">
        <f>MROUND(AZ474*AZ477, 5)</f>
        <v>285</v>
      </c>
      <c r="BA64" s="36">
        <f t="shared" si="83"/>
        <v>285</v>
      </c>
      <c r="BH64" s="26"/>
      <c r="BI64" s="26"/>
      <c r="BJ64" s="26"/>
      <c r="BK64" s="26"/>
      <c r="BS64" s="1"/>
    </row>
    <row r="65" spans="1:71">
      <c r="A65" s="5" t="s">
        <v>1060</v>
      </c>
      <c r="AO65" s="151">
        <v>300</v>
      </c>
      <c r="AP65" s="151">
        <v>200</v>
      </c>
      <c r="AQ65" s="36">
        <f t="shared" si="80"/>
        <v>200</v>
      </c>
      <c r="AR65" s="151">
        <v>200</v>
      </c>
      <c r="AS65" s="151">
        <v>400</v>
      </c>
      <c r="AT65" s="151">
        <v>600</v>
      </c>
      <c r="AU65" s="151">
        <v>800</v>
      </c>
      <c r="AV65" s="36">
        <f t="shared" si="81"/>
        <v>800</v>
      </c>
      <c r="AW65" s="151">
        <v>1100</v>
      </c>
      <c r="AX65" s="151">
        <v>1100</v>
      </c>
      <c r="AY65" s="151">
        <v>1000</v>
      </c>
      <c r="AZ65" s="80">
        <f>MROUND(AZ503*AZ506, 5)</f>
        <v>630</v>
      </c>
      <c r="BA65" s="36">
        <f t="shared" si="83"/>
        <v>630</v>
      </c>
      <c r="BL65" s="26"/>
      <c r="BS65" s="1"/>
    </row>
    <row r="66" spans="1:71" s="26" customFormat="1">
      <c r="A66" s="29" t="s">
        <v>1068</v>
      </c>
      <c r="AO66" s="282">
        <v>200</v>
      </c>
      <c r="AP66" s="282">
        <v>100</v>
      </c>
      <c r="AQ66" s="61">
        <f t="shared" si="80"/>
        <v>100</v>
      </c>
      <c r="AR66" s="282">
        <v>100</v>
      </c>
      <c r="AS66" s="282">
        <v>200</v>
      </c>
      <c r="AT66" s="282">
        <v>100</v>
      </c>
      <c r="AU66" s="282">
        <v>200</v>
      </c>
      <c r="AV66" s="61">
        <f t="shared" si="81"/>
        <v>200</v>
      </c>
      <c r="AW66" s="282">
        <v>100</v>
      </c>
      <c r="AX66" s="282">
        <v>100</v>
      </c>
      <c r="AY66" s="282">
        <v>100</v>
      </c>
      <c r="AZ66" s="286">
        <f t="shared" ref="AZ66:AZ72" si="91">MROUND(AY66*AZ77/AY77, 5)</f>
        <v>105</v>
      </c>
      <c r="BA66" s="36">
        <f t="shared" si="83"/>
        <v>105</v>
      </c>
    </row>
    <row r="67" spans="1:71" s="26" customFormat="1">
      <c r="A67" s="29" t="s">
        <v>1069</v>
      </c>
      <c r="AO67" s="282">
        <v>100</v>
      </c>
      <c r="AP67" s="282">
        <v>200</v>
      </c>
      <c r="AQ67" s="61">
        <f t="shared" si="80"/>
        <v>200</v>
      </c>
      <c r="AR67" s="282">
        <v>100</v>
      </c>
      <c r="AS67" s="282">
        <v>100</v>
      </c>
      <c r="AT67" s="282">
        <v>100</v>
      </c>
      <c r="AU67" s="282">
        <v>100</v>
      </c>
      <c r="AV67" s="61">
        <f t="shared" si="81"/>
        <v>100</v>
      </c>
      <c r="AW67" s="282">
        <v>100</v>
      </c>
      <c r="AX67" s="282">
        <v>100</v>
      </c>
      <c r="AY67" s="282">
        <v>100</v>
      </c>
      <c r="AZ67" s="286">
        <f t="shared" si="91"/>
        <v>95</v>
      </c>
      <c r="BA67" s="36">
        <f t="shared" si="83"/>
        <v>95</v>
      </c>
    </row>
    <row r="68" spans="1:71" s="26" customFormat="1">
      <c r="A68" s="29" t="s">
        <v>1070</v>
      </c>
      <c r="AO68" s="282">
        <v>100</v>
      </c>
      <c r="AP68" s="282">
        <v>0</v>
      </c>
      <c r="AQ68" s="61">
        <f t="shared" si="80"/>
        <v>0</v>
      </c>
      <c r="AR68" s="282">
        <v>0</v>
      </c>
      <c r="AS68" s="282">
        <v>0</v>
      </c>
      <c r="AT68" s="282">
        <v>100</v>
      </c>
      <c r="AU68" s="282">
        <v>0</v>
      </c>
      <c r="AV68" s="61">
        <f t="shared" si="81"/>
        <v>0</v>
      </c>
      <c r="AW68" s="282">
        <v>0</v>
      </c>
      <c r="AX68" s="282">
        <v>100</v>
      </c>
      <c r="AY68" s="282">
        <v>100</v>
      </c>
      <c r="AZ68" s="286">
        <f t="shared" ref="AZ68" si="92">MROUND(AY68*AZ79/AY79, 5)</f>
        <v>105</v>
      </c>
      <c r="BA68" s="36">
        <f t="shared" si="83"/>
        <v>105</v>
      </c>
    </row>
    <row r="69" spans="1:71" s="26" customFormat="1">
      <c r="A69" s="29" t="s">
        <v>1071</v>
      </c>
      <c r="AO69" s="282">
        <v>100</v>
      </c>
      <c r="AP69" s="282">
        <v>0</v>
      </c>
      <c r="AQ69" s="61">
        <f t="shared" si="80"/>
        <v>0</v>
      </c>
      <c r="AR69" s="282">
        <v>0</v>
      </c>
      <c r="AS69" s="282">
        <v>0</v>
      </c>
      <c r="AT69" s="282">
        <v>0</v>
      </c>
      <c r="AU69" s="282">
        <v>0</v>
      </c>
      <c r="AV69" s="61">
        <f t="shared" si="81"/>
        <v>0</v>
      </c>
      <c r="AW69" s="282">
        <v>0</v>
      </c>
      <c r="AX69" s="282">
        <v>0</v>
      </c>
      <c r="AY69" s="282">
        <v>0</v>
      </c>
      <c r="AZ69" s="286">
        <f t="shared" si="91"/>
        <v>0</v>
      </c>
      <c r="BA69" s="36">
        <f t="shared" si="83"/>
        <v>0</v>
      </c>
    </row>
    <row r="70" spans="1:71" s="26" customFormat="1">
      <c r="A70" s="29" t="s">
        <v>1072</v>
      </c>
      <c r="AO70" s="282">
        <v>0</v>
      </c>
      <c r="AP70" s="282">
        <v>0</v>
      </c>
      <c r="AQ70" s="61">
        <f t="shared" si="80"/>
        <v>0</v>
      </c>
      <c r="AR70" s="282">
        <v>0</v>
      </c>
      <c r="AS70" s="282">
        <v>0</v>
      </c>
      <c r="AT70" s="282">
        <v>0</v>
      </c>
      <c r="AU70" s="282">
        <v>0</v>
      </c>
      <c r="AV70" s="61">
        <f t="shared" si="81"/>
        <v>0</v>
      </c>
      <c r="AW70" s="282">
        <v>0</v>
      </c>
      <c r="AX70" s="282">
        <v>0</v>
      </c>
      <c r="AY70" s="282">
        <v>0</v>
      </c>
      <c r="AZ70" s="286">
        <f t="shared" si="91"/>
        <v>0</v>
      </c>
      <c r="BA70" s="36">
        <f t="shared" si="83"/>
        <v>0</v>
      </c>
    </row>
    <row r="71" spans="1:71" s="26" customFormat="1">
      <c r="A71" s="29" t="s">
        <v>1073</v>
      </c>
      <c r="AO71" s="282">
        <v>0</v>
      </c>
      <c r="AP71" s="282">
        <v>0</v>
      </c>
      <c r="AQ71" s="61">
        <f t="shared" si="80"/>
        <v>0</v>
      </c>
      <c r="AR71" s="290"/>
      <c r="AS71" s="290"/>
      <c r="AT71" s="290"/>
      <c r="AU71" s="290"/>
      <c r="AV71" s="290"/>
      <c r="AW71" s="290"/>
      <c r="AX71" s="290"/>
      <c r="AY71" s="290"/>
      <c r="AZ71" s="290"/>
      <c r="BA71" s="290"/>
    </row>
    <row r="72" spans="1:71" s="26" customFormat="1">
      <c r="A72" s="29" t="s">
        <v>1074</v>
      </c>
      <c r="AO72" s="282">
        <v>0</v>
      </c>
      <c r="AP72" s="282">
        <v>0</v>
      </c>
      <c r="AQ72" s="61">
        <f t="shared" si="80"/>
        <v>0</v>
      </c>
      <c r="AR72" s="282">
        <v>0</v>
      </c>
      <c r="AS72" s="282">
        <v>0</v>
      </c>
      <c r="AT72" s="282">
        <v>0</v>
      </c>
      <c r="AU72" s="282">
        <v>0</v>
      </c>
      <c r="AV72" s="61">
        <f t="shared" si="81"/>
        <v>0</v>
      </c>
      <c r="AW72" s="282">
        <v>0</v>
      </c>
      <c r="AX72" s="282">
        <v>0</v>
      </c>
      <c r="AY72" s="282">
        <v>0</v>
      </c>
      <c r="AZ72" s="286">
        <f t="shared" si="91"/>
        <v>0</v>
      </c>
      <c r="BA72" s="36">
        <f t="shared" si="83"/>
        <v>0</v>
      </c>
    </row>
    <row r="73" spans="1:71" s="26" customFormat="1">
      <c r="A73" s="102" t="s">
        <v>1093</v>
      </c>
      <c r="AO73" s="290"/>
      <c r="AP73" s="290"/>
      <c r="AQ73" s="61"/>
      <c r="AR73" s="290"/>
      <c r="AS73" s="290"/>
      <c r="AT73" s="290"/>
      <c r="AU73" s="290"/>
      <c r="AV73" s="290"/>
      <c r="AW73" s="290"/>
      <c r="AX73" s="290"/>
      <c r="AY73" s="290"/>
      <c r="AZ73" s="290"/>
      <c r="BA73" s="290"/>
      <c r="BL73" s="1"/>
    </row>
    <row r="74" spans="1:71">
      <c r="A74" s="9" t="s">
        <v>1063</v>
      </c>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39">
        <f>SUM(AO52:AO73)</f>
        <v>18000</v>
      </c>
      <c r="AP74" s="39">
        <f>SUM(AP52:AP73)</f>
        <v>16000</v>
      </c>
      <c r="AQ74" s="39">
        <f>SUM(AQ52:AQ73)</f>
        <v>16000</v>
      </c>
      <c r="AR74" s="39">
        <f t="shared" ref="AR74:BA74" si="93">SUM(AR52:AR72)</f>
        <v>16700</v>
      </c>
      <c r="AS74" s="39">
        <f t="shared" si="93"/>
        <v>19800</v>
      </c>
      <c r="AT74" s="39">
        <f t="shared" si="93"/>
        <v>18800</v>
      </c>
      <c r="AU74" s="39">
        <f t="shared" si="93"/>
        <v>18700</v>
      </c>
      <c r="AV74" s="39">
        <f t="shared" si="93"/>
        <v>18700</v>
      </c>
      <c r="AW74" s="39">
        <f t="shared" si="93"/>
        <v>20600</v>
      </c>
      <c r="AX74" s="39">
        <f t="shared" si="93"/>
        <v>22200</v>
      </c>
      <c r="AY74" s="39">
        <f t="shared" si="93"/>
        <v>17700</v>
      </c>
      <c r="AZ74" s="39">
        <f t="shared" si="93"/>
        <v>14920</v>
      </c>
      <c r="BA74" s="39">
        <f t="shared" si="93"/>
        <v>14920</v>
      </c>
      <c r="BS74" s="1"/>
    </row>
    <row r="75" spans="1:71">
      <c r="AR75" s="673" t="s">
        <v>2663</v>
      </c>
      <c r="AS75" s="71"/>
      <c r="AT75" s="71"/>
      <c r="AU75" s="71"/>
      <c r="AV75" s="71"/>
      <c r="AW75" s="71"/>
      <c r="BL75" s="26"/>
      <c r="BS75" s="1"/>
    </row>
    <row r="76" spans="1:71" s="26" customFormat="1">
      <c r="A76" s="189" t="s">
        <v>1075</v>
      </c>
      <c r="AO76" s="262" t="s">
        <v>2443</v>
      </c>
    </row>
    <row r="77" spans="1:71" s="26" customFormat="1">
      <c r="A77" s="29" t="s">
        <v>1068</v>
      </c>
      <c r="AO77" s="284">
        <v>4.37</v>
      </c>
      <c r="AP77" s="284">
        <v>2.82</v>
      </c>
      <c r="AQ77" s="287">
        <f t="shared" ref="AQ77:AQ83" si="94">AP77</f>
        <v>2.82</v>
      </c>
      <c r="AR77" s="284">
        <v>2.77</v>
      </c>
      <c r="AS77" s="284">
        <v>5.92</v>
      </c>
      <c r="AT77" s="284">
        <v>6.3</v>
      </c>
      <c r="AU77" s="284">
        <v>6.73</v>
      </c>
      <c r="AV77" s="287">
        <f t="shared" ref="AV77:AV83" si="95">AU77</f>
        <v>6.73</v>
      </c>
      <c r="AW77" s="284">
        <v>5.24</v>
      </c>
      <c r="AX77" s="284">
        <v>5.39</v>
      </c>
      <c r="AY77" s="284">
        <v>3.84</v>
      </c>
      <c r="AZ77" s="285">
        <v>4</v>
      </c>
      <c r="BA77" s="287">
        <f t="shared" ref="BA77:BA83" si="96">AZ77</f>
        <v>4</v>
      </c>
    </row>
    <row r="78" spans="1:71" s="26" customFormat="1">
      <c r="A78" s="29" t="s">
        <v>1069</v>
      </c>
      <c r="AO78" s="284">
        <v>10.06</v>
      </c>
      <c r="AP78" s="284">
        <v>10.130000000000001</v>
      </c>
      <c r="AQ78" s="287">
        <f t="shared" si="94"/>
        <v>10.130000000000001</v>
      </c>
      <c r="AR78" s="284">
        <v>8.9</v>
      </c>
      <c r="AS78" s="284">
        <v>7.49</v>
      </c>
      <c r="AT78" s="284">
        <v>7.34</v>
      </c>
      <c r="AU78" s="284">
        <v>6.48</v>
      </c>
      <c r="AV78" s="287">
        <f t="shared" si="95"/>
        <v>6.48</v>
      </c>
      <c r="AW78" s="284">
        <v>5.04</v>
      </c>
      <c r="AX78" s="284">
        <v>5.71</v>
      </c>
      <c r="AY78" s="284">
        <v>6.03</v>
      </c>
      <c r="AZ78" s="285">
        <v>5.7</v>
      </c>
      <c r="BA78" s="287">
        <f t="shared" si="96"/>
        <v>5.7</v>
      </c>
    </row>
    <row r="79" spans="1:71" s="26" customFormat="1">
      <c r="A79" s="29" t="s">
        <v>1070</v>
      </c>
      <c r="AO79" s="284">
        <v>2.33</v>
      </c>
      <c r="AP79" s="284">
        <v>1.79</v>
      </c>
      <c r="AQ79" s="287">
        <f t="shared" si="94"/>
        <v>1.79</v>
      </c>
      <c r="AR79" s="284">
        <v>0.95</v>
      </c>
      <c r="AS79" s="284">
        <v>0.96</v>
      </c>
      <c r="AT79" s="284">
        <v>2.2799999999999998</v>
      </c>
      <c r="AU79" s="284">
        <v>0.7</v>
      </c>
      <c r="AV79" s="287">
        <f t="shared" si="95"/>
        <v>0.7</v>
      </c>
      <c r="AW79" s="284">
        <v>0.72</v>
      </c>
      <c r="AX79" s="284">
        <v>2.97</v>
      </c>
      <c r="AY79" s="284">
        <v>4.6100000000000003</v>
      </c>
      <c r="AZ79" s="285">
        <v>4.75</v>
      </c>
      <c r="BA79" s="287">
        <f t="shared" si="96"/>
        <v>4.75</v>
      </c>
    </row>
    <row r="80" spans="1:71" s="26" customFormat="1">
      <c r="A80" s="29" t="s">
        <v>1071</v>
      </c>
      <c r="AO80" s="284">
        <v>1.69</v>
      </c>
      <c r="AP80" s="284">
        <v>1.1599999999999999</v>
      </c>
      <c r="AQ80" s="287">
        <f t="shared" si="94"/>
        <v>1.1599999999999999</v>
      </c>
      <c r="AR80" s="284">
        <v>0.33</v>
      </c>
      <c r="AS80" s="284">
        <v>8.15</v>
      </c>
      <c r="AT80" s="284">
        <v>9.82</v>
      </c>
      <c r="AU80" s="284">
        <v>5.7</v>
      </c>
      <c r="AV80" s="287">
        <f t="shared" si="95"/>
        <v>5.7</v>
      </c>
      <c r="AW80" s="284">
        <v>11.25</v>
      </c>
      <c r="AX80" s="284">
        <v>14.58</v>
      </c>
      <c r="AY80" s="284">
        <v>8.31</v>
      </c>
      <c r="AZ80" s="285">
        <v>8.6</v>
      </c>
      <c r="BA80" s="287">
        <f t="shared" si="96"/>
        <v>8.6</v>
      </c>
    </row>
    <row r="81" spans="1:71" s="26" customFormat="1">
      <c r="A81" s="29" t="s">
        <v>1072</v>
      </c>
      <c r="AO81" s="284">
        <v>0.24</v>
      </c>
      <c r="AP81" s="284">
        <v>0.31</v>
      </c>
      <c r="AQ81" s="26">
        <f t="shared" si="94"/>
        <v>0.31</v>
      </c>
      <c r="AR81" s="284">
        <v>0.14000000000000001</v>
      </c>
      <c r="AS81" s="284">
        <v>0.06</v>
      </c>
      <c r="AT81" s="284">
        <v>0.03</v>
      </c>
      <c r="AU81" s="284">
        <v>0.03</v>
      </c>
      <c r="AV81" s="26">
        <f t="shared" si="95"/>
        <v>0.03</v>
      </c>
      <c r="AW81" s="284">
        <v>0.01</v>
      </c>
      <c r="AX81" s="284">
        <v>1.4999999999999999E-2</v>
      </c>
      <c r="AY81" s="284">
        <v>1E-4</v>
      </c>
      <c r="AZ81" s="285">
        <v>1E-4</v>
      </c>
      <c r="BA81" s="26">
        <f t="shared" si="96"/>
        <v>1E-4</v>
      </c>
    </row>
    <row r="82" spans="1:71" s="26" customFormat="1">
      <c r="A82" s="29" t="s">
        <v>1073</v>
      </c>
      <c r="AO82" s="284">
        <v>3.64</v>
      </c>
      <c r="AP82" s="284">
        <v>1.1499999999999999</v>
      </c>
      <c r="AQ82" s="26">
        <f t="shared" si="94"/>
        <v>1.1499999999999999</v>
      </c>
      <c r="AR82" s="611">
        <v>0</v>
      </c>
      <c r="AS82" s="611">
        <v>0</v>
      </c>
      <c r="AT82" s="611">
        <v>0</v>
      </c>
      <c r="AU82" s="611">
        <v>0</v>
      </c>
      <c r="AV82" s="611">
        <v>0</v>
      </c>
      <c r="AW82" s="611">
        <v>0</v>
      </c>
      <c r="AX82" s="611">
        <v>0</v>
      </c>
      <c r="AY82" s="611">
        <v>0</v>
      </c>
      <c r="AZ82" s="611">
        <v>0</v>
      </c>
      <c r="BA82" s="611">
        <v>0</v>
      </c>
    </row>
    <row r="83" spans="1:71" s="26" customFormat="1">
      <c r="A83" s="29" t="s">
        <v>1074</v>
      </c>
      <c r="AO83" s="284">
        <v>3.23</v>
      </c>
      <c r="AP83" s="284">
        <v>2.2200000000000002</v>
      </c>
      <c r="AQ83" s="26">
        <f t="shared" si="94"/>
        <v>2.2200000000000002</v>
      </c>
      <c r="AR83" s="284">
        <v>1.58</v>
      </c>
      <c r="AS83" s="284">
        <v>2.8</v>
      </c>
      <c r="AT83" s="284">
        <v>2.4300000000000002</v>
      </c>
      <c r="AU83" s="284">
        <v>6.7</v>
      </c>
      <c r="AV83" s="287">
        <f t="shared" si="95"/>
        <v>6.7</v>
      </c>
      <c r="AW83" s="284">
        <v>7.2</v>
      </c>
      <c r="AX83" s="284">
        <v>7.58</v>
      </c>
      <c r="AY83" s="284">
        <v>7.9</v>
      </c>
      <c r="AZ83" s="285">
        <v>7.9</v>
      </c>
      <c r="BA83" s="287">
        <f t="shared" si="96"/>
        <v>7.9</v>
      </c>
      <c r="BS83" s="328"/>
    </row>
    <row r="84" spans="1:71">
      <c r="BA84" s="26"/>
    </row>
    <row r="85" spans="1:71">
      <c r="A85" s="26" t="s">
        <v>1294</v>
      </c>
      <c r="AS85" s="685" t="s">
        <v>2676</v>
      </c>
      <c r="AT85" s="684"/>
      <c r="AU85" s="684"/>
      <c r="AV85" s="684"/>
      <c r="AW85" s="684"/>
    </row>
    <row r="86" spans="1:71" s="26" customFormat="1">
      <c r="A86" s="29" t="s">
        <v>1068</v>
      </c>
      <c r="AP86" s="260">
        <f t="shared" ref="AP86:AP92" si="97">AP77/AO77-1</f>
        <v>-0.35469107551487422</v>
      </c>
      <c r="AQ86" s="260"/>
      <c r="AR86" s="260">
        <f t="shared" ref="AR86:AZ92" si="98">AR77/AQ77-1</f>
        <v>-1.7730496453900679E-2</v>
      </c>
      <c r="AS86" s="260">
        <f t="shared" si="98"/>
        <v>1.1371841155234659</v>
      </c>
      <c r="AT86" s="260">
        <f t="shared" si="98"/>
        <v>6.4189189189189255E-2</v>
      </c>
      <c r="AU86" s="260">
        <f t="shared" si="98"/>
        <v>6.8253968253968456E-2</v>
      </c>
      <c r="AW86" s="260">
        <f t="shared" si="98"/>
        <v>-0.2213967310549777</v>
      </c>
      <c r="AX86" s="260">
        <f t="shared" si="98"/>
        <v>2.8625954198473247E-2</v>
      </c>
      <c r="AY86" s="260">
        <f t="shared" si="98"/>
        <v>-0.28756957328385901</v>
      </c>
      <c r="AZ86" s="260">
        <f t="shared" si="98"/>
        <v>4.1666666666666741E-2</v>
      </c>
      <c r="BA86" s="1"/>
      <c r="BS86" s="328"/>
    </row>
    <row r="87" spans="1:71" s="26" customFormat="1">
      <c r="A87" s="29" t="s">
        <v>1069</v>
      </c>
      <c r="AP87" s="260">
        <f t="shared" si="97"/>
        <v>6.958250497017815E-3</v>
      </c>
      <c r="AQ87" s="260"/>
      <c r="AR87" s="260">
        <f t="shared" si="98"/>
        <v>-0.1214215202369201</v>
      </c>
      <c r="AS87" s="260">
        <f t="shared" si="98"/>
        <v>-0.15842696629213482</v>
      </c>
      <c r="AT87" s="260">
        <f t="shared" si="98"/>
        <v>-2.0026702269692942E-2</v>
      </c>
      <c r="AU87" s="260">
        <f t="shared" si="98"/>
        <v>-0.1171662125340599</v>
      </c>
      <c r="AW87" s="260">
        <f t="shared" si="98"/>
        <v>-0.22222222222222232</v>
      </c>
      <c r="AX87" s="260">
        <f t="shared" si="98"/>
        <v>0.13293650793650791</v>
      </c>
      <c r="AY87" s="260">
        <f t="shared" si="98"/>
        <v>5.6042031523642732E-2</v>
      </c>
      <c r="AZ87" s="260">
        <f t="shared" si="98"/>
        <v>-5.4726368159203953E-2</v>
      </c>
      <c r="BS87" s="328"/>
    </row>
    <row r="88" spans="1:71" s="26" customFormat="1">
      <c r="A88" s="29" t="s">
        <v>1070</v>
      </c>
      <c r="AP88" s="260">
        <f t="shared" si="97"/>
        <v>-0.23175965665236054</v>
      </c>
      <c r="AQ88" s="260"/>
      <c r="AR88" s="260">
        <f t="shared" si="98"/>
        <v>-0.46927374301675984</v>
      </c>
      <c r="AS88" s="260">
        <f t="shared" si="98"/>
        <v>1.0526315789473717E-2</v>
      </c>
      <c r="AT88" s="260">
        <f t="shared" si="98"/>
        <v>1.375</v>
      </c>
      <c r="AU88" s="260">
        <f t="shared" si="98"/>
        <v>-0.69298245614035081</v>
      </c>
      <c r="AW88" s="260">
        <f t="shared" si="98"/>
        <v>2.8571428571428692E-2</v>
      </c>
      <c r="AX88" s="260">
        <f t="shared" si="98"/>
        <v>3.125</v>
      </c>
      <c r="AY88" s="260">
        <f t="shared" si="98"/>
        <v>0.55218855218855212</v>
      </c>
      <c r="AZ88" s="260">
        <f t="shared" si="98"/>
        <v>3.0368763557483636E-2</v>
      </c>
      <c r="BS88" s="328"/>
    </row>
    <row r="89" spans="1:71" s="26" customFormat="1">
      <c r="A89" s="29" t="s">
        <v>1071</v>
      </c>
      <c r="AP89" s="260">
        <f t="shared" si="97"/>
        <v>-0.31360946745562135</v>
      </c>
      <c r="AQ89" s="260"/>
      <c r="AR89" s="260">
        <f t="shared" si="98"/>
        <v>-0.71551724137931028</v>
      </c>
      <c r="AS89" s="683">
        <f>AS80/13.37-1</f>
        <v>-0.39042632759910245</v>
      </c>
      <c r="AT89" s="260">
        <f t="shared" si="98"/>
        <v>0.20490797546012263</v>
      </c>
      <c r="AU89" s="260">
        <f t="shared" si="98"/>
        <v>-0.41955193482688391</v>
      </c>
      <c r="AW89" s="260">
        <f t="shared" si="98"/>
        <v>0.97368421052631571</v>
      </c>
      <c r="AX89" s="260">
        <f t="shared" si="98"/>
        <v>0.29600000000000004</v>
      </c>
      <c r="AY89" s="260">
        <f t="shared" si="98"/>
        <v>-0.43004115226337447</v>
      </c>
      <c r="AZ89" s="260">
        <f t="shared" si="98"/>
        <v>3.4897713598074587E-2</v>
      </c>
      <c r="BS89" s="328"/>
    </row>
    <row r="90" spans="1:71" s="26" customFormat="1">
      <c r="A90" s="29" t="s">
        <v>1072</v>
      </c>
      <c r="AP90" s="260">
        <f t="shared" si="97"/>
        <v>0.29166666666666674</v>
      </c>
      <c r="AQ90" s="260"/>
      <c r="AR90" s="260">
        <f t="shared" si="98"/>
        <v>-0.54838709677419351</v>
      </c>
      <c r="AS90" s="260">
        <f t="shared" si="98"/>
        <v>-0.57142857142857151</v>
      </c>
      <c r="AT90" s="260">
        <f t="shared" si="98"/>
        <v>-0.5</v>
      </c>
      <c r="AU90" s="260">
        <f t="shared" si="98"/>
        <v>0</v>
      </c>
      <c r="AW90" s="260">
        <f t="shared" si="98"/>
        <v>-0.66666666666666663</v>
      </c>
      <c r="AX90" s="260">
        <f t="shared" si="98"/>
        <v>0.5</v>
      </c>
      <c r="AY90" s="260">
        <f t="shared" si="98"/>
        <v>-0.99333333333333329</v>
      </c>
      <c r="AZ90" s="260">
        <f t="shared" si="98"/>
        <v>0</v>
      </c>
      <c r="BS90" s="328"/>
    </row>
    <row r="91" spans="1:71" s="26" customFormat="1">
      <c r="A91" s="29" t="s">
        <v>1073</v>
      </c>
      <c r="AP91" s="260">
        <f t="shared" si="97"/>
        <v>-0.68406593406593408</v>
      </c>
      <c r="AQ91" s="260"/>
      <c r="AR91" s="260">
        <f t="shared" si="98"/>
        <v>-1</v>
      </c>
      <c r="AS91" s="260" t="e">
        <f t="shared" si="98"/>
        <v>#DIV/0!</v>
      </c>
      <c r="AT91" s="260" t="e">
        <f t="shared" si="98"/>
        <v>#DIV/0!</v>
      </c>
      <c r="AU91" s="260" t="e">
        <f t="shared" si="98"/>
        <v>#DIV/0!</v>
      </c>
      <c r="AW91" s="260" t="e">
        <f t="shared" si="98"/>
        <v>#DIV/0!</v>
      </c>
      <c r="AX91" s="260" t="e">
        <f t="shared" si="98"/>
        <v>#DIV/0!</v>
      </c>
      <c r="AY91" s="260" t="e">
        <f t="shared" si="98"/>
        <v>#DIV/0!</v>
      </c>
      <c r="AZ91" s="260" t="e">
        <f t="shared" si="98"/>
        <v>#DIV/0!</v>
      </c>
      <c r="BS91" s="328"/>
    </row>
    <row r="92" spans="1:71" s="26" customFormat="1">
      <c r="A92" s="29" t="s">
        <v>1074</v>
      </c>
      <c r="AP92" s="260">
        <f t="shared" si="97"/>
        <v>-0.31269349845201233</v>
      </c>
      <c r="AQ92" s="260"/>
      <c r="AR92" s="260">
        <f t="shared" si="98"/>
        <v>-0.28828828828828834</v>
      </c>
      <c r="AS92" s="260">
        <f t="shared" si="98"/>
        <v>0.77215189873417711</v>
      </c>
      <c r="AT92" s="260">
        <f t="shared" si="98"/>
        <v>-0.13214285714285701</v>
      </c>
      <c r="AU92" s="260">
        <f t="shared" si="98"/>
        <v>1.7572016460905351</v>
      </c>
      <c r="AV92" s="1"/>
      <c r="AW92" s="260">
        <f t="shared" si="98"/>
        <v>7.4626865671641784E-2</v>
      </c>
      <c r="AX92" s="260">
        <f t="shared" si="98"/>
        <v>5.2777777777777812E-2</v>
      </c>
      <c r="AY92" s="260">
        <f t="shared" si="98"/>
        <v>4.2216358839050061E-2</v>
      </c>
      <c r="AZ92" s="260">
        <f t="shared" si="98"/>
        <v>0</v>
      </c>
      <c r="BS92" s="328"/>
    </row>
    <row r="93" spans="1:71">
      <c r="BA93" s="26"/>
    </row>
    <row r="94" spans="1:71">
      <c r="A94" s="3" t="s">
        <v>737</v>
      </c>
    </row>
    <row r="96" spans="1:71">
      <c r="A96" s="5" t="s">
        <v>733</v>
      </c>
      <c r="AO96" s="151">
        <v>1900</v>
      </c>
      <c r="AP96" s="151">
        <v>1700</v>
      </c>
      <c r="AQ96" s="36">
        <f t="shared" ref="AQ96:AQ110" si="99">AP96</f>
        <v>1700</v>
      </c>
      <c r="AR96" s="151">
        <v>1700</v>
      </c>
      <c r="AS96" s="151">
        <v>1700</v>
      </c>
      <c r="AT96" s="151">
        <v>1700</v>
      </c>
      <c r="AU96" s="151">
        <v>1700</v>
      </c>
      <c r="AV96" s="36">
        <f t="shared" ref="AV96:AV110" si="100">AU96</f>
        <v>1700</v>
      </c>
      <c r="AW96" s="151">
        <v>1500</v>
      </c>
      <c r="AX96" s="151">
        <v>1400</v>
      </c>
      <c r="AY96" s="151">
        <v>1400</v>
      </c>
      <c r="AZ96" s="80">
        <f>MROUND(AY96*(1-AZ179), 5)</f>
        <v>1400</v>
      </c>
      <c r="BA96" s="36">
        <f t="shared" ref="BA96:BA110" si="101">AZ96</f>
        <v>1400</v>
      </c>
    </row>
    <row r="97" spans="1:71">
      <c r="A97" s="5" t="s">
        <v>744</v>
      </c>
      <c r="AO97" s="151">
        <v>12100</v>
      </c>
      <c r="AP97" s="151">
        <v>12100</v>
      </c>
      <c r="AQ97" s="36">
        <f t="shared" si="99"/>
        <v>12100</v>
      </c>
      <c r="AR97" s="151">
        <v>12100</v>
      </c>
      <c r="AS97" s="151">
        <v>12100</v>
      </c>
      <c r="AT97" s="151">
        <v>12100</v>
      </c>
      <c r="AU97" s="151">
        <v>12100</v>
      </c>
      <c r="AV97" s="36">
        <f t="shared" si="100"/>
        <v>12100</v>
      </c>
      <c r="AW97" s="151">
        <v>12100</v>
      </c>
      <c r="AX97" s="151">
        <v>12100</v>
      </c>
      <c r="AY97" s="151">
        <v>12100</v>
      </c>
      <c r="AZ97" s="80">
        <f>MROUND(AY97*(1-AZ202), 5)</f>
        <v>12100</v>
      </c>
      <c r="BA97" s="36">
        <f t="shared" si="101"/>
        <v>12100</v>
      </c>
    </row>
    <row r="98" spans="1:71">
      <c r="A98" s="5" t="s">
        <v>751</v>
      </c>
      <c r="AO98" s="151">
        <v>2400</v>
      </c>
      <c r="AP98" s="151">
        <v>1800</v>
      </c>
      <c r="AQ98" s="36">
        <f t="shared" si="99"/>
        <v>1800</v>
      </c>
      <c r="AR98" s="151">
        <v>1700</v>
      </c>
      <c r="AS98" s="151">
        <v>1700</v>
      </c>
      <c r="AT98" s="151">
        <v>1700</v>
      </c>
      <c r="AU98" s="151">
        <v>1700</v>
      </c>
      <c r="AV98" s="36">
        <f t="shared" si="100"/>
        <v>1700</v>
      </c>
      <c r="AW98" s="151">
        <v>1700</v>
      </c>
      <c r="AX98" s="151">
        <v>1700</v>
      </c>
      <c r="AY98" s="151">
        <v>1700</v>
      </c>
      <c r="AZ98" s="80">
        <f>MROUND(AY98*(1-AZ225), 5)</f>
        <v>1700</v>
      </c>
      <c r="BA98" s="36">
        <f t="shared" si="101"/>
        <v>1700</v>
      </c>
    </row>
    <row r="99" spans="1:71">
      <c r="A99" s="5" t="s">
        <v>753</v>
      </c>
      <c r="AO99" s="151">
        <v>1300</v>
      </c>
      <c r="AP99" s="151">
        <v>1300</v>
      </c>
      <c r="AQ99" s="36">
        <f t="shared" si="99"/>
        <v>1300</v>
      </c>
      <c r="AR99" s="151">
        <v>1200</v>
      </c>
      <c r="AS99" s="151">
        <v>1100</v>
      </c>
      <c r="AT99" s="151">
        <v>1000</v>
      </c>
      <c r="AU99" s="151">
        <v>800</v>
      </c>
      <c r="AV99" s="36">
        <f t="shared" si="100"/>
        <v>800</v>
      </c>
      <c r="AW99" s="151">
        <v>800</v>
      </c>
      <c r="AX99" s="151">
        <v>600</v>
      </c>
      <c r="AY99" s="151">
        <v>600</v>
      </c>
      <c r="AZ99" s="80">
        <f>MROUND(AY99*(1-AZ248), 5)</f>
        <v>600</v>
      </c>
      <c r="BA99" s="36">
        <f t="shared" si="101"/>
        <v>600</v>
      </c>
    </row>
    <row r="100" spans="1:71">
      <c r="A100" s="5" t="s">
        <v>2731</v>
      </c>
      <c r="AO100" s="38"/>
      <c r="AP100" s="38"/>
      <c r="AQ100" s="36"/>
      <c r="AR100" s="38"/>
      <c r="AS100" s="151">
        <v>200</v>
      </c>
      <c r="AT100" s="151">
        <v>200</v>
      </c>
      <c r="AU100" s="151">
        <v>200</v>
      </c>
      <c r="AV100" s="36">
        <f t="shared" si="100"/>
        <v>200</v>
      </c>
      <c r="AW100" s="151">
        <v>200</v>
      </c>
      <c r="AX100" s="151">
        <v>200</v>
      </c>
      <c r="AY100" s="151">
        <v>200</v>
      </c>
      <c r="AZ100" s="80">
        <f>MROUND(AY100*(1-AZ277), 5)</f>
        <v>200</v>
      </c>
      <c r="BA100" s="36">
        <f t="shared" si="101"/>
        <v>200</v>
      </c>
    </row>
    <row r="101" spans="1:71" s="26" customFormat="1">
      <c r="A101" s="29" t="s">
        <v>755</v>
      </c>
      <c r="AO101" s="282">
        <v>100</v>
      </c>
      <c r="AP101" s="282">
        <v>100</v>
      </c>
      <c r="AQ101" s="61">
        <f t="shared" si="99"/>
        <v>100</v>
      </c>
      <c r="AR101" s="282">
        <v>100</v>
      </c>
      <c r="AS101" s="282">
        <v>0</v>
      </c>
      <c r="AT101" s="282">
        <v>0</v>
      </c>
      <c r="AU101" s="282">
        <v>0</v>
      </c>
      <c r="AV101" s="61">
        <f t="shared" si="100"/>
        <v>0</v>
      </c>
      <c r="AW101" s="290"/>
      <c r="AX101" s="290"/>
      <c r="AY101" s="290"/>
      <c r="AZ101" s="290"/>
      <c r="BA101" s="290"/>
      <c r="BS101" s="328"/>
    </row>
    <row r="102" spans="1:71">
      <c r="A102" s="5" t="s">
        <v>758</v>
      </c>
      <c r="AO102" s="151">
        <v>700</v>
      </c>
      <c r="AP102" s="151">
        <v>700</v>
      </c>
      <c r="AQ102" s="36">
        <f t="shared" si="99"/>
        <v>700</v>
      </c>
      <c r="AR102" s="151">
        <v>700</v>
      </c>
      <c r="AS102" s="151">
        <v>600</v>
      </c>
      <c r="AT102" s="151">
        <v>500</v>
      </c>
      <c r="AU102" s="151">
        <v>600</v>
      </c>
      <c r="AV102" s="36">
        <f t="shared" si="100"/>
        <v>600</v>
      </c>
      <c r="AW102" s="151">
        <v>600</v>
      </c>
      <c r="AX102" s="151">
        <v>400</v>
      </c>
      <c r="AY102" s="151">
        <v>200</v>
      </c>
      <c r="AZ102" s="80">
        <f>MROUND(AY102*(1-AZ323), 5)</f>
        <v>200</v>
      </c>
      <c r="BA102" s="36">
        <f t="shared" si="101"/>
        <v>200</v>
      </c>
    </row>
    <row r="103" spans="1:71">
      <c r="A103" s="5" t="s">
        <v>760</v>
      </c>
      <c r="AO103" s="151">
        <v>1000</v>
      </c>
      <c r="AP103" s="151">
        <v>1000</v>
      </c>
      <c r="AQ103" s="36">
        <f t="shared" si="99"/>
        <v>1000</v>
      </c>
      <c r="AR103" s="151">
        <v>1000</v>
      </c>
      <c r="AS103" s="151">
        <v>1000</v>
      </c>
      <c r="AT103" s="151">
        <v>1000</v>
      </c>
      <c r="AU103" s="151">
        <v>1000</v>
      </c>
      <c r="AV103" s="36">
        <f t="shared" si="100"/>
        <v>1000</v>
      </c>
      <c r="AW103" s="151">
        <v>1000</v>
      </c>
      <c r="AX103" s="151">
        <v>1000</v>
      </c>
      <c r="AY103" s="151">
        <v>1000</v>
      </c>
      <c r="AZ103" s="80">
        <f>MROUND(AY103*(1-AZ352), 5)</f>
        <v>1000</v>
      </c>
      <c r="BA103" s="36">
        <f t="shared" si="101"/>
        <v>1000</v>
      </c>
    </row>
    <row r="104" spans="1:71" s="26" customFormat="1">
      <c r="A104" s="29" t="s">
        <v>865</v>
      </c>
      <c r="AO104" s="282">
        <v>800</v>
      </c>
      <c r="AP104" s="282">
        <v>400</v>
      </c>
      <c r="AQ104" s="61">
        <f t="shared" si="99"/>
        <v>400</v>
      </c>
      <c r="AR104" s="290"/>
      <c r="AS104" s="290"/>
      <c r="AT104" s="290"/>
      <c r="AU104" s="290"/>
      <c r="AV104" s="290"/>
      <c r="AW104" s="290"/>
      <c r="AX104" s="290"/>
      <c r="AY104" s="290"/>
      <c r="AZ104" s="290"/>
      <c r="BA104" s="290"/>
      <c r="BS104" s="328"/>
    </row>
    <row r="105" spans="1:71">
      <c r="A105" s="5" t="s">
        <v>1050</v>
      </c>
      <c r="AO105" s="151">
        <v>200</v>
      </c>
      <c r="AP105" s="151">
        <v>200</v>
      </c>
      <c r="AQ105" s="36">
        <f t="shared" si="99"/>
        <v>200</v>
      </c>
      <c r="AR105" s="151">
        <v>200</v>
      </c>
      <c r="AS105" s="151">
        <v>200</v>
      </c>
      <c r="AT105" s="151">
        <v>200</v>
      </c>
      <c r="AU105" s="151">
        <v>200</v>
      </c>
      <c r="AV105" s="36">
        <f t="shared" si="100"/>
        <v>200</v>
      </c>
      <c r="AW105" s="151">
        <v>200</v>
      </c>
      <c r="AX105" s="151">
        <v>200</v>
      </c>
      <c r="AY105" s="151">
        <v>200</v>
      </c>
      <c r="AZ105" s="80">
        <f>MROUND(AY105*(1-AZ410), 5)</f>
        <v>200</v>
      </c>
      <c r="BA105" s="36">
        <f t="shared" si="101"/>
        <v>200</v>
      </c>
    </row>
    <row r="106" spans="1:71">
      <c r="A106" s="5" t="s">
        <v>1053</v>
      </c>
      <c r="AO106" s="151">
        <v>800</v>
      </c>
      <c r="AP106" s="151">
        <v>800</v>
      </c>
      <c r="AQ106" s="36">
        <f t="shared" si="99"/>
        <v>800</v>
      </c>
      <c r="AR106" s="151">
        <v>600</v>
      </c>
      <c r="AS106" s="151">
        <v>600</v>
      </c>
      <c r="AT106" s="151">
        <v>500</v>
      </c>
      <c r="AU106" s="151">
        <v>400</v>
      </c>
      <c r="AV106" s="36">
        <f t="shared" si="100"/>
        <v>400</v>
      </c>
      <c r="AW106" s="151">
        <v>400</v>
      </c>
      <c r="AX106" s="151">
        <v>400</v>
      </c>
      <c r="AY106" s="151">
        <v>200</v>
      </c>
      <c r="AZ106" s="80">
        <f>MROUND(AY106*(1-AZ433), 5)</f>
        <v>200</v>
      </c>
      <c r="BA106" s="36">
        <f t="shared" si="101"/>
        <v>200</v>
      </c>
    </row>
    <row r="107" spans="1:71" s="26" customFormat="1">
      <c r="A107" s="29" t="s">
        <v>1056</v>
      </c>
      <c r="AO107" s="282">
        <v>500</v>
      </c>
      <c r="AP107" s="282">
        <v>100</v>
      </c>
      <c r="AQ107" s="61">
        <f t="shared" si="99"/>
        <v>100</v>
      </c>
      <c r="AR107" s="674"/>
      <c r="AS107" s="674"/>
      <c r="AT107" s="674"/>
      <c r="AU107" s="674"/>
      <c r="AV107" s="674"/>
      <c r="AW107" s="674"/>
      <c r="AX107" s="674"/>
      <c r="AY107" s="674"/>
      <c r="AZ107" s="674"/>
      <c r="BA107" s="674"/>
      <c r="BS107" s="328"/>
    </row>
    <row r="108" spans="1:71">
      <c r="A108" s="5" t="s">
        <v>1058</v>
      </c>
      <c r="AO108" s="151">
        <v>300</v>
      </c>
      <c r="AP108" s="151">
        <v>300</v>
      </c>
      <c r="AQ108" s="36">
        <f t="shared" si="99"/>
        <v>300</v>
      </c>
      <c r="AR108" s="151">
        <v>300</v>
      </c>
      <c r="AS108" s="151">
        <v>300</v>
      </c>
      <c r="AT108" s="151">
        <v>300</v>
      </c>
      <c r="AU108" s="151">
        <v>300</v>
      </c>
      <c r="AV108" s="36">
        <f t="shared" si="100"/>
        <v>300</v>
      </c>
      <c r="AW108" s="151">
        <v>300</v>
      </c>
      <c r="AX108" s="151">
        <v>300</v>
      </c>
      <c r="AY108" s="151">
        <v>300</v>
      </c>
      <c r="AZ108" s="80">
        <f>MROUND(AY108*(1-AZ485), 5)</f>
        <v>300</v>
      </c>
      <c r="BA108" s="36">
        <f t="shared" si="101"/>
        <v>300</v>
      </c>
    </row>
    <row r="109" spans="1:71">
      <c r="A109" s="5" t="s">
        <v>1060</v>
      </c>
      <c r="AO109" s="151">
        <v>700</v>
      </c>
      <c r="AP109" s="151">
        <v>700</v>
      </c>
      <c r="AQ109" s="36">
        <f t="shared" si="99"/>
        <v>700</v>
      </c>
      <c r="AR109" s="151">
        <v>700</v>
      </c>
      <c r="AS109" s="151">
        <v>700</v>
      </c>
      <c r="AT109" s="151">
        <v>700</v>
      </c>
      <c r="AU109" s="151">
        <v>700</v>
      </c>
      <c r="AV109" s="36">
        <f t="shared" si="100"/>
        <v>700</v>
      </c>
      <c r="AW109" s="151">
        <v>600</v>
      </c>
      <c r="AX109" s="151">
        <v>600</v>
      </c>
      <c r="AY109" s="151">
        <v>500</v>
      </c>
      <c r="AZ109" s="80">
        <f>MROUND(AY109*(1-AZ514), 5)</f>
        <v>500</v>
      </c>
      <c r="BA109" s="36">
        <f t="shared" si="101"/>
        <v>500</v>
      </c>
    </row>
    <row r="110" spans="1:71" s="26" customFormat="1">
      <c r="A110" s="29" t="s">
        <v>1068</v>
      </c>
      <c r="AO110" s="282">
        <v>300</v>
      </c>
      <c r="AP110" s="282">
        <v>300</v>
      </c>
      <c r="AQ110" s="283">
        <f t="shared" si="99"/>
        <v>300</v>
      </c>
      <c r="AR110" s="282">
        <v>300</v>
      </c>
      <c r="AS110" s="282">
        <v>300</v>
      </c>
      <c r="AT110" s="282">
        <v>200</v>
      </c>
      <c r="AU110" s="282">
        <v>200</v>
      </c>
      <c r="AV110" s="283">
        <f t="shared" si="100"/>
        <v>200</v>
      </c>
      <c r="AW110" s="282">
        <v>200</v>
      </c>
      <c r="AX110" s="282">
        <v>200</v>
      </c>
      <c r="AY110" s="282">
        <v>200</v>
      </c>
      <c r="AZ110" s="283">
        <f>AY110</f>
        <v>200</v>
      </c>
      <c r="BA110" s="283">
        <f t="shared" si="101"/>
        <v>200</v>
      </c>
      <c r="BS110" s="328"/>
    </row>
    <row r="111" spans="1:71" s="26" customFormat="1">
      <c r="A111" s="29" t="s">
        <v>1069</v>
      </c>
      <c r="AO111" s="282">
        <v>100</v>
      </c>
      <c r="AP111" s="282">
        <v>100</v>
      </c>
      <c r="AQ111" s="283">
        <f t="shared" ref="AQ111:BA113" si="102">AP111</f>
        <v>100</v>
      </c>
      <c r="AR111" s="282">
        <v>100</v>
      </c>
      <c r="AS111" s="282">
        <v>100</v>
      </c>
      <c r="AT111" s="282">
        <v>100</v>
      </c>
      <c r="AU111" s="282">
        <v>100</v>
      </c>
      <c r="AV111" s="283">
        <f t="shared" si="102"/>
        <v>100</v>
      </c>
      <c r="AW111" s="282">
        <v>100</v>
      </c>
      <c r="AX111" s="282">
        <v>100</v>
      </c>
      <c r="AY111" s="282">
        <v>100</v>
      </c>
      <c r="AZ111" s="283">
        <f t="shared" si="102"/>
        <v>100</v>
      </c>
      <c r="BA111" s="283">
        <f t="shared" si="102"/>
        <v>100</v>
      </c>
      <c r="BS111" s="328"/>
    </row>
    <row r="112" spans="1:71" s="26" customFormat="1">
      <c r="A112" s="29" t="s">
        <v>1070</v>
      </c>
      <c r="AO112" s="282">
        <v>100</v>
      </c>
      <c r="AP112" s="282">
        <v>0</v>
      </c>
      <c r="AQ112" s="283">
        <f t="shared" si="102"/>
        <v>0</v>
      </c>
      <c r="AR112" s="282">
        <v>0</v>
      </c>
      <c r="AS112" s="282">
        <v>100</v>
      </c>
      <c r="AT112" s="282">
        <v>100</v>
      </c>
      <c r="AU112" s="282">
        <v>0</v>
      </c>
      <c r="AV112" s="283">
        <f t="shared" si="102"/>
        <v>0</v>
      </c>
      <c r="AW112" s="282">
        <v>0</v>
      </c>
      <c r="AX112" s="282">
        <v>0</v>
      </c>
      <c r="AY112" s="282">
        <v>0</v>
      </c>
      <c r="AZ112" s="283">
        <f t="shared" ref="AZ112" si="103">AY112</f>
        <v>0</v>
      </c>
      <c r="BA112" s="283">
        <f t="shared" si="102"/>
        <v>0</v>
      </c>
      <c r="BS112" s="328"/>
    </row>
    <row r="113" spans="1:71" s="26" customFormat="1">
      <c r="A113" s="29" t="s">
        <v>1071</v>
      </c>
      <c r="AO113" s="282">
        <v>100</v>
      </c>
      <c r="AP113" s="282">
        <v>0</v>
      </c>
      <c r="AQ113" s="283">
        <f t="shared" si="102"/>
        <v>0</v>
      </c>
      <c r="AR113" s="282">
        <v>100</v>
      </c>
      <c r="AS113" s="282">
        <v>100</v>
      </c>
      <c r="AT113" s="282">
        <v>100</v>
      </c>
      <c r="AU113" s="282">
        <v>100</v>
      </c>
      <c r="AV113" s="283">
        <f t="shared" si="102"/>
        <v>100</v>
      </c>
      <c r="AW113" s="282">
        <v>100</v>
      </c>
      <c r="AX113" s="282">
        <v>100</v>
      </c>
      <c r="AY113" s="282">
        <v>100</v>
      </c>
      <c r="AZ113" s="283">
        <f t="shared" ref="AZ113" si="104">AY113</f>
        <v>100</v>
      </c>
      <c r="BA113" s="283">
        <f t="shared" si="102"/>
        <v>100</v>
      </c>
      <c r="BS113" s="328"/>
    </row>
    <row r="114" spans="1:71" s="26" customFormat="1">
      <c r="A114" s="29" t="s">
        <v>1072</v>
      </c>
      <c r="AO114" s="282">
        <v>300</v>
      </c>
      <c r="AP114" s="282">
        <v>300</v>
      </c>
      <c r="AQ114" s="283">
        <f t="shared" ref="AQ114:BA114" si="105">AP114</f>
        <v>300</v>
      </c>
      <c r="AR114" s="282">
        <v>300</v>
      </c>
      <c r="AS114" s="282">
        <v>300</v>
      </c>
      <c r="AT114" s="282">
        <v>300</v>
      </c>
      <c r="AU114" s="282">
        <v>300</v>
      </c>
      <c r="AV114" s="283">
        <f t="shared" si="105"/>
        <v>300</v>
      </c>
      <c r="AW114" s="282">
        <v>300</v>
      </c>
      <c r="AX114" s="282">
        <v>300</v>
      </c>
      <c r="AY114" s="282">
        <v>300</v>
      </c>
      <c r="AZ114" s="283">
        <f t="shared" si="105"/>
        <v>300</v>
      </c>
      <c r="BA114" s="283">
        <f t="shared" si="105"/>
        <v>300</v>
      </c>
      <c r="BS114" s="328"/>
    </row>
    <row r="115" spans="1:71" s="26" customFormat="1">
      <c r="A115" s="29" t="s">
        <v>2664</v>
      </c>
      <c r="AO115" s="282">
        <v>1200</v>
      </c>
      <c r="AP115" s="282">
        <v>1200</v>
      </c>
      <c r="AQ115" s="283">
        <f t="shared" ref="AQ115" si="106">AP115</f>
        <v>1200</v>
      </c>
      <c r="AR115" s="674"/>
      <c r="AS115" s="674"/>
      <c r="AT115" s="674"/>
      <c r="AU115" s="674"/>
      <c r="AV115" s="674"/>
      <c r="AW115" s="674"/>
      <c r="AX115" s="674"/>
      <c r="AY115" s="674"/>
      <c r="AZ115" s="674"/>
      <c r="BA115" s="674"/>
      <c r="BS115" s="328"/>
    </row>
    <row r="116" spans="1:71" s="26" customFormat="1">
      <c r="A116" s="29" t="s">
        <v>1074</v>
      </c>
      <c r="AO116" s="282">
        <v>100</v>
      </c>
      <c r="AP116" s="282">
        <v>100</v>
      </c>
      <c r="AQ116" s="283">
        <f t="shared" ref="AQ116:BA117" si="107">AP116</f>
        <v>100</v>
      </c>
      <c r="AR116" s="282">
        <v>100</v>
      </c>
      <c r="AS116" s="282">
        <v>100</v>
      </c>
      <c r="AT116" s="282">
        <v>100</v>
      </c>
      <c r="AU116" s="282">
        <v>100</v>
      </c>
      <c r="AV116" s="283">
        <f t="shared" si="107"/>
        <v>100</v>
      </c>
      <c r="AW116" s="282">
        <v>100</v>
      </c>
      <c r="AX116" s="282">
        <v>100</v>
      </c>
      <c r="AY116" s="282">
        <v>0</v>
      </c>
      <c r="AZ116" s="283">
        <f t="shared" si="107"/>
        <v>0</v>
      </c>
      <c r="BA116" s="283">
        <f t="shared" si="107"/>
        <v>0</v>
      </c>
      <c r="BS116" s="328"/>
    </row>
    <row r="117" spans="1:71" s="26" customFormat="1">
      <c r="A117" s="102" t="s">
        <v>1093</v>
      </c>
      <c r="AO117" s="282">
        <v>3200</v>
      </c>
      <c r="AP117" s="282">
        <v>3200</v>
      </c>
      <c r="AQ117" s="283">
        <f t="shared" si="107"/>
        <v>3200</v>
      </c>
      <c r="AR117" s="674"/>
      <c r="AS117" s="674"/>
      <c r="AT117" s="674"/>
      <c r="AU117" s="674"/>
      <c r="AV117" s="674"/>
      <c r="AW117" s="674"/>
      <c r="AX117" s="674"/>
      <c r="AY117" s="674"/>
      <c r="AZ117" s="674"/>
      <c r="BA117" s="674"/>
      <c r="BS117" s="328"/>
    </row>
    <row r="118" spans="1:71">
      <c r="A118" s="9" t="s">
        <v>1064</v>
      </c>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39">
        <f>SUM(AO96:AO117)</f>
        <v>28200</v>
      </c>
      <c r="AP118" s="39">
        <f>SUM(AP96:AP117)</f>
        <v>26400</v>
      </c>
      <c r="AQ118" s="39">
        <f>SUM(AQ96:AQ117)</f>
        <v>26400</v>
      </c>
      <c r="AR118" s="39">
        <f t="shared" ref="AR118:AW118" si="108">SUM(AR96:AR116)</f>
        <v>21200</v>
      </c>
      <c r="AS118" s="39">
        <f t="shared" si="108"/>
        <v>21200</v>
      </c>
      <c r="AT118" s="39">
        <f t="shared" si="108"/>
        <v>20800</v>
      </c>
      <c r="AU118" s="39">
        <f t="shared" si="108"/>
        <v>20500</v>
      </c>
      <c r="AV118" s="39">
        <f t="shared" si="108"/>
        <v>20500</v>
      </c>
      <c r="AW118" s="39">
        <f t="shared" si="108"/>
        <v>20200</v>
      </c>
      <c r="AX118" s="39">
        <f>SUM(AX96:AX116)</f>
        <v>19700</v>
      </c>
      <c r="AY118" s="39">
        <f t="shared" ref="AY118:BA118" si="109">SUM(AY96:AY116)</f>
        <v>19100</v>
      </c>
      <c r="AZ118" s="39">
        <f t="shared" si="109"/>
        <v>19100</v>
      </c>
      <c r="BA118" s="39">
        <f t="shared" si="109"/>
        <v>19100</v>
      </c>
    </row>
    <row r="119" spans="1:71">
      <c r="AR119" s="673" t="s">
        <v>2663</v>
      </c>
      <c r="AS119" s="71"/>
      <c r="AT119" s="71"/>
      <c r="AU119" s="71"/>
      <c r="AV119" s="71"/>
      <c r="AW119" s="71"/>
    </row>
    <row r="120" spans="1:71">
      <c r="A120" s="1" t="s">
        <v>1077</v>
      </c>
      <c r="AO120" s="36">
        <f t="shared" ref="AO120:AT120" si="110">AO74</f>
        <v>18000</v>
      </c>
      <c r="AP120" s="36">
        <f t="shared" si="110"/>
        <v>16000</v>
      </c>
      <c r="AQ120" s="36">
        <f t="shared" si="110"/>
        <v>16000</v>
      </c>
      <c r="AR120" s="36">
        <f t="shared" si="110"/>
        <v>16700</v>
      </c>
      <c r="AS120" s="36">
        <f t="shared" si="110"/>
        <v>19800</v>
      </c>
      <c r="AT120" s="36">
        <f t="shared" si="110"/>
        <v>18800</v>
      </c>
      <c r="AU120" s="36">
        <f t="shared" ref="AU120:AX120" si="111">AU74</f>
        <v>18700</v>
      </c>
      <c r="AV120" s="36">
        <f t="shared" si="111"/>
        <v>18700</v>
      </c>
      <c r="AW120" s="36">
        <f t="shared" si="111"/>
        <v>20600</v>
      </c>
      <c r="AX120" s="36">
        <f t="shared" si="111"/>
        <v>22200</v>
      </c>
      <c r="AY120" s="36">
        <f t="shared" ref="AY120:BA120" si="112">AY74</f>
        <v>17700</v>
      </c>
      <c r="AZ120" s="36">
        <f t="shared" si="112"/>
        <v>14920</v>
      </c>
      <c r="BA120" s="36">
        <f t="shared" si="112"/>
        <v>14920</v>
      </c>
    </row>
    <row r="121" spans="1:71">
      <c r="A121" s="1" t="s">
        <v>1076</v>
      </c>
      <c r="AO121" s="36">
        <f t="shared" ref="AO121:AT121" si="113">AO118</f>
        <v>28200</v>
      </c>
      <c r="AP121" s="36">
        <f t="shared" si="113"/>
        <v>26400</v>
      </c>
      <c r="AQ121" s="36">
        <f t="shared" si="113"/>
        <v>26400</v>
      </c>
      <c r="AR121" s="36">
        <f t="shared" si="113"/>
        <v>21200</v>
      </c>
      <c r="AS121" s="36">
        <f t="shared" si="113"/>
        <v>21200</v>
      </c>
      <c r="AT121" s="36">
        <f t="shared" si="113"/>
        <v>20800</v>
      </c>
      <c r="AU121" s="36">
        <f t="shared" ref="AU121:AX121" si="114">AU118</f>
        <v>20500</v>
      </c>
      <c r="AV121" s="36">
        <f t="shared" si="114"/>
        <v>20500</v>
      </c>
      <c r="AW121" s="36">
        <f t="shared" si="114"/>
        <v>20200</v>
      </c>
      <c r="AX121" s="36">
        <f t="shared" si="114"/>
        <v>19700</v>
      </c>
      <c r="AY121" s="36">
        <f t="shared" ref="AY121:BA121" si="115">AY118</f>
        <v>19100</v>
      </c>
      <c r="AZ121" s="36">
        <f t="shared" si="115"/>
        <v>19100</v>
      </c>
      <c r="BA121" s="36">
        <f t="shared" si="115"/>
        <v>19100</v>
      </c>
    </row>
    <row r="122" spans="1:71">
      <c r="A122" s="1" t="s">
        <v>302</v>
      </c>
      <c r="AO122" s="16">
        <f t="shared" ref="AO122:AT122" si="116">AO120/AO121-1</f>
        <v>-0.36170212765957444</v>
      </c>
      <c r="AP122" s="16">
        <f t="shared" si="116"/>
        <v>-0.39393939393939392</v>
      </c>
      <c r="AQ122" s="16">
        <f t="shared" si="116"/>
        <v>-0.39393939393939392</v>
      </c>
      <c r="AR122" s="16">
        <f t="shared" si="116"/>
        <v>-0.21226415094339623</v>
      </c>
      <c r="AS122" s="16">
        <f t="shared" si="116"/>
        <v>-6.6037735849056589E-2</v>
      </c>
      <c r="AT122" s="16">
        <f t="shared" si="116"/>
        <v>-9.6153846153846145E-2</v>
      </c>
      <c r="AU122" s="16">
        <f t="shared" ref="AU122:AZ122" si="117">AU120/AU121-1</f>
        <v>-8.7804878048780455E-2</v>
      </c>
      <c r="AV122" s="16">
        <f t="shared" si="117"/>
        <v>-8.7804878048780455E-2</v>
      </c>
      <c r="AW122" s="16">
        <f t="shared" si="117"/>
        <v>1.980198019801982E-2</v>
      </c>
      <c r="AX122" s="16">
        <f t="shared" si="117"/>
        <v>0.12690355329949243</v>
      </c>
      <c r="AY122" s="16">
        <f t="shared" si="117"/>
        <v>-7.3298429319371694E-2</v>
      </c>
      <c r="AZ122" s="16">
        <f t="shared" si="117"/>
        <v>-0.21884816753926706</v>
      </c>
      <c r="BA122" s="16">
        <f t="shared" ref="BA122" si="118">BA120/BA121-1</f>
        <v>-0.21884816753926706</v>
      </c>
    </row>
    <row r="123" spans="1:71">
      <c r="A123" s="1" t="s">
        <v>305</v>
      </c>
      <c r="AP123" s="16">
        <f>AP120/(AO120+(AP121-AO121)*(AO120/AO121))-1</f>
        <v>-5.0505050505050608E-2</v>
      </c>
      <c r="AQ123" s="16"/>
      <c r="AR123" s="521">
        <f>AR120/AQ120-1</f>
        <v>4.3749999999999956E-2</v>
      </c>
      <c r="AS123" s="16">
        <f>AS120/(AR120+(AS121-AR121)*(AR120/AR121))-1</f>
        <v>0.18562874251497008</v>
      </c>
      <c r="AT123" s="16">
        <f>AT120/(AS120+(AT121-AS121)*(AS120/AS121))-1</f>
        <v>-3.2245532245532282E-2</v>
      </c>
      <c r="AU123" s="16">
        <f>AU120/(AT120+(AU121-AT121)*(AT120/AT121))-1</f>
        <v>9.2371562013493502E-3</v>
      </c>
      <c r="AW123" s="16">
        <f>AW120/(AV120+(AW121-AV121)*(AV120/AV121))-1</f>
        <v>0.11796473765023552</v>
      </c>
      <c r="AX123" s="16">
        <f>AX120/(AW120+(AX121-AW121)*(AW120/AW121))-1</f>
        <v>0.10502193090532752</v>
      </c>
      <c r="AY123" s="16">
        <f>AY120/(AX120+(AY121-AX121)*(AX120/AX121))-1</f>
        <v>-0.177656714305929</v>
      </c>
      <c r="AZ123" s="16">
        <f>AZ120/(AY120+(AZ121-AY121)*(AY120/AY121))-1</f>
        <v>-0.15706214689265541</v>
      </c>
    </row>
    <row r="124" spans="1:71">
      <c r="AR124" s="522" t="s">
        <v>2724</v>
      </c>
      <c r="AS124" s="71"/>
      <c r="AT124" s="71"/>
      <c r="AU124" s="71"/>
      <c r="AV124" s="71"/>
      <c r="AW124" s="71"/>
      <c r="AX124" s="71"/>
    </row>
    <row r="125" spans="1:71" s="71" customFormat="1">
      <c r="A125" s="217" t="s">
        <v>1078</v>
      </c>
      <c r="BS125" s="46"/>
    </row>
    <row r="126" spans="1:71">
      <c r="AO126" s="430" t="s">
        <v>3237</v>
      </c>
      <c r="AP126" s="46"/>
      <c r="AQ126" s="46"/>
      <c r="AR126" s="46"/>
      <c r="AS126" s="46"/>
      <c r="AT126" s="46"/>
      <c r="AU126" s="46"/>
      <c r="AV126" s="46"/>
      <c r="AW126" s="46"/>
      <c r="AX126" s="46"/>
      <c r="AY126" s="46"/>
    </row>
    <row r="127" spans="1:71">
      <c r="A127" s="3" t="s">
        <v>1080</v>
      </c>
      <c r="AW127" s="678" t="s">
        <v>3175</v>
      </c>
    </row>
    <row r="128" spans="1:71">
      <c r="AO128" s="25" t="s">
        <v>1089</v>
      </c>
      <c r="AR128" s="318" t="s">
        <v>2665</v>
      </c>
      <c r="AS128" s="676"/>
      <c r="AT128" s="676"/>
      <c r="AU128" s="676"/>
      <c r="AV128" s="676"/>
      <c r="AW128" s="676"/>
      <c r="AX128" s="676"/>
    </row>
    <row r="129" spans="1:53">
      <c r="A129" s="5" t="s">
        <v>1079</v>
      </c>
      <c r="AO129" s="228">
        <v>11000</v>
      </c>
      <c r="AP129" s="228">
        <f t="shared" ref="AP129:AQ132" si="119">AO129</f>
        <v>11000</v>
      </c>
      <c r="AQ129" s="36">
        <f t="shared" si="119"/>
        <v>11000</v>
      </c>
      <c r="AR129" s="675">
        <f>AR162</f>
        <v>12375</v>
      </c>
      <c r="AS129" s="629">
        <f>AS162</f>
        <v>12375</v>
      </c>
      <c r="AT129" s="629">
        <f>AT162</f>
        <v>12375</v>
      </c>
      <c r="AU129" s="675">
        <f>AU162</f>
        <v>13615</v>
      </c>
      <c r="AV129" s="649">
        <f t="shared" ref="AV129:AV132" si="120">AU129</f>
        <v>13615</v>
      </c>
      <c r="AW129" s="629">
        <f>AW162</f>
        <v>13615</v>
      </c>
      <c r="AX129" s="651">
        <f>AX162</f>
        <v>16340</v>
      </c>
      <c r="AY129" s="629">
        <f>AY162</f>
        <v>15525</v>
      </c>
      <c r="AZ129" s="629">
        <f>AZ162</f>
        <v>16775</v>
      </c>
      <c r="BA129" s="649">
        <f t="shared" ref="BA129:BA132" si="121">AZ129</f>
        <v>16775</v>
      </c>
    </row>
    <row r="130" spans="1:53">
      <c r="A130" s="5" t="s">
        <v>1082</v>
      </c>
      <c r="AO130" s="228">
        <v>1000</v>
      </c>
      <c r="AP130" s="228">
        <f t="shared" si="119"/>
        <v>1000</v>
      </c>
      <c r="AQ130" s="36">
        <f t="shared" si="119"/>
        <v>1000</v>
      </c>
      <c r="AR130" s="228">
        <f t="shared" ref="AR130:AZ131" si="122">AQ130</f>
        <v>1000</v>
      </c>
      <c r="AS130" s="612">
        <f t="shared" si="122"/>
        <v>1000</v>
      </c>
      <c r="AT130" s="228">
        <f t="shared" si="122"/>
        <v>1000</v>
      </c>
      <c r="AU130" s="228">
        <f t="shared" si="122"/>
        <v>1000</v>
      </c>
      <c r="AV130" s="36">
        <f t="shared" si="120"/>
        <v>1000</v>
      </c>
      <c r="AW130" s="228">
        <f t="shared" si="122"/>
        <v>1000</v>
      </c>
      <c r="AX130" s="228">
        <f t="shared" si="122"/>
        <v>1000</v>
      </c>
      <c r="AY130" s="228">
        <f t="shared" si="122"/>
        <v>1000</v>
      </c>
      <c r="AZ130" s="228">
        <f t="shared" si="122"/>
        <v>1000</v>
      </c>
      <c r="BA130" s="36">
        <f t="shared" si="121"/>
        <v>1000</v>
      </c>
    </row>
    <row r="131" spans="1:53">
      <c r="A131" s="5" t="s">
        <v>1083</v>
      </c>
      <c r="AO131" s="228">
        <v>900</v>
      </c>
      <c r="AP131" s="228">
        <f t="shared" si="119"/>
        <v>900</v>
      </c>
      <c r="AQ131" s="36">
        <f t="shared" si="119"/>
        <v>900</v>
      </c>
      <c r="AR131" s="228">
        <f t="shared" si="122"/>
        <v>900</v>
      </c>
      <c r="AS131" s="228">
        <f t="shared" si="122"/>
        <v>900</v>
      </c>
      <c r="AT131" s="228">
        <f t="shared" si="122"/>
        <v>900</v>
      </c>
      <c r="AU131" s="228">
        <f t="shared" si="122"/>
        <v>900</v>
      </c>
      <c r="AV131" s="36">
        <f t="shared" si="120"/>
        <v>900</v>
      </c>
      <c r="AW131" s="228">
        <f t="shared" si="122"/>
        <v>900</v>
      </c>
      <c r="AX131" s="228">
        <f t="shared" si="122"/>
        <v>900</v>
      </c>
      <c r="AY131" s="228">
        <f t="shared" si="122"/>
        <v>900</v>
      </c>
      <c r="AZ131" s="228">
        <f t="shared" si="122"/>
        <v>900</v>
      </c>
      <c r="BA131" s="36">
        <f t="shared" si="121"/>
        <v>900</v>
      </c>
    </row>
    <row r="132" spans="1:53">
      <c r="A132" s="5" t="s">
        <v>3141</v>
      </c>
      <c r="AO132" s="940">
        <f>MROUND(0.5*8600*(940/2700), 5)</f>
        <v>1495</v>
      </c>
      <c r="AP132" s="940">
        <f t="shared" ref="AP132:AU132" si="123">MROUND(0.5*8600*(940/2700), 5)</f>
        <v>1495</v>
      </c>
      <c r="AQ132" s="36">
        <f t="shared" si="119"/>
        <v>1495</v>
      </c>
      <c r="AR132" s="940">
        <f t="shared" si="123"/>
        <v>1495</v>
      </c>
      <c r="AS132" s="940">
        <f t="shared" si="123"/>
        <v>1495</v>
      </c>
      <c r="AT132" s="940">
        <f t="shared" si="123"/>
        <v>1495</v>
      </c>
      <c r="AU132" s="940">
        <f t="shared" si="123"/>
        <v>1495</v>
      </c>
      <c r="AV132" s="36">
        <f t="shared" si="120"/>
        <v>1495</v>
      </c>
      <c r="AW132" s="228">
        <f>MROUND(6000*(940/2700)*(1-(106/6000)), 5)</f>
        <v>2050</v>
      </c>
      <c r="AX132" s="228">
        <f>MROUND(AW132*(1-(97/6000)), 5)</f>
        <v>2015</v>
      </c>
      <c r="AY132" s="228">
        <f>AX132</f>
        <v>2015</v>
      </c>
      <c r="AZ132" s="228">
        <f>AY132</f>
        <v>2015</v>
      </c>
      <c r="BA132" s="36">
        <f t="shared" si="121"/>
        <v>2015</v>
      </c>
    </row>
    <row r="133" spans="1:53">
      <c r="A133" s="5" t="s">
        <v>192</v>
      </c>
      <c r="AO133" s="36">
        <f>AO134-SUM(AO129:AO132)</f>
        <v>9805</v>
      </c>
      <c r="AP133" s="36">
        <f>AP134-SUM(AP129:AP132)</f>
        <v>9505</v>
      </c>
      <c r="AQ133" s="36">
        <f>AP133</f>
        <v>9505</v>
      </c>
      <c r="AR133" s="651">
        <f t="shared" ref="AR133:AY133" si="124">AR134-SUM(AR129:AR132)</f>
        <v>9330</v>
      </c>
      <c r="AS133" s="36">
        <f t="shared" si="124"/>
        <v>8330</v>
      </c>
      <c r="AT133" s="36">
        <f t="shared" si="124"/>
        <v>7530</v>
      </c>
      <c r="AU133" s="36">
        <f t="shared" si="124"/>
        <v>7590</v>
      </c>
      <c r="AV133" s="36">
        <f>AU133</f>
        <v>7590</v>
      </c>
      <c r="AW133" s="36">
        <f t="shared" si="124"/>
        <v>7435</v>
      </c>
      <c r="AX133" s="36">
        <f t="shared" si="124"/>
        <v>7645</v>
      </c>
      <c r="AY133" s="695">
        <f t="shared" si="124"/>
        <v>8060</v>
      </c>
      <c r="AZ133" s="228">
        <f>MROUND(AY133*(1+0.33*AZ158), 100)</f>
        <v>7700</v>
      </c>
      <c r="BA133" s="36">
        <f>AZ133</f>
        <v>7700</v>
      </c>
    </row>
    <row r="134" spans="1:53">
      <c r="A134" s="288" t="s">
        <v>1084</v>
      </c>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289">
        <v>24200</v>
      </c>
      <c r="AP134" s="289">
        <v>23900</v>
      </c>
      <c r="AQ134" s="39">
        <f>AP134</f>
        <v>23900</v>
      </c>
      <c r="AR134" s="289">
        <v>25100</v>
      </c>
      <c r="AS134" s="289">
        <v>24100</v>
      </c>
      <c r="AT134" s="289">
        <v>23300</v>
      </c>
      <c r="AU134" s="289">
        <v>24600</v>
      </c>
      <c r="AV134" s="39">
        <f>AU134</f>
        <v>24600</v>
      </c>
      <c r="AW134" s="289">
        <v>25000</v>
      </c>
      <c r="AX134" s="289">
        <v>27900</v>
      </c>
      <c r="AY134" s="289">
        <v>27500</v>
      </c>
      <c r="AZ134" s="39">
        <f>SUM(AZ129:AZ133)</f>
        <v>28390</v>
      </c>
      <c r="BA134" s="39">
        <f>AZ134</f>
        <v>28390</v>
      </c>
    </row>
    <row r="135" spans="1:53">
      <c r="A135" s="28"/>
      <c r="AS135" s="522" t="s">
        <v>2451</v>
      </c>
      <c r="AT135" s="71"/>
      <c r="AU135" s="71"/>
      <c r="AV135" s="71"/>
      <c r="AW135" s="71"/>
    </row>
    <row r="136" spans="1:53">
      <c r="A136" s="28" t="s">
        <v>1086</v>
      </c>
      <c r="AO136" s="2">
        <v>48</v>
      </c>
      <c r="AP136" s="2">
        <v>47</v>
      </c>
      <c r="AQ136" s="1">
        <f t="shared" ref="AQ136:BA138" si="125">AP136</f>
        <v>47</v>
      </c>
      <c r="AR136" s="2">
        <v>47</v>
      </c>
      <c r="AS136" s="2">
        <v>44</v>
      </c>
      <c r="AT136" s="2">
        <v>44</v>
      </c>
      <c r="AU136" s="2">
        <v>40</v>
      </c>
      <c r="AV136" s="1">
        <f t="shared" si="125"/>
        <v>40</v>
      </c>
      <c r="AW136" s="2">
        <v>38</v>
      </c>
      <c r="AX136" s="2">
        <v>37</v>
      </c>
      <c r="AY136" s="2">
        <v>37</v>
      </c>
      <c r="AZ136" s="1">
        <f t="shared" si="125"/>
        <v>37</v>
      </c>
      <c r="BA136" s="1">
        <f t="shared" si="125"/>
        <v>37</v>
      </c>
    </row>
    <row r="137" spans="1:53">
      <c r="A137" s="28" t="s">
        <v>1087</v>
      </c>
      <c r="AO137" s="1">
        <f>AO136-3</f>
        <v>45</v>
      </c>
      <c r="AP137" s="1">
        <f>AP136-3</f>
        <v>44</v>
      </c>
      <c r="AQ137" s="1">
        <f t="shared" si="125"/>
        <v>44</v>
      </c>
      <c r="AR137" s="1">
        <f>AR136-3</f>
        <v>44</v>
      </c>
      <c r="AS137" s="1">
        <f>AS136-3</f>
        <v>41</v>
      </c>
      <c r="AT137" s="1">
        <f>AT136-3</f>
        <v>41</v>
      </c>
      <c r="AU137" s="1">
        <f>AU136-3</f>
        <v>37</v>
      </c>
      <c r="AV137" s="1">
        <f t="shared" si="125"/>
        <v>37</v>
      </c>
      <c r="AW137" s="1">
        <f>AW136-3</f>
        <v>35</v>
      </c>
      <c r="AX137" s="1">
        <f>AX136-3</f>
        <v>34</v>
      </c>
      <c r="AY137" s="706">
        <f>AY136-3</f>
        <v>34</v>
      </c>
      <c r="AZ137" s="1">
        <f t="shared" si="125"/>
        <v>34</v>
      </c>
      <c r="BA137" s="1">
        <f t="shared" si="125"/>
        <v>34</v>
      </c>
    </row>
    <row r="138" spans="1:53">
      <c r="A138" s="28" t="s">
        <v>1088</v>
      </c>
      <c r="AO138" s="36">
        <f>MROUND(AO133/AO137, 5)</f>
        <v>220</v>
      </c>
      <c r="AP138" s="36">
        <f>MROUND(AP133/AP137, 5)</f>
        <v>215</v>
      </c>
      <c r="AQ138" s="1">
        <f t="shared" si="125"/>
        <v>215</v>
      </c>
      <c r="AR138" s="36">
        <f>MROUND(AR133/AR137, 5)</f>
        <v>210</v>
      </c>
      <c r="AS138" s="36">
        <f>MROUND(AS133/AS137, 5)</f>
        <v>205</v>
      </c>
      <c r="AT138" s="36">
        <f>MROUND(AT133/AT137, 5)</f>
        <v>185</v>
      </c>
      <c r="AU138" s="36">
        <f>MROUND(AU133/AU137, 5)</f>
        <v>205</v>
      </c>
      <c r="AV138" s="1">
        <f t="shared" si="125"/>
        <v>205</v>
      </c>
      <c r="AW138" s="36">
        <f>MROUND(AW133/AW137, 5)</f>
        <v>210</v>
      </c>
      <c r="AX138" s="36">
        <f>MROUND(AX133/AX137, 5)</f>
        <v>225</v>
      </c>
      <c r="AY138" s="695">
        <f>MROUND(AY133/AY137, 5)</f>
        <v>235</v>
      </c>
      <c r="AZ138" s="36">
        <f>MROUND(AZ133/AZ137, 5)</f>
        <v>225</v>
      </c>
      <c r="BA138" s="1">
        <f t="shared" si="125"/>
        <v>225</v>
      </c>
    </row>
    <row r="139" spans="1:53">
      <c r="A139" s="28"/>
      <c r="AY139" s="678" t="s">
        <v>3360</v>
      </c>
    </row>
    <row r="140" spans="1:53">
      <c r="A140" s="28" t="s">
        <v>2878</v>
      </c>
      <c r="AR140" s="16">
        <f>AR138/AQ138-1</f>
        <v>-2.3255813953488413E-2</v>
      </c>
      <c r="AS140" s="16">
        <f>AS138/AR138-1</f>
        <v>-2.3809523809523836E-2</v>
      </c>
      <c r="AT140" s="16">
        <f>AT138/AS138-1</f>
        <v>-9.7560975609756073E-2</v>
      </c>
      <c r="AU140" s="16">
        <f>AU138/AT138-1</f>
        <v>0.10810810810810811</v>
      </c>
      <c r="AW140" s="16">
        <f>AW138/AV138-1</f>
        <v>2.4390243902439046E-2</v>
      </c>
      <c r="AX140" s="16">
        <f>AX138/AW138-1</f>
        <v>7.1428571428571397E-2</v>
      </c>
      <c r="AY140" s="16">
        <f>AY138/AX138-1</f>
        <v>4.4444444444444509E-2</v>
      </c>
      <c r="AZ140" s="775">
        <f>AZ138/AY138-1</f>
        <v>-4.2553191489361653E-2</v>
      </c>
    </row>
    <row r="141" spans="1:53">
      <c r="A141" s="28" t="s">
        <v>2879</v>
      </c>
      <c r="AR141" s="16">
        <f>AR140/AR158</f>
        <v>-0.94741667812771579</v>
      </c>
      <c r="AS141" s="16">
        <f>AS140/AS158</f>
        <v>-0.5931052768038747</v>
      </c>
      <c r="AT141" s="16">
        <f>AT140/AT158</f>
        <v>-1.2485168094924193</v>
      </c>
      <c r="AU141" s="16">
        <f>AU140/AU158</f>
        <v>-1.1408617920245832</v>
      </c>
      <c r="AW141" s="16">
        <f>AW140/AW158</f>
        <v>7.2310129677078713E-2</v>
      </c>
      <c r="AX141" s="16">
        <f>AX140/AX158</f>
        <v>1.6273864384463466</v>
      </c>
      <c r="AY141" s="16">
        <f>AY140/AY158</f>
        <v>-0.55674217907227719</v>
      </c>
      <c r="AZ141" s="775">
        <f>AZ140/AZ158</f>
        <v>0.31137920860243212</v>
      </c>
    </row>
    <row r="142" spans="1:53">
      <c r="A142" s="28"/>
    </row>
    <row r="143" spans="1:53">
      <c r="A143" s="3" t="s">
        <v>1081</v>
      </c>
    </row>
    <row r="145" spans="1:53">
      <c r="A145" s="5" t="s">
        <v>1079</v>
      </c>
      <c r="AO145" s="228">
        <v>2500</v>
      </c>
      <c r="AP145" s="228">
        <v>2500</v>
      </c>
      <c r="AQ145" s="36">
        <f t="shared" ref="AQ145:AV149" si="126">AP145</f>
        <v>2500</v>
      </c>
      <c r="AR145" s="228">
        <v>2500</v>
      </c>
      <c r="AS145" s="228">
        <v>2500</v>
      </c>
      <c r="AT145" s="228">
        <v>2500</v>
      </c>
      <c r="AU145" s="228">
        <v>2500</v>
      </c>
      <c r="AV145" s="36">
        <f t="shared" si="126"/>
        <v>2500</v>
      </c>
      <c r="AW145" s="228">
        <v>2500</v>
      </c>
      <c r="AX145" s="228">
        <v>2500</v>
      </c>
      <c r="AY145" s="228">
        <v>2500</v>
      </c>
      <c r="AZ145" s="228">
        <v>2500</v>
      </c>
      <c r="BA145" s="36">
        <f t="shared" ref="BA145:BA149" si="127">AZ145</f>
        <v>2500</v>
      </c>
    </row>
    <row r="146" spans="1:53">
      <c r="A146" s="5" t="s">
        <v>1082</v>
      </c>
      <c r="AO146" s="228">
        <v>1500</v>
      </c>
      <c r="AP146" s="228">
        <v>1500</v>
      </c>
      <c r="AQ146" s="36">
        <f t="shared" si="126"/>
        <v>1500</v>
      </c>
      <c r="AR146" s="228">
        <v>1500</v>
      </c>
      <c r="AS146" s="228">
        <v>1500</v>
      </c>
      <c r="AT146" s="228">
        <v>1500</v>
      </c>
      <c r="AU146" s="228">
        <v>1500</v>
      </c>
      <c r="AV146" s="36">
        <f t="shared" si="126"/>
        <v>1500</v>
      </c>
      <c r="AW146" s="228">
        <v>1500</v>
      </c>
      <c r="AX146" s="228">
        <v>1500</v>
      </c>
      <c r="AY146" s="228">
        <v>1500</v>
      </c>
      <c r="AZ146" s="228">
        <v>1500</v>
      </c>
      <c r="BA146" s="36">
        <f t="shared" si="127"/>
        <v>1500</v>
      </c>
    </row>
    <row r="147" spans="1:53">
      <c r="A147" s="5" t="s">
        <v>1083</v>
      </c>
      <c r="AO147" s="228">
        <v>1000</v>
      </c>
      <c r="AP147" s="228">
        <v>1000</v>
      </c>
      <c r="AQ147" s="36">
        <f t="shared" si="126"/>
        <v>1000</v>
      </c>
      <c r="AR147" s="228">
        <v>1000</v>
      </c>
      <c r="AS147" s="228">
        <v>1000</v>
      </c>
      <c r="AT147" s="228">
        <v>1000</v>
      </c>
      <c r="AU147" s="228">
        <v>1000</v>
      </c>
      <c r="AV147" s="36">
        <f t="shared" si="126"/>
        <v>1000</v>
      </c>
      <c r="AW147" s="228">
        <v>1000</v>
      </c>
      <c r="AX147" s="228">
        <v>1000</v>
      </c>
      <c r="AY147" s="228">
        <v>1000</v>
      </c>
      <c r="AZ147" s="228">
        <v>1000</v>
      </c>
      <c r="BA147" s="36">
        <f t="shared" si="127"/>
        <v>1000</v>
      </c>
    </row>
    <row r="148" spans="1:53">
      <c r="A148" s="5" t="s">
        <v>3141</v>
      </c>
      <c r="AO148" s="228">
        <v>1140</v>
      </c>
      <c r="AP148" s="228">
        <v>1140</v>
      </c>
      <c r="AQ148" s="36">
        <f t="shared" si="126"/>
        <v>1140</v>
      </c>
      <c r="AR148" s="228">
        <v>1140</v>
      </c>
      <c r="AS148" s="228">
        <v>1140</v>
      </c>
      <c r="AT148" s="228">
        <v>1140</v>
      </c>
      <c r="AU148" s="228">
        <v>1140</v>
      </c>
      <c r="AV148" s="36">
        <f t="shared" si="126"/>
        <v>1140</v>
      </c>
      <c r="AW148" s="228">
        <v>1140</v>
      </c>
      <c r="AX148" s="228">
        <v>1140</v>
      </c>
      <c r="AY148" s="228">
        <v>1140</v>
      </c>
      <c r="AZ148" s="228">
        <v>1140</v>
      </c>
      <c r="BA148" s="36">
        <f t="shared" si="127"/>
        <v>1140</v>
      </c>
    </row>
    <row r="149" spans="1:53">
      <c r="A149" s="5" t="s">
        <v>192</v>
      </c>
      <c r="AO149" s="36">
        <f>AO150-SUM(AO145:AO148)</f>
        <v>19160</v>
      </c>
      <c r="AP149" s="36">
        <f>AP150-SUM(AP145:AP148)</f>
        <v>19060</v>
      </c>
      <c r="AQ149" s="36">
        <f t="shared" si="126"/>
        <v>19060</v>
      </c>
      <c r="AR149" s="36">
        <f t="shared" ref="AR149:AU149" si="128">AR150-SUM(AR145:AR148)</f>
        <v>18960</v>
      </c>
      <c r="AS149" s="36">
        <f t="shared" si="128"/>
        <v>18060</v>
      </c>
      <c r="AT149" s="36">
        <f t="shared" si="128"/>
        <v>18060</v>
      </c>
      <c r="AU149" s="36">
        <f t="shared" si="128"/>
        <v>17560</v>
      </c>
      <c r="AV149" s="36">
        <f t="shared" si="126"/>
        <v>17560</v>
      </c>
      <c r="AW149" s="36">
        <f>AW150-SUM(AW145:AW148)</f>
        <v>14960</v>
      </c>
      <c r="AX149" s="36">
        <f>AX150-SUM(AX145:AX148)</f>
        <v>14860</v>
      </c>
      <c r="AY149" s="36">
        <f>AY150-SUM(AY145:AY148)</f>
        <v>14860</v>
      </c>
      <c r="AZ149" s="622">
        <f t="shared" ref="AZ149" si="129">AY149</f>
        <v>14860</v>
      </c>
      <c r="BA149" s="36">
        <f t="shared" si="127"/>
        <v>14860</v>
      </c>
    </row>
    <row r="150" spans="1:53">
      <c r="A150" s="288" t="s">
        <v>1085</v>
      </c>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289">
        <v>25300</v>
      </c>
      <c r="AP150" s="289">
        <v>25200</v>
      </c>
      <c r="AQ150" s="39">
        <f>AP150</f>
        <v>25200</v>
      </c>
      <c r="AR150" s="289">
        <v>25100</v>
      </c>
      <c r="AS150" s="289">
        <v>24200</v>
      </c>
      <c r="AT150" s="289">
        <v>24200</v>
      </c>
      <c r="AU150" s="289">
        <v>23700</v>
      </c>
      <c r="AV150" s="39">
        <f>AU150</f>
        <v>23700</v>
      </c>
      <c r="AW150" s="289">
        <v>21100</v>
      </c>
      <c r="AX150" s="289">
        <v>21000</v>
      </c>
      <c r="AY150" s="289">
        <v>21000</v>
      </c>
      <c r="AZ150" s="39">
        <f t="shared" ref="AZ150" si="130">SUM(AZ145:AZ149)</f>
        <v>21000</v>
      </c>
      <c r="BA150" s="39">
        <f>AZ150</f>
        <v>21000</v>
      </c>
    </row>
    <row r="152" spans="1:53">
      <c r="A152" s="1" t="s">
        <v>1090</v>
      </c>
      <c r="AO152" s="36">
        <f t="shared" ref="AO152:AT152" si="131">AO134</f>
        <v>24200</v>
      </c>
      <c r="AP152" s="36">
        <f t="shared" si="131"/>
        <v>23900</v>
      </c>
      <c r="AQ152" s="36">
        <f t="shared" si="131"/>
        <v>23900</v>
      </c>
      <c r="AR152" s="36">
        <f t="shared" si="131"/>
        <v>25100</v>
      </c>
      <c r="AS152" s="36">
        <f t="shared" si="131"/>
        <v>24100</v>
      </c>
      <c r="AT152" s="36">
        <f t="shared" si="131"/>
        <v>23300</v>
      </c>
      <c r="AU152" s="36">
        <f t="shared" ref="AU152:AW152" si="132">AU134</f>
        <v>24600</v>
      </c>
      <c r="AV152" s="36">
        <f t="shared" si="132"/>
        <v>24600</v>
      </c>
      <c r="AW152" s="36">
        <f t="shared" si="132"/>
        <v>25000</v>
      </c>
      <c r="AX152" s="36">
        <f t="shared" ref="AX152:AY152" si="133">AX134</f>
        <v>27900</v>
      </c>
      <c r="AY152" s="36">
        <f t="shared" si="133"/>
        <v>27500</v>
      </c>
      <c r="AZ152" s="36">
        <f t="shared" ref="AZ152:BA152" si="134">AZ134</f>
        <v>28390</v>
      </c>
      <c r="BA152" s="36">
        <f t="shared" si="134"/>
        <v>28390</v>
      </c>
    </row>
    <row r="153" spans="1:53">
      <c r="A153" s="1" t="s">
        <v>1091</v>
      </c>
      <c r="AO153" s="36">
        <f t="shared" ref="AO153:AT153" si="135">AO150</f>
        <v>25300</v>
      </c>
      <c r="AP153" s="36">
        <f t="shared" si="135"/>
        <v>25200</v>
      </c>
      <c r="AQ153" s="36">
        <f t="shared" si="135"/>
        <v>25200</v>
      </c>
      <c r="AR153" s="36">
        <f t="shared" si="135"/>
        <v>25100</v>
      </c>
      <c r="AS153" s="36">
        <f t="shared" si="135"/>
        <v>24200</v>
      </c>
      <c r="AT153" s="36">
        <f t="shared" si="135"/>
        <v>24200</v>
      </c>
      <c r="AU153" s="36">
        <f t="shared" ref="AU153:AW153" si="136">AU150</f>
        <v>23700</v>
      </c>
      <c r="AV153" s="36">
        <f t="shared" si="136"/>
        <v>23700</v>
      </c>
      <c r="AW153" s="36">
        <f t="shared" si="136"/>
        <v>21100</v>
      </c>
      <c r="AX153" s="36">
        <f t="shared" ref="AX153:AY153" si="137">AX150</f>
        <v>21000</v>
      </c>
      <c r="AY153" s="36">
        <f t="shared" si="137"/>
        <v>21000</v>
      </c>
      <c r="AZ153" s="36">
        <f t="shared" ref="AZ153:BA153" si="138">AZ150</f>
        <v>21000</v>
      </c>
      <c r="BA153" s="36">
        <f t="shared" si="138"/>
        <v>21000</v>
      </c>
    </row>
    <row r="154" spans="1:53">
      <c r="A154" s="1" t="s">
        <v>302</v>
      </c>
      <c r="AO154" s="16">
        <f t="shared" ref="AO154:AT154" si="139">AO152/AO153-1</f>
        <v>-4.3478260869565188E-2</v>
      </c>
      <c r="AP154" s="16">
        <f t="shared" si="139"/>
        <v>-5.1587301587301626E-2</v>
      </c>
      <c r="AQ154" s="16">
        <f t="shared" si="139"/>
        <v>-5.1587301587301626E-2</v>
      </c>
      <c r="AR154" s="16">
        <f t="shared" si="139"/>
        <v>0</v>
      </c>
      <c r="AS154" s="16">
        <f t="shared" si="139"/>
        <v>-4.1322314049586639E-3</v>
      </c>
      <c r="AT154" s="16">
        <f t="shared" si="139"/>
        <v>-3.7190082644628086E-2</v>
      </c>
      <c r="AU154" s="16">
        <f t="shared" ref="AU154:AY154" si="140">AU152/AU153-1</f>
        <v>3.7974683544303778E-2</v>
      </c>
      <c r="AV154" s="16">
        <f t="shared" si="140"/>
        <v>3.7974683544303778E-2</v>
      </c>
      <c r="AW154" s="16">
        <f t="shared" si="140"/>
        <v>0.18483412322274884</v>
      </c>
      <c r="AX154" s="16">
        <f t="shared" si="140"/>
        <v>0.32857142857142851</v>
      </c>
      <c r="AY154" s="16">
        <f t="shared" si="140"/>
        <v>0.30952380952380953</v>
      </c>
      <c r="AZ154" s="16">
        <f t="shared" ref="AZ154:BA154" si="141">AZ152/AZ153-1</f>
        <v>0.35190476190476194</v>
      </c>
      <c r="BA154" s="16">
        <f t="shared" si="141"/>
        <v>0.35190476190476194</v>
      </c>
    </row>
    <row r="155" spans="1:53">
      <c r="A155" s="1" t="s">
        <v>305</v>
      </c>
      <c r="AP155" s="16">
        <f>AP152/(AO152+(AP153-AO153)*(AO152/AO153))-1</f>
        <v>-8.4776334776334172E-3</v>
      </c>
      <c r="AR155" s="16">
        <f>AR152/(AQ152+(AR153-AQ153)*(AQ152/AQ153))-1</f>
        <v>5.4393305439330408E-2</v>
      </c>
      <c r="AS155" s="16">
        <f>AS152/(AR152+(AS153-AR153)*(AR152/AR153))-1</f>
        <v>-4.1322314049586639E-3</v>
      </c>
      <c r="AT155" s="16">
        <f>AT152/(AS152+(AT153-AS153)*(AS152/AS153))-1</f>
        <v>-3.319502074688796E-2</v>
      </c>
      <c r="AU155" s="16">
        <f>AU152/(AT152+(AU153-AT153)*(AT152/AT153))-1</f>
        <v>7.8068126256315429E-2</v>
      </c>
      <c r="AW155" s="16">
        <f>AW152/(AV152+(AW153-AV153)*(AV152/AV153))-1</f>
        <v>0.14148653334874584</v>
      </c>
      <c r="AX155" s="16">
        <f>AX152/(AW152+(AX153-AW153)*(AW152/AW153))-1</f>
        <v>0.12131428571428571</v>
      </c>
      <c r="AY155" s="16">
        <f>AY152/(AX152+(AY153-AX153)*(AX152/AX153))-1</f>
        <v>-1.4336917562724039E-2</v>
      </c>
      <c r="AZ155" s="16">
        <f>AZ152/(AY152+(AZ153-AY153)*(AY152/AY153))-1</f>
        <v>3.2363636363636372E-2</v>
      </c>
    </row>
    <row r="156" spans="1:53">
      <c r="AR156" s="262" t="s">
        <v>2450</v>
      </c>
    </row>
    <row r="157" spans="1:53">
      <c r="A157" s="1" t="s">
        <v>853</v>
      </c>
      <c r="AO157" s="36">
        <f>VLOOKUP(AO2, 'Thomson Reuters VC Index'!$B:$C, 2, FALSE)</f>
        <v>15846.53</v>
      </c>
      <c r="AP157" s="36">
        <f>VLOOKUP(AP2, 'Thomson Reuters VC Index'!$B:$C, 2, FALSE)</f>
        <v>17772.759999999998</v>
      </c>
      <c r="AQ157" s="36">
        <f>AP157</f>
        <v>17772.759999999998</v>
      </c>
      <c r="AR157" s="36">
        <f>VLOOKUP(AR2, 'Thomson Reuters VC Index'!$B:$C, 2, FALSE)</f>
        <v>18209.02</v>
      </c>
      <c r="AS157" s="36">
        <f>VLOOKUP(AS2, 'Thomson Reuters VC Index'!$B:$C, 2, FALSE)</f>
        <v>18940</v>
      </c>
      <c r="AT157" s="36">
        <f>VLOOKUP(AT2, 'Thomson Reuters VC Index'!$B:$C, 2, FALSE)</f>
        <v>20420</v>
      </c>
      <c r="AU157" s="36">
        <f>VLOOKUP(AU2, 'Thomson Reuters VC Index'!$B:$C, 2, FALSE)</f>
        <v>18485</v>
      </c>
      <c r="AV157" s="36">
        <f>AU157</f>
        <v>18485</v>
      </c>
      <c r="AW157" s="36">
        <f>VLOOKUP(AW2, 'Thomson Reuters VC Index'!$B:$C, 2, FALSE)</f>
        <v>24720</v>
      </c>
      <c r="AX157" s="36">
        <f>VLOOKUP(AX2, 'Thomson Reuters VC Index'!$B:$C, 2, FALSE)</f>
        <v>25805</v>
      </c>
      <c r="AY157" s="36">
        <f>VLOOKUP(AY2, 'Thomson Reuters VC Index'!$B:$C, 2, FALSE)</f>
        <v>23745</v>
      </c>
      <c r="AZ157" s="228">
        <f>VLOOKUP(AZ2, 'Thomson Reuters VC Index'!$B:$C, 2, FALSE)</f>
        <v>20500</v>
      </c>
      <c r="BA157" s="36">
        <f>AZ157</f>
        <v>20500</v>
      </c>
    </row>
    <row r="158" spans="1:53">
      <c r="A158" s="1" t="s">
        <v>305</v>
      </c>
      <c r="AP158" s="16">
        <f>AP157/AO157-1</f>
        <v>0.12155531841986833</v>
      </c>
      <c r="AR158" s="16">
        <f>AR157/AQ157-1</f>
        <v>2.4546553264659154E-2</v>
      </c>
      <c r="AS158" s="16">
        <f>AS157/AR157-1</f>
        <v>4.0143840799779396E-2</v>
      </c>
      <c r="AT158" s="16">
        <f>AT157/AS157-1</f>
        <v>7.8141499472016873E-2</v>
      </c>
      <c r="AU158" s="16">
        <f>AU157/AT157-1</f>
        <v>-9.4760039177277156E-2</v>
      </c>
      <c r="AW158" s="16">
        <f>AW157/AV157-1</f>
        <v>0.33730051393021365</v>
      </c>
      <c r="AX158" s="16">
        <f>AX157/AW157-1</f>
        <v>4.3891585760517771E-2</v>
      </c>
      <c r="AY158" s="16">
        <f>AY157/AX157-1</f>
        <v>-7.9829490408835468E-2</v>
      </c>
      <c r="AZ158" s="16">
        <f>AZ157/AY157-1</f>
        <v>-0.13666034954727313</v>
      </c>
    </row>
    <row r="160" spans="1:53">
      <c r="A160" s="3" t="s">
        <v>2483</v>
      </c>
      <c r="AR160" s="522" t="s">
        <v>2487</v>
      </c>
      <c r="AS160" s="71"/>
      <c r="AT160" s="71"/>
      <c r="AU160" s="71"/>
      <c r="AV160" s="71"/>
      <c r="AW160" s="71"/>
      <c r="AX160" s="71"/>
      <c r="AY160" s="71"/>
      <c r="AZ160" s="71"/>
    </row>
    <row r="161" spans="1:71">
      <c r="AR161" s="318" t="s">
        <v>2666</v>
      </c>
      <c r="AS161" s="44"/>
      <c r="AT161" s="44"/>
      <c r="AZ161" s="782" t="s">
        <v>3254</v>
      </c>
      <c r="BA161" s="618"/>
    </row>
    <row r="162" spans="1:71">
      <c r="A162" s="5" t="s">
        <v>2485</v>
      </c>
      <c r="AO162" s="342">
        <v>11000</v>
      </c>
      <c r="AP162" s="342">
        <v>11000</v>
      </c>
      <c r="AQ162" s="36">
        <f>AP162</f>
        <v>11000</v>
      </c>
      <c r="AR162" s="651">
        <f>MROUND(AQ162*1.125, 5)</f>
        <v>12375</v>
      </c>
      <c r="AS162" s="342">
        <f>AR162</f>
        <v>12375</v>
      </c>
      <c r="AT162" s="342">
        <f>AS162</f>
        <v>12375</v>
      </c>
      <c r="AU162" s="651">
        <f>MROUND(AT162*1.1, 5)</f>
        <v>13615</v>
      </c>
      <c r="AV162" s="36">
        <f>AU162</f>
        <v>13615</v>
      </c>
      <c r="AW162" s="612">
        <f>AV162</f>
        <v>13615</v>
      </c>
      <c r="AX162" s="651">
        <f>MROUND(AW162*1.2, 5)</f>
        <v>16340</v>
      </c>
      <c r="AY162" s="940">
        <f>MROUND(AX162*0.95, 5)</f>
        <v>15525</v>
      </c>
      <c r="AZ162" s="877">
        <f>AY162+1250</f>
        <v>16775</v>
      </c>
      <c r="BA162" s="36">
        <f>AZ162</f>
        <v>16775</v>
      </c>
    </row>
    <row r="163" spans="1:71" s="26" customFormat="1">
      <c r="A163" s="29" t="s">
        <v>2486</v>
      </c>
      <c r="AO163" s="61">
        <f t="shared" ref="AO163:AV163" si="142">AO164-AO162</f>
        <v>0</v>
      </c>
      <c r="AP163" s="61">
        <f t="shared" si="142"/>
        <v>0</v>
      </c>
      <c r="AQ163" s="61">
        <f t="shared" si="142"/>
        <v>0</v>
      </c>
      <c r="AR163" s="61">
        <f t="shared" si="142"/>
        <v>0</v>
      </c>
      <c r="AS163" s="61">
        <f t="shared" si="142"/>
        <v>0</v>
      </c>
      <c r="AT163" s="61">
        <f t="shared" si="142"/>
        <v>0</v>
      </c>
      <c r="AU163" s="61">
        <f t="shared" si="142"/>
        <v>0</v>
      </c>
      <c r="AV163" s="61">
        <f t="shared" si="142"/>
        <v>0</v>
      </c>
      <c r="AW163" s="61">
        <f t="shared" ref="AW163:AX163" si="143">AW164-AW162</f>
        <v>0</v>
      </c>
      <c r="AX163" s="61">
        <f t="shared" si="143"/>
        <v>0</v>
      </c>
      <c r="AY163" s="61">
        <f t="shared" ref="AY163:BA163" si="144">AY164-AY162</f>
        <v>0</v>
      </c>
      <c r="AZ163" s="61">
        <f t="shared" si="144"/>
        <v>0</v>
      </c>
      <c r="BA163" s="61">
        <f t="shared" si="144"/>
        <v>0</v>
      </c>
      <c r="BS163" s="328"/>
    </row>
    <row r="164" spans="1:71">
      <c r="A164" s="9" t="s">
        <v>2484</v>
      </c>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39">
        <f>AO162</f>
        <v>11000</v>
      </c>
      <c r="AP164" s="39">
        <f>AP162</f>
        <v>11000</v>
      </c>
      <c r="AQ164" s="39">
        <f>AP164</f>
        <v>11000</v>
      </c>
      <c r="AR164" s="39">
        <f t="shared" ref="AR164:AX164" si="145">AR162</f>
        <v>12375</v>
      </c>
      <c r="AS164" s="39">
        <f t="shared" si="145"/>
        <v>12375</v>
      </c>
      <c r="AT164" s="39">
        <f t="shared" si="145"/>
        <v>12375</v>
      </c>
      <c r="AU164" s="39">
        <f t="shared" si="145"/>
        <v>13615</v>
      </c>
      <c r="AV164" s="39">
        <f>AU164</f>
        <v>13615</v>
      </c>
      <c r="AW164" s="39">
        <f t="shared" si="145"/>
        <v>13615</v>
      </c>
      <c r="AX164" s="39">
        <f t="shared" si="145"/>
        <v>16340</v>
      </c>
      <c r="AY164" s="39">
        <f t="shared" ref="AY164:AZ164" si="146">AY162</f>
        <v>15525</v>
      </c>
      <c r="AZ164" s="39">
        <f t="shared" si="146"/>
        <v>16775</v>
      </c>
      <c r="BA164" s="39">
        <f>AZ164</f>
        <v>16775</v>
      </c>
    </row>
    <row r="166" spans="1:71" s="12" customFormat="1">
      <c r="A166" s="13" t="s">
        <v>733</v>
      </c>
      <c r="AO166" s="227"/>
      <c r="BS166" s="46"/>
    </row>
    <row r="167" spans="1:71">
      <c r="AO167" s="219" t="s">
        <v>734</v>
      </c>
    </row>
    <row r="168" spans="1:71">
      <c r="A168" s="5" t="s">
        <v>749</v>
      </c>
      <c r="AO168" s="223">
        <v>16.190000000000001</v>
      </c>
      <c r="AP168" s="223">
        <v>17.79</v>
      </c>
      <c r="AR168" s="223">
        <v>20.95</v>
      </c>
      <c r="AS168" s="223">
        <v>24.55</v>
      </c>
      <c r="AT168" s="223">
        <v>21.98</v>
      </c>
      <c r="AU168" s="223">
        <v>21.93</v>
      </c>
      <c r="AW168" s="223">
        <v>29.96</v>
      </c>
      <c r="AX168" s="223">
        <v>32.200000000000003</v>
      </c>
      <c r="AY168" s="223">
        <v>23.59</v>
      </c>
      <c r="AZ168" s="221">
        <v>19.100000000000001</v>
      </c>
    </row>
    <row r="169" spans="1:71">
      <c r="A169" s="5" t="s">
        <v>738</v>
      </c>
      <c r="AP169" s="21">
        <f>AP168/AO168-1</f>
        <v>9.8826436071649093E-2</v>
      </c>
      <c r="AR169" s="21">
        <f>AR168/AP168-1</f>
        <v>0.17762788083192804</v>
      </c>
      <c r="AS169" s="21">
        <f>AS168/AR168-1</f>
        <v>0.17183770883054894</v>
      </c>
      <c r="AT169" s="21">
        <f>AT168/AS168-1</f>
        <v>-0.10468431771894093</v>
      </c>
      <c r="AU169" s="21">
        <f>AU168/AT168-1</f>
        <v>-2.2747952684258888E-3</v>
      </c>
      <c r="AW169" s="21">
        <f>AW168/AU168-1</f>
        <v>0.3661650706794346</v>
      </c>
      <c r="AX169" s="21">
        <f>AX168/AW168-1</f>
        <v>7.4766355140186924E-2</v>
      </c>
      <c r="AY169" s="21">
        <f>AY168/AX168-1</f>
        <v>-0.26739130434782621</v>
      </c>
      <c r="AZ169" s="21">
        <f>AZ168/AY168-1</f>
        <v>-0.19033488766426443</v>
      </c>
    </row>
    <row r="171" spans="1:71">
      <c r="A171" s="5" t="s">
        <v>746</v>
      </c>
      <c r="AO171" s="24">
        <f>AO52/AO168</f>
        <v>395.30574428659662</v>
      </c>
      <c r="AP171" s="24">
        <f>AP52/AP168</f>
        <v>348.51039910061832</v>
      </c>
      <c r="AQ171" s="24">
        <f>AP171</f>
        <v>348.51039910061832</v>
      </c>
      <c r="AR171" s="24">
        <f>AR52/AR168</f>
        <v>348.44868735083531</v>
      </c>
      <c r="AS171" s="24">
        <f>AS52/AS168</f>
        <v>350.30549898167004</v>
      </c>
      <c r="AT171" s="24">
        <f>AT52/AT168</f>
        <v>350.31847133757964</v>
      </c>
      <c r="AU171" s="24">
        <f>AU52/AU168</f>
        <v>351.11719106247148</v>
      </c>
      <c r="AV171" s="24">
        <f>AU171</f>
        <v>351.11719106247148</v>
      </c>
      <c r="AW171" s="24">
        <f>AW52/AW168</f>
        <v>310.4138851802403</v>
      </c>
      <c r="AX171" s="24">
        <f>AX52/AX168</f>
        <v>288.81987577639751</v>
      </c>
      <c r="AY171" s="24">
        <f t="shared" ref="AY171" si="147">AY52/AY168</f>
        <v>288.25773632895294</v>
      </c>
      <c r="AZ171" s="221">
        <f>AY171</f>
        <v>288.25773632895294</v>
      </c>
    </row>
    <row r="172" spans="1:71">
      <c r="A172" s="5" t="s">
        <v>80</v>
      </c>
      <c r="AO172" s="21">
        <f>AO171/AO176</f>
        <v>0.2207178918406458</v>
      </c>
      <c r="AP172" s="21">
        <f>AP171/AP176</f>
        <v>0.19415621119811605</v>
      </c>
      <c r="AQ172" s="104"/>
      <c r="AR172" s="21">
        <f>AR171/AR176</f>
        <v>0.19426204735807848</v>
      </c>
      <c r="AS172" s="21">
        <f>AS171/AS176</f>
        <v>0.19473755462841619</v>
      </c>
      <c r="AT172" s="21">
        <f>AT171/AT176</f>
        <v>0.19402985054470931</v>
      </c>
      <c r="AU172" s="21">
        <f>AU171/AU176</f>
        <v>0.19338768031577608</v>
      </c>
      <c r="AW172" s="21">
        <f>AW171/AW176</f>
        <v>0.17027031247375199</v>
      </c>
      <c r="AX172" s="21">
        <f>AX171/AX176</f>
        <v>0.15811472644176719</v>
      </c>
      <c r="AY172" s="21">
        <f>AY171/AY176</f>
        <v>0.15780698264568704</v>
      </c>
      <c r="AZ172" s="21">
        <f>AZ171/AZ176</f>
        <v>0.15780698264568704</v>
      </c>
    </row>
    <row r="174" spans="1:71">
      <c r="A174" s="5" t="s">
        <v>745</v>
      </c>
      <c r="AO174" s="36">
        <f t="shared" ref="AO174:AY174" si="148">AO52-AO96</f>
        <v>4500</v>
      </c>
      <c r="AP174" s="36">
        <f t="shared" si="148"/>
        <v>4500</v>
      </c>
      <c r="AQ174" s="36">
        <f t="shared" si="148"/>
        <v>4500</v>
      </c>
      <c r="AR174" s="36">
        <f t="shared" si="148"/>
        <v>5600</v>
      </c>
      <c r="AS174" s="36">
        <f t="shared" si="148"/>
        <v>6900</v>
      </c>
      <c r="AT174" s="36">
        <f t="shared" si="148"/>
        <v>6000</v>
      </c>
      <c r="AU174" s="36">
        <f>AU52-AU96</f>
        <v>6000</v>
      </c>
      <c r="AV174" s="36">
        <f t="shared" si="148"/>
        <v>6000</v>
      </c>
      <c r="AW174" s="36">
        <f t="shared" si="148"/>
        <v>7800</v>
      </c>
      <c r="AX174" s="36">
        <f t="shared" si="148"/>
        <v>7900</v>
      </c>
      <c r="AY174" s="36">
        <f t="shared" si="148"/>
        <v>5400</v>
      </c>
      <c r="AZ174" s="36"/>
    </row>
    <row r="175" spans="1:71">
      <c r="AR175" s="678" t="s">
        <v>2669</v>
      </c>
    </row>
    <row r="176" spans="1:71">
      <c r="A176" s="5" t="s">
        <v>747</v>
      </c>
      <c r="AO176" s="37">
        <f>1616+175</f>
        <v>1791</v>
      </c>
      <c r="AP176" s="37">
        <f>1620+175</f>
        <v>1795</v>
      </c>
      <c r="AR176" s="37">
        <f>1618.901401+174.80299</f>
        <v>1793.704391</v>
      </c>
      <c r="AS176" s="37">
        <f>1624.056504+174.80299</f>
        <v>1798.8594939999998</v>
      </c>
      <c r="AT176" s="37">
        <f>1647.684518+157.80299</f>
        <v>1805.4875079999999</v>
      </c>
      <c r="AU176" s="37">
        <f>1657.810034+157.80299</f>
        <v>1815.613024</v>
      </c>
      <c r="AW176" s="37">
        <f>1665.262233+157.80299</f>
        <v>1823.0652229999998</v>
      </c>
      <c r="AX176" s="37">
        <f>1668.844548+157.80299</f>
        <v>1826.6475379999999</v>
      </c>
      <c r="AY176" s="622">
        <f>AX176</f>
        <v>1826.6475379999999</v>
      </c>
      <c r="AZ176" s="622">
        <f>AY176</f>
        <v>1826.6475379999999</v>
      </c>
    </row>
    <row r="178" spans="1:71">
      <c r="A178" s="5" t="s">
        <v>748</v>
      </c>
      <c r="AP178" s="24">
        <f>AO171-AP171</f>
        <v>46.795345185978306</v>
      </c>
      <c r="AR178" s="24"/>
      <c r="AW178" s="24">
        <f>AV171-AW171</f>
        <v>40.703305882231177</v>
      </c>
      <c r="AX178" s="24">
        <f>AW171-AX171</f>
        <v>21.59400940384279</v>
      </c>
    </row>
    <row r="179" spans="1:71">
      <c r="A179" s="5" t="s">
        <v>739</v>
      </c>
      <c r="AP179" s="21">
        <f>AP178/AO171</f>
        <v>0.11837759977515451</v>
      </c>
      <c r="AR179" s="21"/>
      <c r="AW179" s="21">
        <f>AW178/AV171</f>
        <v>0.11592512961004282</v>
      </c>
      <c r="AX179" s="21">
        <f>AX178/AW171</f>
        <v>6.9565217391304307E-2</v>
      </c>
    </row>
    <row r="180" spans="1:71">
      <c r="A180" s="222" t="s">
        <v>740</v>
      </c>
      <c r="AP180" s="636">
        <v>19.2</v>
      </c>
      <c r="AW180" s="636">
        <f>(25.75*30/40)+(28.25*10/40)</f>
        <v>26.375</v>
      </c>
      <c r="AX180" s="636">
        <v>28</v>
      </c>
    </row>
    <row r="181" spans="1:71">
      <c r="A181" s="5" t="s">
        <v>741</v>
      </c>
      <c r="AP181" s="224">
        <f>MROUND(AO96/AO171, 0.05)</f>
        <v>4.8000000000000007</v>
      </c>
      <c r="AW181" s="224">
        <f>MROUND(AV96/AV171, 0.05)</f>
        <v>4.8500000000000005</v>
      </c>
      <c r="AX181" s="224">
        <f>MROUND(AW96/AW171, 0.05)</f>
        <v>4.8500000000000005</v>
      </c>
    </row>
    <row r="182" spans="1:71">
      <c r="A182" s="222" t="s">
        <v>742</v>
      </c>
      <c r="AP182" s="80">
        <f>MROUND(AP178*(AP180-AP181), 5)</f>
        <v>675</v>
      </c>
      <c r="AW182" s="80">
        <f>MROUND(AW178*(AW180-AW181), 5)</f>
        <v>875</v>
      </c>
      <c r="AX182" s="80">
        <f>MROUND(AX178*(AX180-AX181), 5)</f>
        <v>500</v>
      </c>
    </row>
    <row r="183" spans="1:71" s="179" customFormat="1">
      <c r="A183" s="225" t="s">
        <v>743</v>
      </c>
      <c r="AP183" s="226">
        <f>-MROUND(AO174*AP178/AO171, 5)</f>
        <v>-535</v>
      </c>
      <c r="AW183" s="226">
        <f>-MROUND(AV174*AW178/AV171, 5)</f>
        <v>-695</v>
      </c>
      <c r="AX183" s="226">
        <f>-MROUND(AW174*AX178/AW171, 5)</f>
        <v>-545</v>
      </c>
      <c r="BS183" s="46"/>
    </row>
    <row r="185" spans="1:71">
      <c r="A185" s="1" t="s">
        <v>1094</v>
      </c>
      <c r="AP185" s="36">
        <f>MROUND(AP181*AP178, 5)</f>
        <v>225</v>
      </c>
      <c r="AW185" s="36">
        <f>MROUND(AW181*AW178, 5)</f>
        <v>195</v>
      </c>
      <c r="AX185" s="36">
        <f>MROUND(AX181*AX178, 5)</f>
        <v>105</v>
      </c>
    </row>
    <row r="186" spans="1:71">
      <c r="A186" s="1" t="s">
        <v>1096</v>
      </c>
      <c r="AP186" s="36">
        <f>MROUND(AP180*AP178, 5)</f>
        <v>900</v>
      </c>
      <c r="AW186" s="36">
        <f>MROUND(AW180*AW178, 5)</f>
        <v>1075</v>
      </c>
      <c r="AX186" s="36">
        <f>MROUND(AX180*AX178, 5)</f>
        <v>605</v>
      </c>
    </row>
    <row r="187" spans="1:71">
      <c r="A187" s="1" t="s">
        <v>1095</v>
      </c>
      <c r="AP187" s="167">
        <f>AP186/AP185</f>
        <v>4</v>
      </c>
      <c r="AW187" s="167">
        <f>AW186/AW185</f>
        <v>5.5128205128205128</v>
      </c>
      <c r="AX187" s="167">
        <f>AX186/AX185</f>
        <v>5.7619047619047619</v>
      </c>
    </row>
    <row r="189" spans="1:71" s="12" customFormat="1">
      <c r="A189" s="13" t="s">
        <v>744</v>
      </c>
      <c r="AO189" s="227"/>
      <c r="BS189" s="46"/>
    </row>
    <row r="190" spans="1:71">
      <c r="AO190" s="219" t="s">
        <v>734</v>
      </c>
    </row>
    <row r="191" spans="1:71">
      <c r="A191" s="5" t="s">
        <v>749</v>
      </c>
      <c r="AO191" s="223">
        <v>3.95</v>
      </c>
      <c r="AP191" s="223">
        <v>3.83</v>
      </c>
      <c r="AR191" s="223">
        <v>4.1399999999999997</v>
      </c>
      <c r="AS191" s="223">
        <v>4.7</v>
      </c>
      <c r="AT191" s="223">
        <v>4.57</v>
      </c>
      <c r="AU191" s="223">
        <v>4.84</v>
      </c>
      <c r="AW191" s="223">
        <v>4.9000000000000004</v>
      </c>
      <c r="AX191" s="223">
        <v>6.22</v>
      </c>
      <c r="AY191" s="223">
        <v>5.28</v>
      </c>
      <c r="AZ191" s="221">
        <v>4.4000000000000004</v>
      </c>
    </row>
    <row r="192" spans="1:71">
      <c r="A192" s="5" t="s">
        <v>738</v>
      </c>
      <c r="AP192" s="21">
        <f>AP191/AO191-1</f>
        <v>-3.0379746835443089E-2</v>
      </c>
      <c r="AR192" s="21">
        <f>AR191/AP191-1</f>
        <v>8.09399477806787E-2</v>
      </c>
      <c r="AS192" s="21">
        <f>AS191/AR191-1</f>
        <v>0.13526570048309194</v>
      </c>
      <c r="AT192" s="21">
        <f>AT191/AS191-1</f>
        <v>-2.7659574468085091E-2</v>
      </c>
      <c r="AU192" s="21">
        <f>AU191/AT191-1</f>
        <v>5.908096280087527E-2</v>
      </c>
      <c r="AW192" s="21">
        <f>AW191/AU191-1</f>
        <v>1.2396694214876103E-2</v>
      </c>
      <c r="AX192" s="21">
        <f>AX191/AW191-1</f>
        <v>0.26938775510204072</v>
      </c>
      <c r="AY192" s="21">
        <f>AY191/AX191-1</f>
        <v>-0.15112540192926038</v>
      </c>
      <c r="AZ192" s="21">
        <f>AZ191/AY191-1</f>
        <v>-0.16666666666666663</v>
      </c>
    </row>
    <row r="193" spans="1:71">
      <c r="AZ193" s="219" t="s">
        <v>3253</v>
      </c>
    </row>
    <row r="194" spans="1:71">
      <c r="A194" s="5" t="s">
        <v>746</v>
      </c>
      <c r="AO194" s="24">
        <f>AO53/AO191</f>
        <v>962.02531645569616</v>
      </c>
      <c r="AP194" s="24">
        <f>AP53/AP191</f>
        <v>966.05744125326373</v>
      </c>
      <c r="AQ194" s="24">
        <f>AP194</f>
        <v>966.05744125326373</v>
      </c>
      <c r="AR194" s="24">
        <f>AR53/AR191</f>
        <v>966.18357487922708</v>
      </c>
      <c r="AS194" s="24">
        <f>AS53/AS191</f>
        <v>978.72340425531911</v>
      </c>
      <c r="AT194" s="24">
        <f>AT53/AT191</f>
        <v>962.80087527352293</v>
      </c>
      <c r="AU194" s="24">
        <f>AU53/AU191</f>
        <v>971.07438016528931</v>
      </c>
      <c r="AV194" s="24">
        <f>AU194</f>
        <v>971.07438016528931</v>
      </c>
      <c r="AW194" s="24">
        <f>AW53/AW191</f>
        <v>959.18367346938771</v>
      </c>
      <c r="AX194" s="24">
        <f>AX53/AX191</f>
        <v>964.63022508038591</v>
      </c>
      <c r="AY194" s="24">
        <f>AY53/AY191</f>
        <v>965.90909090909088</v>
      </c>
      <c r="AZ194" s="221">
        <f>AY194</f>
        <v>965.90909090909088</v>
      </c>
    </row>
    <row r="195" spans="1:71">
      <c r="A195" s="5" t="s">
        <v>80</v>
      </c>
      <c r="AO195" s="21">
        <f>AO194/AO199</f>
        <v>0.19639955512590326</v>
      </c>
      <c r="AP195" s="21">
        <f>AP194/AP199</f>
        <v>0.19722272214958614</v>
      </c>
      <c r="AR195" s="21">
        <f>AR194/AR199</f>
        <v>0.19724847260292855</v>
      </c>
      <c r="AS195" s="21">
        <f>AS194/AS199</f>
        <v>0.19980850597075378</v>
      </c>
      <c r="AT195" s="21">
        <f>AT194/AT199</f>
        <v>0.20456874984202089</v>
      </c>
      <c r="AU195" s="21">
        <f>AU194/AU199</f>
        <v>0.20632664246134333</v>
      </c>
      <c r="AW195" s="21">
        <f>AW194/AW199</f>
        <v>0.20380019377814318</v>
      </c>
      <c r="AX195" s="21">
        <f>AX194/AX199</f>
        <v>0.20495743644651468</v>
      </c>
      <c r="AY195" s="21">
        <f>AY194/AY199</f>
        <v>0.20522916032059146</v>
      </c>
      <c r="AZ195" s="21">
        <f>AZ194/AZ199</f>
        <v>0.20522916032059146</v>
      </c>
    </row>
    <row r="197" spans="1:71">
      <c r="A197" s="5" t="s">
        <v>745</v>
      </c>
      <c r="AO197" s="36">
        <f t="shared" ref="AO197:AZ197" si="149">AO53-AO97</f>
        <v>-8300</v>
      </c>
      <c r="AP197" s="36">
        <f t="shared" si="149"/>
        <v>-8400</v>
      </c>
      <c r="AQ197" s="36">
        <f t="shared" si="149"/>
        <v>-8400</v>
      </c>
      <c r="AR197" s="36">
        <f t="shared" si="149"/>
        <v>-8100</v>
      </c>
      <c r="AS197" s="36">
        <f t="shared" si="149"/>
        <v>-7500</v>
      </c>
      <c r="AT197" s="36">
        <f t="shared" si="149"/>
        <v>-7700</v>
      </c>
      <c r="AU197" s="36">
        <f t="shared" si="149"/>
        <v>-7400</v>
      </c>
      <c r="AV197" s="36">
        <f t="shared" si="149"/>
        <v>-7400</v>
      </c>
      <c r="AW197" s="36">
        <f t="shared" si="149"/>
        <v>-7400</v>
      </c>
      <c r="AX197" s="36">
        <f t="shared" si="149"/>
        <v>-6100</v>
      </c>
      <c r="AY197" s="36">
        <f t="shared" si="149"/>
        <v>-7000</v>
      </c>
      <c r="AZ197" s="36">
        <f t="shared" si="149"/>
        <v>-7850</v>
      </c>
    </row>
    <row r="198" spans="1:71">
      <c r="AP198" s="678" t="s">
        <v>2670</v>
      </c>
    </row>
    <row r="199" spans="1:71">
      <c r="A199" s="5" t="s">
        <v>750</v>
      </c>
      <c r="AO199" s="37">
        <v>4898.3070040000002</v>
      </c>
      <c r="AP199" s="679">
        <f>AO199</f>
        <v>4898.3070040000002</v>
      </c>
      <c r="AR199" s="679">
        <f>AP199</f>
        <v>4898.3070040000002</v>
      </c>
      <c r="AS199" s="679">
        <f>AR199</f>
        <v>4898.3070040000002</v>
      </c>
      <c r="AT199" s="37">
        <f>4*1176.622622</f>
        <v>4706.4904880000004</v>
      </c>
      <c r="AU199" s="679">
        <f>AT199</f>
        <v>4706.4904880000004</v>
      </c>
      <c r="AW199" s="679">
        <f>AU199</f>
        <v>4706.4904880000004</v>
      </c>
      <c r="AX199" s="679">
        <f>AW199</f>
        <v>4706.4904880000004</v>
      </c>
      <c r="AY199" s="622">
        <f>AX199</f>
        <v>4706.4904880000004</v>
      </c>
      <c r="AZ199" s="622">
        <f>AY199</f>
        <v>4706.4904880000004</v>
      </c>
    </row>
    <row r="200" spans="1:71">
      <c r="AT200" s="262" t="s">
        <v>2820</v>
      </c>
    </row>
    <row r="201" spans="1:71">
      <c r="A201" s="5" t="s">
        <v>748</v>
      </c>
      <c r="AP201" s="24"/>
      <c r="AR201" s="24"/>
    </row>
    <row r="202" spans="1:71">
      <c r="A202" s="5" t="s">
        <v>739</v>
      </c>
      <c r="AP202" s="21"/>
      <c r="AR202" s="21"/>
    </row>
    <row r="203" spans="1:71">
      <c r="A203" s="222" t="s">
        <v>740</v>
      </c>
    </row>
    <row r="204" spans="1:71">
      <c r="A204" s="5" t="s">
        <v>741</v>
      </c>
      <c r="AP204" s="224"/>
    </row>
    <row r="205" spans="1:71">
      <c r="A205" s="222" t="s">
        <v>742</v>
      </c>
      <c r="AP205" s="80"/>
    </row>
    <row r="206" spans="1:71" s="179" customFormat="1">
      <c r="A206" s="225" t="s">
        <v>743</v>
      </c>
      <c r="AP206" s="226"/>
      <c r="BS206" s="46"/>
    </row>
    <row r="208" spans="1:71">
      <c r="A208" s="1" t="s">
        <v>1094</v>
      </c>
    </row>
    <row r="209" spans="1:71">
      <c r="A209" s="1" t="s">
        <v>1096</v>
      </c>
    </row>
    <row r="210" spans="1:71">
      <c r="A210" s="1" t="s">
        <v>1095</v>
      </c>
      <c r="AP210" s="167"/>
      <c r="AR210" s="167"/>
    </row>
    <row r="212" spans="1:71" s="12" customFormat="1">
      <c r="A212" s="13" t="s">
        <v>751</v>
      </c>
      <c r="AO212" s="227"/>
      <c r="BS212" s="46"/>
    </row>
    <row r="213" spans="1:71">
      <c r="AO213" s="219" t="s">
        <v>734</v>
      </c>
    </row>
    <row r="214" spans="1:71">
      <c r="A214" s="5" t="s">
        <v>749</v>
      </c>
      <c r="AO214" s="223">
        <v>3.37</v>
      </c>
      <c r="AP214" s="223">
        <v>3.14</v>
      </c>
      <c r="AR214" s="223">
        <v>3.55</v>
      </c>
      <c r="AS214" s="223">
        <v>3.8</v>
      </c>
      <c r="AT214" s="223">
        <v>4.72</v>
      </c>
      <c r="AU214" s="223">
        <v>4.53</v>
      </c>
      <c r="AW214" s="223">
        <v>5.03</v>
      </c>
      <c r="AX214" s="223">
        <v>6.02</v>
      </c>
      <c r="AY214" s="223">
        <v>4.99</v>
      </c>
      <c r="AZ214" s="221">
        <v>4.2</v>
      </c>
    </row>
    <row r="215" spans="1:71">
      <c r="A215" s="5" t="s">
        <v>738</v>
      </c>
      <c r="AP215" s="21">
        <f>AP214/AO214-1</f>
        <v>-6.8249258160237414E-2</v>
      </c>
      <c r="AR215" s="21">
        <f>AR214/AP214-1</f>
        <v>0.13057324840764317</v>
      </c>
      <c r="AS215" s="21">
        <f>AS214/AR214-1</f>
        <v>7.0422535211267512E-2</v>
      </c>
      <c r="AT215" s="21">
        <f>AT214/AS214-1</f>
        <v>0.24210526315789482</v>
      </c>
      <c r="AU215" s="21">
        <f>AU214/AT214-1</f>
        <v>-4.0254237288135486E-2</v>
      </c>
      <c r="AW215" s="21">
        <f>AW214/AU214-1</f>
        <v>0.11037527593818974</v>
      </c>
      <c r="AX215" s="21">
        <f>AX214/AW214-1</f>
        <v>0.19681908548707749</v>
      </c>
      <c r="AY215" s="21">
        <f>AY214/AX214-1</f>
        <v>-0.17109634551495012</v>
      </c>
      <c r="AZ215" s="21">
        <f>AZ214/AY214-1</f>
        <v>-0.15831663326653311</v>
      </c>
    </row>
    <row r="216" spans="1:71">
      <c r="AP216" s="25" t="s">
        <v>2436</v>
      </c>
      <c r="AZ216" s="219" t="s">
        <v>3253</v>
      </c>
    </row>
    <row r="217" spans="1:71">
      <c r="A217" s="5" t="s">
        <v>746</v>
      </c>
      <c r="AO217" s="24">
        <f>AO54/AO214</f>
        <v>563.79821958456967</v>
      </c>
      <c r="AP217" s="24">
        <f>AP54/AP214</f>
        <v>414.01273885350315</v>
      </c>
      <c r="AQ217" s="24">
        <f>AP217</f>
        <v>414.01273885350315</v>
      </c>
      <c r="AR217" s="24">
        <f>AR54/AR214</f>
        <v>394.36619718309862</v>
      </c>
      <c r="AS217" s="24">
        <f>AS54/AS214</f>
        <v>394.73684210526318</v>
      </c>
      <c r="AT217" s="24">
        <f>AT54/AT214</f>
        <v>402.54237288135596</v>
      </c>
      <c r="AU217" s="24">
        <f>AU54/AU214</f>
        <v>397.35099337748341</v>
      </c>
      <c r="AV217" s="24">
        <f>AU217</f>
        <v>397.35099337748341</v>
      </c>
      <c r="AW217" s="24">
        <f>AW54/AW214</f>
        <v>397.6143141153081</v>
      </c>
      <c r="AX217" s="24">
        <f>AX54/AX214</f>
        <v>398.67109634551497</v>
      </c>
      <c r="AY217" s="24">
        <f>AY54/AY214</f>
        <v>400.80160320641284</v>
      </c>
      <c r="AZ217" s="221">
        <v>401.796672</v>
      </c>
    </row>
    <row r="218" spans="1:71">
      <c r="A218" s="5" t="s">
        <v>80</v>
      </c>
      <c r="AO218" s="21">
        <f>AO217/AO222</f>
        <v>0.14332360102707931</v>
      </c>
      <c r="AP218" s="21">
        <f>AP217/AP222</f>
        <v>0.10524651292317037</v>
      </c>
      <c r="AR218" s="21">
        <f>AR217/AR222</f>
        <v>0.10025214968802969</v>
      </c>
      <c r="AS218" s="21">
        <f>AS217/AS222</f>
        <v>0.10034637163322521</v>
      </c>
      <c r="AT218" s="21">
        <f>AT217/AT222</f>
        <v>9.8897527232083615E-2</v>
      </c>
      <c r="AU218" s="21">
        <f>AU217/AU222</f>
        <v>9.7622097288693185E-2</v>
      </c>
      <c r="AW218" s="21">
        <f>AW217/AW222</f>
        <v>9.7686790527453091E-2</v>
      </c>
      <c r="AX218" s="21">
        <f>AX217/AX222</f>
        <v>9.7946423193306792E-2</v>
      </c>
      <c r="AY218" s="21">
        <f>AY217/AY222</f>
        <v>9.8469850972562945E-2</v>
      </c>
      <c r="AZ218" s="21">
        <f>AZ217/AZ222</f>
        <v>9.8714321740713817E-2</v>
      </c>
    </row>
    <row r="220" spans="1:71">
      <c r="A220" s="5" t="s">
        <v>745</v>
      </c>
      <c r="AO220" s="36">
        <f t="shared" ref="AO220:AZ220" si="150">AO54-AO98</f>
        <v>-500</v>
      </c>
      <c r="AP220" s="36">
        <f t="shared" si="150"/>
        <v>-500</v>
      </c>
      <c r="AQ220" s="36">
        <f t="shared" si="150"/>
        <v>-500</v>
      </c>
      <c r="AR220" s="36">
        <f t="shared" si="150"/>
        <v>-300</v>
      </c>
      <c r="AS220" s="36">
        <f t="shared" si="150"/>
        <v>-200</v>
      </c>
      <c r="AT220" s="36">
        <f t="shared" si="150"/>
        <v>200</v>
      </c>
      <c r="AU220" s="36">
        <f t="shared" ref="AU220" si="151">AU54-AU98</f>
        <v>100</v>
      </c>
      <c r="AV220" s="36">
        <f t="shared" si="150"/>
        <v>100</v>
      </c>
      <c r="AW220" s="36">
        <f t="shared" si="150"/>
        <v>300</v>
      </c>
      <c r="AX220" s="36">
        <f t="shared" si="150"/>
        <v>700</v>
      </c>
      <c r="AY220" s="36">
        <f t="shared" si="150"/>
        <v>300</v>
      </c>
      <c r="AZ220" s="36">
        <f t="shared" si="150"/>
        <v>-10</v>
      </c>
    </row>
    <row r="222" spans="1:71">
      <c r="A222" s="5" t="s">
        <v>757</v>
      </c>
      <c r="AO222" s="37">
        <f>3813.340767+120.402284</f>
        <v>3933.7430509999999</v>
      </c>
      <c r="AP222" s="679">
        <f>AO222</f>
        <v>3933.7430509999999</v>
      </c>
      <c r="AR222" s="679">
        <f>AP222</f>
        <v>3933.7430509999999</v>
      </c>
      <c r="AS222" s="679">
        <f>AR222</f>
        <v>3933.7430509999999</v>
      </c>
      <c r="AT222" s="37">
        <f>3950.498976+119.798676</f>
        <v>4070.2976519999997</v>
      </c>
      <c r="AU222" s="679">
        <f>AT222</f>
        <v>4070.2976519999997</v>
      </c>
      <c r="AW222" s="679">
        <f>AU222</f>
        <v>4070.2976519999997</v>
      </c>
      <c r="AX222" s="679">
        <f>AW222</f>
        <v>4070.2976519999997</v>
      </c>
      <c r="AY222" s="622">
        <f>AX222</f>
        <v>4070.2976519999997</v>
      </c>
      <c r="AZ222" s="622">
        <f>AY222</f>
        <v>4070.2976519999997</v>
      </c>
    </row>
    <row r="224" spans="1:71">
      <c r="A224" s="5" t="s">
        <v>748</v>
      </c>
      <c r="AP224" s="24"/>
      <c r="AR224" s="24"/>
    </row>
    <row r="225" spans="1:71">
      <c r="A225" s="5" t="s">
        <v>739</v>
      </c>
      <c r="AP225" s="21"/>
      <c r="AR225" s="21"/>
    </row>
    <row r="226" spans="1:71">
      <c r="A226" s="222" t="s">
        <v>740</v>
      </c>
    </row>
    <row r="227" spans="1:71">
      <c r="A227" s="5" t="s">
        <v>741</v>
      </c>
      <c r="AP227" s="224"/>
    </row>
    <row r="228" spans="1:71">
      <c r="A228" s="222" t="s">
        <v>742</v>
      </c>
      <c r="AP228" s="80"/>
    </row>
    <row r="229" spans="1:71" s="179" customFormat="1">
      <c r="A229" s="225" t="s">
        <v>743</v>
      </c>
      <c r="AP229" s="226"/>
      <c r="BS229" s="46"/>
    </row>
    <row r="231" spans="1:71">
      <c r="A231" s="1" t="s">
        <v>1094</v>
      </c>
    </row>
    <row r="232" spans="1:71">
      <c r="A232" s="1" t="s">
        <v>1096</v>
      </c>
    </row>
    <row r="233" spans="1:71">
      <c r="A233" s="1" t="s">
        <v>1095</v>
      </c>
      <c r="AP233" s="167"/>
      <c r="AR233" s="167"/>
    </row>
    <row r="235" spans="1:71" s="12" customFormat="1">
      <c r="A235" s="13" t="s">
        <v>753</v>
      </c>
      <c r="AO235" s="227"/>
      <c r="BS235" s="46"/>
    </row>
    <row r="236" spans="1:71">
      <c r="AO236" s="219" t="s">
        <v>734</v>
      </c>
    </row>
    <row r="237" spans="1:71">
      <c r="A237" s="5" t="s">
        <v>749</v>
      </c>
      <c r="AO237" s="223">
        <v>7.01</v>
      </c>
      <c r="AP237" s="223">
        <v>7.27</v>
      </c>
      <c r="AR237" s="223">
        <v>8.0399999999999991</v>
      </c>
      <c r="AS237" s="223">
        <v>9.01</v>
      </c>
      <c r="AT237" s="223">
        <v>10.82</v>
      </c>
      <c r="AU237" s="223">
        <v>12.77</v>
      </c>
      <c r="AW237" s="223">
        <v>11.81</v>
      </c>
      <c r="AX237" s="223">
        <v>12.97</v>
      </c>
      <c r="AY237" s="223">
        <v>10.73</v>
      </c>
      <c r="AZ237" s="221">
        <v>9.4</v>
      </c>
    </row>
    <row r="238" spans="1:71">
      <c r="A238" s="5" t="s">
        <v>738</v>
      </c>
      <c r="AP238" s="21">
        <f>AP237/AO237-1</f>
        <v>3.7089871611982961E-2</v>
      </c>
      <c r="AR238" s="21">
        <f>AR237/AP237-1</f>
        <v>0.10591471801925723</v>
      </c>
      <c r="AS238" s="21">
        <f>AS237/AR237-1</f>
        <v>0.12064676616915437</v>
      </c>
      <c r="AT238" s="21">
        <f>AT237/AS237-1</f>
        <v>0.20088790233074372</v>
      </c>
      <c r="AU238" s="21">
        <f>AU237/AT237-1</f>
        <v>0.18022181146025873</v>
      </c>
      <c r="AW238" s="21">
        <f>AW237/AU237-1</f>
        <v>-7.5176194205168301E-2</v>
      </c>
      <c r="AX238" s="21">
        <f>AX237/AW237-1</f>
        <v>9.8221845893310844E-2</v>
      </c>
      <c r="AY238" s="21">
        <f>AY237/AX237-1</f>
        <v>-0.17270624518118738</v>
      </c>
      <c r="AZ238" s="21">
        <f>AZ237/AY237-1</f>
        <v>-0.12395153774464118</v>
      </c>
    </row>
    <row r="239" spans="1:71">
      <c r="AZ239" s="219" t="s">
        <v>3253</v>
      </c>
    </row>
    <row r="240" spans="1:71">
      <c r="A240" s="5" t="s">
        <v>746</v>
      </c>
      <c r="AO240" s="24">
        <f>AO55/AO237</f>
        <v>156.91868758915834</v>
      </c>
      <c r="AP240" s="24">
        <f>AP55/AP237</f>
        <v>151.30674002751033</v>
      </c>
      <c r="AQ240" s="24">
        <f>AP240</f>
        <v>151.30674002751033</v>
      </c>
      <c r="AR240" s="24">
        <f>AR55/AR237</f>
        <v>136.81592039800998</v>
      </c>
      <c r="AS240" s="24">
        <f>AS55/AS237</f>
        <v>133.18534961154273</v>
      </c>
      <c r="AT240" s="24">
        <f>AT55/AT237</f>
        <v>110.90573012939002</v>
      </c>
      <c r="AU240" s="24">
        <f>AU55/AU237</f>
        <v>93.970242756460451</v>
      </c>
      <c r="AV240" s="24">
        <f>AU240</f>
        <v>93.970242756460451</v>
      </c>
      <c r="AW240" s="24">
        <f>AW55/AW237</f>
        <v>93.141405588484332</v>
      </c>
      <c r="AX240" s="24">
        <f>AX55/AX237</f>
        <v>69.390902081727063</v>
      </c>
      <c r="AY240" s="24">
        <f>AY55/AY237</f>
        <v>65.237651444547993</v>
      </c>
      <c r="AZ240" s="221">
        <f>AY240</f>
        <v>65.237651444547993</v>
      </c>
    </row>
    <row r="241" spans="1:71">
      <c r="A241" s="5" t="s">
        <v>80</v>
      </c>
      <c r="AO241" s="21">
        <f>AO240/AO245</f>
        <v>0.14892604362679621</v>
      </c>
      <c r="AP241" s="21">
        <f>AP240/AP245</f>
        <v>0.1435999402783826</v>
      </c>
      <c r="AR241" s="21">
        <f>AR240/AR245</f>
        <v>0.1298472096795823</v>
      </c>
      <c r="AS241" s="21">
        <f>AS240/AS245</f>
        <v>0.12640156179887094</v>
      </c>
      <c r="AT241" s="21">
        <f>AT240/AT245</f>
        <v>0.10603914804892477</v>
      </c>
      <c r="AU241" s="21">
        <f>AU240/AU245</f>
        <v>8.9846795762675485E-2</v>
      </c>
      <c r="AW241" s="21">
        <f>AW240/AW245</f>
        <v>8.9054328258418178E-2</v>
      </c>
      <c r="AX241" s="21">
        <f>AX240/AX245</f>
        <v>6.634600512081916E-2</v>
      </c>
      <c r="AY241" s="21">
        <f>AY240/AY245</f>
        <v>6.2375000568698054E-2</v>
      </c>
      <c r="AZ241" s="21">
        <f>AZ240/AZ245</f>
        <v>6.2375000568698054E-2</v>
      </c>
    </row>
    <row r="243" spans="1:71">
      <c r="A243" s="5" t="s">
        <v>745</v>
      </c>
      <c r="AO243" s="36">
        <f t="shared" ref="AO243:AZ243" si="152">AO55-AO99</f>
        <v>-200</v>
      </c>
      <c r="AP243" s="36">
        <f t="shared" si="152"/>
        <v>-200</v>
      </c>
      <c r="AQ243" s="36">
        <f t="shared" si="152"/>
        <v>-200</v>
      </c>
      <c r="AR243" s="36">
        <f t="shared" si="152"/>
        <v>-100</v>
      </c>
      <c r="AS243" s="36">
        <f t="shared" si="152"/>
        <v>100</v>
      </c>
      <c r="AT243" s="36">
        <f t="shared" si="152"/>
        <v>200</v>
      </c>
      <c r="AU243" s="36">
        <f t="shared" ref="AU243:AV243" si="153">AU55-AU99</f>
        <v>400</v>
      </c>
      <c r="AV243" s="36">
        <f t="shared" si="153"/>
        <v>400</v>
      </c>
      <c r="AW243" s="36">
        <f t="shared" si="152"/>
        <v>300</v>
      </c>
      <c r="AX243" s="36">
        <f t="shared" si="152"/>
        <v>300</v>
      </c>
      <c r="AY243" s="36">
        <f t="shared" si="152"/>
        <v>100</v>
      </c>
      <c r="AZ243" s="36">
        <f t="shared" si="152"/>
        <v>15</v>
      </c>
    </row>
    <row r="245" spans="1:71">
      <c r="A245" s="5" t="s">
        <v>754</v>
      </c>
      <c r="AO245" s="37">
        <f>(18941.505257+2131.865628)/20</f>
        <v>1053.66854425</v>
      </c>
      <c r="AP245" s="679">
        <f>AO245</f>
        <v>1053.66854425</v>
      </c>
      <c r="AR245" s="679">
        <f>AP245</f>
        <v>1053.66854425</v>
      </c>
      <c r="AS245" s="679">
        <f>AR245</f>
        <v>1053.66854425</v>
      </c>
      <c r="AT245" s="37">
        <f>(18786.018412+2131.865628)/20</f>
        <v>1045.894202</v>
      </c>
      <c r="AU245" s="679">
        <f>AT245</f>
        <v>1045.894202</v>
      </c>
      <c r="AW245" s="679">
        <f>AU245</f>
        <v>1045.894202</v>
      </c>
      <c r="AX245" s="679">
        <f>AW245</f>
        <v>1045.894202</v>
      </c>
      <c r="AY245" s="622">
        <f>AX245</f>
        <v>1045.894202</v>
      </c>
      <c r="AZ245" s="622">
        <f>AY245</f>
        <v>1045.894202</v>
      </c>
    </row>
    <row r="247" spans="1:71">
      <c r="A247" s="5" t="s">
        <v>748</v>
      </c>
      <c r="AR247" s="24">
        <f>AQ240-AR240</f>
        <v>14.490819629500351</v>
      </c>
      <c r="AT247" s="24">
        <f>AS240-AT240</f>
        <v>22.279619482152711</v>
      </c>
      <c r="AU247" s="24">
        <f>AT240-AU240</f>
        <v>16.935487372929572</v>
      </c>
      <c r="AX247" s="24">
        <f>AW240-AX240</f>
        <v>23.750503506757269</v>
      </c>
    </row>
    <row r="248" spans="1:71">
      <c r="A248" s="5" t="s">
        <v>739</v>
      </c>
      <c r="AR248" s="21">
        <f>AR247/AQ240</f>
        <v>9.5771144278606848E-2</v>
      </c>
      <c r="AT248" s="21">
        <f>AT247/AS240</f>
        <v>0.16728280961182992</v>
      </c>
      <c r="AU248" s="21">
        <f>AU247/AT240</f>
        <v>0.15270164447924831</v>
      </c>
      <c r="AX248" s="21">
        <f>AX247/AW240</f>
        <v>0.25499404219527577</v>
      </c>
    </row>
    <row r="249" spans="1:71">
      <c r="A249" s="222" t="s">
        <v>740</v>
      </c>
      <c r="AT249" s="636">
        <f>MROUND(AVERAGE(AS237:AT237), 0.05)</f>
        <v>9.9</v>
      </c>
      <c r="AU249" s="636">
        <f>MROUND(AVERAGE(AT237:AU237), 0.05)</f>
        <v>11.8</v>
      </c>
      <c r="AX249" s="636">
        <f>MROUND(AVERAGE(AW237:AX237), 0.05)</f>
        <v>12.4</v>
      </c>
    </row>
    <row r="250" spans="1:71">
      <c r="A250" s="5" t="s">
        <v>741</v>
      </c>
      <c r="AT250" s="224">
        <f>MROUND(AS99/AS240, 0.05)</f>
        <v>8.25</v>
      </c>
      <c r="AU250" s="224">
        <f>MROUND(AT99/AT240, 0.05)</f>
        <v>9</v>
      </c>
      <c r="AX250" s="224">
        <f>MROUND(AW99/AW240, 0.05)</f>
        <v>8.6</v>
      </c>
    </row>
    <row r="251" spans="1:71">
      <c r="A251" s="222" t="s">
        <v>742</v>
      </c>
      <c r="AT251" s="80">
        <f>MROUND(AT247*(AT249-AT250), 5)</f>
        <v>35</v>
      </c>
      <c r="AU251" s="80">
        <f>MROUND(AU247*(AU249-AU250), 5)</f>
        <v>45</v>
      </c>
      <c r="AX251" s="80">
        <f>MROUND(AX247*(AX249-AX250), 5)</f>
        <v>90</v>
      </c>
    </row>
    <row r="252" spans="1:71" s="179" customFormat="1">
      <c r="A252" s="225" t="s">
        <v>743</v>
      </c>
      <c r="AP252" s="226"/>
      <c r="AT252" s="226">
        <f>-MROUND(AS243*AT247/AS240, 5)</f>
        <v>-15</v>
      </c>
      <c r="AU252" s="226">
        <f>-MROUND(AT243*AU247/AT240, 5)</f>
        <v>-30</v>
      </c>
      <c r="AX252" s="226">
        <f>-MROUND(AW243*AX247/AW240, 5)</f>
        <v>-75</v>
      </c>
      <c r="BS252" s="46"/>
    </row>
    <row r="254" spans="1:71">
      <c r="A254" s="1" t="s">
        <v>1094</v>
      </c>
      <c r="AT254" s="36">
        <f>MROUND(AT250*AT247, 5)</f>
        <v>185</v>
      </c>
      <c r="AU254" s="36">
        <f>MROUND(AU250*AU247, 5)</f>
        <v>150</v>
      </c>
      <c r="AX254" s="36">
        <f>MROUND(AX250*AX247, 5)</f>
        <v>205</v>
      </c>
    </row>
    <row r="255" spans="1:71">
      <c r="A255" s="1" t="s">
        <v>1096</v>
      </c>
      <c r="AT255" s="36">
        <f>MROUND(AT249*AT247, 5)</f>
        <v>220</v>
      </c>
      <c r="AU255" s="36">
        <f>MROUND(AU249*AU247, 5)</f>
        <v>200</v>
      </c>
      <c r="AX255" s="36">
        <f>MROUND(AX249*AX247, 5)</f>
        <v>295</v>
      </c>
    </row>
    <row r="256" spans="1:71">
      <c r="A256" s="1" t="s">
        <v>1095</v>
      </c>
      <c r="AP256" s="167"/>
      <c r="AR256" s="167"/>
      <c r="AT256" s="167">
        <f>AT255/AT254</f>
        <v>1.1891891891891893</v>
      </c>
      <c r="AU256" s="167">
        <f>AU255/AU254</f>
        <v>1.3333333333333333</v>
      </c>
      <c r="AX256" s="167">
        <f>AX255/AX254</f>
        <v>1.4390243902439024</v>
      </c>
    </row>
    <row r="258" spans="1:71" s="12" customFormat="1">
      <c r="A258" s="13" t="s">
        <v>2732</v>
      </c>
      <c r="AO258" s="227"/>
      <c r="BS258" s="46"/>
    </row>
    <row r="260" spans="1:71">
      <c r="A260" s="5" t="s">
        <v>870</v>
      </c>
      <c r="AS260" s="223">
        <v>644</v>
      </c>
      <c r="AT260" s="223">
        <v>652.04999999999995</v>
      </c>
      <c r="AU260" s="223">
        <v>367.9</v>
      </c>
      <c r="AW260" s="223">
        <v>386</v>
      </c>
      <c r="AX260" s="223">
        <v>363.8</v>
      </c>
      <c r="AY260" s="223">
        <v>286.89999999999998</v>
      </c>
      <c r="AZ260" s="221">
        <v>216.1</v>
      </c>
    </row>
    <row r="261" spans="1:71">
      <c r="A261" s="5" t="s">
        <v>738</v>
      </c>
      <c r="AS261" s="21"/>
      <c r="AT261" s="21">
        <f t="shared" ref="AT261:AU261" si="154">AT260/AS260-1</f>
        <v>1.2499999999999956E-2</v>
      </c>
      <c r="AU261" s="21">
        <f t="shared" si="154"/>
        <v>-0.43577946476497198</v>
      </c>
      <c r="AW261" s="21">
        <f>AW260/AU260-1</f>
        <v>4.9198151671649981E-2</v>
      </c>
      <c r="AX261" s="21">
        <f t="shared" ref="AX261:AZ261" si="155">AX260/AW260-1</f>
        <v>-5.7512953367875652E-2</v>
      </c>
      <c r="AY261" s="21">
        <f t="shared" si="155"/>
        <v>-0.21137987905442557</v>
      </c>
      <c r="AZ261" s="21">
        <f t="shared" si="155"/>
        <v>-0.24677588009759499</v>
      </c>
    </row>
    <row r="263" spans="1:71">
      <c r="A263" s="5" t="s">
        <v>871</v>
      </c>
      <c r="AS263" s="223">
        <v>83.83</v>
      </c>
      <c r="AT263" s="223">
        <v>85.56</v>
      </c>
      <c r="AU263" s="223">
        <v>85.47</v>
      </c>
      <c r="AW263" s="223">
        <v>85.71</v>
      </c>
      <c r="AX263" s="223">
        <v>88.84</v>
      </c>
      <c r="AY263" s="223">
        <v>89.96</v>
      </c>
      <c r="AZ263" s="221">
        <v>91.1</v>
      </c>
    </row>
    <row r="264" spans="1:71">
      <c r="A264" s="5" t="s">
        <v>738</v>
      </c>
      <c r="AS264" s="21"/>
      <c r="AT264" s="21">
        <f>AT263/AS263-1</f>
        <v>2.0637003459382131E-2</v>
      </c>
      <c r="AU264" s="21">
        <f>AU263/AT263-1</f>
        <v>-1.0518934081347187E-3</v>
      </c>
      <c r="AW264" s="21">
        <f>AW263/AU263-1</f>
        <v>2.8080028080026409E-3</v>
      </c>
      <c r="AX264" s="21">
        <f>AX263/AW263-1</f>
        <v>3.6518492591296248E-2</v>
      </c>
      <c r="AY264" s="21">
        <f>AY263/AX263-1</f>
        <v>1.2606933813597454E-2</v>
      </c>
      <c r="AZ264" s="21">
        <f>AZ263/AY263-1</f>
        <v>1.2672298799466519E-2</v>
      </c>
    </row>
    <row r="266" spans="1:71">
      <c r="A266" s="5" t="s">
        <v>749</v>
      </c>
      <c r="AS266" s="24">
        <f>AS260/AS263</f>
        <v>7.6822140045329839</v>
      </c>
      <c r="AT266" s="24">
        <f>AT260/AT263</f>
        <v>7.6209677419354831</v>
      </c>
      <c r="AU266" s="24">
        <f>AU260/AU263</f>
        <v>4.3044343044343041</v>
      </c>
      <c r="AW266" s="24">
        <f>AW260/AW263</f>
        <v>4.5035585112588965</v>
      </c>
      <c r="AX266" s="24">
        <f>AX260/AX263</f>
        <v>4.0950022512381814</v>
      </c>
      <c r="AY266" s="24">
        <f>AY260/AY263</f>
        <v>3.1891951978657183</v>
      </c>
      <c r="AZ266" s="24">
        <f>AZ260/AZ263</f>
        <v>2.37211855104281</v>
      </c>
    </row>
    <row r="267" spans="1:71">
      <c r="A267" s="5" t="s">
        <v>738</v>
      </c>
      <c r="AS267" s="21"/>
      <c r="AT267" s="21">
        <f>AT266/AS266-1</f>
        <v>-7.9724754558205824E-3</v>
      </c>
      <c r="AU267" s="21">
        <f>AU266/AT266-1</f>
        <v>-0.43518533994724473</v>
      </c>
      <c r="AW267" s="21">
        <f>AW266/AU266-1</f>
        <v>4.6260249951883381E-2</v>
      </c>
      <c r="AX267" s="21">
        <f>AX266/AW266-1</f>
        <v>-9.0718541570920963E-2</v>
      </c>
      <c r="AY267" s="21">
        <f>AY266/AX266-1</f>
        <v>-0.22119818202751407</v>
      </c>
      <c r="AZ267" s="21">
        <f>AZ266/AY266-1</f>
        <v>-0.25620151672425517</v>
      </c>
    </row>
    <row r="268" spans="1:71">
      <c r="AT268" s="219" t="s">
        <v>734</v>
      </c>
      <c r="AZ268" s="219" t="s">
        <v>3253</v>
      </c>
    </row>
    <row r="269" spans="1:71">
      <c r="A269" s="5" t="s">
        <v>746</v>
      </c>
      <c r="AS269" s="24">
        <f>AS56/AS266</f>
        <v>104.13664596273291</v>
      </c>
      <c r="AT269" s="24">
        <f>AT56/AT266</f>
        <v>104.97354497354499</v>
      </c>
      <c r="AU269" s="24">
        <f>AU56/AU266</f>
        <v>92.927425930959501</v>
      </c>
      <c r="AV269" s="24">
        <f>AU269</f>
        <v>92.927425930959501</v>
      </c>
      <c r="AW269" s="24">
        <f>AW56/AW266</f>
        <v>111.02331606217616</v>
      </c>
      <c r="AX269" s="24">
        <f>AX56/AX266</f>
        <v>97.680043980208893</v>
      </c>
      <c r="AY269" s="24">
        <f>AY56/AY266</f>
        <v>94.067619379574765</v>
      </c>
      <c r="AZ269" s="221">
        <f>AY269</f>
        <v>94.067619379574765</v>
      </c>
    </row>
    <row r="270" spans="1:71">
      <c r="A270" s="5" t="s">
        <v>80</v>
      </c>
      <c r="AS270" s="21">
        <f>AS269/AS274</f>
        <v>0.20057746784404151</v>
      </c>
      <c r="AT270" s="21">
        <f>AT269/AT274</f>
        <v>0.20206649658045234</v>
      </c>
      <c r="AU270" s="21">
        <f>AU269/AU274</f>
        <v>0.17870658832876826</v>
      </c>
      <c r="AW270" s="21">
        <f>AW269/AW274</f>
        <v>0.21330127965835957</v>
      </c>
      <c r="AX270" s="21">
        <f>AX269/AX274</f>
        <v>0.18748568902151419</v>
      </c>
      <c r="AY270" s="21">
        <f>AY269/AY274</f>
        <v>0.18037894416025843</v>
      </c>
      <c r="AZ270" s="21">
        <f>AZ269/AZ274</f>
        <v>0.18020616739382139</v>
      </c>
    </row>
    <row r="272" spans="1:71">
      <c r="A272" s="5" t="s">
        <v>745</v>
      </c>
      <c r="AS272" s="36">
        <f>AS56-AS100</f>
        <v>600</v>
      </c>
      <c r="AT272" s="36">
        <f>AT56-AT100</f>
        <v>600</v>
      </c>
      <c r="AU272" s="36">
        <f>AU56-AU100</f>
        <v>200</v>
      </c>
      <c r="AV272" s="36">
        <f>AV56-AV100</f>
        <v>200</v>
      </c>
      <c r="AW272" s="36">
        <f t="shared" ref="AW272:AZ272" si="156">AW56-AW100</f>
        <v>300</v>
      </c>
      <c r="AX272" s="36">
        <f t="shared" si="156"/>
        <v>200</v>
      </c>
      <c r="AY272" s="36">
        <f t="shared" si="156"/>
        <v>100</v>
      </c>
      <c r="AZ272" s="36">
        <f t="shared" si="156"/>
        <v>25</v>
      </c>
    </row>
    <row r="274" spans="1:71">
      <c r="A274" s="5" t="s">
        <v>2733</v>
      </c>
      <c r="AS274" s="681">
        <v>519.184169</v>
      </c>
      <c r="AT274" s="982">
        <f>MROUND(AS274+0.5, 0.5)</f>
        <v>519.5</v>
      </c>
      <c r="AU274" s="982">
        <f>MROUND(AT274+0.5, 0.5)</f>
        <v>520</v>
      </c>
      <c r="AW274" s="982">
        <f>MROUND(AU274+0.5, 0.5)</f>
        <v>520.5</v>
      </c>
      <c r="AX274" s="982">
        <f>MROUND(AW274+0.5, 0.5)</f>
        <v>521</v>
      </c>
      <c r="AY274" s="982">
        <f>MROUND(AX274+0.5, 0.5)</f>
        <v>521.5</v>
      </c>
      <c r="AZ274" s="982">
        <f>MROUND(AY274+0.5, 0.5)</f>
        <v>522</v>
      </c>
    </row>
    <row r="276" spans="1:71">
      <c r="A276" s="5" t="s">
        <v>748</v>
      </c>
    </row>
    <row r="277" spans="1:71">
      <c r="A277" s="5" t="s">
        <v>739</v>
      </c>
    </row>
    <row r="278" spans="1:71">
      <c r="A278" s="222" t="s">
        <v>740</v>
      </c>
    </row>
    <row r="279" spans="1:71">
      <c r="A279" s="5" t="s">
        <v>741</v>
      </c>
    </row>
    <row r="280" spans="1:71">
      <c r="A280" s="222" t="s">
        <v>742</v>
      </c>
    </row>
    <row r="281" spans="1:71" s="179" customFormat="1">
      <c r="A281" s="225" t="s">
        <v>743</v>
      </c>
      <c r="AP281" s="226"/>
      <c r="BS281" s="46"/>
    </row>
    <row r="283" spans="1:71">
      <c r="A283" s="1" t="s">
        <v>1094</v>
      </c>
    </row>
    <row r="284" spans="1:71">
      <c r="A284" s="1" t="s">
        <v>1096</v>
      </c>
    </row>
    <row r="285" spans="1:71">
      <c r="A285" s="1" t="s">
        <v>1095</v>
      </c>
    </row>
    <row r="287" spans="1:71" s="540" customFormat="1">
      <c r="A287" s="668" t="s">
        <v>755</v>
      </c>
      <c r="BS287" s="328"/>
    </row>
    <row r="288" spans="1:71" s="26" customFormat="1">
      <c r="AO288" s="26" t="s">
        <v>734</v>
      </c>
      <c r="BS288" s="328"/>
    </row>
    <row r="289" spans="1:71" s="26" customFormat="1" hidden="1" outlineLevel="1">
      <c r="A289" s="29" t="s">
        <v>749</v>
      </c>
      <c r="AO289" s="284">
        <v>98.89</v>
      </c>
      <c r="AP289" s="284">
        <v>137.72</v>
      </c>
      <c r="AR289" s="284">
        <v>108.78</v>
      </c>
      <c r="AS289" s="284">
        <v>142.72999999999999</v>
      </c>
      <c r="AT289" s="284">
        <v>167.75</v>
      </c>
      <c r="BS289" s="328"/>
    </row>
    <row r="290" spans="1:71" s="26" customFormat="1" hidden="1" outlineLevel="1">
      <c r="A290" s="29" t="s">
        <v>738</v>
      </c>
      <c r="AP290" s="260">
        <f>AP289/AO289-1</f>
        <v>0.39265850945494996</v>
      </c>
      <c r="AR290" s="260">
        <f>AR289/AP289-1</f>
        <v>-0.21013650885855362</v>
      </c>
      <c r="AS290" s="260">
        <f>AS289/AR289-1</f>
        <v>0.31209781209781196</v>
      </c>
      <c r="AT290" s="260">
        <f>AT289/AS289-1</f>
        <v>0.17529601345197232</v>
      </c>
      <c r="BS290" s="328"/>
    </row>
    <row r="291" spans="1:71" s="26" customFormat="1" hidden="1" outlineLevel="1">
      <c r="BS291" s="328"/>
    </row>
    <row r="292" spans="1:71" s="26" customFormat="1" hidden="1" outlineLevel="1">
      <c r="A292" s="29" t="s">
        <v>746</v>
      </c>
      <c r="AO292" s="287">
        <f>AO57/AO289</f>
        <v>9.1010213368389117</v>
      </c>
      <c r="AP292" s="287">
        <f>AP57/AP289</f>
        <v>6.534998547778101</v>
      </c>
      <c r="AQ292" s="287">
        <f>AP292</f>
        <v>6.534998547778101</v>
      </c>
      <c r="AR292" s="287">
        <f>AR57/AR289</f>
        <v>4.5964331678617389</v>
      </c>
      <c r="AS292" s="287">
        <f>AS57/AS289</f>
        <v>1.4012471099278359</v>
      </c>
      <c r="AT292" s="285">
        <f>AS292</f>
        <v>1.4012471099278359</v>
      </c>
      <c r="BS292" s="328"/>
    </row>
    <row r="293" spans="1:71" s="26" customFormat="1" hidden="1" outlineLevel="1">
      <c r="A293" s="29" t="s">
        <v>80</v>
      </c>
      <c r="AO293" s="260">
        <f>AO292/AO297</f>
        <v>2.2527045731310241E-2</v>
      </c>
      <c r="AP293" s="260">
        <f>AP292/AP297</f>
        <v>1.598133548774525E-2</v>
      </c>
      <c r="AR293" s="260">
        <f>AR292/AR297</f>
        <v>1.1168825231233493E-2</v>
      </c>
      <c r="AS293" s="260">
        <f>AS292/AS297</f>
        <v>3.3732782783520475E-3</v>
      </c>
      <c r="AT293" s="260">
        <f>AT292/AT297</f>
        <v>3.3732782783520475E-3</v>
      </c>
      <c r="BS293" s="328"/>
    </row>
    <row r="294" spans="1:71" s="26" customFormat="1" hidden="1" outlineLevel="1">
      <c r="BS294" s="328"/>
    </row>
    <row r="295" spans="1:71" s="26" customFormat="1" hidden="1" outlineLevel="1">
      <c r="A295" s="29" t="s">
        <v>745</v>
      </c>
      <c r="AO295" s="61">
        <f t="shared" ref="AO295:AT295" si="157">AO57-AO101</f>
        <v>800</v>
      </c>
      <c r="AP295" s="61">
        <f t="shared" si="157"/>
        <v>800</v>
      </c>
      <c r="AQ295" s="61">
        <f t="shared" si="157"/>
        <v>800</v>
      </c>
      <c r="AR295" s="61">
        <f t="shared" si="157"/>
        <v>400</v>
      </c>
      <c r="AS295" s="61">
        <f t="shared" si="157"/>
        <v>200</v>
      </c>
      <c r="AT295" s="61">
        <f t="shared" si="157"/>
        <v>0</v>
      </c>
      <c r="BS295" s="328"/>
    </row>
    <row r="296" spans="1:71" s="26" customFormat="1" hidden="1" outlineLevel="1">
      <c r="AR296" s="443" t="s">
        <v>2671</v>
      </c>
      <c r="BS296" s="328"/>
    </row>
    <row r="297" spans="1:71" s="26" customFormat="1" hidden="1" outlineLevel="1">
      <c r="A297" s="29" t="s">
        <v>756</v>
      </c>
      <c r="AO297" s="607">
        <f>376.76305+27.241161</f>
        <v>404.004211</v>
      </c>
      <c r="AP297" s="607">
        <f>381.687286+27.227135</f>
        <v>408.91442099999995</v>
      </c>
      <c r="AR297" s="607">
        <f>384.62626+26.915068</f>
        <v>411.54132800000002</v>
      </c>
      <c r="AS297" s="607">
        <f>388.981171+26.415068</f>
        <v>415.39623900000004</v>
      </c>
      <c r="AT297" s="471">
        <f>AS297</f>
        <v>415.39623900000004</v>
      </c>
      <c r="BS297" s="328"/>
    </row>
    <row r="298" spans="1:71" s="26" customFormat="1" hidden="1" outlineLevel="1">
      <c r="BS298" s="328"/>
    </row>
    <row r="299" spans="1:71" s="26" customFormat="1" hidden="1" outlineLevel="1">
      <c r="A299" s="29" t="s">
        <v>748</v>
      </c>
      <c r="BS299" s="328"/>
    </row>
    <row r="300" spans="1:71" s="26" customFormat="1" hidden="1" outlineLevel="1">
      <c r="A300" s="29" t="s">
        <v>739</v>
      </c>
      <c r="BS300" s="328"/>
    </row>
    <row r="301" spans="1:71" s="26" customFormat="1" hidden="1" outlineLevel="1">
      <c r="A301" s="669" t="s">
        <v>740</v>
      </c>
      <c r="BS301" s="328"/>
    </row>
    <row r="302" spans="1:71" s="26" customFormat="1" hidden="1" outlineLevel="1">
      <c r="A302" s="29" t="s">
        <v>741</v>
      </c>
      <c r="BS302" s="328"/>
    </row>
    <row r="303" spans="1:71" s="26" customFormat="1" hidden="1" outlineLevel="1">
      <c r="A303" s="669" t="s">
        <v>742</v>
      </c>
      <c r="BS303" s="328"/>
    </row>
    <row r="304" spans="1:71" s="671" customFormat="1" hidden="1" outlineLevel="1">
      <c r="A304" s="670" t="s">
        <v>2659</v>
      </c>
      <c r="AP304" s="672"/>
      <c r="BS304" s="328"/>
    </row>
    <row r="305" spans="1:71" s="26" customFormat="1" hidden="1" outlineLevel="1">
      <c r="BS305" s="328"/>
    </row>
    <row r="306" spans="1:71" s="26" customFormat="1" hidden="1" outlineLevel="1">
      <c r="A306" s="26" t="s">
        <v>1094</v>
      </c>
      <c r="BS306" s="328"/>
    </row>
    <row r="307" spans="1:71" s="26" customFormat="1" hidden="1" outlineLevel="1">
      <c r="A307" s="26" t="s">
        <v>2660</v>
      </c>
      <c r="BS307" s="328"/>
    </row>
    <row r="308" spans="1:71" s="26" customFormat="1" hidden="1" outlineLevel="1">
      <c r="A308" s="26" t="s">
        <v>2661</v>
      </c>
      <c r="AP308" s="339"/>
      <c r="AR308" s="339"/>
      <c r="BS308" s="328"/>
    </row>
    <row r="309" spans="1:71" s="26" customFormat="1" hidden="1" outlineLevel="1">
      <c r="BS309" s="328"/>
    </row>
    <row r="310" spans="1:71" s="12" customFormat="1" collapsed="1">
      <c r="A310" s="13" t="s">
        <v>2672</v>
      </c>
      <c r="AO310" s="227"/>
      <c r="BS310" s="46"/>
    </row>
    <row r="311" spans="1:71">
      <c r="AO311" s="219" t="s">
        <v>734</v>
      </c>
    </row>
    <row r="312" spans="1:71">
      <c r="A312" s="5" t="s">
        <v>749</v>
      </c>
      <c r="AO312" s="223">
        <v>11.23</v>
      </c>
      <c r="AP312" s="223">
        <v>10.54</v>
      </c>
      <c r="AR312" s="223">
        <v>10.57</v>
      </c>
      <c r="AS312" s="223">
        <v>11.54</v>
      </c>
      <c r="AT312" s="223">
        <v>11.83</v>
      </c>
      <c r="AU312" s="223">
        <v>10.09</v>
      </c>
      <c r="AW312" s="223">
        <v>11.27</v>
      </c>
      <c r="AX312" s="223">
        <v>15.13</v>
      </c>
      <c r="AY312" s="223">
        <v>21.7</v>
      </c>
      <c r="AZ312" s="221">
        <v>28.95</v>
      </c>
    </row>
    <row r="313" spans="1:71">
      <c r="A313" s="5" t="s">
        <v>738</v>
      </c>
      <c r="AP313" s="21">
        <f>AP312/AO312-1</f>
        <v>-6.1442564559216484E-2</v>
      </c>
      <c r="AR313" s="21">
        <f>AR312/AP312-1</f>
        <v>2.8462998102467552E-3</v>
      </c>
      <c r="AS313" s="21">
        <f>AS312/AR312-1</f>
        <v>9.1769157994323391E-2</v>
      </c>
      <c r="AT313" s="21">
        <f>AT312/AS312-1</f>
        <v>2.512998266897748E-2</v>
      </c>
      <c r="AU313" s="21">
        <f>AU312/AT312-1</f>
        <v>-0.147083685545224</v>
      </c>
      <c r="AW313" s="21">
        <f>AW312/AU312-1</f>
        <v>0.11694747274529238</v>
      </c>
      <c r="AX313" s="21">
        <f>AX312/AW312-1</f>
        <v>0.34250221827861593</v>
      </c>
      <c r="AY313" s="21">
        <f>AY312/AX312-1</f>
        <v>0.43423661599471242</v>
      </c>
      <c r="AZ313" s="21">
        <f>AZ312/AY312-1</f>
        <v>0.33410138248847931</v>
      </c>
    </row>
    <row r="314" spans="1:71">
      <c r="AZ314" s="219" t="s">
        <v>3253</v>
      </c>
    </row>
    <row r="315" spans="1:71">
      <c r="A315" s="5" t="s">
        <v>746</v>
      </c>
      <c r="AO315" s="24">
        <f>AO58/AO312</f>
        <v>71.237756010685658</v>
      </c>
      <c r="AP315" s="24">
        <f>AP58/AP312</f>
        <v>75.901328273244786</v>
      </c>
      <c r="AQ315" s="24">
        <f>AP315</f>
        <v>75.901328273244786</v>
      </c>
      <c r="AR315" s="24">
        <f>AR58/AR312</f>
        <v>75.685903500473032</v>
      </c>
      <c r="AS315" s="24">
        <f>AS58/AS312</f>
        <v>69.32409012131717</v>
      </c>
      <c r="AT315" s="24">
        <f>AT58/AT312</f>
        <v>59.171597633136095</v>
      </c>
      <c r="AU315" s="24">
        <f>AU58/AU312</f>
        <v>59.464816650148663</v>
      </c>
      <c r="AV315" s="24">
        <f>AU315</f>
        <v>59.464816650148663</v>
      </c>
      <c r="AW315" s="24">
        <f>AW58/AW312</f>
        <v>62.111801242236027</v>
      </c>
      <c r="AX315" s="24">
        <f>AX58/AX312</f>
        <v>39.656311962987438</v>
      </c>
      <c r="AY315" s="24">
        <f>AY58/AY312</f>
        <v>18.433179723502306</v>
      </c>
      <c r="AZ315" s="221">
        <f>AY315</f>
        <v>18.433179723502306</v>
      </c>
    </row>
    <row r="316" spans="1:71">
      <c r="A316" s="5" t="s">
        <v>80</v>
      </c>
      <c r="AO316" s="21">
        <f>AO315/AO320</f>
        <v>8.8401202562621697E-2</v>
      </c>
      <c r="AP316" s="21">
        <f>AP315/AP320</f>
        <v>0.10274683589142344</v>
      </c>
      <c r="AR316" s="21">
        <f>AR315/AR320</f>
        <v>0.10234438125313937</v>
      </c>
      <c r="AS316" s="21">
        <f>AS315/AS320</f>
        <v>9.5231972663922207E-2</v>
      </c>
      <c r="AT316" s="21">
        <f>AT315/AT320</f>
        <v>8.2925713094909384E-2</v>
      </c>
      <c r="AU316" s="21">
        <f>AU315/AU320</f>
        <v>8.7473206366263642E-2</v>
      </c>
      <c r="AW316" s="21">
        <f>AW315/AW320</f>
        <v>9.0955428050206386E-2</v>
      </c>
      <c r="AX316" s="21">
        <f>AX315/AX320</f>
        <v>5.7019108653074753E-2</v>
      </c>
      <c r="AY316" s="21">
        <f>AY315/AY320</f>
        <v>2.6503813023687289E-2</v>
      </c>
      <c r="AZ316" s="21">
        <f>AZ315/AZ320</f>
        <v>2.6503813023687289E-2</v>
      </c>
    </row>
    <row r="318" spans="1:71">
      <c r="A318" s="5" t="s">
        <v>745</v>
      </c>
      <c r="AO318" s="36">
        <f t="shared" ref="AO318:AZ318" si="158">AO58-AO102</f>
        <v>100</v>
      </c>
      <c r="AP318" s="36">
        <f t="shared" si="158"/>
        <v>100</v>
      </c>
      <c r="AQ318" s="36">
        <f t="shared" si="158"/>
        <v>100</v>
      </c>
      <c r="AR318" s="36">
        <f t="shared" si="158"/>
        <v>100</v>
      </c>
      <c r="AS318" s="36">
        <f t="shared" si="158"/>
        <v>200</v>
      </c>
      <c r="AT318" s="36">
        <f t="shared" si="158"/>
        <v>200</v>
      </c>
      <c r="AU318" s="36">
        <f t="shared" si="158"/>
        <v>0</v>
      </c>
      <c r="AV318" s="36">
        <f t="shared" si="158"/>
        <v>0</v>
      </c>
      <c r="AW318" s="36">
        <f t="shared" si="158"/>
        <v>100</v>
      </c>
      <c r="AX318" s="36">
        <f t="shared" si="158"/>
        <v>200</v>
      </c>
      <c r="AY318" s="36">
        <f t="shared" si="158"/>
        <v>200</v>
      </c>
      <c r="AZ318" s="36">
        <f t="shared" si="158"/>
        <v>335</v>
      </c>
    </row>
    <row r="319" spans="1:71">
      <c r="AR319" s="678" t="s">
        <v>2673</v>
      </c>
      <c r="AS319" s="678"/>
    </row>
    <row r="320" spans="1:71">
      <c r="A320" s="5" t="s">
        <v>759</v>
      </c>
      <c r="AO320" s="37">
        <v>805.84600599999999</v>
      </c>
      <c r="AP320" s="37">
        <v>738.72180700000001</v>
      </c>
      <c r="AR320" s="37">
        <v>739.52182400000004</v>
      </c>
      <c r="AS320" s="37">
        <v>727.94974400000001</v>
      </c>
      <c r="AT320" s="37">
        <v>713.54945799999996</v>
      </c>
      <c r="AU320" s="37">
        <v>679.80606999999998</v>
      </c>
      <c r="AW320" s="37">
        <v>682.88174300000003</v>
      </c>
      <c r="AX320" s="37">
        <v>695.49161500000002</v>
      </c>
      <c r="AY320" s="622">
        <f>AX320</f>
        <v>695.49161500000002</v>
      </c>
      <c r="AZ320" s="622">
        <f>AY320</f>
        <v>695.49161500000002</v>
      </c>
    </row>
    <row r="322" spans="1:71">
      <c r="A322" s="5" t="s">
        <v>748</v>
      </c>
      <c r="AT322" s="24">
        <f>AS315-AT315</f>
        <v>10.152492488181075</v>
      </c>
      <c r="AX322" s="24">
        <f>AW315-AX315</f>
        <v>22.455489279248589</v>
      </c>
      <c r="AY322" s="24">
        <f>AX315-AY315</f>
        <v>21.223132239485132</v>
      </c>
    </row>
    <row r="323" spans="1:71">
      <c r="A323" s="5" t="s">
        <v>739</v>
      </c>
      <c r="AT323" s="21">
        <f>AT322/AS315</f>
        <v>0.14644970414201197</v>
      </c>
      <c r="AX323" s="21">
        <f>AX322/AW315</f>
        <v>0.36153337739590224</v>
      </c>
      <c r="AY323" s="21">
        <f>AY322/AX315</f>
        <v>0.53517665130568348</v>
      </c>
    </row>
    <row r="324" spans="1:71">
      <c r="A324" s="222" t="s">
        <v>740</v>
      </c>
      <c r="AT324" s="636">
        <f>MROUND(AVERAGE(AS312:AT312), 0.05)</f>
        <v>11.700000000000001</v>
      </c>
      <c r="AX324" s="636">
        <f>MROUND(AVERAGE(AW312:AX312), 0.05)</f>
        <v>13.200000000000001</v>
      </c>
      <c r="AY324" s="636">
        <f>MROUND(AVERAGE(AX312:AY312), 0.05)</f>
        <v>18.400000000000002</v>
      </c>
    </row>
    <row r="325" spans="1:71">
      <c r="A325" s="5" t="s">
        <v>741</v>
      </c>
      <c r="AT325" s="224">
        <f>MROUND(AS102/AS315, 0.05)</f>
        <v>8.65</v>
      </c>
      <c r="AX325" s="224">
        <f>MROUND(AW102/AW315, 0.05)</f>
        <v>9.65</v>
      </c>
      <c r="AY325" s="224">
        <f>MROUND(AX102/AX315, 0.05)</f>
        <v>10.100000000000001</v>
      </c>
    </row>
    <row r="326" spans="1:71">
      <c r="A326" s="222" t="s">
        <v>742</v>
      </c>
      <c r="AT326" s="80">
        <f>MROUND(AT322*(AT324-AT325), 5)</f>
        <v>30</v>
      </c>
      <c r="AX326" s="80">
        <f>MROUND(AX322*(AX324-AX325), 5)</f>
        <v>80</v>
      </c>
      <c r="AY326" s="80">
        <f>MROUND(AY322*(AY324-AY325), 5)</f>
        <v>175</v>
      </c>
    </row>
    <row r="327" spans="1:71" s="179" customFormat="1">
      <c r="A327" s="225" t="s">
        <v>743</v>
      </c>
      <c r="AP327" s="226"/>
      <c r="AT327" s="226">
        <f>-MROUND(AS318*AT322/AS315, 5)</f>
        <v>-30</v>
      </c>
      <c r="AX327" s="226">
        <f>-MROUND(AW318*AX322/AW315, 5)</f>
        <v>-35</v>
      </c>
      <c r="AY327" s="226">
        <f>-MROUND(AX318*AY322/AX315, 5)</f>
        <v>-105</v>
      </c>
      <c r="BS327" s="46"/>
    </row>
    <row r="329" spans="1:71">
      <c r="A329" s="1" t="s">
        <v>1094</v>
      </c>
      <c r="AT329" s="36">
        <f>MROUND(AT325*AT322, 5)</f>
        <v>90</v>
      </c>
      <c r="AX329" s="36">
        <f>MROUND(AX325*AX322, 5)</f>
        <v>215</v>
      </c>
      <c r="AY329" s="36">
        <f>MROUND(AY325*AY322, 5)</f>
        <v>215</v>
      </c>
    </row>
    <row r="330" spans="1:71">
      <c r="A330" s="1" t="s">
        <v>1096</v>
      </c>
      <c r="AT330" s="36">
        <f>MROUND(AT324*AT322, 5)</f>
        <v>120</v>
      </c>
      <c r="AX330" s="36">
        <f>MROUND(AX324*AX322, 5)</f>
        <v>295</v>
      </c>
      <c r="AY330" s="36">
        <f>MROUND(AY324*AY322, 5)</f>
        <v>390</v>
      </c>
    </row>
    <row r="331" spans="1:71">
      <c r="A331" s="1" t="s">
        <v>1095</v>
      </c>
      <c r="AP331" s="167"/>
      <c r="AR331" s="167"/>
      <c r="AT331" s="167">
        <f>AT330/AT329</f>
        <v>1.3333333333333333</v>
      </c>
      <c r="AX331" s="167">
        <f>AX330/AX329</f>
        <v>1.3720930232558139</v>
      </c>
      <c r="AY331" s="167">
        <f>AY330/AY329</f>
        <v>1.8139534883720929</v>
      </c>
    </row>
    <row r="333" spans="1:71" s="12" customFormat="1">
      <c r="A333" s="13" t="s">
        <v>760</v>
      </c>
      <c r="AO333" s="227"/>
      <c r="BS333" s="46"/>
    </row>
    <row r="334" spans="1:71">
      <c r="AO334" s="219" t="s">
        <v>734</v>
      </c>
    </row>
    <row r="335" spans="1:71">
      <c r="A335" s="5" t="s">
        <v>762</v>
      </c>
      <c r="AO335" s="223">
        <v>86</v>
      </c>
      <c r="AP335" s="223">
        <v>69</v>
      </c>
      <c r="AR335" s="223">
        <v>50</v>
      </c>
      <c r="AS335" s="223">
        <v>66</v>
      </c>
      <c r="AT335" s="223">
        <v>70</v>
      </c>
      <c r="AU335" s="223">
        <v>83</v>
      </c>
      <c r="AW335" s="223">
        <v>58</v>
      </c>
      <c r="AX335" s="223">
        <v>54</v>
      </c>
      <c r="AY335" s="223">
        <v>64</v>
      </c>
      <c r="AZ335" s="221">
        <v>61</v>
      </c>
    </row>
    <row r="336" spans="1:71">
      <c r="A336" s="5" t="s">
        <v>738</v>
      </c>
      <c r="AO336" s="219"/>
      <c r="AP336" s="21">
        <f>AP335/AO335-1</f>
        <v>-0.19767441860465118</v>
      </c>
      <c r="AR336" s="21">
        <f>AR335/AP335-1</f>
        <v>-0.27536231884057971</v>
      </c>
      <c r="AS336" s="21">
        <f>AS335/AR335-1</f>
        <v>0.32000000000000006</v>
      </c>
      <c r="AT336" s="21">
        <f>AT335/AS335-1</f>
        <v>6.0606060606060552E-2</v>
      </c>
      <c r="AU336" s="21">
        <f>AU335/AT335-1</f>
        <v>0.18571428571428572</v>
      </c>
      <c r="AW336" s="21">
        <f>AW335/AU335-1</f>
        <v>-0.3012048192771084</v>
      </c>
      <c r="AX336" s="21">
        <f>AX335/AW335-1</f>
        <v>-6.8965517241379337E-2</v>
      </c>
      <c r="AY336" s="21">
        <f>AY335/AX335-1</f>
        <v>0.18518518518518512</v>
      </c>
      <c r="AZ336" s="21">
        <f>AZ335/AY335-1</f>
        <v>-4.6875E-2</v>
      </c>
    </row>
    <row r="337" spans="1:52">
      <c r="AO337" s="219"/>
    </row>
    <row r="338" spans="1:52">
      <c r="A338" s="5" t="s">
        <v>763</v>
      </c>
      <c r="AO338" s="223">
        <v>15390</v>
      </c>
      <c r="AP338" s="223">
        <v>15880.1</v>
      </c>
      <c r="AR338" s="223">
        <v>16350</v>
      </c>
      <c r="AS338" s="223">
        <v>15170.6</v>
      </c>
      <c r="AT338" s="223">
        <v>16000.8</v>
      </c>
      <c r="AU338" s="223">
        <v>16652</v>
      </c>
      <c r="AW338" s="223">
        <v>16316.18</v>
      </c>
      <c r="AX338" s="223">
        <v>16683</v>
      </c>
      <c r="AY338" s="223">
        <v>16657.3</v>
      </c>
      <c r="AZ338" s="221">
        <v>16750</v>
      </c>
    </row>
    <row r="339" spans="1:52">
      <c r="A339" s="5" t="s">
        <v>738</v>
      </c>
      <c r="AO339" s="219"/>
      <c r="AP339" s="21">
        <f>AP338/AO338-1</f>
        <v>3.1845354126055936E-2</v>
      </c>
      <c r="AR339" s="21">
        <f>AR338/AP338-1</f>
        <v>2.9590493762633674E-2</v>
      </c>
      <c r="AS339" s="21">
        <f>AS338/AR338-1</f>
        <v>-7.2134556574923514E-2</v>
      </c>
      <c r="AT339" s="21">
        <f>AT338/AS338-1</f>
        <v>5.4724269310376661E-2</v>
      </c>
      <c r="AU339" s="21">
        <f>AU338/AT338-1</f>
        <v>4.0697965101744948E-2</v>
      </c>
      <c r="AW339" s="21">
        <f>AW338/AU338-1</f>
        <v>-2.016694691328369E-2</v>
      </c>
      <c r="AX339" s="21">
        <f>AX338/AW338-1</f>
        <v>2.248197801201024E-2</v>
      </c>
      <c r="AY339" s="21">
        <f>AY338/AX338-1</f>
        <v>-1.5404903194869979E-3</v>
      </c>
      <c r="AZ339" s="21">
        <f>AZ338/AY338-1</f>
        <v>5.5651276017121276E-3</v>
      </c>
    </row>
    <row r="340" spans="1:52">
      <c r="AO340" s="219"/>
    </row>
    <row r="341" spans="1:52">
      <c r="A341" s="5" t="s">
        <v>749</v>
      </c>
      <c r="AO341" s="220">
        <f>AO335/AO338</f>
        <v>5.5880441845354125E-3</v>
      </c>
      <c r="AP341" s="220">
        <f>AP335/AP338</f>
        <v>4.3450607993652428E-3</v>
      </c>
      <c r="AR341" s="220">
        <f>AR335/AR338</f>
        <v>3.0581039755351682E-3</v>
      </c>
      <c r="AS341" s="220">
        <f>AS335/AS338</f>
        <v>4.3505200849010585E-3</v>
      </c>
      <c r="AT341" s="220">
        <f>AT335/AT338</f>
        <v>4.3747812609369529E-3</v>
      </c>
      <c r="AU341" s="220">
        <f>AU335/AU338</f>
        <v>4.9843862599087199E-3</v>
      </c>
      <c r="AW341" s="220">
        <f>AW335/AW338</f>
        <v>3.5547536249293647E-3</v>
      </c>
      <c r="AX341" s="220">
        <f>AX335/AX338</f>
        <v>3.2368279086495235E-3</v>
      </c>
      <c r="AY341" s="220">
        <f>AY335/AY338</f>
        <v>3.8421592935229602E-3</v>
      </c>
      <c r="AZ341" s="220">
        <f>AZ335/AZ338</f>
        <v>3.6417910447761196E-3</v>
      </c>
    </row>
    <row r="342" spans="1:52">
      <c r="A342" s="5" t="s">
        <v>738</v>
      </c>
      <c r="AP342" s="21">
        <f>AP341/AO341-1</f>
        <v>-0.22243621276475478</v>
      </c>
      <c r="AR342" s="21">
        <f>AR341/AP341-1</f>
        <v>-0.29618845011744888</v>
      </c>
      <c r="AS342" s="21">
        <f>AS341/AR341-1</f>
        <v>0.42262006776264616</v>
      </c>
      <c r="AT342" s="21">
        <f>AT341/AS341-1</f>
        <v>5.5766151086384941E-3</v>
      </c>
      <c r="AU342" s="21">
        <f>AU341/AT341-1</f>
        <v>0.13934525239353501</v>
      </c>
      <c r="AW342" s="21">
        <f>AW341/AU341-1</f>
        <v>-0.28682220045393036</v>
      </c>
      <c r="AX342" s="21">
        <f>AX341/AW341-1</f>
        <v>-8.9436779542255485E-2</v>
      </c>
      <c r="AY342" s="21">
        <f>AY341/AX341-1</f>
        <v>0.18701376840451012</v>
      </c>
      <c r="AZ342" s="21">
        <f>AZ341/AY341-1</f>
        <v>-5.2149906716417949E-2</v>
      </c>
    </row>
    <row r="343" spans="1:52">
      <c r="AP343" s="25" t="s">
        <v>764</v>
      </c>
      <c r="AZ343" s="219" t="s">
        <v>3253</v>
      </c>
    </row>
    <row r="344" spans="1:52">
      <c r="A344" s="5" t="s">
        <v>746</v>
      </c>
      <c r="AO344" s="38">
        <f>AO59/AO341</f>
        <v>89476.744186046519</v>
      </c>
      <c r="AP344" s="38">
        <f>AP59/AP341</f>
        <v>92058.550724637695</v>
      </c>
      <c r="AQ344" s="38">
        <f>AP344</f>
        <v>92058.550724637695</v>
      </c>
      <c r="AR344" s="38">
        <f>AR59/AR341</f>
        <v>98100</v>
      </c>
      <c r="AS344" s="38">
        <f>AS59/AS341</f>
        <v>91943.030303030304</v>
      </c>
      <c r="AT344" s="38">
        <f>AT59/AT341</f>
        <v>91433.142857142855</v>
      </c>
      <c r="AU344" s="38">
        <f>AU59/AU341</f>
        <v>100313.25301204818</v>
      </c>
      <c r="AV344" s="36">
        <f>AU344</f>
        <v>100313.25301204818</v>
      </c>
      <c r="AW344" s="38">
        <f>AW59/AW341</f>
        <v>84394.034482758623</v>
      </c>
      <c r="AX344" s="38">
        <f>AX59/AX341</f>
        <v>92683.333333333328</v>
      </c>
      <c r="AY344" s="38">
        <f>AY59/AY341</f>
        <v>78081.09375</v>
      </c>
      <c r="AZ344" s="228">
        <f>AY344</f>
        <v>78081.09375</v>
      </c>
    </row>
    <row r="345" spans="1:52">
      <c r="A345" s="5" t="s">
        <v>80</v>
      </c>
      <c r="AO345" s="21">
        <f>AO344/AO349</f>
        <v>8.4230210967167693E-2</v>
      </c>
      <c r="AP345" s="21">
        <f>AP344/AP349</f>
        <v>8.5789196160808504E-2</v>
      </c>
      <c r="AR345" s="21">
        <f>AR344/AR349</f>
        <v>9.1214634593014474E-2</v>
      </c>
      <c r="AS345" s="21">
        <f>AS344/AS349</f>
        <v>8.5482465329850946E-2</v>
      </c>
      <c r="AT345" s="21">
        <f>AT344/AT349</f>
        <v>8.5214713325924188E-2</v>
      </c>
      <c r="AU345" s="21">
        <f>AU344/AU349</f>
        <v>9.4921296105335479E-2</v>
      </c>
      <c r="AW345" s="21">
        <f>AW344/AW349</f>
        <v>7.9895369764750201E-2</v>
      </c>
      <c r="AX345" s="21">
        <f>AX344/AX349</f>
        <v>8.7712823565552531E-2</v>
      </c>
      <c r="AY345" s="21">
        <f>AY344/AY349</f>
        <v>7.3893686745899481E-2</v>
      </c>
      <c r="AZ345" s="21">
        <f>AZ344/AZ349</f>
        <v>7.3893686745899481E-2</v>
      </c>
    </row>
    <row r="347" spans="1:52">
      <c r="A347" s="5" t="s">
        <v>745</v>
      </c>
      <c r="AO347" s="36">
        <f t="shared" ref="AO347:AW347" si="159">AO59-AO103</f>
        <v>-500</v>
      </c>
      <c r="AP347" s="36">
        <f t="shared" si="159"/>
        <v>-600</v>
      </c>
      <c r="AQ347" s="36">
        <f t="shared" si="159"/>
        <v>-600</v>
      </c>
      <c r="AR347" s="36">
        <f t="shared" si="159"/>
        <v>-700</v>
      </c>
      <c r="AS347" s="36">
        <f t="shared" si="159"/>
        <v>-600</v>
      </c>
      <c r="AT347" s="36">
        <f t="shared" si="159"/>
        <v>-600</v>
      </c>
      <c r="AU347" s="36">
        <f t="shared" si="159"/>
        <v>-500</v>
      </c>
      <c r="AV347" s="36">
        <f t="shared" si="159"/>
        <v>-500</v>
      </c>
      <c r="AW347" s="36">
        <f t="shared" si="159"/>
        <v>-700</v>
      </c>
      <c r="AX347" s="36">
        <f t="shared" ref="AX347:AZ347" si="160">AX59-AX103</f>
        <v>-700</v>
      </c>
      <c r="AY347" s="36">
        <f t="shared" si="160"/>
        <v>-700</v>
      </c>
      <c r="AZ347" s="36">
        <f t="shared" si="160"/>
        <v>-715</v>
      </c>
    </row>
    <row r="348" spans="1:52">
      <c r="AO348" s="219" t="s">
        <v>2821</v>
      </c>
    </row>
    <row r="349" spans="1:52">
      <c r="A349" s="5" t="s">
        <v>761</v>
      </c>
      <c r="AO349" s="101">
        <v>1062288.0218229999</v>
      </c>
      <c r="AP349" s="101">
        <v>1073078.6024859999</v>
      </c>
      <c r="AR349" s="101">
        <v>1075485.3148040001</v>
      </c>
      <c r="AS349" s="101">
        <v>1075577.663188</v>
      </c>
      <c r="AT349" s="101">
        <v>1072973.660164</v>
      </c>
      <c r="AU349" s="101">
        <v>1056804.501497</v>
      </c>
      <c r="AW349" s="101">
        <v>1056306.951595</v>
      </c>
      <c r="AX349" s="101">
        <v>1056667.994094</v>
      </c>
      <c r="AY349" s="622">
        <f>AX349</f>
        <v>1056667.994094</v>
      </c>
      <c r="AZ349" s="622">
        <f>AY349</f>
        <v>1056667.994094</v>
      </c>
    </row>
    <row r="351" spans="1:52">
      <c r="A351" s="5" t="s">
        <v>748</v>
      </c>
    </row>
    <row r="352" spans="1:52">
      <c r="A352" s="5" t="s">
        <v>739</v>
      </c>
    </row>
    <row r="353" spans="1:71">
      <c r="A353" s="222" t="s">
        <v>740</v>
      </c>
    </row>
    <row r="354" spans="1:71">
      <c r="A354" s="5" t="s">
        <v>741</v>
      </c>
    </row>
    <row r="355" spans="1:71">
      <c r="A355" s="222" t="s">
        <v>742</v>
      </c>
    </row>
    <row r="356" spans="1:71" s="179" customFormat="1">
      <c r="A356" s="225" t="s">
        <v>743</v>
      </c>
      <c r="AP356" s="226"/>
      <c r="BS356" s="46"/>
    </row>
    <row r="358" spans="1:71">
      <c r="A358" s="1" t="s">
        <v>1094</v>
      </c>
    </row>
    <row r="359" spans="1:71">
      <c r="A359" s="1" t="s">
        <v>1096</v>
      </c>
    </row>
    <row r="360" spans="1:71">
      <c r="A360" s="1" t="s">
        <v>1095</v>
      </c>
      <c r="AP360" s="167"/>
      <c r="AR360" s="167"/>
    </row>
    <row r="362" spans="1:71" s="540" customFormat="1">
      <c r="A362" s="668" t="s">
        <v>865</v>
      </c>
      <c r="AR362" s="172" t="s">
        <v>2662</v>
      </c>
      <c r="BS362" s="328"/>
    </row>
    <row r="363" spans="1:71" s="26" customFormat="1">
      <c r="BS363" s="328"/>
    </row>
    <row r="364" spans="1:71" s="26" customFormat="1" hidden="1" outlineLevel="1">
      <c r="A364" s="29" t="s">
        <v>867</v>
      </c>
      <c r="AO364" s="284">
        <v>1.1599999999999999</v>
      </c>
      <c r="AP364" s="284">
        <v>0.71</v>
      </c>
      <c r="AR364" s="284">
        <v>1.32</v>
      </c>
      <c r="AS364" s="285">
        <v>1.1599999999999999</v>
      </c>
      <c r="BS364" s="328"/>
    </row>
    <row r="365" spans="1:71" s="26" customFormat="1" hidden="1" outlineLevel="1">
      <c r="A365" s="29" t="s">
        <v>738</v>
      </c>
      <c r="AP365" s="260">
        <f>AP364/AO364-1</f>
        <v>-0.38793103448275856</v>
      </c>
      <c r="AR365" s="260">
        <f>AR364/AP364-1</f>
        <v>0.85915492957746498</v>
      </c>
      <c r="AS365" s="260">
        <f>AS364/AR364-1</f>
        <v>-0.12121212121212133</v>
      </c>
      <c r="BS365" s="328"/>
    </row>
    <row r="366" spans="1:71" s="26" customFormat="1" hidden="1" outlineLevel="1">
      <c r="BS366" s="328"/>
    </row>
    <row r="367" spans="1:71" s="26" customFormat="1" hidden="1" outlineLevel="1">
      <c r="A367" s="29" t="s">
        <v>866</v>
      </c>
      <c r="AO367" s="284">
        <v>7.81</v>
      </c>
      <c r="AP367" s="284">
        <v>7.83</v>
      </c>
      <c r="AR367" s="284">
        <v>7.81</v>
      </c>
      <c r="AS367" s="285">
        <v>7.81</v>
      </c>
      <c r="BS367" s="328"/>
    </row>
    <row r="368" spans="1:71" s="26" customFormat="1" hidden="1" outlineLevel="1">
      <c r="A368" s="29" t="s">
        <v>738</v>
      </c>
      <c r="AP368" s="260">
        <f>AP367/AO367-1</f>
        <v>2.5608194622279701E-3</v>
      </c>
      <c r="AR368" s="260">
        <f>AR367/AP367-1</f>
        <v>-2.5542784163474774E-3</v>
      </c>
      <c r="AS368" s="260">
        <f>AS367/AR367-1</f>
        <v>0</v>
      </c>
      <c r="BS368" s="328"/>
    </row>
    <row r="369" spans="1:71" s="26" customFormat="1" hidden="1" outlineLevel="1">
      <c r="BS369" s="328"/>
    </row>
    <row r="370" spans="1:71" s="26" customFormat="1" hidden="1" outlineLevel="1">
      <c r="A370" s="29" t="s">
        <v>749</v>
      </c>
      <c r="AO370" s="287">
        <f>AO364/AO367</f>
        <v>0.14852752880921893</v>
      </c>
      <c r="AP370" s="287">
        <f>AP364/AP367</f>
        <v>9.0676883780332049E-2</v>
      </c>
      <c r="AR370" s="287">
        <f>AR364/AR367</f>
        <v>0.16901408450704228</v>
      </c>
      <c r="AS370" s="287">
        <f>AS364/AS367</f>
        <v>0.14852752880921893</v>
      </c>
      <c r="BS370" s="328"/>
    </row>
    <row r="371" spans="1:71" s="26" customFormat="1" hidden="1" outlineLevel="1">
      <c r="A371" s="29" t="s">
        <v>738</v>
      </c>
      <c r="AP371" s="260">
        <f>AP370/AO370-1</f>
        <v>-0.38949442903069531</v>
      </c>
      <c r="AR371" s="260">
        <f>AR370/AP370-1</f>
        <v>0.86391588970442412</v>
      </c>
      <c r="AS371" s="260">
        <f>AS370/AR370-1</f>
        <v>-0.12121212121212144</v>
      </c>
      <c r="BS371" s="328"/>
    </row>
    <row r="372" spans="1:71" s="26" customFormat="1" hidden="1" outlineLevel="1">
      <c r="AP372" s="443" t="s">
        <v>1051</v>
      </c>
      <c r="BS372" s="328"/>
    </row>
    <row r="373" spans="1:71" s="26" customFormat="1" hidden="1" outlineLevel="1">
      <c r="A373" s="29" t="s">
        <v>746</v>
      </c>
      <c r="AO373" s="283">
        <f>AO60/AO370</f>
        <v>2693.1034482758623</v>
      </c>
      <c r="AP373" s="283">
        <f>AP60/AP370</f>
        <v>1102.8169014084508</v>
      </c>
      <c r="AQ373" s="283">
        <f>AP373</f>
        <v>1102.8169014084508</v>
      </c>
      <c r="AR373" s="286">
        <f>AP373</f>
        <v>1102.8169014084508</v>
      </c>
      <c r="AS373" s="286">
        <f>AR373</f>
        <v>1102.8169014084508</v>
      </c>
      <c r="BS373" s="328"/>
    </row>
    <row r="374" spans="1:71" s="26" customFormat="1" hidden="1" outlineLevel="1">
      <c r="A374" s="29" t="s">
        <v>80</v>
      </c>
      <c r="AO374" s="260">
        <f>AO373/AO378</f>
        <v>8.0465788736144406E-2</v>
      </c>
      <c r="AP374" s="260">
        <f>AP373/AP378</f>
        <v>3.2146802806594724E-2</v>
      </c>
      <c r="AR374" s="260">
        <f>AR373/AR378</f>
        <v>3.1381402848670935E-2</v>
      </c>
      <c r="AS374" s="260">
        <f>AS373/AS378</f>
        <v>3.1381402848670935E-2</v>
      </c>
      <c r="BS374" s="328"/>
    </row>
    <row r="375" spans="1:71" s="26" customFormat="1" hidden="1" outlineLevel="1">
      <c r="AR375" s="443" t="s">
        <v>2437</v>
      </c>
      <c r="BS375" s="328"/>
    </row>
    <row r="376" spans="1:71" s="26" customFormat="1" hidden="1" outlineLevel="1">
      <c r="A376" s="29" t="s">
        <v>745</v>
      </c>
      <c r="AO376" s="61">
        <f>AO60-AO104</f>
        <v>-400</v>
      </c>
      <c r="AP376" s="61">
        <f>AP60-AP104</f>
        <v>-300</v>
      </c>
      <c r="AQ376" s="61">
        <f>AQ60-AQ104</f>
        <v>-300</v>
      </c>
      <c r="AR376" s="61">
        <f>AR60-AR104</f>
        <v>0</v>
      </c>
      <c r="AS376" s="61">
        <f>AS60-AS104</f>
        <v>0</v>
      </c>
      <c r="BS376" s="328"/>
    </row>
    <row r="377" spans="1:71" s="26" customFormat="1" hidden="1" outlineLevel="1">
      <c r="AO377" s="26" t="s">
        <v>734</v>
      </c>
      <c r="BS377" s="328"/>
    </row>
    <row r="378" spans="1:71" s="26" customFormat="1" hidden="1" outlineLevel="1">
      <c r="A378" s="29" t="s">
        <v>868</v>
      </c>
      <c r="AO378" s="607">
        <v>33468.925000000003</v>
      </c>
      <c r="AP378" s="607">
        <f>AVERAGE(AO378, AR378)</f>
        <v>34305.648000000001</v>
      </c>
      <c r="AR378" s="607">
        <v>35142.370999999999</v>
      </c>
      <c r="AS378" s="61">
        <f>AR378</f>
        <v>35142.370999999999</v>
      </c>
      <c r="BS378" s="328"/>
    </row>
    <row r="379" spans="1:71" s="26" customFormat="1" hidden="1" outlineLevel="1">
      <c r="BS379" s="328"/>
    </row>
    <row r="380" spans="1:71" s="26" customFormat="1" hidden="1" outlineLevel="1">
      <c r="A380" s="29" t="s">
        <v>748</v>
      </c>
      <c r="BS380" s="328"/>
    </row>
    <row r="381" spans="1:71" s="26" customFormat="1" hidden="1" outlineLevel="1">
      <c r="A381" s="29" t="s">
        <v>739</v>
      </c>
      <c r="BS381" s="328"/>
    </row>
    <row r="382" spans="1:71" s="26" customFormat="1" hidden="1" outlineLevel="1">
      <c r="A382" s="669" t="s">
        <v>740</v>
      </c>
      <c r="BS382" s="328"/>
    </row>
    <row r="383" spans="1:71" s="26" customFormat="1" hidden="1" outlineLevel="1">
      <c r="A383" s="29" t="s">
        <v>741</v>
      </c>
      <c r="BS383" s="328"/>
    </row>
    <row r="384" spans="1:71" s="26" customFormat="1" hidden="1" outlineLevel="1">
      <c r="A384" s="669" t="s">
        <v>742</v>
      </c>
      <c r="BS384" s="328"/>
    </row>
    <row r="385" spans="1:71" s="671" customFormat="1" hidden="1" outlineLevel="1">
      <c r="A385" s="670" t="s">
        <v>2659</v>
      </c>
      <c r="AP385" s="672"/>
      <c r="BS385" s="328"/>
    </row>
    <row r="386" spans="1:71" s="26" customFormat="1" hidden="1" outlineLevel="1">
      <c r="BS386" s="328"/>
    </row>
    <row r="387" spans="1:71" s="26" customFormat="1" hidden="1" outlineLevel="1">
      <c r="A387" s="26" t="s">
        <v>1094</v>
      </c>
      <c r="BS387" s="328"/>
    </row>
    <row r="388" spans="1:71" s="26" customFormat="1" hidden="1" outlineLevel="1">
      <c r="A388" s="26" t="s">
        <v>2660</v>
      </c>
      <c r="BS388" s="328"/>
    </row>
    <row r="389" spans="1:71" s="26" customFormat="1" hidden="1" outlineLevel="1">
      <c r="A389" s="26" t="s">
        <v>2661</v>
      </c>
      <c r="AP389" s="339"/>
      <c r="AR389" s="339"/>
      <c r="BS389" s="328"/>
    </row>
    <row r="390" spans="1:71" s="26" customFormat="1" hidden="1" outlineLevel="1">
      <c r="BS390" s="328"/>
    </row>
    <row r="391" spans="1:71" s="12" customFormat="1" collapsed="1">
      <c r="A391" s="13" t="s">
        <v>869</v>
      </c>
      <c r="AO391" s="227"/>
      <c r="BS391" s="46"/>
    </row>
    <row r="393" spans="1:71">
      <c r="A393" s="5" t="s">
        <v>870</v>
      </c>
      <c r="AO393" s="223">
        <v>389.25</v>
      </c>
      <c r="AP393" s="223">
        <v>445.55</v>
      </c>
      <c r="AR393" s="223">
        <v>400.15</v>
      </c>
      <c r="AS393" s="223">
        <v>425</v>
      </c>
      <c r="AT393" s="223">
        <v>346.15</v>
      </c>
      <c r="AU393" s="223">
        <v>255.1</v>
      </c>
      <c r="AW393" s="223">
        <v>382.8</v>
      </c>
      <c r="AX393" s="223">
        <v>450.05</v>
      </c>
      <c r="AY393" s="223">
        <v>403.85</v>
      </c>
      <c r="AZ393" s="221">
        <v>433.5</v>
      </c>
    </row>
    <row r="394" spans="1:71">
      <c r="A394" s="5" t="s">
        <v>738</v>
      </c>
      <c r="AO394" s="219"/>
      <c r="AP394" s="21">
        <f>AP393/AO393-1</f>
        <v>0.14463712267180484</v>
      </c>
      <c r="AR394" s="21">
        <f>AR393/AP393-1</f>
        <v>-0.1018965323757155</v>
      </c>
      <c r="AS394" s="21">
        <f>AS393/AR393-1</f>
        <v>6.2101711858053354E-2</v>
      </c>
      <c r="AT394" s="21">
        <f>AT393/AS393-1</f>
        <v>-0.18552941176470594</v>
      </c>
      <c r="AU394" s="21">
        <f>AU393/AT393-1</f>
        <v>-0.26303625595839952</v>
      </c>
      <c r="AW394" s="21">
        <f>AW393/AU393-1</f>
        <v>0.50058800470403764</v>
      </c>
      <c r="AX394" s="21">
        <f>AX393/AW393-1</f>
        <v>0.17567920585161967</v>
      </c>
      <c r="AY394" s="21">
        <f>AY393/AX393-1</f>
        <v>-0.10265526052660812</v>
      </c>
      <c r="AZ394" s="21">
        <f>AZ393/AY393-1</f>
        <v>7.3418348396681932E-2</v>
      </c>
    </row>
    <row r="395" spans="1:71">
      <c r="AO395" s="219"/>
    </row>
    <row r="396" spans="1:71">
      <c r="A396" s="5" t="s">
        <v>871</v>
      </c>
      <c r="AO396" s="223">
        <v>83.25</v>
      </c>
      <c r="AP396" s="223">
        <v>83.37</v>
      </c>
      <c r="AR396" s="223">
        <v>83.37</v>
      </c>
      <c r="AS396" s="223">
        <v>83.83</v>
      </c>
      <c r="AT396" s="223">
        <v>85.56</v>
      </c>
      <c r="AU396" s="223">
        <v>85.47</v>
      </c>
      <c r="AW396" s="223">
        <v>85.71</v>
      </c>
      <c r="AX396" s="223">
        <v>88.84</v>
      </c>
      <c r="AY396" s="223">
        <f t="shared" ref="AY396:AZ396" si="161">AY263</f>
        <v>89.96</v>
      </c>
      <c r="AZ396" s="221">
        <f t="shared" si="161"/>
        <v>91.1</v>
      </c>
    </row>
    <row r="397" spans="1:71">
      <c r="A397" s="5" t="s">
        <v>738</v>
      </c>
      <c r="AO397" s="219"/>
      <c r="AP397" s="21">
        <f>AP396/AO396-1</f>
        <v>1.4414414414414267E-3</v>
      </c>
      <c r="AR397" s="21">
        <f>AR396/AP396-1</f>
        <v>0</v>
      </c>
      <c r="AS397" s="21">
        <f>AS396/AR396-1</f>
        <v>5.5175722682019313E-3</v>
      </c>
      <c r="AT397" s="21">
        <f>AT396/AS396-1</f>
        <v>2.0637003459382131E-2</v>
      </c>
      <c r="AU397" s="21">
        <f>AU396/AT396-1</f>
        <v>-1.0518934081347187E-3</v>
      </c>
      <c r="AW397" s="21">
        <f>AW396/AU396-1</f>
        <v>2.8080028080026409E-3</v>
      </c>
      <c r="AX397" s="21">
        <f>AX396/AW396-1</f>
        <v>3.6518492591296248E-2</v>
      </c>
      <c r="AY397" s="21">
        <f>AY396/AX396-1</f>
        <v>1.2606933813597454E-2</v>
      </c>
      <c r="AZ397" s="21">
        <f>AZ396/AY396-1</f>
        <v>1.2672298799466519E-2</v>
      </c>
    </row>
    <row r="398" spans="1:71">
      <c r="AO398" s="219"/>
    </row>
    <row r="399" spans="1:71">
      <c r="A399" s="5" t="s">
        <v>749</v>
      </c>
      <c r="AO399" s="24">
        <f>AO393/AO396</f>
        <v>4.6756756756756754</v>
      </c>
      <c r="AP399" s="24">
        <f>AP393/AP396</f>
        <v>5.3442485306465155</v>
      </c>
      <c r="AR399" s="24">
        <f>AR393/AR396</f>
        <v>4.799688137219623</v>
      </c>
      <c r="AS399" s="24">
        <f>AS393/AS396</f>
        <v>5.0697840868424189</v>
      </c>
      <c r="AT399" s="24">
        <f>AT393/AT396</f>
        <v>4.0456989247311821</v>
      </c>
      <c r="AU399" s="24">
        <f>AU393/AU396</f>
        <v>2.9846729846729847</v>
      </c>
      <c r="AW399" s="24">
        <f>AW393/AW396</f>
        <v>4.4662233111655585</v>
      </c>
      <c r="AX399" s="24">
        <f>AX393/AX396</f>
        <v>5.0658487167942372</v>
      </c>
      <c r="AY399" s="24">
        <f>AY393/AY396</f>
        <v>4.4892174299688756</v>
      </c>
      <c r="AZ399" s="24">
        <f>AZ393/AZ396</f>
        <v>4.7585071350164654</v>
      </c>
    </row>
    <row r="400" spans="1:71">
      <c r="A400" s="5" t="s">
        <v>738</v>
      </c>
      <c r="AP400" s="21">
        <f>AP399/AO399-1</f>
        <v>0.14298957013827218</v>
      </c>
      <c r="AR400" s="21">
        <f>AR399/AP399-1</f>
        <v>-0.1018965323757155</v>
      </c>
      <c r="AS400" s="21">
        <f>AS399/AR399-1</f>
        <v>5.6273645683000195E-2</v>
      </c>
      <c r="AT400" s="21">
        <f>AT399/AS399-1</f>
        <v>-0.20199778621125875</v>
      </c>
      <c r="AU400" s="21">
        <f>AU399/AT399-1</f>
        <v>-0.26226023235990004</v>
      </c>
      <c r="AW400" s="21">
        <f>AW399/AU399-1</f>
        <v>0.49638614819804117</v>
      </c>
      <c r="AX400" s="21">
        <f>AX399/AW399-1</f>
        <v>0.13425782005338038</v>
      </c>
      <c r="AY400" s="21">
        <f>AY399/AX399-1</f>
        <v>-0.11382718258319102</v>
      </c>
      <c r="AZ400" s="21">
        <f>AZ399/AY399-1</f>
        <v>5.9985890469434588E-2</v>
      </c>
    </row>
    <row r="401" spans="1:71">
      <c r="AP401" s="25" t="s">
        <v>1052</v>
      </c>
      <c r="AZ401" s="219" t="s">
        <v>3253</v>
      </c>
    </row>
    <row r="402" spans="1:71">
      <c r="A402" s="5" t="s">
        <v>746</v>
      </c>
      <c r="AO402" s="45">
        <f>AO61/AO399</f>
        <v>85.549132947976886</v>
      </c>
      <c r="AP402" s="45">
        <f>AP61/AP399</f>
        <v>74.84681853888452</v>
      </c>
      <c r="AQ402" s="45">
        <f>AP402</f>
        <v>74.84681853888452</v>
      </c>
      <c r="AR402" s="45">
        <f>AR61/AR399</f>
        <v>83.338747969511445</v>
      </c>
      <c r="AS402" s="45">
        <f>AS61/AS399</f>
        <v>78.898823529411771</v>
      </c>
      <c r="AT402" s="45">
        <f>AT61/AT399</f>
        <v>74.152823920265789</v>
      </c>
      <c r="AU402" s="45">
        <f>AU61/AU399</f>
        <v>67.009016072128574</v>
      </c>
      <c r="AV402" s="41">
        <f>AU402</f>
        <v>67.009016072128574</v>
      </c>
      <c r="AW402" s="45">
        <f>AW61/AW399</f>
        <v>67.170846394984324</v>
      </c>
      <c r="AX402" s="45">
        <f>AX61/AX399</f>
        <v>59.220086657038102</v>
      </c>
      <c r="AY402" s="45">
        <f>AY61/AY399</f>
        <v>66.826792125789268</v>
      </c>
      <c r="AZ402" s="760">
        <f>AY402</f>
        <v>66.826792125789268</v>
      </c>
    </row>
    <row r="403" spans="1:71">
      <c r="A403" s="5" t="s">
        <v>80</v>
      </c>
      <c r="AO403" s="21">
        <f>AO402/AO407</f>
        <v>0.11609148139443477</v>
      </c>
      <c r="AP403" s="21">
        <f>AP402/AP407</f>
        <v>0.10141083237685758</v>
      </c>
      <c r="AR403" s="21">
        <f>AR402/AR407</f>
        <v>0.11274188182032455</v>
      </c>
      <c r="AS403" s="21">
        <f>AS402/AS407</f>
        <v>0.10649023660333561</v>
      </c>
      <c r="AT403" s="21">
        <f>AT402/AT407</f>
        <v>9.982765747220762E-2</v>
      </c>
      <c r="AU403" s="21">
        <f>AU402/AU407</f>
        <v>8.9856552644521095E-2</v>
      </c>
      <c r="AW403" s="21">
        <f>AW402/AW407</f>
        <v>8.9969954519139458E-2</v>
      </c>
      <c r="AX403" s="21">
        <f>AX402/AX407</f>
        <v>7.9207882233986782E-2</v>
      </c>
      <c r="AY403" s="21">
        <f>AY402/AY407</f>
        <v>8.9381981344087619E-2</v>
      </c>
      <c r="AZ403" s="21">
        <f>AZ402/AZ407</f>
        <v>8.9381981344087619E-2</v>
      </c>
    </row>
    <row r="405" spans="1:71">
      <c r="A405" s="5" t="s">
        <v>745</v>
      </c>
      <c r="AO405" s="36">
        <f t="shared" ref="AO405:AZ405" si="162">AO61-AO105</f>
        <v>200</v>
      </c>
      <c r="AP405" s="36">
        <f t="shared" si="162"/>
        <v>200</v>
      </c>
      <c r="AQ405" s="36">
        <f t="shared" si="162"/>
        <v>200</v>
      </c>
      <c r="AR405" s="36">
        <f t="shared" si="162"/>
        <v>200</v>
      </c>
      <c r="AS405" s="36">
        <f t="shared" si="162"/>
        <v>200</v>
      </c>
      <c r="AT405" s="36">
        <f t="shared" si="162"/>
        <v>100</v>
      </c>
      <c r="AU405" s="36">
        <f t="shared" ref="AU405" si="163">AU61-AU105</f>
        <v>0</v>
      </c>
      <c r="AV405" s="36">
        <f t="shared" si="162"/>
        <v>0</v>
      </c>
      <c r="AW405" s="36">
        <f t="shared" si="162"/>
        <v>100</v>
      </c>
      <c r="AX405" s="36">
        <f t="shared" si="162"/>
        <v>100</v>
      </c>
      <c r="AY405" s="36">
        <f t="shared" si="162"/>
        <v>100</v>
      </c>
      <c r="AZ405" s="36">
        <f t="shared" si="162"/>
        <v>120</v>
      </c>
    </row>
    <row r="406" spans="1:71">
      <c r="AO406" s="219" t="s">
        <v>734</v>
      </c>
    </row>
    <row r="407" spans="1:71">
      <c r="A407" s="5" t="s">
        <v>1054</v>
      </c>
      <c r="AO407" s="681">
        <v>736.91137300000003</v>
      </c>
      <c r="AP407" s="681">
        <f>AVERAGE(AO407, AR407)</f>
        <v>738.05546000000004</v>
      </c>
      <c r="AR407" s="681">
        <v>739.19954700000005</v>
      </c>
      <c r="AS407" s="681">
        <v>740.90194599999995</v>
      </c>
      <c r="AT407" s="681">
        <v>742.80841399999997</v>
      </c>
      <c r="AU407" s="681">
        <v>745.73321699999997</v>
      </c>
      <c r="AW407" s="681">
        <v>746.59197900000004</v>
      </c>
      <c r="AX407" s="681">
        <v>747.65395799999999</v>
      </c>
      <c r="AY407" s="681">
        <f>AX407</f>
        <v>747.65395799999999</v>
      </c>
      <c r="AZ407" s="622">
        <f>AY407</f>
        <v>747.65395799999999</v>
      </c>
    </row>
    <row r="409" spans="1:71">
      <c r="A409" s="5" t="s">
        <v>748</v>
      </c>
      <c r="AS409" s="682">
        <f>AR402-AS402</f>
        <v>4.4399244400996736</v>
      </c>
    </row>
    <row r="410" spans="1:71">
      <c r="A410" s="5" t="s">
        <v>739</v>
      </c>
      <c r="AS410" s="683">
        <f>AS409/AR402</f>
        <v>5.3275631663244699E-2</v>
      </c>
    </row>
    <row r="411" spans="1:71">
      <c r="A411" s="222" t="s">
        <v>740</v>
      </c>
      <c r="AS411" s="682">
        <f>MROUND(400/83.5, 0.5)</f>
        <v>5</v>
      </c>
    </row>
    <row r="412" spans="1:71">
      <c r="A412" s="5" t="s">
        <v>741</v>
      </c>
      <c r="AS412" s="224">
        <f>MROUND(AR105/AR402, 0.05)</f>
        <v>2.4000000000000004</v>
      </c>
    </row>
    <row r="413" spans="1:71">
      <c r="A413" s="222" t="s">
        <v>742</v>
      </c>
      <c r="AS413" s="80">
        <f>MROUND(AS409*(AS411-AS412), 5)</f>
        <v>10</v>
      </c>
    </row>
    <row r="414" spans="1:71" s="179" customFormat="1">
      <c r="A414" s="225" t="s">
        <v>743</v>
      </c>
      <c r="AP414" s="226"/>
      <c r="AS414" s="226">
        <f>-MROUND(AR405*AS409/AR402, 5)</f>
        <v>-10</v>
      </c>
      <c r="BS414" s="46"/>
    </row>
    <row r="416" spans="1:71">
      <c r="A416" s="1" t="s">
        <v>1094</v>
      </c>
      <c r="AS416" s="1">
        <f>MROUND(AS412*AS409, 5)</f>
        <v>10</v>
      </c>
    </row>
    <row r="417" spans="1:71">
      <c r="A417" s="1" t="s">
        <v>1096</v>
      </c>
      <c r="AS417" s="1">
        <f>MROUND(AS411*AS409, 5)</f>
        <v>20</v>
      </c>
    </row>
    <row r="418" spans="1:71">
      <c r="A418" s="1" t="s">
        <v>1095</v>
      </c>
      <c r="AP418" s="167"/>
      <c r="AR418" s="167"/>
      <c r="AS418" s="167">
        <f>AS417/AS416</f>
        <v>2</v>
      </c>
    </row>
    <row r="420" spans="1:71" s="12" customFormat="1">
      <c r="A420" s="13" t="s">
        <v>1053</v>
      </c>
      <c r="AO420" s="227"/>
      <c r="BS420" s="46"/>
    </row>
    <row r="422" spans="1:71">
      <c r="A422" s="5" t="s">
        <v>749</v>
      </c>
      <c r="AO422" s="223">
        <v>3.76</v>
      </c>
      <c r="AP422" s="223">
        <v>3.6</v>
      </c>
      <c r="AR422" s="223">
        <v>3.6</v>
      </c>
      <c r="AS422" s="223">
        <v>6.11</v>
      </c>
      <c r="AT422" s="223">
        <v>5.85</v>
      </c>
      <c r="AU422" s="223">
        <v>8.73</v>
      </c>
      <c r="AW422" s="223">
        <v>6.28</v>
      </c>
      <c r="AX422" s="223">
        <v>8.0299999999999994</v>
      </c>
      <c r="AY422" s="223">
        <v>10.57</v>
      </c>
      <c r="AZ422" s="221">
        <v>9.75</v>
      </c>
    </row>
    <row r="423" spans="1:71">
      <c r="A423" s="5" t="s">
        <v>738</v>
      </c>
      <c r="AP423" s="21">
        <f>AP422/AO422-1</f>
        <v>-4.2553191489361653E-2</v>
      </c>
      <c r="AR423" s="21">
        <f>AR422/AP422-1</f>
        <v>0</v>
      </c>
      <c r="AS423" s="21">
        <f>AS422/AR422-1</f>
        <v>0.69722222222222219</v>
      </c>
      <c r="AT423" s="21">
        <f>AT422/AS422-1</f>
        <v>-4.2553191489361764E-2</v>
      </c>
      <c r="AU423" s="21">
        <f>AU422/AT422-1</f>
        <v>0.49230769230769256</v>
      </c>
      <c r="AW423" s="21">
        <f>AW422/AU422-1</f>
        <v>-0.28064146620847652</v>
      </c>
      <c r="AX423" s="21">
        <f>AX422/AW422-1</f>
        <v>0.27866242038216549</v>
      </c>
      <c r="AY423" s="21">
        <f>AY422/AX422-1</f>
        <v>0.31631382316313839</v>
      </c>
      <c r="AZ423" s="21">
        <f>AZ422/AY422-1</f>
        <v>-7.7578051087984878E-2</v>
      </c>
    </row>
    <row r="424" spans="1:71">
      <c r="AP424" s="25" t="s">
        <v>2438</v>
      </c>
      <c r="AR424" s="25" t="s">
        <v>2439</v>
      </c>
      <c r="AZ424" s="219" t="s">
        <v>3253</v>
      </c>
    </row>
    <row r="425" spans="1:71">
      <c r="A425" s="5" t="s">
        <v>746</v>
      </c>
      <c r="AO425" s="253">
        <v>102.47027300000001</v>
      </c>
      <c r="AP425" s="253">
        <v>92.470273000000006</v>
      </c>
      <c r="AQ425" s="45">
        <f>AP425</f>
        <v>92.470273000000006</v>
      </c>
      <c r="AR425" s="253">
        <v>75.570723000000001</v>
      </c>
      <c r="AS425" s="253">
        <v>68.070273</v>
      </c>
      <c r="AT425" s="253">
        <v>58.070273</v>
      </c>
      <c r="AU425" s="253">
        <v>48.070273</v>
      </c>
      <c r="AV425" s="45">
        <f>AU425</f>
        <v>48.070273</v>
      </c>
      <c r="AW425" s="45">
        <f>AW62/AW422</f>
        <v>47.770700636942671</v>
      </c>
      <c r="AX425" s="45">
        <f>AX62/AX422</f>
        <v>49.813200498132012</v>
      </c>
      <c r="AY425" s="45">
        <f>AY62/AY422</f>
        <v>28.382213812677389</v>
      </c>
      <c r="AZ425" s="760">
        <f>AY425</f>
        <v>28.382213812677389</v>
      </c>
    </row>
    <row r="426" spans="1:71">
      <c r="A426" s="5" t="s">
        <v>80</v>
      </c>
      <c r="AO426" s="21">
        <f>AO425/AO430</f>
        <v>0.21132541980898537</v>
      </c>
      <c r="AP426" s="21">
        <f>AP425/AP430</f>
        <v>0.1870004789479256</v>
      </c>
      <c r="AR426" s="21">
        <f>AR425/AR430</f>
        <v>0.14958582669938153</v>
      </c>
      <c r="AS426" s="21">
        <f>AS425/AS430</f>
        <v>0.1333907775561799</v>
      </c>
      <c r="AT426" s="21">
        <f>AT425/AT430</f>
        <v>0.1121759506381776</v>
      </c>
      <c r="AU426" s="21">
        <f>AU425/AU430</f>
        <v>9.2221790715880742E-2</v>
      </c>
      <c r="AW426" s="21">
        <f>AW425/AW430</f>
        <v>9.084206615608445E-2</v>
      </c>
      <c r="AX426" s="21">
        <f>AX425/AX430</f>
        <v>8.8783858382293579E-2</v>
      </c>
      <c r="AY426" s="21">
        <f>AY425/AY430</f>
        <v>5.0586640218293573E-2</v>
      </c>
      <c r="AZ426" s="21">
        <f>AZ425/AZ430</f>
        <v>5.0586640218293573E-2</v>
      </c>
    </row>
    <row r="428" spans="1:71">
      <c r="A428" s="5" t="s">
        <v>745</v>
      </c>
      <c r="AO428" s="36">
        <f t="shared" ref="AO428:AZ428" si="164">AO62-AO106</f>
        <v>-400</v>
      </c>
      <c r="AP428" s="36">
        <f t="shared" si="164"/>
        <v>-400</v>
      </c>
      <c r="AQ428" s="36">
        <f t="shared" si="164"/>
        <v>-400</v>
      </c>
      <c r="AR428" s="36">
        <f t="shared" si="164"/>
        <v>-300</v>
      </c>
      <c r="AS428" s="36">
        <f t="shared" si="164"/>
        <v>-200</v>
      </c>
      <c r="AT428" s="36">
        <f t="shared" si="164"/>
        <v>-100</v>
      </c>
      <c r="AU428" s="36">
        <f t="shared" si="164"/>
        <v>0</v>
      </c>
      <c r="AV428" s="36">
        <f t="shared" si="164"/>
        <v>0</v>
      </c>
      <c r="AW428" s="36">
        <f t="shared" si="164"/>
        <v>-100</v>
      </c>
      <c r="AX428" s="36">
        <f t="shared" si="164"/>
        <v>0</v>
      </c>
      <c r="AY428" s="36">
        <f t="shared" si="164"/>
        <v>100</v>
      </c>
      <c r="AZ428" s="36">
        <f t="shared" si="164"/>
        <v>75</v>
      </c>
    </row>
    <row r="429" spans="1:71">
      <c r="AR429" s="678" t="s">
        <v>2674</v>
      </c>
    </row>
    <row r="430" spans="1:71">
      <c r="A430" s="5" t="s">
        <v>1055</v>
      </c>
      <c r="AO430" s="37">
        <v>484.89326599999998</v>
      </c>
      <c r="AP430" s="101">
        <v>494.49217199999998</v>
      </c>
      <c r="AR430" s="101">
        <v>505.19975499999998</v>
      </c>
      <c r="AS430" s="101">
        <v>510.30719099999999</v>
      </c>
      <c r="AT430" s="101">
        <v>517.67132500000002</v>
      </c>
      <c r="AU430" s="101">
        <v>521.24636299999997</v>
      </c>
      <c r="AV430" s="36">
        <f>AU430</f>
        <v>521.24636299999997</v>
      </c>
      <c r="AW430" s="101">
        <v>525.86541299999999</v>
      </c>
      <c r="AX430" s="101">
        <v>561.06145200000003</v>
      </c>
      <c r="AY430" s="228">
        <f>AX430</f>
        <v>561.06145200000003</v>
      </c>
      <c r="AZ430" s="228">
        <f>AY430</f>
        <v>561.06145200000003</v>
      </c>
    </row>
    <row r="431" spans="1:71">
      <c r="AR431" s="25" t="s">
        <v>2440</v>
      </c>
    </row>
    <row r="432" spans="1:71">
      <c r="A432" s="5" t="s">
        <v>748</v>
      </c>
      <c r="AP432" s="253">
        <v>10</v>
      </c>
      <c r="AR432" s="253">
        <v>16.899999999999999</v>
      </c>
      <c r="AS432" s="253">
        <v>7.5</v>
      </c>
      <c r="AT432" s="253">
        <v>10</v>
      </c>
      <c r="AU432" s="253">
        <v>10</v>
      </c>
    </row>
    <row r="433" spans="1:71">
      <c r="A433" s="5" t="s">
        <v>739</v>
      </c>
      <c r="AP433" s="21">
        <f>AP432/AO425</f>
        <v>9.758927840467449E-2</v>
      </c>
      <c r="AR433" s="21">
        <f>AR432/AQ425</f>
        <v>0.18276143728914909</v>
      </c>
      <c r="AS433" s="21">
        <f>AS432/AR425</f>
        <v>9.9244782930024367E-2</v>
      </c>
      <c r="AT433" s="21">
        <f>AT432/AS425</f>
        <v>0.14690700594075773</v>
      </c>
      <c r="AU433" s="21">
        <f>AU432/AT425</f>
        <v>0.17220514875141021</v>
      </c>
    </row>
    <row r="434" spans="1:71">
      <c r="A434" s="222" t="s">
        <v>740</v>
      </c>
      <c r="AP434" s="608">
        <v>3.66</v>
      </c>
      <c r="AR434" s="608">
        <v>4.3</v>
      </c>
      <c r="AS434" s="608">
        <v>6.24</v>
      </c>
      <c r="AT434" s="608">
        <v>6.33</v>
      </c>
      <c r="AU434" s="608">
        <v>9.15</v>
      </c>
    </row>
    <row r="435" spans="1:71">
      <c r="A435" s="5" t="s">
        <v>741</v>
      </c>
      <c r="AP435" s="224">
        <f>MROUND(AO106/AO425, 0.05)</f>
        <v>7.8000000000000007</v>
      </c>
      <c r="AR435" s="224">
        <f>MROUND(AQ106/AQ425, 0.05)</f>
        <v>8.65</v>
      </c>
      <c r="AS435" s="224">
        <f>MROUND(AR106/AR425, 0.05)</f>
        <v>7.95</v>
      </c>
      <c r="AT435" s="224">
        <f>MROUND(AS106/AS425, 0.05)</f>
        <v>8.8000000000000007</v>
      </c>
      <c r="AU435" s="224">
        <f>MROUND(AT106/AT425, 0.05)</f>
        <v>8.6</v>
      </c>
    </row>
    <row r="436" spans="1:71">
      <c r="A436" s="222" t="s">
        <v>742</v>
      </c>
      <c r="AP436" s="80">
        <f>-MROUND(-AP432*(AP434-AP435), 5)</f>
        <v>-40</v>
      </c>
      <c r="AR436" s="80">
        <f>-MROUND(-AR432*(AR434-AR435), 5)</f>
        <v>-75</v>
      </c>
      <c r="AS436" s="80">
        <f>-MROUND(-AS432*(AS434-AS435), 5)</f>
        <v>-15</v>
      </c>
      <c r="AT436" s="80">
        <f>-MROUND(-AT432*(AT434-AT435), 5)</f>
        <v>-25</v>
      </c>
      <c r="AU436" s="80">
        <f>MROUND(AU432*(AU434-AU435), 5)</f>
        <v>5</v>
      </c>
    </row>
    <row r="437" spans="1:71" s="179" customFormat="1">
      <c r="A437" s="225" t="s">
        <v>743</v>
      </c>
      <c r="AP437" s="226">
        <f>MROUND(-AO428*AP432/AO425, 5)</f>
        <v>40</v>
      </c>
      <c r="AR437" s="226">
        <f>MROUND(-AQ428*AR432/AQ425, 5)</f>
        <v>75</v>
      </c>
      <c r="AS437" s="226">
        <f>MROUND(-AR428*AS432/AR425, 5)</f>
        <v>30</v>
      </c>
      <c r="AT437" s="226">
        <f>MROUND(-AS428*AT432/AS425, 5)</f>
        <v>30</v>
      </c>
      <c r="AU437" s="226">
        <f>MROUND(-AT428*AU432/AT425, 5)</f>
        <v>15</v>
      </c>
      <c r="BS437" s="46"/>
    </row>
    <row r="439" spans="1:71">
      <c r="A439" s="1" t="s">
        <v>1094</v>
      </c>
      <c r="AP439" s="1">
        <f>MROUND(AP435*AP432, 5)</f>
        <v>80</v>
      </c>
      <c r="AR439" s="1">
        <f>MROUND(AR435*AR432, 5)</f>
        <v>145</v>
      </c>
      <c r="AS439" s="1">
        <f>MROUND(AS435*AS432, 5)</f>
        <v>60</v>
      </c>
      <c r="AT439" s="1">
        <f>MROUND(AT435*AT432, 5)</f>
        <v>90</v>
      </c>
      <c r="AU439" s="1">
        <f>MROUND(AU435*AU432, 5)</f>
        <v>85</v>
      </c>
    </row>
    <row r="440" spans="1:71">
      <c r="A440" s="1" t="s">
        <v>1096</v>
      </c>
      <c r="AP440" s="1">
        <f>MROUND(AP434*AP432, 5)</f>
        <v>35</v>
      </c>
      <c r="AR440" s="1">
        <f>MROUND(AR434*AR432, 5)</f>
        <v>75</v>
      </c>
      <c r="AS440" s="1">
        <f>MROUND(AS434*AS432, 5)</f>
        <v>45</v>
      </c>
      <c r="AT440" s="1">
        <f>MROUND(AT434*AT432, 5)</f>
        <v>65</v>
      </c>
      <c r="AU440" s="1">
        <f>MROUND(AU434*AU432, 5)</f>
        <v>90</v>
      </c>
    </row>
    <row r="441" spans="1:71">
      <c r="A441" s="1" t="s">
        <v>1095</v>
      </c>
      <c r="AP441" s="167">
        <f>AP440/AP439</f>
        <v>0.4375</v>
      </c>
      <c r="AR441" s="167">
        <f>AR440/AR439</f>
        <v>0.51724137931034486</v>
      </c>
      <c r="AS441" s="167">
        <f>AS440/AS439</f>
        <v>0.75</v>
      </c>
      <c r="AT441" s="167">
        <f>AT440/AT439</f>
        <v>0.72222222222222221</v>
      </c>
      <c r="AU441" s="167">
        <f>AU440/AU439</f>
        <v>1.0588235294117647</v>
      </c>
    </row>
    <row r="443" spans="1:71" s="12" customFormat="1">
      <c r="A443" s="13" t="s">
        <v>1056</v>
      </c>
      <c r="AO443" s="227"/>
      <c r="BS443" s="46"/>
    </row>
    <row r="445" spans="1:71" s="26" customFormat="1" hidden="1" outlineLevel="1">
      <c r="A445" s="29" t="s">
        <v>870</v>
      </c>
      <c r="AO445" s="284">
        <v>635.45000000000005</v>
      </c>
      <c r="AP445" s="284">
        <v>402.65</v>
      </c>
      <c r="AR445" s="284">
        <v>401.75</v>
      </c>
      <c r="AS445" s="285">
        <v>527</v>
      </c>
      <c r="BS445" s="328"/>
    </row>
    <row r="446" spans="1:71" s="26" customFormat="1" hidden="1" outlineLevel="1">
      <c r="A446" s="29" t="s">
        <v>738</v>
      </c>
      <c r="AP446" s="260">
        <f>AP445/AO445-1</f>
        <v>-0.36635455189235988</v>
      </c>
      <c r="AR446" s="260">
        <f>AR445/AP445-1</f>
        <v>-2.2351918539673665E-3</v>
      </c>
      <c r="AS446" s="260">
        <f>AS445/AR445-1</f>
        <v>0.31176104542626004</v>
      </c>
      <c r="BS446" s="328"/>
    </row>
    <row r="447" spans="1:71" s="26" customFormat="1" hidden="1" outlineLevel="1">
      <c r="BS447" s="328"/>
    </row>
    <row r="448" spans="1:71" s="26" customFormat="1" hidden="1" outlineLevel="1">
      <c r="A448" s="29" t="s">
        <v>871</v>
      </c>
      <c r="AO448" s="284">
        <f>AO396</f>
        <v>83.25</v>
      </c>
      <c r="AP448" s="284">
        <f>AP396</f>
        <v>83.37</v>
      </c>
      <c r="AR448" s="284">
        <f>AR396</f>
        <v>83.37</v>
      </c>
      <c r="AS448" s="285">
        <f>AS396</f>
        <v>83.83</v>
      </c>
      <c r="BS448" s="328"/>
    </row>
    <row r="449" spans="1:71" s="26" customFormat="1" hidden="1" outlineLevel="1">
      <c r="A449" s="29" t="s">
        <v>738</v>
      </c>
      <c r="AP449" s="260">
        <f>AP448/AO448-1</f>
        <v>1.4414414414414267E-3</v>
      </c>
      <c r="AR449" s="260">
        <f>AR448/AP448-1</f>
        <v>0</v>
      </c>
      <c r="AS449" s="260">
        <f>AS448/AR448-1</f>
        <v>5.5175722682019313E-3</v>
      </c>
      <c r="BS449" s="328"/>
    </row>
    <row r="450" spans="1:71" s="26" customFormat="1" hidden="1" outlineLevel="1">
      <c r="BS450" s="328"/>
    </row>
    <row r="451" spans="1:71" s="26" customFormat="1" hidden="1" outlineLevel="1">
      <c r="A451" s="29" t="s">
        <v>749</v>
      </c>
      <c r="AO451" s="287">
        <f>AO445/AO448</f>
        <v>7.6330330330330334</v>
      </c>
      <c r="AP451" s="287">
        <f>AP445/AP448</f>
        <v>4.8296749430250685</v>
      </c>
      <c r="AR451" s="287">
        <f>AR445/AR448</f>
        <v>4.8188796929351083</v>
      </c>
      <c r="AS451" s="287">
        <f>AS445/AS448</f>
        <v>6.2865322676846001</v>
      </c>
      <c r="BS451" s="328"/>
    </row>
    <row r="452" spans="1:71" s="26" customFormat="1" hidden="1" outlineLevel="1">
      <c r="A452" s="29" t="s">
        <v>738</v>
      </c>
      <c r="BS452" s="328"/>
    </row>
    <row r="453" spans="1:71" s="26" customFormat="1" hidden="1" outlineLevel="1">
      <c r="AP453" s="443"/>
      <c r="AR453" s="443" t="s">
        <v>2441</v>
      </c>
      <c r="BS453" s="328"/>
    </row>
    <row r="454" spans="1:71" s="26" customFormat="1" hidden="1" outlineLevel="1">
      <c r="A454" s="29" t="s">
        <v>746</v>
      </c>
      <c r="AO454" s="283">
        <f>AO63/AO451</f>
        <v>39.30285624360689</v>
      </c>
      <c r="AP454" s="286">
        <f>AP455*AP459</f>
        <v>12.71979251</v>
      </c>
      <c r="AQ454" s="61">
        <f>AP454</f>
        <v>12.71979251</v>
      </c>
      <c r="AR454" s="286">
        <v>0</v>
      </c>
      <c r="BS454" s="328"/>
    </row>
    <row r="455" spans="1:71" s="26" customFormat="1" hidden="1" outlineLevel="1">
      <c r="A455" s="29" t="s">
        <v>80</v>
      </c>
      <c r="AO455" s="260">
        <f>AO454/AO459</f>
        <v>6.1825605099353427E-2</v>
      </c>
      <c r="AP455" s="392">
        <v>0.02</v>
      </c>
      <c r="AR455" s="260">
        <f>AR454/AR459</f>
        <v>0</v>
      </c>
      <c r="BS455" s="328"/>
    </row>
    <row r="456" spans="1:71" s="26" customFormat="1" hidden="1" outlineLevel="1">
      <c r="AP456" s="443" t="s">
        <v>1057</v>
      </c>
      <c r="BS456" s="328"/>
    </row>
    <row r="457" spans="1:71" s="26" customFormat="1" hidden="1" outlineLevel="1">
      <c r="A457" s="29" t="s">
        <v>745</v>
      </c>
      <c r="AO457" s="61">
        <f>AO63-AO107</f>
        <v>-200</v>
      </c>
      <c r="AP457" s="61">
        <f>AP63-AP107</f>
        <v>-100</v>
      </c>
      <c r="AQ457" s="61">
        <f>AQ63-AQ107</f>
        <v>-100</v>
      </c>
      <c r="AR457" s="61">
        <f>AR63-AR107</f>
        <v>0</v>
      </c>
      <c r="BS457" s="328"/>
    </row>
    <row r="458" spans="1:71" s="26" customFormat="1" hidden="1" outlineLevel="1">
      <c r="AO458" s="26" t="s">
        <v>734</v>
      </c>
      <c r="BS458" s="328"/>
    </row>
    <row r="459" spans="1:71" s="26" customFormat="1" hidden="1" outlineLevel="1">
      <c r="A459" s="29" t="s">
        <v>1059</v>
      </c>
      <c r="AO459" s="607">
        <v>635.70516099999998</v>
      </c>
      <c r="AP459" s="607">
        <f>AVERAGE(AO459, AR459)</f>
        <v>635.98962549999999</v>
      </c>
      <c r="AR459" s="607">
        <v>636.27409</v>
      </c>
      <c r="BS459" s="328"/>
    </row>
    <row r="460" spans="1:71" s="26" customFormat="1" hidden="1" outlineLevel="1">
      <c r="BS460" s="328"/>
    </row>
    <row r="461" spans="1:71" s="26" customFormat="1" hidden="1" outlineLevel="1">
      <c r="A461" s="29" t="s">
        <v>748</v>
      </c>
      <c r="AP461" s="287">
        <f>AO454-AP454</f>
        <v>26.583063733606892</v>
      </c>
      <c r="AR461" s="287">
        <f>AP454-AR454</f>
        <v>12.71979251</v>
      </c>
      <c r="BS461" s="328"/>
    </row>
    <row r="462" spans="1:71" s="26" customFormat="1" hidden="1" outlineLevel="1">
      <c r="A462" s="29" t="s">
        <v>739</v>
      </c>
      <c r="AP462" s="260">
        <f>AP461/AO454</f>
        <v>0.67636467865947947</v>
      </c>
      <c r="AR462" s="260">
        <f>AR461/AP454</f>
        <v>1</v>
      </c>
      <c r="BS462" s="328"/>
    </row>
    <row r="463" spans="1:71" s="26" customFormat="1" hidden="1" outlineLevel="1">
      <c r="A463" s="669" t="s">
        <v>740</v>
      </c>
      <c r="AP463" s="285">
        <f>AVERAGE(750/AP448, 400/AP448)</f>
        <v>6.8969653352524887</v>
      </c>
      <c r="AR463" s="285">
        <f>375/AR448</f>
        <v>4.4980208708168403</v>
      </c>
      <c r="BS463" s="328"/>
    </row>
    <row r="464" spans="1:71" s="26" customFormat="1" hidden="1" outlineLevel="1">
      <c r="A464" s="29" t="s">
        <v>741</v>
      </c>
      <c r="AP464" s="287">
        <f>MROUND(AO107/AO454, 0.05)</f>
        <v>12.700000000000001</v>
      </c>
      <c r="AR464" s="287">
        <f>MROUND(AQ107/AP454, 0.05)</f>
        <v>7.8500000000000005</v>
      </c>
      <c r="BS464" s="328"/>
    </row>
    <row r="465" spans="1:71" s="26" customFormat="1" hidden="1" outlineLevel="1">
      <c r="A465" s="669" t="s">
        <v>742</v>
      </c>
      <c r="AP465" s="283">
        <f>-MROUND(-AP461*(AP463-AP464), 5)</f>
        <v>-155</v>
      </c>
      <c r="AR465" s="283">
        <f>-MROUND(-AR461*(AR463-AR464), 5)</f>
        <v>-45</v>
      </c>
      <c r="BS465" s="328"/>
    </row>
    <row r="466" spans="1:71" s="671" customFormat="1" hidden="1" outlineLevel="1">
      <c r="A466" s="670" t="s">
        <v>2659</v>
      </c>
      <c r="AP466" s="672">
        <f>MROUND(-AO457*AP461/AO454, 5)</f>
        <v>135</v>
      </c>
      <c r="AR466" s="672">
        <f>MROUND(-AP457*AR461/AP454, 5)</f>
        <v>100</v>
      </c>
      <c r="BS466" s="328"/>
    </row>
    <row r="467" spans="1:71" s="26" customFormat="1" hidden="1" outlineLevel="1">
      <c r="BS467" s="328"/>
    </row>
    <row r="468" spans="1:71" s="26" customFormat="1" hidden="1" outlineLevel="1">
      <c r="A468" s="26" t="s">
        <v>1094</v>
      </c>
      <c r="AP468" s="26">
        <f>MROUND(AP464*AP461, 5)</f>
        <v>340</v>
      </c>
      <c r="AR468" s="26">
        <f>MROUND(AR464*AR461, 5)</f>
        <v>100</v>
      </c>
      <c r="BS468" s="328"/>
    </row>
    <row r="469" spans="1:71" s="26" customFormat="1" hidden="1" outlineLevel="1">
      <c r="A469" s="26" t="s">
        <v>2660</v>
      </c>
      <c r="AP469" s="26">
        <f>MROUND(AP463*AP461, 5)</f>
        <v>185</v>
      </c>
      <c r="AR469" s="26">
        <f>MROUND(AR463*AR461, 5)</f>
        <v>55</v>
      </c>
      <c r="BS469" s="328"/>
    </row>
    <row r="470" spans="1:71" s="26" customFormat="1" hidden="1" outlineLevel="1">
      <c r="A470" s="26" t="s">
        <v>2661</v>
      </c>
      <c r="AP470" s="339">
        <f>AP469/AP468</f>
        <v>0.54411764705882348</v>
      </c>
      <c r="AR470" s="339">
        <f>AR469/AR468</f>
        <v>0.55000000000000004</v>
      </c>
      <c r="BS470" s="328"/>
    </row>
    <row r="471" spans="1:71" s="26" customFormat="1" hidden="1" outlineLevel="1">
      <c r="BS471" s="328"/>
    </row>
    <row r="472" spans="1:71" s="12" customFormat="1" collapsed="1">
      <c r="A472" s="13" t="s">
        <v>1058</v>
      </c>
      <c r="AO472" s="227"/>
      <c r="BS472" s="46"/>
    </row>
    <row r="474" spans="1:71">
      <c r="A474" s="5" t="s">
        <v>749</v>
      </c>
      <c r="AO474" s="223">
        <v>11.01</v>
      </c>
      <c r="AP474" s="223">
        <v>8.3000000000000007</v>
      </c>
      <c r="AR474" s="223">
        <v>6.52</v>
      </c>
      <c r="AS474" s="223">
        <v>7.08</v>
      </c>
      <c r="AT474" s="223">
        <v>4.12</v>
      </c>
      <c r="AU474" s="223">
        <v>2.62</v>
      </c>
      <c r="AW474" s="223">
        <v>3.46</v>
      </c>
      <c r="AX474" s="223">
        <v>5.22</v>
      </c>
      <c r="AY474" s="223">
        <v>8.4600000000000009</v>
      </c>
      <c r="AZ474" s="221">
        <v>10.25</v>
      </c>
    </row>
    <row r="475" spans="1:71">
      <c r="A475" s="5" t="s">
        <v>738</v>
      </c>
      <c r="AP475" s="21">
        <f>AP474/AO474-1</f>
        <v>-0.24613987284287009</v>
      </c>
      <c r="AR475" s="21">
        <f>AR474/AP474-1</f>
        <v>-0.21445783132530127</v>
      </c>
      <c r="AS475" s="21">
        <f>AS474/AR474-1</f>
        <v>8.588957055214741E-2</v>
      </c>
      <c r="AT475" s="21">
        <f>AT474/AS474-1</f>
        <v>-0.41807909604519777</v>
      </c>
      <c r="AU475" s="21">
        <f>AU474/AT474-1</f>
        <v>-0.36407766990291257</v>
      </c>
      <c r="AW475" s="21">
        <f>AW474/AU474-1</f>
        <v>0.32061068702290063</v>
      </c>
      <c r="AX475" s="21">
        <f>AX474/AW474-1</f>
        <v>0.50867052023121384</v>
      </c>
      <c r="AY475" s="21">
        <f>AY474/AX474-1</f>
        <v>0.62068965517241392</v>
      </c>
      <c r="AZ475" s="21">
        <f>AZ474/AY474-1</f>
        <v>0.2115839243498816</v>
      </c>
    </row>
    <row r="477" spans="1:71">
      <c r="A477" s="5" t="s">
        <v>746</v>
      </c>
      <c r="AO477" s="45">
        <f>AO64/AO474</f>
        <v>27.247956403269754</v>
      </c>
      <c r="AP477" s="45">
        <f>AP64/AP474</f>
        <v>24.096385542168672</v>
      </c>
      <c r="AQ477" s="41">
        <f>AP477</f>
        <v>24.096385542168672</v>
      </c>
      <c r="AR477" s="45">
        <f>AR64/AR474</f>
        <v>30.674846625766872</v>
      </c>
      <c r="AS477" s="45">
        <f>AS64/AS474</f>
        <v>28.248587570621467</v>
      </c>
      <c r="AT477" s="45">
        <f>AT64/AT474</f>
        <v>24.271844660194173</v>
      </c>
      <c r="AU477" s="45">
        <f>AU64/AU474</f>
        <v>38.167938931297705</v>
      </c>
      <c r="AV477" s="41"/>
      <c r="AW477" s="45">
        <f>AW64/AW474</f>
        <v>28.901734104046245</v>
      </c>
      <c r="AX477" s="45">
        <f>AX64/AX474</f>
        <v>38.314176245210732</v>
      </c>
      <c r="AY477" s="45">
        <f>AY64/AY474</f>
        <v>23.640661938534276</v>
      </c>
      <c r="AZ477" s="772">
        <v>27.904962999999999</v>
      </c>
    </row>
    <row r="478" spans="1:71">
      <c r="A478" s="5" t="s">
        <v>80</v>
      </c>
      <c r="AO478" s="21">
        <f>AO477/AO482</f>
        <v>0.20771578789999134</v>
      </c>
      <c r="AP478" s="21">
        <f>AP477/AP482</f>
        <v>0.18152840981637341</v>
      </c>
      <c r="AQ478" s="104"/>
      <c r="AR478" s="21">
        <f>AR477/AR482</f>
        <v>0.22910489517763322</v>
      </c>
      <c r="AS478" s="21">
        <f>AS477/AS482</f>
        <v>0.16876621077888626</v>
      </c>
      <c r="AT478" s="21">
        <f>AT477/AT482</f>
        <v>0.14317826760014971</v>
      </c>
      <c r="AU478" s="21">
        <f>AU477/AU482</f>
        <v>0.22262501968881201</v>
      </c>
      <c r="AW478" s="21">
        <f>AW477/AW482</f>
        <v>0.16763237481815296</v>
      </c>
      <c r="AX478" s="21">
        <f>AX477/AX482</f>
        <v>0.22105728723506043</v>
      </c>
      <c r="AY478" s="21">
        <f>AY477/AY482</f>
        <v>0.13639704957056917</v>
      </c>
      <c r="AZ478" s="21">
        <f>AZ477/AZ482</f>
        <v>0.16100034049266054</v>
      </c>
    </row>
    <row r="480" spans="1:71">
      <c r="A480" s="5" t="s">
        <v>745</v>
      </c>
      <c r="AO480" s="36">
        <f t="shared" ref="AO480:AZ480" si="165">AO64-AO108</f>
        <v>0</v>
      </c>
      <c r="AP480" s="36">
        <f t="shared" si="165"/>
        <v>-100</v>
      </c>
      <c r="AQ480" s="36">
        <f t="shared" si="165"/>
        <v>-100</v>
      </c>
      <c r="AR480" s="36">
        <f t="shared" si="165"/>
        <v>-100</v>
      </c>
      <c r="AS480" s="36">
        <f t="shared" si="165"/>
        <v>-100</v>
      </c>
      <c r="AT480" s="36">
        <f t="shared" si="165"/>
        <v>-200</v>
      </c>
      <c r="AU480" s="36">
        <f t="shared" si="165"/>
        <v>-200</v>
      </c>
      <c r="AV480" s="36">
        <f t="shared" si="165"/>
        <v>-200</v>
      </c>
      <c r="AW480" s="36">
        <f t="shared" ref="AW480" si="166">AW64-AW108</f>
        <v>-200</v>
      </c>
      <c r="AX480" s="36">
        <f t="shared" si="165"/>
        <v>-100</v>
      </c>
      <c r="AY480" s="36">
        <f t="shared" si="165"/>
        <v>-100</v>
      </c>
      <c r="AZ480" s="36">
        <f t="shared" si="165"/>
        <v>-15</v>
      </c>
    </row>
    <row r="481" spans="1:71">
      <c r="AS481" s="678" t="s">
        <v>2675</v>
      </c>
    </row>
    <row r="482" spans="1:71">
      <c r="A482" s="5" t="s">
        <v>1062</v>
      </c>
      <c r="AO482" s="37">
        <v>131.179034</v>
      </c>
      <c r="AP482" s="37">
        <v>132.74167700000001</v>
      </c>
      <c r="AR482" s="37">
        <v>133.88996599999999</v>
      </c>
      <c r="AS482" s="37">
        <v>167.382958</v>
      </c>
      <c r="AT482" s="37">
        <v>169.521849</v>
      </c>
      <c r="AU482" s="37">
        <v>171.44496599999999</v>
      </c>
      <c r="AV482" s="36">
        <f>AU482</f>
        <v>171.44496599999999</v>
      </c>
      <c r="AW482" s="37">
        <v>172.41140999999999</v>
      </c>
      <c r="AX482" s="37">
        <v>173.322385</v>
      </c>
      <c r="AY482" s="228">
        <f>AX482</f>
        <v>173.322385</v>
      </c>
      <c r="AZ482" s="228">
        <f>AY482</f>
        <v>173.322385</v>
      </c>
    </row>
    <row r="484" spans="1:71">
      <c r="A484" s="5" t="s">
        <v>748</v>
      </c>
    </row>
    <row r="485" spans="1:71">
      <c r="A485" s="5" t="s">
        <v>739</v>
      </c>
    </row>
    <row r="486" spans="1:71">
      <c r="A486" s="222" t="s">
        <v>740</v>
      </c>
    </row>
    <row r="487" spans="1:71">
      <c r="A487" s="5" t="s">
        <v>741</v>
      </c>
    </row>
    <row r="488" spans="1:71">
      <c r="A488" s="222" t="s">
        <v>742</v>
      </c>
    </row>
    <row r="489" spans="1:71" s="179" customFormat="1">
      <c r="A489" s="225" t="s">
        <v>743</v>
      </c>
      <c r="AP489" s="226"/>
      <c r="BS489" s="46"/>
    </row>
    <row r="491" spans="1:71">
      <c r="A491" s="1" t="s">
        <v>1094</v>
      </c>
    </row>
    <row r="492" spans="1:71">
      <c r="A492" s="1" t="s">
        <v>1096</v>
      </c>
    </row>
    <row r="493" spans="1:71">
      <c r="A493" s="1" t="s">
        <v>1095</v>
      </c>
      <c r="AP493" s="167"/>
      <c r="AR493" s="167"/>
    </row>
    <row r="495" spans="1:71" s="12" customFormat="1">
      <c r="A495" s="13" t="s">
        <v>1060</v>
      </c>
      <c r="AO495" s="227"/>
      <c r="BS495" s="46"/>
    </row>
    <row r="497" spans="1:52">
      <c r="A497" s="5" t="s">
        <v>1065</v>
      </c>
      <c r="AO497" s="223">
        <v>6.49</v>
      </c>
      <c r="AP497" s="223">
        <v>4.38</v>
      </c>
      <c r="AR497" s="223">
        <v>6.09</v>
      </c>
      <c r="AS497" s="223">
        <v>10.15</v>
      </c>
      <c r="AT497" s="223">
        <v>15.6</v>
      </c>
      <c r="AU497" s="223">
        <v>20.3</v>
      </c>
      <c r="AW497" s="223">
        <v>27.36</v>
      </c>
      <c r="AX497" s="223">
        <v>29</v>
      </c>
      <c r="AY497" s="223">
        <v>27.3</v>
      </c>
      <c r="AZ497" s="221">
        <v>17.2</v>
      </c>
    </row>
    <row r="498" spans="1:52">
      <c r="A498" s="5" t="s">
        <v>738</v>
      </c>
      <c r="AO498" s="219"/>
      <c r="AP498" s="21">
        <f>AP497/AO497-1</f>
        <v>-0.32511556240369799</v>
      </c>
      <c r="AR498" s="21">
        <f>AR497/AP497-1</f>
        <v>0.3904109589041096</v>
      </c>
      <c r="AS498" s="21">
        <f>AS497/AR497-1</f>
        <v>0.66666666666666674</v>
      </c>
      <c r="AT498" s="21">
        <f>AT497/AS497-1</f>
        <v>0.53694581280788167</v>
      </c>
      <c r="AU498" s="21">
        <f>AU497/AT497-1</f>
        <v>0.30128205128205132</v>
      </c>
      <c r="AW498" s="21">
        <f>AW497/AU497-1</f>
        <v>0.34778325123152709</v>
      </c>
      <c r="AX498" s="21">
        <f>AX497/AW497-1</f>
        <v>5.9941520467836185E-2</v>
      </c>
      <c r="AY498" s="21">
        <f>AY497/AX497-1</f>
        <v>-5.862068965517242E-2</v>
      </c>
      <c r="AZ498" s="21">
        <f>AZ497/AY497-1</f>
        <v>-0.36996336996336998</v>
      </c>
    </row>
    <row r="499" spans="1:52">
      <c r="AO499" s="219"/>
    </row>
    <row r="500" spans="1:52">
      <c r="A500" s="5" t="s">
        <v>1061</v>
      </c>
      <c r="AO500" s="223">
        <v>0.9</v>
      </c>
      <c r="AP500" s="223">
        <v>0.93</v>
      </c>
      <c r="AR500" s="223">
        <v>0.93</v>
      </c>
      <c r="AS500" s="223">
        <v>0.9</v>
      </c>
      <c r="AT500" s="223">
        <v>0.97</v>
      </c>
      <c r="AU500" s="223">
        <v>0.92</v>
      </c>
      <c r="AW500" s="223">
        <v>0.85</v>
      </c>
      <c r="AX500" s="223">
        <v>0.85</v>
      </c>
      <c r="AY500" s="223">
        <v>0.85</v>
      </c>
      <c r="AZ500" s="221">
        <v>0.85</v>
      </c>
    </row>
    <row r="501" spans="1:52">
      <c r="A501" s="5" t="s">
        <v>738</v>
      </c>
      <c r="AO501" s="219"/>
      <c r="AP501" s="21">
        <f>AP500/AO500-1</f>
        <v>3.3333333333333437E-2</v>
      </c>
      <c r="AR501" s="21">
        <f>AR500/AP500-1</f>
        <v>0</v>
      </c>
      <c r="AS501" s="21">
        <f>AS500/AR500-1</f>
        <v>-3.2258064516129115E-2</v>
      </c>
      <c r="AT501" s="21">
        <f>AT500/AS500-1</f>
        <v>7.7777777777777724E-2</v>
      </c>
      <c r="AU501" s="21">
        <f>AU500/AT500-1</f>
        <v>-5.1546391752577247E-2</v>
      </c>
      <c r="AW501" s="21">
        <f>AW500/AU500-1</f>
        <v>-7.6086956521739246E-2</v>
      </c>
      <c r="AX501" s="21">
        <f>AX500/AW500-1</f>
        <v>0</v>
      </c>
      <c r="AY501" s="21">
        <f>AY500/AX500-1</f>
        <v>0</v>
      </c>
      <c r="AZ501" s="21">
        <f>AZ500/AY500-1</f>
        <v>0</v>
      </c>
    </row>
    <row r="503" spans="1:52">
      <c r="A503" s="5" t="s">
        <v>749</v>
      </c>
      <c r="AO503" s="24">
        <f>AO497/AO500</f>
        <v>7.2111111111111112</v>
      </c>
      <c r="AP503" s="24">
        <f>AP497/AP500</f>
        <v>4.7096774193548381</v>
      </c>
      <c r="AR503" s="24">
        <f>AR497/AR500</f>
        <v>6.5483870967741931</v>
      </c>
      <c r="AS503" s="24">
        <f>AS497/AS500</f>
        <v>11.277777777777779</v>
      </c>
      <c r="AT503" s="24">
        <f>AT497/AT500</f>
        <v>16.082474226804123</v>
      </c>
      <c r="AU503" s="24">
        <f>AU497/AU500</f>
        <v>22.065217391304348</v>
      </c>
      <c r="AW503" s="24">
        <f>AW497/AW500</f>
        <v>32.188235294117646</v>
      </c>
      <c r="AX503" s="24">
        <f>AX497/AX500</f>
        <v>34.117647058823529</v>
      </c>
      <c r="AY503" s="24">
        <f>AY497/AY500</f>
        <v>32.117647058823529</v>
      </c>
      <c r="AZ503" s="24">
        <f>AZ497/AZ500</f>
        <v>20.235294117647058</v>
      </c>
    </row>
    <row r="504" spans="1:52">
      <c r="A504" s="5" t="s">
        <v>738</v>
      </c>
      <c r="AP504" s="21">
        <f>AP503/AO503-1</f>
        <v>-0.34688602813261105</v>
      </c>
      <c r="AR504" s="21">
        <f>AR503/AP503-1</f>
        <v>0.3904109589041096</v>
      </c>
      <c r="AS504" s="21">
        <f>AS503/AR503-1</f>
        <v>0.72222222222222254</v>
      </c>
      <c r="AT504" s="21">
        <f>AT503/AS503-1</f>
        <v>0.42603219745061183</v>
      </c>
      <c r="AU504" s="21">
        <f>AU503/AT503-1</f>
        <v>0.37200390189520616</v>
      </c>
      <c r="AW504" s="21">
        <f>AW503/AU503-1</f>
        <v>0.45877716603882934</v>
      </c>
      <c r="AX504" s="21">
        <f>AX503/AW503-1</f>
        <v>5.9941520467836185E-2</v>
      </c>
      <c r="AY504" s="21">
        <f>AY503/AX503-1</f>
        <v>-5.862068965517242E-2</v>
      </c>
      <c r="AZ504" s="21">
        <f>AZ503/AY503-1</f>
        <v>-0.36996336996336998</v>
      </c>
    </row>
    <row r="505" spans="1:52">
      <c r="AP505" s="25" t="s">
        <v>1066</v>
      </c>
      <c r="AY505" s="685" t="s">
        <v>2876</v>
      </c>
      <c r="AZ505" s="618"/>
    </row>
    <row r="506" spans="1:52">
      <c r="A506" s="5" t="s">
        <v>746</v>
      </c>
      <c r="AO506" s="45">
        <f>AO65/AO503</f>
        <v>41.602465331278893</v>
      </c>
      <c r="AP506" s="45">
        <f>AP65/AP503</f>
        <v>42.465753424657542</v>
      </c>
      <c r="AR506" s="45">
        <f>AR65/AR503</f>
        <v>30.541871921182267</v>
      </c>
      <c r="AS506" s="45">
        <f>AS65/AS503</f>
        <v>35.467980295566498</v>
      </c>
      <c r="AT506" s="45">
        <f>AT65/AT503</f>
        <v>37.307692307692307</v>
      </c>
      <c r="AU506" s="45">
        <f>AU65/AU503</f>
        <v>36.256157635467979</v>
      </c>
      <c r="AW506" s="45">
        <f>AW65/AW503</f>
        <v>34.173976608187132</v>
      </c>
      <c r="AX506" s="45">
        <f>AX65/AX503</f>
        <v>32.241379310344826</v>
      </c>
      <c r="AY506" s="45">
        <f>AY65/AY503</f>
        <v>31.135531135531135</v>
      </c>
      <c r="AZ506" s="609">
        <f>AY506</f>
        <v>31.135531135531135</v>
      </c>
    </row>
    <row r="507" spans="1:52">
      <c r="A507" s="5" t="s">
        <v>80</v>
      </c>
      <c r="AO507" s="21">
        <f>AO506/AO511</f>
        <v>0.19201728667626186</v>
      </c>
      <c r="AP507" s="21">
        <f>AP506/AP511</f>
        <v>0.19578042656765654</v>
      </c>
      <c r="AR507" s="21">
        <f>AR506/AR511</f>
        <v>0.14064873092876937</v>
      </c>
      <c r="AS507" s="21">
        <f>AS506/AS511</f>
        <v>0.16313867943317464</v>
      </c>
      <c r="AT507" s="21">
        <f>AT506/AT511</f>
        <v>0.17126190005367384</v>
      </c>
      <c r="AU507" s="21">
        <f>AU506/AU511</f>
        <v>0.16643480368833996</v>
      </c>
      <c r="AW507" s="21">
        <f>AW506/AW511</f>
        <v>0.1559821919745826</v>
      </c>
      <c r="AX507" s="21">
        <f>AX506/AX511</f>
        <v>0.14632696259776806</v>
      </c>
      <c r="AY507" s="21">
        <f>AY506/AY511</f>
        <v>0.1413080890887537</v>
      </c>
      <c r="AZ507" s="21">
        <f>AZ506/AZ511</f>
        <v>0.1413080890887537</v>
      </c>
    </row>
    <row r="509" spans="1:52">
      <c r="A509" s="5" t="s">
        <v>745</v>
      </c>
      <c r="AO509" s="36">
        <f>AO65-AO109</f>
        <v>-400</v>
      </c>
      <c r="AP509" s="36">
        <f>AP65-AP109</f>
        <v>-500</v>
      </c>
      <c r="AR509" s="36">
        <f t="shared" ref="AR509:AZ509" si="167">AR65-AR109</f>
        <v>-500</v>
      </c>
      <c r="AS509" s="36">
        <f t="shared" si="167"/>
        <v>-300</v>
      </c>
      <c r="AT509" s="36">
        <f t="shared" si="167"/>
        <v>-100</v>
      </c>
      <c r="AU509" s="36">
        <f t="shared" si="167"/>
        <v>100</v>
      </c>
      <c r="AV509" s="36">
        <f t="shared" si="167"/>
        <v>100</v>
      </c>
      <c r="AW509" s="36">
        <f t="shared" si="167"/>
        <v>500</v>
      </c>
      <c r="AX509" s="36">
        <f t="shared" si="167"/>
        <v>500</v>
      </c>
      <c r="AY509" s="36">
        <f t="shared" si="167"/>
        <v>500</v>
      </c>
      <c r="AZ509" s="36">
        <f t="shared" si="167"/>
        <v>130</v>
      </c>
    </row>
    <row r="510" spans="1:52">
      <c r="AO510" s="219" t="s">
        <v>734</v>
      </c>
    </row>
    <row r="511" spans="1:52">
      <c r="A511" s="5" t="s">
        <v>1067</v>
      </c>
      <c r="AO511" s="37">
        <v>216.66</v>
      </c>
      <c r="AP511" s="681">
        <f>AVERAGE(AO511, AR511)</f>
        <v>216.905</v>
      </c>
      <c r="AR511" s="681">
        <v>217.15</v>
      </c>
      <c r="AS511" s="681">
        <v>217.41</v>
      </c>
      <c r="AT511" s="681">
        <v>217.84</v>
      </c>
      <c r="AU511" s="681">
        <v>217.84</v>
      </c>
      <c r="AV511" s="36">
        <f>AU511</f>
        <v>217.84</v>
      </c>
      <c r="AW511" s="283">
        <f>AVERAGE(AV511, AX511)</f>
        <v>219.08896250000001</v>
      </c>
      <c r="AX511" s="681">
        <v>220.33792500000001</v>
      </c>
      <c r="AY511" s="622">
        <f>AX511</f>
        <v>220.33792500000001</v>
      </c>
      <c r="AZ511" s="622">
        <f>AY511</f>
        <v>220.33792500000001</v>
      </c>
    </row>
    <row r="512" spans="1:52">
      <c r="AP512" s="262" t="s">
        <v>2442</v>
      </c>
    </row>
    <row r="513" spans="1:71">
      <c r="A513" s="5" t="s">
        <v>748</v>
      </c>
      <c r="AP513" s="610">
        <v>3.8959413312788911</v>
      </c>
      <c r="AX513" s="41">
        <f>AW506-AX506</f>
        <v>1.9325972978423067</v>
      </c>
      <c r="AY513" s="41">
        <f>AX506-AY506</f>
        <v>1.1058481748136906</v>
      </c>
    </row>
    <row r="514" spans="1:71">
      <c r="A514" s="5" t="s">
        <v>739</v>
      </c>
      <c r="AP514" s="21">
        <f>AP513/AO506</f>
        <v>9.3646886074074079E-2</v>
      </c>
      <c r="AX514" s="21">
        <f>AX513/AW506</f>
        <v>5.6551724137931032E-2</v>
      </c>
      <c r="AY514" s="21">
        <f>AY513/AX506</f>
        <v>3.4299034299034255E-2</v>
      </c>
    </row>
    <row r="515" spans="1:71">
      <c r="A515" s="222" t="s">
        <v>740</v>
      </c>
      <c r="AP515" s="221">
        <v>3.75</v>
      </c>
      <c r="AX515" s="636">
        <f>MROUND(AVERAGE(AW503:AX503), 0.05)</f>
        <v>33.15</v>
      </c>
      <c r="AY515" s="636">
        <f>MROUND(AVERAGE(AX503:AY503), 0.05)</f>
        <v>33.1</v>
      </c>
    </row>
    <row r="516" spans="1:71">
      <c r="A516" s="5" t="s">
        <v>741</v>
      </c>
      <c r="AP516" s="224">
        <f>MROUND(AO109/AO506, 0.05)</f>
        <v>16.850000000000001</v>
      </c>
      <c r="AX516" s="224">
        <f>MROUND(AW109/AW506, 0.05)</f>
        <v>17.55</v>
      </c>
      <c r="AY516" s="224">
        <f>MROUND(AX109/AX506, 0.05)</f>
        <v>18.600000000000001</v>
      </c>
    </row>
    <row r="517" spans="1:71">
      <c r="A517" s="222" t="s">
        <v>742</v>
      </c>
      <c r="AP517" s="80">
        <f>-MROUND(-AP513*(AP515-AP516), 5)</f>
        <v>-50</v>
      </c>
      <c r="AX517" s="80">
        <f>MROUND(AX513*(AX515-AX516), 5)</f>
        <v>30</v>
      </c>
      <c r="AY517" s="80">
        <f>MROUND(AY513*(AY515-AY516), 5)</f>
        <v>15</v>
      </c>
    </row>
    <row r="518" spans="1:71" s="179" customFormat="1">
      <c r="A518" s="225" t="s">
        <v>743</v>
      </c>
      <c r="AP518" s="226">
        <f>MROUND(-AO509*AP513/AO506, 5)</f>
        <v>35</v>
      </c>
      <c r="AX518" s="226">
        <f>-MROUND(AW509*AX513/AW506, 5)</f>
        <v>-30</v>
      </c>
      <c r="AY518" s="226">
        <f>-MROUND(AX509*AY513/AX506, 5)</f>
        <v>-15</v>
      </c>
      <c r="BS518" s="46"/>
    </row>
    <row r="520" spans="1:71">
      <c r="A520" s="1" t="s">
        <v>1094</v>
      </c>
      <c r="AP520" s="1">
        <f>MROUND(AP516*AP513, 5)</f>
        <v>65</v>
      </c>
      <c r="AX520" s="36">
        <f>MROUND(AX516*AX513, 5)</f>
        <v>35</v>
      </c>
      <c r="AY520" s="36">
        <f>MROUND(AY516*AY513, 5)</f>
        <v>20</v>
      </c>
    </row>
    <row r="521" spans="1:71">
      <c r="A521" s="1" t="s">
        <v>1096</v>
      </c>
      <c r="AP521" s="1">
        <f>MROUND(AP515*AP513, 5)</f>
        <v>15</v>
      </c>
      <c r="AX521" s="36">
        <f>MROUND(AX515*AX513, 5)</f>
        <v>65</v>
      </c>
      <c r="AY521" s="36">
        <f>MROUND(AY515*AY513, 5)</f>
        <v>35</v>
      </c>
    </row>
    <row r="522" spans="1:71">
      <c r="A522" s="1" t="s">
        <v>1095</v>
      </c>
      <c r="AP522" s="167">
        <f>AP521/AP520</f>
        <v>0.23076923076923078</v>
      </c>
      <c r="AR522" s="167"/>
      <c r="AX522" s="167">
        <f>AX521/AX520</f>
        <v>1.8571428571428572</v>
      </c>
      <c r="AY522" s="167">
        <f>AY521/AY520</f>
        <v>1.75</v>
      </c>
    </row>
    <row r="524" spans="1:71" s="71" customFormat="1">
      <c r="A524" s="217" t="s">
        <v>1109</v>
      </c>
      <c r="BS524" s="46"/>
    </row>
    <row r="526" spans="1:71">
      <c r="W526" s="239" t="s">
        <v>951</v>
      </c>
      <c r="AB526" s="1" t="s">
        <v>1123</v>
      </c>
      <c r="AM526" s="297">
        <v>2019</v>
      </c>
      <c r="AN526" s="297">
        <f t="shared" ref="AN526:AU526" si="168">AM526+1</f>
        <v>2020</v>
      </c>
      <c r="AO526" s="297">
        <f t="shared" si="168"/>
        <v>2021</v>
      </c>
      <c r="AP526" s="297">
        <f t="shared" si="168"/>
        <v>2022</v>
      </c>
      <c r="AQ526" s="297">
        <f t="shared" si="168"/>
        <v>2023</v>
      </c>
      <c r="AR526" s="297">
        <f t="shared" si="168"/>
        <v>2024</v>
      </c>
      <c r="AS526" s="297">
        <f t="shared" si="168"/>
        <v>2025</v>
      </c>
      <c r="AT526" s="297">
        <f t="shared" si="168"/>
        <v>2026</v>
      </c>
      <c r="AU526" s="297">
        <f t="shared" si="168"/>
        <v>2027</v>
      </c>
    </row>
    <row r="528" spans="1:71">
      <c r="W528" s="3" t="s">
        <v>1110</v>
      </c>
    </row>
    <row r="529" spans="23:47">
      <c r="AR529" s="748" t="s">
        <v>3142</v>
      </c>
      <c r="AS529" s="618"/>
    </row>
    <row r="530" spans="23:47">
      <c r="W530" s="34" t="s">
        <v>1155</v>
      </c>
      <c r="AM530" s="103"/>
      <c r="AN530" s="103">
        <f>AO530/(AO539+1)</f>
        <v>1.9715055833654211</v>
      </c>
      <c r="AO530" s="103">
        <f>AP530/(AP539+1)</f>
        <v>5.2244897959183669</v>
      </c>
      <c r="AP530" s="103">
        <f>AQ530/(AQ539+1)</f>
        <v>9.1428571428571423</v>
      </c>
      <c r="AQ530" s="299">
        <v>16</v>
      </c>
      <c r="AR530" s="905">
        <f>AQ530*(1+AR536*1.25)</f>
        <v>21.833333333333336</v>
      </c>
      <c r="AS530" s="103">
        <f>AS533*AR530/AR533</f>
        <v>28.383333333333336</v>
      </c>
    </row>
    <row r="531" spans="23:47">
      <c r="W531" s="34" t="s">
        <v>1154</v>
      </c>
      <c r="AN531" s="299">
        <v>0.171618509</v>
      </c>
      <c r="AO531" s="299">
        <v>0.99045700000000003</v>
      </c>
      <c r="AP531" s="299">
        <v>2.6181209999999999</v>
      </c>
      <c r="AQ531" s="299">
        <v>4.5712640000000002</v>
      </c>
      <c r="AR531" s="299">
        <v>6.3102819999999999</v>
      </c>
      <c r="AS531" s="103">
        <f>AS533*AR531/AR533</f>
        <v>8.2033666000000007</v>
      </c>
    </row>
    <row r="532" spans="23:47">
      <c r="W532" s="34" t="s">
        <v>1156</v>
      </c>
      <c r="AN532" s="103">
        <f>AO532/(AO541+1)</f>
        <v>8.7333175499955173E-2</v>
      </c>
      <c r="AO532" s="103">
        <f>AP532/(AP541+1)</f>
        <v>0.58949893462469738</v>
      </c>
      <c r="AP532" s="103">
        <f>AP533-SUM(AP530:AP531)</f>
        <v>1.7390218571428573</v>
      </c>
      <c r="AQ532" s="103">
        <f>AP532*(1+AQ541)</f>
        <v>3.3041415285714288</v>
      </c>
      <c r="AR532" s="103">
        <f>AQ532*(1+AR541)</f>
        <v>4.6257981399999997</v>
      </c>
      <c r="AS532" s="103">
        <f>AS533*AR532/AR533</f>
        <v>6.0135375819999997</v>
      </c>
    </row>
    <row r="533" spans="23:47">
      <c r="W533" s="33" t="s">
        <v>1152</v>
      </c>
      <c r="X533" s="9"/>
      <c r="Y533" s="9"/>
      <c r="Z533" s="9"/>
      <c r="AA533" s="9"/>
      <c r="AB533" s="9"/>
      <c r="AC533" s="9"/>
      <c r="AD533" s="9"/>
      <c r="AE533" s="9"/>
      <c r="AF533" s="9"/>
      <c r="AG533" s="9"/>
      <c r="AH533" s="9"/>
      <c r="AI533" s="9"/>
      <c r="AJ533" s="9"/>
      <c r="AK533" s="9"/>
      <c r="AL533" s="9"/>
      <c r="AM533" s="9"/>
      <c r="AN533" s="300">
        <f>SUM(AN530:AN532)</f>
        <v>2.2304572678653765</v>
      </c>
      <c r="AO533" s="300">
        <f>SUM(AO530:AO532)</f>
        <v>6.8044457305430646</v>
      </c>
      <c r="AP533" s="310">
        <v>13.5</v>
      </c>
      <c r="AQ533" s="300">
        <f>SUM(AQ530:AQ532)</f>
        <v>23.875405528571427</v>
      </c>
      <c r="AR533" s="300">
        <f>SUM(AR530:AR532)</f>
        <v>32.769413473333337</v>
      </c>
      <c r="AS533" s="300">
        <f>AR533*(1+AS542)</f>
        <v>42.60023751533334</v>
      </c>
      <c r="AT533" s="300">
        <f>AS533*(1+AT542)</f>
        <v>52.185290956283346</v>
      </c>
      <c r="AU533" s="300">
        <f>AT533*(1+AU542)</f>
        <v>60.013084599725843</v>
      </c>
    </row>
    <row r="534" spans="23:47">
      <c r="W534" s="312" t="s">
        <v>1151</v>
      </c>
      <c r="X534" s="46"/>
      <c r="Y534" s="46"/>
      <c r="Z534" s="46"/>
      <c r="AA534" s="46"/>
      <c r="AB534" s="46"/>
      <c r="AC534" s="46"/>
      <c r="AD534" s="46"/>
      <c r="AE534" s="46"/>
      <c r="AF534" s="46"/>
      <c r="AG534" s="46"/>
      <c r="AH534" s="46"/>
      <c r="AI534" s="46"/>
      <c r="AJ534" s="46"/>
      <c r="AK534" s="46"/>
      <c r="AL534" s="46"/>
      <c r="AM534" s="46"/>
      <c r="AN534" s="313">
        <f>AN535-AN533</f>
        <v>32.769542732134624</v>
      </c>
      <c r="AO534" s="313">
        <f>AO535-AO533</f>
        <v>50.695554269456935</v>
      </c>
      <c r="AP534" s="309">
        <v>69.5</v>
      </c>
      <c r="AQ534" s="313">
        <f>AQ535-AQ533</f>
        <v>96.124594471428566</v>
      </c>
      <c r="AR534" s="313">
        <f>AR535-AR533</f>
        <v>122.23058652666666</v>
      </c>
      <c r="AS534" s="313">
        <f>AS535-AS533</f>
        <v>151.14976248466667</v>
      </c>
      <c r="AT534" s="313">
        <f>AT535-AT533</f>
        <v>175.47095904371665</v>
      </c>
      <c r="AU534" s="313">
        <f>AU535-AU533</f>
        <v>190.4087904002742</v>
      </c>
    </row>
    <row r="535" spans="23:47">
      <c r="W535" s="9" t="s">
        <v>1111</v>
      </c>
      <c r="X535" s="9"/>
      <c r="Y535" s="9"/>
      <c r="Z535" s="9"/>
      <c r="AA535" s="9"/>
      <c r="AB535" s="9"/>
      <c r="AC535" s="9"/>
      <c r="AD535" s="9"/>
      <c r="AE535" s="9"/>
      <c r="AF535" s="9"/>
      <c r="AG535" s="9"/>
      <c r="AH535" s="9"/>
      <c r="AI535" s="9"/>
      <c r="AJ535" s="9"/>
      <c r="AK535" s="9"/>
      <c r="AL535" s="9"/>
      <c r="AM535" s="298">
        <v>17.5</v>
      </c>
      <c r="AN535" s="298">
        <v>35</v>
      </c>
      <c r="AO535" s="298">
        <v>57.5</v>
      </c>
      <c r="AP535" s="310">
        <v>83.5</v>
      </c>
      <c r="AQ535" s="298">
        <v>120</v>
      </c>
      <c r="AR535" s="298">
        <v>155</v>
      </c>
      <c r="AS535" s="300">
        <f>AR535*(1+AS536)</f>
        <v>193.75</v>
      </c>
      <c r="AT535" s="300">
        <f>AS535*(1+AT536)</f>
        <v>227.65625</v>
      </c>
      <c r="AU535" s="300">
        <f>AT535*(1+AU536)</f>
        <v>250.42187500000003</v>
      </c>
    </row>
    <row r="536" spans="23:47">
      <c r="W536" s="1" t="s">
        <v>28</v>
      </c>
      <c r="AN536" s="16">
        <f>AN535/AM535-1</f>
        <v>1</v>
      </c>
      <c r="AO536" s="16">
        <f>AO535/AN535-1</f>
        <v>0.64285714285714279</v>
      </c>
      <c r="AP536" s="16">
        <f>AP535/AO535-1</f>
        <v>0.45217391304347831</v>
      </c>
      <c r="AQ536" s="16">
        <f>AQ535/AP535-1</f>
        <v>0.43712574850299402</v>
      </c>
      <c r="AR536" s="16">
        <f>AR535/AQ535-1</f>
        <v>0.29166666666666674</v>
      </c>
      <c r="AS536" s="303">
        <v>0.25</v>
      </c>
      <c r="AT536" s="303">
        <v>0.17499999999999999</v>
      </c>
      <c r="AU536" s="303">
        <v>0.1</v>
      </c>
    </row>
    <row r="537" spans="23:47">
      <c r="W537" s="262"/>
      <c r="AL537" s="44"/>
      <c r="AM537" s="44"/>
      <c r="AN537" s="44"/>
      <c r="AO537" s="44"/>
      <c r="AP537" s="311" t="s">
        <v>1153</v>
      </c>
    </row>
    <row r="538" spans="23:47">
      <c r="W538" s="1" t="s">
        <v>28</v>
      </c>
    </row>
    <row r="539" spans="23:47" outlineLevel="1">
      <c r="W539" s="34" t="s">
        <v>1155</v>
      </c>
      <c r="AN539" s="303">
        <f>MROUND(AO540, 5%)</f>
        <v>4.75</v>
      </c>
      <c r="AO539" s="303">
        <f>MROUND(AP540, 5%)</f>
        <v>1.6500000000000001</v>
      </c>
      <c r="AP539" s="303">
        <f>MROUND(AQ540, 5%)</f>
        <v>0.75</v>
      </c>
      <c r="AQ539" s="303">
        <v>0.75</v>
      </c>
      <c r="AR539" s="16">
        <f>AR530/AQ530-1</f>
        <v>0.36458333333333348</v>
      </c>
    </row>
    <row r="540" spans="23:47" outlineLevel="1">
      <c r="W540" s="34" t="s">
        <v>1154</v>
      </c>
      <c r="AN540" s="103"/>
      <c r="AO540" s="16">
        <f>AO531/AN531-1</f>
        <v>4.7712714425225542</v>
      </c>
      <c r="AP540" s="16">
        <f>AP531/AO531-1</f>
        <v>1.643346455222185</v>
      </c>
      <c r="AQ540" s="16">
        <f>AQ531/AP531-1</f>
        <v>0.74600944723334028</v>
      </c>
      <c r="AR540" s="16">
        <f>AR531/AQ531-1</f>
        <v>0.38042388275977923</v>
      </c>
    </row>
    <row r="541" spans="23:47" outlineLevel="1">
      <c r="W541" s="34" t="s">
        <v>1156</v>
      </c>
      <c r="AO541" s="303">
        <f>MROUND(AO540*1.2, 5%)</f>
        <v>5.75</v>
      </c>
      <c r="AP541" s="303">
        <f>MROUND(AP540*1.2, 5%)</f>
        <v>1.9500000000000002</v>
      </c>
      <c r="AQ541" s="303">
        <f>MROUND(AQ540*1.2, 5%)</f>
        <v>0.9</v>
      </c>
      <c r="AR541" s="303">
        <v>0.4</v>
      </c>
    </row>
    <row r="542" spans="23:47" outlineLevel="1">
      <c r="W542" s="33" t="s">
        <v>1152</v>
      </c>
      <c r="X542" s="9"/>
      <c r="Y542" s="9"/>
      <c r="Z542" s="9"/>
      <c r="AA542" s="9"/>
      <c r="AB542" s="9"/>
      <c r="AC542" s="9"/>
      <c r="AD542" s="9"/>
      <c r="AE542" s="9"/>
      <c r="AF542" s="9"/>
      <c r="AG542" s="9"/>
      <c r="AH542" s="9"/>
      <c r="AI542" s="9"/>
      <c r="AJ542" s="9"/>
      <c r="AK542" s="9"/>
      <c r="AL542" s="9"/>
      <c r="AM542" s="9"/>
      <c r="AN542" s="9"/>
      <c r="AO542" s="17">
        <f t="shared" ref="AO542:AR544" si="169">AO533/AN533-1</f>
        <v>2.050695401600386</v>
      </c>
      <c r="AP542" s="17">
        <f t="shared" si="169"/>
        <v>0.983997012336016</v>
      </c>
      <c r="AQ542" s="17">
        <f t="shared" si="169"/>
        <v>0.76854855767195751</v>
      </c>
      <c r="AR542" s="17">
        <f t="shared" si="169"/>
        <v>0.37251756558097204</v>
      </c>
      <c r="AS542" s="906">
        <v>0.3</v>
      </c>
      <c r="AT542" s="906">
        <v>0.22500000000000001</v>
      </c>
      <c r="AU542" s="906">
        <v>0.15</v>
      </c>
    </row>
    <row r="543" spans="23:47" outlineLevel="1">
      <c r="W543" s="312" t="s">
        <v>1151</v>
      </c>
      <c r="X543" s="46"/>
      <c r="Y543" s="46"/>
      <c r="Z543" s="46"/>
      <c r="AA543" s="46"/>
      <c r="AB543" s="46"/>
      <c r="AC543" s="46"/>
      <c r="AD543" s="46"/>
      <c r="AE543" s="46"/>
      <c r="AF543" s="46"/>
      <c r="AG543" s="46"/>
      <c r="AH543" s="46"/>
      <c r="AI543" s="46"/>
      <c r="AJ543" s="46"/>
      <c r="AK543" s="46"/>
      <c r="AL543" s="46"/>
      <c r="AM543" s="46"/>
      <c r="AN543" s="46"/>
      <c r="AO543" s="78">
        <f t="shared" si="169"/>
        <v>0.54703270301491336</v>
      </c>
      <c r="AP543" s="78">
        <f t="shared" si="169"/>
        <v>0.37092889113301153</v>
      </c>
      <c r="AQ543" s="78">
        <f t="shared" si="169"/>
        <v>0.38308769023638223</v>
      </c>
      <c r="AR543" s="78">
        <f>AR534/AQ534-1</f>
        <v>0.27158493826465668</v>
      </c>
      <c r="AS543" s="78">
        <f>AS534/AR534-1</f>
        <v>0.23659524820893174</v>
      </c>
      <c r="AT543" s="78">
        <f>AT534/AS534-1</f>
        <v>0.16090793765896416</v>
      </c>
      <c r="AU543" s="78">
        <f>AU534/AT534-1</f>
        <v>8.5129935107016497E-2</v>
      </c>
    </row>
    <row r="544" spans="23:47" outlineLevel="1">
      <c r="W544" s="9" t="s">
        <v>1159</v>
      </c>
      <c r="X544" s="9"/>
      <c r="Y544" s="9"/>
      <c r="Z544" s="9"/>
      <c r="AA544" s="9"/>
      <c r="AB544" s="9"/>
      <c r="AC544" s="9"/>
      <c r="AD544" s="9"/>
      <c r="AE544" s="9"/>
      <c r="AF544" s="9"/>
      <c r="AG544" s="9"/>
      <c r="AH544" s="9"/>
      <c r="AI544" s="9"/>
      <c r="AJ544" s="9"/>
      <c r="AK544" s="9"/>
      <c r="AL544" s="9"/>
      <c r="AM544" s="300"/>
      <c r="AN544" s="17">
        <f>AN535/AM535-1</f>
        <v>1</v>
      </c>
      <c r="AO544" s="17">
        <f t="shared" si="169"/>
        <v>0.64285714285714279</v>
      </c>
      <c r="AP544" s="17">
        <f t="shared" si="169"/>
        <v>0.45217391304347831</v>
      </c>
      <c r="AQ544" s="17">
        <f t="shared" si="169"/>
        <v>0.43712574850299402</v>
      </c>
      <c r="AR544" s="17">
        <f t="shared" ref="AR544:AU544" si="170">AR535/AQ535-1</f>
        <v>0.29166666666666674</v>
      </c>
      <c r="AS544" s="17">
        <f t="shared" si="170"/>
        <v>0.25</v>
      </c>
      <c r="AT544" s="17">
        <f t="shared" si="170"/>
        <v>0.17500000000000004</v>
      </c>
      <c r="AU544" s="17">
        <f t="shared" si="170"/>
        <v>0.10000000000000009</v>
      </c>
    </row>
    <row r="546" spans="18:47">
      <c r="W546" s="1" t="s">
        <v>1160</v>
      </c>
    </row>
    <row r="547" spans="18:47">
      <c r="W547" s="34" t="s">
        <v>1155</v>
      </c>
      <c r="AM547" s="308"/>
      <c r="AN547" s="103">
        <f>AN530-AN554</f>
        <v>3.7458606083943002</v>
      </c>
      <c r="AO547" s="103">
        <f>AO530-AO554</f>
        <v>6.2693877551020405</v>
      </c>
      <c r="AP547" s="301">
        <v>8</v>
      </c>
      <c r="AQ547" s="308"/>
      <c r="AR547" s="79"/>
      <c r="AS547" s="79"/>
      <c r="AT547" s="79"/>
      <c r="AU547" s="79"/>
    </row>
    <row r="548" spans="18:47">
      <c r="W548" s="34" t="s">
        <v>1154</v>
      </c>
      <c r="AM548" s="79"/>
      <c r="AN548" s="308">
        <f>AN531-AN555</f>
        <v>0.82587450899999992</v>
      </c>
      <c r="AO548" s="308">
        <f>AO531-AO555</f>
        <v>1.886036</v>
      </c>
      <c r="AP548" s="308">
        <f>AP531-AP555</f>
        <v>3.1301829999999997</v>
      </c>
      <c r="AQ548" s="308"/>
      <c r="AR548" s="79"/>
      <c r="AS548" s="79"/>
      <c r="AT548" s="79"/>
      <c r="AU548" s="79"/>
    </row>
    <row r="549" spans="18:47">
      <c r="W549" s="34" t="s">
        <v>1156</v>
      </c>
      <c r="AM549" s="79"/>
      <c r="AN549" s="301">
        <f>AN548</f>
        <v>0.82587450899999992</v>
      </c>
      <c r="AO549" s="301">
        <f>AO548</f>
        <v>1.886036</v>
      </c>
      <c r="AP549" s="301">
        <f>AP548</f>
        <v>3.1301829999999997</v>
      </c>
      <c r="AQ549" s="308"/>
      <c r="AR549" s="79"/>
      <c r="AS549" s="79"/>
      <c r="AT549" s="79"/>
      <c r="AU549" s="79"/>
    </row>
    <row r="550" spans="18:47">
      <c r="W550" s="33" t="s">
        <v>1152</v>
      </c>
      <c r="X550" s="9"/>
      <c r="Y550" s="9"/>
      <c r="Z550" s="9"/>
      <c r="AA550" s="9"/>
      <c r="AB550" s="9"/>
      <c r="AC550" s="9"/>
      <c r="AD550" s="9"/>
      <c r="AE550" s="9"/>
      <c r="AF550" s="9"/>
      <c r="AG550" s="9"/>
      <c r="AH550" s="9"/>
      <c r="AI550" s="9"/>
      <c r="AJ550" s="9"/>
      <c r="AK550" s="9"/>
      <c r="AL550" s="9"/>
      <c r="AM550" s="314"/>
      <c r="AN550" s="304">
        <f>SUM(AN547:AN549)</f>
        <v>5.3976096263943001</v>
      </c>
      <c r="AO550" s="304">
        <f>SUM(AO547:AO549)</f>
        <v>10.041459755102041</v>
      </c>
      <c r="AP550" s="304">
        <f>SUM(AP547:AP549)</f>
        <v>14.260365999999998</v>
      </c>
      <c r="AQ550" s="304">
        <f t="shared" ref="AQ550:AU552" si="171">AQ533-AQ557</f>
        <v>19.910125574999999</v>
      </c>
      <c r="AR550" s="304">
        <f t="shared" si="171"/>
        <v>25.445586710144674</v>
      </c>
      <c r="AS550" s="304">
        <f t="shared" si="171"/>
        <v>31.655390563341349</v>
      </c>
      <c r="AT550" s="304">
        <f t="shared" si="171"/>
        <v>37.740758420554009</v>
      </c>
      <c r="AU550" s="304">
        <f t="shared" si="171"/>
        <v>42.607036802227441</v>
      </c>
    </row>
    <row r="551" spans="18:47">
      <c r="W551" s="312" t="s">
        <v>1151</v>
      </c>
      <c r="X551" s="46"/>
      <c r="Y551" s="46"/>
      <c r="Z551" s="46"/>
      <c r="AA551" s="46"/>
      <c r="AB551" s="46"/>
      <c r="AC551" s="46"/>
      <c r="AD551" s="46"/>
      <c r="AE551" s="46"/>
      <c r="AF551" s="46"/>
      <c r="AG551" s="46"/>
      <c r="AH551" s="46"/>
      <c r="AI551" s="46"/>
      <c r="AJ551" s="46"/>
      <c r="AK551" s="46"/>
      <c r="AL551" s="46"/>
      <c r="AM551" s="316"/>
      <c r="AN551" s="317"/>
      <c r="AO551" s="317">
        <f>AO552-AO550</f>
        <v>33.492059797970583</v>
      </c>
      <c r="AP551" s="317">
        <f>AP552-AP550</f>
        <v>44.239634000000002</v>
      </c>
      <c r="AQ551" s="317">
        <f t="shared" si="171"/>
        <v>60.089874424999991</v>
      </c>
      <c r="AR551" s="317">
        <f t="shared" si="171"/>
        <v>76.33774662318865</v>
      </c>
      <c r="AS551" s="317">
        <f t="shared" si="171"/>
        <v>94.605026103325329</v>
      </c>
      <c r="AT551" s="317">
        <f t="shared" si="171"/>
        <v>110.04609053777932</v>
      </c>
      <c r="AU551" s="317">
        <f t="shared" si="171"/>
        <v>119.33244236443926</v>
      </c>
    </row>
    <row r="552" spans="18:47">
      <c r="W552" s="9" t="s">
        <v>1161</v>
      </c>
      <c r="X552" s="9"/>
      <c r="Y552" s="9"/>
      <c r="Z552" s="9"/>
      <c r="AA552" s="9"/>
      <c r="AB552" s="9"/>
      <c r="AC552" s="9"/>
      <c r="AD552" s="9"/>
      <c r="AE552" s="9"/>
      <c r="AF552" s="9"/>
      <c r="AG552" s="9"/>
      <c r="AH552" s="9"/>
      <c r="AI552" s="9"/>
      <c r="AJ552" s="9"/>
      <c r="AK552" s="9"/>
      <c r="AL552" s="9"/>
      <c r="AM552" s="304"/>
      <c r="AN552" s="304"/>
      <c r="AO552" s="304">
        <f>AO535-AO559</f>
        <v>43.533519553072622</v>
      </c>
      <c r="AP552" s="304">
        <f>AP535-AP559</f>
        <v>58.5</v>
      </c>
      <c r="AQ552" s="304">
        <f t="shared" si="171"/>
        <v>80</v>
      </c>
      <c r="AR552" s="304">
        <f t="shared" si="171"/>
        <v>101.78333333333333</v>
      </c>
      <c r="AS552" s="304">
        <f t="shared" si="171"/>
        <v>126.26041666666667</v>
      </c>
      <c r="AT552" s="304">
        <f t="shared" si="171"/>
        <v>147.78684895833334</v>
      </c>
      <c r="AU552" s="304">
        <f t="shared" si="171"/>
        <v>161.93947916666667</v>
      </c>
    </row>
    <row r="554" spans="18:47">
      <c r="W554" s="34" t="s">
        <v>1155</v>
      </c>
      <c r="AN554" s="301">
        <f>-MROUND(-AO565, 5%)*AN530</f>
        <v>-1.7743550250288791</v>
      </c>
      <c r="AO554" s="301">
        <f>-MROUND(-AP565, 5%)*AO530</f>
        <v>-1.0448979591836733</v>
      </c>
      <c r="AP554" s="103">
        <f>AP530-AP547</f>
        <v>1.1428571428571423</v>
      </c>
      <c r="AQ554" s="301">
        <f>0.45*(AQ530-AP530)</f>
        <v>3.0857142857142859</v>
      </c>
    </row>
    <row r="555" spans="18:47">
      <c r="R555" s="263" t="s">
        <v>1157</v>
      </c>
      <c r="W555" s="34" t="s">
        <v>1154</v>
      </c>
      <c r="AN555" s="299">
        <f>-0.654256</f>
        <v>-0.65425599999999995</v>
      </c>
      <c r="AO555" s="299">
        <f>-0.895579</f>
        <v>-0.89557900000000001</v>
      </c>
      <c r="AP555" s="299">
        <f>-0.512062</f>
        <v>-0.51206200000000002</v>
      </c>
      <c r="AQ555" s="301">
        <f>0.25*(AQ531-AP531)</f>
        <v>0.48828575000000007</v>
      </c>
    </row>
    <row r="556" spans="18:47">
      <c r="W556" s="34" t="s">
        <v>1156</v>
      </c>
      <c r="AN556" s="103">
        <f>AN532-AN549</f>
        <v>-0.73854133350004481</v>
      </c>
      <c r="AO556" s="103">
        <f>AO532-AO549</f>
        <v>-1.2965370653753028</v>
      </c>
      <c r="AP556" s="103">
        <f>AP532-AP549</f>
        <v>-1.3911611428571424</v>
      </c>
      <c r="AQ556" s="301">
        <f>0.25*(AQ532-AP532)</f>
        <v>0.39127991785714289</v>
      </c>
    </row>
    <row r="557" spans="18:47">
      <c r="W557" s="33" t="s">
        <v>1152</v>
      </c>
      <c r="X557" s="9"/>
      <c r="Y557" s="9"/>
      <c r="Z557" s="9"/>
      <c r="AA557" s="9"/>
      <c r="AB557" s="9"/>
      <c r="AC557" s="9"/>
      <c r="AD557" s="9"/>
      <c r="AE557" s="9"/>
      <c r="AF557" s="9"/>
      <c r="AG557" s="9"/>
      <c r="AH557" s="9"/>
      <c r="AI557" s="9"/>
      <c r="AJ557" s="9"/>
      <c r="AK557" s="9"/>
      <c r="AL557" s="9"/>
      <c r="AM557" s="9"/>
      <c r="AN557" s="300">
        <f>SUM(AN554:AN556)</f>
        <v>-3.1671523585289236</v>
      </c>
      <c r="AO557" s="300">
        <f>SUM(AO554:AO556)</f>
        <v>-3.237014024558976</v>
      </c>
      <c r="AP557" s="300">
        <f>SUM(AP554:AP556)</f>
        <v>-0.7603660000000001</v>
      </c>
      <c r="AQ557" s="300">
        <f>SUM(AQ554:AQ556)</f>
        <v>3.9652799535714287</v>
      </c>
      <c r="AR557" s="300">
        <f>AR559-AR558</f>
        <v>7.3238267631886629</v>
      </c>
      <c r="AS557" s="300">
        <f>AS559-AS558</f>
        <v>10.944846951991991</v>
      </c>
      <c r="AT557" s="300">
        <f>AT559-AT558</f>
        <v>14.444532535729337</v>
      </c>
      <c r="AU557" s="300">
        <f>AU559-AU558</f>
        <v>17.406047797498402</v>
      </c>
    </row>
    <row r="558" spans="18:47">
      <c r="W558" s="312" t="s">
        <v>1151</v>
      </c>
      <c r="X558" s="46"/>
      <c r="Y558" s="46"/>
      <c r="Z558" s="46"/>
      <c r="AA558" s="46"/>
      <c r="AB558" s="46"/>
      <c r="AC558" s="46"/>
      <c r="AD558" s="46"/>
      <c r="AE558" s="46"/>
      <c r="AF558" s="46"/>
      <c r="AG558" s="46"/>
      <c r="AH558" s="46"/>
      <c r="AI558" s="46"/>
      <c r="AJ558" s="46"/>
      <c r="AK558" s="46"/>
      <c r="AL558" s="46"/>
      <c r="AM558" s="46"/>
      <c r="AN558" s="313">
        <f>AN559-AN557</f>
        <v>5.3353947306819105</v>
      </c>
      <c r="AO558" s="313">
        <f>AO559-AO557</f>
        <v>17.203494471486351</v>
      </c>
      <c r="AP558" s="313">
        <f>AP559-AP557</f>
        <v>25.760366000000001</v>
      </c>
      <c r="AQ558" s="313">
        <f>AQ559-AQ557</f>
        <v>36.034720046428575</v>
      </c>
      <c r="AR558" s="313">
        <f>AQ558+AR571*(AR534-AQ534)</f>
        <v>45.892839903478006</v>
      </c>
      <c r="AS558" s="313">
        <f t="shared" ref="AS558:AU558" si="172">AR558+AS571*(AS534-AR534)</f>
        <v>56.544736381341338</v>
      </c>
      <c r="AT558" s="313">
        <f t="shared" si="172"/>
        <v>65.424868505937326</v>
      </c>
      <c r="AU558" s="313">
        <f t="shared" si="172"/>
        <v>71.07634803583494</v>
      </c>
    </row>
    <row r="559" spans="18:47">
      <c r="W559" s="9" t="s">
        <v>1117</v>
      </c>
      <c r="X559" s="9"/>
      <c r="Y559" s="9"/>
      <c r="Z559" s="9"/>
      <c r="AA559" s="9"/>
      <c r="AB559" s="9"/>
      <c r="AC559" s="9"/>
      <c r="AD559" s="9"/>
      <c r="AE559" s="9"/>
      <c r="AF559" s="9"/>
      <c r="AG559" s="9"/>
      <c r="AH559" s="9"/>
      <c r="AI559" s="9"/>
      <c r="AJ559" s="9"/>
      <c r="AK559" s="9"/>
      <c r="AL559" s="9"/>
      <c r="AM559" s="300">
        <f>AN559-AN571*(AN535-AM535)</f>
        <v>-8.7581650193382039</v>
      </c>
      <c r="AN559" s="300">
        <f>AO559-AO571*(AO535-AN535)</f>
        <v>2.1682423721529869</v>
      </c>
      <c r="AO559" s="298">
        <f>AP559/1.79</f>
        <v>13.966480446927374</v>
      </c>
      <c r="AP559" s="298">
        <v>25</v>
      </c>
      <c r="AQ559" s="298">
        <v>40</v>
      </c>
      <c r="AR559" s="300">
        <f>AR560*AR535</f>
        <v>53.216666666666669</v>
      </c>
      <c r="AS559" s="300">
        <f>AS560*AS535</f>
        <v>67.489583333333329</v>
      </c>
      <c r="AT559" s="300">
        <f>AT560*AT535</f>
        <v>79.869401041666663</v>
      </c>
      <c r="AU559" s="300">
        <f>AU560*AU535</f>
        <v>88.482395833333342</v>
      </c>
    </row>
    <row r="560" spans="18:47">
      <c r="W560" s="1" t="s">
        <v>1112</v>
      </c>
      <c r="AM560" s="16">
        <f>AM559/AM535</f>
        <v>-0.5004665725336116</v>
      </c>
      <c r="AN560" s="16">
        <f>AN559/AN535</f>
        <v>6.1949782061513914E-2</v>
      </c>
      <c r="AO560" s="16">
        <f>AO559/AO535</f>
        <v>0.24289531212047608</v>
      </c>
      <c r="AP560" s="16">
        <f>AP559/AP535</f>
        <v>0.29940119760479039</v>
      </c>
      <c r="AQ560" s="16">
        <f>AQ559/AQ535</f>
        <v>0.33333333333333331</v>
      </c>
      <c r="AR560" s="303">
        <f>AQ560+1%</f>
        <v>0.34333333333333332</v>
      </c>
      <c r="AS560" s="303">
        <f>AR560+0.5%</f>
        <v>0.34833333333333333</v>
      </c>
      <c r="AT560" s="303">
        <f>AS560+0.25%</f>
        <v>0.35083333333333333</v>
      </c>
      <c r="AU560" s="303">
        <f>AT560+0.25%</f>
        <v>0.35333333333333333</v>
      </c>
    </row>
    <row r="561" spans="23:47">
      <c r="W561" s="1" t="s">
        <v>28</v>
      </c>
      <c r="AN561" s="16">
        <f t="shared" ref="AN561:AU561" si="173">AN559/AM559-1</f>
        <v>-1.247568111284209</v>
      </c>
      <c r="AO561" s="16">
        <f t="shared" si="173"/>
        <v>5.4413834109602606</v>
      </c>
      <c r="AP561" s="16">
        <f t="shared" si="173"/>
        <v>0.79</v>
      </c>
      <c r="AQ561" s="16">
        <f t="shared" si="173"/>
        <v>0.60000000000000009</v>
      </c>
      <c r="AR561" s="16">
        <f t="shared" si="173"/>
        <v>0.3304166666666668</v>
      </c>
      <c r="AS561" s="16">
        <f t="shared" si="173"/>
        <v>0.26820388349514546</v>
      </c>
      <c r="AT561" s="16">
        <f t="shared" si="173"/>
        <v>0.183433014354067</v>
      </c>
      <c r="AU561" s="16">
        <f t="shared" si="173"/>
        <v>0.10783847980997652</v>
      </c>
    </row>
    <row r="563" spans="23:47">
      <c r="W563" s="1" t="s">
        <v>1112</v>
      </c>
    </row>
    <row r="564" spans="23:47" outlineLevel="1">
      <c r="W564" s="34" t="s">
        <v>1155</v>
      </c>
      <c r="AN564" s="119">
        <f t="shared" ref="AN564:AQ566" si="174">AN554/AN530</f>
        <v>-0.9</v>
      </c>
      <c r="AO564" s="119">
        <f t="shared" si="174"/>
        <v>-0.19999999999999998</v>
      </c>
      <c r="AP564" s="119">
        <f t="shared" si="174"/>
        <v>0.12499999999999994</v>
      </c>
      <c r="AQ564" s="119">
        <f t="shared" si="174"/>
        <v>0.19285714285714287</v>
      </c>
    </row>
    <row r="565" spans="23:47" outlineLevel="1">
      <c r="W565" s="34" t="s">
        <v>1154</v>
      </c>
      <c r="AN565" s="119">
        <f t="shared" si="174"/>
        <v>-3.8122694563207045</v>
      </c>
      <c r="AO565" s="119">
        <f t="shared" si="174"/>
        <v>-0.90420785556566308</v>
      </c>
      <c r="AP565" s="119">
        <f t="shared" si="174"/>
        <v>-0.19558377935931917</v>
      </c>
      <c r="AQ565" s="119">
        <f t="shared" si="174"/>
        <v>0.10681635320121526</v>
      </c>
    </row>
    <row r="566" spans="23:47" outlineLevel="1">
      <c r="W566" s="34" t="s">
        <v>1156</v>
      </c>
      <c r="AN566" s="119">
        <f t="shared" si="174"/>
        <v>-8.4565954377832497</v>
      </c>
      <c r="AO566" s="119">
        <f t="shared" si="174"/>
        <v>-2.1993883096680049</v>
      </c>
      <c r="AP566" s="119">
        <f t="shared" si="174"/>
        <v>-0.79996760083439322</v>
      </c>
      <c r="AQ566" s="119">
        <f t="shared" si="174"/>
        <v>0.11842105263157894</v>
      </c>
    </row>
    <row r="567" spans="23:47" outlineLevel="1">
      <c r="W567" s="33" t="s">
        <v>1152</v>
      </c>
      <c r="X567" s="9"/>
      <c r="Y567" s="9"/>
      <c r="Z567" s="9"/>
      <c r="AA567" s="9"/>
      <c r="AB567" s="9"/>
      <c r="AC567" s="9"/>
      <c r="AD567" s="9"/>
      <c r="AE567" s="9"/>
      <c r="AF567" s="9"/>
      <c r="AG567" s="9"/>
      <c r="AH567" s="9"/>
      <c r="AI567" s="9"/>
      <c r="AJ567" s="9"/>
      <c r="AK567" s="9"/>
      <c r="AL567" s="9"/>
      <c r="AM567" s="9"/>
      <c r="AN567" s="315">
        <f t="shared" ref="AN567:AQ567" si="175">AN557/AN533</f>
        <v>-1.4199565282683027</v>
      </c>
      <c r="AO567" s="315">
        <f t="shared" si="175"/>
        <v>-0.4757204558233179</v>
      </c>
      <c r="AP567" s="315">
        <f t="shared" si="175"/>
        <v>-5.6323407407407412E-2</v>
      </c>
      <c r="AQ567" s="315">
        <f t="shared" si="175"/>
        <v>0.16608220324577203</v>
      </c>
      <c r="AR567" s="315">
        <f t="shared" ref="AR567:AS567" si="176">AR557/AR533</f>
        <v>0.22349581475263663</v>
      </c>
      <c r="AS567" s="315">
        <f t="shared" si="176"/>
        <v>0.25691985750202806</v>
      </c>
      <c r="AT567" s="315">
        <f t="shared" ref="AT567:AU567" si="177">AT557/AT533</f>
        <v>0.27679317813576643</v>
      </c>
      <c r="AU567" s="315">
        <f t="shared" si="177"/>
        <v>0.29003754620501404</v>
      </c>
    </row>
    <row r="568" spans="23:47" outlineLevel="1">
      <c r="W568" s="312" t="s">
        <v>1151</v>
      </c>
      <c r="X568" s="46"/>
      <c r="Y568" s="46"/>
      <c r="Z568" s="46"/>
      <c r="AA568" s="46"/>
      <c r="AB568" s="46"/>
      <c r="AC568" s="46"/>
      <c r="AD568" s="46"/>
      <c r="AE568" s="46"/>
      <c r="AF568" s="46"/>
      <c r="AG568" s="46"/>
      <c r="AH568" s="46"/>
      <c r="AI568" s="46"/>
      <c r="AJ568" s="46"/>
      <c r="AK568" s="46"/>
      <c r="AL568" s="46"/>
      <c r="AM568" s="46"/>
      <c r="AN568" s="78">
        <f t="shared" ref="AN568:AQ568" si="178">AN558/AN534</f>
        <v>0.16281566008700787</v>
      </c>
      <c r="AO568" s="78">
        <f t="shared" si="178"/>
        <v>0.33934917409219678</v>
      </c>
      <c r="AP568" s="78">
        <f t="shared" si="178"/>
        <v>0.37065274820143884</v>
      </c>
      <c r="AQ568" s="78">
        <f t="shared" si="178"/>
        <v>0.37487513205727274</v>
      </c>
      <c r="AR568" s="78">
        <f t="shared" ref="AR568:AS568" si="179">AR558/AR534</f>
        <v>0.37546117716996891</v>
      </c>
      <c r="AS568" s="78">
        <f t="shared" si="179"/>
        <v>0.37409742133784363</v>
      </c>
      <c r="AT568" s="78">
        <f t="shared" ref="AT568:AU568" si="180">AT558/AT534</f>
        <v>0.37285297158282155</v>
      </c>
      <c r="AU568" s="78">
        <f t="shared" si="180"/>
        <v>0.37328291349584974</v>
      </c>
    </row>
    <row r="569" spans="23:47" outlineLevel="1">
      <c r="W569" s="9" t="s">
        <v>1158</v>
      </c>
      <c r="X569" s="9"/>
      <c r="Y569" s="9"/>
      <c r="Z569" s="9"/>
      <c r="AA569" s="9"/>
      <c r="AB569" s="9"/>
      <c r="AC569" s="9"/>
      <c r="AD569" s="9"/>
      <c r="AE569" s="9"/>
      <c r="AF569" s="9"/>
      <c r="AG569" s="9"/>
      <c r="AH569" s="9"/>
      <c r="AI569" s="9"/>
      <c r="AJ569" s="9"/>
      <c r="AK569" s="9"/>
      <c r="AL569" s="9"/>
      <c r="AM569" s="300"/>
      <c r="AN569" s="17"/>
      <c r="AO569" s="17"/>
      <c r="AP569" s="17"/>
      <c r="AQ569" s="17"/>
      <c r="AR569" s="300"/>
      <c r="AS569" s="300"/>
      <c r="AT569" s="300"/>
      <c r="AU569" s="300"/>
    </row>
    <row r="571" spans="23:47">
      <c r="W571" s="1" t="s">
        <v>1145</v>
      </c>
      <c r="AM571" s="303">
        <f>AN571+0.1</f>
        <v>0.7243661366566394</v>
      </c>
      <c r="AN571" s="303">
        <f>AO571+0.1</f>
        <v>0.62436613665663943</v>
      </c>
      <c r="AO571" s="303">
        <f>AP571+0.1</f>
        <v>0.52436613665663945</v>
      </c>
      <c r="AP571" s="16">
        <f t="shared" ref="AP571:AU571" si="181">(AP559-AO559)/(AP535-AO535)</f>
        <v>0.42436613665663947</v>
      </c>
      <c r="AQ571" s="16">
        <f t="shared" si="181"/>
        <v>0.41095890410958902</v>
      </c>
      <c r="AR571" s="16">
        <f t="shared" si="181"/>
        <v>0.37761904761904769</v>
      </c>
      <c r="AS571" s="16">
        <f t="shared" si="181"/>
        <v>0.36833333333333318</v>
      </c>
      <c r="AT571" s="16">
        <f t="shared" si="181"/>
        <v>0.36511904761904762</v>
      </c>
      <c r="AU571" s="16">
        <f t="shared" si="181"/>
        <v>0.37833333333333341</v>
      </c>
    </row>
    <row r="573" spans="23:47">
      <c r="W573" s="1" t="s">
        <v>1130</v>
      </c>
      <c r="AM573" s="301">
        <f>AN573-1</f>
        <v>5</v>
      </c>
      <c r="AN573" s="301">
        <f>AO573-1</f>
        <v>6</v>
      </c>
      <c r="AO573" s="301">
        <f>AP573-1</f>
        <v>7</v>
      </c>
      <c r="AP573" s="301">
        <f>AQ573-1</f>
        <v>8</v>
      </c>
      <c r="AQ573" s="103">
        <f>AQ574*AQ535</f>
        <v>9</v>
      </c>
      <c r="AR573" s="103">
        <f>AR574*AR535</f>
        <v>10.85</v>
      </c>
      <c r="AS573" s="103">
        <f>AS574*AS535</f>
        <v>12.593749999999998</v>
      </c>
      <c r="AT573" s="103">
        <f>AT574*AT535</f>
        <v>13.659374999999997</v>
      </c>
      <c r="AU573" s="103">
        <f>AU574*AU535</f>
        <v>13.773203125</v>
      </c>
    </row>
    <row r="574" spans="23:47">
      <c r="W574" s="1" t="s">
        <v>1115</v>
      </c>
      <c r="AM574" s="16">
        <f>AM573/AM535</f>
        <v>0.2857142857142857</v>
      </c>
      <c r="AN574" s="16">
        <f>AN573/AN535</f>
        <v>0.17142857142857143</v>
      </c>
      <c r="AO574" s="16">
        <f>AO573/AO535</f>
        <v>0.12173913043478261</v>
      </c>
      <c r="AP574" s="16">
        <f>AP573/AP535</f>
        <v>9.580838323353294E-2</v>
      </c>
      <c r="AQ574" s="303">
        <v>7.4999999999999997E-2</v>
      </c>
      <c r="AR574" s="303">
        <f>AQ574-0.5%</f>
        <v>6.9999999999999993E-2</v>
      </c>
      <c r="AS574" s="303">
        <f>AR574-0.5%</f>
        <v>6.4999999999999988E-2</v>
      </c>
      <c r="AT574" s="303">
        <f>AS574-0.5%</f>
        <v>5.9999999999999991E-2</v>
      </c>
      <c r="AU574" s="303">
        <f>AT574-0.5%</f>
        <v>5.4999999999999993E-2</v>
      </c>
    </row>
    <row r="576" spans="23:47">
      <c r="W576" s="9" t="s">
        <v>1116</v>
      </c>
      <c r="X576" s="9"/>
      <c r="Y576" s="9"/>
      <c r="Z576" s="9"/>
      <c r="AA576" s="9"/>
      <c r="AB576" s="9"/>
      <c r="AC576" s="9"/>
      <c r="AD576" s="9"/>
      <c r="AE576" s="9"/>
      <c r="AF576" s="9"/>
      <c r="AG576" s="9"/>
      <c r="AH576" s="9"/>
      <c r="AI576" s="9"/>
      <c r="AJ576" s="9"/>
      <c r="AK576" s="9"/>
      <c r="AL576" s="9"/>
      <c r="AM576" s="300">
        <f t="shared" ref="AM576:AU576" si="182">AM559-AM573</f>
        <v>-13.758165019338204</v>
      </c>
      <c r="AN576" s="300">
        <f t="shared" si="182"/>
        <v>-3.8317576278470131</v>
      </c>
      <c r="AO576" s="300">
        <f t="shared" si="182"/>
        <v>6.966480446927374</v>
      </c>
      <c r="AP576" s="300">
        <f t="shared" si="182"/>
        <v>17</v>
      </c>
      <c r="AQ576" s="300">
        <f t="shared" si="182"/>
        <v>31</v>
      </c>
      <c r="AR576" s="300">
        <f t="shared" si="182"/>
        <v>42.366666666666667</v>
      </c>
      <c r="AS576" s="300">
        <f t="shared" si="182"/>
        <v>54.895833333333329</v>
      </c>
      <c r="AT576" s="300">
        <f t="shared" si="182"/>
        <v>66.210026041666666</v>
      </c>
      <c r="AU576" s="300">
        <f t="shared" si="182"/>
        <v>74.709192708333347</v>
      </c>
    </row>
    <row r="577" spans="23:47">
      <c r="W577" s="1" t="s">
        <v>1118</v>
      </c>
      <c r="AM577" s="16">
        <f t="shared" ref="AM577:AU577" si="183">AM576/AM535</f>
        <v>-0.78618085824789741</v>
      </c>
      <c r="AN577" s="16">
        <f t="shared" si="183"/>
        <v>-0.10947878936705752</v>
      </c>
      <c r="AO577" s="16">
        <f t="shared" si="183"/>
        <v>0.12115618168569346</v>
      </c>
      <c r="AP577" s="16">
        <f t="shared" si="183"/>
        <v>0.20359281437125748</v>
      </c>
      <c r="AQ577" s="16">
        <f t="shared" si="183"/>
        <v>0.25833333333333336</v>
      </c>
      <c r="AR577" s="16">
        <f t="shared" si="183"/>
        <v>0.27333333333333332</v>
      </c>
      <c r="AS577" s="16">
        <f t="shared" si="183"/>
        <v>0.28333333333333333</v>
      </c>
      <c r="AT577" s="16">
        <f t="shared" si="183"/>
        <v>0.29083333333333333</v>
      </c>
      <c r="AU577" s="16">
        <f t="shared" si="183"/>
        <v>0.29833333333333334</v>
      </c>
    </row>
    <row r="578" spans="23:47">
      <c r="W578" s="1" t="s">
        <v>28</v>
      </c>
      <c r="AN578" s="16">
        <f t="shared" ref="AN578:AU578" si="184">AN576/AM576-1</f>
        <v>-0.72149210142041686</v>
      </c>
      <c r="AO578" s="16">
        <f t="shared" si="184"/>
        <v>-2.8180900577580887</v>
      </c>
      <c r="AP578" s="16">
        <f t="shared" si="184"/>
        <v>1.4402566158781074</v>
      </c>
      <c r="AQ578" s="16">
        <f t="shared" si="184"/>
        <v>0.82352941176470584</v>
      </c>
      <c r="AR578" s="16">
        <f t="shared" si="184"/>
        <v>0.3666666666666667</v>
      </c>
      <c r="AS578" s="16">
        <f t="shared" si="184"/>
        <v>0.2957317073170731</v>
      </c>
      <c r="AT578" s="16">
        <f t="shared" si="184"/>
        <v>0.20610294117647077</v>
      </c>
      <c r="AU578" s="16">
        <f t="shared" si="184"/>
        <v>0.12836676217765075</v>
      </c>
    </row>
    <row r="580" spans="23:47">
      <c r="AP580" s="1" t="s">
        <v>912</v>
      </c>
      <c r="AR580" s="308">
        <f>AR582-AR581</f>
        <v>599.80722419390656</v>
      </c>
    </row>
    <row r="581" spans="23:47">
      <c r="AP581" s="1" t="s">
        <v>1124</v>
      </c>
      <c r="AR581" s="301">
        <v>-50</v>
      </c>
      <c r="AS581" s="262" t="s">
        <v>1126</v>
      </c>
    </row>
    <row r="582" spans="23:47">
      <c r="AP582" s="9" t="s">
        <v>1125</v>
      </c>
      <c r="AQ582" s="9"/>
      <c r="AR582" s="302">
        <f>AR593*AR559</f>
        <v>549.80722419390656</v>
      </c>
    </row>
    <row r="584" spans="23:47">
      <c r="AP584" s="3" t="s">
        <v>1162</v>
      </c>
      <c r="AS584" s="319" t="s">
        <v>1165</v>
      </c>
      <c r="AT584" s="319" t="s">
        <v>1166</v>
      </c>
    </row>
    <row r="585" spans="23:47">
      <c r="AP585" s="5" t="s">
        <v>1163</v>
      </c>
      <c r="AR585" s="308">
        <f>MROUND($AT$585*$AU$557, 5)</f>
        <v>150</v>
      </c>
      <c r="AS585" s="167">
        <f>$AR$585/$AR$557</f>
        <v>20.481096133231404</v>
      </c>
      <c r="AT585" s="306">
        <f>MROUND(AU619*0.85, 0.5)</f>
        <v>8.5</v>
      </c>
      <c r="AU585" s="262" t="s">
        <v>1167</v>
      </c>
    </row>
    <row r="586" spans="23:47">
      <c r="AP586" s="5" t="s">
        <v>1169</v>
      </c>
      <c r="AR586" s="308">
        <f>MROUND($AS$586*$AR$558, 5)</f>
        <v>435</v>
      </c>
      <c r="AS586" s="306">
        <f>MROUND(AR725*0.8, 0.5)</f>
        <v>9.5</v>
      </c>
      <c r="AT586" s="167">
        <f>$AR$586/$AU$558</f>
        <v>6.1201793848592745</v>
      </c>
      <c r="AU586" s="262" t="s">
        <v>1168</v>
      </c>
    </row>
    <row r="587" spans="23:47">
      <c r="AP587" s="5" t="s">
        <v>1170</v>
      </c>
      <c r="AR587" s="308">
        <f>MROUND($AS$587*$AR$558, 5)</f>
        <v>275</v>
      </c>
      <c r="AS587" s="306">
        <v>6</v>
      </c>
      <c r="AT587" s="167">
        <f>$AR$587/$AU$558</f>
        <v>3.8690789214627599</v>
      </c>
      <c r="AU587" s="262" t="s">
        <v>1171</v>
      </c>
    </row>
    <row r="589" spans="23:47">
      <c r="AP589" s="1" t="s">
        <v>1146</v>
      </c>
      <c r="AS589" s="262" t="s">
        <v>1148</v>
      </c>
    </row>
    <row r="590" spans="23:47">
      <c r="AP590" s="1" t="s">
        <v>1147</v>
      </c>
      <c r="AS590" s="262" t="s">
        <v>1149</v>
      </c>
    </row>
    <row r="592" spans="23:47">
      <c r="AP592" s="1" t="s">
        <v>1136</v>
      </c>
      <c r="AQ592" s="167">
        <f>$AR$582/AQ535</f>
        <v>4.5817268682825549</v>
      </c>
      <c r="AR592" s="167">
        <f>$AR$582/AR535</f>
        <v>3.5471433818961713</v>
      </c>
      <c r="AS592" s="167">
        <f>$AR$582/AS535</f>
        <v>2.8377147055169369</v>
      </c>
      <c r="AT592" s="167">
        <f>$AR$582/AT535</f>
        <v>2.4150763451207977</v>
      </c>
      <c r="AU592" s="167">
        <f>$AR$582/AU535</f>
        <v>2.1955239501098158</v>
      </c>
    </row>
    <row r="593" spans="23:47">
      <c r="AP593" s="1" t="s">
        <v>1128</v>
      </c>
      <c r="AQ593" s="306">
        <f>AQ619*0.67</f>
        <v>13.060311822876788</v>
      </c>
      <c r="AR593" s="306">
        <f>AR619*0.67</f>
        <v>10.331485578338363</v>
      </c>
      <c r="AS593" s="306">
        <f>AS619*0.67</f>
        <v>8.8301732019367556</v>
      </c>
      <c r="AT593" s="306">
        <f>AT619*0.67</f>
        <v>7.7468052983414326</v>
      </c>
      <c r="AU593" s="306">
        <f>AU619*0.67</f>
        <v>6.893959597320082</v>
      </c>
    </row>
    <row r="594" spans="23:47">
      <c r="AP594" s="1" t="s">
        <v>1129</v>
      </c>
      <c r="AQ594" s="307">
        <f>$AR$582/AQ576</f>
        <v>17.735716909480857</v>
      </c>
      <c r="AR594" s="307">
        <f>$AR$582/AR576</f>
        <v>12.977353836205506</v>
      </c>
      <c r="AS594" s="307">
        <f>$AR$582/AS576</f>
        <v>10.015463666530367</v>
      </c>
      <c r="AT594" s="307">
        <f>$AR$582/AT576</f>
        <v>8.3039874330801062</v>
      </c>
      <c r="AU594" s="307">
        <f>$AR$582/AU576</f>
        <v>7.3592981567926774</v>
      </c>
    </row>
    <row r="596" spans="23:47">
      <c r="W596" s="3" t="s">
        <v>1113</v>
      </c>
    </row>
    <row r="598" spans="23:47">
      <c r="W598" s="9" t="s">
        <v>1111</v>
      </c>
      <c r="X598" s="9"/>
      <c r="Y598" s="9"/>
      <c r="Z598" s="9"/>
      <c r="AA598" s="9"/>
      <c r="AB598" s="9"/>
      <c r="AC598" s="9"/>
      <c r="AD598" s="9"/>
      <c r="AE598" s="9"/>
      <c r="AF598" s="9"/>
      <c r="AG598" s="9"/>
      <c r="AH598" s="9"/>
      <c r="AI598" s="9"/>
      <c r="AJ598" s="9"/>
      <c r="AK598" s="9"/>
      <c r="AL598" s="9"/>
      <c r="AM598" s="298">
        <v>70.697000000000003</v>
      </c>
      <c r="AN598" s="298">
        <v>85.965000000000003</v>
      </c>
      <c r="AO598" s="298">
        <v>117.929</v>
      </c>
      <c r="AP598" s="298">
        <v>116.60899999999999</v>
      </c>
      <c r="AQ598" s="298">
        <v>134.90199999999999</v>
      </c>
      <c r="AR598" s="302">
        <v>159.13987993277897</v>
      </c>
      <c r="AS598" s="302">
        <v>178.9879402787067</v>
      </c>
      <c r="AT598" s="302">
        <v>200.64967382809741</v>
      </c>
      <c r="AU598" s="302">
        <v>221.18563594871173</v>
      </c>
    </row>
    <row r="599" spans="23:47">
      <c r="W599" s="1" t="s">
        <v>28</v>
      </c>
      <c r="AN599" s="16">
        <f t="shared" ref="AN599:AU599" si="185">AN598/AM598-1</f>
        <v>0.21596390228722573</v>
      </c>
      <c r="AO599" s="16">
        <f t="shared" si="185"/>
        <v>0.37182574303495608</v>
      </c>
      <c r="AP599" s="16">
        <f t="shared" si="185"/>
        <v>-1.1193175554783052E-2</v>
      </c>
      <c r="AQ599" s="16">
        <f t="shared" si="185"/>
        <v>0.15687468377226454</v>
      </c>
      <c r="AR599" s="16">
        <f t="shared" si="185"/>
        <v>0.17967027866732144</v>
      </c>
      <c r="AS599" s="16">
        <f t="shared" si="185"/>
        <v>0.12472084529856131</v>
      </c>
      <c r="AT599" s="16">
        <f t="shared" si="185"/>
        <v>0.12102342490594986</v>
      </c>
      <c r="AU599" s="16">
        <f t="shared" si="185"/>
        <v>0.10234734863415773</v>
      </c>
    </row>
    <row r="601" spans="23:47">
      <c r="W601" s="9" t="s">
        <v>1127</v>
      </c>
      <c r="X601" s="9"/>
      <c r="Y601" s="9"/>
      <c r="Z601" s="9"/>
      <c r="AA601" s="9"/>
      <c r="AB601" s="9"/>
      <c r="AC601" s="9"/>
      <c r="AD601" s="9"/>
      <c r="AE601" s="9"/>
      <c r="AF601" s="9"/>
      <c r="AG601" s="9"/>
      <c r="AH601" s="9"/>
      <c r="AI601" s="9"/>
      <c r="AJ601" s="9"/>
      <c r="AK601" s="9"/>
      <c r="AL601" s="9"/>
      <c r="AM601" s="298">
        <v>34.726999999999997</v>
      </c>
      <c r="AN601" s="298">
        <v>39.533000000000001</v>
      </c>
      <c r="AO601" s="298">
        <v>54.72</v>
      </c>
      <c r="AP601" s="298">
        <v>42.241</v>
      </c>
      <c r="AQ601" s="298">
        <v>61.381</v>
      </c>
      <c r="AR601" s="302">
        <v>77.593390991204586</v>
      </c>
      <c r="AS601" s="302">
        <v>90.785874938916265</v>
      </c>
      <c r="AT601" s="302">
        <v>103.48201214914126</v>
      </c>
      <c r="AU601" s="302">
        <v>116.28368119703381</v>
      </c>
    </row>
    <row r="602" spans="23:47">
      <c r="W602" s="1" t="s">
        <v>1112</v>
      </c>
      <c r="AM602" s="16">
        <f>AM601/AM598</f>
        <v>0.49120896219075766</v>
      </c>
      <c r="AN602" s="16">
        <f>AN601/AN598</f>
        <v>0.45987320421101613</v>
      </c>
      <c r="AO602" s="16">
        <f>AO601/AO598</f>
        <v>0.46400800481645732</v>
      </c>
      <c r="AP602" s="16">
        <f>AP601/AP598</f>
        <v>0.36224476669896838</v>
      </c>
      <c r="AQ602" s="16">
        <f>AQ601/AQ598</f>
        <v>0.45500437354524031</v>
      </c>
      <c r="AR602" s="16">
        <f t="shared" ref="AR602:AU602" si="186">AR601/AR598</f>
        <v>0.48757980101518367</v>
      </c>
      <c r="AS602" s="16">
        <f t="shared" si="186"/>
        <v>0.50721783153407574</v>
      </c>
      <c r="AT602" s="16">
        <f t="shared" si="186"/>
        <v>0.5157347638541262</v>
      </c>
      <c r="AU602" s="16">
        <f t="shared" si="186"/>
        <v>0.52572890051502952</v>
      </c>
    </row>
    <row r="603" spans="23:47">
      <c r="W603" s="1" t="s">
        <v>28</v>
      </c>
      <c r="AN603" s="16">
        <f>AN601/AM601-1</f>
        <v>0.13839375701903434</v>
      </c>
      <c r="AO603" s="16">
        <f>AO601/AN601-1</f>
        <v>0.38416006880327824</v>
      </c>
      <c r="AP603" s="16">
        <f>AP601/AO601-1</f>
        <v>-0.2280519005847953</v>
      </c>
      <c r="AQ603" s="16">
        <f>AQ601/AP601-1</f>
        <v>0.45311427286285832</v>
      </c>
      <c r="AR603" s="16">
        <f t="shared" ref="AR603:AU603" si="187">AR601/AQ601-1</f>
        <v>0.26412718905206156</v>
      </c>
      <c r="AS603" s="16">
        <f t="shared" si="187"/>
        <v>0.17002071670262597</v>
      </c>
      <c r="AT603" s="16">
        <f t="shared" si="187"/>
        <v>0.13984705460808056</v>
      </c>
      <c r="AU603" s="16">
        <f t="shared" si="187"/>
        <v>0.12370912376000609</v>
      </c>
    </row>
    <row r="605" spans="23:47">
      <c r="W605" s="1" t="s">
        <v>1145</v>
      </c>
      <c r="AN605" s="167">
        <f t="shared" ref="AN605:AU605" si="188">(AN601-AM601)/(AN598-AM598)</f>
        <v>0.31477600209588708</v>
      </c>
      <c r="AO605" s="167">
        <f t="shared" si="188"/>
        <v>0.47512826930296576</v>
      </c>
      <c r="AP605" s="167">
        <f t="shared" si="188"/>
        <v>9.4537878787878249</v>
      </c>
      <c r="AQ605" s="167">
        <f t="shared" si="188"/>
        <v>1.0463018641010227</v>
      </c>
      <c r="AR605" s="167">
        <f t="shared" si="188"/>
        <v>0.66888651301878788</v>
      </c>
      <c r="AS605" s="167">
        <f t="shared" si="188"/>
        <v>0.66467371207980064</v>
      </c>
      <c r="AT605" s="167">
        <f t="shared" si="188"/>
        <v>0.58610901021733341</v>
      </c>
      <c r="AU605" s="167">
        <f t="shared" si="188"/>
        <v>0.62337809997429039</v>
      </c>
    </row>
    <row r="607" spans="23:47">
      <c r="W607" s="1" t="s">
        <v>1114</v>
      </c>
      <c r="AM607" s="103">
        <f>AM601-AM610</f>
        <v>5.7409999999999961</v>
      </c>
      <c r="AN607" s="103">
        <f>AN601-AN610</f>
        <v>6.8620000000000019</v>
      </c>
      <c r="AO607" s="103">
        <f>AO601-AO610</f>
        <v>7.9669999999999987</v>
      </c>
      <c r="AP607" s="103">
        <f>AP601-AP610</f>
        <v>8.6859999999999999</v>
      </c>
      <c r="AQ607" s="103">
        <f>AQ601-AQ610</f>
        <v>11.177999999999997</v>
      </c>
      <c r="AR607" s="301">
        <v>14.907943725980193</v>
      </c>
      <c r="AS607" s="301">
        <v>18.231311717809913</v>
      </c>
      <c r="AT607" s="301">
        <v>20.303654647816501</v>
      </c>
      <c r="AU607" s="301">
        <v>22.934642483300415</v>
      </c>
    </row>
    <row r="608" spans="23:47">
      <c r="W608" s="1" t="s">
        <v>1115</v>
      </c>
      <c r="AM608" s="16">
        <f t="shared" ref="AM608:AU608" si="189">AM607/AM598</f>
        <v>8.1205708870249027E-2</v>
      </c>
      <c r="AN608" s="16">
        <f t="shared" si="189"/>
        <v>7.9823183853894045E-2</v>
      </c>
      <c r="AO608" s="16">
        <f t="shared" si="189"/>
        <v>6.7557598215875647E-2</v>
      </c>
      <c r="AP608" s="16">
        <f t="shared" si="189"/>
        <v>7.44882470478265E-2</v>
      </c>
      <c r="AQ608" s="16">
        <f t="shared" si="189"/>
        <v>8.2860150331351634E-2</v>
      </c>
      <c r="AR608" s="16">
        <f t="shared" si="189"/>
        <v>9.3678239120686416E-2</v>
      </c>
      <c r="AS608" s="16">
        <f t="shared" si="189"/>
        <v>0.1018577658887044</v>
      </c>
      <c r="AT608" s="16">
        <f t="shared" si="189"/>
        <v>0.10118957215555333</v>
      </c>
      <c r="AU608" s="16">
        <f t="shared" si="189"/>
        <v>0.10368956548615332</v>
      </c>
    </row>
    <row r="610" spans="23:47">
      <c r="W610" s="9" t="s">
        <v>1116</v>
      </c>
      <c r="X610" s="9"/>
      <c r="Y610" s="9"/>
      <c r="Z610" s="9"/>
      <c r="AA610" s="9"/>
      <c r="AB610" s="9"/>
      <c r="AC610" s="9"/>
      <c r="AD610" s="9"/>
      <c r="AE610" s="9"/>
      <c r="AF610" s="9"/>
      <c r="AG610" s="9"/>
      <c r="AH610" s="9"/>
      <c r="AI610" s="9"/>
      <c r="AJ610" s="9"/>
      <c r="AK610" s="9"/>
      <c r="AL610" s="9"/>
      <c r="AM610" s="298">
        <v>28.986000000000001</v>
      </c>
      <c r="AN610" s="298">
        <v>32.670999999999999</v>
      </c>
      <c r="AO610" s="298">
        <v>46.753</v>
      </c>
      <c r="AP610" s="298">
        <v>33.555</v>
      </c>
      <c r="AQ610" s="298">
        <v>50.203000000000003</v>
      </c>
      <c r="AR610" s="300">
        <f>AR601-AR607</f>
        <v>62.685447265224397</v>
      </c>
      <c r="AS610" s="300">
        <f>AS601-AS607</f>
        <v>72.554563221106349</v>
      </c>
      <c r="AT610" s="300">
        <f>AT601-AT607</f>
        <v>83.178357501324754</v>
      </c>
      <c r="AU610" s="300">
        <f>AU601-AU607</f>
        <v>93.349038713733393</v>
      </c>
    </row>
    <row r="611" spans="23:47">
      <c r="W611" s="1" t="s">
        <v>1118</v>
      </c>
      <c r="AM611" s="16">
        <f>AM610/AM598</f>
        <v>0.41000325332050863</v>
      </c>
      <c r="AN611" s="16">
        <f>AN610/AN598</f>
        <v>0.38005002035712204</v>
      </c>
      <c r="AO611" s="16">
        <f>AO610/AO598</f>
        <v>0.39645040660058167</v>
      </c>
      <c r="AP611" s="16">
        <f>AP610/AP598</f>
        <v>0.28775651965114185</v>
      </c>
      <c r="AQ611" s="16">
        <f>AQ610/AQ598</f>
        <v>0.37214422321388868</v>
      </c>
      <c r="AR611" s="16">
        <f t="shared" ref="AR611:AU611" si="190">AR610/AR598</f>
        <v>0.39390156189449727</v>
      </c>
      <c r="AS611" s="16">
        <f t="shared" si="190"/>
        <v>0.4053600656453713</v>
      </c>
      <c r="AT611" s="16">
        <f t="shared" si="190"/>
        <v>0.41454519169857285</v>
      </c>
      <c r="AU611" s="16">
        <f t="shared" si="190"/>
        <v>0.42203933502887619</v>
      </c>
    </row>
    <row r="612" spans="23:47">
      <c r="W612" s="1" t="s">
        <v>28</v>
      </c>
      <c r="AN612" s="16">
        <f>AN610/AM610-1</f>
        <v>0.12713033878424063</v>
      </c>
      <c r="AO612" s="16">
        <f>AO610/AN610-1</f>
        <v>0.43102445593951821</v>
      </c>
      <c r="AP612" s="16">
        <f>AP610/AO610-1</f>
        <v>-0.28229204543023978</v>
      </c>
      <c r="AQ612" s="16">
        <f>AQ610/AP610-1</f>
        <v>0.49614066458053951</v>
      </c>
      <c r="AR612" s="16">
        <f t="shared" ref="AR612:AU612" si="191">AR610/AQ610-1</f>
        <v>0.24863946906010392</v>
      </c>
      <c r="AS612" s="16">
        <f t="shared" si="191"/>
        <v>0.15743871004262555</v>
      </c>
      <c r="AT612" s="16">
        <f t="shared" si="191"/>
        <v>0.14642489470776532</v>
      </c>
      <c r="AU612" s="16">
        <f t="shared" si="191"/>
        <v>0.12227557165031366</v>
      </c>
    </row>
    <row r="614" spans="23:47">
      <c r="AP614" s="1" t="s">
        <v>912</v>
      </c>
      <c r="AR614" s="301">
        <v>1250</v>
      </c>
    </row>
    <row r="615" spans="23:47">
      <c r="AP615" s="1" t="s">
        <v>1124</v>
      </c>
      <c r="AR615" s="301">
        <v>-53.5</v>
      </c>
      <c r="AS615" s="262" t="s">
        <v>1126</v>
      </c>
    </row>
    <row r="616" spans="23:47">
      <c r="AP616" s="9" t="s">
        <v>1125</v>
      </c>
      <c r="AQ616" s="9"/>
      <c r="AR616" s="300">
        <f>SUM(AR614:AR615)</f>
        <v>1196.5</v>
      </c>
    </row>
    <row r="618" spans="23:47">
      <c r="AP618" s="1" t="s">
        <v>1136</v>
      </c>
      <c r="AQ618" s="167">
        <f>$AR$616/AQ598</f>
        <v>8.8694014914530559</v>
      </c>
      <c r="AR618" s="167">
        <f>$AR$616/AR598</f>
        <v>7.5185428096678484</v>
      </c>
      <c r="AS618" s="167">
        <f>$AR$616/AS598</f>
        <v>6.6848079157562195</v>
      </c>
      <c r="AT618" s="167">
        <f>$AR$616/AT598</f>
        <v>5.9631295539761373</v>
      </c>
      <c r="AU618" s="167">
        <f>$AR$616/AU598</f>
        <v>5.4094832825285408</v>
      </c>
    </row>
    <row r="619" spans="23:47">
      <c r="AP619" s="1" t="s">
        <v>1128</v>
      </c>
      <c r="AQ619" s="167">
        <f>$AR$616/AQ601</f>
        <v>19.493002720711623</v>
      </c>
      <c r="AR619" s="167">
        <f>$AR$616/AR601</f>
        <v>15.420127728863228</v>
      </c>
      <c r="AS619" s="167">
        <f>$AR$616/AS601</f>
        <v>13.179362987965305</v>
      </c>
      <c r="AT619" s="167">
        <f>$AR$616/AT601</f>
        <v>11.56239596767378</v>
      </c>
      <c r="AU619" s="167">
        <f>$AR$616/AU601</f>
        <v>10.28949193629863</v>
      </c>
    </row>
    <row r="620" spans="23:47">
      <c r="AP620" s="1" t="s">
        <v>1129</v>
      </c>
      <c r="AQ620" s="167">
        <f>$AR$616/AQ610</f>
        <v>23.833237057546359</v>
      </c>
      <c r="AR620" s="167">
        <f>$AR$616/AR610</f>
        <v>19.087364806341178</v>
      </c>
      <c r="AS620" s="167">
        <f>$AR$616/AS610</f>
        <v>16.491037184714724</v>
      </c>
      <c r="AT620" s="167">
        <f>$AR$616/AT610</f>
        <v>14.384751465920012</v>
      </c>
      <c r="AU620" s="167">
        <f>$AR$616/AU610</f>
        <v>12.817486033993539</v>
      </c>
    </row>
    <row r="622" spans="23:47">
      <c r="AP622" s="3" t="s">
        <v>1144</v>
      </c>
    </row>
    <row r="624" spans="23:47">
      <c r="AP624" s="1" t="s">
        <v>1136</v>
      </c>
      <c r="AQ624" s="167">
        <f>AQ618/AQ724</f>
        <v>1.8997759470120199</v>
      </c>
      <c r="AR624" s="167">
        <f>AR618/AR724</f>
        <v>1.7280171653257668</v>
      </c>
      <c r="AS624" s="167">
        <f>AS618/AS724</f>
        <v>1.6932303788984386</v>
      </c>
      <c r="AT624" s="167">
        <f>AT618/AT724</f>
        <v>1.6568695226171009</v>
      </c>
      <c r="AU624" s="167">
        <f>AU618/AU724</f>
        <v>1.649999157720887</v>
      </c>
    </row>
    <row r="625" spans="23:47">
      <c r="AP625" s="1" t="s">
        <v>1128</v>
      </c>
      <c r="AQ625" s="167">
        <f t="shared" ref="AQ625:AU625" si="192">AQ619/AQ725</f>
        <v>1.4596906667325777</v>
      </c>
      <c r="AR625" s="167">
        <f t="shared" si="192"/>
        <v>1.3309536059493401</v>
      </c>
      <c r="AS625" s="167">
        <f>AS619/AS725</f>
        <v>1.2982350044087225</v>
      </c>
      <c r="AT625" s="167">
        <f t="shared" si="192"/>
        <v>1.2730729106378602</v>
      </c>
      <c r="AU625" s="167">
        <f t="shared" si="192"/>
        <v>1.2761594570157349</v>
      </c>
    </row>
    <row r="626" spans="23:47">
      <c r="AP626" s="1" t="s">
        <v>1129</v>
      </c>
      <c r="AQ626" s="167">
        <f t="shared" ref="AQ626:AU626" si="193">AQ620/AQ726</f>
        <v>1.6087551340608042</v>
      </c>
      <c r="AR626" s="167">
        <f t="shared" si="193"/>
        <v>1.4829731769531846</v>
      </c>
      <c r="AS626" s="167">
        <f t="shared" si="193"/>
        <v>1.4573678530995464</v>
      </c>
      <c r="AT626" s="167">
        <f t="shared" si="193"/>
        <v>1.4139616475201613</v>
      </c>
      <c r="AU626" s="167">
        <f t="shared" si="193"/>
        <v>1.4137638286262473</v>
      </c>
    </row>
    <row r="628" spans="23:47">
      <c r="W628" s="49" t="s">
        <v>1150</v>
      </c>
      <c r="X628" s="44"/>
      <c r="Y628" s="44"/>
      <c r="Z628" s="44"/>
      <c r="AA628" s="44"/>
      <c r="AB628" s="318" t="s">
        <v>1164</v>
      </c>
      <c r="AC628" s="44"/>
      <c r="AD628" s="44"/>
      <c r="AE628" s="44"/>
      <c r="AF628" s="44"/>
      <c r="AG628" s="44"/>
      <c r="AH628" s="44"/>
      <c r="AI628" s="44"/>
      <c r="AJ628" s="44"/>
      <c r="AK628" s="44"/>
      <c r="AL628" s="44"/>
      <c r="AM628" s="44"/>
      <c r="AN628" s="44"/>
      <c r="AO628" s="44"/>
      <c r="AP628" s="44"/>
      <c r="AQ628" s="44"/>
      <c r="AR628" s="44"/>
      <c r="AS628" s="44"/>
      <c r="AT628" s="44"/>
      <c r="AU628" s="44"/>
    </row>
    <row r="630" spans="23:47">
      <c r="W630" s="3" t="s">
        <v>1119</v>
      </c>
    </row>
    <row r="632" spans="23:47">
      <c r="W632" s="9" t="s">
        <v>1111</v>
      </c>
      <c r="X632" s="9"/>
      <c r="Y632" s="9"/>
      <c r="Z632" s="9"/>
      <c r="AA632" s="9"/>
      <c r="AB632" s="9"/>
      <c r="AC632" s="9"/>
      <c r="AD632" s="9"/>
      <c r="AE632" s="9"/>
      <c r="AF632" s="9"/>
      <c r="AG632" s="9"/>
      <c r="AH632" s="9"/>
      <c r="AI632" s="9"/>
      <c r="AJ632" s="9"/>
      <c r="AK632" s="9"/>
      <c r="AL632" s="9"/>
      <c r="AM632" s="298">
        <v>56.197688479766441</v>
      </c>
      <c r="AN632" s="298">
        <v>73.193184598555916</v>
      </c>
      <c r="AO632" s="298">
        <v>105.96490853485555</v>
      </c>
      <c r="AP632" s="298">
        <v>132.93804009939706</v>
      </c>
      <c r="AQ632" s="298">
        <v>126.86938411561397</v>
      </c>
      <c r="AR632" s="302">
        <v>131.11044041935853</v>
      </c>
      <c r="AS632" s="302">
        <v>139.75838911396968</v>
      </c>
      <c r="AT632" s="302">
        <v>151.03804741663851</v>
      </c>
      <c r="AU632" s="302">
        <v>162.96545790113689</v>
      </c>
    </row>
    <row r="633" spans="23:47">
      <c r="W633" s="1" t="s">
        <v>28</v>
      </c>
      <c r="AN633" s="16">
        <f t="shared" ref="AN633:AU633" si="194">AN632/AM632-1</f>
        <v>0.30242340171889048</v>
      </c>
      <c r="AO633" s="16">
        <f t="shared" si="194"/>
        <v>0.44774283447350127</v>
      </c>
      <c r="AP633" s="16">
        <f t="shared" si="194"/>
        <v>0.25454777376294446</v>
      </c>
      <c r="AQ633" s="16">
        <f t="shared" si="194"/>
        <v>-4.5650259167696383E-2</v>
      </c>
      <c r="AR633" s="16">
        <f t="shared" si="194"/>
        <v>3.3428524409638172E-2</v>
      </c>
      <c r="AS633" s="16">
        <f t="shared" si="194"/>
        <v>6.5959268132656623E-2</v>
      </c>
      <c r="AT633" s="16">
        <f t="shared" si="194"/>
        <v>8.0708273572547506E-2</v>
      </c>
      <c r="AU633" s="16">
        <f t="shared" si="194"/>
        <v>7.8969575471249387E-2</v>
      </c>
    </row>
    <row r="635" spans="23:47">
      <c r="W635" s="9" t="s">
        <v>1131</v>
      </c>
      <c r="X635" s="9"/>
      <c r="Y635" s="9"/>
      <c r="Z635" s="9"/>
      <c r="AA635" s="9"/>
      <c r="AB635" s="9"/>
      <c r="AC635" s="9"/>
      <c r="AD635" s="9"/>
      <c r="AE635" s="9"/>
      <c r="AF635" s="9"/>
      <c r="AG635" s="9"/>
      <c r="AH635" s="9"/>
      <c r="AI635" s="9"/>
      <c r="AJ635" s="9"/>
      <c r="AK635" s="9"/>
      <c r="AL635" s="9"/>
      <c r="AM635" s="298">
        <v>14.695291999270641</v>
      </c>
      <c r="AN635" s="298">
        <v>19.782411385767347</v>
      </c>
      <c r="AO635" s="298">
        <v>23.267875276165334</v>
      </c>
      <c r="AP635" s="298">
        <v>22.528009632182695</v>
      </c>
      <c r="AQ635" s="298">
        <v>22.353706448890847</v>
      </c>
      <c r="AR635" s="302">
        <v>24.585031425196242</v>
      </c>
      <c r="AS635" s="302">
        <v>26.642053218209789</v>
      </c>
      <c r="AT635" s="302">
        <v>29.425917587398366</v>
      </c>
      <c r="AU635" s="302">
        <v>32.301968809941052</v>
      </c>
    </row>
    <row r="636" spans="23:47">
      <c r="W636" s="1" t="s">
        <v>1112</v>
      </c>
      <c r="AM636" s="16">
        <f t="shared" ref="AM636:AU636" si="195">AM635/AM632</f>
        <v>0.26149281930984708</v>
      </c>
      <c r="AN636" s="16">
        <f t="shared" si="195"/>
        <v>0.27027668620061174</v>
      </c>
      <c r="AO636" s="16">
        <f t="shared" si="195"/>
        <v>0.21958094993789118</v>
      </c>
      <c r="AP636" s="16">
        <f t="shared" si="195"/>
        <v>0.1694624775221496</v>
      </c>
      <c r="AQ636" s="16">
        <f t="shared" si="195"/>
        <v>0.17619464778452998</v>
      </c>
      <c r="AR636" s="16">
        <f t="shared" si="195"/>
        <v>0.18751391076531118</v>
      </c>
      <c r="AS636" s="16">
        <f t="shared" si="195"/>
        <v>0.19062936677442541</v>
      </c>
      <c r="AT636" s="16">
        <f t="shared" si="195"/>
        <v>0.194824536536989</v>
      </c>
      <c r="AU636" s="16">
        <f t="shared" si="195"/>
        <v>0.19821359216832971</v>
      </c>
    </row>
    <row r="637" spans="23:47">
      <c r="W637" s="1" t="s">
        <v>28</v>
      </c>
      <c r="AN637" s="16">
        <f t="shared" ref="AN637:AU637" si="196">AN635/AM635-1</f>
        <v>0.34617341300528026</v>
      </c>
      <c r="AO637" s="16">
        <f t="shared" si="196"/>
        <v>0.17619004187253129</v>
      </c>
      <c r="AP637" s="16">
        <f t="shared" si="196"/>
        <v>-3.1797731215300384E-2</v>
      </c>
      <c r="AQ637" s="16">
        <f t="shared" si="196"/>
        <v>-7.7371763479204825E-3</v>
      </c>
      <c r="AR637" s="16">
        <f t="shared" si="196"/>
        <v>9.9819015759514462E-2</v>
      </c>
      <c r="AS637" s="16">
        <f t="shared" si="196"/>
        <v>8.3669683289702368E-2</v>
      </c>
      <c r="AT637" s="16">
        <f t="shared" si="196"/>
        <v>0.10449135982078928</v>
      </c>
      <c r="AU637" s="16">
        <f t="shared" si="196"/>
        <v>9.7738709897507325E-2</v>
      </c>
    </row>
    <row r="639" spans="23:47">
      <c r="W639" s="1" t="s">
        <v>1114</v>
      </c>
      <c r="AM639" s="103">
        <f>AM635-AM642</f>
        <v>5.5081620556215665</v>
      </c>
      <c r="AN639" s="103">
        <f>AN635-AN642</f>
        <v>6.0639754535656838</v>
      </c>
      <c r="AO639" s="103">
        <f>AO635-AO642</f>
        <v>7.0775835165413064</v>
      </c>
      <c r="AP639" s="103">
        <f>AP635-AP642</f>
        <v>7.4902725679698747</v>
      </c>
      <c r="AQ639" s="103">
        <f>AQ635-AQ642</f>
        <v>6.8551678010821959</v>
      </c>
      <c r="AR639" s="103">
        <f>AR640*AR632</f>
        <v>7.8666264251615114</v>
      </c>
      <c r="AS639" s="103">
        <f>AS640*AS632</f>
        <v>9.0842952924080294</v>
      </c>
      <c r="AT639" s="103">
        <f>AT640*AT632</f>
        <v>10.572663319164697</v>
      </c>
      <c r="AU639" s="103">
        <f>AU640*AU632</f>
        <v>12.222409342585268</v>
      </c>
    </row>
    <row r="640" spans="23:47">
      <c r="W640" s="1" t="s">
        <v>1115</v>
      </c>
      <c r="AM640" s="16">
        <f>AM639/AM632</f>
        <v>9.8014032331681031E-2</v>
      </c>
      <c r="AN640" s="16">
        <f>AN639/AN632</f>
        <v>8.2848908499129917E-2</v>
      </c>
      <c r="AO640" s="16">
        <f>AO639/AO632</f>
        <v>6.6791767335063021E-2</v>
      </c>
      <c r="AP640" s="16">
        <f>AP639/AP632</f>
        <v>5.6344087534083084E-2</v>
      </c>
      <c r="AQ640" s="16">
        <f>AQ639/AQ632</f>
        <v>5.4033270901947435E-2</v>
      </c>
      <c r="AR640" s="303">
        <v>0.06</v>
      </c>
      <c r="AS640" s="303">
        <f>AR640+0.5%</f>
        <v>6.5000000000000002E-2</v>
      </c>
      <c r="AT640" s="303">
        <f t="shared" ref="AT640:AU640" si="197">AS640+0.5%</f>
        <v>7.0000000000000007E-2</v>
      </c>
      <c r="AU640" s="303">
        <f t="shared" si="197"/>
        <v>7.5000000000000011E-2</v>
      </c>
    </row>
    <row r="642" spans="23:47">
      <c r="W642" s="9" t="s">
        <v>1116</v>
      </c>
      <c r="X642" s="9"/>
      <c r="Y642" s="9"/>
      <c r="Z642" s="9"/>
      <c r="AA642" s="9"/>
      <c r="AB642" s="9"/>
      <c r="AC642" s="9"/>
      <c r="AD642" s="9"/>
      <c r="AE642" s="9"/>
      <c r="AF642" s="9"/>
      <c r="AG642" s="9"/>
      <c r="AH642" s="9"/>
      <c r="AI642" s="9"/>
      <c r="AJ642" s="9"/>
      <c r="AK642" s="9"/>
      <c r="AL642" s="9"/>
      <c r="AM642" s="298">
        <v>9.1871299436490741</v>
      </c>
      <c r="AN642" s="298">
        <v>13.718435932201663</v>
      </c>
      <c r="AO642" s="298">
        <v>16.190291759624028</v>
      </c>
      <c r="AP642" s="298">
        <v>15.03773706421282</v>
      </c>
      <c r="AQ642" s="298">
        <v>15.498538647808651</v>
      </c>
      <c r="AR642" s="300">
        <f>AR635-AR639</f>
        <v>16.718405000034728</v>
      </c>
      <c r="AS642" s="300">
        <f>AS635-AS639</f>
        <v>17.557757925801759</v>
      </c>
      <c r="AT642" s="300">
        <f>AT635-AT639</f>
        <v>18.85325426823367</v>
      </c>
      <c r="AU642" s="300">
        <f>AU635-AU639</f>
        <v>20.079559467355786</v>
      </c>
    </row>
    <row r="643" spans="23:47">
      <c r="W643" s="1" t="s">
        <v>1118</v>
      </c>
      <c r="AM643" s="16">
        <f t="shared" ref="AM643:AU643" si="198">AM642/AM632</f>
        <v>0.16347878697816604</v>
      </c>
      <c r="AN643" s="16">
        <f t="shared" si="198"/>
        <v>0.18742777770148183</v>
      </c>
      <c r="AO643" s="16">
        <f t="shared" si="198"/>
        <v>0.15278918260282814</v>
      </c>
      <c r="AP643" s="16">
        <f t="shared" si="198"/>
        <v>0.1131183899880665</v>
      </c>
      <c r="AQ643" s="16">
        <f t="shared" si="198"/>
        <v>0.12216137688258256</v>
      </c>
      <c r="AR643" s="16">
        <f t="shared" si="198"/>
        <v>0.12751391076531116</v>
      </c>
      <c r="AS643" s="16">
        <f t="shared" si="198"/>
        <v>0.12562936677442541</v>
      </c>
      <c r="AT643" s="16">
        <f t="shared" si="198"/>
        <v>0.12482453653698899</v>
      </c>
      <c r="AU643" s="16">
        <f t="shared" si="198"/>
        <v>0.12321359216832972</v>
      </c>
    </row>
    <row r="644" spans="23:47">
      <c r="W644" s="1" t="s">
        <v>28</v>
      </c>
      <c r="AN644" s="16">
        <f t="shared" ref="AN644:AU644" si="199">AN642/AM642-1</f>
        <v>0.49322323906880339</v>
      </c>
      <c r="AO644" s="16">
        <f t="shared" si="199"/>
        <v>0.18018495983351213</v>
      </c>
      <c r="AP644" s="16">
        <f t="shared" si="199"/>
        <v>-7.1188012700641567E-2</v>
      </c>
      <c r="AQ644" s="16">
        <f t="shared" si="199"/>
        <v>3.0643013747890135E-2</v>
      </c>
      <c r="AR644" s="16">
        <f t="shared" si="199"/>
        <v>7.8708475679321932E-2</v>
      </c>
      <c r="AS644" s="16">
        <f t="shared" si="199"/>
        <v>5.0205323161227833E-2</v>
      </c>
      <c r="AT644" s="16">
        <f t="shared" si="199"/>
        <v>7.3784839038481875E-2</v>
      </c>
      <c r="AU644" s="16">
        <f t="shared" si="199"/>
        <v>6.5044749393124546E-2</v>
      </c>
    </row>
    <row r="646" spans="23:47">
      <c r="AP646" s="1" t="s">
        <v>912</v>
      </c>
      <c r="AR646" s="301">
        <v>175</v>
      </c>
    </row>
    <row r="647" spans="23:47">
      <c r="AP647" s="1" t="s">
        <v>1124</v>
      </c>
      <c r="AR647" s="301">
        <v>-58.9</v>
      </c>
      <c r="AS647" s="262" t="s">
        <v>1126</v>
      </c>
    </row>
    <row r="648" spans="23:47">
      <c r="AP648" s="9" t="s">
        <v>1125</v>
      </c>
      <c r="AQ648" s="9"/>
      <c r="AR648" s="300">
        <f>SUM(AR646:AR647)</f>
        <v>116.1</v>
      </c>
    </row>
    <row r="650" spans="23:47">
      <c r="AP650" s="1" t="s">
        <v>1136</v>
      </c>
      <c r="AQ650" s="167">
        <f>$AR$648/AQ632</f>
        <v>0.91511439745147649</v>
      </c>
      <c r="AR650" s="167">
        <f>$AR$648/AR632</f>
        <v>0.88551300436984703</v>
      </c>
      <c r="AS650" s="167">
        <f>$AR$648/AS632</f>
        <v>0.83071936315267036</v>
      </c>
      <c r="AT650" s="167">
        <f>$AR$648/AT632</f>
        <v>0.7686804880345024</v>
      </c>
      <c r="AU650" s="167">
        <f>$AR$648/AU632</f>
        <v>0.71242091112603845</v>
      </c>
    </row>
    <row r="651" spans="23:47">
      <c r="AP651" s="1" t="s">
        <v>1128</v>
      </c>
      <c r="AQ651" s="167">
        <f>$AR$648/AQ635</f>
        <v>5.1937695551943097</v>
      </c>
      <c r="AR651" s="167">
        <f>$AR$648/AR635</f>
        <v>4.7223856659794068</v>
      </c>
      <c r="AS651" s="167">
        <f>$AR$648/AS635</f>
        <v>4.3577722425929952</v>
      </c>
      <c r="AT651" s="167">
        <f>$AR$648/AT635</f>
        <v>3.945501432713852</v>
      </c>
      <c r="AU651" s="167">
        <f>$AR$648/AU635</f>
        <v>3.5942081636915515</v>
      </c>
    </row>
    <row r="652" spans="23:47">
      <c r="AP652" s="1" t="s">
        <v>1129</v>
      </c>
      <c r="AQ652" s="167">
        <f>$AR$648/AQ642</f>
        <v>7.4910288407362495</v>
      </c>
      <c r="AR652" s="167">
        <f>$AR$648/AR642</f>
        <v>6.9444423675439628</v>
      </c>
      <c r="AS652" s="167">
        <f>$AR$648/AS642</f>
        <v>6.612461596214791</v>
      </c>
      <c r="AT652" s="167">
        <f>$AR$648/AT642</f>
        <v>6.1580880599281924</v>
      </c>
      <c r="AU652" s="167">
        <f>$AR$648/AU642</f>
        <v>5.7819993605312314</v>
      </c>
    </row>
    <row r="654" spans="23:47">
      <c r="W654" s="3" t="s">
        <v>1122</v>
      </c>
    </row>
    <row r="656" spans="23:47">
      <c r="W656" s="9" t="s">
        <v>1111</v>
      </c>
      <c r="X656" s="9"/>
      <c r="Y656" s="9"/>
      <c r="Z656" s="9"/>
      <c r="AA656" s="9"/>
      <c r="AB656" s="9"/>
      <c r="AC656" s="9"/>
      <c r="AD656" s="9"/>
      <c r="AE656" s="9"/>
      <c r="AF656" s="9"/>
      <c r="AG656" s="9"/>
      <c r="AH656" s="9"/>
      <c r="AI656" s="9"/>
      <c r="AJ656" s="9"/>
      <c r="AK656" s="9"/>
      <c r="AL656" s="9"/>
      <c r="AM656" s="298">
        <v>280.52199999999999</v>
      </c>
      <c r="AN656" s="298">
        <v>386.06400000000002</v>
      </c>
      <c r="AO656" s="298">
        <v>469.822</v>
      </c>
      <c r="AP656" s="298">
        <v>513.98299999999995</v>
      </c>
      <c r="AQ656" s="298">
        <v>574.78499999999997</v>
      </c>
      <c r="AR656" s="302">
        <v>641.31109506325788</v>
      </c>
      <c r="AS656" s="302">
        <v>716.60867129286919</v>
      </c>
      <c r="AT656" s="302">
        <v>801.03818497203963</v>
      </c>
      <c r="AU656" s="302">
        <v>883.56575161523051</v>
      </c>
    </row>
    <row r="657" spans="23:47">
      <c r="W657" s="1" t="s">
        <v>28</v>
      </c>
      <c r="AN657" s="16">
        <f>AN656/AM656-1</f>
        <v>0.37623430604373298</v>
      </c>
      <c r="AO657" s="16">
        <f>AO656/AN656-1</f>
        <v>0.21695366571345676</v>
      </c>
      <c r="AP657" s="16">
        <f>AP656/AO656-1</f>
        <v>9.3995172639850688E-2</v>
      </c>
      <c r="AQ657" s="16">
        <f>AQ656/AP656-1</f>
        <v>0.1182957412988368</v>
      </c>
      <c r="AR657" s="16">
        <f t="shared" ref="AR657:AU657" si="200">AR656/AQ656-1</f>
        <v>0.11574083363911369</v>
      </c>
      <c r="AS657" s="16">
        <f t="shared" si="200"/>
        <v>0.11741193440943687</v>
      </c>
      <c r="AT657" s="16">
        <f t="shared" si="200"/>
        <v>0.11781815802877049</v>
      </c>
      <c r="AU657" s="16">
        <f t="shared" si="200"/>
        <v>0.10302575856114959</v>
      </c>
    </row>
    <row r="659" spans="23:47">
      <c r="W659" s="9" t="s">
        <v>1132</v>
      </c>
      <c r="X659" s="9"/>
      <c r="Y659" s="9"/>
      <c r="Z659" s="9"/>
      <c r="AA659" s="9"/>
      <c r="AB659" s="9"/>
      <c r="AC659" s="9"/>
      <c r="AD659" s="9"/>
      <c r="AE659" s="9"/>
      <c r="AF659" s="9"/>
      <c r="AG659" s="9"/>
      <c r="AH659" s="9"/>
      <c r="AI659" s="9"/>
      <c r="AJ659" s="9"/>
      <c r="AK659" s="9"/>
      <c r="AL659" s="9"/>
      <c r="AM659" s="298">
        <v>36.33</v>
      </c>
      <c r="AN659" s="298">
        <v>48.079000000000001</v>
      </c>
      <c r="AO659" s="298">
        <v>59.311999999999998</v>
      </c>
      <c r="AP659" s="298">
        <v>55.268999999999998</v>
      </c>
      <c r="AQ659" s="298">
        <v>85.515000000000001</v>
      </c>
      <c r="AR659" s="302">
        <v>107.9001993682119</v>
      </c>
      <c r="AS659" s="302">
        <v>128.12077889210602</v>
      </c>
      <c r="AT659" s="302">
        <v>151.29831912836377</v>
      </c>
      <c r="AU659" s="302">
        <v>175.33885401456089</v>
      </c>
    </row>
    <row r="660" spans="23:47">
      <c r="W660" s="1" t="s">
        <v>1112</v>
      </c>
      <c r="AM660" s="16">
        <f t="shared" ref="AM660:AU660" si="201">AM659/AM656</f>
        <v>0.12950855904349748</v>
      </c>
      <c r="AN660" s="16">
        <f t="shared" si="201"/>
        <v>0.12453634630527581</v>
      </c>
      <c r="AO660" s="16">
        <f t="shared" si="201"/>
        <v>0.12624355607017124</v>
      </c>
      <c r="AP660" s="16">
        <f t="shared" si="201"/>
        <v>0.10753079382002907</v>
      </c>
      <c r="AQ660" s="16">
        <f t="shared" si="201"/>
        <v>0.14877736892925181</v>
      </c>
      <c r="AR660" s="16">
        <f t="shared" si="201"/>
        <v>0.16824938816561219</v>
      </c>
      <c r="AS660" s="16">
        <f t="shared" si="201"/>
        <v>0.17878764802127914</v>
      </c>
      <c r="AT660" s="16">
        <f t="shared" si="201"/>
        <v>0.18887778631132904</v>
      </c>
      <c r="AU660" s="16">
        <f t="shared" si="201"/>
        <v>0.19844460210689144</v>
      </c>
    </row>
    <row r="661" spans="23:47">
      <c r="W661" s="1" t="s">
        <v>28</v>
      </c>
      <c r="AN661" s="16">
        <f t="shared" ref="AN661:AU661" si="202">AN659/AM659-1</f>
        <v>0.32339664189375172</v>
      </c>
      <c r="AO661" s="16">
        <f t="shared" si="202"/>
        <v>0.23363630691154125</v>
      </c>
      <c r="AP661" s="16">
        <f t="shared" si="202"/>
        <v>-6.8164958187213354E-2</v>
      </c>
      <c r="AQ661" s="16">
        <f t="shared" si="202"/>
        <v>0.5472507192096836</v>
      </c>
      <c r="AR661" s="16">
        <f t="shared" si="202"/>
        <v>0.26176927285519391</v>
      </c>
      <c r="AS661" s="16">
        <f t="shared" si="202"/>
        <v>0.1874007614656108</v>
      </c>
      <c r="AT661" s="16">
        <f t="shared" si="202"/>
        <v>0.18090383493356832</v>
      </c>
      <c r="AU661" s="16">
        <f t="shared" si="202"/>
        <v>0.15889492378167636</v>
      </c>
    </row>
    <row r="663" spans="23:47">
      <c r="W663" s="1" t="s">
        <v>1133</v>
      </c>
      <c r="AO663" s="103">
        <f t="shared" ref="AO663:AU663" si="203">AO665-AO659</f>
        <v>12.682000000000002</v>
      </c>
      <c r="AP663" s="103">
        <f t="shared" si="203"/>
        <v>19.324000000000005</v>
      </c>
      <c r="AQ663" s="103">
        <f t="shared" si="203"/>
        <v>24.790000000000006</v>
      </c>
      <c r="AR663" s="103">
        <f t="shared" si="203"/>
        <v>22.819492733700457</v>
      </c>
      <c r="AS663" s="103">
        <f t="shared" si="203"/>
        <v>26.173790543264118</v>
      </c>
      <c r="AT663" s="103">
        <f t="shared" si="203"/>
        <v>32.602475628887191</v>
      </c>
      <c r="AU663" s="103">
        <f t="shared" si="203"/>
        <v>34.395771347649799</v>
      </c>
    </row>
    <row r="665" spans="23:47">
      <c r="W665" s="9" t="s">
        <v>1131</v>
      </c>
      <c r="X665" s="9"/>
      <c r="Y665" s="9"/>
      <c r="Z665" s="9"/>
      <c r="AA665" s="9"/>
      <c r="AB665" s="9"/>
      <c r="AC665" s="9"/>
      <c r="AD665" s="9"/>
      <c r="AE665" s="9"/>
      <c r="AF665" s="9"/>
      <c r="AG665" s="9"/>
      <c r="AH665" s="9"/>
      <c r="AI665" s="9"/>
      <c r="AJ665" s="9"/>
      <c r="AK665" s="9"/>
      <c r="AL665" s="9"/>
      <c r="AM665" s="9"/>
      <c r="AN665" s="9"/>
      <c r="AO665" s="298">
        <v>71.994</v>
      </c>
      <c r="AP665" s="298">
        <v>74.593000000000004</v>
      </c>
      <c r="AQ665" s="298">
        <v>110.30500000000001</v>
      </c>
      <c r="AR665" s="302">
        <v>130.71969210191236</v>
      </c>
      <c r="AS665" s="302">
        <v>154.29456943537014</v>
      </c>
      <c r="AT665" s="302">
        <v>183.90079475725096</v>
      </c>
      <c r="AU665" s="302">
        <v>209.73462536221069</v>
      </c>
    </row>
    <row r="666" spans="23:47">
      <c r="W666" s="1" t="s">
        <v>1112</v>
      </c>
      <c r="AM666" s="16"/>
      <c r="AN666" s="16"/>
      <c r="AO666" s="16">
        <f t="shared" ref="AO666:AU666" si="204">AO665/AO656</f>
        <v>0.15323675775080775</v>
      </c>
      <c r="AP666" s="16">
        <f t="shared" si="204"/>
        <v>0.14512736802579077</v>
      </c>
      <c r="AQ666" s="16">
        <f t="shared" si="204"/>
        <v>0.19190653896674412</v>
      </c>
      <c r="AR666" s="16">
        <f t="shared" si="204"/>
        <v>0.20383195161939055</v>
      </c>
      <c r="AS666" s="16">
        <f t="shared" si="204"/>
        <v>0.21531217192362417</v>
      </c>
      <c r="AT666" s="16">
        <f t="shared" si="204"/>
        <v>0.22957806282814103</v>
      </c>
      <c r="AU666" s="16">
        <f t="shared" si="204"/>
        <v>0.23737296854116247</v>
      </c>
    </row>
    <row r="667" spans="23:47">
      <c r="W667" s="1" t="s">
        <v>28</v>
      </c>
      <c r="AN667" s="16"/>
      <c r="AO667" s="16"/>
      <c r="AP667" s="16">
        <f t="shared" ref="AP667:AU667" si="205">AP665/AO665-1</f>
        <v>3.6100230574770187E-2</v>
      </c>
      <c r="AQ667" s="16">
        <f t="shared" si="205"/>
        <v>0.47875806040781299</v>
      </c>
      <c r="AR667" s="16">
        <f t="shared" si="205"/>
        <v>0.18507494766250265</v>
      </c>
      <c r="AS667" s="16">
        <f t="shared" si="205"/>
        <v>0.18034679361911454</v>
      </c>
      <c r="AT667" s="16">
        <f t="shared" si="205"/>
        <v>0.19188118823768519</v>
      </c>
      <c r="AU667" s="16">
        <f t="shared" si="205"/>
        <v>0.14047699271262193</v>
      </c>
    </row>
    <row r="669" spans="23:47">
      <c r="W669" s="1" t="s">
        <v>1114</v>
      </c>
      <c r="AM669" s="103">
        <f>AM659-AM672</f>
        <v>21.788999999999998</v>
      </c>
      <c r="AN669" s="103">
        <f>AN659-AN672</f>
        <v>25.18</v>
      </c>
      <c r="AO669" s="103">
        <f>AO659-AO672</f>
        <v>34.432999999999993</v>
      </c>
      <c r="AP669" s="103">
        <f>AP659-AP672</f>
        <v>41.920999999999999</v>
      </c>
      <c r="AQ669" s="103">
        <f>AQ659-AQ672</f>
        <v>48.663000000000004</v>
      </c>
      <c r="AR669" s="103">
        <f>AR670*AR656</f>
        <v>54.511443080376921</v>
      </c>
      <c r="AS669" s="103">
        <f>AS670*AS656</f>
        <v>64.494780416358239</v>
      </c>
      <c r="AT669" s="103">
        <f>AT670*AT656</f>
        <v>76.098627572343773</v>
      </c>
      <c r="AU669" s="103">
        <f>AU670*AU656</f>
        <v>88.356575161523068</v>
      </c>
    </row>
    <row r="670" spans="23:47">
      <c r="W670" s="1" t="s">
        <v>1115</v>
      </c>
      <c r="AM670" s="16">
        <f>AM669/AM656</f>
        <v>7.7673052380918428E-2</v>
      </c>
      <c r="AN670" s="16">
        <f>AN669/AN656</f>
        <v>6.5222346553939242E-2</v>
      </c>
      <c r="AO670" s="16">
        <f>AO669/AO656</f>
        <v>7.3289458560901771E-2</v>
      </c>
      <c r="AP670" s="16">
        <f>AP669/AP656</f>
        <v>8.1561063303650122E-2</v>
      </c>
      <c r="AQ670" s="16">
        <f>AQ669/AQ656</f>
        <v>8.4662960933218526E-2</v>
      </c>
      <c r="AR670" s="303">
        <v>8.5000000000000006E-2</v>
      </c>
      <c r="AS670" s="303">
        <f>AR670+0.5%</f>
        <v>9.0000000000000011E-2</v>
      </c>
      <c r="AT670" s="303">
        <f>AS670+0.5%</f>
        <v>9.5000000000000015E-2</v>
      </c>
      <c r="AU670" s="303">
        <f>AT670+0.5%</f>
        <v>0.10000000000000002</v>
      </c>
    </row>
    <row r="672" spans="23:47">
      <c r="W672" s="9" t="s">
        <v>1134</v>
      </c>
      <c r="X672" s="9"/>
      <c r="Y672" s="9"/>
      <c r="Z672" s="9"/>
      <c r="AA672" s="9"/>
      <c r="AB672" s="9"/>
      <c r="AC672" s="9"/>
      <c r="AD672" s="9"/>
      <c r="AE672" s="9"/>
      <c r="AF672" s="9"/>
      <c r="AG672" s="9"/>
      <c r="AH672" s="9"/>
      <c r="AI672" s="9"/>
      <c r="AJ672" s="9"/>
      <c r="AK672" s="9"/>
      <c r="AL672" s="9"/>
      <c r="AM672" s="298">
        <v>14.541</v>
      </c>
      <c r="AN672" s="298">
        <v>22.899000000000001</v>
      </c>
      <c r="AO672" s="298">
        <v>24.879000000000001</v>
      </c>
      <c r="AP672" s="298">
        <v>13.348000000000001</v>
      </c>
      <c r="AQ672" s="298">
        <v>36.851999999999997</v>
      </c>
      <c r="AR672" s="300">
        <f>AR659-AR669</f>
        <v>53.38875628783498</v>
      </c>
      <c r="AS672" s="300">
        <f>AS659-AS669</f>
        <v>63.625998475747778</v>
      </c>
      <c r="AT672" s="300">
        <f>AT659-AT669</f>
        <v>75.199691556019999</v>
      </c>
      <c r="AU672" s="300">
        <f>AU659-AU669</f>
        <v>86.982278853037826</v>
      </c>
    </row>
    <row r="673" spans="23:47">
      <c r="W673" s="1" t="s">
        <v>1118</v>
      </c>
      <c r="AM673" s="16">
        <f t="shared" ref="AM673:AR673" si="206">AM672/AM656</f>
        <v>5.1835506662579051E-2</v>
      </c>
      <c r="AN673" s="16">
        <f t="shared" si="206"/>
        <v>5.9313999751336562E-2</v>
      </c>
      <c r="AO673" s="16">
        <f t="shared" si="206"/>
        <v>5.2954097509269472E-2</v>
      </c>
      <c r="AP673" s="16">
        <f t="shared" si="206"/>
        <v>2.596973051637895E-2</v>
      </c>
      <c r="AQ673" s="16">
        <f t="shared" si="206"/>
        <v>6.4114407996033296E-2</v>
      </c>
      <c r="AR673" s="16">
        <f t="shared" si="206"/>
        <v>8.3249388165612198E-2</v>
      </c>
      <c r="AS673" s="16">
        <f t="shared" ref="AS673:AU673" si="207">AS672/AS656</f>
        <v>8.8787648021279128E-2</v>
      </c>
      <c r="AT673" s="16">
        <f t="shared" si="207"/>
        <v>9.3877786311329037E-2</v>
      </c>
      <c r="AU673" s="16">
        <f t="shared" si="207"/>
        <v>9.8444602106891418E-2</v>
      </c>
    </row>
    <row r="674" spans="23:47">
      <c r="W674" s="1" t="s">
        <v>28</v>
      </c>
      <c r="AN674" s="16">
        <f>AN672/AM672-1</f>
        <v>0.57478852898700228</v>
      </c>
      <c r="AO674" s="16">
        <f>AO672/AN672-1</f>
        <v>8.6466657932660729E-2</v>
      </c>
      <c r="AP674" s="16">
        <f>AP672/AO672-1</f>
        <v>-0.46348325897343146</v>
      </c>
      <c r="AQ674" s="16">
        <f>AQ672/AP672-1</f>
        <v>1.7608630506442911</v>
      </c>
      <c r="AR674" s="16">
        <f>AR672/AQ672-1</f>
        <v>0.44873429631593909</v>
      </c>
      <c r="AS674" s="16">
        <f t="shared" ref="AS674:AU674" si="208">AS672/AR672-1</f>
        <v>0.19174902919110393</v>
      </c>
      <c r="AT674" s="16">
        <f t="shared" si="208"/>
        <v>0.18190194822142947</v>
      </c>
      <c r="AU674" s="16">
        <f t="shared" si="208"/>
        <v>0.15668398437831876</v>
      </c>
    </row>
    <row r="676" spans="23:47">
      <c r="W676" s="9" t="s">
        <v>1135</v>
      </c>
      <c r="X676" s="9"/>
      <c r="Y676" s="9"/>
      <c r="Z676" s="9"/>
      <c r="AA676" s="9"/>
      <c r="AB676" s="9"/>
      <c r="AC676" s="9"/>
      <c r="AD676" s="9"/>
      <c r="AE676" s="9"/>
      <c r="AF676" s="9"/>
      <c r="AG676" s="9"/>
      <c r="AH676" s="9"/>
      <c r="AI676" s="9"/>
      <c r="AJ676" s="9"/>
      <c r="AK676" s="9"/>
      <c r="AL676" s="9"/>
      <c r="AM676" s="9"/>
      <c r="AN676" s="9"/>
      <c r="AO676" s="304">
        <f t="shared" ref="AO676:AU676" si="209">AO665-AO669</f>
        <v>37.561000000000007</v>
      </c>
      <c r="AP676" s="304">
        <f t="shared" si="209"/>
        <v>32.672000000000004</v>
      </c>
      <c r="AQ676" s="304">
        <f t="shared" si="209"/>
        <v>61.642000000000003</v>
      </c>
      <c r="AR676" s="304">
        <f t="shared" si="209"/>
        <v>76.208249021535437</v>
      </c>
      <c r="AS676" s="304">
        <f t="shared" si="209"/>
        <v>89.799789019011897</v>
      </c>
      <c r="AT676" s="304">
        <f t="shared" si="209"/>
        <v>107.80216718490719</v>
      </c>
      <c r="AU676" s="304">
        <f t="shared" si="209"/>
        <v>121.37805020068762</v>
      </c>
    </row>
    <row r="677" spans="23:47">
      <c r="W677" s="1" t="s">
        <v>1118</v>
      </c>
      <c r="AM677" s="16"/>
      <c r="AN677" s="16"/>
      <c r="AO677" s="16">
        <f t="shared" ref="AO677:AU677" si="210">AO676/AO656</f>
        <v>7.9947299189905979E-2</v>
      </c>
      <c r="AP677" s="16">
        <f t="shared" si="210"/>
        <v>6.3566304722140629E-2</v>
      </c>
      <c r="AQ677" s="16">
        <f t="shared" si="210"/>
        <v>0.10724357803352559</v>
      </c>
      <c r="AR677" s="16">
        <f t="shared" si="210"/>
        <v>0.11883195161939056</v>
      </c>
      <c r="AS677" s="16">
        <f t="shared" si="210"/>
        <v>0.12531217192362415</v>
      </c>
      <c r="AT677" s="16">
        <f t="shared" si="210"/>
        <v>0.134578062828141</v>
      </c>
      <c r="AU677" s="16">
        <f t="shared" si="210"/>
        <v>0.13737296854116246</v>
      </c>
    </row>
    <row r="678" spans="23:47">
      <c r="W678" s="1" t="s">
        <v>28</v>
      </c>
      <c r="AN678" s="16"/>
      <c r="AO678" s="16"/>
      <c r="AP678" s="16">
        <f>AP676/AO676-1</f>
        <v>-0.13016160379116637</v>
      </c>
      <c r="AQ678" s="16">
        <f>AQ676/AP676-1</f>
        <v>0.88669196865817801</v>
      </c>
      <c r="AR678" s="16">
        <f>AR676/AQ676-1</f>
        <v>0.23630396517853791</v>
      </c>
      <c r="AS678" s="16">
        <f t="shared" ref="AS678:AU678" si="211">AS676/AR676-1</f>
        <v>0.1783473596622811</v>
      </c>
      <c r="AT678" s="16">
        <f t="shared" si="211"/>
        <v>0.20047238821556612</v>
      </c>
      <c r="AU678" s="16">
        <f t="shared" si="211"/>
        <v>0.12593330329337871</v>
      </c>
    </row>
    <row r="680" spans="23:47">
      <c r="AP680" s="1" t="s">
        <v>912</v>
      </c>
      <c r="AR680" s="301">
        <v>1850</v>
      </c>
    </row>
    <row r="681" spans="23:47">
      <c r="AP681" s="1" t="s">
        <v>1124</v>
      </c>
      <c r="AR681" s="301">
        <v>-19.2</v>
      </c>
      <c r="AS681" s="262" t="s">
        <v>1126</v>
      </c>
    </row>
    <row r="682" spans="23:47">
      <c r="AP682" s="9" t="s">
        <v>1125</v>
      </c>
      <c r="AQ682" s="9"/>
      <c r="AR682" s="300">
        <f>SUM(AR680:AR681)</f>
        <v>1830.8</v>
      </c>
    </row>
    <row r="684" spans="23:47">
      <c r="AP684" s="1" t="s">
        <v>1136</v>
      </c>
      <c r="AQ684" s="167">
        <f>$AR$682/AQ656</f>
        <v>3.185190984455057</v>
      </c>
      <c r="AR684" s="167">
        <f>$AR$682/AR656</f>
        <v>2.8547767442249112</v>
      </c>
      <c r="AS684" s="167">
        <f>$AR$682/AS656</f>
        <v>2.5548113961514911</v>
      </c>
      <c r="AT684" s="167">
        <f>$AR$682/AT656</f>
        <v>2.2855339911965675</v>
      </c>
      <c r="AU684" s="167">
        <f>$AR$682/AU656</f>
        <v>2.072058583815803</v>
      </c>
    </row>
    <row r="685" spans="23:47">
      <c r="AP685" s="1" t="s">
        <v>1128</v>
      </c>
      <c r="AQ685" s="167">
        <f>$AR$682/AQ665</f>
        <v>16.597615701917409</v>
      </c>
      <c r="AR685" s="167">
        <f t="shared" ref="AR685:AU685" si="212">$AR$682/AR665</f>
        <v>14.005540944608883</v>
      </c>
      <c r="AS685" s="167">
        <f t="shared" si="212"/>
        <v>11.865615275376708</v>
      </c>
      <c r="AT685" s="167">
        <f t="shared" si="212"/>
        <v>9.9553675252826164</v>
      </c>
      <c r="AU685" s="167">
        <f t="shared" si="212"/>
        <v>8.729126136603421</v>
      </c>
    </row>
    <row r="686" spans="23:47">
      <c r="AP686" s="1" t="s">
        <v>1129</v>
      </c>
      <c r="AQ686" s="167">
        <f>$AR$682/AQ676</f>
        <v>29.700528860192723</v>
      </c>
      <c r="AR686" s="167">
        <f t="shared" ref="AR686:AU686" si="213">$AR$682/AR676</f>
        <v>24.023646042341692</v>
      </c>
      <c r="AS686" s="167">
        <f t="shared" si="213"/>
        <v>20.387575739319313</v>
      </c>
      <c r="AT686" s="167">
        <f t="shared" si="213"/>
        <v>16.982960990568291</v>
      </c>
      <c r="AU686" s="167">
        <f t="shared" si="213"/>
        <v>15.083452048973745</v>
      </c>
    </row>
    <row r="688" spans="23:47">
      <c r="AP688" s="3" t="s">
        <v>1143</v>
      </c>
    </row>
    <row r="690" spans="23:47">
      <c r="AP690" s="1" t="s">
        <v>1136</v>
      </c>
      <c r="AQ690" s="167">
        <f t="shared" ref="AQ690:AU692" si="214">AQ684/AQ650</f>
        <v>3.4806478767305706</v>
      </c>
      <c r="AR690" s="167">
        <f t="shared" si="214"/>
        <v>3.2238676678231744</v>
      </c>
      <c r="AS690" s="167">
        <f t="shared" si="214"/>
        <v>3.0754205444973666</v>
      </c>
      <c r="AT690" s="167">
        <f t="shared" si="214"/>
        <v>2.9733212001264961</v>
      </c>
      <c r="AU690" s="167">
        <f t="shared" si="214"/>
        <v>2.9084752446987387</v>
      </c>
    </row>
    <row r="691" spans="23:47">
      <c r="AP691" s="1" t="s">
        <v>1128</v>
      </c>
      <c r="AQ691" s="167">
        <f t="shared" si="214"/>
        <v>3.1956781150057125</v>
      </c>
      <c r="AR691" s="167">
        <f t="shared" si="214"/>
        <v>2.9657766085278388</v>
      </c>
      <c r="AS691" s="167">
        <f t="shared" si="214"/>
        <v>2.7228626497277282</v>
      </c>
      <c r="AT691" s="167">
        <f t="shared" si="214"/>
        <v>2.5232198479864625</v>
      </c>
      <c r="AU691" s="167">
        <f t="shared" si="214"/>
        <v>2.4286646012282942</v>
      </c>
    </row>
    <row r="692" spans="23:47">
      <c r="AP692" s="1" t="s">
        <v>1129</v>
      </c>
      <c r="AQ692" s="167">
        <f t="shared" si="214"/>
        <v>3.9648130439281064</v>
      </c>
      <c r="AR692" s="167">
        <f t="shared" si="214"/>
        <v>3.4594060647144693</v>
      </c>
      <c r="AS692" s="167">
        <f t="shared" si="214"/>
        <v>3.0832051638666438</v>
      </c>
      <c r="AT692" s="167">
        <f t="shared" si="214"/>
        <v>2.7578301617801686</v>
      </c>
      <c r="AU692" s="167">
        <f t="shared" si="214"/>
        <v>2.6086914073245291</v>
      </c>
    </row>
    <row r="694" spans="23:47">
      <c r="W694" s="3" t="s">
        <v>1120</v>
      </c>
      <c r="AB694" s="1" t="s">
        <v>1137</v>
      </c>
      <c r="AP694" s="305">
        <v>6.7350000000000003</v>
      </c>
      <c r="AQ694" s="305">
        <v>7.0750000000000002</v>
      </c>
      <c r="AR694" s="305">
        <v>7.2</v>
      </c>
      <c r="AS694" s="262" t="s">
        <v>1138</v>
      </c>
    </row>
    <row r="696" spans="23:47">
      <c r="W696" s="9" t="s">
        <v>1111</v>
      </c>
      <c r="X696" s="9"/>
      <c r="Y696" s="9"/>
      <c r="Z696" s="9"/>
      <c r="AA696" s="9"/>
      <c r="AB696" s="9"/>
      <c r="AC696" s="9"/>
      <c r="AD696" s="9"/>
      <c r="AE696" s="9"/>
      <c r="AF696" s="9"/>
      <c r="AG696" s="9"/>
      <c r="AH696" s="9"/>
      <c r="AI696" s="9"/>
      <c r="AJ696" s="9"/>
      <c r="AK696" s="9"/>
      <c r="AL696" s="9"/>
      <c r="AM696" s="298">
        <v>53.534630461629767</v>
      </c>
      <c r="AN696" s="298">
        <v>68.827662078284206</v>
      </c>
      <c r="AO696" s="298">
        <v>85.646250276676696</v>
      </c>
      <c r="AP696" s="298">
        <v>82.540510811230703</v>
      </c>
      <c r="AQ696" s="298">
        <v>86.063301593124166</v>
      </c>
      <c r="AR696" s="302">
        <v>92.347322427305087</v>
      </c>
      <c r="AS696" s="302">
        <v>101.77404868101272</v>
      </c>
      <c r="AT696" s="302">
        <v>111.64107171605066</v>
      </c>
      <c r="AU696" s="302">
        <v>122.55692955249548</v>
      </c>
    </row>
    <row r="697" spans="23:47">
      <c r="W697" s="1" t="s">
        <v>28</v>
      </c>
      <c r="AN697" s="16">
        <f t="shared" ref="AN697:AU697" si="215">AN696/AM696-1</f>
        <v>0.28566614703010829</v>
      </c>
      <c r="AO697" s="16">
        <f t="shared" si="215"/>
        <v>0.24435797600190345</v>
      </c>
      <c r="AP697" s="16">
        <f t="shared" si="215"/>
        <v>-3.6262410267968836E-2</v>
      </c>
      <c r="AQ697" s="16">
        <f t="shared" si="215"/>
        <v>4.2679536960342324E-2</v>
      </c>
      <c r="AR697" s="16">
        <f t="shared" si="215"/>
        <v>7.3016264980043211E-2</v>
      </c>
      <c r="AS697" s="16">
        <f t="shared" si="215"/>
        <v>0.10207904253129008</v>
      </c>
      <c r="AT697" s="16">
        <f t="shared" si="215"/>
        <v>9.6950285096388811E-2</v>
      </c>
      <c r="AU697" s="16">
        <f t="shared" si="215"/>
        <v>9.7776361948659352E-2</v>
      </c>
    </row>
    <row r="699" spans="23:47">
      <c r="W699" s="9" t="s">
        <v>1142</v>
      </c>
      <c r="X699" s="9"/>
      <c r="Y699" s="9"/>
      <c r="Z699" s="9"/>
      <c r="AA699" s="9"/>
      <c r="AB699" s="9"/>
      <c r="AC699" s="9"/>
      <c r="AD699" s="9"/>
      <c r="AE699" s="9"/>
      <c r="AF699" s="9"/>
      <c r="AG699" s="9"/>
      <c r="AH699" s="9"/>
      <c r="AI699" s="9"/>
      <c r="AJ699" s="9"/>
      <c r="AK699" s="9"/>
      <c r="AL699" s="9"/>
      <c r="AM699" s="298">
        <v>16.015227081378654</v>
      </c>
      <c r="AN699" s="298">
        <v>20.981335464135125</v>
      </c>
      <c r="AO699" s="298">
        <v>22.789316640063305</v>
      </c>
      <c r="AP699" s="298">
        <v>19.989005504291484</v>
      </c>
      <c r="AQ699" s="298">
        <v>25.99316191741497</v>
      </c>
      <c r="AR699" s="304">
        <f>AR710+AR707</f>
        <v>30.680462332971132</v>
      </c>
      <c r="AS699" s="304">
        <f>AS710+AS707</f>
        <v>35.579365501029926</v>
      </c>
      <c r="AT699" s="304">
        <f>AT710+AT707</f>
        <v>40.240025763207299</v>
      </c>
      <c r="AU699" s="304">
        <f>AU710+AU707</f>
        <v>45.833448823652454</v>
      </c>
    </row>
    <row r="700" spans="23:47">
      <c r="W700" s="1" t="s">
        <v>1112</v>
      </c>
      <c r="AM700" s="16">
        <f>AM699/AM696</f>
        <v>0.29915639546363088</v>
      </c>
      <c r="AN700" s="16">
        <f>AN699/AN696</f>
        <v>0.30483870627874982</v>
      </c>
      <c r="AO700" s="16">
        <f>AO699/AO696</f>
        <v>0.26608656615372361</v>
      </c>
      <c r="AP700" s="16">
        <f>AP699/AP696</f>
        <v>0.24217205960847679</v>
      </c>
      <c r="AQ700" s="16">
        <f>AQ699/AQ696</f>
        <v>0.30202375967751199</v>
      </c>
      <c r="AR700" s="16">
        <f t="shared" ref="AR700:AU700" si="216">AR699/AR696</f>
        <v>0.33222904061048975</v>
      </c>
      <c r="AS700" s="16">
        <f t="shared" si="216"/>
        <v>0.34959172757826745</v>
      </c>
      <c r="AT700" s="16">
        <f t="shared" si="216"/>
        <v>0.36044105582893632</v>
      </c>
      <c r="AU700" s="16">
        <f t="shared" si="216"/>
        <v>0.37397680401270467</v>
      </c>
    </row>
    <row r="701" spans="23:47">
      <c r="W701" s="1" t="s">
        <v>28</v>
      </c>
      <c r="AN701" s="16">
        <f>AN699/AM699-1</f>
        <v>0.31008666674047358</v>
      </c>
      <c r="AO701" s="16">
        <f>AO699/AN699-1</f>
        <v>8.6170929349024927E-2</v>
      </c>
      <c r="AP701" s="16">
        <f>AP699/AO699-1</f>
        <v>-0.1228782407125325</v>
      </c>
      <c r="AQ701" s="16">
        <f>AQ699/AP699-1</f>
        <v>0.30037294310787188</v>
      </c>
      <c r="AR701" s="16">
        <f t="shared" ref="AR701:AU701" si="217">AR699/AQ699-1</f>
        <v>0.18032821210626748</v>
      </c>
      <c r="AS701" s="16">
        <f t="shared" si="217"/>
        <v>0.15967501124629813</v>
      </c>
      <c r="AT701" s="16">
        <f t="shared" si="217"/>
        <v>0.13099334955938047</v>
      </c>
      <c r="AU701" s="16">
        <f t="shared" si="217"/>
        <v>0.13900147811434538</v>
      </c>
    </row>
    <row r="703" spans="23:47">
      <c r="W703" s="9" t="s">
        <v>1131</v>
      </c>
      <c r="X703" s="9"/>
      <c r="Y703" s="9"/>
      <c r="Z703" s="9"/>
      <c r="AA703" s="9"/>
      <c r="AB703" s="9"/>
      <c r="AC703" s="9"/>
      <c r="AD703" s="9"/>
      <c r="AE703" s="9"/>
      <c r="AF703" s="9"/>
      <c r="AG703" s="9"/>
      <c r="AH703" s="9"/>
      <c r="AI703" s="9"/>
      <c r="AJ703" s="9"/>
      <c r="AK703" s="9"/>
      <c r="AL703" s="9"/>
      <c r="AM703" s="9"/>
      <c r="AN703" s="9"/>
      <c r="AO703" s="9"/>
      <c r="AP703" s="300">
        <f t="shared" ref="AP703:AU703" si="218">AP716+AP707</f>
        <v>24.747937412259411</v>
      </c>
      <c r="AQ703" s="300">
        <f t="shared" si="218"/>
        <v>30.087909918053843</v>
      </c>
      <c r="AR703" s="300">
        <f t="shared" si="218"/>
        <v>34.680462332971132</v>
      </c>
      <c r="AS703" s="300">
        <f t="shared" si="218"/>
        <v>39.579365501029926</v>
      </c>
      <c r="AT703" s="300">
        <f t="shared" si="218"/>
        <v>44.240025763207299</v>
      </c>
      <c r="AU703" s="300">
        <f t="shared" si="218"/>
        <v>49.833448823652454</v>
      </c>
    </row>
    <row r="704" spans="23:47">
      <c r="W704" s="1" t="s">
        <v>1112</v>
      </c>
      <c r="AM704" s="16"/>
      <c r="AN704" s="16"/>
      <c r="AO704" s="16"/>
      <c r="AP704" s="16">
        <f t="shared" ref="AP704:AU704" si="219">AP703/AP696</f>
        <v>0.29982777146676121</v>
      </c>
      <c r="AQ704" s="16">
        <f t="shared" si="219"/>
        <v>0.34960208777834811</v>
      </c>
      <c r="AR704" s="16">
        <f t="shared" si="219"/>
        <v>0.37554377778815684</v>
      </c>
      <c r="AS704" s="16">
        <f t="shared" si="219"/>
        <v>0.38889447765886093</v>
      </c>
      <c r="AT704" s="16">
        <f t="shared" si="219"/>
        <v>0.39627016368785811</v>
      </c>
      <c r="AU704" s="16">
        <f t="shared" si="219"/>
        <v>0.40661469739503403</v>
      </c>
    </row>
    <row r="705" spans="23:47">
      <c r="W705" s="1" t="s">
        <v>28</v>
      </c>
      <c r="AN705" s="16"/>
      <c r="AO705" s="16"/>
      <c r="AP705" s="16"/>
      <c r="AQ705" s="16">
        <f>AQ703/AP703-1</f>
        <v>0.2157744468494236</v>
      </c>
      <c r="AR705" s="16">
        <f>AR703/AQ703-1</f>
        <v>0.15263780127716986</v>
      </c>
      <c r="AS705" s="16">
        <f>AS703/AR703-1</f>
        <v>0.14125830045239463</v>
      </c>
      <c r="AT705" s="16">
        <f>AT703/AS703-1</f>
        <v>0.11775479983518422</v>
      </c>
      <c r="AU705" s="16">
        <f>AU703/AT703-1</f>
        <v>0.12643353985333761</v>
      </c>
    </row>
    <row r="707" spans="23:47">
      <c r="W707" s="1" t="s">
        <v>1114</v>
      </c>
      <c r="AM707" s="103">
        <f>AM699-AM710</f>
        <v>1.9091430682878485</v>
      </c>
      <c r="AN707" s="103">
        <f>AN699-AN710</f>
        <v>2.7969409362594533</v>
      </c>
      <c r="AO707" s="103">
        <f>AO699-AO710</f>
        <v>3.5882767008011491</v>
      </c>
      <c r="AP707" s="103">
        <f>AP699-AP710</f>
        <v>3.4854281323781926</v>
      </c>
      <c r="AQ707" s="103">
        <f>AQ699-AQ710</f>
        <v>2.9662138049796383</v>
      </c>
      <c r="AR707" s="103">
        <f>AR708*AR696</f>
        <v>3.4630245910239408</v>
      </c>
      <c r="AS707" s="103">
        <f>AS708*AS696</f>
        <v>4.0709619472405087</v>
      </c>
      <c r="AT707" s="103">
        <f>AT708*AT696</f>
        <v>4.7447455479321539</v>
      </c>
      <c r="AU707" s="103">
        <f>AU708*AU696</f>
        <v>5.5150618298622973</v>
      </c>
    </row>
    <row r="708" spans="23:47">
      <c r="W708" s="1" t="s">
        <v>1115</v>
      </c>
      <c r="AM708" s="16">
        <f>AM707/AM696</f>
        <v>3.566183331845732E-2</v>
      </c>
      <c r="AN708" s="16">
        <f>AN707/AN696</f>
        <v>4.0636872614941186E-2</v>
      </c>
      <c r="AO708" s="16">
        <f>AO707/AO696</f>
        <v>4.1896483374454438E-2</v>
      </c>
      <c r="AP708" s="16">
        <f>AP707/AP696</f>
        <v>4.2226878633563718E-2</v>
      </c>
      <c r="AQ708" s="16">
        <f>AQ707/AQ696</f>
        <v>3.4465489355762963E-2</v>
      </c>
      <c r="AR708" s="303">
        <v>3.7499999999999999E-2</v>
      </c>
      <c r="AS708" s="303">
        <f>AR708+0.25%</f>
        <v>0.04</v>
      </c>
      <c r="AT708" s="303">
        <f>AS708+0.25%</f>
        <v>4.2500000000000003E-2</v>
      </c>
      <c r="AU708" s="303">
        <f>AT708+0.25%</f>
        <v>4.5000000000000005E-2</v>
      </c>
    </row>
    <row r="710" spans="23:47">
      <c r="W710" s="9" t="s">
        <v>1139</v>
      </c>
      <c r="X710" s="9"/>
      <c r="Y710" s="9"/>
      <c r="Z710" s="9"/>
      <c r="AA710" s="9"/>
      <c r="AB710" s="9"/>
      <c r="AC710" s="9"/>
      <c r="AD710" s="9"/>
      <c r="AE710" s="9"/>
      <c r="AF710" s="9"/>
      <c r="AG710" s="9"/>
      <c r="AH710" s="9"/>
      <c r="AI710" s="9"/>
      <c r="AJ710" s="9"/>
      <c r="AK710" s="9"/>
      <c r="AL710" s="9"/>
      <c r="AM710" s="298">
        <v>14.106084013090806</v>
      </c>
      <c r="AN710" s="298">
        <v>18.184394527875671</v>
      </c>
      <c r="AO710" s="298">
        <v>19.201039939262156</v>
      </c>
      <c r="AP710" s="298">
        <v>16.503577371913291</v>
      </c>
      <c r="AQ710" s="298">
        <v>23.026948112435331</v>
      </c>
      <c r="AR710" s="304">
        <f>AR716-AR714</f>
        <v>27.21743774194719</v>
      </c>
      <c r="AS710" s="304">
        <f t="shared" ref="AS710:AU710" si="220">AS716-AS714</f>
        <v>31.508403553789421</v>
      </c>
      <c r="AT710" s="304">
        <f t="shared" si="220"/>
        <v>35.495280215275145</v>
      </c>
      <c r="AU710" s="304">
        <f t="shared" si="220"/>
        <v>40.318386993790156</v>
      </c>
    </row>
    <row r="711" spans="23:47">
      <c r="W711" s="1" t="s">
        <v>1118</v>
      </c>
      <c r="AM711" s="16">
        <f t="shared" ref="AM711:AU711" si="221">AM710/AM696</f>
        <v>0.26349456214517353</v>
      </c>
      <c r="AN711" s="16">
        <f t="shared" si="221"/>
        <v>0.26420183366380862</v>
      </c>
      <c r="AO711" s="16">
        <f t="shared" si="221"/>
        <v>0.22419008277926919</v>
      </c>
      <c r="AP711" s="16">
        <f t="shared" si="221"/>
        <v>0.19994518097491307</v>
      </c>
      <c r="AQ711" s="16">
        <f t="shared" si="221"/>
        <v>0.26755827032174906</v>
      </c>
      <c r="AR711" s="16">
        <f t="shared" si="221"/>
        <v>0.29472904061048971</v>
      </c>
      <c r="AS711" s="16">
        <f t="shared" si="221"/>
        <v>0.30959172757826747</v>
      </c>
      <c r="AT711" s="16">
        <f t="shared" si="221"/>
        <v>0.31794105582893628</v>
      </c>
      <c r="AU711" s="16">
        <f t="shared" si="221"/>
        <v>0.32897680401270468</v>
      </c>
    </row>
    <row r="712" spans="23:47">
      <c r="W712" s="1" t="s">
        <v>28</v>
      </c>
      <c r="AN712" s="16">
        <f t="shared" ref="AN712:AU712" si="222">AN710/AM710-1</f>
        <v>0.28911712924721633</v>
      </c>
      <c r="AO712" s="16">
        <f t="shared" si="222"/>
        <v>5.5907575576850999E-2</v>
      </c>
      <c r="AP712" s="16">
        <f t="shared" si="222"/>
        <v>-0.14048523287705428</v>
      </c>
      <c r="AQ712" s="16">
        <f t="shared" si="222"/>
        <v>0.39527010377906779</v>
      </c>
      <c r="AR712" s="16">
        <f t="shared" si="222"/>
        <v>0.18198198081007755</v>
      </c>
      <c r="AS712" s="16">
        <f t="shared" si="222"/>
        <v>0.15765502441947521</v>
      </c>
      <c r="AT712" s="16">
        <f t="shared" si="222"/>
        <v>0.12653375645260945</v>
      </c>
      <c r="AU712" s="16">
        <f t="shared" si="222"/>
        <v>0.13588022828002422</v>
      </c>
    </row>
    <row r="714" spans="23:47">
      <c r="W714" s="1" t="s">
        <v>1140</v>
      </c>
      <c r="AO714" s="103"/>
      <c r="AP714" s="103">
        <f>AP716-AP710</f>
        <v>4.7589319079679271</v>
      </c>
      <c r="AQ714" s="103">
        <f>AQ716-AQ710</f>
        <v>4.094748000638873</v>
      </c>
      <c r="AR714" s="301">
        <v>4</v>
      </c>
      <c r="AS714" s="301">
        <v>4</v>
      </c>
      <c r="AT714" s="301">
        <v>4</v>
      </c>
      <c r="AU714" s="301">
        <v>4</v>
      </c>
    </row>
    <row r="715" spans="23:47">
      <c r="AQ715" s="263" t="s">
        <v>1141</v>
      </c>
    </row>
    <row r="716" spans="23:47">
      <c r="W716" s="9" t="s">
        <v>1135</v>
      </c>
      <c r="X716" s="9"/>
      <c r="Y716" s="9"/>
      <c r="Z716" s="9"/>
      <c r="AA716" s="9"/>
      <c r="AB716" s="9"/>
      <c r="AC716" s="9"/>
      <c r="AD716" s="9"/>
      <c r="AE716" s="9"/>
      <c r="AF716" s="9"/>
      <c r="AG716" s="9"/>
      <c r="AH716" s="9"/>
      <c r="AI716" s="9"/>
      <c r="AJ716" s="9"/>
      <c r="AK716" s="9"/>
      <c r="AL716" s="9"/>
      <c r="AM716" s="300"/>
      <c r="AN716" s="300"/>
      <c r="AO716" s="300"/>
      <c r="AP716" s="298">
        <v>21.262509279881218</v>
      </c>
      <c r="AQ716" s="298">
        <v>27.121696113074204</v>
      </c>
      <c r="AR716" s="302">
        <v>31.21743774194719</v>
      </c>
      <c r="AS716" s="302">
        <v>35.508403553789421</v>
      </c>
      <c r="AT716" s="302">
        <v>39.495280215275145</v>
      </c>
      <c r="AU716" s="302">
        <v>44.318386993790156</v>
      </c>
    </row>
    <row r="717" spans="23:47">
      <c r="W717" s="1" t="s">
        <v>1118</v>
      </c>
      <c r="AM717" s="16"/>
      <c r="AN717" s="16"/>
      <c r="AO717" s="16"/>
      <c r="AP717" s="16">
        <f t="shared" ref="AP717:AU717" si="223">AP716/AP696</f>
        <v>0.25760089283319748</v>
      </c>
      <c r="AQ717" s="16">
        <f t="shared" si="223"/>
        <v>0.31513659842258518</v>
      </c>
      <c r="AR717" s="16">
        <f t="shared" si="223"/>
        <v>0.33804377778815681</v>
      </c>
      <c r="AS717" s="16">
        <f t="shared" si="223"/>
        <v>0.348894477658861</v>
      </c>
      <c r="AT717" s="16">
        <f t="shared" si="223"/>
        <v>0.35377016368785807</v>
      </c>
      <c r="AU717" s="16">
        <f t="shared" si="223"/>
        <v>0.36161469739503405</v>
      </c>
    </row>
    <row r="718" spans="23:47">
      <c r="W718" s="1" t="s">
        <v>28</v>
      </c>
      <c r="AN718" s="16"/>
      <c r="AO718" s="16"/>
      <c r="AP718" s="16"/>
      <c r="AQ718" s="16">
        <f>AQ716/AP716-1</f>
        <v>0.27556422226877064</v>
      </c>
      <c r="AR718" s="16">
        <f>AR716/AQ716-1</f>
        <v>0.15101347687833599</v>
      </c>
      <c r="AS718" s="16">
        <f>AS716/AR716-1</f>
        <v>0.13745413212040836</v>
      </c>
      <c r="AT718" s="16">
        <f>AT716/AS716-1</f>
        <v>0.11227980597455645</v>
      </c>
      <c r="AU718" s="16">
        <f>AU716/AT716-1</f>
        <v>0.12211856080589678</v>
      </c>
    </row>
    <row r="720" spans="23:47">
      <c r="AP720" s="1" t="s">
        <v>912</v>
      </c>
      <c r="AR720" s="301">
        <v>415</v>
      </c>
    </row>
    <row r="721" spans="23:47">
      <c r="AP721" s="1" t="s">
        <v>1124</v>
      </c>
      <c r="AR721" s="301">
        <v>-13.2</v>
      </c>
      <c r="AS721" s="262" t="s">
        <v>1126</v>
      </c>
    </row>
    <row r="722" spans="23:47">
      <c r="AP722" s="9" t="s">
        <v>1125</v>
      </c>
      <c r="AQ722" s="9"/>
      <c r="AR722" s="300">
        <f>SUM(AR720:AR721)</f>
        <v>401.8</v>
      </c>
    </row>
    <row r="724" spans="23:47">
      <c r="AP724" s="1" t="s">
        <v>1136</v>
      </c>
      <c r="AQ724" s="167">
        <f>$AR$722/AQ696</f>
        <v>4.6686565883744917</v>
      </c>
      <c r="AR724" s="167">
        <f>$AR$722/AR696</f>
        <v>4.3509653494966578</v>
      </c>
      <c r="AS724" s="167">
        <f>$AR$722/AS696</f>
        <v>3.9479612455956179</v>
      </c>
      <c r="AT724" s="167">
        <f>$AR$722/AT696</f>
        <v>3.599033884428692</v>
      </c>
      <c r="AU724" s="167">
        <f>$AR$722/AU696</f>
        <v>3.2784763902549861</v>
      </c>
    </row>
    <row r="725" spans="23:47">
      <c r="AP725" s="1" t="s">
        <v>1128</v>
      </c>
      <c r="AQ725" s="167">
        <f>$AR$722/AQ703</f>
        <v>13.354201109160639</v>
      </c>
      <c r="AR725" s="167">
        <f t="shared" ref="AR725:AU725" si="224">$AR$722/AR703</f>
        <v>11.585774034448322</v>
      </c>
      <c r="AS725" s="167">
        <f t="shared" si="224"/>
        <v>10.151754453707563</v>
      </c>
      <c r="AT725" s="167">
        <f t="shared" si="224"/>
        <v>9.0822731919419759</v>
      </c>
      <c r="AU725" s="167">
        <f t="shared" si="224"/>
        <v>8.0628575682543104</v>
      </c>
    </row>
    <row r="726" spans="23:47">
      <c r="AP726" s="1" t="s">
        <v>1129</v>
      </c>
      <c r="AQ726" s="167">
        <f>$AR$722/AQ716</f>
        <v>14.81470769102488</v>
      </c>
      <c r="AR726" s="167">
        <f t="shared" ref="AR726:AU726" si="225">$AR$722/AR716</f>
        <v>12.871011494325726</v>
      </c>
      <c r="AS726" s="167">
        <f t="shared" si="225"/>
        <v>11.315631224910993</v>
      </c>
      <c r="AT726" s="167">
        <f t="shared" si="225"/>
        <v>10.173367496316695</v>
      </c>
      <c r="AU726" s="167">
        <f t="shared" si="225"/>
        <v>9.0662144372785907</v>
      </c>
    </row>
    <row r="728" spans="23:47">
      <c r="W728" s="3" t="s">
        <v>1121</v>
      </c>
    </row>
    <row r="730" spans="23:47">
      <c r="W730" s="9" t="s">
        <v>1111</v>
      </c>
      <c r="X730" s="9"/>
      <c r="Y730" s="9"/>
      <c r="Z730" s="9"/>
      <c r="AA730" s="9"/>
      <c r="AB730" s="9"/>
      <c r="AC730" s="9"/>
      <c r="AD730" s="9"/>
      <c r="AE730" s="9"/>
      <c r="AF730" s="9"/>
      <c r="AG730" s="9"/>
      <c r="AH730" s="9"/>
      <c r="AI730" s="9"/>
      <c r="AJ730" s="9"/>
      <c r="AK730" s="9"/>
      <c r="AL730" s="9"/>
      <c r="AM730" s="298">
        <v>83.531416486798705</v>
      </c>
      <c r="AN730" s="298">
        <v>108.16510988561942</v>
      </c>
      <c r="AO730" s="298">
        <v>147.52972142012396</v>
      </c>
      <c r="AP730" s="298">
        <v>155.72363614070233</v>
      </c>
      <c r="AQ730" s="298">
        <v>153.2796283057088</v>
      </c>
      <c r="AR730" s="302">
        <v>160.07124154112833</v>
      </c>
      <c r="AS730" s="302">
        <v>169.84355527209703</v>
      </c>
      <c r="AT730" s="302">
        <v>179.23285465478375</v>
      </c>
      <c r="AU730" s="302">
        <v>186.17130003705714</v>
      </c>
    </row>
    <row r="731" spans="23:47">
      <c r="W731" s="1" t="s">
        <v>28</v>
      </c>
      <c r="AN731" s="16">
        <f t="shared" ref="AN731:AU731" si="226">AN730/AM730-1</f>
        <v>0.29490333619224351</v>
      </c>
      <c r="AO731" s="16">
        <f t="shared" si="226"/>
        <v>0.3639307682128845</v>
      </c>
      <c r="AP731" s="16">
        <f t="shared" si="226"/>
        <v>5.5540772677556527E-2</v>
      </c>
      <c r="AQ731" s="16">
        <f t="shared" si="226"/>
        <v>-1.5694520726354466E-2</v>
      </c>
      <c r="AR731" s="16">
        <f t="shared" si="226"/>
        <v>4.4308648908477188E-2</v>
      </c>
      <c r="AS731" s="16">
        <f t="shared" si="226"/>
        <v>6.104977781694676E-2</v>
      </c>
      <c r="AT731" s="16">
        <f t="shared" si="226"/>
        <v>5.5282046867451751E-2</v>
      </c>
      <c r="AU731" s="16">
        <f t="shared" si="226"/>
        <v>3.8711905781098954E-2</v>
      </c>
    </row>
    <row r="733" spans="23:47">
      <c r="W733" s="9" t="s">
        <v>1132</v>
      </c>
      <c r="X733" s="9"/>
      <c r="Y733" s="9"/>
      <c r="Z733" s="9"/>
      <c r="AA733" s="9"/>
      <c r="AB733" s="9"/>
      <c r="AC733" s="9"/>
      <c r="AD733" s="9"/>
      <c r="AE733" s="9"/>
      <c r="AF733" s="9"/>
      <c r="AG733" s="9"/>
      <c r="AH733" s="9"/>
      <c r="AI733" s="9"/>
      <c r="AJ733" s="9"/>
      <c r="AK733" s="9"/>
      <c r="AL733" s="9"/>
      <c r="AM733" s="298">
        <v>1.5837851255921498</v>
      </c>
      <c r="AN733" s="298">
        <v>2.4310253551247554</v>
      </c>
      <c r="AO733" s="298">
        <v>1.4892627344089806</v>
      </c>
      <c r="AP733" s="298">
        <v>3.8073729182318004</v>
      </c>
      <c r="AQ733" s="298">
        <v>5.2572218186208959</v>
      </c>
      <c r="AR733" s="304">
        <f>AR739-AR737</f>
        <v>5.7411821622640336</v>
      </c>
      <c r="AS733" s="304">
        <f>AS739-AS737</f>
        <v>6.4813301751604735</v>
      </c>
      <c r="AT733" s="304">
        <f>AT739-AT737</f>
        <v>7.428893064612561</v>
      </c>
      <c r="AU733" s="304">
        <f>AU739-AU737</f>
        <v>8.4139606829949116</v>
      </c>
    </row>
    <row r="734" spans="23:47">
      <c r="W734" s="1" t="s">
        <v>1112</v>
      </c>
      <c r="AM734" s="16">
        <f>AM733/AM730</f>
        <v>1.8960352789449596E-2</v>
      </c>
      <c r="AN734" s="16">
        <f>AN733/AN730</f>
        <v>2.2475134150887234E-2</v>
      </c>
      <c r="AO734" s="16">
        <f>AO733/AO730</f>
        <v>1.0094662418347358E-2</v>
      </c>
      <c r="AP734" s="16">
        <f>AP733/AP730</f>
        <v>2.4449550579410385E-2</v>
      </c>
      <c r="AQ734" s="16">
        <f>AQ733/AQ730</f>
        <v>3.4298242217391223E-2</v>
      </c>
      <c r="AR734" s="16">
        <f t="shared" ref="AR734:AU734" si="227">AR733/AR730</f>
        <v>3.5866418645780961E-2</v>
      </c>
      <c r="AS734" s="16">
        <f t="shared" si="227"/>
        <v>3.8160589401093792E-2</v>
      </c>
      <c r="AT734" s="16">
        <f t="shared" si="227"/>
        <v>4.1448277320144118E-2</v>
      </c>
      <c r="AU734" s="16">
        <f t="shared" si="227"/>
        <v>4.5194724865326309E-2</v>
      </c>
    </row>
    <row r="735" spans="23:47">
      <c r="W735" s="1" t="s">
        <v>28</v>
      </c>
      <c r="AN735" s="16">
        <f>AN733/AM733-1</f>
        <v>0.53494644939024605</v>
      </c>
      <c r="AO735" s="16">
        <f>AO733/AN733-1</f>
        <v>-0.38739317084064118</v>
      </c>
      <c r="AP735" s="16">
        <f>AP733/AO733-1</f>
        <v>1.5565488414257342</v>
      </c>
      <c r="AQ735" s="16">
        <f>AQ733/AP733-1</f>
        <v>0.38080033963744908</v>
      </c>
      <c r="AR735" s="16">
        <f t="shared" ref="AR735:AU735" si="228">AR733/AQ733-1</f>
        <v>9.205629139119953E-2</v>
      </c>
      <c r="AS735" s="16">
        <f t="shared" si="228"/>
        <v>0.12891909575023175</v>
      </c>
      <c r="AT735" s="16">
        <f t="shared" si="228"/>
        <v>0.1461988301542787</v>
      </c>
      <c r="AU735" s="16">
        <f t="shared" si="228"/>
        <v>0.13259951513835988</v>
      </c>
    </row>
    <row r="737" spans="23:47">
      <c r="W737" s="1" t="s">
        <v>1133</v>
      </c>
      <c r="AO737" s="103">
        <f>AO739-AO733</f>
        <v>1.4547102670542269</v>
      </c>
      <c r="AP737" s="103">
        <f>AP739-AP733</f>
        <v>1.0639647352569424</v>
      </c>
      <c r="AQ737" s="103">
        <f>AQ739-AQ733</f>
        <v>0.7398059429897641</v>
      </c>
      <c r="AR737" s="301">
        <v>0.75</v>
      </c>
      <c r="AS737" s="301">
        <v>0.75</v>
      </c>
      <c r="AT737" s="301">
        <v>0.75</v>
      </c>
      <c r="AU737" s="301">
        <v>0.75</v>
      </c>
    </row>
    <row r="738" spans="23:47">
      <c r="AQ738" s="263" t="s">
        <v>1141</v>
      </c>
    </row>
    <row r="739" spans="23:47">
      <c r="W739" s="9" t="s">
        <v>1131</v>
      </c>
      <c r="X739" s="9"/>
      <c r="Y739" s="9"/>
      <c r="Z739" s="9"/>
      <c r="AA739" s="9"/>
      <c r="AB739" s="9"/>
      <c r="AC739" s="9"/>
      <c r="AD739" s="9"/>
      <c r="AE739" s="9"/>
      <c r="AF739" s="9"/>
      <c r="AG739" s="9"/>
      <c r="AH739" s="9"/>
      <c r="AI739" s="9"/>
      <c r="AJ739" s="9"/>
      <c r="AK739" s="9"/>
      <c r="AL739" s="9"/>
      <c r="AM739" s="9"/>
      <c r="AN739" s="9"/>
      <c r="AO739" s="298">
        <v>2.9439730014632075</v>
      </c>
      <c r="AP739" s="298">
        <v>4.8713376534887427</v>
      </c>
      <c r="AQ739" s="298">
        <v>5.99702776161066</v>
      </c>
      <c r="AR739" s="302">
        <v>6.4911821622640336</v>
      </c>
      <c r="AS739" s="302">
        <v>7.2313301751604735</v>
      </c>
      <c r="AT739" s="302">
        <v>8.178893064612561</v>
      </c>
      <c r="AU739" s="302">
        <v>9.1639606829949116</v>
      </c>
    </row>
    <row r="740" spans="23:47">
      <c r="W740" s="1" t="s">
        <v>1112</v>
      </c>
      <c r="AM740" s="16"/>
      <c r="AN740" s="16"/>
      <c r="AO740" s="16">
        <f>AO739/AO730</f>
        <v>1.9955118013675253E-2</v>
      </c>
      <c r="AP740" s="16">
        <f>AP739/AP730</f>
        <v>3.1281941355949978E-2</v>
      </c>
      <c r="AQ740" s="16">
        <f t="shared" ref="AQ740:AU740" si="229">AQ739/AQ730</f>
        <v>3.9124754071362164E-2</v>
      </c>
      <c r="AR740" s="16">
        <f t="shared" si="229"/>
        <v>4.0551832420167772E-2</v>
      </c>
      <c r="AS740" s="16">
        <f t="shared" si="229"/>
        <v>4.2576417830959536E-2</v>
      </c>
      <c r="AT740" s="16">
        <f t="shared" si="229"/>
        <v>4.5632777987974008E-2</v>
      </c>
      <c r="AU740" s="16">
        <f t="shared" si="229"/>
        <v>4.9223272766376121E-2</v>
      </c>
    </row>
    <row r="741" spans="23:47">
      <c r="W741" s="1" t="s">
        <v>28</v>
      </c>
      <c r="AN741" s="16"/>
      <c r="AO741" s="16"/>
      <c r="AP741" s="16">
        <f t="shared" ref="AP741:AU741" si="230">AP739/AO739-1</f>
        <v>0.6546814971019097</v>
      </c>
      <c r="AQ741" s="16">
        <f t="shared" si="230"/>
        <v>0.23108439369127365</v>
      </c>
      <c r="AR741" s="16">
        <f t="shared" si="230"/>
        <v>8.2399885459368827E-2</v>
      </c>
      <c r="AS741" s="16">
        <f t="shared" si="230"/>
        <v>0.1140236083958992</v>
      </c>
      <c r="AT741" s="16">
        <f t="shared" si="230"/>
        <v>0.13103576610385659</v>
      </c>
      <c r="AU741" s="16">
        <f t="shared" si="230"/>
        <v>0.12044021245911884</v>
      </c>
    </row>
    <row r="743" spans="23:47">
      <c r="W743" s="1" t="s">
        <v>1114</v>
      </c>
      <c r="AM743" s="103">
        <f>AM733-AM746</f>
        <v>0.84387453939943757</v>
      </c>
      <c r="AN743" s="103">
        <f>AN733-AN746</f>
        <v>0.880053803537586</v>
      </c>
      <c r="AO743" s="103">
        <f>AO733-AO746</f>
        <v>0.96617586517143106</v>
      </c>
      <c r="AP743" s="103">
        <f>AP733-AP746</f>
        <v>1.0770191726475882</v>
      </c>
      <c r="AQ743" s="103">
        <f>AQ733-AQ746</f>
        <v>1.171788702758036</v>
      </c>
      <c r="AR743" s="301">
        <v>1.25</v>
      </c>
      <c r="AS743" s="301">
        <v>1.25</v>
      </c>
      <c r="AT743" s="301">
        <v>1.25</v>
      </c>
      <c r="AU743" s="301">
        <v>1.25</v>
      </c>
    </row>
    <row r="744" spans="23:47">
      <c r="W744" s="1" t="s">
        <v>1115</v>
      </c>
      <c r="AM744" s="16">
        <f>AM743/AM730</f>
        <v>1.0102480897505232E-2</v>
      </c>
      <c r="AN744" s="16">
        <f>AN743/AN730</f>
        <v>8.1362077334198625E-3</v>
      </c>
      <c r="AO744" s="16">
        <f>AO743/AO730</f>
        <v>6.5490252124860227E-3</v>
      </c>
      <c r="AP744" s="16">
        <f>AP743/AP730</f>
        <v>6.9162215790701141E-3</v>
      </c>
      <c r="AQ744" s="16">
        <f>AQ743/AQ730</f>
        <v>7.6447778201873002E-3</v>
      </c>
      <c r="AR744" s="16">
        <f t="shared" ref="AR744:AU744" si="231">AR743/AR730</f>
        <v>7.8090229573113418E-3</v>
      </c>
      <c r="AS744" s="16">
        <f t="shared" si="231"/>
        <v>7.3597140497762403E-3</v>
      </c>
      <c r="AT744" s="16">
        <f t="shared" si="231"/>
        <v>6.9741677797164814E-3</v>
      </c>
      <c r="AU744" s="16">
        <f t="shared" si="231"/>
        <v>6.7142465017496749E-3</v>
      </c>
    </row>
    <row r="746" spans="23:47">
      <c r="W746" s="9" t="s">
        <v>1134</v>
      </c>
      <c r="X746" s="9"/>
      <c r="Y746" s="9"/>
      <c r="Z746" s="9"/>
      <c r="AA746" s="9"/>
      <c r="AB746" s="9"/>
      <c r="AC746" s="9"/>
      <c r="AD746" s="9"/>
      <c r="AE746" s="9"/>
      <c r="AF746" s="9"/>
      <c r="AG746" s="9"/>
      <c r="AH746" s="9"/>
      <c r="AI746" s="9"/>
      <c r="AJ746" s="9"/>
      <c r="AK746" s="9"/>
      <c r="AL746" s="9"/>
      <c r="AM746" s="298">
        <v>0.73991058619271222</v>
      </c>
      <c r="AN746" s="298">
        <v>1.5509715515871694</v>
      </c>
      <c r="AO746" s="298">
        <v>0.52308686923754955</v>
      </c>
      <c r="AP746" s="298">
        <v>2.7303537455842122</v>
      </c>
      <c r="AQ746" s="298">
        <v>4.0854331158628598</v>
      </c>
      <c r="AR746" s="300">
        <f>AR733-AR743</f>
        <v>4.4911821622640336</v>
      </c>
      <c r="AS746" s="300">
        <f t="shared" ref="AS746:AU746" si="232">AS733-AS743</f>
        <v>5.2313301751604735</v>
      </c>
      <c r="AT746" s="300">
        <f t="shared" si="232"/>
        <v>6.178893064612561</v>
      </c>
      <c r="AU746" s="300">
        <f t="shared" si="232"/>
        <v>7.1639606829949116</v>
      </c>
    </row>
    <row r="747" spans="23:47">
      <c r="W747" s="1" t="s">
        <v>1118</v>
      </c>
      <c r="AM747" s="16">
        <f>AM746/AM730</f>
        <v>8.8578718919443637E-3</v>
      </c>
      <c r="AN747" s="16">
        <f>AN746/AN730</f>
        <v>1.4338926417467372E-2</v>
      </c>
      <c r="AO747" s="16">
        <f>AO746/AO730</f>
        <v>3.5456372058613357E-3</v>
      </c>
      <c r="AP747" s="16">
        <f>AP746/AP730</f>
        <v>1.753332900034027E-2</v>
      </c>
      <c r="AQ747" s="16">
        <f>AQ746/AQ730</f>
        <v>2.6653464397203921E-2</v>
      </c>
      <c r="AR747" s="16">
        <f t="shared" ref="AR747:AU747" si="233">AR746/AR730</f>
        <v>2.8057395688469624E-2</v>
      </c>
      <c r="AS747" s="16">
        <f t="shared" si="233"/>
        <v>3.080087535131755E-2</v>
      </c>
      <c r="AT747" s="16">
        <f t="shared" si="233"/>
        <v>3.4474109540427643E-2</v>
      </c>
      <c r="AU747" s="16">
        <f t="shared" si="233"/>
        <v>3.848047836357664E-2</v>
      </c>
    </row>
    <row r="748" spans="23:47">
      <c r="W748" s="1" t="s">
        <v>28</v>
      </c>
      <c r="AN748" s="16">
        <f>AN746/AM746-1</f>
        <v>1.0961607801394715</v>
      </c>
      <c r="AO748" s="16">
        <f>AO746/AN746-1</f>
        <v>-0.6627360000882967</v>
      </c>
      <c r="AP748" s="16">
        <f>AP746/AO746-1</f>
        <v>4.2196946743548942</v>
      </c>
      <c r="AQ748" s="16">
        <f>AQ746/AP746-1</f>
        <v>0.49630176033790896</v>
      </c>
      <c r="AR748" s="16">
        <f t="shared" ref="AR748:AU748" si="234">AR746/AQ746-1</f>
        <v>9.9316041872216099E-2</v>
      </c>
      <c r="AS748" s="16">
        <f t="shared" si="234"/>
        <v>0.16480026553261129</v>
      </c>
      <c r="AT748" s="16">
        <f t="shared" si="234"/>
        <v>0.18113230435183159</v>
      </c>
      <c r="AU748" s="16">
        <f t="shared" si="234"/>
        <v>0.15942461021440546</v>
      </c>
    </row>
    <row r="750" spans="23:47">
      <c r="W750" s="9" t="s">
        <v>1135</v>
      </c>
      <c r="X750" s="9"/>
      <c r="Y750" s="9"/>
      <c r="Z750" s="9"/>
      <c r="AA750" s="9"/>
      <c r="AB750" s="9"/>
      <c r="AC750" s="9"/>
      <c r="AD750" s="9"/>
      <c r="AE750" s="9"/>
      <c r="AF750" s="9"/>
      <c r="AG750" s="9"/>
      <c r="AH750" s="9"/>
      <c r="AI750" s="9"/>
      <c r="AJ750" s="9"/>
      <c r="AK750" s="9"/>
      <c r="AL750" s="9"/>
      <c r="AM750" s="9"/>
      <c r="AN750" s="9"/>
      <c r="AO750" s="304">
        <f t="shared" ref="AO750:AU750" si="235">AO739-AO743</f>
        <v>1.9777971362917763</v>
      </c>
      <c r="AP750" s="304">
        <f t="shared" si="235"/>
        <v>3.7943184808411545</v>
      </c>
      <c r="AQ750" s="304">
        <f t="shared" si="235"/>
        <v>4.8252390588526239</v>
      </c>
      <c r="AR750" s="304">
        <f t="shared" si="235"/>
        <v>5.2411821622640336</v>
      </c>
      <c r="AS750" s="304">
        <f t="shared" si="235"/>
        <v>5.9813301751604735</v>
      </c>
      <c r="AT750" s="304">
        <f t="shared" si="235"/>
        <v>6.928893064612561</v>
      </c>
      <c r="AU750" s="304">
        <f t="shared" si="235"/>
        <v>7.9139606829949116</v>
      </c>
    </row>
    <row r="751" spans="23:47">
      <c r="W751" s="1" t="s">
        <v>1118</v>
      </c>
      <c r="AM751" s="16"/>
      <c r="AN751" s="16"/>
      <c r="AO751" s="16">
        <f>AO750/AO730</f>
        <v>1.3406092801189229E-2</v>
      </c>
      <c r="AP751" s="16">
        <f t="shared" ref="AP751:AU751" si="236">AP750/AP730</f>
        <v>2.4365719776879863E-2</v>
      </c>
      <c r="AQ751" s="16">
        <f t="shared" si="236"/>
        <v>3.1479976251174865E-2</v>
      </c>
      <c r="AR751" s="16">
        <f t="shared" si="236"/>
        <v>3.2742809462856425E-2</v>
      </c>
      <c r="AS751" s="16">
        <f t="shared" si="236"/>
        <v>3.5216703781183294E-2</v>
      </c>
      <c r="AT751" s="16">
        <f t="shared" si="236"/>
        <v>3.8658610208257532E-2</v>
      </c>
      <c r="AU751" s="16">
        <f t="shared" si="236"/>
        <v>4.2509026264626444E-2</v>
      </c>
    </row>
    <row r="752" spans="23:47">
      <c r="W752" s="1" t="s">
        <v>28</v>
      </c>
      <c r="AN752" s="16"/>
      <c r="AO752" s="16"/>
      <c r="AP752" s="16">
        <f t="shared" ref="AP752:AU752" si="237">AP750/AO750-1</f>
        <v>0.91845685850027148</v>
      </c>
      <c r="AQ752" s="16">
        <f t="shared" si="237"/>
        <v>0.27170111924366624</v>
      </c>
      <c r="AR752" s="16">
        <f t="shared" si="237"/>
        <v>8.6201553609722037E-2</v>
      </c>
      <c r="AS752" s="16">
        <f t="shared" si="237"/>
        <v>0.14121776156254007</v>
      </c>
      <c r="AT752" s="16">
        <f t="shared" si="237"/>
        <v>0.15842009414346792</v>
      </c>
      <c r="AU752" s="16">
        <f t="shared" si="237"/>
        <v>0.1421681081229722</v>
      </c>
    </row>
    <row r="754" spans="42:47">
      <c r="AP754" s="1" t="s">
        <v>912</v>
      </c>
      <c r="AR754" s="301">
        <v>41.65</v>
      </c>
    </row>
    <row r="755" spans="42:47">
      <c r="AP755" s="1" t="s">
        <v>1124</v>
      </c>
      <c r="AR755" s="301">
        <v>-22.5</v>
      </c>
      <c r="AS755" s="262" t="s">
        <v>1126</v>
      </c>
    </row>
    <row r="756" spans="42:47">
      <c r="AP756" s="9" t="s">
        <v>1125</v>
      </c>
      <c r="AQ756" s="9"/>
      <c r="AR756" s="300">
        <f>SUM(AR754:AR755)</f>
        <v>19.149999999999999</v>
      </c>
    </row>
    <row r="758" spans="42:47">
      <c r="AP758" s="1" t="s">
        <v>1136</v>
      </c>
      <c r="AQ758" s="167">
        <f>$AR$756/AQ730</f>
        <v>0.12493506287610674</v>
      </c>
      <c r="AR758" s="167">
        <f>$AR$756/AR730</f>
        <v>0.11963423170600974</v>
      </c>
      <c r="AS758" s="167">
        <f>$AR$756/AS730</f>
        <v>0.11275081924257199</v>
      </c>
      <c r="AT758" s="167">
        <f>$AR$756/AT730</f>
        <v>0.10684425038525648</v>
      </c>
      <c r="AU758" s="167">
        <f>$AR$756/AU730</f>
        <v>0.10286225640680501</v>
      </c>
    </row>
    <row r="759" spans="42:47">
      <c r="AP759" s="1" t="s">
        <v>1128</v>
      </c>
      <c r="AQ759" s="167">
        <f>$AR$756/AQ739</f>
        <v>3.1932485159709785</v>
      </c>
      <c r="AR759" s="167">
        <f>$AR$756/AR739</f>
        <v>2.9501559995230124</v>
      </c>
      <c r="AS759" s="167">
        <f>$AR$756/AS739</f>
        <v>2.6481988148985374</v>
      </c>
      <c r="AT759" s="167">
        <f>$AR$756/AT739</f>
        <v>2.3413926369640272</v>
      </c>
      <c r="AU759" s="167">
        <f>$AR$756/AU739</f>
        <v>2.0897077871073435</v>
      </c>
    </row>
    <row r="760" spans="42:47">
      <c r="AP760" s="1" t="s">
        <v>1129</v>
      </c>
      <c r="AQ760" s="167">
        <f>$AR$756/AQ750</f>
        <v>3.9687152836223638</v>
      </c>
      <c r="AR760" s="167">
        <f t="shared" ref="AR760:AU760" si="238">$AR$756/AR750</f>
        <v>3.6537558526162299</v>
      </c>
      <c r="AS760" s="167">
        <f t="shared" si="238"/>
        <v>3.2016289753618596</v>
      </c>
      <c r="AT760" s="167">
        <f t="shared" si="238"/>
        <v>2.7637892259881194</v>
      </c>
      <c r="AU760" s="167">
        <f t="shared" si="238"/>
        <v>2.4197744678146402</v>
      </c>
    </row>
  </sheetData>
  <pageMargins left="0.7" right="0.7" top="0.75" bottom="0.75" header="0.3" footer="0.3"/>
  <pageSetup orientation="portrait"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ABA21-A677-46D2-9A62-AFC356466891}">
  <sheetPr codeName="Sheet12"/>
  <dimension ref="A1:BZ421"/>
  <sheetViews>
    <sheetView zoomScale="90" zoomScaleNormal="90" workbookViewId="0">
      <pane xSplit="8" ySplit="2" topLeftCell="AS123" activePane="bottomRight" state="frozen"/>
      <selection activeCell="AO44" sqref="AO44:AS44"/>
      <selection pane="topRight" activeCell="AO44" sqref="AO44:AS44"/>
      <selection pane="bottomLeft" activeCell="AO44" sqref="AO44:AS44"/>
      <selection pane="bottomRight"/>
    </sheetView>
  </sheetViews>
  <sheetFormatPr defaultColWidth="9.140625" defaultRowHeight="12" outlineLevelCol="1"/>
  <cols>
    <col min="1" max="1" width="9.140625" style="1"/>
    <col min="2" max="2" width="18.42578125" style="1" customWidth="1"/>
    <col min="3" max="8" width="9.140625" style="1"/>
    <col min="9" max="12" width="11" style="1" customWidth="1" outlineLevel="1"/>
    <col min="13" max="13" width="11" style="1" customWidth="1"/>
    <col min="14" max="17" width="11" style="1" customWidth="1" outlineLevel="1"/>
    <col min="18" max="18" width="11" style="1" customWidth="1"/>
    <col min="19" max="22" width="11" style="1" customWidth="1" outlineLevel="1"/>
    <col min="23" max="23" width="11" style="1" customWidth="1"/>
    <col min="24" max="27" width="11" style="1" customWidth="1" outlineLevel="1"/>
    <col min="28" max="28" width="11" style="1" customWidth="1"/>
    <col min="29" max="32" width="11" style="1" customWidth="1" outlineLevel="1"/>
    <col min="33" max="33" width="11" style="1" customWidth="1"/>
    <col min="34" max="37" width="11" style="1" customWidth="1" outlineLevel="1"/>
    <col min="38" max="38" width="11" style="1" customWidth="1"/>
    <col min="39" max="42" width="11" style="1" customWidth="1" outlineLevel="1"/>
    <col min="43" max="43" width="11" style="1" customWidth="1"/>
    <col min="44" max="47" width="11.42578125" style="1" customWidth="1" outlineLevel="1"/>
    <col min="48" max="48" width="11.42578125" style="1" customWidth="1"/>
    <col min="49" max="52" width="11.42578125" style="1" customWidth="1" outlineLevel="1"/>
    <col min="53" max="53" width="11.42578125" style="1" customWidth="1"/>
    <col min="54" max="57" width="11.42578125" style="1" customWidth="1" outlineLevel="1"/>
    <col min="58" max="58" width="11.42578125" style="1" customWidth="1"/>
    <col min="59" max="62" width="11.42578125" style="1" customWidth="1" outlineLevel="1"/>
    <col min="63" max="63" width="11.42578125" style="1" customWidth="1"/>
    <col min="64" max="67" width="11.42578125" style="1" customWidth="1" outlineLevel="1"/>
    <col min="68" max="68" width="11.42578125" style="1" customWidth="1"/>
    <col min="69" max="72" width="11.42578125" style="1" customWidth="1" outlineLevel="1"/>
    <col min="73" max="73" width="11.42578125" style="1" customWidth="1"/>
    <col min="74" max="77" width="11.42578125" style="1" customWidth="1" outlineLevel="1"/>
    <col min="78" max="78" width="11.42578125" style="1" customWidth="1"/>
    <col min="79" max="16384" width="9.140625" style="1"/>
  </cols>
  <sheetData>
    <row r="1" spans="1:78" s="2" customFormat="1">
      <c r="A1" s="2" t="s">
        <v>0</v>
      </c>
      <c r="I1" s="43" t="s">
        <v>160</v>
      </c>
      <c r="J1" s="43" t="s">
        <v>161</v>
      </c>
      <c r="K1" s="43" t="s">
        <v>162</v>
      </c>
      <c r="M1" s="18" t="s">
        <v>159</v>
      </c>
      <c r="N1" s="43" t="s">
        <v>150</v>
      </c>
      <c r="O1" s="43" t="s">
        <v>151</v>
      </c>
      <c r="P1" s="43" t="s">
        <v>152</v>
      </c>
      <c r="R1" s="18" t="s">
        <v>153</v>
      </c>
      <c r="S1" s="43" t="s">
        <v>146</v>
      </c>
      <c r="T1" s="43" t="s">
        <v>147</v>
      </c>
      <c r="U1" s="43" t="s">
        <v>148</v>
      </c>
      <c r="W1" s="18" t="s">
        <v>149</v>
      </c>
      <c r="X1" s="43" t="s">
        <v>142</v>
      </c>
      <c r="Y1" s="43" t="s">
        <v>143</v>
      </c>
      <c r="Z1" s="43" t="s">
        <v>144</v>
      </c>
      <c r="AB1" s="18" t="s">
        <v>145</v>
      </c>
      <c r="AC1" s="43" t="s">
        <v>138</v>
      </c>
      <c r="AD1" s="43" t="s">
        <v>139</v>
      </c>
      <c r="AE1" s="43" t="s">
        <v>140</v>
      </c>
      <c r="AG1" s="18" t="s">
        <v>141</v>
      </c>
      <c r="AH1" s="43" t="s">
        <v>126</v>
      </c>
      <c r="AI1" s="43" t="s">
        <v>127</v>
      </c>
      <c r="AJ1" s="43" t="s">
        <v>128</v>
      </c>
      <c r="AL1" s="18" t="s">
        <v>79</v>
      </c>
      <c r="AM1" s="43" t="s">
        <v>129</v>
      </c>
      <c r="AN1" s="43" t="s">
        <v>130</v>
      </c>
      <c r="AO1" s="43" t="s">
        <v>131</v>
      </c>
      <c r="AQ1" s="18" t="s">
        <v>90</v>
      </c>
      <c r="AR1" s="43" t="s">
        <v>700</v>
      </c>
      <c r="AS1" s="43" t="s">
        <v>701</v>
      </c>
      <c r="AT1" s="43" t="s">
        <v>702</v>
      </c>
      <c r="AV1" s="18" t="s">
        <v>699</v>
      </c>
      <c r="AW1" s="43" t="s">
        <v>1177</v>
      </c>
      <c r="AX1" s="43" t="s">
        <v>1178</v>
      </c>
      <c r="AY1" s="43" t="s">
        <v>1179</v>
      </c>
      <c r="BA1" s="18" t="s">
        <v>1180</v>
      </c>
      <c r="BB1" s="43" t="s">
        <v>1189</v>
      </c>
      <c r="BC1" s="43" t="s">
        <v>1190</v>
      </c>
      <c r="BD1" s="43" t="s">
        <v>1191</v>
      </c>
      <c r="BF1" s="18" t="s">
        <v>1198</v>
      </c>
      <c r="BG1" s="43" t="s">
        <v>1192</v>
      </c>
      <c r="BH1" s="43" t="s">
        <v>1199</v>
      </c>
      <c r="BI1" s="43" t="s">
        <v>1200</v>
      </c>
      <c r="BK1" s="18" t="s">
        <v>1209</v>
      </c>
      <c r="BL1" s="43" t="s">
        <v>1201</v>
      </c>
      <c r="BM1" s="43" t="s">
        <v>1203</v>
      </c>
      <c r="BN1" s="43" t="s">
        <v>1205</v>
      </c>
      <c r="BP1" s="18" t="s">
        <v>1210</v>
      </c>
      <c r="BQ1" s="43" t="s">
        <v>1211</v>
      </c>
      <c r="BR1" s="43" t="s">
        <v>1213</v>
      </c>
      <c r="BS1" s="43" t="s">
        <v>1215</v>
      </c>
      <c r="BU1" s="18" t="s">
        <v>1219</v>
      </c>
      <c r="BV1" s="43" t="s">
        <v>1211</v>
      </c>
      <c r="BW1" s="43" t="s">
        <v>1213</v>
      </c>
      <c r="BX1" s="43" t="s">
        <v>1215</v>
      </c>
      <c r="BZ1" s="18" t="s">
        <v>1220</v>
      </c>
    </row>
    <row r="2" spans="1:78" s="2" customFormat="1">
      <c r="A2" s="2" t="s">
        <v>2</v>
      </c>
      <c r="I2" s="6" t="s">
        <v>194</v>
      </c>
      <c r="J2" s="6" t="s">
        <v>195</v>
      </c>
      <c r="K2" s="6" t="s">
        <v>196</v>
      </c>
      <c r="L2" s="6" t="s">
        <v>197</v>
      </c>
      <c r="M2" s="6" t="s">
        <v>198</v>
      </c>
      <c r="N2" s="6" t="s">
        <v>163</v>
      </c>
      <c r="O2" s="6" t="s">
        <v>164</v>
      </c>
      <c r="P2" s="6" t="s">
        <v>165</v>
      </c>
      <c r="Q2" s="6" t="s">
        <v>166</v>
      </c>
      <c r="R2" s="6" t="s">
        <v>167</v>
      </c>
      <c r="S2" s="6" t="s">
        <v>154</v>
      </c>
      <c r="T2" s="6" t="s">
        <v>155</v>
      </c>
      <c r="U2" s="6" t="s">
        <v>156</v>
      </c>
      <c r="V2" s="6" t="s">
        <v>157</v>
      </c>
      <c r="W2" s="6" t="s">
        <v>158</v>
      </c>
      <c r="X2" s="6" t="s">
        <v>133</v>
      </c>
      <c r="Y2" s="6" t="s">
        <v>134</v>
      </c>
      <c r="Z2" s="6" t="s">
        <v>135</v>
      </c>
      <c r="AA2" s="6" t="s">
        <v>136</v>
      </c>
      <c r="AB2" s="6" t="s">
        <v>137</v>
      </c>
      <c r="AC2" s="6" t="s">
        <v>74</v>
      </c>
      <c r="AD2" s="6" t="s">
        <v>75</v>
      </c>
      <c r="AE2" s="6" t="s">
        <v>76</v>
      </c>
      <c r="AF2" s="6" t="s">
        <v>77</v>
      </c>
      <c r="AG2" s="6" t="s">
        <v>78</v>
      </c>
      <c r="AH2" s="6" t="s">
        <v>10</v>
      </c>
      <c r="AI2" s="6" t="s">
        <v>11</v>
      </c>
      <c r="AJ2" s="6" t="s">
        <v>12</v>
      </c>
      <c r="AK2" s="6" t="s">
        <v>13</v>
      </c>
      <c r="AL2" s="6" t="s">
        <v>14</v>
      </c>
      <c r="AM2" s="6" t="s">
        <v>91</v>
      </c>
      <c r="AN2" s="6" t="s">
        <v>92</v>
      </c>
      <c r="AO2" s="6" t="s">
        <v>93</v>
      </c>
      <c r="AP2" s="6" t="s">
        <v>94</v>
      </c>
      <c r="AQ2" s="6" t="s">
        <v>95</v>
      </c>
      <c r="AR2" s="6" t="s">
        <v>686</v>
      </c>
      <c r="AS2" s="6" t="s">
        <v>695</v>
      </c>
      <c r="AT2" s="6" t="s">
        <v>696</v>
      </c>
      <c r="AU2" s="6" t="s">
        <v>697</v>
      </c>
      <c r="AV2" s="6" t="s">
        <v>698</v>
      </c>
      <c r="AW2" s="6" t="s">
        <v>1172</v>
      </c>
      <c r="AX2" s="6" t="s">
        <v>1173</v>
      </c>
      <c r="AY2" s="6" t="s">
        <v>1174</v>
      </c>
      <c r="AZ2" s="6" t="s">
        <v>1175</v>
      </c>
      <c r="BA2" s="6" t="s">
        <v>1176</v>
      </c>
      <c r="BB2" s="6" t="s">
        <v>1184</v>
      </c>
      <c r="BC2" s="6" t="s">
        <v>1185</v>
      </c>
      <c r="BD2" s="6" t="s">
        <v>1186</v>
      </c>
      <c r="BE2" s="6" t="s">
        <v>1187</v>
      </c>
      <c r="BF2" s="6" t="s">
        <v>1188</v>
      </c>
      <c r="BG2" s="6" t="s">
        <v>1193</v>
      </c>
      <c r="BH2" s="6" t="s">
        <v>1194</v>
      </c>
      <c r="BI2" s="6" t="s">
        <v>1195</v>
      </c>
      <c r="BJ2" s="6" t="s">
        <v>1196</v>
      </c>
      <c r="BK2" s="6" t="s">
        <v>1197</v>
      </c>
      <c r="BL2" s="6" t="s">
        <v>1202</v>
      </c>
      <c r="BM2" s="6" t="s">
        <v>1204</v>
      </c>
      <c r="BN2" s="6" t="s">
        <v>1206</v>
      </c>
      <c r="BO2" s="6" t="s">
        <v>1207</v>
      </c>
      <c r="BP2" s="6" t="s">
        <v>1208</v>
      </c>
      <c r="BQ2" s="6" t="s">
        <v>1212</v>
      </c>
      <c r="BR2" s="6" t="s">
        <v>1214</v>
      </c>
      <c r="BS2" s="6" t="s">
        <v>1216</v>
      </c>
      <c r="BT2" s="6" t="s">
        <v>1217</v>
      </c>
      <c r="BU2" s="6" t="s">
        <v>1218</v>
      </c>
      <c r="BV2" s="6" t="s">
        <v>1221</v>
      </c>
      <c r="BW2" s="6" t="s">
        <v>1222</v>
      </c>
      <c r="BX2" s="6" t="s">
        <v>1223</v>
      </c>
      <c r="BY2" s="6" t="s">
        <v>1224</v>
      </c>
      <c r="BZ2" s="6" t="s">
        <v>1225</v>
      </c>
    </row>
    <row r="3" spans="1:78">
      <c r="AO3" s="36"/>
      <c r="AP3" s="36"/>
      <c r="AW3" s="685" t="s">
        <v>3114</v>
      </c>
      <c r="AX3" s="684"/>
      <c r="AY3" s="684"/>
      <c r="AZ3" s="684"/>
    </row>
    <row r="4" spans="1:78">
      <c r="A4" s="1" t="s">
        <v>2186</v>
      </c>
      <c r="AO4" s="21">
        <f t="shared" ref="AO4:AV4" si="0">AO68/AO11</f>
        <v>0.1461794019933555</v>
      </c>
      <c r="AP4" s="21">
        <f t="shared" si="0"/>
        <v>0.13377926421404682</v>
      </c>
      <c r="AQ4" s="21">
        <f t="shared" si="0"/>
        <v>0.13377926421404682</v>
      </c>
      <c r="AR4" s="21">
        <f t="shared" si="0"/>
        <v>0.10431654676258993</v>
      </c>
      <c r="AS4" s="21">
        <f t="shared" si="0"/>
        <v>0.12328767123287671</v>
      </c>
      <c r="AT4" s="21">
        <f t="shared" si="0"/>
        <v>0.14776632302405499</v>
      </c>
      <c r="AU4" s="21">
        <f t="shared" si="0"/>
        <v>0.1021671826625387</v>
      </c>
      <c r="AV4" s="21">
        <f t="shared" si="0"/>
        <v>0.1021671826625387</v>
      </c>
      <c r="AW4" s="683">
        <f>(AW68+AW151)/AW11</f>
        <v>7.6552682926829263E-2</v>
      </c>
      <c r="AX4" s="683">
        <f>(AX68+AX151)/AX11</f>
        <v>8.8629363449691995E-2</v>
      </c>
      <c r="AY4" s="683">
        <f>(AY68+AY151)/AY11</f>
        <v>6.7857233796296296E-2</v>
      </c>
    </row>
    <row r="5" spans="1:78">
      <c r="A5" s="1" t="s">
        <v>2187</v>
      </c>
      <c r="AO5" s="21">
        <f t="shared" ref="AO5:AV5" si="1">AO176/AO11</f>
        <v>0.85382059800664456</v>
      </c>
      <c r="AP5" s="21">
        <f t="shared" si="1"/>
        <v>0.86622073578595316</v>
      </c>
      <c r="AQ5" s="21">
        <f t="shared" si="1"/>
        <v>0.86622073578595316</v>
      </c>
      <c r="AR5" s="21">
        <f t="shared" si="1"/>
        <v>0.89568345323741005</v>
      </c>
      <c r="AS5" s="21">
        <f t="shared" si="1"/>
        <v>0.87671232876712324</v>
      </c>
      <c r="AT5" s="21">
        <f t="shared" si="1"/>
        <v>0.85223367697594499</v>
      </c>
      <c r="AU5" s="21">
        <f t="shared" si="1"/>
        <v>0.89783281733746134</v>
      </c>
      <c r="AV5" s="21">
        <f t="shared" si="1"/>
        <v>0.89783281733746134</v>
      </c>
      <c r="AW5" s="683">
        <f>1-AW4</f>
        <v>0.92344731707317074</v>
      </c>
      <c r="AX5" s="683">
        <f t="shared" ref="AX5:AY5" si="2">1-AX4</f>
        <v>0.91137063655030803</v>
      </c>
      <c r="AY5" s="683">
        <f t="shared" si="2"/>
        <v>0.93214276620370373</v>
      </c>
    </row>
    <row r="7" spans="1:78" s="26" customFormat="1">
      <c r="A7" s="26" t="s">
        <v>2965</v>
      </c>
      <c r="AO7" s="260">
        <f t="shared" ref="AO7:AY7" si="3">AO68/(AO11-AO143)</f>
        <v>0.1461794019933555</v>
      </c>
      <c r="AP7" s="260">
        <f t="shared" si="3"/>
        <v>0.13377926421404682</v>
      </c>
      <c r="AQ7" s="260">
        <f t="shared" si="3"/>
        <v>0.13377926421404682</v>
      </c>
      <c r="AR7" s="260">
        <f t="shared" si="3"/>
        <v>0.10431654676258993</v>
      </c>
      <c r="AS7" s="260">
        <f t="shared" si="3"/>
        <v>0.12543554006968641</v>
      </c>
      <c r="AT7" s="260">
        <f t="shared" si="3"/>
        <v>0.15034965034965034</v>
      </c>
      <c r="AU7" s="260">
        <f t="shared" si="3"/>
        <v>0.11376561779495399</v>
      </c>
      <c r="AV7" s="260">
        <f t="shared" si="3"/>
        <v>0.11376561779495399</v>
      </c>
      <c r="AW7" s="260">
        <f t="shared" si="3"/>
        <v>9.2693726937269377E-2</v>
      </c>
      <c r="AX7" s="260">
        <f t="shared" si="3"/>
        <v>0.15833333333333333</v>
      </c>
      <c r="AY7" s="260">
        <f t="shared" si="3"/>
        <v>0.16250000000000001</v>
      </c>
    </row>
    <row r="8" spans="1:78" s="26" customFormat="1">
      <c r="A8" s="26" t="s">
        <v>2966</v>
      </c>
      <c r="AO8" s="260">
        <f t="shared" ref="AO8:AY8" si="4">(AO176-AO143)/(AO11-AO143)</f>
        <v>0.85382059800664456</v>
      </c>
      <c r="AP8" s="260">
        <f t="shared" si="4"/>
        <v>0.86622073578595316</v>
      </c>
      <c r="AQ8" s="260">
        <f t="shared" si="4"/>
        <v>0.86622073578595316</v>
      </c>
      <c r="AR8" s="260">
        <f t="shared" si="4"/>
        <v>0.89568345323741005</v>
      </c>
      <c r="AS8" s="260">
        <f t="shared" si="4"/>
        <v>0.87456445993031362</v>
      </c>
      <c r="AT8" s="260">
        <f t="shared" si="4"/>
        <v>0.84965034965034969</v>
      </c>
      <c r="AU8" s="260">
        <f t="shared" si="4"/>
        <v>0.88623438220504602</v>
      </c>
      <c r="AV8" s="260">
        <f t="shared" si="4"/>
        <v>0.88623438220504602</v>
      </c>
      <c r="AW8" s="260">
        <f t="shared" si="4"/>
        <v>0.90730627306273059</v>
      </c>
      <c r="AX8" s="260">
        <f t="shared" si="4"/>
        <v>0.84166666666666667</v>
      </c>
      <c r="AY8" s="260">
        <f t="shared" si="4"/>
        <v>0.83750000000000002</v>
      </c>
    </row>
    <row r="9" spans="1:78">
      <c r="BB9" s="1146" t="s">
        <v>3474</v>
      </c>
      <c r="BG9" s="522" t="s">
        <v>1261</v>
      </c>
      <c r="BZ9" s="25" t="s">
        <v>1321</v>
      </c>
    </row>
    <row r="10" spans="1:78">
      <c r="A10" s="1" t="s">
        <v>300</v>
      </c>
      <c r="AO10" s="36">
        <f>AO127+AO177</f>
        <v>49500</v>
      </c>
      <c r="AP10" s="36">
        <f>AP127+AP177</f>
        <v>49400</v>
      </c>
      <c r="AQ10" s="36">
        <f>AP10</f>
        <v>49400</v>
      </c>
      <c r="AR10" s="36">
        <f>AR127+AR177</f>
        <v>46300</v>
      </c>
      <c r="AS10" s="36">
        <f>AS127+AS177</f>
        <v>46600</v>
      </c>
      <c r="AT10" s="36">
        <f>AT127+AT177</f>
        <v>47300</v>
      </c>
      <c r="AU10" s="36">
        <f>AU127+AU177</f>
        <v>51000</v>
      </c>
      <c r="AV10" s="36">
        <f>AU10</f>
        <v>51000</v>
      </c>
      <c r="AW10" s="36">
        <f>AW127+AW177</f>
        <v>56600</v>
      </c>
      <c r="AX10" s="36">
        <f>AX127+AX177</f>
        <v>57400</v>
      </c>
      <c r="AY10" s="36">
        <f>AY127+AY177</f>
        <v>85300</v>
      </c>
      <c r="AZ10" s="36">
        <f>AZ127+AZ177</f>
        <v>87100</v>
      </c>
      <c r="BA10" s="36">
        <f>AZ10</f>
        <v>87100</v>
      </c>
      <c r="BB10" s="1143">
        <f>BB127+BB177</f>
        <v>97065</v>
      </c>
      <c r="BC10" s="1143">
        <f t="shared" ref="BC10:BE10" si="5">BC127+BC177</f>
        <v>107025</v>
      </c>
      <c r="BD10" s="1143">
        <f t="shared" si="5"/>
        <v>116985</v>
      </c>
      <c r="BE10" s="1143">
        <f t="shared" si="5"/>
        <v>116950</v>
      </c>
      <c r="BF10" s="36">
        <f>BE10</f>
        <v>116950</v>
      </c>
      <c r="BG10" s="613">
        <f>MROUND(BF10-BG19/AVERAGE(BF12, BF29), 5)</f>
        <v>114375</v>
      </c>
      <c r="BH10" s="36">
        <f t="shared" ref="BH10:BJ10" si="6">MROUND(BG10-BH19/AVERAGE(BG12, BG29), 5)</f>
        <v>111745</v>
      </c>
      <c r="BI10" s="36">
        <f t="shared" si="6"/>
        <v>109050</v>
      </c>
      <c r="BJ10" s="36">
        <f t="shared" si="6"/>
        <v>106285</v>
      </c>
      <c r="BK10" s="36">
        <f>BJ10</f>
        <v>106285</v>
      </c>
      <c r="BL10" s="36">
        <f t="shared" ref="BL10:BO10" si="7">MROUND(BK10-BL19/AVERAGE(BK12, BK29), 5)</f>
        <v>102025</v>
      </c>
      <c r="BM10" s="36">
        <f t="shared" si="7"/>
        <v>97705</v>
      </c>
      <c r="BN10" s="36">
        <f t="shared" si="7"/>
        <v>93315</v>
      </c>
      <c r="BO10" s="36">
        <f t="shared" si="7"/>
        <v>88855</v>
      </c>
      <c r="BP10" s="36">
        <f>BO10</f>
        <v>88855</v>
      </c>
      <c r="BQ10" s="36">
        <f t="shared" ref="BQ10:BT10" si="8">MROUND(BP10-BQ19/AVERAGE(BP12, BP29), 5)</f>
        <v>82805</v>
      </c>
      <c r="BR10" s="36">
        <f t="shared" si="8"/>
        <v>76750</v>
      </c>
      <c r="BS10" s="36">
        <f t="shared" si="8"/>
        <v>70690</v>
      </c>
      <c r="BT10" s="36">
        <f t="shared" si="8"/>
        <v>64620</v>
      </c>
      <c r="BU10" s="36">
        <f>BT10</f>
        <v>64620</v>
      </c>
      <c r="BV10" s="36">
        <f t="shared" ref="BV10:BY10" si="9">MROUND(BU10-BV19/AVERAGE(BU12, BU29), 5)</f>
        <v>58545</v>
      </c>
      <c r="BW10" s="36">
        <f t="shared" si="9"/>
        <v>52465</v>
      </c>
      <c r="BX10" s="36">
        <f t="shared" si="9"/>
        <v>46380</v>
      </c>
      <c r="BY10" s="36">
        <f t="shared" si="9"/>
        <v>40290</v>
      </c>
      <c r="BZ10" s="36">
        <f>BY10</f>
        <v>40290</v>
      </c>
    </row>
    <row r="11" spans="1:78">
      <c r="A11" s="1" t="s">
        <v>301</v>
      </c>
      <c r="AO11" s="36">
        <f t="shared" ref="AO11:AU11" si="10">AO68+AO176</f>
        <v>30100</v>
      </c>
      <c r="AP11" s="36">
        <f t="shared" si="10"/>
        <v>29900</v>
      </c>
      <c r="AQ11" s="36">
        <f t="shared" si="10"/>
        <v>29900</v>
      </c>
      <c r="AR11" s="36">
        <f t="shared" si="10"/>
        <v>27800</v>
      </c>
      <c r="AS11" s="36">
        <f t="shared" si="10"/>
        <v>29200</v>
      </c>
      <c r="AT11" s="36">
        <f t="shared" si="10"/>
        <v>29100</v>
      </c>
      <c r="AU11" s="36">
        <f t="shared" si="10"/>
        <v>32300</v>
      </c>
      <c r="AV11" s="36">
        <f>AU11</f>
        <v>32300</v>
      </c>
      <c r="AW11" s="36">
        <f>AW68+AW176</f>
        <v>41000</v>
      </c>
      <c r="AX11" s="36">
        <f>AX68+AX176</f>
        <v>48700</v>
      </c>
      <c r="AY11" s="36">
        <f>AY68+AY176</f>
        <v>86400</v>
      </c>
      <c r="AZ11" s="36">
        <f>AZ68+AZ176</f>
        <v>86090</v>
      </c>
      <c r="BA11" s="36">
        <f>AZ11</f>
        <v>86090</v>
      </c>
      <c r="BB11" s="1143">
        <f>BB20</f>
        <v>116405</v>
      </c>
      <c r="BC11" s="1143">
        <f>BC20</f>
        <v>127470</v>
      </c>
      <c r="BD11" s="1143">
        <f>BD20</f>
        <v>138430</v>
      </c>
      <c r="BE11" s="1143">
        <f>BE20</f>
        <v>137370</v>
      </c>
      <c r="BF11" s="36">
        <f>BE11</f>
        <v>137370</v>
      </c>
      <c r="BG11" s="613">
        <f>BG20</f>
        <v>136030</v>
      </c>
      <c r="BH11" s="36">
        <f>BH20</f>
        <v>134570</v>
      </c>
      <c r="BI11" s="36">
        <f>BI20</f>
        <v>132975</v>
      </c>
      <c r="BJ11" s="36">
        <f>BJ20</f>
        <v>131240</v>
      </c>
      <c r="BK11" s="36">
        <f>BJ11</f>
        <v>131240</v>
      </c>
      <c r="BL11" s="36">
        <f>BL20</f>
        <v>127605</v>
      </c>
      <c r="BM11" s="36">
        <f>BM20</f>
        <v>123790</v>
      </c>
      <c r="BN11" s="36">
        <f>BN20</f>
        <v>119780</v>
      </c>
      <c r="BO11" s="36">
        <f>BO20</f>
        <v>115565</v>
      </c>
      <c r="BP11" s="36">
        <f>BO11</f>
        <v>115565</v>
      </c>
      <c r="BQ11" s="36">
        <f>BQ20</f>
        <v>109185</v>
      </c>
      <c r="BR11" s="36">
        <f>BR20</f>
        <v>102630</v>
      </c>
      <c r="BS11" s="36">
        <f>BS20</f>
        <v>95900</v>
      </c>
      <c r="BT11" s="36">
        <f>BT20</f>
        <v>88985</v>
      </c>
      <c r="BU11" s="36">
        <f>BT11</f>
        <v>88985</v>
      </c>
      <c r="BV11" s="36">
        <f>BV20</f>
        <v>81885</v>
      </c>
      <c r="BW11" s="36">
        <f>BW20</f>
        <v>74600</v>
      </c>
      <c r="BX11" s="36">
        <f>BX20</f>
        <v>67125</v>
      </c>
      <c r="BY11" s="36">
        <f>BY20</f>
        <v>59455</v>
      </c>
      <c r="BZ11" s="36">
        <f>BY11</f>
        <v>59455</v>
      </c>
    </row>
    <row r="12" spans="1:78">
      <c r="A12" s="1" t="s">
        <v>1250</v>
      </c>
      <c r="AO12" s="167">
        <f t="shared" ref="AO12:BZ12" si="11">AO11/AO10</f>
        <v>0.60808080808080811</v>
      </c>
      <c r="AP12" s="167">
        <f t="shared" ref="AP12:AR12" si="12">AP11/AP10</f>
        <v>0.60526315789473684</v>
      </c>
      <c r="AQ12" s="167">
        <f t="shared" si="11"/>
        <v>0.60526315789473684</v>
      </c>
      <c r="AR12" s="167">
        <f t="shared" si="12"/>
        <v>0.60043196544276456</v>
      </c>
      <c r="AS12" s="167">
        <f t="shared" ref="AS12" si="13">AS11/AS10</f>
        <v>0.62660944206008584</v>
      </c>
      <c r="AT12" s="167">
        <f t="shared" ref="AT12" si="14">AT11/AT10</f>
        <v>0.61522198731501054</v>
      </c>
      <c r="AU12" s="167">
        <f t="shared" ref="AU12" si="15">AU11/AU10</f>
        <v>0.6333333333333333</v>
      </c>
      <c r="AV12" s="167">
        <f t="shared" si="11"/>
        <v>0.6333333333333333</v>
      </c>
      <c r="AW12" s="167">
        <f t="shared" si="11"/>
        <v>0.72438162544169615</v>
      </c>
      <c r="AX12" s="167">
        <f t="shared" ref="AX12" si="16">AX11/AX10</f>
        <v>0.84843205574912894</v>
      </c>
      <c r="AY12" s="167">
        <f t="shared" ref="AY12" si="17">AY11/AY10</f>
        <v>1.0128956623681125</v>
      </c>
      <c r="AZ12" s="167">
        <f t="shared" ref="AZ12:BA12" si="18">AZ11/AZ10</f>
        <v>0.98840413318025255</v>
      </c>
      <c r="BA12" s="167">
        <f t="shared" si="18"/>
        <v>0.98840413318025255</v>
      </c>
      <c r="BB12" s="167">
        <f t="shared" ref="BB12:BE12" si="19">BB11/BB10</f>
        <v>1.1992479266470921</v>
      </c>
      <c r="BC12" s="167">
        <f t="shared" si="19"/>
        <v>1.191030133146461</v>
      </c>
      <c r="BD12" s="167">
        <f t="shared" si="19"/>
        <v>1.1833141000983032</v>
      </c>
      <c r="BE12" s="167">
        <f t="shared" si="19"/>
        <v>1.1746045318512184</v>
      </c>
      <c r="BF12" s="167">
        <f t="shared" si="11"/>
        <v>1.1746045318512184</v>
      </c>
      <c r="BG12" s="167">
        <f t="shared" ref="BG12" si="20">BG11/BG10</f>
        <v>1.1893333333333334</v>
      </c>
      <c r="BH12" s="167">
        <f t="shared" si="11"/>
        <v>1.2042596984205109</v>
      </c>
      <c r="BI12" s="167">
        <f t="shared" si="11"/>
        <v>1.21939477303989</v>
      </c>
      <c r="BJ12" s="167">
        <f t="shared" si="11"/>
        <v>1.2347932445782566</v>
      </c>
      <c r="BK12" s="167">
        <f t="shared" si="11"/>
        <v>1.2347932445782566</v>
      </c>
      <c r="BL12" s="167">
        <f t="shared" si="11"/>
        <v>1.2507228620436168</v>
      </c>
      <c r="BM12" s="167">
        <f t="shared" si="11"/>
        <v>1.2669771250191904</v>
      </c>
      <c r="BN12" s="167">
        <f t="shared" si="11"/>
        <v>1.2836092803943633</v>
      </c>
      <c r="BO12" s="167">
        <f t="shared" si="11"/>
        <v>1.3006021045523606</v>
      </c>
      <c r="BP12" s="167">
        <f t="shared" si="11"/>
        <v>1.3006021045523606</v>
      </c>
      <c r="BQ12" s="167">
        <f t="shared" si="11"/>
        <v>1.3185797959060443</v>
      </c>
      <c r="BR12" s="167">
        <f t="shared" si="11"/>
        <v>1.337198697068404</v>
      </c>
      <c r="BS12" s="167">
        <f t="shared" si="11"/>
        <v>1.3566275286462017</v>
      </c>
      <c r="BT12" s="167">
        <f t="shared" si="11"/>
        <v>1.3770504487774682</v>
      </c>
      <c r="BU12" s="167">
        <f t="shared" si="11"/>
        <v>1.3770504487774682</v>
      </c>
      <c r="BV12" s="167">
        <f t="shared" si="11"/>
        <v>1.3986676915193441</v>
      </c>
      <c r="BW12" s="167">
        <f t="shared" si="11"/>
        <v>1.4219003144953779</v>
      </c>
      <c r="BX12" s="167">
        <f t="shared" si="11"/>
        <v>1.4472833117723156</v>
      </c>
      <c r="BY12" s="167">
        <f t="shared" si="11"/>
        <v>1.4756763464879623</v>
      </c>
      <c r="BZ12" s="167">
        <f t="shared" si="11"/>
        <v>1.4756763464879623</v>
      </c>
    </row>
    <row r="13" spans="1:78">
      <c r="BG13" s="522" t="s">
        <v>3471</v>
      </c>
      <c r="BH13" s="71"/>
      <c r="BI13" s="71"/>
    </row>
    <row r="14" spans="1:78">
      <c r="A14" s="1" t="s">
        <v>1314</v>
      </c>
      <c r="AQ14" s="36"/>
      <c r="AR14" s="142" t="s">
        <v>1243</v>
      </c>
      <c r="AS14" s="209">
        <v>0.05</v>
      </c>
    </row>
    <row r="15" spans="1:78">
      <c r="A15" s="1" t="s">
        <v>1315</v>
      </c>
      <c r="AQ15" s="36"/>
      <c r="AR15" s="142"/>
      <c r="AS15" s="330">
        <f>(1+AS14)^(1/4)-1</f>
        <v>1.2272234429039353E-2</v>
      </c>
      <c r="BB15" s="1146" t="s">
        <v>3474</v>
      </c>
    </row>
    <row r="16" spans="1:78">
      <c r="AS16" s="25" t="s">
        <v>1319</v>
      </c>
      <c r="BA16" s="1145" t="s">
        <v>3473</v>
      </c>
      <c r="BB16" s="1143">
        <f>BB19</f>
        <v>760</v>
      </c>
      <c r="BC16" s="1143">
        <f>BB16+BC19</f>
        <v>1625</v>
      </c>
      <c r="BD16" s="1143">
        <f>BC16+BD19</f>
        <v>2600</v>
      </c>
      <c r="BE16" s="1143">
        <f>BD16+BE19</f>
        <v>3610</v>
      </c>
    </row>
    <row r="17" spans="1:78">
      <c r="A17" s="1" t="s">
        <v>1318</v>
      </c>
      <c r="AO17" s="36"/>
      <c r="AP17" s="36"/>
      <c r="AR17" s="332"/>
      <c r="AS17" s="332">
        <f>'SVF1'!AS15+3</f>
        <v>8.5</v>
      </c>
      <c r="AT17" s="332">
        <f>'SVF1'!AT15+3</f>
        <v>8.25</v>
      </c>
      <c r="AU17" s="332">
        <f>'SVF1'!AU15+3</f>
        <v>8</v>
      </c>
      <c r="AV17" s="332">
        <f>'SVF1'!AV15+3</f>
        <v>8</v>
      </c>
      <c r="AW17" s="332">
        <f>'SVF1'!AW15+3</f>
        <v>7.75</v>
      </c>
      <c r="AX17" s="332">
        <f>'SVF1'!AX15+3</f>
        <v>7.5</v>
      </c>
      <c r="AY17" s="332">
        <f>'SVF1'!AY15+3</f>
        <v>7.25</v>
      </c>
      <c r="AZ17" s="332">
        <f>'SVF1'!AZ15+3</f>
        <v>7</v>
      </c>
      <c r="BA17" s="332">
        <f>'SVF1'!BA15+3</f>
        <v>7</v>
      </c>
      <c r="BB17" s="332">
        <f>'SVF1'!BB15+3</f>
        <v>6.75</v>
      </c>
      <c r="BC17" s="332">
        <f>'SVF1'!BC15+3</f>
        <v>6.5</v>
      </c>
      <c r="BD17" s="332">
        <f>'SVF1'!BD15+3</f>
        <v>6.25</v>
      </c>
      <c r="BE17" s="332">
        <f>'SVF1'!BE15+3</f>
        <v>6</v>
      </c>
      <c r="BF17" s="332">
        <f>'SVF1'!BF15+3</f>
        <v>6</v>
      </c>
      <c r="BG17" s="332">
        <f>'SVF1'!BG15+3</f>
        <v>5.75</v>
      </c>
      <c r="BH17" s="332">
        <f>'SVF1'!BH15+3</f>
        <v>5.5</v>
      </c>
      <c r="BI17" s="332">
        <f>'SVF1'!BI15+3</f>
        <v>5.25</v>
      </c>
      <c r="BJ17" s="332">
        <f>'SVF1'!BJ15+3</f>
        <v>5</v>
      </c>
      <c r="BK17" s="332">
        <f>'SVF1'!BK15+3</f>
        <v>5</v>
      </c>
      <c r="BL17" s="332">
        <f>'SVF1'!BL15+3</f>
        <v>4.75</v>
      </c>
      <c r="BM17" s="332">
        <f>'SVF1'!BM15+3</f>
        <v>4.5</v>
      </c>
      <c r="BN17" s="332">
        <f>'SVF1'!BN15+3</f>
        <v>4.25</v>
      </c>
      <c r="BO17" s="332">
        <f>'SVF1'!BO15+3</f>
        <v>4</v>
      </c>
      <c r="BP17" s="332">
        <f>'SVF1'!BP15+3</f>
        <v>4</v>
      </c>
      <c r="BQ17" s="332">
        <f>'SVF1'!BQ15+3</f>
        <v>3.75</v>
      </c>
      <c r="BR17" s="332">
        <f>'SVF1'!BR15+3</f>
        <v>3.5</v>
      </c>
      <c r="BS17" s="332">
        <f>'SVF1'!BS15+3</f>
        <v>3.25</v>
      </c>
      <c r="BT17" s="332">
        <f>BS17-0.25</f>
        <v>3</v>
      </c>
      <c r="BU17" s="332">
        <f>BT17</f>
        <v>3</v>
      </c>
      <c r="BV17" s="332">
        <f>BU17-0.25</f>
        <v>2.75</v>
      </c>
      <c r="BW17" s="332">
        <f>BV17-0.25</f>
        <v>2.5</v>
      </c>
      <c r="BX17" s="332">
        <f>BW17-0.25</f>
        <v>2.25</v>
      </c>
      <c r="BY17" s="332">
        <f>BX17-0.25</f>
        <v>2</v>
      </c>
      <c r="BZ17" s="332">
        <f>BY17</f>
        <v>2</v>
      </c>
    </row>
    <row r="18" spans="1:78">
      <c r="A18" s="1" t="s">
        <v>1247</v>
      </c>
      <c r="AO18" s="36"/>
      <c r="AP18" s="36"/>
      <c r="AQ18" s="36"/>
      <c r="AY18" s="61">
        <f>SUM(AY19:AY20)</f>
        <v>86400</v>
      </c>
      <c r="AZ18" s="61">
        <f>SUM(AZ19:AZ20)</f>
        <v>86570</v>
      </c>
      <c r="BA18" s="61">
        <f>AZ18</f>
        <v>86570</v>
      </c>
      <c r="BB18" s="1143">
        <f>BB68+BB176+(BA155-BB155)</f>
        <v>117165</v>
      </c>
      <c r="BC18" s="1143">
        <f>BC68+BC176+(BB155-BC155)-BB16</f>
        <v>128335</v>
      </c>
      <c r="BD18" s="1143">
        <f>BD68+BD176+(BC155-BD155)-BC16</f>
        <v>139405</v>
      </c>
      <c r="BE18" s="1143">
        <f>BE68+BE176+(BD155-BE155)-BD16</f>
        <v>138380</v>
      </c>
      <c r="BF18" s="36">
        <f>BE18</f>
        <v>138380</v>
      </c>
      <c r="BG18" s="36">
        <f>MROUND(BF20*(1+$AS$15), 5)</f>
        <v>139055</v>
      </c>
      <c r="BH18" s="36">
        <f>MROUND(BG20*(1+$AS$15), 5)</f>
        <v>137700</v>
      </c>
      <c r="BI18" s="36">
        <f>MROUND(BH20*(1+$AS$15), 5)</f>
        <v>136220</v>
      </c>
      <c r="BJ18" s="36">
        <f>MROUND(BI20*(1+$AS$15), 5)</f>
        <v>134605</v>
      </c>
      <c r="BK18" s="36">
        <f>BJ18</f>
        <v>134605</v>
      </c>
      <c r="BL18" s="36">
        <f>MROUND(BK20*(1+$AS$15), 5)</f>
        <v>132850</v>
      </c>
      <c r="BM18" s="36">
        <f>MROUND(BL20*(1+$AS$15), 5)</f>
        <v>129170</v>
      </c>
      <c r="BN18" s="36">
        <f>MROUND(BM20*(1+$AS$15), 5)</f>
        <v>125310</v>
      </c>
      <c r="BO18" s="36">
        <f>MROUND(BN20*(1+$AS$15), 5)</f>
        <v>121250</v>
      </c>
      <c r="BP18" s="36">
        <f>BO18</f>
        <v>121250</v>
      </c>
      <c r="BQ18" s="36">
        <f>MROUND(BP20*(1+$AS$15), 5)</f>
        <v>116985</v>
      </c>
      <c r="BR18" s="36">
        <f>MROUND(BQ20*(1+$AS$15), 5)</f>
        <v>110525</v>
      </c>
      <c r="BS18" s="36">
        <f>MROUND(BR20*(1+$AS$15), 5)</f>
        <v>103890</v>
      </c>
      <c r="BT18" s="36">
        <f>MROUND(BS20*(1+$AS$15), 5)</f>
        <v>97075</v>
      </c>
      <c r="BU18" s="36">
        <f>BT18</f>
        <v>97075</v>
      </c>
      <c r="BV18" s="36">
        <f>MROUND(BU20*(1+$AS$15), 5)</f>
        <v>90075</v>
      </c>
      <c r="BW18" s="36">
        <f>MROUND(BV20*(1+$AS$15), 5)</f>
        <v>82890</v>
      </c>
      <c r="BX18" s="36">
        <f>MROUND(BW20*(1+$AS$15), 5)</f>
        <v>75515</v>
      </c>
      <c r="BY18" s="36">
        <f>MROUND(BX20*(1+$AS$15), 5)</f>
        <v>67950</v>
      </c>
      <c r="BZ18" s="36">
        <f>BY18</f>
        <v>67950</v>
      </c>
    </row>
    <row r="19" spans="1:78">
      <c r="A19" s="1" t="s">
        <v>1248</v>
      </c>
      <c r="AO19" s="36"/>
      <c r="AP19" s="648">
        <f>AP24</f>
        <v>0</v>
      </c>
      <c r="AQ19" s="36"/>
      <c r="AR19" s="648">
        <f>AR24</f>
        <v>100</v>
      </c>
      <c r="AS19" s="648">
        <f>AS24</f>
        <v>100</v>
      </c>
      <c r="AT19" s="648">
        <f>AT24</f>
        <v>500</v>
      </c>
      <c r="AU19" s="648">
        <f>AU24</f>
        <v>1700</v>
      </c>
      <c r="AW19" s="648">
        <f>AW24</f>
        <v>2200</v>
      </c>
      <c r="AX19" s="648">
        <f>AX24</f>
        <v>200</v>
      </c>
      <c r="AY19" s="622">
        <f>AY24</f>
        <v>0</v>
      </c>
      <c r="AZ19" s="721">
        <f>MROUND(23.93296*20, 5)</f>
        <v>480</v>
      </c>
      <c r="BB19" s="36">
        <f>MROUND(BB18*BB21*(1/BB17/4), 5)</f>
        <v>760</v>
      </c>
      <c r="BC19" s="36">
        <f>MROUND(BC18*BC21*(1/BC17/4), 5)</f>
        <v>865</v>
      </c>
      <c r="BD19" s="36">
        <f>MROUND(BD18*BD21*(1/BD17/4), 5)</f>
        <v>975</v>
      </c>
      <c r="BE19" s="36">
        <f>MROUND(BE18*BE21*(1/BE17/4), 5)</f>
        <v>1010</v>
      </c>
      <c r="BG19" s="36">
        <f>MROUND(BG18*BG21*(1/BG17/4), 5)</f>
        <v>3025</v>
      </c>
      <c r="BH19" s="36">
        <f>MROUND(BH18*BH21*(1/BH17/4), 5)</f>
        <v>3130</v>
      </c>
      <c r="BI19" s="36">
        <f>MROUND(BI18*BI21*(1/BI17/4), 5)</f>
        <v>3245</v>
      </c>
      <c r="BJ19" s="36">
        <f>MROUND(BJ18*BJ21*(1/BJ17/4), 5)</f>
        <v>3365</v>
      </c>
      <c r="BL19" s="36">
        <f>MROUND(BL18*BL21*(1/BL17/4), 5)</f>
        <v>5245</v>
      </c>
      <c r="BM19" s="36">
        <f>MROUND(BM18*BM21*(1/BM17/4), 5)</f>
        <v>5380</v>
      </c>
      <c r="BN19" s="36">
        <f>MROUND(BN18*BN21*(1/BN17/4), 5)</f>
        <v>5530</v>
      </c>
      <c r="BO19" s="36">
        <f>MROUND(BO18*BO21*(1/BO17/4), 5)</f>
        <v>5685</v>
      </c>
      <c r="BQ19" s="36">
        <f>MROUND(BQ18*BQ21*(1/BQ17/4), 5)</f>
        <v>7800</v>
      </c>
      <c r="BR19" s="36">
        <f>MROUND(BR18*BR21*(1/BR17/4), 5)</f>
        <v>7895</v>
      </c>
      <c r="BS19" s="36">
        <f>MROUND(BS18*BS21*(1/BS17/4), 5)</f>
        <v>7990</v>
      </c>
      <c r="BT19" s="36">
        <f>MROUND(BT18*BT21*(1/BT17/4), 5)</f>
        <v>8090</v>
      </c>
      <c r="BV19" s="36">
        <f>MROUND(BV18*BV21*(1/BV17/4), 5)</f>
        <v>8190</v>
      </c>
      <c r="BW19" s="36">
        <f>MROUND(BW18*BW21*(1/BW17/4), 5)</f>
        <v>8290</v>
      </c>
      <c r="BX19" s="36">
        <f>MROUND(BX18*BX21*(1/BX17/4), 5)</f>
        <v>8390</v>
      </c>
      <c r="BY19" s="36">
        <f>MROUND(BY18*BY21*(1/BY17/4), 5)</f>
        <v>8495</v>
      </c>
    </row>
    <row r="20" spans="1:78">
      <c r="A20" s="1" t="s">
        <v>1249</v>
      </c>
      <c r="AO20" s="36"/>
      <c r="AP20" s="36"/>
      <c r="AQ20" s="36"/>
      <c r="AR20" s="61">
        <f>AR11</f>
        <v>27800</v>
      </c>
      <c r="AS20" s="61">
        <f>AS11</f>
        <v>29200</v>
      </c>
      <c r="AT20" s="61">
        <f>AT11</f>
        <v>29100</v>
      </c>
      <c r="AU20" s="61">
        <f>AU11</f>
        <v>32300</v>
      </c>
      <c r="AV20" s="61">
        <f>AU20</f>
        <v>32300</v>
      </c>
      <c r="AW20" s="61">
        <f>AW11</f>
        <v>41000</v>
      </c>
      <c r="AX20" s="61">
        <f>AX11</f>
        <v>48700</v>
      </c>
      <c r="AY20" s="61">
        <f>AY11</f>
        <v>86400</v>
      </c>
      <c r="AZ20" s="61">
        <f>AZ11</f>
        <v>86090</v>
      </c>
      <c r="BA20" s="61">
        <f>AZ20</f>
        <v>86090</v>
      </c>
      <c r="BB20" s="36">
        <f>BB18-BB19</f>
        <v>116405</v>
      </c>
      <c r="BC20" s="36">
        <f>BC18-BC19</f>
        <v>127470</v>
      </c>
      <c r="BD20" s="36">
        <f>BD18-BD19</f>
        <v>138430</v>
      </c>
      <c r="BE20" s="36">
        <f>BE18-BE19</f>
        <v>137370</v>
      </c>
      <c r="BF20" s="36">
        <f>BE20</f>
        <v>137370</v>
      </c>
      <c r="BG20" s="36">
        <f>BG18-BG19</f>
        <v>136030</v>
      </c>
      <c r="BH20" s="36">
        <f>BH18-BH19</f>
        <v>134570</v>
      </c>
      <c r="BI20" s="36">
        <f>BI18-BI19</f>
        <v>132975</v>
      </c>
      <c r="BJ20" s="36">
        <f>BJ18-BJ19</f>
        <v>131240</v>
      </c>
      <c r="BK20" s="36">
        <f>BJ20</f>
        <v>131240</v>
      </c>
      <c r="BL20" s="36">
        <f>BL18-BL19</f>
        <v>127605</v>
      </c>
      <c r="BM20" s="36">
        <f>BM18-BM19</f>
        <v>123790</v>
      </c>
      <c r="BN20" s="36">
        <f>BN18-BN19</f>
        <v>119780</v>
      </c>
      <c r="BO20" s="36">
        <f>BO18-BO19</f>
        <v>115565</v>
      </c>
      <c r="BP20" s="36">
        <f>BO20</f>
        <v>115565</v>
      </c>
      <c r="BQ20" s="36">
        <f>BQ18-BQ19</f>
        <v>109185</v>
      </c>
      <c r="BR20" s="36">
        <f>BR18-BR19</f>
        <v>102630</v>
      </c>
      <c r="BS20" s="36">
        <f>BS18-BS19</f>
        <v>95900</v>
      </c>
      <c r="BT20" s="36">
        <f>BT18-BT19</f>
        <v>88985</v>
      </c>
      <c r="BU20" s="36">
        <f>BT20</f>
        <v>88985</v>
      </c>
      <c r="BV20" s="36">
        <f>BV18-BV19</f>
        <v>81885</v>
      </c>
      <c r="BW20" s="36">
        <f>BW18-BW19</f>
        <v>74600</v>
      </c>
      <c r="BX20" s="36">
        <f>BX18-BX19</f>
        <v>67125</v>
      </c>
      <c r="BY20" s="36">
        <f>BY18-BY19</f>
        <v>59455</v>
      </c>
      <c r="BZ20" s="36">
        <f>BY20</f>
        <v>59455</v>
      </c>
    </row>
    <row r="21" spans="1:78">
      <c r="A21" s="1" t="s">
        <v>1251</v>
      </c>
      <c r="AO21" s="36"/>
      <c r="AP21" s="36"/>
      <c r="AQ21" s="36"/>
      <c r="AR21" s="615">
        <v>0.125</v>
      </c>
      <c r="AS21" s="615">
        <f>AR21+12.5%</f>
        <v>0.25</v>
      </c>
      <c r="AT21" s="615">
        <f>AS21+12.5%</f>
        <v>0.375</v>
      </c>
      <c r="AU21" s="615">
        <f>AT21+12.5%</f>
        <v>0.5</v>
      </c>
      <c r="AW21" s="615">
        <v>0.5</v>
      </c>
      <c r="AX21" s="615">
        <v>0.5</v>
      </c>
      <c r="AY21" s="261">
        <v>0.5</v>
      </c>
      <c r="AZ21" s="261">
        <v>0.5</v>
      </c>
      <c r="BB21" s="1156">
        <v>0.17499999999999999</v>
      </c>
      <c r="BC21" s="1156">
        <v>0.17499999999999999</v>
      </c>
      <c r="BD21" s="1156">
        <v>0.17499999999999999</v>
      </c>
      <c r="BE21" s="1156">
        <v>0.17499999999999999</v>
      </c>
      <c r="BG21" s="1144">
        <v>0.5</v>
      </c>
      <c r="BH21" s="1144">
        <v>0.5</v>
      </c>
      <c r="BI21" s="1144">
        <v>0.5</v>
      </c>
      <c r="BJ21" s="1144">
        <v>0.5</v>
      </c>
      <c r="BL21" s="1144">
        <v>0.75</v>
      </c>
      <c r="BM21" s="1144">
        <v>0.75</v>
      </c>
      <c r="BN21" s="1144">
        <v>0.75</v>
      </c>
      <c r="BO21" s="1144">
        <v>0.75</v>
      </c>
      <c r="BQ21" s="261">
        <v>1</v>
      </c>
      <c r="BR21" s="261">
        <v>1</v>
      </c>
      <c r="BS21" s="261">
        <v>1</v>
      </c>
      <c r="BT21" s="261">
        <v>1</v>
      </c>
      <c r="BV21" s="261">
        <v>1</v>
      </c>
      <c r="BW21" s="261">
        <v>1</v>
      </c>
      <c r="BX21" s="261">
        <v>1</v>
      </c>
      <c r="BY21" s="261">
        <v>1</v>
      </c>
    </row>
    <row r="22" spans="1:78">
      <c r="A22" s="25" t="s">
        <v>1098</v>
      </c>
    </row>
    <row r="23" spans="1:78">
      <c r="A23" s="1" t="s">
        <v>1094</v>
      </c>
      <c r="AO23" s="36"/>
      <c r="AP23" s="648">
        <f>'SVF Segment'!AP905</f>
        <v>200</v>
      </c>
      <c r="AQ23" s="36"/>
      <c r="AR23" s="648">
        <f>'SVF Segment'!AR905</f>
        <v>3700</v>
      </c>
      <c r="AS23" s="648">
        <f>'SVF Segment'!AS905</f>
        <v>300</v>
      </c>
      <c r="AT23" s="648">
        <f>'SVF Segment'!AT905</f>
        <v>1100</v>
      </c>
      <c r="AU23" s="648">
        <f>'SVF Segment'!AU905</f>
        <v>1900</v>
      </c>
      <c r="AW23" s="648">
        <f>'SVF Segment'!AW905</f>
        <v>4500</v>
      </c>
      <c r="AX23" s="648">
        <f>'SVF Segment'!AX905</f>
        <v>300</v>
      </c>
      <c r="AY23" s="622">
        <v>0</v>
      </c>
      <c r="AZ23" s="721">
        <f>AY172-AZ172</f>
        <v>179.83823529411734</v>
      </c>
      <c r="BB23" s="1143">
        <f>MROUND(BB19/0.85, 5)</f>
        <v>895</v>
      </c>
      <c r="BC23" s="1143">
        <f>MROUND(BC19/0.85, 5)</f>
        <v>1020</v>
      </c>
      <c r="BD23" s="1143">
        <f>MROUND(BD19/0.85, 5)</f>
        <v>1145</v>
      </c>
      <c r="BE23" s="1143">
        <f>MROUND(BE19/0.85, 5)</f>
        <v>1190</v>
      </c>
      <c r="BG23" s="61">
        <f>BF10-BG10</f>
        <v>2575</v>
      </c>
      <c r="BH23" s="61">
        <f>BG10-BH10</f>
        <v>2630</v>
      </c>
      <c r="BI23" s="61">
        <f>BH10-BI10</f>
        <v>2695</v>
      </c>
      <c r="BJ23" s="61">
        <f>BI10-BJ10</f>
        <v>2765</v>
      </c>
      <c r="BL23" s="61">
        <f>BK10-BL10</f>
        <v>4260</v>
      </c>
      <c r="BM23" s="61">
        <f>BL10-BM10</f>
        <v>4320</v>
      </c>
      <c r="BN23" s="61">
        <f>BM10-BN10</f>
        <v>4390</v>
      </c>
      <c r="BO23" s="61">
        <f>BN10-BO10</f>
        <v>4460</v>
      </c>
      <c r="BQ23" s="61">
        <f>BP10-BQ10</f>
        <v>6050</v>
      </c>
      <c r="BR23" s="61">
        <f>BQ10-BR10</f>
        <v>6055</v>
      </c>
      <c r="BS23" s="61">
        <f>BR10-BS10</f>
        <v>6060</v>
      </c>
      <c r="BT23" s="61">
        <f>BS10-BT10</f>
        <v>6070</v>
      </c>
      <c r="BV23" s="61">
        <f>BU10-BV10</f>
        <v>6075</v>
      </c>
      <c r="BW23" s="61">
        <f>BV10-BW10</f>
        <v>6080</v>
      </c>
      <c r="BX23" s="61">
        <f>BW10-BX10</f>
        <v>6085</v>
      </c>
      <c r="BY23" s="61">
        <f>BX10-BY10</f>
        <v>6090</v>
      </c>
    </row>
    <row r="24" spans="1:78">
      <c r="A24" s="1" t="s">
        <v>1096</v>
      </c>
      <c r="AO24" s="36"/>
      <c r="AP24" s="648">
        <f>'SVF Segment'!AP906</f>
        <v>0</v>
      </c>
      <c r="AQ24" s="36"/>
      <c r="AR24" s="648">
        <f>'SVF Segment'!AR906</f>
        <v>100</v>
      </c>
      <c r="AS24" s="648">
        <f>'SVF Segment'!AS906</f>
        <v>100</v>
      </c>
      <c r="AT24" s="648">
        <f>'SVF Segment'!AT906</f>
        <v>500</v>
      </c>
      <c r="AU24" s="648">
        <f>'SVF Segment'!AU906</f>
        <v>1700</v>
      </c>
      <c r="AW24" s="648">
        <f>'SVF Segment'!AW906</f>
        <v>2200</v>
      </c>
      <c r="AX24" s="648">
        <f>'SVF Segment'!AX906</f>
        <v>200</v>
      </c>
      <c r="AY24" s="622">
        <f>AY53</f>
        <v>0</v>
      </c>
      <c r="AZ24" s="721">
        <f>AZ19</f>
        <v>480</v>
      </c>
      <c r="BB24" s="61">
        <f>BB19</f>
        <v>760</v>
      </c>
      <c r="BC24" s="61">
        <f>BC19</f>
        <v>865</v>
      </c>
      <c r="BD24" s="61">
        <f>BD19</f>
        <v>975</v>
      </c>
      <c r="BE24" s="61">
        <f>BE19</f>
        <v>1010</v>
      </c>
      <c r="BG24" s="61">
        <f>BG19</f>
        <v>3025</v>
      </c>
      <c r="BH24" s="61">
        <f>BH19</f>
        <v>3130</v>
      </c>
      <c r="BI24" s="61">
        <f>BI19</f>
        <v>3245</v>
      </c>
      <c r="BJ24" s="61">
        <f>BJ19</f>
        <v>3365</v>
      </c>
      <c r="BL24" s="61">
        <f>BL19</f>
        <v>5245</v>
      </c>
      <c r="BM24" s="61">
        <f>BM19</f>
        <v>5380</v>
      </c>
      <c r="BN24" s="61">
        <f>BN19</f>
        <v>5530</v>
      </c>
      <c r="BO24" s="61">
        <f>BO19</f>
        <v>5685</v>
      </c>
      <c r="BQ24" s="61">
        <f>BQ19</f>
        <v>7800</v>
      </c>
      <c r="BR24" s="61">
        <f>BR19</f>
        <v>7895</v>
      </c>
      <c r="BS24" s="61">
        <f>BS19</f>
        <v>7990</v>
      </c>
      <c r="BT24" s="61">
        <f>BT19</f>
        <v>8090</v>
      </c>
      <c r="BV24" s="61">
        <f>BV19</f>
        <v>8190</v>
      </c>
      <c r="BW24" s="61">
        <f>BW19</f>
        <v>8290</v>
      </c>
      <c r="BX24" s="61">
        <f>BX19</f>
        <v>8390</v>
      </c>
      <c r="BY24" s="61">
        <f>BY19</f>
        <v>8495</v>
      </c>
    </row>
    <row r="25" spans="1:78">
      <c r="A25" s="1" t="s">
        <v>1095</v>
      </c>
      <c r="AP25" s="771">
        <f>AP24/AP23</f>
        <v>0</v>
      </c>
      <c r="AR25" s="771">
        <f>AR24/AR23</f>
        <v>2.7027027027027029E-2</v>
      </c>
      <c r="AS25" s="771">
        <f>AS24/AS23</f>
        <v>0.33333333333333331</v>
      </c>
      <c r="AT25" s="771">
        <f>AT24/AT23</f>
        <v>0.45454545454545453</v>
      </c>
      <c r="AU25" s="771">
        <f>AU24/AU23</f>
        <v>0.89473684210526316</v>
      </c>
      <c r="AW25" s="771">
        <f>AW24/AW23</f>
        <v>0.48888888888888887</v>
      </c>
      <c r="AX25" s="771">
        <f>AX24/AX23</f>
        <v>0.66666666666666663</v>
      </c>
      <c r="AY25" s="339" t="e">
        <f>AY24/AY23</f>
        <v>#DIV/0!</v>
      </c>
      <c r="AZ25" s="339">
        <f>AZ24/AZ23</f>
        <v>2.6690653364952208</v>
      </c>
      <c r="BB25" s="339">
        <f>BB24/BB23</f>
        <v>0.84916201117318435</v>
      </c>
      <c r="BC25" s="339">
        <f>BC24/BC23</f>
        <v>0.84803921568627449</v>
      </c>
      <c r="BD25" s="339">
        <f>BD24/BD23</f>
        <v>0.85152838427947597</v>
      </c>
      <c r="BE25" s="339">
        <f>BE24/BE23</f>
        <v>0.84873949579831931</v>
      </c>
      <c r="BG25" s="339">
        <f>BG24/BG23</f>
        <v>1.174757281553398</v>
      </c>
      <c r="BH25" s="339">
        <f>BH24/BH23</f>
        <v>1.1901140684410647</v>
      </c>
      <c r="BI25" s="339">
        <f>BI24/BI23</f>
        <v>1.2040816326530612</v>
      </c>
      <c r="BJ25" s="339">
        <f>BJ24/BJ23</f>
        <v>1.2169981916817361</v>
      </c>
      <c r="BL25" s="339">
        <f>BL24/BL23</f>
        <v>1.2312206572769953</v>
      </c>
      <c r="BM25" s="339">
        <f>BM24/BM23</f>
        <v>1.2453703703703705</v>
      </c>
      <c r="BN25" s="339">
        <f>BN24/BN23</f>
        <v>1.2596810933940774</v>
      </c>
      <c r="BO25" s="339">
        <f>BO24/BO23</f>
        <v>1.2746636771300448</v>
      </c>
      <c r="BQ25" s="339">
        <f>BQ24/BQ23</f>
        <v>1.2892561983471074</v>
      </c>
      <c r="BR25" s="339">
        <f>BR24/BR23</f>
        <v>1.3038810900082576</v>
      </c>
      <c r="BS25" s="339">
        <f>BS24/BS23</f>
        <v>1.3184818481848184</v>
      </c>
      <c r="BT25" s="339">
        <f>BT24/BT23</f>
        <v>1.3327841845140034</v>
      </c>
      <c r="BV25" s="339">
        <f>BV24/BV23</f>
        <v>1.3481481481481481</v>
      </c>
      <c r="BW25" s="339">
        <f>BW24/BW23</f>
        <v>1.3634868421052631</v>
      </c>
      <c r="BX25" s="339">
        <f>BX24/BX23</f>
        <v>1.3788003286770747</v>
      </c>
      <c r="BY25" s="339">
        <f>BY24/BY23</f>
        <v>1.3949096880131362</v>
      </c>
    </row>
    <row r="27" spans="1:78">
      <c r="A27" s="1" t="s">
        <v>441</v>
      </c>
      <c r="AO27" s="61">
        <f>'SVF Segment'!AO890</f>
        <v>52300</v>
      </c>
      <c r="AP27" s="61">
        <f>'SVF Segment'!AP890</f>
        <v>52400</v>
      </c>
      <c r="AQ27" s="61">
        <f>'SVF Segment'!AQ890</f>
        <v>52400</v>
      </c>
      <c r="AR27" s="61">
        <f>'SVF Segment'!AR890</f>
        <v>53000</v>
      </c>
      <c r="AS27" s="61">
        <f>'SVF Segment'!AS890</f>
        <v>53600</v>
      </c>
      <c r="AT27" s="61">
        <f>'SVF Segment'!AT890</f>
        <v>55200</v>
      </c>
      <c r="AU27" s="61">
        <f>'SVF Segment'!AU890</f>
        <v>60800</v>
      </c>
      <c r="AV27" s="61">
        <f>'SVF Segment'!AV890</f>
        <v>60800</v>
      </c>
      <c r="AW27" s="61">
        <f>'SVF Segment'!AW890</f>
        <v>70900</v>
      </c>
      <c r="AX27" s="61">
        <f>'SVF Segment'!AX890</f>
        <v>73700</v>
      </c>
      <c r="AY27" s="61">
        <f>'SVF Segment'!AY890</f>
        <v>95200</v>
      </c>
      <c r="AZ27" s="622">
        <f>AY27+(AZ165-AY165)</f>
        <v>95700</v>
      </c>
      <c r="BA27" s="36">
        <f>AZ27</f>
        <v>95700</v>
      </c>
      <c r="BB27" s="1143">
        <f>BA27+'TopCo Net debt waterfall'!BB26</f>
        <v>105700</v>
      </c>
      <c r="BC27" s="1143">
        <f>BB27+'TopCo Net debt waterfall'!BC26</f>
        <v>115700</v>
      </c>
      <c r="BD27" s="1143">
        <f>BC27+'TopCo Net debt waterfall'!BD26</f>
        <v>125700</v>
      </c>
      <c r="BE27" s="1143">
        <f>BD27+'TopCo Net debt waterfall'!BE26</f>
        <v>125700</v>
      </c>
      <c r="BF27" s="36">
        <f>BE27</f>
        <v>125700</v>
      </c>
      <c r="BG27" s="622">
        <f t="shared" ref="BG27:BJ27" si="21">BF27</f>
        <v>125700</v>
      </c>
      <c r="BH27" s="622">
        <f t="shared" si="21"/>
        <v>125700</v>
      </c>
      <c r="BI27" s="622">
        <f t="shared" si="21"/>
        <v>125700</v>
      </c>
      <c r="BJ27" s="622">
        <f t="shared" si="21"/>
        <v>125700</v>
      </c>
      <c r="BK27" s="36">
        <f>BJ27</f>
        <v>125700</v>
      </c>
      <c r="BL27" s="622">
        <f t="shared" ref="BL27:BO27" si="22">BK27</f>
        <v>125700</v>
      </c>
      <c r="BM27" s="622">
        <f t="shared" si="22"/>
        <v>125700</v>
      </c>
      <c r="BN27" s="622">
        <f t="shared" si="22"/>
        <v>125700</v>
      </c>
      <c r="BO27" s="622">
        <f t="shared" si="22"/>
        <v>125700</v>
      </c>
      <c r="BP27" s="36">
        <f>BO27</f>
        <v>125700</v>
      </c>
      <c r="BQ27" s="622">
        <f t="shared" ref="BQ27:BT27" si="23">BP27</f>
        <v>125700</v>
      </c>
      <c r="BR27" s="622">
        <f t="shared" si="23"/>
        <v>125700</v>
      </c>
      <c r="BS27" s="622">
        <f t="shared" si="23"/>
        <v>125700</v>
      </c>
      <c r="BT27" s="622">
        <f t="shared" si="23"/>
        <v>125700</v>
      </c>
      <c r="BU27" s="36">
        <f>BT27</f>
        <v>125700</v>
      </c>
      <c r="BV27" s="622">
        <f t="shared" ref="BV27:BY27" si="24">BU27</f>
        <v>125700</v>
      </c>
      <c r="BW27" s="622">
        <f t="shared" si="24"/>
        <v>125700</v>
      </c>
      <c r="BX27" s="622">
        <f t="shared" si="24"/>
        <v>125700</v>
      </c>
      <c r="BY27" s="622">
        <f t="shared" si="24"/>
        <v>125700</v>
      </c>
      <c r="BZ27" s="36">
        <f>BY27</f>
        <v>125700</v>
      </c>
    </row>
    <row r="28" spans="1:78">
      <c r="A28" s="1" t="s">
        <v>442</v>
      </c>
      <c r="AO28" s="61">
        <f>'SVF Segment'!AO891</f>
        <v>33300</v>
      </c>
      <c r="AP28" s="61">
        <f>'SVF Segment'!AP891</f>
        <v>33100</v>
      </c>
      <c r="AQ28" s="61">
        <f>'SVF Segment'!AQ891</f>
        <v>33100</v>
      </c>
      <c r="AR28" s="61">
        <f>'SVF Segment'!AR891</f>
        <v>31100</v>
      </c>
      <c r="AS28" s="61">
        <f>'SVF Segment'!AS891</f>
        <v>32600</v>
      </c>
      <c r="AT28" s="61">
        <f>'SVF Segment'!AT891</f>
        <v>33000</v>
      </c>
      <c r="AU28" s="61">
        <f>'SVF Segment'!AU891</f>
        <v>37900</v>
      </c>
      <c r="AV28" s="61">
        <f>'SVF Segment'!AV891</f>
        <v>37900</v>
      </c>
      <c r="AW28" s="61">
        <f>'SVF Segment'!AW891</f>
        <v>48800</v>
      </c>
      <c r="AX28" s="61">
        <f>'SVF Segment'!AX891</f>
        <v>64600</v>
      </c>
      <c r="AY28" s="61">
        <f>'SVF Segment'!AY891</f>
        <v>92700</v>
      </c>
      <c r="AZ28" s="622">
        <f>AY28+AZ18-AY20</f>
        <v>92870</v>
      </c>
      <c r="BA28" s="36">
        <f>AZ28</f>
        <v>92870</v>
      </c>
      <c r="BB28" s="36">
        <f>BA28+BB18-BA20</f>
        <v>123945</v>
      </c>
      <c r="BC28" s="36">
        <f>BB28+BC18-BB20</f>
        <v>135875</v>
      </c>
      <c r="BD28" s="36">
        <f>BC28+BD18-BC20</f>
        <v>147810</v>
      </c>
      <c r="BE28" s="36">
        <f>BD28+BE18-BD20</f>
        <v>147760</v>
      </c>
      <c r="BF28" s="36">
        <f>BE28</f>
        <v>147760</v>
      </c>
      <c r="BG28" s="36">
        <f>BF28+BG18-BF20</f>
        <v>149445</v>
      </c>
      <c r="BH28" s="36">
        <f>BG28+BH18-BG20</f>
        <v>151115</v>
      </c>
      <c r="BI28" s="36">
        <f>BH28+BI18-BH20</f>
        <v>152765</v>
      </c>
      <c r="BJ28" s="36">
        <f>BI28+BJ18-BI20</f>
        <v>154395</v>
      </c>
      <c r="BK28" s="36">
        <f>BJ28</f>
        <v>154395</v>
      </c>
      <c r="BL28" s="36">
        <f>BK28+BL18-BK20</f>
        <v>156005</v>
      </c>
      <c r="BM28" s="36">
        <f>BL28+BM18-BL20</f>
        <v>157570</v>
      </c>
      <c r="BN28" s="36">
        <f>BM28+BN18-BM20</f>
        <v>159090</v>
      </c>
      <c r="BO28" s="36">
        <f>BN28+BO18-BN20</f>
        <v>160560</v>
      </c>
      <c r="BP28" s="36">
        <f>BO28</f>
        <v>160560</v>
      </c>
      <c r="BQ28" s="36">
        <f>BP28+BQ18-BP20</f>
        <v>161980</v>
      </c>
      <c r="BR28" s="36">
        <f>BQ28+BR18-BQ20</f>
        <v>163320</v>
      </c>
      <c r="BS28" s="36">
        <f>BR28+BS18-BR20</f>
        <v>164580</v>
      </c>
      <c r="BT28" s="36">
        <f>BS28+BT18-BS20</f>
        <v>165755</v>
      </c>
      <c r="BU28" s="36">
        <f>BT28</f>
        <v>165755</v>
      </c>
      <c r="BV28" s="36">
        <f>BU28+BV18-BU20</f>
        <v>166845</v>
      </c>
      <c r="BW28" s="36">
        <f>BV28+BW18-BV20</f>
        <v>167850</v>
      </c>
      <c r="BX28" s="36">
        <f>BW28+BX18-BW20</f>
        <v>168765</v>
      </c>
      <c r="BY28" s="36">
        <f>BX28+BY18-BX20</f>
        <v>169590</v>
      </c>
      <c r="BZ28" s="36">
        <f>BY28</f>
        <v>169590</v>
      </c>
    </row>
    <row r="29" spans="1:78">
      <c r="A29" s="1" t="s">
        <v>1250</v>
      </c>
      <c r="AO29" s="339">
        <f>AO28/AO27</f>
        <v>0.6367112810707457</v>
      </c>
      <c r="AP29" s="339">
        <f t="shared" ref="AP29:AR29" si="25">AP28/AP27</f>
        <v>0.63167938931297707</v>
      </c>
      <c r="AQ29" s="339">
        <f t="shared" si="25"/>
        <v>0.63167938931297707</v>
      </c>
      <c r="AR29" s="339">
        <f t="shared" si="25"/>
        <v>0.58679245283018866</v>
      </c>
      <c r="AS29" s="339">
        <f t="shared" ref="AS29:AT29" si="26">AS28/AS27</f>
        <v>0.60820895522388063</v>
      </c>
      <c r="AT29" s="339">
        <f t="shared" si="26"/>
        <v>0.59782608695652173</v>
      </c>
      <c r="AU29" s="339">
        <f t="shared" ref="AU29:AV29" si="27">AU28/AU27</f>
        <v>0.62335526315789469</v>
      </c>
      <c r="AV29" s="339">
        <f t="shared" si="27"/>
        <v>0.62335526315789469</v>
      </c>
      <c r="AW29" s="339">
        <f t="shared" ref="AW29:AX29" si="28">AW28/AW27</f>
        <v>0.68829337094499299</v>
      </c>
      <c r="AX29" s="339">
        <f t="shared" si="28"/>
        <v>0.87652645861601086</v>
      </c>
      <c r="AY29" s="339">
        <f t="shared" ref="AY29" si="29">AY28/AY27</f>
        <v>0.97373949579831931</v>
      </c>
      <c r="AZ29" s="167">
        <f t="shared" ref="AZ29" si="30">AZ28/AZ27</f>
        <v>0.97042842215256009</v>
      </c>
      <c r="BA29" s="167">
        <f>BA28/BA27</f>
        <v>0.97042842215256009</v>
      </c>
      <c r="BB29" s="167">
        <f t="shared" ref="BB29" si="31">BB28/BB27</f>
        <v>1.1726111636707663</v>
      </c>
      <c r="BC29" s="167">
        <f t="shared" ref="BC29" si="32">BC28/BC27</f>
        <v>1.1743733794295592</v>
      </c>
      <c r="BD29" s="167">
        <f t="shared" ref="BD29" si="33">BD28/BD27</f>
        <v>1.1758949880668257</v>
      </c>
      <c r="BE29" s="167">
        <f t="shared" ref="BE29" si="34">BE28/BE27</f>
        <v>1.1754972155926811</v>
      </c>
      <c r="BF29" s="167">
        <f>BF28/BF27</f>
        <v>1.1754972155926811</v>
      </c>
      <c r="BG29" s="167">
        <f t="shared" ref="BG29" si="35">BG28/BG27</f>
        <v>1.1889021479713604</v>
      </c>
      <c r="BH29" s="167">
        <f t="shared" ref="BH29" si="36">BH28/BH27</f>
        <v>1.2021877486077963</v>
      </c>
      <c r="BI29" s="167">
        <f t="shared" ref="BI29" si="37">BI28/BI27</f>
        <v>1.2153142402545745</v>
      </c>
      <c r="BJ29" s="167">
        <f t="shared" ref="BJ29" si="38">BJ28/BJ27</f>
        <v>1.2282816229116944</v>
      </c>
      <c r="BK29" s="167">
        <f>BK28/BK27</f>
        <v>1.2282816229116944</v>
      </c>
      <c r="BL29" s="167">
        <f t="shared" ref="BL29" si="39">BL28/BL27</f>
        <v>1.2410898965791568</v>
      </c>
      <c r="BM29" s="167">
        <f t="shared" ref="BM29" si="40">BM28/BM27</f>
        <v>1.2535401750198887</v>
      </c>
      <c r="BN29" s="167">
        <f t="shared" ref="BN29" si="41">BN28/BN27</f>
        <v>1.2656324582338903</v>
      </c>
      <c r="BO29" s="167">
        <f t="shared" ref="BO29" si="42">BO28/BO27</f>
        <v>1.277326968973747</v>
      </c>
      <c r="BP29" s="167">
        <f>BP28/BP27</f>
        <v>1.277326968973747</v>
      </c>
      <c r="BQ29" s="167">
        <f t="shared" ref="BQ29" si="43">BQ28/BQ27</f>
        <v>1.2886237072394591</v>
      </c>
      <c r="BR29" s="167">
        <f t="shared" ref="BR29" si="44">BR28/BR27</f>
        <v>1.2992840095465394</v>
      </c>
      <c r="BS29" s="167">
        <f t="shared" ref="BS29" si="45">BS28/BS27</f>
        <v>1.3093078758949881</v>
      </c>
      <c r="BT29" s="167">
        <f t="shared" ref="BT29" si="46">BT28/BT27</f>
        <v>1.3186555290373907</v>
      </c>
      <c r="BU29" s="167">
        <f>BU28/BU27</f>
        <v>1.3186555290373907</v>
      </c>
      <c r="BV29" s="167">
        <f t="shared" ref="BV29" si="47">BV28/BV27</f>
        <v>1.327326968973747</v>
      </c>
      <c r="BW29" s="167">
        <f t="shared" ref="BW29" si="48">BW28/BW27</f>
        <v>1.3353221957040573</v>
      </c>
      <c r="BX29" s="167">
        <f t="shared" ref="BX29" si="49">BX28/BX27</f>
        <v>1.342601431980907</v>
      </c>
      <c r="BY29" s="167">
        <f t="shared" ref="BY29" si="50">BY28/BY27</f>
        <v>1.3491646778042961</v>
      </c>
      <c r="BZ29" s="167">
        <f>BZ28/BZ27</f>
        <v>1.3491646778042961</v>
      </c>
    </row>
    <row r="31" spans="1:78">
      <c r="A31" s="26" t="s">
        <v>1303</v>
      </c>
      <c r="AO31" s="260">
        <f t="shared" ref="AO31:BZ31" si="51">AO28/AO27</f>
        <v>0.6367112810707457</v>
      </c>
      <c r="AP31" s="260">
        <f t="shared" si="51"/>
        <v>0.63167938931297707</v>
      </c>
      <c r="AQ31" s="260">
        <f t="shared" si="51"/>
        <v>0.63167938931297707</v>
      </c>
      <c r="AR31" s="260">
        <f t="shared" si="51"/>
        <v>0.58679245283018866</v>
      </c>
      <c r="AS31" s="260">
        <f t="shared" si="51"/>
        <v>0.60820895522388063</v>
      </c>
      <c r="AT31" s="260">
        <f t="shared" si="51"/>
        <v>0.59782608695652173</v>
      </c>
      <c r="AU31" s="260">
        <f t="shared" si="51"/>
        <v>0.62335526315789469</v>
      </c>
      <c r="AV31" s="260">
        <f t="shared" si="51"/>
        <v>0.62335526315789469</v>
      </c>
      <c r="AW31" s="260">
        <f t="shared" si="51"/>
        <v>0.68829337094499299</v>
      </c>
      <c r="AX31" s="260">
        <f t="shared" si="51"/>
        <v>0.87652645861601086</v>
      </c>
      <c r="AY31" s="260">
        <f t="shared" si="51"/>
        <v>0.97373949579831931</v>
      </c>
      <c r="AZ31" s="260">
        <f t="shared" si="51"/>
        <v>0.97042842215256009</v>
      </c>
      <c r="BA31" s="260">
        <f t="shared" si="51"/>
        <v>0.97042842215256009</v>
      </c>
      <c r="BB31" s="260">
        <f t="shared" si="51"/>
        <v>1.1726111636707663</v>
      </c>
      <c r="BC31" s="260">
        <f t="shared" si="51"/>
        <v>1.1743733794295592</v>
      </c>
      <c r="BD31" s="260">
        <f t="shared" si="51"/>
        <v>1.1758949880668257</v>
      </c>
      <c r="BE31" s="260">
        <f t="shared" si="51"/>
        <v>1.1754972155926811</v>
      </c>
      <c r="BF31" s="260">
        <f t="shared" si="51"/>
        <v>1.1754972155926811</v>
      </c>
      <c r="BG31" s="260">
        <f t="shared" si="51"/>
        <v>1.1889021479713604</v>
      </c>
      <c r="BH31" s="260">
        <f t="shared" si="51"/>
        <v>1.2021877486077963</v>
      </c>
      <c r="BI31" s="260">
        <f t="shared" si="51"/>
        <v>1.2153142402545745</v>
      </c>
      <c r="BJ31" s="260">
        <f t="shared" si="51"/>
        <v>1.2282816229116944</v>
      </c>
      <c r="BK31" s="260">
        <f t="shared" si="51"/>
        <v>1.2282816229116944</v>
      </c>
      <c r="BL31" s="260">
        <f t="shared" si="51"/>
        <v>1.2410898965791568</v>
      </c>
      <c r="BM31" s="260">
        <f t="shared" si="51"/>
        <v>1.2535401750198887</v>
      </c>
      <c r="BN31" s="260">
        <f t="shared" si="51"/>
        <v>1.2656324582338903</v>
      </c>
      <c r="BO31" s="260">
        <f t="shared" si="51"/>
        <v>1.277326968973747</v>
      </c>
      <c r="BP31" s="260">
        <f t="shared" si="51"/>
        <v>1.277326968973747</v>
      </c>
      <c r="BQ31" s="260">
        <f t="shared" si="51"/>
        <v>1.2886237072394591</v>
      </c>
      <c r="BR31" s="260">
        <f t="shared" si="51"/>
        <v>1.2992840095465394</v>
      </c>
      <c r="BS31" s="260">
        <f t="shared" si="51"/>
        <v>1.3093078758949881</v>
      </c>
      <c r="BT31" s="260">
        <f t="shared" si="51"/>
        <v>1.3186555290373907</v>
      </c>
      <c r="BU31" s="260">
        <f t="shared" si="51"/>
        <v>1.3186555290373907</v>
      </c>
      <c r="BV31" s="260">
        <f t="shared" si="51"/>
        <v>1.327326968973747</v>
      </c>
      <c r="BW31" s="260">
        <f t="shared" si="51"/>
        <v>1.3353221957040573</v>
      </c>
      <c r="BX31" s="260">
        <f t="shared" si="51"/>
        <v>1.342601431980907</v>
      </c>
      <c r="BY31" s="260">
        <f t="shared" si="51"/>
        <v>1.3491646778042961</v>
      </c>
      <c r="BZ31" s="260">
        <f t="shared" si="51"/>
        <v>1.3491646778042961</v>
      </c>
    </row>
    <row r="32" spans="1:78">
      <c r="A32" s="25" t="s">
        <v>1313</v>
      </c>
    </row>
    <row r="33" spans="1:75" s="79" customFormat="1">
      <c r="A33" s="82"/>
    </row>
    <row r="34" spans="1:75" s="79" customFormat="1">
      <c r="A34" s="3" t="s">
        <v>2637</v>
      </c>
    </row>
    <row r="35" spans="1:75" s="79" customFormat="1">
      <c r="A35" s="82"/>
    </row>
    <row r="36" spans="1:75" s="79" customFormat="1">
      <c r="A36" s="1" t="s">
        <v>2638</v>
      </c>
      <c r="AR36" s="92">
        <f>(AR28-AQ28)-(AR27-AQ27)</f>
        <v>-2600</v>
      </c>
      <c r="AS36" s="649">
        <f t="shared" ref="AS36:AZ36" si="52">(AS28-AR28)-(AS27-AR27)</f>
        <v>900</v>
      </c>
      <c r="AT36" s="92">
        <f t="shared" si="52"/>
        <v>-1200</v>
      </c>
      <c r="AU36" s="92">
        <f>(AU28-AT28)-(AU27-AT27)</f>
        <v>-700</v>
      </c>
      <c r="AV36" s="59">
        <f>SUM(AR36:AU36)</f>
        <v>-3600</v>
      </c>
      <c r="AW36" s="649">
        <f t="shared" si="52"/>
        <v>800</v>
      </c>
      <c r="AX36" s="649">
        <f t="shared" si="52"/>
        <v>13000</v>
      </c>
      <c r="AY36" s="649">
        <f t="shared" si="52"/>
        <v>6600</v>
      </c>
      <c r="AZ36" s="92">
        <f>(AZ28-AY28)-(AZ27-AY27)</f>
        <v>-330</v>
      </c>
      <c r="BA36" s="59">
        <f>SUM(AW36:AZ36)</f>
        <v>20070</v>
      </c>
    </row>
    <row r="37" spans="1:75" s="79" customFormat="1">
      <c r="A37" s="135" t="s">
        <v>2639</v>
      </c>
      <c r="AR37" s="92">
        <f>-MROUND(-AR36, 5)</f>
        <v>-2600</v>
      </c>
      <c r="AS37" s="649">
        <f>MROUND(AS36, 5)</f>
        <v>900</v>
      </c>
      <c r="AT37" s="92">
        <f>-MROUND(-AT36, 5)</f>
        <v>-1200</v>
      </c>
      <c r="AU37" s="92">
        <f>-MROUND(-AU36, 5)</f>
        <v>-700</v>
      </c>
      <c r="AV37" s="59">
        <f>SUM(AR37:AU37)</f>
        <v>-3600</v>
      </c>
      <c r="AW37" s="649">
        <f>MROUND(AW36, 5)</f>
        <v>800</v>
      </c>
      <c r="AX37" s="649">
        <f>MROUND(AX36, 5)</f>
        <v>13000</v>
      </c>
      <c r="AY37" s="649">
        <f>MROUND(AY36, 5)</f>
        <v>6600</v>
      </c>
      <c r="AZ37" s="92">
        <f>-MROUND(-AZ36, 5)</f>
        <v>-330</v>
      </c>
      <c r="BA37" s="59">
        <f>SUM(AW37:AZ37)</f>
        <v>20070</v>
      </c>
    </row>
    <row r="38" spans="1:75" s="79" customFormat="1">
      <c r="A38" s="82"/>
    </row>
    <row r="39" spans="1:75" s="46" customFormat="1">
      <c r="A39" s="47" t="s">
        <v>1266</v>
      </c>
      <c r="AZ39" s="886" t="s">
        <v>3119</v>
      </c>
      <c r="BA39" s="524"/>
      <c r="BB39" s="524"/>
      <c r="BC39" s="524"/>
      <c r="BD39" s="524"/>
      <c r="BE39" s="524"/>
    </row>
    <row r="41" spans="1:75">
      <c r="A41" s="3" t="s">
        <v>1267</v>
      </c>
      <c r="BH41" s="3" t="s">
        <v>2387</v>
      </c>
      <c r="BM41" s="189" t="s">
        <v>2829</v>
      </c>
      <c r="BN41" s="26"/>
      <c r="BO41" s="26"/>
      <c r="BP41" s="26"/>
      <c r="BQ41" s="26"/>
      <c r="BS41" s="343" t="s">
        <v>2841</v>
      </c>
      <c r="BT41" s="79"/>
      <c r="BU41" s="79"/>
      <c r="BV41" s="79"/>
      <c r="BW41" s="79"/>
    </row>
    <row r="42" spans="1:75">
      <c r="AW42" s="685" t="s">
        <v>3107</v>
      </c>
      <c r="AX42" s="618"/>
      <c r="AY42" s="618"/>
      <c r="AZ42" s="618"/>
      <c r="BA42" s="618"/>
      <c r="BM42" s="26"/>
      <c r="BN42" s="26"/>
      <c r="BO42" s="26"/>
      <c r="BP42" s="26"/>
      <c r="BQ42" s="26"/>
      <c r="BS42" s="79"/>
      <c r="BT42" s="79"/>
      <c r="BU42" s="79"/>
      <c r="BV42" s="79"/>
      <c r="BW42" s="79"/>
    </row>
    <row r="43" spans="1:75">
      <c r="A43" s="5" t="s">
        <v>1268</v>
      </c>
      <c r="AO43" s="151">
        <v>2600</v>
      </c>
      <c r="AP43" s="151">
        <v>2400</v>
      </c>
      <c r="AQ43" s="36">
        <f t="shared" ref="AQ43" si="53">AP43</f>
        <v>2400</v>
      </c>
      <c r="AR43" s="151">
        <v>1600</v>
      </c>
      <c r="AS43" s="151">
        <v>1400</v>
      </c>
      <c r="AT43" s="151">
        <v>1300</v>
      </c>
      <c r="AU43" s="151">
        <v>1200</v>
      </c>
      <c r="AV43" s="36">
        <f t="shared" ref="AV43:AV53" si="54">AU43</f>
        <v>1200</v>
      </c>
      <c r="AW43" s="681">
        <f>MROUND(AW194*AW197, 5)</f>
        <v>820</v>
      </c>
      <c r="AX43" s="681">
        <f>MROUND(AX194*AX197, 5)</f>
        <v>1250</v>
      </c>
      <c r="AY43" s="681">
        <f>MROUND(AY194*AY197, 5)</f>
        <v>1605</v>
      </c>
      <c r="AZ43" s="681">
        <f>MROUND(AZ194*AZ197, 5)</f>
        <v>1575</v>
      </c>
      <c r="BA43" s="36">
        <f t="shared" ref="BA43:BE65" si="55">AZ43</f>
        <v>1575</v>
      </c>
      <c r="BB43" s="681">
        <f>MROUND(BB194*BB197, 5)</f>
        <v>1575</v>
      </c>
      <c r="BC43" s="681">
        <f>MROUND(BC194*BC197, 5)</f>
        <v>1575</v>
      </c>
      <c r="BD43" s="681">
        <f>MROUND(BD194*BD197, 5)</f>
        <v>1575</v>
      </c>
      <c r="BE43" s="681">
        <f>MROUND(BE194*BE197, 5)</f>
        <v>1575</v>
      </c>
      <c r="BF43" s="36">
        <f t="shared" ref="BF43:BF52" si="56">BE43</f>
        <v>1575</v>
      </c>
      <c r="BH43" s="5" t="s">
        <v>2726</v>
      </c>
      <c r="BJ43" s="36">
        <f>MROUND(AY143, 5)</f>
        <v>54400</v>
      </c>
      <c r="BK43" s="541">
        <f t="shared" ref="BK43:BK51" si="57">BJ43/1000</f>
        <v>54.4</v>
      </c>
      <c r="BL43" s="554">
        <f t="shared" ref="BL43:BL52" si="58">BK43/$BK$53</f>
        <v>0.62962962962962954</v>
      </c>
      <c r="BM43" s="26"/>
      <c r="BN43" s="26"/>
      <c r="BO43" s="26"/>
      <c r="BP43" s="764" t="s">
        <v>2392</v>
      </c>
      <c r="BQ43" s="764" t="s">
        <v>2391</v>
      </c>
      <c r="BS43" s="5" t="s">
        <v>2726</v>
      </c>
      <c r="BT43" s="79"/>
      <c r="BU43" s="59">
        <f>BJ43</f>
        <v>54400</v>
      </c>
      <c r="BV43" s="541">
        <f>BU43/1000</f>
        <v>54.4</v>
      </c>
      <c r="BW43" s="769"/>
    </row>
    <row r="44" spans="1:75">
      <c r="A44" s="5" t="s">
        <v>3362</v>
      </c>
      <c r="AO44" s="38"/>
      <c r="AP44" s="38"/>
      <c r="AQ44" s="36"/>
      <c r="AR44" s="38"/>
      <c r="AS44" s="38"/>
      <c r="AT44" s="38"/>
      <c r="AU44" s="38"/>
      <c r="AV44" s="36"/>
      <c r="AW44" s="680"/>
      <c r="AX44" s="680"/>
      <c r="AY44" s="151">
        <v>1100</v>
      </c>
      <c r="AZ44" s="80">
        <f>MROUND(AZ223*AZ226, 5)</f>
        <v>1335</v>
      </c>
      <c r="BA44" s="36">
        <f t="shared" si="55"/>
        <v>1335</v>
      </c>
      <c r="BB44" s="80">
        <f>MROUND(BB223*BB226, 5)</f>
        <v>1335</v>
      </c>
      <c r="BC44" s="80">
        <f>MROUND(BC223*BC226, 5)</f>
        <v>1335</v>
      </c>
      <c r="BD44" s="80">
        <f>MROUND(BD223*BD226, 5)</f>
        <v>1335</v>
      </c>
      <c r="BE44" s="80">
        <f>MROUND(BE223*BE226, 5)</f>
        <v>1335</v>
      </c>
      <c r="BF44" s="36">
        <f t="shared" si="56"/>
        <v>1335</v>
      </c>
      <c r="BH44" s="5" t="s">
        <v>2830</v>
      </c>
      <c r="BJ44" s="622">
        <f>MROUND(AY146, 5)</f>
        <v>90</v>
      </c>
      <c r="BK44" s="541">
        <f t="shared" si="57"/>
        <v>0.09</v>
      </c>
      <c r="BL44" s="554">
        <f t="shared" si="58"/>
        <v>1.0416666666666667E-3</v>
      </c>
      <c r="BM44" s="29" t="s">
        <v>2403</v>
      </c>
      <c r="BN44" s="26"/>
      <c r="BO44" s="26"/>
      <c r="BP44" s="765">
        <v>0.45</v>
      </c>
      <c r="BQ44" s="549">
        <f>BK43</f>
        <v>54.4</v>
      </c>
      <c r="BS44" s="5" t="s">
        <v>2830</v>
      </c>
      <c r="BT44" s="79"/>
      <c r="BU44" s="59">
        <f>BJ44</f>
        <v>90</v>
      </c>
      <c r="BV44" s="541">
        <f t="shared" ref="BV44:BV51" si="59">BU44/1000</f>
        <v>0.09</v>
      </c>
      <c r="BW44" s="769"/>
    </row>
    <row r="45" spans="1:75">
      <c r="A45" s="5" t="s">
        <v>3363</v>
      </c>
      <c r="AO45" s="38"/>
      <c r="AP45" s="38"/>
      <c r="AQ45" s="36"/>
      <c r="AR45" s="38"/>
      <c r="AS45" s="38"/>
      <c r="AT45" s="38"/>
      <c r="AU45" s="38"/>
      <c r="AV45" s="36"/>
      <c r="AW45" s="680"/>
      <c r="AX45" s="680"/>
      <c r="AY45" s="151">
        <v>800</v>
      </c>
      <c r="AZ45" s="80">
        <f>MROUND(AZ252*AZ255, 5)</f>
        <v>690</v>
      </c>
      <c r="BA45" s="36">
        <f t="shared" si="55"/>
        <v>690</v>
      </c>
      <c r="BB45" s="80">
        <f t="shared" ref="BB45:BE45" si="60">MROUND(BB252*BB255, 5)</f>
        <v>690</v>
      </c>
      <c r="BC45" s="80">
        <f t="shared" si="60"/>
        <v>690</v>
      </c>
      <c r="BD45" s="80">
        <f t="shared" si="60"/>
        <v>690</v>
      </c>
      <c r="BE45" s="80">
        <f t="shared" si="60"/>
        <v>690</v>
      </c>
      <c r="BF45" s="36">
        <f t="shared" si="56"/>
        <v>690</v>
      </c>
      <c r="BH45" s="5" t="s">
        <v>3151</v>
      </c>
      <c r="BJ45" s="36">
        <f>AY46+AY48</f>
        <v>900</v>
      </c>
      <c r="BK45" s="541">
        <f t="shared" si="57"/>
        <v>0.9</v>
      </c>
      <c r="BL45" s="554">
        <f t="shared" si="58"/>
        <v>1.0416666666666666E-2</v>
      </c>
      <c r="BM45" s="29" t="s">
        <v>2404</v>
      </c>
      <c r="BN45" s="26"/>
      <c r="BO45" s="26"/>
      <c r="BP45" s="765">
        <v>0.7</v>
      </c>
      <c r="BQ45" s="766">
        <f>MROUND(16.5%*96%*5000,5)/1000</f>
        <v>0.79</v>
      </c>
      <c r="BS45" s="5" t="s">
        <v>2402</v>
      </c>
      <c r="BT45" s="79"/>
      <c r="BU45" s="59">
        <f>BJ50</f>
        <v>1820</v>
      </c>
      <c r="BV45" s="541">
        <f t="shared" si="59"/>
        <v>1.82</v>
      </c>
      <c r="BW45" s="769"/>
    </row>
    <row r="46" spans="1:75">
      <c r="A46" s="5" t="s">
        <v>2822</v>
      </c>
      <c r="AT46" s="151">
        <v>1100</v>
      </c>
      <c r="AU46" s="151">
        <v>700</v>
      </c>
      <c r="AV46" s="36">
        <f>AU46</f>
        <v>700</v>
      </c>
      <c r="AW46" s="151">
        <v>800</v>
      </c>
      <c r="AX46" s="151">
        <v>900</v>
      </c>
      <c r="AY46" s="151">
        <v>700</v>
      </c>
      <c r="AZ46" s="80">
        <f>MROUND(AZ281*AZ284, 5)</f>
        <v>570</v>
      </c>
      <c r="BA46" s="36">
        <f t="shared" si="55"/>
        <v>570</v>
      </c>
      <c r="BB46" s="80">
        <f t="shared" ref="BB46:BE46" si="61">MROUND(BB281*BB284, 5)</f>
        <v>570</v>
      </c>
      <c r="BC46" s="80">
        <f t="shared" si="61"/>
        <v>570</v>
      </c>
      <c r="BD46" s="80">
        <f t="shared" si="61"/>
        <v>570</v>
      </c>
      <c r="BE46" s="80">
        <f t="shared" si="61"/>
        <v>570</v>
      </c>
      <c r="BF46" s="36">
        <f t="shared" si="56"/>
        <v>570</v>
      </c>
      <c r="BH46" s="5" t="s">
        <v>1268</v>
      </c>
      <c r="BJ46" s="36">
        <f>MROUND(AY151, 5)</f>
        <v>665</v>
      </c>
      <c r="BK46" s="541">
        <f t="shared" si="57"/>
        <v>0.66500000000000004</v>
      </c>
      <c r="BL46" s="554">
        <f t="shared" si="58"/>
        <v>7.6967592592592591E-3</v>
      </c>
      <c r="BM46" s="29" t="s">
        <v>2401</v>
      </c>
      <c r="BN46" s="26"/>
      <c r="BO46" s="26"/>
      <c r="BP46" s="765">
        <v>1.7</v>
      </c>
      <c r="BQ46" s="765">
        <f>BP46*0.5</f>
        <v>0.85</v>
      </c>
      <c r="BS46" s="5" t="s">
        <v>2842</v>
      </c>
      <c r="BT46" s="79"/>
      <c r="BU46" s="59">
        <f>BJ49</f>
        <v>1640</v>
      </c>
      <c r="BV46" s="541">
        <f t="shared" si="59"/>
        <v>1.64</v>
      </c>
      <c r="BW46" s="769"/>
    </row>
    <row r="47" spans="1:75" s="26" customFormat="1">
      <c r="A47" s="5" t="s">
        <v>3176</v>
      </c>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38"/>
      <c r="AU47" s="38"/>
      <c r="AV47" s="36"/>
      <c r="AW47" s="38"/>
      <c r="AX47" s="151">
        <v>600</v>
      </c>
      <c r="AY47" s="151">
        <v>400</v>
      </c>
      <c r="AZ47" s="80">
        <f>MROUND(AZ304*AZ307, 5)</f>
        <v>210</v>
      </c>
      <c r="BA47" s="36">
        <f t="shared" si="55"/>
        <v>210</v>
      </c>
      <c r="BB47" s="80">
        <f>MROUND(BB304*BB307, 5)</f>
        <v>210</v>
      </c>
      <c r="BC47" s="80">
        <f>MROUND(BC304*BC307, 5)</f>
        <v>210</v>
      </c>
      <c r="BD47" s="80">
        <f>MROUND(BD304*BD307, 5)</f>
        <v>210</v>
      </c>
      <c r="BE47" s="80">
        <f>MROUND(BE304*BE307, 5)</f>
        <v>210</v>
      </c>
      <c r="BF47" s="36">
        <f t="shared" si="56"/>
        <v>210</v>
      </c>
      <c r="BH47" s="5" t="s">
        <v>1269</v>
      </c>
      <c r="BI47" s="1"/>
      <c r="BJ47" s="36">
        <f>AY50</f>
        <v>1200</v>
      </c>
      <c r="BK47" s="541">
        <f t="shared" si="57"/>
        <v>1.2</v>
      </c>
      <c r="BL47" s="554">
        <f t="shared" si="58"/>
        <v>1.3888888888888888E-2</v>
      </c>
      <c r="BM47" s="29" t="s">
        <v>2402</v>
      </c>
      <c r="BP47" s="765">
        <v>0.8</v>
      </c>
      <c r="BQ47" s="765">
        <v>0.63500000000000001</v>
      </c>
      <c r="BS47" s="5" t="s">
        <v>2843</v>
      </c>
      <c r="BT47" s="79"/>
      <c r="BU47" s="59">
        <f>BJ45</f>
        <v>900</v>
      </c>
      <c r="BV47" s="541">
        <f t="shared" si="59"/>
        <v>0.9</v>
      </c>
      <c r="BW47" s="769"/>
    </row>
    <row r="48" spans="1:75" s="26" customFormat="1">
      <c r="A48" s="5" t="s">
        <v>2734</v>
      </c>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38"/>
      <c r="AP48" s="38"/>
      <c r="AQ48" s="36"/>
      <c r="AR48" s="38"/>
      <c r="AS48" s="151">
        <v>1000</v>
      </c>
      <c r="AT48" s="151">
        <v>800</v>
      </c>
      <c r="AU48" s="151">
        <v>500</v>
      </c>
      <c r="AV48" s="36">
        <f t="shared" si="54"/>
        <v>500</v>
      </c>
      <c r="AW48" s="151">
        <v>400</v>
      </c>
      <c r="AX48" s="151">
        <v>400</v>
      </c>
      <c r="AY48" s="151">
        <v>200</v>
      </c>
      <c r="AZ48" s="80">
        <f>MROUND(AZ333*AZ336, 5)</f>
        <v>140</v>
      </c>
      <c r="BA48" s="36">
        <f t="shared" si="55"/>
        <v>140</v>
      </c>
      <c r="BB48" s="80">
        <f>MROUND(BB333*BB336, 5)</f>
        <v>140</v>
      </c>
      <c r="BC48" s="80">
        <f>MROUND(BC333*BC336, 5)</f>
        <v>140</v>
      </c>
      <c r="BD48" s="80">
        <f>MROUND(BD333*BD336, 5)</f>
        <v>140</v>
      </c>
      <c r="BE48" s="80">
        <f>MROUND(BE333*BE336, 5)</f>
        <v>140</v>
      </c>
      <c r="BF48" s="36">
        <f t="shared" si="56"/>
        <v>140</v>
      </c>
      <c r="BH48" s="5" t="s">
        <v>2389</v>
      </c>
      <c r="BI48" s="1"/>
      <c r="BJ48" s="36">
        <f>$AY$68-SUM(AY46, AY48, AY50)</f>
        <v>3100</v>
      </c>
      <c r="BK48" s="541">
        <f t="shared" si="57"/>
        <v>3.1</v>
      </c>
      <c r="BL48" s="554">
        <f t="shared" si="58"/>
        <v>3.5879629629629629E-2</v>
      </c>
      <c r="BS48" s="5" t="s">
        <v>1268</v>
      </c>
      <c r="BT48" s="79"/>
      <c r="BU48" s="59">
        <f>BJ46</f>
        <v>665</v>
      </c>
      <c r="BV48" s="541">
        <f t="shared" si="59"/>
        <v>0.66500000000000004</v>
      </c>
      <c r="BW48" s="769"/>
    </row>
    <row r="49" spans="1:75" s="26" customFormat="1">
      <c r="A49" s="5" t="s">
        <v>3108</v>
      </c>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38"/>
      <c r="AP49" s="38"/>
      <c r="AQ49" s="36"/>
      <c r="AR49" s="38"/>
      <c r="AS49" s="38"/>
      <c r="AT49" s="38"/>
      <c r="AU49" s="38"/>
      <c r="AV49" s="36"/>
      <c r="AW49" s="151">
        <v>200</v>
      </c>
      <c r="AX49" s="151">
        <v>100</v>
      </c>
      <c r="AY49" s="151">
        <v>100</v>
      </c>
      <c r="AZ49" s="80">
        <f>MROUND(AZ356*AZ359, 5)</f>
        <v>110</v>
      </c>
      <c r="BA49" s="36">
        <f t="shared" si="55"/>
        <v>110</v>
      </c>
      <c r="BB49" s="80">
        <f>MROUND(BB356*BB359, 5)</f>
        <v>110</v>
      </c>
      <c r="BC49" s="80">
        <f>MROUND(BC356*BC359, 5)</f>
        <v>110</v>
      </c>
      <c r="BD49" s="80">
        <f>MROUND(BD356*BD359, 5)</f>
        <v>110</v>
      </c>
      <c r="BE49" s="80">
        <f>MROUND(BE356*BE359, 5)</f>
        <v>110</v>
      </c>
      <c r="BF49" s="36">
        <f t="shared" si="56"/>
        <v>110</v>
      </c>
      <c r="BH49" s="5" t="s">
        <v>3152</v>
      </c>
      <c r="BI49" s="1"/>
      <c r="BJ49" s="107">
        <f>MROUND(16.5%*96%*5000, 5)+850</f>
        <v>1640</v>
      </c>
      <c r="BK49" s="541">
        <f t="shared" si="57"/>
        <v>1.64</v>
      </c>
      <c r="BL49" s="554">
        <f t="shared" si="58"/>
        <v>1.8981481481481478E-2</v>
      </c>
      <c r="BS49" s="5" t="s">
        <v>1269</v>
      </c>
      <c r="BT49" s="79"/>
      <c r="BU49" s="59">
        <f>BJ47</f>
        <v>1200</v>
      </c>
      <c r="BV49" s="541">
        <f t="shared" si="59"/>
        <v>1.2</v>
      </c>
      <c r="BW49" s="769"/>
    </row>
    <row r="50" spans="1:75" s="26" customFormat="1">
      <c r="A50" s="5" t="s">
        <v>1269</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51">
        <v>1000</v>
      </c>
      <c r="AP50" s="151">
        <v>900</v>
      </c>
      <c r="AQ50" s="36">
        <f>AP50</f>
        <v>900</v>
      </c>
      <c r="AR50" s="151">
        <v>700</v>
      </c>
      <c r="AS50" s="151">
        <v>500</v>
      </c>
      <c r="AT50" s="151">
        <v>500</v>
      </c>
      <c r="AU50" s="151">
        <v>400</v>
      </c>
      <c r="AV50" s="36">
        <f t="shared" si="54"/>
        <v>400</v>
      </c>
      <c r="AW50" s="151">
        <v>800</v>
      </c>
      <c r="AX50" s="151">
        <v>1100</v>
      </c>
      <c r="AY50" s="151">
        <v>1200</v>
      </c>
      <c r="AZ50" s="80">
        <f>MROUND(AZ379*AZ382, 5)</f>
        <v>1105</v>
      </c>
      <c r="BA50" s="36">
        <f t="shared" si="55"/>
        <v>1105</v>
      </c>
      <c r="BB50" s="80">
        <f>MROUND(BB379*BB382, 5)</f>
        <v>1105</v>
      </c>
      <c r="BC50" s="80">
        <f>MROUND(BC379*BC382, 5)</f>
        <v>1105</v>
      </c>
      <c r="BD50" s="80">
        <f>MROUND(BD379*BD382, 5)</f>
        <v>1105</v>
      </c>
      <c r="BE50" s="80">
        <f>MROUND(BE379*BE382, 5)</f>
        <v>1105</v>
      </c>
      <c r="BF50" s="36">
        <f t="shared" si="56"/>
        <v>1105</v>
      </c>
      <c r="BH50" s="5" t="s">
        <v>2402</v>
      </c>
      <c r="BI50" s="1"/>
      <c r="BJ50" s="36">
        <f>AY147</f>
        <v>1820</v>
      </c>
      <c r="BK50" s="541">
        <f t="shared" si="57"/>
        <v>1.82</v>
      </c>
      <c r="BL50" s="554">
        <f t="shared" si="58"/>
        <v>2.1064814814814814E-2</v>
      </c>
      <c r="BS50" s="5" t="s">
        <v>2389</v>
      </c>
      <c r="BT50" s="79"/>
      <c r="BU50" s="59">
        <f>BJ48</f>
        <v>3100</v>
      </c>
      <c r="BV50" s="541">
        <f t="shared" si="59"/>
        <v>3.1</v>
      </c>
      <c r="BW50" s="769"/>
    </row>
    <row r="51" spans="1:75" s="26" customFormat="1">
      <c r="A51" s="5" t="s">
        <v>1270</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51">
        <v>200</v>
      </c>
      <c r="AP51" s="151">
        <v>100</v>
      </c>
      <c r="AQ51" s="36">
        <f>AP51</f>
        <v>100</v>
      </c>
      <c r="AR51" s="151">
        <v>100</v>
      </c>
      <c r="AS51" s="151">
        <v>100</v>
      </c>
      <c r="AT51" s="151">
        <v>100</v>
      </c>
      <c r="AU51" s="151">
        <v>0</v>
      </c>
      <c r="AV51" s="36">
        <f t="shared" si="54"/>
        <v>0</v>
      </c>
      <c r="AW51" s="151">
        <v>100</v>
      </c>
      <c r="AX51" s="151">
        <v>0</v>
      </c>
      <c r="AY51" s="151">
        <v>0</v>
      </c>
      <c r="AZ51" s="80">
        <f>MROUND(AZ402*AZ405, 5)</f>
        <v>25</v>
      </c>
      <c r="BA51" s="36">
        <f t="shared" si="55"/>
        <v>25</v>
      </c>
      <c r="BB51" s="80">
        <f>MROUND(BB402*BB405, 5)</f>
        <v>25</v>
      </c>
      <c r="BC51" s="80">
        <f>MROUND(BC402*BC405, 5)</f>
        <v>25</v>
      </c>
      <c r="BD51" s="80">
        <f>MROUND(BD402*BD405, 5)</f>
        <v>25</v>
      </c>
      <c r="BE51" s="80">
        <f>MROUND(BE402*BE405, 5)</f>
        <v>25</v>
      </c>
      <c r="BF51" s="36">
        <f t="shared" si="56"/>
        <v>25</v>
      </c>
      <c r="BH51" s="5" t="s">
        <v>3029</v>
      </c>
      <c r="BI51" s="1"/>
      <c r="BJ51" s="36">
        <f>AY148</f>
        <v>800</v>
      </c>
      <c r="BK51" s="541">
        <f t="shared" si="57"/>
        <v>0.8</v>
      </c>
      <c r="BL51" s="554">
        <f t="shared" si="58"/>
        <v>9.2592592592592587E-3</v>
      </c>
      <c r="BS51" s="5" t="s">
        <v>2390</v>
      </c>
      <c r="BT51" s="79"/>
      <c r="BU51" s="59">
        <f>BJ52</f>
        <v>21785</v>
      </c>
      <c r="BV51" s="541">
        <f t="shared" si="59"/>
        <v>21.785</v>
      </c>
      <c r="BW51" s="769"/>
    </row>
    <row r="52" spans="1:75" s="26" customFormat="1">
      <c r="A52" s="29" t="s">
        <v>753</v>
      </c>
      <c r="AO52" s="282">
        <v>100</v>
      </c>
      <c r="AP52" s="282">
        <v>100</v>
      </c>
      <c r="AQ52" s="61">
        <f>AP52</f>
        <v>100</v>
      </c>
      <c r="AR52" s="282">
        <v>200</v>
      </c>
      <c r="AS52" s="282">
        <v>200</v>
      </c>
      <c r="AT52" s="282">
        <v>200</v>
      </c>
      <c r="AU52" s="282">
        <v>200</v>
      </c>
      <c r="AV52" s="36">
        <f t="shared" si="54"/>
        <v>200</v>
      </c>
      <c r="AW52" s="282">
        <v>100</v>
      </c>
      <c r="AX52" s="282">
        <v>200</v>
      </c>
      <c r="AY52" s="282">
        <v>100</v>
      </c>
      <c r="AZ52" s="286">
        <f t="shared" ref="AZ52:AZ58" si="62">MROUND(AY52*AZ71/AY71, 5)</f>
        <v>90</v>
      </c>
      <c r="BA52" s="36">
        <f t="shared" si="55"/>
        <v>90</v>
      </c>
      <c r="BB52" s="762">
        <f>BA52</f>
        <v>90</v>
      </c>
      <c r="BC52" s="762">
        <f t="shared" ref="BC52:BE52" si="63">BB52</f>
        <v>90</v>
      </c>
      <c r="BD52" s="762">
        <f t="shared" si="63"/>
        <v>90</v>
      </c>
      <c r="BE52" s="762">
        <f t="shared" si="63"/>
        <v>90</v>
      </c>
      <c r="BF52" s="36">
        <f t="shared" si="56"/>
        <v>90</v>
      </c>
      <c r="BH52" s="5" t="s">
        <v>2390</v>
      </c>
      <c r="BI52" s="1"/>
      <c r="BJ52" s="36">
        <f>$AY$176-SUM($BJ$43:$BJ$44)-SUM(BJ49:BJ51)-BJ46</f>
        <v>21785</v>
      </c>
      <c r="BK52" s="541">
        <f t="shared" ref="BK52" si="64">BJ52/1000</f>
        <v>21.785</v>
      </c>
      <c r="BL52" s="554">
        <f t="shared" si="58"/>
        <v>0.25214120370370369</v>
      </c>
      <c r="BS52" s="9" t="s">
        <v>89</v>
      </c>
      <c r="BT52" s="9"/>
      <c r="BU52" s="39">
        <f>SUM(BU43:BU51)</f>
        <v>85600</v>
      </c>
      <c r="BV52" s="545">
        <f>BU52/1000</f>
        <v>85.6</v>
      </c>
      <c r="BW52" s="769"/>
    </row>
    <row r="53" spans="1:75" s="26" customFormat="1">
      <c r="A53" s="29" t="s">
        <v>3361</v>
      </c>
      <c r="AU53" s="282">
        <v>100</v>
      </c>
      <c r="AV53" s="36">
        <f t="shared" si="54"/>
        <v>100</v>
      </c>
      <c r="AW53" s="282">
        <v>100</v>
      </c>
      <c r="AX53" s="282">
        <v>200</v>
      </c>
      <c r="AY53" s="290"/>
      <c r="AZ53" s="290"/>
      <c r="BA53" s="290"/>
      <c r="BB53" s="290"/>
      <c r="BC53" s="290"/>
      <c r="BD53" s="290"/>
      <c r="BE53" s="290"/>
      <c r="BF53" s="290"/>
      <c r="BH53" s="9" t="s">
        <v>89</v>
      </c>
      <c r="BI53" s="9"/>
      <c r="BJ53" s="39">
        <f>SUM(BJ43:BJ52)</f>
        <v>86400</v>
      </c>
      <c r="BK53" s="545">
        <f>BJ53/1000</f>
        <v>86.4</v>
      </c>
      <c r="BL53" s="554"/>
      <c r="BS53" s="79"/>
      <c r="BT53" s="79"/>
      <c r="BU53" s="59"/>
      <c r="BV53" s="79"/>
      <c r="BW53" s="79"/>
    </row>
    <row r="54" spans="1:75" s="26" customFormat="1">
      <c r="A54" s="29" t="s">
        <v>2667</v>
      </c>
      <c r="AO54" s="283"/>
      <c r="AP54" s="283"/>
      <c r="AQ54" s="61"/>
      <c r="AR54" s="282">
        <v>100</v>
      </c>
      <c r="AS54" s="282">
        <v>100</v>
      </c>
      <c r="AT54" s="282">
        <v>0</v>
      </c>
      <c r="AU54" s="282">
        <v>0</v>
      </c>
      <c r="AV54" s="36">
        <f>AU54</f>
        <v>0</v>
      </c>
      <c r="AW54" s="282">
        <v>0</v>
      </c>
      <c r="AX54" s="290"/>
      <c r="AY54" s="290"/>
      <c r="AZ54" s="290"/>
      <c r="BA54" s="290"/>
      <c r="BB54" s="290"/>
      <c r="BC54" s="290"/>
      <c r="BD54" s="290"/>
      <c r="BE54" s="290"/>
      <c r="BF54" s="290"/>
      <c r="BH54" s="1" t="s">
        <v>706</v>
      </c>
      <c r="BI54" s="1"/>
      <c r="BJ54" s="36">
        <f>BJ53-$AY$11</f>
        <v>0</v>
      </c>
      <c r="BK54" s="1"/>
      <c r="BL54" s="1"/>
    </row>
    <row r="55" spans="1:75" s="26" customFormat="1">
      <c r="A55" s="29" t="s">
        <v>2823</v>
      </c>
      <c r="AO55" s="282">
        <v>100</v>
      </c>
      <c r="AP55" s="282">
        <v>100</v>
      </c>
      <c r="AQ55" s="61">
        <f t="shared" ref="AQ55:AQ62" si="65">AP55</f>
        <v>100</v>
      </c>
      <c r="AR55" s="282">
        <v>100</v>
      </c>
      <c r="AS55" s="282">
        <v>100</v>
      </c>
      <c r="AT55" s="282">
        <v>100</v>
      </c>
      <c r="AU55" s="282">
        <v>100</v>
      </c>
      <c r="AV55" s="36">
        <f>AU55</f>
        <v>100</v>
      </c>
      <c r="AW55" s="282">
        <v>100</v>
      </c>
      <c r="AX55" s="282">
        <v>100</v>
      </c>
      <c r="AY55" s="282">
        <v>100</v>
      </c>
      <c r="AZ55" s="286">
        <f t="shared" si="62"/>
        <v>105</v>
      </c>
      <c r="BA55" s="36">
        <f t="shared" si="55"/>
        <v>105</v>
      </c>
      <c r="BB55" s="762">
        <f>BA55</f>
        <v>105</v>
      </c>
      <c r="BC55" s="762">
        <f t="shared" ref="BC55:BE55" si="66">BB55</f>
        <v>105</v>
      </c>
      <c r="BD55" s="762">
        <f t="shared" si="66"/>
        <v>105</v>
      </c>
      <c r="BE55" s="762">
        <f t="shared" si="66"/>
        <v>105</v>
      </c>
      <c r="BF55" s="36">
        <f t="shared" ref="BF55" si="67">BE55</f>
        <v>105</v>
      </c>
    </row>
    <row r="56" spans="1:75" s="26" customFormat="1">
      <c r="A56" s="29" t="s">
        <v>3106</v>
      </c>
      <c r="AO56" s="283"/>
      <c r="AP56" s="283"/>
      <c r="AQ56" s="61"/>
      <c r="AR56" s="283"/>
      <c r="AS56" s="283"/>
      <c r="AT56" s="283"/>
      <c r="AU56" s="283"/>
      <c r="AV56" s="36"/>
      <c r="AW56" s="282">
        <v>100</v>
      </c>
      <c r="AX56" s="282">
        <v>0</v>
      </c>
      <c r="AY56" s="282">
        <v>0</v>
      </c>
      <c r="AZ56" s="1142">
        <f>MROUND(31*795.996/1000, 2.5)</f>
        <v>25</v>
      </c>
      <c r="BA56" s="36">
        <f t="shared" si="55"/>
        <v>25</v>
      </c>
      <c r="BB56" s="762">
        <f t="shared" ref="BB56:BE56" si="68">BA56</f>
        <v>25</v>
      </c>
      <c r="BC56" s="762">
        <f t="shared" si="68"/>
        <v>25</v>
      </c>
      <c r="BD56" s="762">
        <f t="shared" si="68"/>
        <v>25</v>
      </c>
      <c r="BE56" s="762">
        <f t="shared" si="68"/>
        <v>25</v>
      </c>
      <c r="BF56" s="36">
        <f t="shared" ref="BF56:BF58" si="69">BE56</f>
        <v>25</v>
      </c>
    </row>
    <row r="57" spans="1:75" s="26" customFormat="1">
      <c r="A57" s="29" t="s">
        <v>1281</v>
      </c>
      <c r="AO57" s="282">
        <v>100</v>
      </c>
      <c r="AP57" s="282">
        <v>100</v>
      </c>
      <c r="AQ57" s="61">
        <f t="shared" si="65"/>
        <v>100</v>
      </c>
      <c r="AR57" s="282">
        <v>100</v>
      </c>
      <c r="AS57" s="282">
        <v>100</v>
      </c>
      <c r="AT57" s="282">
        <v>100</v>
      </c>
      <c r="AU57" s="282">
        <v>100</v>
      </c>
      <c r="AV57" s="36">
        <f>AU57</f>
        <v>100</v>
      </c>
      <c r="AW57" s="282">
        <v>100</v>
      </c>
      <c r="AX57" s="282">
        <v>100</v>
      </c>
      <c r="AY57" s="282">
        <v>100</v>
      </c>
      <c r="AZ57" s="286">
        <f t="shared" si="62"/>
        <v>100</v>
      </c>
      <c r="BA57" s="36">
        <f t="shared" si="55"/>
        <v>100</v>
      </c>
      <c r="BB57" s="762">
        <f t="shared" ref="BB57:BE57" si="70">BA57</f>
        <v>100</v>
      </c>
      <c r="BC57" s="762">
        <f t="shared" si="70"/>
        <v>100</v>
      </c>
      <c r="BD57" s="762">
        <f t="shared" si="70"/>
        <v>100</v>
      </c>
      <c r="BE57" s="762">
        <f t="shared" si="70"/>
        <v>100</v>
      </c>
      <c r="BF57" s="36">
        <f t="shared" si="69"/>
        <v>100</v>
      </c>
    </row>
    <row r="58" spans="1:75" s="26" customFormat="1">
      <c r="A58" s="29" t="s">
        <v>1282</v>
      </c>
      <c r="AO58" s="282">
        <v>100</v>
      </c>
      <c r="AP58" s="282">
        <v>0</v>
      </c>
      <c r="AQ58" s="61">
        <f t="shared" si="65"/>
        <v>0</v>
      </c>
      <c r="AR58" s="282">
        <v>0</v>
      </c>
      <c r="AS58" s="282">
        <v>100</v>
      </c>
      <c r="AT58" s="282">
        <v>0</v>
      </c>
      <c r="AU58" s="282">
        <v>0</v>
      </c>
      <c r="AV58" s="36">
        <f>AU58</f>
        <v>0</v>
      </c>
      <c r="AW58" s="282">
        <v>0</v>
      </c>
      <c r="AX58" s="282">
        <v>0</v>
      </c>
      <c r="AY58" s="282">
        <v>0</v>
      </c>
      <c r="AZ58" s="286">
        <f t="shared" si="62"/>
        <v>0</v>
      </c>
      <c r="BA58" s="36">
        <f t="shared" si="55"/>
        <v>0</v>
      </c>
      <c r="BB58" s="762">
        <f t="shared" ref="BB58:BE60" si="71">BA58</f>
        <v>0</v>
      </c>
      <c r="BC58" s="762">
        <f t="shared" si="71"/>
        <v>0</v>
      </c>
      <c r="BD58" s="762">
        <f t="shared" si="71"/>
        <v>0</v>
      </c>
      <c r="BE58" s="762">
        <f t="shared" si="71"/>
        <v>0</v>
      </c>
      <c r="BF58" s="36">
        <f t="shared" si="69"/>
        <v>0</v>
      </c>
    </row>
    <row r="59" spans="1:75" s="26" customFormat="1">
      <c r="A59" s="29" t="s">
        <v>1291</v>
      </c>
      <c r="AO59" s="282">
        <v>100</v>
      </c>
      <c r="AP59" s="282">
        <v>100</v>
      </c>
      <c r="AQ59" s="61">
        <f t="shared" si="65"/>
        <v>100</v>
      </c>
      <c r="AR59" s="282">
        <v>0</v>
      </c>
      <c r="AS59" s="282">
        <v>0</v>
      </c>
      <c r="AT59" s="762"/>
      <c r="AU59" s="762"/>
      <c r="AV59" s="624"/>
      <c r="AW59" s="762"/>
      <c r="AX59" s="282">
        <v>100</v>
      </c>
      <c r="AY59" s="282">
        <v>0</v>
      </c>
      <c r="AZ59" s="762"/>
      <c r="BA59" s="762"/>
      <c r="BB59" s="762"/>
      <c r="BC59" s="762"/>
      <c r="BD59" s="762"/>
      <c r="BE59" s="762"/>
      <c r="BF59" s="762"/>
    </row>
    <row r="60" spans="1:75">
      <c r="A60" s="29" t="s">
        <v>1292</v>
      </c>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82">
        <v>100</v>
      </c>
      <c r="AP60" s="282">
        <v>100</v>
      </c>
      <c r="AQ60" s="61">
        <f t="shared" si="65"/>
        <v>100</v>
      </c>
      <c r="AR60" s="282">
        <v>0</v>
      </c>
      <c r="AS60" s="282">
        <v>0</v>
      </c>
      <c r="AT60" s="282">
        <v>0</v>
      </c>
      <c r="AU60" s="282">
        <v>0</v>
      </c>
      <c r="AV60" s="36">
        <f>AU60</f>
        <v>0</v>
      </c>
      <c r="AW60" s="282">
        <v>0</v>
      </c>
      <c r="AX60" s="282">
        <v>0</v>
      </c>
      <c r="AY60" s="282">
        <v>0</v>
      </c>
      <c r="AZ60" s="286">
        <f>MROUND(AY60*AZ79/AY79, 5)</f>
        <v>0</v>
      </c>
      <c r="BA60" s="36">
        <f t="shared" si="55"/>
        <v>0</v>
      </c>
      <c r="BB60" s="762">
        <f t="shared" si="71"/>
        <v>0</v>
      </c>
      <c r="BC60" s="762">
        <f t="shared" si="71"/>
        <v>0</v>
      </c>
      <c r="BD60" s="762">
        <f t="shared" si="71"/>
        <v>0</v>
      </c>
      <c r="BE60" s="762">
        <f t="shared" si="71"/>
        <v>0</v>
      </c>
      <c r="BF60" s="36">
        <f t="shared" ref="BF60" si="72">BE60</f>
        <v>0</v>
      </c>
      <c r="BH60" s="26"/>
      <c r="BI60" s="26"/>
      <c r="BJ60" s="26"/>
      <c r="BK60" s="26"/>
      <c r="BL60" s="26"/>
    </row>
    <row r="61" spans="1:75">
      <c r="A61" s="29" t="s">
        <v>1283</v>
      </c>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82">
        <v>0</v>
      </c>
      <c r="AP61" s="282">
        <v>100</v>
      </c>
      <c r="AQ61" s="61">
        <f t="shared" si="65"/>
        <v>100</v>
      </c>
      <c r="AR61" s="282">
        <v>0</v>
      </c>
      <c r="AS61" s="282">
        <v>0</v>
      </c>
      <c r="AT61" s="282">
        <v>0</v>
      </c>
      <c r="AU61" s="762"/>
      <c r="AV61" s="624"/>
      <c r="AW61" s="762"/>
      <c r="AX61" s="762"/>
      <c r="AY61" s="762"/>
      <c r="AZ61" s="762"/>
      <c r="BA61" s="762"/>
      <c r="BB61" s="762"/>
      <c r="BC61" s="762"/>
      <c r="BD61" s="762"/>
      <c r="BE61" s="762"/>
      <c r="BF61" s="762"/>
      <c r="BH61" s="26"/>
      <c r="BI61" s="26"/>
      <c r="BJ61" s="26"/>
      <c r="BK61" s="26"/>
      <c r="BL61" s="26"/>
    </row>
    <row r="62" spans="1:75">
      <c r="A62" s="29" t="s">
        <v>1284</v>
      </c>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82">
        <v>0</v>
      </c>
      <c r="AP62" s="282">
        <v>0</v>
      </c>
      <c r="AQ62" s="61">
        <f t="shared" si="65"/>
        <v>0</v>
      </c>
      <c r="AR62" s="282">
        <v>0</v>
      </c>
      <c r="AS62" s="282">
        <v>0</v>
      </c>
      <c r="AT62" s="282">
        <v>0</v>
      </c>
      <c r="AU62" s="282">
        <v>0</v>
      </c>
      <c r="AV62" s="36">
        <f>AU62</f>
        <v>0</v>
      </c>
      <c r="AW62" s="282">
        <v>0</v>
      </c>
      <c r="AX62" s="282">
        <v>0</v>
      </c>
      <c r="AY62" s="282">
        <v>0</v>
      </c>
      <c r="AZ62" s="286">
        <f t="shared" ref="AZ62:AZ64" si="73">MROUND(AY62*AZ81/AY81, 5)</f>
        <v>0</v>
      </c>
      <c r="BA62" s="36">
        <f t="shared" si="55"/>
        <v>0</v>
      </c>
      <c r="BB62" s="762">
        <f t="shared" si="55"/>
        <v>0</v>
      </c>
      <c r="BC62" s="762">
        <f t="shared" si="55"/>
        <v>0</v>
      </c>
      <c r="BD62" s="762">
        <f t="shared" si="55"/>
        <v>0</v>
      </c>
      <c r="BE62" s="762">
        <f t="shared" si="55"/>
        <v>0</v>
      </c>
      <c r="BF62" s="36">
        <f t="shared" ref="BF62:BF65" si="74">BE62</f>
        <v>0</v>
      </c>
      <c r="BH62" s="26"/>
      <c r="BI62" s="26"/>
      <c r="BJ62" s="26"/>
      <c r="BK62" s="26"/>
      <c r="BL62" s="26"/>
    </row>
    <row r="63" spans="1:75">
      <c r="A63" s="29" t="s">
        <v>1285</v>
      </c>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82">
        <v>0</v>
      </c>
      <c r="AP63" s="282">
        <v>0</v>
      </c>
      <c r="AQ63" s="61">
        <f t="shared" ref="AQ63:AQ65" si="75">AP63</f>
        <v>0</v>
      </c>
      <c r="AR63" s="282">
        <v>0</v>
      </c>
      <c r="AS63" s="282">
        <v>0</v>
      </c>
      <c r="AT63" s="282">
        <v>100</v>
      </c>
      <c r="AU63" s="282">
        <v>0</v>
      </c>
      <c r="AV63" s="36">
        <f>AU63</f>
        <v>0</v>
      </c>
      <c r="AW63" s="282">
        <v>0</v>
      </c>
      <c r="AX63" s="282">
        <v>0</v>
      </c>
      <c r="AY63" s="282">
        <v>0</v>
      </c>
      <c r="AZ63" s="286">
        <f t="shared" si="73"/>
        <v>0</v>
      </c>
      <c r="BA63" s="36">
        <f t="shared" si="55"/>
        <v>0</v>
      </c>
      <c r="BB63" s="762">
        <f t="shared" si="55"/>
        <v>0</v>
      </c>
      <c r="BC63" s="762">
        <f t="shared" si="55"/>
        <v>0</v>
      </c>
      <c r="BD63" s="762">
        <f t="shared" si="55"/>
        <v>0</v>
      </c>
      <c r="BE63" s="762">
        <f t="shared" si="55"/>
        <v>0</v>
      </c>
      <c r="BF63" s="36">
        <f t="shared" si="74"/>
        <v>0</v>
      </c>
    </row>
    <row r="64" spans="1:75">
      <c r="A64" s="29" t="s">
        <v>1286</v>
      </c>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82">
        <v>0</v>
      </c>
      <c r="AP64" s="282">
        <v>0</v>
      </c>
      <c r="AQ64" s="61">
        <f t="shared" si="75"/>
        <v>0</v>
      </c>
      <c r="AR64" s="282">
        <v>0</v>
      </c>
      <c r="AS64" s="282">
        <v>0</v>
      </c>
      <c r="AT64" s="282">
        <v>0</v>
      </c>
      <c r="AU64" s="282">
        <v>0</v>
      </c>
      <c r="AV64" s="36">
        <f>AU64</f>
        <v>0</v>
      </c>
      <c r="AW64" s="282">
        <v>0</v>
      </c>
      <c r="AX64" s="282">
        <v>0</v>
      </c>
      <c r="AY64" s="282">
        <v>0</v>
      </c>
      <c r="AZ64" s="286">
        <f t="shared" si="73"/>
        <v>0</v>
      </c>
      <c r="BA64" s="36">
        <f t="shared" si="55"/>
        <v>0</v>
      </c>
      <c r="BB64" s="762">
        <f t="shared" si="55"/>
        <v>0</v>
      </c>
      <c r="BC64" s="762">
        <f t="shared" si="55"/>
        <v>0</v>
      </c>
      <c r="BD64" s="762">
        <f t="shared" si="55"/>
        <v>0</v>
      </c>
      <c r="BE64" s="762">
        <f t="shared" si="55"/>
        <v>0</v>
      </c>
      <c r="BF64" s="36">
        <f t="shared" si="74"/>
        <v>0</v>
      </c>
    </row>
    <row r="65" spans="1:58">
      <c r="A65" s="29" t="s">
        <v>1287</v>
      </c>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82">
        <v>0</v>
      </c>
      <c r="AP65" s="282">
        <v>0</v>
      </c>
      <c r="AQ65" s="61">
        <f t="shared" si="75"/>
        <v>0</v>
      </c>
      <c r="AR65" s="282">
        <v>0</v>
      </c>
      <c r="AS65" s="282">
        <v>0</v>
      </c>
      <c r="AT65" s="282">
        <v>0</v>
      </c>
      <c r="AU65" s="282">
        <v>0</v>
      </c>
      <c r="AV65" s="36">
        <f>AU65</f>
        <v>0</v>
      </c>
      <c r="AW65" s="282">
        <v>0</v>
      </c>
      <c r="AX65" s="282">
        <v>0</v>
      </c>
      <c r="AY65" s="282">
        <v>0</v>
      </c>
      <c r="AZ65" s="286">
        <f t="shared" ref="AZ65" si="76">MROUND(AY65*AZ84/AY84, 5)</f>
        <v>0</v>
      </c>
      <c r="BA65" s="36">
        <f t="shared" si="55"/>
        <v>0</v>
      </c>
      <c r="BB65" s="762">
        <f t="shared" si="55"/>
        <v>0</v>
      </c>
      <c r="BC65" s="762">
        <f t="shared" si="55"/>
        <v>0</v>
      </c>
      <c r="BD65" s="762">
        <f t="shared" si="55"/>
        <v>0</v>
      </c>
      <c r="BE65" s="762">
        <f t="shared" si="55"/>
        <v>0</v>
      </c>
      <c r="BF65" s="36">
        <f t="shared" si="74"/>
        <v>0</v>
      </c>
    </row>
    <row r="66" spans="1:58">
      <c r="A66" s="102" t="s">
        <v>1295</v>
      </c>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90"/>
      <c r="AP66" s="290"/>
      <c r="AQ66" s="61">
        <f t="shared" ref="AQ66" si="77">AP66</f>
        <v>0</v>
      </c>
      <c r="AR66" s="290"/>
      <c r="AS66" s="290"/>
      <c r="AT66" s="290"/>
      <c r="AU66" s="290"/>
      <c r="AV66" s="26"/>
      <c r="AW66" s="290"/>
      <c r="AX66" s="290"/>
      <c r="AY66" s="290"/>
      <c r="AZ66" s="290"/>
      <c r="BA66" s="290"/>
      <c r="BB66" s="290"/>
      <c r="BC66" s="290"/>
      <c r="BD66" s="290"/>
      <c r="BE66" s="290"/>
      <c r="BF66" s="290"/>
    </row>
    <row r="67" spans="1:58">
      <c r="A67" s="102" t="s">
        <v>1093</v>
      </c>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90"/>
      <c r="AP67" s="290"/>
      <c r="AQ67" s="61"/>
      <c r="AR67" s="290"/>
      <c r="AS67" s="290"/>
      <c r="AT67" s="290"/>
      <c r="AU67" s="290"/>
      <c r="AW67" s="290"/>
      <c r="AX67" s="290"/>
      <c r="AY67" s="290"/>
      <c r="AZ67" s="290"/>
      <c r="BA67" s="290"/>
      <c r="BB67" s="290"/>
      <c r="BC67" s="290"/>
      <c r="BD67" s="290"/>
      <c r="BE67" s="290"/>
      <c r="BF67" s="290"/>
    </row>
    <row r="68" spans="1:58">
      <c r="A68" s="9" t="s">
        <v>1317</v>
      </c>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39">
        <f>SUM(AO43:AO67)</f>
        <v>4400</v>
      </c>
      <c r="AP68" s="39">
        <f>SUM(AP43:AP67)</f>
        <v>4000</v>
      </c>
      <c r="AQ68" s="39">
        <f>SUM(AQ43:AQ67)</f>
        <v>4000</v>
      </c>
      <c r="AR68" s="39">
        <f>SUM(AR43:AR66)</f>
        <v>2900</v>
      </c>
      <c r="AS68" s="39">
        <f>SUM(AS43:AS66)</f>
        <v>3600</v>
      </c>
      <c r="AT68" s="39">
        <f>SUM(AT43:AT66)</f>
        <v>4300</v>
      </c>
      <c r="AU68" s="39">
        <f>SUM(AU43:AU66)</f>
        <v>3300</v>
      </c>
      <c r="AV68" s="39">
        <f>SUM(AV43:AV66)</f>
        <v>3300</v>
      </c>
      <c r="AW68" s="39">
        <f>SUM(AW44:AW66)</f>
        <v>2800</v>
      </c>
      <c r="AX68" s="39">
        <f>SUM(AX44:AX66)</f>
        <v>3800</v>
      </c>
      <c r="AY68" s="1074">
        <v>5200</v>
      </c>
      <c r="AZ68" s="39">
        <f t="shared" ref="AZ68:BF68" si="78">SUM(AZ44:AZ66)</f>
        <v>4505</v>
      </c>
      <c r="BA68" s="39">
        <f t="shared" si="78"/>
        <v>4505</v>
      </c>
      <c r="BB68" s="39">
        <f t="shared" si="78"/>
        <v>4505</v>
      </c>
      <c r="BC68" s="39">
        <f t="shared" si="78"/>
        <v>4505</v>
      </c>
      <c r="BD68" s="39">
        <f t="shared" si="78"/>
        <v>4505</v>
      </c>
      <c r="BE68" s="39">
        <f t="shared" si="78"/>
        <v>4505</v>
      </c>
      <c r="BF68" s="39">
        <f t="shared" si="78"/>
        <v>4505</v>
      </c>
    </row>
    <row r="69" spans="1:58">
      <c r="AR69" s="673" t="s">
        <v>2663</v>
      </c>
      <c r="AS69" s="71"/>
      <c r="AT69" s="71"/>
      <c r="AU69" s="71"/>
      <c r="AV69" s="71"/>
      <c r="AW69" s="71"/>
      <c r="AY69" s="783" t="s">
        <v>3364</v>
      </c>
    </row>
    <row r="70" spans="1:58">
      <c r="A70" s="189" t="s">
        <v>1288</v>
      </c>
      <c r="AO70" s="262" t="s">
        <v>2443</v>
      </c>
      <c r="AS70" s="430" t="s">
        <v>2739</v>
      </c>
      <c r="AT70" s="46"/>
      <c r="AU70" s="46"/>
      <c r="AV70" s="46"/>
      <c r="AY70" s="522" t="s">
        <v>3257</v>
      </c>
      <c r="AZ70" s="647"/>
      <c r="BA70" s="647"/>
    </row>
    <row r="71" spans="1:58">
      <c r="A71" s="29" t="s">
        <v>753</v>
      </c>
      <c r="AO71" s="284">
        <v>7.01</v>
      </c>
      <c r="AP71" s="284">
        <v>7.27</v>
      </c>
      <c r="AQ71" s="287">
        <f t="shared" ref="AQ71" si="79">AP71</f>
        <v>7.27</v>
      </c>
      <c r="AR71" s="284">
        <v>8.0399999999999991</v>
      </c>
      <c r="AS71" s="284">
        <v>9.01</v>
      </c>
      <c r="AT71" s="284">
        <v>10.82</v>
      </c>
      <c r="AU71" s="284">
        <v>12.77</v>
      </c>
      <c r="AV71" s="287">
        <f t="shared" ref="AV71:AV72" si="80">AU71</f>
        <v>12.77</v>
      </c>
      <c r="AW71" s="724">
        <f>'SVF1'!AW237</f>
        <v>11.81</v>
      </c>
      <c r="AX71" s="724">
        <f>'SVF1'!AX237</f>
        <v>12.97</v>
      </c>
      <c r="AY71" s="724">
        <f>'SVF1'!AY237</f>
        <v>10.73</v>
      </c>
      <c r="AZ71" s="724">
        <f>'SVF1'!AZ237</f>
        <v>9.4</v>
      </c>
      <c r="BA71" s="287">
        <f t="shared" ref="BA71:BA84" si="81">AZ71</f>
        <v>9.4</v>
      </c>
    </row>
    <row r="72" spans="1:58">
      <c r="A72" s="29" t="s">
        <v>2881</v>
      </c>
      <c r="AU72" s="284">
        <v>27.22</v>
      </c>
      <c r="AV72" s="287">
        <f t="shared" si="80"/>
        <v>27.22</v>
      </c>
      <c r="AW72" s="284">
        <v>28.45</v>
      </c>
      <c r="AX72" s="284">
        <v>52.33</v>
      </c>
      <c r="AY72" s="628">
        <v>65.599999999999994</v>
      </c>
      <c r="AZ72" s="71"/>
      <c r="BA72" s="71"/>
    </row>
    <row r="73" spans="1:58">
      <c r="A73" s="29" t="s">
        <v>2678</v>
      </c>
      <c r="AO73" s="287"/>
      <c r="AP73" s="287"/>
      <c r="AQ73" s="287"/>
      <c r="AR73" s="284">
        <f>5.28/7.85</f>
        <v>0.67261146496815294</v>
      </c>
      <c r="AS73" s="284">
        <f>12.3/7.85</f>
        <v>1.5668789808917198</v>
      </c>
      <c r="AT73" s="284">
        <f>5.98/7.85</f>
        <v>0.76178343949044591</v>
      </c>
      <c r="AU73" s="284">
        <f>5.89/7.85</f>
        <v>0.75031847133757956</v>
      </c>
      <c r="AV73" s="287">
        <f>AU73</f>
        <v>0.75031847133757956</v>
      </c>
      <c r="AW73" s="284">
        <f>5.81/7.85</f>
        <v>0.74012738853503179</v>
      </c>
      <c r="AX73" s="284">
        <f>14.22/7.85</f>
        <v>1.8114649681528665</v>
      </c>
      <c r="AY73" s="284">
        <f>9.46/7.85</f>
        <v>1.2050955414012741</v>
      </c>
      <c r="AZ73" s="285">
        <f>11.15/7.85</f>
        <v>1.4203821656050957</v>
      </c>
      <c r="BA73" s="287">
        <f t="shared" si="81"/>
        <v>1.4203821656050957</v>
      </c>
    </row>
    <row r="74" spans="1:58">
      <c r="A74" s="29" t="s">
        <v>2738</v>
      </c>
      <c r="AO74" s="284">
        <v>6.41</v>
      </c>
      <c r="AP74" s="284">
        <v>5.72</v>
      </c>
      <c r="AQ74" s="287">
        <f t="shared" ref="AQ74:AQ84" si="82">AP74</f>
        <v>5.72</v>
      </c>
      <c r="AR74" s="284">
        <v>5.0999999999999996</v>
      </c>
      <c r="AS74" s="723">
        <v>6.59</v>
      </c>
      <c r="AT74" s="723">
        <v>6.76</v>
      </c>
      <c r="AU74" s="723">
        <v>5.29</v>
      </c>
      <c r="AV74" s="287">
        <f>AU74</f>
        <v>5.29</v>
      </c>
      <c r="AW74" s="723">
        <v>5.0599999999999996</v>
      </c>
      <c r="AX74" s="723">
        <v>4.88</v>
      </c>
      <c r="AY74" s="723">
        <v>4.09</v>
      </c>
      <c r="AZ74" s="723">
        <v>4.3499999999999996</v>
      </c>
      <c r="BA74" s="287">
        <f t="shared" si="81"/>
        <v>4.3499999999999996</v>
      </c>
    </row>
    <row r="75" spans="1:58">
      <c r="A75" s="29" t="s">
        <v>3106</v>
      </c>
      <c r="AO75" s="287"/>
      <c r="AP75" s="287"/>
      <c r="AQ75" s="287"/>
      <c r="AR75" s="287"/>
      <c r="AS75" s="722"/>
      <c r="AT75" s="722"/>
      <c r="AU75" s="722"/>
      <c r="AV75" s="287"/>
      <c r="AW75" s="284">
        <v>66.59</v>
      </c>
      <c r="AX75" s="284">
        <v>41.27</v>
      </c>
      <c r="AY75" s="284">
        <v>35.130000000000003</v>
      </c>
      <c r="AZ75" s="285">
        <v>36.299999999999997</v>
      </c>
      <c r="BA75" s="287">
        <f t="shared" si="81"/>
        <v>36.299999999999997</v>
      </c>
    </row>
    <row r="76" spans="1:58">
      <c r="A76" s="29" t="s">
        <v>1289</v>
      </c>
      <c r="AO76" s="284">
        <f>9.78/7.85</f>
        <v>1.2458598726114649</v>
      </c>
      <c r="AP76" s="284">
        <f>7.97/7.85</f>
        <v>1.0152866242038217</v>
      </c>
      <c r="AQ76" s="287">
        <f t="shared" si="82"/>
        <v>1.0152866242038217</v>
      </c>
      <c r="AR76" s="284">
        <f>8.38/7.85</f>
        <v>1.0675159235668792</v>
      </c>
      <c r="AS76" s="284">
        <f>14/7.85</f>
        <v>1.7834394904458599</v>
      </c>
      <c r="AT76" s="284">
        <f>12.8/7.85</f>
        <v>1.6305732484076434</v>
      </c>
      <c r="AU76" s="284">
        <f>12.56/7.85</f>
        <v>1.6</v>
      </c>
      <c r="AV76" s="287">
        <f>AU76</f>
        <v>1.6</v>
      </c>
      <c r="AW76" s="284">
        <f>13.14/7.85</f>
        <v>1.6738853503184714</v>
      </c>
      <c r="AX76" s="284">
        <f>13.1/7.85</f>
        <v>1.6687898089171975</v>
      </c>
      <c r="AY76" s="284">
        <f>11.61/7.85</f>
        <v>1.4789808917197451</v>
      </c>
      <c r="AZ76" s="285">
        <f>11.6/7.85</f>
        <v>1.4777070063694269</v>
      </c>
      <c r="BA76" s="287">
        <f t="shared" si="81"/>
        <v>1.4777070063694269</v>
      </c>
    </row>
    <row r="77" spans="1:58">
      <c r="A77" s="29" t="s">
        <v>1290</v>
      </c>
      <c r="AO77" s="284">
        <f>13.94/7.85</f>
        <v>1.7757961783439491</v>
      </c>
      <c r="AP77" s="284">
        <f>4.06/7.85</f>
        <v>0.51719745222929936</v>
      </c>
      <c r="AQ77" s="287">
        <f t="shared" si="82"/>
        <v>0.51719745222929936</v>
      </c>
      <c r="AR77" s="284">
        <f>6.18/7.85</f>
        <v>0.78726114649681533</v>
      </c>
      <c r="AS77" s="284">
        <f>7.88/7.85</f>
        <v>1.0038216560509554</v>
      </c>
      <c r="AT77" s="284">
        <f>5.72/7.85</f>
        <v>0.72866242038216555</v>
      </c>
      <c r="AU77" s="284">
        <f>4.7/7.85</f>
        <v>0.59872611464968162</v>
      </c>
      <c r="AV77" s="287">
        <f>AU77</f>
        <v>0.59872611464968162</v>
      </c>
      <c r="AW77" s="284">
        <f>4.99/7.85</f>
        <v>0.63566878980891728</v>
      </c>
      <c r="AX77" s="284">
        <f>5.67/7.85</f>
        <v>0.72229299363057331</v>
      </c>
      <c r="AY77" s="284">
        <f>3.53/7.85</f>
        <v>0.44968152866242039</v>
      </c>
      <c r="AZ77" s="285">
        <f>3.55/7.85</f>
        <v>0.45222929936305734</v>
      </c>
      <c r="BA77" s="287">
        <f t="shared" si="81"/>
        <v>0.45222929936305734</v>
      </c>
    </row>
    <row r="78" spans="1:58">
      <c r="A78" s="29" t="s">
        <v>1291</v>
      </c>
      <c r="AO78" s="284">
        <v>0.82</v>
      </c>
      <c r="AP78" s="284">
        <v>0.5</v>
      </c>
      <c r="AQ78" s="287">
        <f t="shared" si="82"/>
        <v>0.5</v>
      </c>
      <c r="AR78" s="284">
        <v>0.46</v>
      </c>
      <c r="AS78" s="284">
        <v>0.56000000000000005</v>
      </c>
      <c r="AT78" s="724"/>
      <c r="AU78" s="724"/>
      <c r="AV78" s="724"/>
      <c r="AW78" s="724"/>
      <c r="AX78" s="724"/>
      <c r="AY78" s="724"/>
      <c r="AZ78" s="724"/>
      <c r="BA78" s="724"/>
    </row>
    <row r="79" spans="1:58">
      <c r="A79" s="29" t="s">
        <v>1293</v>
      </c>
      <c r="AO79" s="284">
        <f>9.27/7.85</f>
        <v>1.1808917197452229</v>
      </c>
      <c r="AP79" s="284">
        <f>7.34/7.85</f>
        <v>0.93503184713375798</v>
      </c>
      <c r="AQ79" s="287">
        <f t="shared" si="82"/>
        <v>0.93503184713375798</v>
      </c>
      <c r="AR79" s="284">
        <f>5.17/7.85</f>
        <v>0.65859872611464976</v>
      </c>
      <c r="AS79" s="284">
        <f>4.81/7.85</f>
        <v>0.61273885350318469</v>
      </c>
      <c r="AT79" s="284">
        <f>5.82/7.85</f>
        <v>0.74140127388535038</v>
      </c>
      <c r="AU79" s="284">
        <f>3.9/7.85</f>
        <v>0.49681528662420382</v>
      </c>
      <c r="AV79" s="287">
        <f>AU79</f>
        <v>0.49681528662420382</v>
      </c>
      <c r="AW79" s="284">
        <f>6.14/7.85</f>
        <v>0.78216560509554145</v>
      </c>
      <c r="AX79" s="284">
        <f>8.26/7.85</f>
        <v>1.0522292993630573</v>
      </c>
      <c r="AY79" s="284">
        <f>5.5/7.85</f>
        <v>0.7006369426751593</v>
      </c>
      <c r="AZ79" s="285">
        <f>5.95/7.85</f>
        <v>0.7579617834394905</v>
      </c>
      <c r="BA79" s="287">
        <f t="shared" si="81"/>
        <v>0.7579617834394905</v>
      </c>
    </row>
    <row r="80" spans="1:58">
      <c r="A80" s="29" t="s">
        <v>1283</v>
      </c>
      <c r="AO80" s="284">
        <v>12.39</v>
      </c>
      <c r="AP80" s="284">
        <v>9.99</v>
      </c>
      <c r="AQ80" s="287">
        <f t="shared" si="82"/>
        <v>9.99</v>
      </c>
      <c r="AR80" s="284">
        <v>7.03</v>
      </c>
      <c r="AS80" s="284">
        <v>8.74</v>
      </c>
      <c r="AT80" s="284">
        <v>41.77</v>
      </c>
      <c r="AU80" s="724"/>
      <c r="AV80" s="724"/>
      <c r="AW80" s="724"/>
      <c r="AX80" s="724"/>
      <c r="AY80" s="724"/>
      <c r="AZ80" s="724"/>
      <c r="BA80" s="724"/>
    </row>
    <row r="81" spans="1:53">
      <c r="A81" s="29" t="s">
        <v>1284</v>
      </c>
      <c r="AO81" s="284">
        <f>5.15/7.85</f>
        <v>0.65605095541401282</v>
      </c>
      <c r="AP81" s="284">
        <f>4.96/7.85</f>
        <v>0.63184713375796175</v>
      </c>
      <c r="AQ81" s="287">
        <f t="shared" si="82"/>
        <v>0.63184713375796175</v>
      </c>
      <c r="AR81" s="284">
        <f>4.07/7.85</f>
        <v>0.51847133757961794</v>
      </c>
      <c r="AS81" s="284">
        <f>3.8/7.85</f>
        <v>0.48407643312101911</v>
      </c>
      <c r="AT81" s="284">
        <f>4.3/7.85</f>
        <v>0.54777070063694266</v>
      </c>
      <c r="AU81" s="284">
        <f>5.52/7.85</f>
        <v>0.70318471337579613</v>
      </c>
      <c r="AV81" s="287">
        <f>AU81</f>
        <v>0.70318471337579613</v>
      </c>
      <c r="AW81" s="284">
        <f>8.87/7.85</f>
        <v>1.129936305732484</v>
      </c>
      <c r="AX81" s="284">
        <f>8.25/7.85</f>
        <v>1.0509554140127388</v>
      </c>
      <c r="AY81" s="284">
        <f>7.21/7.85</f>
        <v>0.91847133757961785</v>
      </c>
      <c r="AZ81" s="285">
        <f>7.25/7.85</f>
        <v>0.92356687898089174</v>
      </c>
      <c r="BA81" s="287">
        <f t="shared" si="81"/>
        <v>0.92356687898089174</v>
      </c>
    </row>
    <row r="82" spans="1:53">
      <c r="A82" s="29" t="s">
        <v>1285</v>
      </c>
      <c r="AO82" s="284">
        <v>1.5</v>
      </c>
      <c r="AP82" s="284">
        <v>1.22</v>
      </c>
      <c r="AQ82" s="287">
        <f t="shared" si="82"/>
        <v>1.22</v>
      </c>
      <c r="AR82" s="284">
        <v>1.99</v>
      </c>
      <c r="AS82" s="284">
        <v>3.55</v>
      </c>
      <c r="AT82" s="284">
        <v>3.28</v>
      </c>
      <c r="AU82" s="284">
        <v>2.7</v>
      </c>
      <c r="AV82" s="287">
        <f>AU82</f>
        <v>2.7</v>
      </c>
      <c r="AW82" s="284">
        <v>2.02</v>
      </c>
      <c r="AX82" s="284">
        <v>2.0699999999999998</v>
      </c>
      <c r="AY82" s="284">
        <v>2.4900000000000002</v>
      </c>
      <c r="AZ82" s="285">
        <v>2.85</v>
      </c>
      <c r="BA82" s="287">
        <f t="shared" si="81"/>
        <v>2.85</v>
      </c>
    </row>
    <row r="83" spans="1:53">
      <c r="A83" s="29" t="s">
        <v>1286</v>
      </c>
      <c r="AO83" s="284">
        <v>1.94</v>
      </c>
      <c r="AP83" s="284">
        <v>1.9</v>
      </c>
      <c r="AQ83" s="287">
        <f t="shared" si="82"/>
        <v>1.9</v>
      </c>
      <c r="AR83" s="284">
        <v>1.68</v>
      </c>
      <c r="AS83" s="284">
        <v>1.97</v>
      </c>
      <c r="AT83" s="284">
        <v>2.31</v>
      </c>
      <c r="AU83" s="284">
        <v>1.69</v>
      </c>
      <c r="AV83" s="287">
        <f>AU83</f>
        <v>1.69</v>
      </c>
      <c r="AW83" s="284">
        <v>2.14</v>
      </c>
      <c r="AX83" s="284">
        <v>2.17</v>
      </c>
      <c r="AY83" s="284">
        <v>1.83</v>
      </c>
      <c r="AZ83" s="285">
        <v>1.85</v>
      </c>
      <c r="BA83" s="287">
        <f t="shared" si="81"/>
        <v>1.85</v>
      </c>
    </row>
    <row r="84" spans="1:53">
      <c r="A84" s="29" t="s">
        <v>1287</v>
      </c>
      <c r="AO84" s="284">
        <v>1.94</v>
      </c>
      <c r="AP84" s="284">
        <v>1.47</v>
      </c>
      <c r="AQ84" s="287">
        <f t="shared" si="82"/>
        <v>1.47</v>
      </c>
      <c r="AR84" s="284">
        <v>1.1200000000000001</v>
      </c>
      <c r="AS84" s="284">
        <v>1.25</v>
      </c>
      <c r="AT84" s="284">
        <v>2.0699999999999998</v>
      </c>
      <c r="AU84" s="761">
        <f>20.86/15</f>
        <v>1.3906666666666667</v>
      </c>
      <c r="AV84" s="287">
        <f>AU84</f>
        <v>1.3906666666666667</v>
      </c>
      <c r="AW84" s="284">
        <f>23.55/15</f>
        <v>1.57</v>
      </c>
      <c r="AX84" s="284">
        <f>36.39/15</f>
        <v>2.4260000000000002</v>
      </c>
      <c r="AY84" s="284">
        <f>61.04/15</f>
        <v>4.0693333333333337</v>
      </c>
      <c r="AZ84" s="285">
        <f>64/15</f>
        <v>4.2666666666666666</v>
      </c>
      <c r="BA84" s="287">
        <f t="shared" si="81"/>
        <v>4.2666666666666666</v>
      </c>
    </row>
    <row r="85" spans="1:53">
      <c r="AU85" s="262" t="s">
        <v>2828</v>
      </c>
    </row>
    <row r="86" spans="1:53">
      <c r="A86" s="26" t="s">
        <v>1294</v>
      </c>
    </row>
    <row r="87" spans="1:53">
      <c r="A87" s="29" t="s">
        <v>753</v>
      </c>
      <c r="AO87" s="26"/>
      <c r="AP87" s="260">
        <f>AP71/AO71-1</f>
        <v>3.7089871611982961E-2</v>
      </c>
      <c r="AQ87" s="26"/>
      <c r="AR87" s="260">
        <f>AR71/AQ71-1</f>
        <v>0.10591471801925723</v>
      </c>
      <c r="AS87" s="260">
        <f>AS71/AR71-1</f>
        <v>0.12064676616915437</v>
      </c>
      <c r="AT87" s="260">
        <f>AT71/AS71-1</f>
        <v>0.20088790233074372</v>
      </c>
      <c r="AU87" s="260">
        <f>AU71/AT71-1</f>
        <v>0.18022181146025873</v>
      </c>
      <c r="AW87" s="260">
        <f>AW71/AV71-1</f>
        <v>-7.5176194205168301E-2</v>
      </c>
      <c r="AX87" s="260">
        <f>AX71/AW71-1</f>
        <v>9.8221845893310844E-2</v>
      </c>
      <c r="AY87" s="260">
        <f>AY71/AX71-1</f>
        <v>-0.17270624518118738</v>
      </c>
      <c r="AZ87" s="260">
        <f>AZ71/AY71-1</f>
        <v>-0.12395153774464118</v>
      </c>
    </row>
    <row r="88" spans="1:53">
      <c r="A88" s="29" t="s">
        <v>2881</v>
      </c>
      <c r="AW88" s="260">
        <f>AW72/AV72-1</f>
        <v>4.5187362233651829E-2</v>
      </c>
      <c r="AX88" s="260">
        <f t="shared" ref="AX88:AZ98" si="83">AX72/AW72-1</f>
        <v>0.83936731107205631</v>
      </c>
      <c r="AY88" s="260">
        <f t="shared" si="83"/>
        <v>0.25358303076629074</v>
      </c>
      <c r="AZ88" s="260">
        <f t="shared" si="83"/>
        <v>-1</v>
      </c>
    </row>
    <row r="89" spans="1:53">
      <c r="A89" s="29" t="s">
        <v>2738</v>
      </c>
      <c r="AO89" s="26"/>
      <c r="AP89" s="260">
        <f>AP74/AO74-1</f>
        <v>-0.10764430577223094</v>
      </c>
      <c r="AQ89" s="26"/>
      <c r="AR89" s="260">
        <f>AR74/AQ74-1</f>
        <v>-0.10839160839160844</v>
      </c>
      <c r="AS89" s="260">
        <f>AS74/AR74-1</f>
        <v>0.29215686274509811</v>
      </c>
      <c r="AT89" s="260">
        <f>AT74/AS74-1</f>
        <v>2.5796661608497695E-2</v>
      </c>
      <c r="AU89" s="260">
        <f>AU74/AT74-1</f>
        <v>-0.21745562130177509</v>
      </c>
      <c r="AW89" s="260">
        <f>AW74/AV74-1</f>
        <v>-4.3478260869565299E-2</v>
      </c>
      <c r="AX89" s="260">
        <f t="shared" si="83"/>
        <v>1.4475043029259904</v>
      </c>
      <c r="AY89" s="260">
        <f t="shared" si="83"/>
        <v>-0.33473980309423346</v>
      </c>
      <c r="AZ89" s="260">
        <f t="shared" si="83"/>
        <v>0.17864693446088786</v>
      </c>
    </row>
    <row r="90" spans="1:53">
      <c r="A90" s="29" t="s">
        <v>1289</v>
      </c>
      <c r="AO90" s="26"/>
      <c r="AP90" s="260">
        <f t="shared" ref="AP90:AP98" si="84">AP76/AO76-1</f>
        <v>-0.18507157464212676</v>
      </c>
      <c r="AQ90" s="26"/>
      <c r="AR90" s="260">
        <f t="shared" ref="AR90:AU91" si="85">AR76/AQ76-1</f>
        <v>5.1442910915934892E-2</v>
      </c>
      <c r="AS90" s="260">
        <f t="shared" si="85"/>
        <v>0.67064439140811438</v>
      </c>
      <c r="AT90" s="260">
        <f t="shared" si="85"/>
        <v>-8.5714285714285743E-2</v>
      </c>
      <c r="AU90" s="260">
        <f t="shared" si="85"/>
        <v>-1.8750000000000044E-2</v>
      </c>
      <c r="AW90" s="260">
        <f t="shared" ref="AW90:AW91" si="86">AW76/AV76-1</f>
        <v>4.6178343949044631E-2</v>
      </c>
      <c r="AX90" s="260">
        <f t="shared" si="83"/>
        <v>-3.5573122529644174E-2</v>
      </c>
      <c r="AY90" s="260">
        <f t="shared" si="83"/>
        <v>-0.16188524590163933</v>
      </c>
      <c r="AZ90" s="260">
        <f t="shared" si="83"/>
        <v>6.3569682151589202E-2</v>
      </c>
    </row>
    <row r="91" spans="1:53">
      <c r="A91" s="29" t="s">
        <v>1290</v>
      </c>
      <c r="AO91" s="26"/>
      <c r="AP91" s="260">
        <f t="shared" si="84"/>
        <v>-0.70875179340028693</v>
      </c>
      <c r="AQ91" s="26"/>
      <c r="AR91" s="260">
        <f t="shared" si="85"/>
        <v>0.52216748768472909</v>
      </c>
      <c r="AS91" s="260">
        <f t="shared" si="85"/>
        <v>0.27508090614886727</v>
      </c>
      <c r="AT91" s="260">
        <f t="shared" si="85"/>
        <v>-0.2741116751269036</v>
      </c>
      <c r="AU91" s="260">
        <f t="shared" si="85"/>
        <v>-0.17832167832167811</v>
      </c>
      <c r="AW91" s="260">
        <f t="shared" si="86"/>
        <v>6.1702127659574391E-2</v>
      </c>
      <c r="AX91" s="260">
        <f t="shared" si="83"/>
        <v>-0.38023727286379339</v>
      </c>
      <c r="AY91" s="260">
        <f t="shared" si="83"/>
        <v>-0.14877635086018903</v>
      </c>
      <c r="AZ91" s="260">
        <f t="shared" si="83"/>
        <v>3.3304867634500246E-2</v>
      </c>
    </row>
    <row r="92" spans="1:53">
      <c r="A92" s="29" t="s">
        <v>1291</v>
      </c>
      <c r="AO92" s="26"/>
      <c r="AP92" s="260">
        <f t="shared" si="84"/>
        <v>-0.3902439024390244</v>
      </c>
      <c r="AQ92" s="26"/>
      <c r="AR92" s="260">
        <f t="shared" ref="AR92:AS98" si="87">AR78/AQ78-1</f>
        <v>-7.999999999999996E-2</v>
      </c>
      <c r="AS92" s="260">
        <f t="shared" si="87"/>
        <v>0.21739130434782616</v>
      </c>
      <c r="AT92" s="260"/>
      <c r="AU92" s="260"/>
      <c r="AW92" s="260"/>
      <c r="AX92" s="260">
        <f t="shared" si="83"/>
        <v>-3.0441400304414001E-3</v>
      </c>
      <c r="AY92" s="260">
        <f t="shared" si="83"/>
        <v>-0.11374045801526733</v>
      </c>
      <c r="AZ92" s="260">
        <f t="shared" si="83"/>
        <v>-8.6132644272163272E-4</v>
      </c>
    </row>
    <row r="93" spans="1:53">
      <c r="A93" s="29" t="s">
        <v>1293</v>
      </c>
      <c r="AO93" s="26"/>
      <c r="AP93" s="260">
        <f t="shared" si="84"/>
        <v>-0.20819848975188782</v>
      </c>
      <c r="AQ93" s="26"/>
      <c r="AR93" s="260">
        <f t="shared" si="87"/>
        <v>-0.29564032697547682</v>
      </c>
      <c r="AS93" s="260">
        <f t="shared" si="87"/>
        <v>-6.9632495164410169E-2</v>
      </c>
      <c r="AT93" s="260">
        <f>AT79/AS79-1</f>
        <v>0.20997920997921016</v>
      </c>
      <c r="AU93" s="260">
        <f>AU79/AT79-1</f>
        <v>-0.32989690721649489</v>
      </c>
      <c r="AW93" s="260">
        <f>AW79/AV79-1</f>
        <v>0.57435897435897454</v>
      </c>
      <c r="AX93" s="260">
        <f t="shared" si="83"/>
        <v>0.13627254509018027</v>
      </c>
      <c r="AY93" s="260">
        <f t="shared" si="83"/>
        <v>-0.37742504409171085</v>
      </c>
      <c r="AZ93" s="260">
        <f t="shared" si="83"/>
        <v>5.6657223796034994E-3</v>
      </c>
    </row>
    <row r="94" spans="1:53">
      <c r="A94" s="29" t="s">
        <v>1283</v>
      </c>
      <c r="AO94" s="26"/>
      <c r="AP94" s="260">
        <f t="shared" si="84"/>
        <v>-0.19370460048426152</v>
      </c>
      <c r="AQ94" s="26"/>
      <c r="AR94" s="260">
        <f t="shared" si="87"/>
        <v>-0.29629629629629628</v>
      </c>
      <c r="AS94" s="260">
        <f t="shared" si="87"/>
        <v>0.2432432432432432</v>
      </c>
      <c r="AT94" s="260">
        <f>AT80/AS80-1</f>
        <v>3.7791762013729979</v>
      </c>
      <c r="AU94" s="260"/>
      <c r="AW94" s="260"/>
      <c r="AX94" s="260"/>
      <c r="AY94" s="260"/>
      <c r="AZ94" s="260"/>
    </row>
    <row r="95" spans="1:53">
      <c r="A95" s="29" t="s">
        <v>1284</v>
      </c>
      <c r="AO95" s="26"/>
      <c r="AP95" s="260">
        <f t="shared" si="84"/>
        <v>-3.6893203883495262E-2</v>
      </c>
      <c r="AQ95" s="26"/>
      <c r="AR95" s="260">
        <f t="shared" si="87"/>
        <v>-0.17943548387096753</v>
      </c>
      <c r="AS95" s="260">
        <f t="shared" si="87"/>
        <v>-6.6339066339066499E-2</v>
      </c>
      <c r="AT95" s="260">
        <f>AT81/AS81-1</f>
        <v>0.13157894736842102</v>
      </c>
      <c r="AU95" s="260">
        <f>AU81/AT81-1</f>
        <v>0.28372093023255807</v>
      </c>
      <c r="AW95" s="260">
        <f t="shared" ref="AW95:AW98" si="88">AW81/AV81-1</f>
        <v>0.60688405797101463</v>
      </c>
      <c r="AX95" s="260">
        <f t="shared" si="83"/>
        <v>0.34527687296416931</v>
      </c>
      <c r="AY95" s="260">
        <f t="shared" si="83"/>
        <v>-0.33414043583535102</v>
      </c>
      <c r="AZ95" s="260">
        <f t="shared" si="83"/>
        <v>8.181818181818179E-2</v>
      </c>
    </row>
    <row r="96" spans="1:53">
      <c r="A96" s="29" t="s">
        <v>1285</v>
      </c>
      <c r="AO96" s="26"/>
      <c r="AP96" s="260">
        <f t="shared" si="84"/>
        <v>-0.18666666666666665</v>
      </c>
      <c r="AQ96" s="26"/>
      <c r="AR96" s="260">
        <f t="shared" si="87"/>
        <v>0.63114754098360648</v>
      </c>
      <c r="AS96" s="260">
        <f t="shared" si="87"/>
        <v>0.78391959798994959</v>
      </c>
      <c r="AT96" s="260">
        <f>AT82/AS82-1</f>
        <v>-7.6056338028169024E-2</v>
      </c>
      <c r="AU96" s="260">
        <f>AU82/AT82-1</f>
        <v>-0.17682926829268286</v>
      </c>
      <c r="AW96" s="260">
        <f t="shared" si="88"/>
        <v>-0.25185185185185188</v>
      </c>
      <c r="AX96" s="260"/>
      <c r="AY96" s="260"/>
      <c r="AZ96" s="260"/>
    </row>
    <row r="97" spans="1:58" s="26" customFormat="1">
      <c r="A97" s="29" t="s">
        <v>1286</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P97" s="260">
        <f t="shared" si="84"/>
        <v>-2.0618556701030966E-2</v>
      </c>
      <c r="AR97" s="260">
        <f t="shared" si="87"/>
        <v>-0.11578947368421055</v>
      </c>
      <c r="AS97" s="260">
        <f t="shared" si="87"/>
        <v>0.17261904761904767</v>
      </c>
      <c r="AT97" s="260">
        <f>AT83/AS83-1</f>
        <v>0.17258883248730972</v>
      </c>
      <c r="AU97" s="260">
        <f>AU83/AT83-1</f>
        <v>-0.26839826839826841</v>
      </c>
      <c r="AV97" s="1"/>
      <c r="AW97" s="260">
        <f t="shared" si="88"/>
        <v>0.26627218934911245</v>
      </c>
      <c r="AX97" s="260">
        <f t="shared" si="83"/>
        <v>-6.9898534385569366E-2</v>
      </c>
      <c r="AY97" s="260">
        <f t="shared" si="83"/>
        <v>-0.12606060606060598</v>
      </c>
      <c r="AZ97" s="260">
        <f t="shared" si="83"/>
        <v>5.5478502080443803E-3</v>
      </c>
      <c r="BA97" s="1"/>
      <c r="BB97" s="1"/>
      <c r="BC97" s="1"/>
      <c r="BD97" s="1"/>
      <c r="BE97" s="1"/>
      <c r="BF97" s="1"/>
    </row>
    <row r="98" spans="1:58" s="26" customFormat="1">
      <c r="A98" s="29" t="s">
        <v>1287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P98" s="260">
        <f t="shared" si="84"/>
        <v>-0.24226804123711343</v>
      </c>
      <c r="AR98" s="260">
        <f t="shared" si="87"/>
        <v>-0.23809523809523803</v>
      </c>
      <c r="AS98" s="260">
        <f t="shared" si="87"/>
        <v>0.11607142857142838</v>
      </c>
      <c r="AT98" s="260">
        <f>AT84/AS84-1</f>
        <v>0.65599999999999992</v>
      </c>
      <c r="AU98" s="260">
        <f>AU84/AT84-1</f>
        <v>-0.32818035426731074</v>
      </c>
      <c r="AV98" s="1"/>
      <c r="AW98" s="260">
        <f t="shared" si="88"/>
        <v>0.12895493767976984</v>
      </c>
      <c r="AX98" s="260">
        <f t="shared" si="83"/>
        <v>2.4752475247524774E-2</v>
      </c>
      <c r="AY98" s="260">
        <f t="shared" si="83"/>
        <v>0.20289855072463792</v>
      </c>
      <c r="AZ98" s="260">
        <f t="shared" si="83"/>
        <v>0.14457831325301207</v>
      </c>
      <c r="BA98" s="1"/>
      <c r="BB98" s="1"/>
    </row>
    <row r="99" spans="1:58" s="26" customForma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row>
    <row r="100" spans="1:58" s="26" customFormat="1">
      <c r="A100" s="3" t="s">
        <v>1271</v>
      </c>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618"/>
    </row>
    <row r="101" spans="1:58" s="26" customForma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685" t="s">
        <v>3107</v>
      </c>
      <c r="AX101" s="618"/>
      <c r="AY101" s="618"/>
      <c r="AZ101" s="618"/>
      <c r="BA101" s="1"/>
    </row>
    <row r="102" spans="1:58" s="26" customFormat="1">
      <c r="A102" s="5" t="s">
        <v>1268</v>
      </c>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51">
        <v>2800</v>
      </c>
      <c r="AP102" s="151">
        <v>2800</v>
      </c>
      <c r="AQ102" s="36">
        <f t="shared" ref="AQ102" si="89">AP102</f>
        <v>2800</v>
      </c>
      <c r="AR102" s="151">
        <v>2800</v>
      </c>
      <c r="AS102" s="151">
        <v>2800</v>
      </c>
      <c r="AT102" s="151">
        <v>2800</v>
      </c>
      <c r="AU102" s="151">
        <v>2800</v>
      </c>
      <c r="AV102" s="36">
        <f t="shared" ref="AV102:AV107" si="90">AU102</f>
        <v>2800</v>
      </c>
      <c r="AW102" s="681">
        <f>MROUND(AV102*(1-AW205), 5)</f>
        <v>2800</v>
      </c>
      <c r="AX102" s="681">
        <f>MROUND(AW102*(1-AX205), 5)</f>
        <v>2800</v>
      </c>
      <c r="AY102" s="681">
        <f>MROUND(AX102*(1-AY205), 5)</f>
        <v>2800</v>
      </c>
      <c r="AZ102" s="681">
        <f>MROUND(AY102*(1-AZ205), 5)</f>
        <v>2800</v>
      </c>
      <c r="BA102" s="36">
        <f>AZ102</f>
        <v>2800</v>
      </c>
      <c r="BB102" s="681">
        <f>MROUND(BA102*(1-BB205), 5)</f>
        <v>2800</v>
      </c>
      <c r="BC102" s="681">
        <f t="shared" ref="BC102:BE102" si="91">MROUND(BB102*(1-BC205), 5)</f>
        <v>2800</v>
      </c>
      <c r="BD102" s="681">
        <f t="shared" si="91"/>
        <v>2800</v>
      </c>
      <c r="BE102" s="681">
        <f t="shared" si="91"/>
        <v>2800</v>
      </c>
      <c r="BF102" s="36">
        <f>BE102</f>
        <v>2800</v>
      </c>
    </row>
    <row r="103" spans="1:58" s="26" customFormat="1">
      <c r="A103" s="5" t="s">
        <v>3362</v>
      </c>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38"/>
      <c r="AP103" s="38"/>
      <c r="AQ103" s="36"/>
      <c r="AR103" s="38"/>
      <c r="AS103" s="38"/>
      <c r="AT103" s="38"/>
      <c r="AU103" s="38"/>
      <c r="AV103" s="36"/>
      <c r="AW103" s="680"/>
      <c r="AX103" s="680"/>
      <c r="AY103" s="151">
        <v>200</v>
      </c>
      <c r="AZ103" s="80">
        <f>MROUND(AY103*(1-AZ234), 5)</f>
        <v>200</v>
      </c>
      <c r="BA103" s="36">
        <f>AZ103</f>
        <v>200</v>
      </c>
      <c r="BB103" s="80">
        <f>MROUND(BA103*(1-BB234), 5)</f>
        <v>200</v>
      </c>
      <c r="BC103" s="80">
        <f t="shared" ref="BC103:BE103" si="92">MROUND(BB103*(1-BC234), 5)</f>
        <v>200</v>
      </c>
      <c r="BD103" s="80">
        <f t="shared" si="92"/>
        <v>200</v>
      </c>
      <c r="BE103" s="80">
        <f t="shared" si="92"/>
        <v>200</v>
      </c>
      <c r="BF103" s="36">
        <f>BE103</f>
        <v>200</v>
      </c>
    </row>
    <row r="104" spans="1:58" s="26" customFormat="1">
      <c r="A104" s="5" t="s">
        <v>3363</v>
      </c>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38"/>
      <c r="AP104" s="38"/>
      <c r="AQ104" s="36"/>
      <c r="AR104" s="38"/>
      <c r="AS104" s="38"/>
      <c r="AT104" s="38"/>
      <c r="AU104" s="38"/>
      <c r="AV104" s="36"/>
      <c r="AW104" s="680"/>
      <c r="AX104" s="680"/>
      <c r="AY104" s="151">
        <v>300</v>
      </c>
      <c r="AZ104" s="80">
        <f>MROUND(AY104*(1-AZ263), 5)</f>
        <v>300</v>
      </c>
      <c r="BA104" s="36">
        <f>AZ104</f>
        <v>300</v>
      </c>
      <c r="BB104" s="80">
        <f>MROUND(BA104*(1-BB263), 5)</f>
        <v>300</v>
      </c>
      <c r="BC104" s="80">
        <f t="shared" ref="BC104:BE104" si="93">MROUND(BB104*(1-BC263), 5)</f>
        <v>300</v>
      </c>
      <c r="BD104" s="80">
        <f t="shared" si="93"/>
        <v>300</v>
      </c>
      <c r="BE104" s="80">
        <f t="shared" si="93"/>
        <v>300</v>
      </c>
      <c r="BF104" s="36">
        <f>BE104</f>
        <v>300</v>
      </c>
    </row>
    <row r="105" spans="1:58" s="26" customFormat="1">
      <c r="A105" s="5" t="s">
        <v>2822</v>
      </c>
      <c r="AT105" s="151">
        <v>400</v>
      </c>
      <c r="AU105" s="151">
        <v>500</v>
      </c>
      <c r="AV105" s="36">
        <f t="shared" si="90"/>
        <v>500</v>
      </c>
      <c r="AW105" s="151">
        <v>400</v>
      </c>
      <c r="AX105" s="151">
        <v>500</v>
      </c>
      <c r="AY105" s="151">
        <v>400</v>
      </c>
      <c r="AZ105" s="80">
        <f>MROUND(AY105*(1-AZ292), 5)</f>
        <v>400</v>
      </c>
      <c r="BA105" s="36">
        <f t="shared" ref="BA105:BA124" si="94">AZ105</f>
        <v>400</v>
      </c>
      <c r="BB105" s="80">
        <f>MROUND(BA105*(1-BB292), 5)</f>
        <v>400</v>
      </c>
      <c r="BC105" s="80">
        <f t="shared" ref="BC105:BE105" si="95">MROUND(BB105*(1-BC292), 5)</f>
        <v>400</v>
      </c>
      <c r="BD105" s="80">
        <f t="shared" si="95"/>
        <v>400</v>
      </c>
      <c r="BE105" s="80">
        <f t="shared" si="95"/>
        <v>400</v>
      </c>
      <c r="BF105" s="36">
        <f t="shared" ref="BF105:BF110" si="96">BE105</f>
        <v>400</v>
      </c>
    </row>
    <row r="106" spans="1:58" s="26" customFormat="1">
      <c r="A106" s="5" t="s">
        <v>3176</v>
      </c>
      <c r="AT106" s="38"/>
      <c r="AU106" s="38"/>
      <c r="AV106" s="36"/>
      <c r="AW106" s="38"/>
      <c r="AX106" s="151">
        <v>1700</v>
      </c>
      <c r="AY106" s="151">
        <v>1700</v>
      </c>
      <c r="AZ106" s="80">
        <f>MROUND(AY106*(1-AZ315), 5)</f>
        <v>1700</v>
      </c>
      <c r="BA106" s="36">
        <f t="shared" si="94"/>
        <v>1700</v>
      </c>
      <c r="BB106" s="80">
        <f>MROUND(BA106*(1-BB315), 5)</f>
        <v>1700</v>
      </c>
      <c r="BC106" s="80">
        <f t="shared" ref="BC106:BE106" si="97">MROUND(BB106*(1-BC315), 5)</f>
        <v>1700</v>
      </c>
      <c r="BD106" s="80">
        <f t="shared" si="97"/>
        <v>1700</v>
      </c>
      <c r="BE106" s="80">
        <f t="shared" si="97"/>
        <v>1700</v>
      </c>
      <c r="BF106" s="36">
        <f t="shared" si="96"/>
        <v>1700</v>
      </c>
    </row>
    <row r="107" spans="1:58" s="26" customFormat="1">
      <c r="A107" s="5" t="s">
        <v>2734</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38"/>
      <c r="AP107" s="38"/>
      <c r="AQ107" s="36"/>
      <c r="AR107" s="38"/>
      <c r="AS107" s="151">
        <v>600</v>
      </c>
      <c r="AT107" s="151">
        <v>500</v>
      </c>
      <c r="AU107" s="151">
        <v>500</v>
      </c>
      <c r="AV107" s="36">
        <f t="shared" si="90"/>
        <v>500</v>
      </c>
      <c r="AW107" s="151">
        <v>500</v>
      </c>
      <c r="AX107" s="151">
        <v>400</v>
      </c>
      <c r="AY107" s="151">
        <v>400</v>
      </c>
      <c r="AZ107" s="80">
        <f>MROUND(AY107*(1-AZ344), 5)</f>
        <v>400</v>
      </c>
      <c r="BA107" s="36">
        <f t="shared" si="94"/>
        <v>400</v>
      </c>
      <c r="BB107" s="80">
        <f>MROUND(BA107*(1-BB344), 5)</f>
        <v>400</v>
      </c>
      <c r="BC107" s="80">
        <f t="shared" ref="BC107:BE107" si="98">MROUND(BB107*(1-BC344), 5)</f>
        <v>400</v>
      </c>
      <c r="BD107" s="80">
        <f t="shared" si="98"/>
        <v>400</v>
      </c>
      <c r="BE107" s="80">
        <f t="shared" si="98"/>
        <v>400</v>
      </c>
      <c r="BF107" s="36">
        <f t="shared" si="96"/>
        <v>400</v>
      </c>
    </row>
    <row r="108" spans="1:58" s="26" customFormat="1">
      <c r="A108" s="5" t="s">
        <v>3108</v>
      </c>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38"/>
      <c r="AP108" s="38"/>
      <c r="AQ108" s="36"/>
      <c r="AR108" s="38"/>
      <c r="AS108" s="38"/>
      <c r="AT108" s="38"/>
      <c r="AU108" s="38"/>
      <c r="AV108" s="36"/>
      <c r="AW108" s="151">
        <v>400</v>
      </c>
      <c r="AX108" s="151">
        <v>300</v>
      </c>
      <c r="AY108" s="151">
        <v>300</v>
      </c>
      <c r="AZ108" s="80">
        <f>MROUND(AY108*(1-AZ367), 5)</f>
        <v>300</v>
      </c>
      <c r="BA108" s="36">
        <f t="shared" si="94"/>
        <v>300</v>
      </c>
      <c r="BB108" s="80">
        <f>MROUND(BA108*(1-BB367), 5)</f>
        <v>300</v>
      </c>
      <c r="BC108" s="80">
        <f t="shared" ref="BC108:BE108" si="99">MROUND(BB108*(1-BC367), 5)</f>
        <v>300</v>
      </c>
      <c r="BD108" s="80">
        <f t="shared" si="99"/>
        <v>300</v>
      </c>
      <c r="BE108" s="80">
        <f t="shared" si="99"/>
        <v>300</v>
      </c>
      <c r="BF108" s="36">
        <f t="shared" si="96"/>
        <v>300</v>
      </c>
    </row>
    <row r="109" spans="1:58" s="26" customFormat="1">
      <c r="A109" s="5" t="s">
        <v>1269</v>
      </c>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51">
        <v>200</v>
      </c>
      <c r="AP109" s="151">
        <v>200</v>
      </c>
      <c r="AQ109" s="36">
        <f>AP109</f>
        <v>200</v>
      </c>
      <c r="AR109" s="151">
        <v>200</v>
      </c>
      <c r="AS109" s="151">
        <v>200</v>
      </c>
      <c r="AT109" s="151">
        <v>200</v>
      </c>
      <c r="AU109" s="151">
        <v>200</v>
      </c>
      <c r="AV109" s="36">
        <f>AU109</f>
        <v>200</v>
      </c>
      <c r="AW109" s="151">
        <v>200</v>
      </c>
      <c r="AX109" s="151">
        <v>200</v>
      </c>
      <c r="AY109" s="151">
        <v>200</v>
      </c>
      <c r="AZ109" s="80">
        <f>MROUND(AY109*(1-AZ390), 5)</f>
        <v>200</v>
      </c>
      <c r="BA109" s="36">
        <f t="shared" si="94"/>
        <v>200</v>
      </c>
      <c r="BB109" s="80">
        <f>MROUND(BA109*(1-BB390), 5)</f>
        <v>200</v>
      </c>
      <c r="BC109" s="80">
        <f t="shared" ref="BC109:BE109" si="100">MROUND(BB109*(1-BC390), 5)</f>
        <v>200</v>
      </c>
      <c r="BD109" s="80">
        <f t="shared" si="100"/>
        <v>200</v>
      </c>
      <c r="BE109" s="80">
        <f t="shared" si="100"/>
        <v>200</v>
      </c>
      <c r="BF109" s="36">
        <f t="shared" si="96"/>
        <v>200</v>
      </c>
    </row>
    <row r="110" spans="1:58" s="26" customFormat="1">
      <c r="A110" s="5" t="s">
        <v>1270</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51">
        <v>100</v>
      </c>
      <c r="AP110" s="151">
        <v>100</v>
      </c>
      <c r="AQ110" s="36">
        <f>AP110</f>
        <v>100</v>
      </c>
      <c r="AR110" s="151">
        <v>100</v>
      </c>
      <c r="AS110" s="151">
        <v>100</v>
      </c>
      <c r="AT110" s="151">
        <v>100</v>
      </c>
      <c r="AU110" s="151">
        <v>100</v>
      </c>
      <c r="AV110" s="36">
        <f>AU110</f>
        <v>100</v>
      </c>
      <c r="AW110" s="151">
        <v>100</v>
      </c>
      <c r="AX110" s="151">
        <v>100</v>
      </c>
      <c r="AY110" s="151">
        <v>100</v>
      </c>
      <c r="AZ110" s="80">
        <f>MROUND(AY110*(1-AZ413), 5)</f>
        <v>100</v>
      </c>
      <c r="BA110" s="36">
        <f t="shared" si="94"/>
        <v>100</v>
      </c>
      <c r="BB110" s="80">
        <f>MROUND(BA110*(1-BB413), 5)</f>
        <v>100</v>
      </c>
      <c r="BC110" s="80">
        <f t="shared" ref="BC110:BE110" si="101">MROUND(BB110*(1-BC413), 5)</f>
        <v>100</v>
      </c>
      <c r="BD110" s="80">
        <f t="shared" si="101"/>
        <v>100</v>
      </c>
      <c r="BE110" s="80">
        <f t="shared" si="101"/>
        <v>100</v>
      </c>
      <c r="BF110" s="36">
        <f t="shared" si="96"/>
        <v>100</v>
      </c>
    </row>
    <row r="111" spans="1:58" s="26" customFormat="1">
      <c r="A111" s="29" t="s">
        <v>753</v>
      </c>
      <c r="AO111" s="282">
        <v>200</v>
      </c>
      <c r="AP111" s="282">
        <v>200</v>
      </c>
      <c r="AQ111" s="283">
        <f>AP111</f>
        <v>200</v>
      </c>
      <c r="AR111" s="282">
        <v>200</v>
      </c>
      <c r="AS111" s="282">
        <v>200</v>
      </c>
      <c r="AT111" s="282">
        <v>200</v>
      </c>
      <c r="AU111" s="282">
        <v>200</v>
      </c>
      <c r="AV111" s="283">
        <f t="shared" ref="AV111" si="102">AU111</f>
        <v>200</v>
      </c>
      <c r="AW111" s="282">
        <v>100</v>
      </c>
      <c r="AX111" s="282">
        <v>200</v>
      </c>
      <c r="AY111" s="282">
        <v>100</v>
      </c>
      <c r="AZ111" s="283">
        <f t="shared" ref="AZ111:BB111" si="103">AY111</f>
        <v>100</v>
      </c>
      <c r="BA111" s="61">
        <f t="shared" si="94"/>
        <v>100</v>
      </c>
      <c r="BB111" s="283">
        <f t="shared" si="103"/>
        <v>100</v>
      </c>
      <c r="BC111" s="283">
        <f t="shared" ref="BC111:BC119" si="104">BB111</f>
        <v>100</v>
      </c>
      <c r="BD111" s="283">
        <f t="shared" ref="BD111:BD119" si="105">BC111</f>
        <v>100</v>
      </c>
      <c r="BE111" s="283">
        <f t="shared" ref="BE111:BF119" si="106">BD111</f>
        <v>100</v>
      </c>
      <c r="BF111" s="283">
        <f t="shared" si="106"/>
        <v>100</v>
      </c>
    </row>
    <row r="112" spans="1:58" s="26" customFormat="1">
      <c r="A112" s="29" t="s">
        <v>2881</v>
      </c>
      <c r="AU112" s="282">
        <v>0</v>
      </c>
      <c r="AV112" s="283">
        <f t="shared" ref="AV112:AV114" si="107">AU112</f>
        <v>0</v>
      </c>
      <c r="AW112" s="282">
        <v>0</v>
      </c>
      <c r="AX112" s="282">
        <v>0</v>
      </c>
      <c r="AY112" s="282">
        <v>0</v>
      </c>
      <c r="AZ112" s="283">
        <f t="shared" ref="AZ112:BB115" si="108">AY112</f>
        <v>0</v>
      </c>
      <c r="BA112" s="61">
        <f t="shared" si="94"/>
        <v>0</v>
      </c>
      <c r="BB112" s="283">
        <f t="shared" si="108"/>
        <v>0</v>
      </c>
      <c r="BC112" s="283">
        <f t="shared" si="104"/>
        <v>0</v>
      </c>
      <c r="BD112" s="283">
        <f t="shared" si="105"/>
        <v>0</v>
      </c>
      <c r="BE112" s="283">
        <f t="shared" si="106"/>
        <v>0</v>
      </c>
      <c r="BF112" s="283">
        <f t="shared" si="106"/>
        <v>0</v>
      </c>
    </row>
    <row r="113" spans="1:58" s="26" customFormat="1">
      <c r="A113" s="29" t="s">
        <v>2667</v>
      </c>
      <c r="AO113" s="283"/>
      <c r="AP113" s="283"/>
      <c r="AQ113" s="283"/>
      <c r="AR113" s="282">
        <v>0</v>
      </c>
      <c r="AS113" s="282">
        <v>0</v>
      </c>
      <c r="AT113" s="282">
        <v>0</v>
      </c>
      <c r="AU113" s="282">
        <v>0</v>
      </c>
      <c r="AV113" s="283">
        <f t="shared" si="107"/>
        <v>0</v>
      </c>
      <c r="AW113" s="282">
        <v>0</v>
      </c>
      <c r="AX113" s="282">
        <v>0</v>
      </c>
      <c r="AY113" s="282">
        <v>0</v>
      </c>
      <c r="AZ113" s="283">
        <f t="shared" si="108"/>
        <v>0</v>
      </c>
      <c r="BA113" s="61">
        <f t="shared" si="94"/>
        <v>0</v>
      </c>
      <c r="BB113" s="283">
        <f t="shared" si="108"/>
        <v>0</v>
      </c>
      <c r="BC113" s="283">
        <f t="shared" si="104"/>
        <v>0</v>
      </c>
      <c r="BD113" s="283">
        <f t="shared" si="105"/>
        <v>0</v>
      </c>
      <c r="BE113" s="283">
        <f t="shared" si="106"/>
        <v>0</v>
      </c>
      <c r="BF113" s="283">
        <f t="shared" si="106"/>
        <v>0</v>
      </c>
    </row>
    <row r="114" spans="1:58">
      <c r="A114" s="29" t="s">
        <v>2823</v>
      </c>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82">
        <v>300</v>
      </c>
      <c r="AP114" s="282">
        <v>300</v>
      </c>
      <c r="AQ114" s="283">
        <f t="shared" ref="AQ114:AQ126" si="109">AP114</f>
        <v>300</v>
      </c>
      <c r="AR114" s="282">
        <v>300</v>
      </c>
      <c r="AS114" s="282">
        <v>300</v>
      </c>
      <c r="AT114" s="282">
        <v>300</v>
      </c>
      <c r="AU114" s="282">
        <v>300</v>
      </c>
      <c r="AV114" s="283">
        <f t="shared" si="107"/>
        <v>300</v>
      </c>
      <c r="AW114" s="282">
        <v>300</v>
      </c>
      <c r="AX114" s="282">
        <v>300</v>
      </c>
      <c r="AY114" s="282">
        <v>300</v>
      </c>
      <c r="AZ114" s="283">
        <f t="shared" si="108"/>
        <v>300</v>
      </c>
      <c r="BA114" s="61">
        <f t="shared" si="94"/>
        <v>300</v>
      </c>
      <c r="BB114" s="283">
        <f t="shared" si="108"/>
        <v>300</v>
      </c>
      <c r="BC114" s="283">
        <f t="shared" si="104"/>
        <v>300</v>
      </c>
      <c r="BD114" s="283">
        <f t="shared" si="105"/>
        <v>300</v>
      </c>
      <c r="BE114" s="283">
        <f t="shared" si="106"/>
        <v>300</v>
      </c>
      <c r="BF114" s="283">
        <f t="shared" si="106"/>
        <v>300</v>
      </c>
    </row>
    <row r="115" spans="1:58">
      <c r="A115" s="29" t="s">
        <v>3106</v>
      </c>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83"/>
      <c r="AP115" s="283"/>
      <c r="AQ115" s="283"/>
      <c r="AR115" s="283"/>
      <c r="AS115" s="283"/>
      <c r="AT115" s="283"/>
      <c r="AU115" s="283"/>
      <c r="AV115" s="283"/>
      <c r="AW115" s="282">
        <v>100</v>
      </c>
      <c r="AX115" s="282">
        <v>0</v>
      </c>
      <c r="AY115" s="282">
        <v>0</v>
      </c>
      <c r="AZ115" s="283">
        <f t="shared" si="108"/>
        <v>0</v>
      </c>
      <c r="BA115" s="61">
        <f t="shared" si="94"/>
        <v>0</v>
      </c>
      <c r="BB115" s="283">
        <f t="shared" si="108"/>
        <v>0</v>
      </c>
      <c r="BC115" s="283">
        <f t="shared" si="104"/>
        <v>0</v>
      </c>
      <c r="BD115" s="283">
        <f t="shared" si="105"/>
        <v>0</v>
      </c>
      <c r="BE115" s="283">
        <f t="shared" si="106"/>
        <v>0</v>
      </c>
      <c r="BF115" s="283">
        <f t="shared" si="106"/>
        <v>0</v>
      </c>
    </row>
    <row r="116" spans="1:58">
      <c r="A116" s="29" t="s">
        <v>1281</v>
      </c>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82">
        <v>500</v>
      </c>
      <c r="AP116" s="282">
        <v>500</v>
      </c>
      <c r="AQ116" s="283">
        <f t="shared" si="109"/>
        <v>500</v>
      </c>
      <c r="AR116" s="282">
        <v>500</v>
      </c>
      <c r="AS116" s="282">
        <v>400</v>
      </c>
      <c r="AT116" s="282">
        <v>300</v>
      </c>
      <c r="AU116" s="282">
        <v>300</v>
      </c>
      <c r="AV116" s="283">
        <f t="shared" ref="AV116:BB119" si="110">AU116</f>
        <v>300</v>
      </c>
      <c r="AW116" s="282">
        <v>300</v>
      </c>
      <c r="AX116" s="282">
        <v>300</v>
      </c>
      <c r="AY116" s="282">
        <v>300</v>
      </c>
      <c r="AZ116" s="283">
        <f t="shared" si="110"/>
        <v>300</v>
      </c>
      <c r="BA116" s="61">
        <f t="shared" si="94"/>
        <v>300</v>
      </c>
      <c r="BB116" s="283">
        <f t="shared" si="110"/>
        <v>300</v>
      </c>
      <c r="BC116" s="283">
        <f t="shared" si="104"/>
        <v>300</v>
      </c>
      <c r="BD116" s="283">
        <f t="shared" si="105"/>
        <v>300</v>
      </c>
      <c r="BE116" s="283">
        <f t="shared" si="106"/>
        <v>300</v>
      </c>
      <c r="BF116" s="283">
        <f t="shared" si="106"/>
        <v>300</v>
      </c>
    </row>
    <row r="117" spans="1:58">
      <c r="A117" s="29" t="s">
        <v>1282</v>
      </c>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82">
        <v>200</v>
      </c>
      <c r="AP117" s="282">
        <v>200</v>
      </c>
      <c r="AQ117" s="283">
        <f t="shared" si="109"/>
        <v>200</v>
      </c>
      <c r="AR117" s="282">
        <v>200</v>
      </c>
      <c r="AS117" s="282">
        <v>200</v>
      </c>
      <c r="AT117" s="282">
        <v>200</v>
      </c>
      <c r="AU117" s="282">
        <v>200</v>
      </c>
      <c r="AV117" s="283">
        <f t="shared" si="110"/>
        <v>200</v>
      </c>
      <c r="AW117" s="282">
        <v>200</v>
      </c>
      <c r="AX117" s="282">
        <v>200</v>
      </c>
      <c r="AY117" s="282">
        <v>200</v>
      </c>
      <c r="AZ117" s="283">
        <f t="shared" si="110"/>
        <v>200</v>
      </c>
      <c r="BA117" s="61">
        <f t="shared" si="94"/>
        <v>200</v>
      </c>
      <c r="BB117" s="283">
        <f t="shared" si="110"/>
        <v>200</v>
      </c>
      <c r="BC117" s="283">
        <f t="shared" si="104"/>
        <v>200</v>
      </c>
      <c r="BD117" s="283">
        <f t="shared" si="105"/>
        <v>200</v>
      </c>
      <c r="BE117" s="283">
        <f t="shared" si="106"/>
        <v>200</v>
      </c>
      <c r="BF117" s="283">
        <f t="shared" si="106"/>
        <v>200</v>
      </c>
    </row>
    <row r="118" spans="1:58">
      <c r="A118" s="29" t="s">
        <v>1291</v>
      </c>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82">
        <v>500</v>
      </c>
      <c r="AP118" s="282">
        <v>500</v>
      </c>
      <c r="AQ118" s="283">
        <f t="shared" si="109"/>
        <v>500</v>
      </c>
      <c r="AR118" s="282">
        <v>500</v>
      </c>
      <c r="AS118" s="282">
        <v>500</v>
      </c>
      <c r="AT118" s="282">
        <v>500</v>
      </c>
      <c r="AU118" s="282">
        <v>500</v>
      </c>
      <c r="AV118" s="283">
        <f t="shared" si="110"/>
        <v>500</v>
      </c>
      <c r="AW118" s="282">
        <v>500</v>
      </c>
      <c r="AX118" s="282">
        <v>500</v>
      </c>
      <c r="AY118" s="282">
        <v>500</v>
      </c>
      <c r="AZ118" s="283">
        <f t="shared" si="110"/>
        <v>500</v>
      </c>
      <c r="BA118" s="61">
        <f t="shared" si="94"/>
        <v>500</v>
      </c>
      <c r="BB118" s="283">
        <f t="shared" si="110"/>
        <v>500</v>
      </c>
      <c r="BC118" s="283">
        <f t="shared" si="104"/>
        <v>500</v>
      </c>
      <c r="BD118" s="283">
        <f t="shared" si="105"/>
        <v>500</v>
      </c>
      <c r="BE118" s="283">
        <f t="shared" si="106"/>
        <v>500</v>
      </c>
      <c r="BF118" s="283">
        <f t="shared" si="106"/>
        <v>500</v>
      </c>
    </row>
    <row r="119" spans="1:58">
      <c r="A119" s="29" t="s">
        <v>1292</v>
      </c>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82">
        <v>200</v>
      </c>
      <c r="AP119" s="282">
        <v>100</v>
      </c>
      <c r="AQ119" s="283">
        <f t="shared" si="109"/>
        <v>100</v>
      </c>
      <c r="AR119" s="282">
        <v>100</v>
      </c>
      <c r="AS119" s="282">
        <v>100</v>
      </c>
      <c r="AT119" s="282">
        <v>100</v>
      </c>
      <c r="AU119" s="282">
        <v>100</v>
      </c>
      <c r="AV119" s="283">
        <f t="shared" si="110"/>
        <v>100</v>
      </c>
      <c r="AW119" s="282">
        <v>100</v>
      </c>
      <c r="AX119" s="282">
        <v>100</v>
      </c>
      <c r="AY119" s="282">
        <v>100</v>
      </c>
      <c r="AZ119" s="283">
        <f t="shared" si="110"/>
        <v>100</v>
      </c>
      <c r="BA119" s="61">
        <f t="shared" si="94"/>
        <v>100</v>
      </c>
      <c r="BB119" s="283">
        <f t="shared" si="110"/>
        <v>100</v>
      </c>
      <c r="BC119" s="283">
        <f t="shared" si="104"/>
        <v>100</v>
      </c>
      <c r="BD119" s="283">
        <f t="shared" si="105"/>
        <v>100</v>
      </c>
      <c r="BE119" s="283">
        <f t="shared" si="106"/>
        <v>100</v>
      </c>
      <c r="BF119" s="283">
        <f t="shared" si="106"/>
        <v>100</v>
      </c>
    </row>
    <row r="120" spans="1:58">
      <c r="A120" s="29" t="s">
        <v>1283</v>
      </c>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82">
        <v>0</v>
      </c>
      <c r="AP120" s="282">
        <v>100</v>
      </c>
      <c r="AQ120" s="283">
        <f t="shared" si="109"/>
        <v>100</v>
      </c>
      <c r="AR120" s="282">
        <v>0</v>
      </c>
      <c r="AS120" s="282">
        <v>0</v>
      </c>
      <c r="AT120" s="282">
        <v>0</v>
      </c>
      <c r="AU120" s="762"/>
      <c r="AV120" s="762"/>
      <c r="AW120" s="762"/>
      <c r="AX120" s="762"/>
      <c r="AY120" s="762"/>
      <c r="AZ120" s="762"/>
      <c r="BA120" s="61"/>
      <c r="BB120" s="762"/>
      <c r="BC120" s="762"/>
      <c r="BD120" s="762"/>
      <c r="BE120" s="762"/>
      <c r="BF120" s="762"/>
    </row>
    <row r="121" spans="1:58">
      <c r="A121" s="29" t="s">
        <v>1284</v>
      </c>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82">
        <v>100</v>
      </c>
      <c r="AP121" s="282">
        <v>100</v>
      </c>
      <c r="AQ121" s="283">
        <f t="shared" si="109"/>
        <v>100</v>
      </c>
      <c r="AR121" s="282">
        <v>100</v>
      </c>
      <c r="AS121" s="282">
        <v>100</v>
      </c>
      <c r="AT121" s="282">
        <v>100</v>
      </c>
      <c r="AU121" s="282">
        <v>100</v>
      </c>
      <c r="AV121" s="283">
        <f t="shared" ref="AV121:BB121" si="111">AU121</f>
        <v>100</v>
      </c>
      <c r="AW121" s="282">
        <v>100</v>
      </c>
      <c r="AX121" s="282">
        <v>100</v>
      </c>
      <c r="AY121" s="282">
        <v>100</v>
      </c>
      <c r="AZ121" s="283">
        <f t="shared" si="111"/>
        <v>100</v>
      </c>
      <c r="BA121" s="61">
        <f t="shared" si="94"/>
        <v>100</v>
      </c>
      <c r="BB121" s="283">
        <f t="shared" si="111"/>
        <v>100</v>
      </c>
      <c r="BC121" s="283">
        <f t="shared" ref="BC121:BC124" si="112">BB121</f>
        <v>100</v>
      </c>
      <c r="BD121" s="283">
        <f t="shared" ref="BD121:BD124" si="113">BC121</f>
        <v>100</v>
      </c>
      <c r="BE121" s="283">
        <f t="shared" ref="BE121:BF124" si="114">BD121</f>
        <v>100</v>
      </c>
      <c r="BF121" s="283">
        <f t="shared" si="114"/>
        <v>100</v>
      </c>
    </row>
    <row r="122" spans="1:58">
      <c r="A122" s="29" t="s">
        <v>1285</v>
      </c>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82">
        <v>300</v>
      </c>
      <c r="AP122" s="282">
        <v>300</v>
      </c>
      <c r="AQ122" s="283">
        <f t="shared" si="109"/>
        <v>300</v>
      </c>
      <c r="AR122" s="282">
        <v>300</v>
      </c>
      <c r="AS122" s="282">
        <v>300</v>
      </c>
      <c r="AT122" s="282">
        <v>400</v>
      </c>
      <c r="AU122" s="282">
        <v>300</v>
      </c>
      <c r="AV122" s="283">
        <f t="shared" ref="AV122:BB122" si="115">AU122</f>
        <v>300</v>
      </c>
      <c r="AW122" s="282">
        <v>300</v>
      </c>
      <c r="AX122" s="282">
        <v>300</v>
      </c>
      <c r="AY122" s="282">
        <v>300</v>
      </c>
      <c r="AZ122" s="283">
        <f t="shared" si="115"/>
        <v>300</v>
      </c>
      <c r="BA122" s="61">
        <f t="shared" si="94"/>
        <v>300</v>
      </c>
      <c r="BB122" s="283">
        <f t="shared" si="115"/>
        <v>300</v>
      </c>
      <c r="BC122" s="283">
        <f t="shared" si="112"/>
        <v>300</v>
      </c>
      <c r="BD122" s="283">
        <f t="shared" si="113"/>
        <v>300</v>
      </c>
      <c r="BE122" s="283">
        <f t="shared" si="114"/>
        <v>300</v>
      </c>
      <c r="BF122" s="283">
        <f t="shared" si="114"/>
        <v>300</v>
      </c>
    </row>
    <row r="123" spans="1:58">
      <c r="A123" s="29" t="s">
        <v>1286</v>
      </c>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82">
        <v>200</v>
      </c>
      <c r="AP123" s="282">
        <v>200</v>
      </c>
      <c r="AQ123" s="283">
        <f t="shared" si="109"/>
        <v>200</v>
      </c>
      <c r="AR123" s="282">
        <v>200</v>
      </c>
      <c r="AS123" s="282">
        <v>200</v>
      </c>
      <c r="AT123" s="282">
        <v>200</v>
      </c>
      <c r="AU123" s="282">
        <v>200</v>
      </c>
      <c r="AV123" s="283">
        <f t="shared" ref="AV123:BB123" si="116">AU123</f>
        <v>200</v>
      </c>
      <c r="AW123" s="282">
        <v>200</v>
      </c>
      <c r="AX123" s="282">
        <v>200</v>
      </c>
      <c r="AY123" s="282">
        <v>200</v>
      </c>
      <c r="AZ123" s="283">
        <f t="shared" si="116"/>
        <v>200</v>
      </c>
      <c r="BA123" s="61">
        <f t="shared" si="94"/>
        <v>200</v>
      </c>
      <c r="BB123" s="283">
        <f t="shared" si="116"/>
        <v>200</v>
      </c>
      <c r="BC123" s="283">
        <f t="shared" si="112"/>
        <v>200</v>
      </c>
      <c r="BD123" s="283">
        <f t="shared" si="113"/>
        <v>200</v>
      </c>
      <c r="BE123" s="283">
        <f t="shared" si="114"/>
        <v>200</v>
      </c>
      <c r="BF123" s="283">
        <f t="shared" si="114"/>
        <v>200</v>
      </c>
    </row>
    <row r="124" spans="1:58">
      <c r="A124" s="29" t="s">
        <v>1287</v>
      </c>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82">
        <v>0</v>
      </c>
      <c r="AP124" s="282">
        <v>0</v>
      </c>
      <c r="AQ124" s="283">
        <f t="shared" si="109"/>
        <v>0</v>
      </c>
      <c r="AR124" s="282">
        <v>0</v>
      </c>
      <c r="AS124" s="282">
        <v>0</v>
      </c>
      <c r="AT124" s="282">
        <v>0</v>
      </c>
      <c r="AU124" s="282">
        <v>0</v>
      </c>
      <c r="AV124" s="283">
        <f t="shared" ref="AV124:BB124" si="117">AU124</f>
        <v>0</v>
      </c>
      <c r="AW124" s="282">
        <v>0</v>
      </c>
      <c r="AX124" s="282">
        <v>0</v>
      </c>
      <c r="AY124" s="282">
        <v>0</v>
      </c>
      <c r="AZ124" s="283">
        <f t="shared" si="117"/>
        <v>0</v>
      </c>
      <c r="BA124" s="61">
        <f t="shared" si="94"/>
        <v>0</v>
      </c>
      <c r="BB124" s="283">
        <f t="shared" si="117"/>
        <v>0</v>
      </c>
      <c r="BC124" s="283">
        <f t="shared" si="112"/>
        <v>0</v>
      </c>
      <c r="BD124" s="283">
        <f t="shared" si="113"/>
        <v>0</v>
      </c>
      <c r="BE124" s="283">
        <f t="shared" si="114"/>
        <v>0</v>
      </c>
      <c r="BF124" s="283">
        <f t="shared" si="114"/>
        <v>0</v>
      </c>
    </row>
    <row r="125" spans="1:58">
      <c r="A125" s="102" t="s">
        <v>1295</v>
      </c>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82">
        <v>0</v>
      </c>
      <c r="AP125" s="282">
        <v>0</v>
      </c>
      <c r="AQ125" s="283">
        <f t="shared" si="109"/>
        <v>0</v>
      </c>
      <c r="AR125" s="674"/>
      <c r="AS125" s="674"/>
      <c r="AT125" s="674"/>
      <c r="AU125" s="674"/>
      <c r="AV125" s="674"/>
      <c r="AW125" s="674"/>
      <c r="AX125" s="674"/>
      <c r="AY125" s="674"/>
      <c r="AZ125" s="674"/>
      <c r="BA125" s="674"/>
      <c r="BB125" s="674"/>
      <c r="BC125" s="674"/>
      <c r="BD125" s="674"/>
      <c r="BE125" s="674"/>
      <c r="BF125" s="674"/>
    </row>
    <row r="126" spans="1:58">
      <c r="A126" s="102" t="s">
        <v>1093</v>
      </c>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82">
        <v>3000</v>
      </c>
      <c r="AP126" s="282">
        <v>3000</v>
      </c>
      <c r="AQ126" s="283">
        <f t="shared" si="109"/>
        <v>3000</v>
      </c>
      <c r="AR126" s="674"/>
      <c r="AS126" s="674"/>
      <c r="AT126" s="674"/>
      <c r="AU126" s="674"/>
      <c r="AV126" s="674"/>
      <c r="AW126" s="674"/>
      <c r="AX126" s="674"/>
      <c r="AY126" s="674"/>
      <c r="AZ126" s="674"/>
      <c r="BA126" s="674"/>
      <c r="BB126" s="674"/>
      <c r="BC126" s="674"/>
      <c r="BD126" s="674"/>
      <c r="BE126" s="674"/>
      <c r="BF126" s="674"/>
    </row>
    <row r="127" spans="1:58">
      <c r="A127" s="9" t="s">
        <v>1316</v>
      </c>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39">
        <f>SUM(AO102:AO126)</f>
        <v>8600</v>
      </c>
      <c r="AP127" s="39">
        <f>SUM(AP102:AP126)</f>
        <v>8600</v>
      </c>
      <c r="AQ127" s="39">
        <f>SUM(AQ102:AQ126)</f>
        <v>8600</v>
      </c>
      <c r="AR127" s="39">
        <f>SUM(AR102:AR125)</f>
        <v>5500</v>
      </c>
      <c r="AS127" s="39">
        <f>SUM(AS102:AS125)</f>
        <v>6000</v>
      </c>
      <c r="AT127" s="39">
        <f>SUM(AT102:AT125)</f>
        <v>6300</v>
      </c>
      <c r="AU127" s="39">
        <f>SUM(AU102:AU125)</f>
        <v>6300</v>
      </c>
      <c r="AV127" s="39">
        <f>SUM(AV102:AV125)</f>
        <v>6300</v>
      </c>
      <c r="AW127" s="39">
        <f>SUM(AW105:AW124)</f>
        <v>3800</v>
      </c>
      <c r="AX127" s="39">
        <f>SUM(AX105:AX124)</f>
        <v>5400</v>
      </c>
      <c r="AY127" s="1074">
        <v>5900</v>
      </c>
      <c r="AZ127" s="39">
        <f>SUM(AZ105:AZ124)</f>
        <v>5200</v>
      </c>
      <c r="BA127" s="39">
        <f>SUM(BA105:BA124)</f>
        <v>5200</v>
      </c>
      <c r="BB127" s="39">
        <f t="shared" ref="BB127:BF127" si="118">SUM(BB105:BB124)</f>
        <v>5200</v>
      </c>
      <c r="BC127" s="39">
        <f t="shared" si="118"/>
        <v>5200</v>
      </c>
      <c r="BD127" s="39">
        <f t="shared" si="118"/>
        <v>5200</v>
      </c>
      <c r="BE127" s="39">
        <f t="shared" si="118"/>
        <v>5200</v>
      </c>
      <c r="BF127" s="39">
        <f t="shared" si="118"/>
        <v>5200</v>
      </c>
    </row>
    <row r="128" spans="1:58">
      <c r="AR128" s="673" t="s">
        <v>2663</v>
      </c>
      <c r="AS128" s="71"/>
      <c r="AT128" s="71"/>
      <c r="AU128" s="71"/>
      <c r="AV128" s="71"/>
      <c r="AW128" s="71"/>
      <c r="AY128" s="783" t="s">
        <v>3365</v>
      </c>
    </row>
    <row r="129" spans="1:63">
      <c r="A129" s="1" t="s">
        <v>1296</v>
      </c>
      <c r="AO129" s="36">
        <f t="shared" ref="AO129:BA129" si="119">AO68</f>
        <v>4400</v>
      </c>
      <c r="AP129" s="36">
        <f t="shared" si="119"/>
        <v>4000</v>
      </c>
      <c r="AQ129" s="36">
        <f t="shared" si="119"/>
        <v>4000</v>
      </c>
      <c r="AR129" s="36">
        <f t="shared" si="119"/>
        <v>2900</v>
      </c>
      <c r="AS129" s="36">
        <f t="shared" si="119"/>
        <v>3600</v>
      </c>
      <c r="AT129" s="36">
        <f t="shared" si="119"/>
        <v>4300</v>
      </c>
      <c r="AU129" s="36">
        <f t="shared" si="119"/>
        <v>3300</v>
      </c>
      <c r="AV129" s="36">
        <f t="shared" si="119"/>
        <v>3300</v>
      </c>
      <c r="AW129" s="36">
        <f t="shared" si="119"/>
        <v>2800</v>
      </c>
      <c r="AX129" s="36">
        <f t="shared" si="119"/>
        <v>3800</v>
      </c>
      <c r="AY129" s="36">
        <f t="shared" si="119"/>
        <v>5200</v>
      </c>
      <c r="AZ129" s="36">
        <f t="shared" si="119"/>
        <v>4505</v>
      </c>
      <c r="BA129" s="36">
        <f t="shared" si="119"/>
        <v>4505</v>
      </c>
      <c r="BB129" s="36">
        <f t="shared" ref="BB129:BF129" si="120">BB68</f>
        <v>4505</v>
      </c>
      <c r="BC129" s="36">
        <f t="shared" si="120"/>
        <v>4505</v>
      </c>
      <c r="BD129" s="36">
        <f t="shared" si="120"/>
        <v>4505</v>
      </c>
      <c r="BE129" s="36">
        <f t="shared" si="120"/>
        <v>4505</v>
      </c>
      <c r="BF129" s="36">
        <f t="shared" si="120"/>
        <v>4505</v>
      </c>
    </row>
    <row r="130" spans="1:63">
      <c r="A130" s="1" t="s">
        <v>1297</v>
      </c>
      <c r="AO130" s="36">
        <f t="shared" ref="AO130:AT130" si="121">AO127</f>
        <v>8600</v>
      </c>
      <c r="AP130" s="36">
        <f t="shared" si="121"/>
        <v>8600</v>
      </c>
      <c r="AQ130" s="36">
        <f t="shared" si="121"/>
        <v>8600</v>
      </c>
      <c r="AR130" s="36">
        <f t="shared" si="121"/>
        <v>5500</v>
      </c>
      <c r="AS130" s="36">
        <f t="shared" si="121"/>
        <v>6000</v>
      </c>
      <c r="AT130" s="36">
        <f t="shared" si="121"/>
        <v>6300</v>
      </c>
      <c r="AU130" s="36">
        <f t="shared" ref="AU130:AX130" si="122">AU127</f>
        <v>6300</v>
      </c>
      <c r="AV130" s="36">
        <f t="shared" si="122"/>
        <v>6300</v>
      </c>
      <c r="AW130" s="36">
        <f t="shared" si="122"/>
        <v>3800</v>
      </c>
      <c r="AX130" s="36">
        <f t="shared" si="122"/>
        <v>5400</v>
      </c>
      <c r="AY130" s="36">
        <f t="shared" ref="AY130:BC130" si="123">AY127</f>
        <v>5900</v>
      </c>
      <c r="AZ130" s="36">
        <f t="shared" si="123"/>
        <v>5200</v>
      </c>
      <c r="BA130" s="36">
        <f t="shared" si="123"/>
        <v>5200</v>
      </c>
      <c r="BB130" s="36">
        <f t="shared" si="123"/>
        <v>5200</v>
      </c>
      <c r="BC130" s="36">
        <f t="shared" si="123"/>
        <v>5200</v>
      </c>
      <c r="BD130" s="36">
        <f t="shared" ref="BD130:BF130" si="124">BD127</f>
        <v>5200</v>
      </c>
      <c r="BE130" s="36">
        <f t="shared" si="124"/>
        <v>5200</v>
      </c>
      <c r="BF130" s="36">
        <f t="shared" si="124"/>
        <v>5200</v>
      </c>
    </row>
    <row r="131" spans="1:63">
      <c r="A131" s="1" t="s">
        <v>302</v>
      </c>
      <c r="AO131" s="16">
        <f t="shared" ref="AO131:AT131" si="125">AO129/AO130-1</f>
        <v>-0.48837209302325579</v>
      </c>
      <c r="AP131" s="16">
        <f t="shared" si="125"/>
        <v>-0.53488372093023262</v>
      </c>
      <c r="AQ131" s="16">
        <f t="shared" si="125"/>
        <v>-0.53488372093023262</v>
      </c>
      <c r="AR131" s="16">
        <f t="shared" si="125"/>
        <v>-0.47272727272727277</v>
      </c>
      <c r="AS131" s="16">
        <f t="shared" si="125"/>
        <v>-0.4</v>
      </c>
      <c r="AT131" s="16">
        <f t="shared" si="125"/>
        <v>-0.31746031746031744</v>
      </c>
      <c r="AU131" s="16">
        <f t="shared" ref="AU131:AX131" si="126">AU129/AU130-1</f>
        <v>-0.47619047619047616</v>
      </c>
      <c r="AV131" s="16">
        <f t="shared" si="126"/>
        <v>-0.47619047619047616</v>
      </c>
      <c r="AW131" s="16">
        <f t="shared" si="126"/>
        <v>-0.26315789473684215</v>
      </c>
      <c r="AX131" s="16">
        <f t="shared" si="126"/>
        <v>-0.29629629629629628</v>
      </c>
      <c r="AY131" s="16">
        <f t="shared" ref="AY131:BC131" si="127">AY129/AY130-1</f>
        <v>-0.11864406779661019</v>
      </c>
      <c r="AZ131" s="16">
        <f t="shared" si="127"/>
        <v>-0.13365384615384612</v>
      </c>
      <c r="BA131" s="16">
        <f t="shared" si="127"/>
        <v>-0.13365384615384612</v>
      </c>
      <c r="BB131" s="16">
        <f t="shared" si="127"/>
        <v>-0.13365384615384612</v>
      </c>
      <c r="BC131" s="16">
        <f t="shared" si="127"/>
        <v>-0.13365384615384612</v>
      </c>
      <c r="BD131" s="16">
        <f t="shared" ref="BD131:BF131" si="128">BD129/BD130-1</f>
        <v>-0.13365384615384612</v>
      </c>
      <c r="BE131" s="16">
        <f t="shared" si="128"/>
        <v>-0.13365384615384612</v>
      </c>
      <c r="BF131" s="16">
        <f t="shared" si="128"/>
        <v>-0.13365384615384612</v>
      </c>
    </row>
    <row r="132" spans="1:63">
      <c r="A132" s="1" t="s">
        <v>305</v>
      </c>
      <c r="AP132" s="16">
        <f>AP129/(AO129+(AP130-AO130)*(AO129/AO130))-1</f>
        <v>-9.0909090909090939E-2</v>
      </c>
      <c r="AQ132" s="16"/>
      <c r="AR132" s="16">
        <f>AR129/(AQ129+(AR130-AQ130)*(AQ129/AQ130))-1</f>
        <v>0.13363636363636355</v>
      </c>
      <c r="AS132" s="16">
        <f>AS129/(AR129+(AS130-AR130)*(AR129/AR130))-1</f>
        <v>0.13793103448275867</v>
      </c>
      <c r="AT132" s="16">
        <f>AT129/(AS129+(AT130-AS130)*(AS129/AS130))-1</f>
        <v>0.13756613756613767</v>
      </c>
      <c r="AU132" s="16">
        <f>AU129/(AT129+(AU130-AT130)*(AT129/AT130))-1</f>
        <v>-0.23255813953488369</v>
      </c>
      <c r="AV132" s="16"/>
      <c r="AW132" s="16">
        <f>AW129/(AV129+(AW130-AV130)*(AV129/AV130))-1</f>
        <v>0.40669856459330145</v>
      </c>
      <c r="AX132" s="16">
        <f>AX129/(AW129+(AX130-AW130)*(AW129/AW130))-1</f>
        <v>-4.4973544973544888E-2</v>
      </c>
      <c r="AY132" s="16">
        <f>AY129/(AX129+(AY130-AX130)*(AX129/AX130))-1</f>
        <v>0.25245316681534336</v>
      </c>
      <c r="AZ132" s="16">
        <f>AZ129/(AY129+(AZ130-AY130)*(AY129/AY130))-1</f>
        <v>-1.703032544378702E-2</v>
      </c>
      <c r="BB132" s="16">
        <f>BB129/(BA129+(BB130-BA130)*(BA129/BA130))-1</f>
        <v>0</v>
      </c>
      <c r="BC132" s="16">
        <f>BC129/(BB129+(BC130-BB130)*(BB129/BB130))-1</f>
        <v>0</v>
      </c>
      <c r="BD132" s="16">
        <f>BD129/(BC129+(BD130-BC130)*(BC129/BC130))-1</f>
        <v>0</v>
      </c>
      <c r="BE132" s="16">
        <f>BE129/(BD129+(BE130-BD130)*(BD129/BD130))-1</f>
        <v>0</v>
      </c>
    </row>
    <row r="134" spans="1:63" s="71" customFormat="1">
      <c r="A134" s="217" t="s">
        <v>1298</v>
      </c>
      <c r="AV134" s="880" t="s">
        <v>3112</v>
      </c>
      <c r="AW134" s="793">
        <v>0.41299999999999998</v>
      </c>
      <c r="AX134" s="793">
        <v>0.41299999999999998</v>
      </c>
      <c r="AY134" s="793">
        <v>0.41299999999999998</v>
      </c>
      <c r="AZ134" s="793">
        <v>0.41299999999999998</v>
      </c>
      <c r="BB134" s="793">
        <v>0.41299999999999998</v>
      </c>
      <c r="BC134" s="793">
        <v>0.41299999999999998</v>
      </c>
      <c r="BD134" s="793">
        <v>0.41299999999999998</v>
      </c>
      <c r="BE134" s="793">
        <v>0.41299999999999998</v>
      </c>
    </row>
    <row r="136" spans="1:63">
      <c r="A136" s="28" t="s">
        <v>1086</v>
      </c>
      <c r="AO136" s="2">
        <v>257</v>
      </c>
      <c r="AP136" s="2">
        <v>256</v>
      </c>
      <c r="AQ136" s="1">
        <f t="shared" ref="AQ136:AV136" si="129">AP136</f>
        <v>256</v>
      </c>
      <c r="AR136" s="2">
        <v>256</v>
      </c>
      <c r="AS136" s="2">
        <v>257</v>
      </c>
      <c r="AT136" s="2">
        <v>268</v>
      </c>
      <c r="AU136" s="2">
        <v>266</v>
      </c>
      <c r="AV136" s="1">
        <f t="shared" si="129"/>
        <v>266</v>
      </c>
      <c r="AW136" s="2">
        <v>263</v>
      </c>
      <c r="AX136" s="2">
        <v>261</v>
      </c>
      <c r="AY136" s="2">
        <v>258</v>
      </c>
    </row>
    <row r="137" spans="1:63">
      <c r="A137" s="28" t="s">
        <v>1301</v>
      </c>
    </row>
    <row r="138" spans="1:63">
      <c r="A138" s="28"/>
      <c r="AU138" s="430" t="s">
        <v>2736</v>
      </c>
      <c r="AV138" s="705"/>
      <c r="AW138" s="705"/>
      <c r="AX138" s="705"/>
      <c r="AY138" s="705"/>
      <c r="BB138" s="626" t="s">
        <v>3469</v>
      </c>
      <c r="BC138" s="845"/>
      <c r="BD138" s="845"/>
      <c r="BE138" s="845"/>
      <c r="BF138" s="845"/>
      <c r="BG138" s="845"/>
      <c r="BH138" s="845"/>
    </row>
    <row r="139" spans="1:63">
      <c r="A139" s="28"/>
      <c r="AU139" s="262"/>
      <c r="AV139" s="219"/>
      <c r="AW139" s="219"/>
      <c r="AX139" s="82" t="s">
        <v>3220</v>
      </c>
      <c r="AY139" s="219"/>
    </row>
    <row r="140" spans="1:63">
      <c r="A140" s="34" t="s">
        <v>3110</v>
      </c>
      <c r="AS140" s="651">
        <v>500</v>
      </c>
      <c r="AT140" s="651">
        <v>500</v>
      </c>
      <c r="AU140" s="622">
        <f>AU159*('OpenAI SBG "rough"'!$G$20/'OpenAI SBG "rough"'!$D$17)</f>
        <v>3292.993630573249</v>
      </c>
      <c r="AV140" s="36">
        <f>AU140</f>
        <v>3292.993630573249</v>
      </c>
      <c r="AW140" s="622">
        <f>AV140</f>
        <v>3292.993630573249</v>
      </c>
      <c r="AX140" s="754">
        <f>18500-AX141</f>
        <v>7562.5</v>
      </c>
      <c r="AY140" s="754">
        <f>AY143-AY141</f>
        <v>8110.6337869665804</v>
      </c>
      <c r="AZ140" s="648">
        <f>AY140</f>
        <v>8110.6337869665804</v>
      </c>
      <c r="BA140" s="36">
        <f>AZ140</f>
        <v>8110.6337869665804</v>
      </c>
    </row>
    <row r="141" spans="1:63">
      <c r="A141" s="34" t="s">
        <v>3111</v>
      </c>
      <c r="AU141" s="262"/>
      <c r="AV141" s="219"/>
      <c r="AW141" s="622">
        <f>AW160</f>
        <v>7500</v>
      </c>
      <c r="AX141" s="754">
        <f>AW141*'OpenAI SBG "rough"'!$G$11/300</f>
        <v>10937.5</v>
      </c>
      <c r="AY141" s="754">
        <f>1000*('OpenAI Valuation table'!$L$4+'OpenAI Valuation table'!$L$13)</f>
        <v>46289.36621303342</v>
      </c>
      <c r="AZ141" s="648">
        <f>AY141</f>
        <v>46289.36621303342</v>
      </c>
      <c r="BA141" s="36">
        <f t="shared" ref="BA141:BF156" si="130">AZ141</f>
        <v>46289.36621303342</v>
      </c>
    </row>
    <row r="142" spans="1:63">
      <c r="A142" s="34" t="s">
        <v>3219</v>
      </c>
      <c r="AX142" s="210">
        <v>6200</v>
      </c>
      <c r="AY142" s="59"/>
      <c r="AZ142" s="59"/>
      <c r="BA142" s="36"/>
      <c r="BB142" s="1174" t="s">
        <v>3578</v>
      </c>
      <c r="BC142" s="618"/>
      <c r="BD142" s="618"/>
      <c r="BE142" s="618"/>
      <c r="BF142" s="618"/>
      <c r="BG142" s="618"/>
      <c r="BH142" s="618"/>
      <c r="BI142" s="618"/>
      <c r="BJ142" s="618"/>
      <c r="BK142" s="618"/>
    </row>
    <row r="143" spans="1:63">
      <c r="A143" s="1134" t="s">
        <v>2726</v>
      </c>
      <c r="B143" s="1135"/>
      <c r="C143" s="1135"/>
      <c r="D143" s="1135"/>
      <c r="E143" s="1135"/>
      <c r="F143" s="1135"/>
      <c r="G143" s="1135"/>
      <c r="H143" s="1135"/>
      <c r="I143" s="1135"/>
      <c r="J143" s="1135"/>
      <c r="K143" s="1135"/>
      <c r="L143" s="1135"/>
      <c r="M143" s="1135"/>
      <c r="N143" s="1135"/>
      <c r="O143" s="1135"/>
      <c r="P143" s="1135"/>
      <c r="Q143" s="1135"/>
      <c r="R143" s="1135"/>
      <c r="S143" s="1135"/>
      <c r="T143" s="1135"/>
      <c r="U143" s="1135"/>
      <c r="V143" s="1135"/>
      <c r="W143" s="1135"/>
      <c r="X143" s="1135"/>
      <c r="Y143" s="1135"/>
      <c r="Z143" s="1135"/>
      <c r="AA143" s="1135"/>
      <c r="AB143" s="1135"/>
      <c r="AC143" s="1135"/>
      <c r="AD143" s="1135"/>
      <c r="AE143" s="1135"/>
      <c r="AF143" s="1135"/>
      <c r="AG143" s="1135"/>
      <c r="AH143" s="1135"/>
      <c r="AI143" s="1135"/>
      <c r="AJ143" s="1135"/>
      <c r="AK143" s="1135"/>
      <c r="AL143" s="1135"/>
      <c r="AM143" s="1135"/>
      <c r="AN143" s="1135"/>
      <c r="AO143" s="1135"/>
      <c r="AP143" s="1135"/>
      <c r="AQ143" s="1135"/>
      <c r="AR143" s="1135"/>
      <c r="AS143" s="1138">
        <f>SUM(AS140:AS142)</f>
        <v>500</v>
      </c>
      <c r="AT143" s="1138">
        <f>SUM(AT140:AT142)</f>
        <v>500</v>
      </c>
      <c r="AU143" s="1138">
        <f>SUM(AU140:AU142)</f>
        <v>3292.993630573249</v>
      </c>
      <c r="AV143" s="1138">
        <f>AU143</f>
        <v>3292.993630573249</v>
      </c>
      <c r="AW143" s="1138">
        <f>SUM(AW140:AW142)</f>
        <v>10792.993630573248</v>
      </c>
      <c r="AX143" s="1139">
        <f>18500+6200</f>
        <v>24700</v>
      </c>
      <c r="AY143" s="1139">
        <v>54400</v>
      </c>
      <c r="AZ143" s="1138">
        <f>SUM(AZ140:AZ142)</f>
        <v>54400</v>
      </c>
      <c r="BA143" s="1138">
        <f t="shared" si="130"/>
        <v>54400</v>
      </c>
      <c r="BB143" s="1140">
        <f>MROUND((1-FP!Q$16)*$BA$143*FP!Q$19/500, 5)+(BB162-$BA$162)</f>
        <v>85475</v>
      </c>
      <c r="BC143" s="1140">
        <f>MROUND((1-FP!R$16)*$BA$143*FP!R$19/500, 5)+(BC162-$BA$162)</f>
        <v>97450</v>
      </c>
      <c r="BD143" s="1140">
        <f>MROUND((1-FP!S$16)*$BA$143*FP!S$19/500, 5)+(BD162-$BA$162)</f>
        <v>109425</v>
      </c>
      <c r="BE143" s="1140">
        <f>MROUND((1-FP!T$16)*$BA$143*FP!T$19/500, 5)+(BE162-$BA$162)</f>
        <v>109425</v>
      </c>
      <c r="BF143" s="1138">
        <f>BE143</f>
        <v>109425</v>
      </c>
    </row>
    <row r="144" spans="1:63" s="26" customFormat="1">
      <c r="A144" s="29" t="s">
        <v>3459</v>
      </c>
      <c r="AS144" s="195">
        <f t="shared" ref="AS144:BF144" si="131">AS143/AS11</f>
        <v>1.7123287671232876E-2</v>
      </c>
      <c r="AT144" s="195">
        <f t="shared" si="131"/>
        <v>1.7182130584192441E-2</v>
      </c>
      <c r="AU144" s="195">
        <f t="shared" si="131"/>
        <v>0.10195026720041019</v>
      </c>
      <c r="AV144" s="195">
        <f t="shared" si="131"/>
        <v>0.10195026720041019</v>
      </c>
      <c r="AW144" s="195">
        <f t="shared" si="131"/>
        <v>0.26324374708715237</v>
      </c>
      <c r="AX144" s="195">
        <f t="shared" si="131"/>
        <v>0.50718685831622179</v>
      </c>
      <c r="AY144" s="195">
        <f t="shared" si="131"/>
        <v>0.62962962962962965</v>
      </c>
      <c r="AZ144" s="195">
        <f t="shared" si="131"/>
        <v>0.63189685213149027</v>
      </c>
      <c r="BA144" s="195">
        <f t="shared" si="131"/>
        <v>0.63189685213149027</v>
      </c>
      <c r="BB144" s="195">
        <f t="shared" si="131"/>
        <v>0.73428976418538727</v>
      </c>
      <c r="BC144" s="195">
        <f t="shared" si="131"/>
        <v>0.76449360633874641</v>
      </c>
      <c r="BD144" s="195">
        <f t="shared" si="131"/>
        <v>0.79047171855811604</v>
      </c>
      <c r="BE144" s="195">
        <f t="shared" si="131"/>
        <v>0.79657130377811747</v>
      </c>
      <c r="BF144" s="195">
        <f t="shared" si="131"/>
        <v>0.79657130377811747</v>
      </c>
    </row>
    <row r="145" spans="1:58" s="26" customFormat="1">
      <c r="A145" s="1136" t="s">
        <v>3470</v>
      </c>
      <c r="B145" s="1137"/>
      <c r="C145" s="1137"/>
      <c r="D145" s="1137"/>
      <c r="E145" s="1137"/>
      <c r="F145" s="1137"/>
      <c r="G145" s="1137"/>
      <c r="H145" s="1137"/>
      <c r="I145" s="1137"/>
      <c r="J145" s="1137"/>
      <c r="K145" s="1137"/>
      <c r="L145" s="1137"/>
      <c r="M145" s="1137"/>
      <c r="N145" s="1137"/>
      <c r="O145" s="1137"/>
      <c r="P145" s="1137"/>
      <c r="Q145" s="1137"/>
      <c r="R145" s="1137"/>
      <c r="S145" s="1137"/>
      <c r="T145" s="1137"/>
      <c r="U145" s="1137"/>
      <c r="V145" s="1137"/>
      <c r="W145" s="1137"/>
      <c r="X145" s="1137"/>
      <c r="Y145" s="1137"/>
      <c r="Z145" s="1137"/>
      <c r="AA145" s="1137"/>
      <c r="AB145" s="1137"/>
      <c r="AC145" s="1137"/>
      <c r="AD145" s="1137"/>
      <c r="AE145" s="1137"/>
      <c r="AF145" s="1137"/>
      <c r="AG145" s="1137"/>
      <c r="AH145" s="1137"/>
      <c r="AI145" s="1137"/>
      <c r="AJ145" s="1137"/>
      <c r="AK145" s="1137"/>
      <c r="AL145" s="1137"/>
      <c r="AM145" s="1137"/>
      <c r="AN145" s="1137"/>
      <c r="AO145" s="1137"/>
      <c r="AP145" s="1137"/>
      <c r="AQ145" s="1137"/>
      <c r="AR145" s="1137"/>
      <c r="AS145" s="1141"/>
      <c r="AT145" s="1141"/>
      <c r="AU145" s="1141"/>
      <c r="AV145" s="1141"/>
      <c r="AW145" s="1141"/>
      <c r="AX145" s="1141"/>
      <c r="AY145" s="1141"/>
      <c r="AZ145" s="1141"/>
      <c r="BA145" s="1141"/>
      <c r="BB145" s="1173">
        <f>MROUND(BB143/FP!Q$19/1000, 0.05%)</f>
        <v>0.1115</v>
      </c>
      <c r="BC145" s="1173">
        <f>MROUND(BC143/FP!R$19/1000, 0.05%)</f>
        <v>0.124</v>
      </c>
      <c r="BD145" s="1173">
        <f>MROUND(BD143/FP!S$19/1000, 0.05%)</f>
        <v>0.13600000000000001</v>
      </c>
      <c r="BE145" s="1173">
        <f>MROUND(BE143/FP!T$19/1000, 0.05%)</f>
        <v>0.1305</v>
      </c>
      <c r="BF145" s="1173">
        <f>MROUND(BF143/(FP!$Q$17+SUM(FP!$Q$18:$T$18))/1000, 0.05%)</f>
        <v>0.1305</v>
      </c>
    </row>
    <row r="146" spans="1:58">
      <c r="A146" s="5" t="s">
        <v>2824</v>
      </c>
      <c r="AR146" s="651">
        <v>15</v>
      </c>
      <c r="AS146" s="651">
        <f>AR146</f>
        <v>15</v>
      </c>
      <c r="AT146" s="651">
        <f>3*AR146*(1-(500/9000))</f>
        <v>42.5</v>
      </c>
      <c r="AU146" s="651">
        <f>AT146</f>
        <v>42.5</v>
      </c>
      <c r="AV146" s="36">
        <f>AU146</f>
        <v>42.5</v>
      </c>
      <c r="AW146" s="651">
        <f>(14/9)*AV146*(1-(500/14000))</f>
        <v>63.750000000000007</v>
      </c>
      <c r="AX146" s="651">
        <f>(18/14)*AW146*(1-(100/18000))</f>
        <v>81.508928571428584</v>
      </c>
      <c r="AY146" s="651">
        <f>(20/18)*AX146*(1-(200/20000))</f>
        <v>89.659821428571448</v>
      </c>
      <c r="AZ146" s="651">
        <f>AY146</f>
        <v>89.659821428571448</v>
      </c>
      <c r="BA146" s="36">
        <f t="shared" si="130"/>
        <v>89.659821428571448</v>
      </c>
      <c r="BB146" s="651">
        <f>BA146</f>
        <v>89.659821428571448</v>
      </c>
      <c r="BC146" s="651">
        <f t="shared" ref="BC146:BE146" si="132">BB146</f>
        <v>89.659821428571448</v>
      </c>
      <c r="BD146" s="651">
        <f t="shared" si="132"/>
        <v>89.659821428571448</v>
      </c>
      <c r="BE146" s="651">
        <f t="shared" si="132"/>
        <v>89.659821428571448</v>
      </c>
      <c r="BF146" s="36">
        <f>BE146</f>
        <v>89.659821428571448</v>
      </c>
    </row>
    <row r="147" spans="1:58">
      <c r="A147" s="5" t="s">
        <v>2826</v>
      </c>
      <c r="AR147" s="763">
        <f>MROUND(AR164*(25000/33000), 5)</f>
        <v>605</v>
      </c>
      <c r="AS147" s="763">
        <f>MROUND(AS164*(45000/33000), 5)</f>
        <v>1090</v>
      </c>
      <c r="AT147" s="763">
        <f>AS147</f>
        <v>1090</v>
      </c>
      <c r="AU147" s="763">
        <f>MROUND(AU164*(48000/33000), 5)</f>
        <v>1165</v>
      </c>
      <c r="AV147" s="36">
        <f t="shared" ref="AV147:AX149" si="133">AU147</f>
        <v>1165</v>
      </c>
      <c r="AW147" s="763">
        <f t="shared" si="133"/>
        <v>1165</v>
      </c>
      <c r="AX147" s="763">
        <f t="shared" si="133"/>
        <v>1165</v>
      </c>
      <c r="AY147" s="622">
        <f>MROUND(AY164*(75000/33000), 5)</f>
        <v>1820</v>
      </c>
      <c r="AZ147" s="622">
        <f>AY147</f>
        <v>1820</v>
      </c>
      <c r="BA147" s="36">
        <f t="shared" si="130"/>
        <v>1820</v>
      </c>
      <c r="BB147" s="622">
        <f t="shared" ref="BB147:BF147" si="134">BA147</f>
        <v>1820</v>
      </c>
      <c r="BC147" s="622">
        <f t="shared" si="134"/>
        <v>1820</v>
      </c>
      <c r="BD147" s="622">
        <f t="shared" si="134"/>
        <v>1820</v>
      </c>
      <c r="BE147" s="622">
        <f t="shared" si="134"/>
        <v>1820</v>
      </c>
      <c r="BF147" s="36">
        <f t="shared" si="134"/>
        <v>1820</v>
      </c>
    </row>
    <row r="148" spans="1:58">
      <c r="A148" s="5" t="s">
        <v>3029</v>
      </c>
      <c r="AR148" s="59"/>
      <c r="AS148" s="59"/>
      <c r="AT148" s="59"/>
      <c r="AU148" s="648">
        <f>AU165</f>
        <v>800</v>
      </c>
      <c r="AV148" s="36">
        <f t="shared" si="133"/>
        <v>800</v>
      </c>
      <c r="AW148" s="763">
        <f t="shared" si="133"/>
        <v>800</v>
      </c>
      <c r="AX148" s="763">
        <f>AW148</f>
        <v>800</v>
      </c>
      <c r="AY148" s="622">
        <f>AX148</f>
        <v>800</v>
      </c>
      <c r="AZ148" s="622">
        <f t="shared" ref="AZ148" si="135">MROUND(AY148*(8000/5750)*(1-(2000/8000))+500, 5)</f>
        <v>1335</v>
      </c>
      <c r="BA148" s="36">
        <f t="shared" si="130"/>
        <v>1335</v>
      </c>
      <c r="BB148" s="622">
        <f t="shared" si="130"/>
        <v>1335</v>
      </c>
      <c r="BC148" s="622">
        <f t="shared" si="130"/>
        <v>1335</v>
      </c>
      <c r="BD148" s="622">
        <f t="shared" si="130"/>
        <v>1335</v>
      </c>
      <c r="BE148" s="622">
        <f t="shared" si="130"/>
        <v>1335</v>
      </c>
      <c r="BF148" s="36">
        <f t="shared" si="130"/>
        <v>1335</v>
      </c>
    </row>
    <row r="149" spans="1:58">
      <c r="A149" s="5" t="s">
        <v>3115</v>
      </c>
      <c r="AR149" s="59"/>
      <c r="AS149" s="59"/>
      <c r="AT149" s="648">
        <f>AT166</f>
        <v>40</v>
      </c>
      <c r="AU149" s="648">
        <f>AT149</f>
        <v>40</v>
      </c>
      <c r="AV149" s="36">
        <f t="shared" si="133"/>
        <v>40</v>
      </c>
      <c r="AW149" s="763">
        <f t="shared" si="133"/>
        <v>40</v>
      </c>
      <c r="AX149" s="763">
        <f>(1-(1/100))*AW149*100/62</f>
        <v>63.87096774193548</v>
      </c>
      <c r="AY149" s="622">
        <f>(1-(5/134))*AX149*134/100</f>
        <v>82.393548387096757</v>
      </c>
      <c r="AZ149" s="622">
        <f>AY149</f>
        <v>82.393548387096757</v>
      </c>
      <c r="BA149" s="36">
        <f t="shared" si="130"/>
        <v>82.393548387096757</v>
      </c>
      <c r="BB149" s="622">
        <f t="shared" si="130"/>
        <v>82.393548387096757</v>
      </c>
      <c r="BC149" s="622">
        <f t="shared" si="130"/>
        <v>82.393548387096757</v>
      </c>
      <c r="BD149" s="622">
        <f t="shared" si="130"/>
        <v>82.393548387096757</v>
      </c>
      <c r="BE149" s="622">
        <f t="shared" si="130"/>
        <v>82.393548387096757</v>
      </c>
      <c r="BF149" s="36">
        <f t="shared" si="130"/>
        <v>82.393548387096757</v>
      </c>
    </row>
    <row r="150" spans="1:58" s="706" customFormat="1">
      <c r="A150" s="5" t="s">
        <v>3367</v>
      </c>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59"/>
      <c r="AS150" s="1076" t="s">
        <v>3368</v>
      </c>
      <c r="AT150" s="1075">
        <f>AT167</f>
        <v>75</v>
      </c>
      <c r="AU150" s="59"/>
      <c r="AV150" s="59"/>
      <c r="AW150" s="59"/>
      <c r="AX150" s="59"/>
      <c r="AY150" s="59"/>
      <c r="AZ150" s="59"/>
      <c r="BA150" s="59"/>
    </row>
    <row r="151" spans="1:58" s="706" customFormat="1">
      <c r="A151" s="711" t="s">
        <v>3113</v>
      </c>
      <c r="AR151" s="695"/>
      <c r="AS151" s="695"/>
      <c r="AT151" s="695"/>
      <c r="AW151" s="1079">
        <f>AW134*AW43</f>
        <v>338.65999999999997</v>
      </c>
      <c r="AX151" s="1079">
        <f>AX134*AX43</f>
        <v>516.25</v>
      </c>
      <c r="AY151" s="1079">
        <f>AY134*AY43</f>
        <v>662.86500000000001</v>
      </c>
      <c r="AZ151" s="1079">
        <f>AZ134*AZ43</f>
        <v>650.47499999999991</v>
      </c>
      <c r="BA151" s="1079">
        <f t="shared" si="130"/>
        <v>650.47499999999991</v>
      </c>
      <c r="BB151" s="1079">
        <f t="shared" ref="BB151:BE151" si="136">BB134*BB43</f>
        <v>650.47499999999991</v>
      </c>
      <c r="BC151" s="1079">
        <f t="shared" si="136"/>
        <v>650.47499999999991</v>
      </c>
      <c r="BD151" s="1079">
        <f t="shared" si="136"/>
        <v>650.47499999999991</v>
      </c>
      <c r="BE151" s="1079">
        <f t="shared" si="136"/>
        <v>650.47499999999991</v>
      </c>
      <c r="BF151" s="1079">
        <f t="shared" si="130"/>
        <v>650.47499999999991</v>
      </c>
    </row>
    <row r="152" spans="1:58" s="706" customFormat="1">
      <c r="A152" s="711" t="s">
        <v>3366</v>
      </c>
      <c r="AR152" s="695"/>
      <c r="AS152" s="695"/>
      <c r="AT152" s="695"/>
      <c r="AU152" s="1077">
        <f>49%*$AT$150</f>
        <v>36.75</v>
      </c>
      <c r="AV152" s="1079">
        <f>AU152</f>
        <v>36.75</v>
      </c>
      <c r="AW152" s="1077">
        <f>MROUND(AW134*150+(1-(500/4500))*(AV152*4500/1500), 5)</f>
        <v>160</v>
      </c>
      <c r="AX152" s="1077">
        <f>AW152</f>
        <v>160</v>
      </c>
      <c r="AY152" s="1077">
        <f>AX152</f>
        <v>160</v>
      </c>
      <c r="AZ152" s="1077">
        <f>MROUND(AZ134*700+(1-(1400/14000))*(AY152*14000/4500), 5)</f>
        <v>735</v>
      </c>
      <c r="BA152" s="1079">
        <f t="shared" si="130"/>
        <v>735</v>
      </c>
      <c r="BB152" s="1077">
        <f>BA152</f>
        <v>735</v>
      </c>
      <c r="BC152" s="1077">
        <f>BB152</f>
        <v>735</v>
      </c>
      <c r="BD152" s="1077">
        <f>BC152</f>
        <v>735</v>
      </c>
      <c r="BE152" s="1077">
        <f>BD152</f>
        <v>735</v>
      </c>
      <c r="BF152" s="1079">
        <f>BE152</f>
        <v>735</v>
      </c>
    </row>
    <row r="153" spans="1:58" s="57" customFormat="1">
      <c r="A153" s="711" t="s">
        <v>3203</v>
      </c>
      <c r="B153" s="706"/>
      <c r="C153" s="706"/>
      <c r="D153" s="706"/>
      <c r="E153" s="706"/>
      <c r="F153" s="706"/>
      <c r="G153" s="706"/>
      <c r="H153" s="706"/>
      <c r="I153" s="706"/>
      <c r="J153" s="706"/>
      <c r="K153" s="706"/>
      <c r="L153" s="706"/>
      <c r="M153" s="706"/>
      <c r="N153" s="706"/>
      <c r="O153" s="706"/>
      <c r="P153" s="706"/>
      <c r="Q153" s="706"/>
      <c r="R153" s="706"/>
      <c r="S153" s="706"/>
      <c r="T153" s="706"/>
      <c r="U153" s="706"/>
      <c r="V153" s="706"/>
      <c r="W153" s="706"/>
      <c r="X153" s="706"/>
      <c r="Y153" s="706"/>
      <c r="Z153" s="706"/>
      <c r="AA153" s="706"/>
      <c r="AB153" s="706"/>
      <c r="AC153" s="706"/>
      <c r="AD153" s="706"/>
      <c r="AE153" s="706"/>
      <c r="AF153" s="706"/>
      <c r="AG153" s="706"/>
      <c r="AH153" s="706"/>
      <c r="AI153" s="706"/>
      <c r="AJ153" s="706"/>
      <c r="AK153" s="706"/>
      <c r="AL153" s="706"/>
      <c r="AM153" s="706"/>
      <c r="AN153" s="706"/>
      <c r="AO153" s="706"/>
      <c r="AP153" s="706"/>
      <c r="AQ153" s="706"/>
      <c r="AR153" s="695"/>
      <c r="AS153" s="695"/>
      <c r="AT153" s="695"/>
      <c r="AU153" s="695"/>
      <c r="AV153" s="695"/>
      <c r="AW153" s="695">
        <f>AW154-AW151</f>
        <v>2661.34</v>
      </c>
      <c r="AX153" s="695">
        <f>AX154-AX151</f>
        <v>2683.75</v>
      </c>
      <c r="AY153" s="622">
        <f>MROUND(AX153*(1+0.33*AY182), 100)</f>
        <v>2600</v>
      </c>
      <c r="AZ153" s="622">
        <f>MROUND(AY153*(1+0.33*AZ182), 100)</f>
        <v>2500</v>
      </c>
      <c r="BA153" s="36">
        <f t="shared" si="130"/>
        <v>2500</v>
      </c>
      <c r="BB153" s="622">
        <f>MROUND(BA153*(1+0.33*BB182), 100)</f>
        <v>2500</v>
      </c>
      <c r="BC153" s="622">
        <f>MROUND(BB153*(1+0.33*BC182), 100)</f>
        <v>2500</v>
      </c>
      <c r="BD153" s="622">
        <f>MROUND(BC153*(1+0.33*BD182), 100)</f>
        <v>2500</v>
      </c>
      <c r="BE153" s="622">
        <f>MROUND(BD153*(1+0.33*BE182), 100)</f>
        <v>2500</v>
      </c>
      <c r="BF153" s="36">
        <f t="shared" si="130"/>
        <v>2500</v>
      </c>
    </row>
    <row r="154" spans="1:58" s="79" customFormat="1">
      <c r="A154" s="1059" t="s">
        <v>3202</v>
      </c>
      <c r="B154" s="314"/>
      <c r="C154" s="314"/>
      <c r="D154" s="314"/>
      <c r="E154" s="314"/>
      <c r="F154" s="314"/>
      <c r="G154" s="314"/>
      <c r="H154" s="314"/>
      <c r="I154" s="314"/>
      <c r="J154" s="314"/>
      <c r="K154" s="314"/>
      <c r="L154" s="314"/>
      <c r="M154" s="314"/>
      <c r="N154" s="314"/>
      <c r="O154" s="314"/>
      <c r="P154" s="314"/>
      <c r="Q154" s="314"/>
      <c r="R154" s="314"/>
      <c r="S154" s="314"/>
      <c r="T154" s="314"/>
      <c r="U154" s="314"/>
      <c r="V154" s="314"/>
      <c r="W154" s="314"/>
      <c r="X154" s="314"/>
      <c r="Y154" s="314"/>
      <c r="Z154" s="314"/>
      <c r="AA154" s="314"/>
      <c r="AB154" s="314"/>
      <c r="AC154" s="314"/>
      <c r="AD154" s="314"/>
      <c r="AE154" s="314"/>
      <c r="AF154" s="314"/>
      <c r="AG154" s="314"/>
      <c r="AH154" s="314"/>
      <c r="AI154" s="314"/>
      <c r="AJ154" s="314"/>
      <c r="AK154" s="314"/>
      <c r="AL154" s="314"/>
      <c r="AM154" s="314"/>
      <c r="AN154" s="314"/>
      <c r="AO154" s="314"/>
      <c r="AP154" s="314"/>
      <c r="AQ154" s="314"/>
      <c r="AR154" s="81"/>
      <c r="AS154" s="81"/>
      <c r="AT154" s="81"/>
      <c r="AU154" s="161">
        <v>2200</v>
      </c>
      <c r="AV154" s="81">
        <f>AU154</f>
        <v>2200</v>
      </c>
      <c r="AW154" s="161">
        <v>3000</v>
      </c>
      <c r="AX154" s="161">
        <v>3200</v>
      </c>
      <c r="AY154" s="161">
        <v>4200</v>
      </c>
      <c r="AZ154" s="81">
        <f>SUM(AZ151:AZ153)</f>
        <v>3885.4749999999999</v>
      </c>
      <c r="BA154" s="81">
        <f>AZ154</f>
        <v>3885.4749999999999</v>
      </c>
      <c r="BB154" s="81">
        <f>SUM(BB151:BB153)</f>
        <v>3885.4749999999999</v>
      </c>
      <c r="BC154" s="81">
        <f>SUM(BC151:BC153)</f>
        <v>3885.4749999999999</v>
      </c>
      <c r="BD154" s="81">
        <f>SUM(BD151:BD153)</f>
        <v>3885.4749999999999</v>
      </c>
      <c r="BE154" s="81">
        <f>SUM(BE151:BE153)</f>
        <v>3885.4749999999999</v>
      </c>
      <c r="BF154" s="81">
        <f>BE154</f>
        <v>3885.4749999999999</v>
      </c>
    </row>
    <row r="155" spans="1:58">
      <c r="A155" s="102" t="s">
        <v>3251</v>
      </c>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92">
        <f>MROUND('SVF Segment'!AR288*'SVF Segment'!AR289, 5)</f>
        <v>2220</v>
      </c>
      <c r="AS155" s="92">
        <f>MROUND('SVF Segment'!AS288*'SVF Segment'!AS289, 5)</f>
        <v>2220</v>
      </c>
      <c r="AT155" s="92">
        <f>MROUND('SVF Segment'!AT288*'SVF Segment'!AT289, 5)</f>
        <v>2220</v>
      </c>
      <c r="AU155" s="92">
        <f>MROUND('SVF Segment'!AU288*'SVF Segment'!AU289, 5)</f>
        <v>2385</v>
      </c>
      <c r="AV155" s="92">
        <f>AU155</f>
        <v>2385</v>
      </c>
      <c r="AW155" s="92">
        <f>MROUND('SVF Segment'!AW288*'SVF Segment'!AW289, 5)</f>
        <v>3220</v>
      </c>
      <c r="AX155" s="92">
        <f>MROUND('SVF Segment'!AX288*'SVF Segment'!AX289, 5)</f>
        <v>3380</v>
      </c>
      <c r="AY155" s="92">
        <f>MROUND('SVF Segment'!AY288*'SVF Segment'!AY289, 5)</f>
        <v>3380</v>
      </c>
      <c r="AZ155" s="92">
        <f>MROUND('SVF Segment'!AZ288*'SVF Segment'!AZ289, 5)</f>
        <v>4270</v>
      </c>
      <c r="BA155" s="92">
        <f>AZ155</f>
        <v>4270</v>
      </c>
      <c r="BB155" s="92">
        <f>MROUND('SVF Segment'!BB288*'SVF Segment'!BB289, 5)</f>
        <v>4225</v>
      </c>
      <c r="BC155" s="92">
        <f>MROUND('SVF Segment'!BC288*'SVF Segment'!BC289, 5)</f>
        <v>4185</v>
      </c>
      <c r="BD155" s="92">
        <f>MROUND('SVF Segment'!BD288*'SVF Segment'!BD289, 5)</f>
        <v>4135</v>
      </c>
      <c r="BE155" s="92">
        <f>MROUND('SVF Segment'!BE288*'SVF Segment'!BE289, 5)</f>
        <v>4085</v>
      </c>
      <c r="BF155" s="92">
        <f>BE155</f>
        <v>4085</v>
      </c>
    </row>
    <row r="156" spans="1:58">
      <c r="A156" s="5" t="s">
        <v>192</v>
      </c>
      <c r="AR156" s="36">
        <f>AR157-SUM(AR143:AR149)-SUM(AR154:AR155)</f>
        <v>22060</v>
      </c>
      <c r="AS156" s="36">
        <f>AS157-SUM(AS143:AS149)-SUM(AS154:AS155)</f>
        <v>21774.982876712329</v>
      </c>
      <c r="AT156" s="36">
        <f>AT157-SUM(AT143:AT149)-SUM(AT154:AT155)</f>
        <v>20907.482817869415</v>
      </c>
      <c r="AU156" s="679">
        <f t="shared" ref="AU156" si="137">AU157-SUM(AU143:AU149)-SUM(AU154:AU155)</f>
        <v>19074.404419159553</v>
      </c>
      <c r="AV156" s="36">
        <f>AU156</f>
        <v>19074.404419159553</v>
      </c>
      <c r="AW156" s="36">
        <f t="shared" ref="AW156" si="138">AW157-SUM(AW143:AW149)-SUM(AW154:AW155)</f>
        <v>19117.993125679663</v>
      </c>
      <c r="AX156" s="36">
        <f>AX157-SUM(AX143:AX149)-SUM(AX154:AX155)+AX142</f>
        <v>17709.112916828322</v>
      </c>
      <c r="AY156" s="36">
        <f>AY157-SUM(AY143:AY149)-SUM(AY154:AY155)+AY142</f>
        <v>16427.317000554707</v>
      </c>
      <c r="AZ156" s="622">
        <f>MROUND(AY156*(1+0.33*AZ182), 100)</f>
        <v>15700</v>
      </c>
      <c r="BA156" s="36">
        <f t="shared" si="130"/>
        <v>15700</v>
      </c>
      <c r="BB156" s="622">
        <f>MROUND(BA156*(1+0.33*BB182), 100)</f>
        <v>15700</v>
      </c>
      <c r="BC156" s="622">
        <f>MROUND(BB156*(1+0.33*BC182), 100)</f>
        <v>15700</v>
      </c>
      <c r="BD156" s="622">
        <f>MROUND(BC156*(1+0.33*BD182), 100)</f>
        <v>15700</v>
      </c>
      <c r="BE156" s="622">
        <f>MROUND(BD156*(1+0.33*BE182), 100)</f>
        <v>15700</v>
      </c>
      <c r="BF156" s="36">
        <f t="shared" si="130"/>
        <v>15700</v>
      </c>
    </row>
    <row r="157" spans="1:58">
      <c r="A157" s="288" t="s">
        <v>2735</v>
      </c>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39">
        <f>AR176</f>
        <v>24900</v>
      </c>
      <c r="AS157" s="39">
        <f>AS176</f>
        <v>25600</v>
      </c>
      <c r="AT157" s="39">
        <f>AT176</f>
        <v>24800</v>
      </c>
      <c r="AU157" s="39">
        <f>AU176</f>
        <v>29000</v>
      </c>
      <c r="AV157" s="39">
        <f>AU157</f>
        <v>29000</v>
      </c>
      <c r="AW157" s="39">
        <f>AW176</f>
        <v>38200</v>
      </c>
      <c r="AX157" s="39">
        <f>AX176</f>
        <v>44900</v>
      </c>
      <c r="AY157" s="39">
        <f>AY176</f>
        <v>81200</v>
      </c>
      <c r="AZ157" s="39">
        <f>MROUND(AZ143+SUM(AZ146:AZ149)+SUM(AZ154:AZ156), 5)</f>
        <v>81585</v>
      </c>
      <c r="BA157" s="39">
        <f>AZ157</f>
        <v>81585</v>
      </c>
      <c r="BB157" s="39">
        <f t="shared" ref="BB157:BF157" si="139">MROUND(BB143+SUM(BB146:BB149)+SUM(BB154:BB156), 5)</f>
        <v>112615</v>
      </c>
      <c r="BC157" s="39">
        <f t="shared" si="139"/>
        <v>124550</v>
      </c>
      <c r="BD157" s="39">
        <f t="shared" si="139"/>
        <v>136475</v>
      </c>
      <c r="BE157" s="39">
        <f t="shared" si="139"/>
        <v>136425</v>
      </c>
      <c r="BF157" s="39">
        <f t="shared" si="139"/>
        <v>136425</v>
      </c>
    </row>
    <row r="158" spans="1:58">
      <c r="A158" s="28"/>
      <c r="AS158" s="36"/>
      <c r="AT158" s="36"/>
      <c r="AU158" s="685" t="s">
        <v>2840</v>
      </c>
      <c r="AV158" s="684"/>
      <c r="AW158" s="684"/>
      <c r="AX158" s="684"/>
    </row>
    <row r="159" spans="1:58">
      <c r="A159" s="34" t="s">
        <v>3110</v>
      </c>
      <c r="AS159" s="651">
        <v>500</v>
      </c>
      <c r="AT159" s="651">
        <f>AS159</f>
        <v>500</v>
      </c>
      <c r="AU159" s="651">
        <f>AT159+1700</f>
        <v>2200</v>
      </c>
      <c r="AV159" s="36">
        <f>AU159</f>
        <v>2200</v>
      </c>
      <c r="AW159" s="651">
        <v>2200</v>
      </c>
      <c r="AX159" s="651">
        <f>AW159+1100</f>
        <v>3300</v>
      </c>
      <c r="AY159" s="651">
        <f>AX159+1450</f>
        <v>4750</v>
      </c>
      <c r="AZ159" s="651">
        <f>AY159</f>
        <v>4750</v>
      </c>
      <c r="BA159" s="36">
        <f t="shared" ref="BA159:BA174" si="140">AZ159</f>
        <v>4750</v>
      </c>
    </row>
    <row r="160" spans="1:58">
      <c r="A160" s="34" t="s">
        <v>3111</v>
      </c>
      <c r="AS160" s="36"/>
      <c r="AT160" s="36"/>
      <c r="AU160" s="678"/>
      <c r="AV160" s="706"/>
      <c r="AW160" s="648">
        <v>7500</v>
      </c>
      <c r="AX160" s="648">
        <v>7500</v>
      </c>
      <c r="AY160" s="648">
        <v>30000</v>
      </c>
      <c r="AZ160" s="648">
        <v>30000</v>
      </c>
      <c r="BA160" s="36">
        <f t="shared" si="140"/>
        <v>30000</v>
      </c>
    </row>
    <row r="161" spans="1:60">
      <c r="A161" s="34" t="s">
        <v>3219</v>
      </c>
      <c r="AS161" s="36"/>
      <c r="AT161" s="36"/>
      <c r="AU161" s="36"/>
      <c r="AV161" s="36"/>
      <c r="AW161" s="36"/>
      <c r="AX161" s="210">
        <v>1800</v>
      </c>
      <c r="AY161" s="648">
        <v>1800</v>
      </c>
      <c r="AZ161" s="648">
        <v>1800</v>
      </c>
      <c r="BA161" s="36">
        <f t="shared" si="140"/>
        <v>1800</v>
      </c>
    </row>
    <row r="162" spans="1:60">
      <c r="A162" s="33" t="s">
        <v>2726</v>
      </c>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39">
        <f>SUM(AS159:AS161)</f>
        <v>500</v>
      </c>
      <c r="AT162" s="39">
        <f>SUM(AT159:AT161)</f>
        <v>500</v>
      </c>
      <c r="AU162" s="39">
        <f>SUM(AU159:AU161)</f>
        <v>2200</v>
      </c>
      <c r="AV162" s="39">
        <f>AU162</f>
        <v>2200</v>
      </c>
      <c r="AW162" s="39">
        <f>SUM(AW159:AW161)</f>
        <v>9700</v>
      </c>
      <c r="AX162" s="39">
        <f>SUM(AX159:AX161)</f>
        <v>12600</v>
      </c>
      <c r="AY162" s="39">
        <f>SUM(AY159:AY161)</f>
        <v>36550</v>
      </c>
      <c r="AZ162" s="39">
        <f>SUM(AZ159:AZ161)</f>
        <v>36550</v>
      </c>
      <c r="BA162" s="39">
        <f t="shared" si="140"/>
        <v>36550</v>
      </c>
      <c r="BB162" s="39">
        <f>BA162+'TopCo Net debt waterfall'!BB26</f>
        <v>46550</v>
      </c>
      <c r="BC162" s="39">
        <f>BB162+'TopCo Net debt waterfall'!BC26</f>
        <v>56550</v>
      </c>
      <c r="BD162" s="39">
        <f>BC162+'TopCo Net debt waterfall'!BD26</f>
        <v>66550</v>
      </c>
      <c r="BE162" s="39">
        <f>BD162+'TopCo Net debt waterfall'!BE26</f>
        <v>66550</v>
      </c>
      <c r="BF162" s="39">
        <f>BE162</f>
        <v>66550</v>
      </c>
    </row>
    <row r="163" spans="1:60">
      <c r="A163" s="5" t="s">
        <v>2824</v>
      </c>
      <c r="AR163" s="651">
        <v>15</v>
      </c>
      <c r="AS163" s="651">
        <v>15</v>
      </c>
      <c r="AT163" s="651">
        <v>15</v>
      </c>
      <c r="AU163" s="651">
        <v>15</v>
      </c>
      <c r="AV163" s="36">
        <f>AU163</f>
        <v>15</v>
      </c>
      <c r="AW163" s="651">
        <v>15</v>
      </c>
      <c r="AX163" s="651">
        <v>15</v>
      </c>
      <c r="AY163" s="651">
        <v>15</v>
      </c>
      <c r="AZ163" s="651">
        <v>15</v>
      </c>
      <c r="BA163" s="36">
        <f t="shared" si="140"/>
        <v>15</v>
      </c>
      <c r="BB163" s="651">
        <v>15</v>
      </c>
      <c r="BC163" s="651">
        <v>15</v>
      </c>
      <c r="BD163" s="651">
        <v>15</v>
      </c>
      <c r="BE163" s="651">
        <v>15</v>
      </c>
      <c r="BF163" s="36">
        <f t="shared" ref="BF163:BF166" si="141">BE163</f>
        <v>15</v>
      </c>
    </row>
    <row r="164" spans="1:60">
      <c r="A164" s="5" t="s">
        <v>2826</v>
      </c>
      <c r="AR164" s="763">
        <v>800</v>
      </c>
      <c r="AS164" s="763">
        <v>800</v>
      </c>
      <c r="AT164" s="763">
        <v>800</v>
      </c>
      <c r="AU164" s="763">
        <v>800</v>
      </c>
      <c r="AV164" s="36">
        <f>AU164</f>
        <v>800</v>
      </c>
      <c r="AW164" s="763">
        <v>800</v>
      </c>
      <c r="AX164" s="763">
        <v>800</v>
      </c>
      <c r="AY164" s="763">
        <v>800</v>
      </c>
      <c r="AZ164" s="763">
        <v>800</v>
      </c>
      <c r="BA164" s="36">
        <f t="shared" si="140"/>
        <v>800</v>
      </c>
      <c r="BB164" s="763">
        <v>800</v>
      </c>
      <c r="BC164" s="763">
        <v>800</v>
      </c>
      <c r="BD164" s="763">
        <v>800</v>
      </c>
      <c r="BE164" s="763">
        <v>800</v>
      </c>
      <c r="BF164" s="36">
        <f t="shared" si="141"/>
        <v>800</v>
      </c>
    </row>
    <row r="165" spans="1:60">
      <c r="A165" s="5" t="s">
        <v>3029</v>
      </c>
      <c r="AU165" s="648">
        <v>800</v>
      </c>
      <c r="AV165" s="36">
        <f>AU165</f>
        <v>800</v>
      </c>
      <c r="AW165" s="763">
        <f>AV165</f>
        <v>800</v>
      </c>
      <c r="AX165" s="763">
        <f>AW165</f>
        <v>800</v>
      </c>
      <c r="AY165" s="763">
        <f>AX165</f>
        <v>800</v>
      </c>
      <c r="AZ165" s="763">
        <f>AY165+500</f>
        <v>1300</v>
      </c>
      <c r="BA165" s="36">
        <f t="shared" si="140"/>
        <v>1300</v>
      </c>
      <c r="BB165" s="763">
        <f t="shared" ref="BB165:BE166" si="142">BA165</f>
        <v>1300</v>
      </c>
      <c r="BC165" s="763">
        <f t="shared" si="142"/>
        <v>1300</v>
      </c>
      <c r="BD165" s="763">
        <f t="shared" si="142"/>
        <v>1300</v>
      </c>
      <c r="BE165" s="763">
        <f t="shared" si="142"/>
        <v>1300</v>
      </c>
      <c r="BF165" s="36">
        <f t="shared" si="141"/>
        <v>1300</v>
      </c>
    </row>
    <row r="166" spans="1:60">
      <c r="A166" s="5" t="s">
        <v>3115</v>
      </c>
      <c r="AT166" s="648">
        <v>40</v>
      </c>
      <c r="AU166" s="763">
        <f>AT166</f>
        <v>40</v>
      </c>
      <c r="AV166" s="59">
        <f>AU166</f>
        <v>40</v>
      </c>
      <c r="AW166" s="763">
        <f t="shared" ref="AW166:AZ166" si="143">AV166</f>
        <v>40</v>
      </c>
      <c r="AX166" s="763">
        <f t="shared" si="143"/>
        <v>40</v>
      </c>
      <c r="AY166" s="763">
        <f t="shared" si="143"/>
        <v>40</v>
      </c>
      <c r="AZ166" s="763">
        <f t="shared" si="143"/>
        <v>40</v>
      </c>
      <c r="BA166" s="59">
        <f t="shared" si="140"/>
        <v>40</v>
      </c>
      <c r="BB166" s="763">
        <f t="shared" si="142"/>
        <v>40</v>
      </c>
      <c r="BC166" s="763">
        <f t="shared" si="142"/>
        <v>40</v>
      </c>
      <c r="BD166" s="763">
        <f t="shared" si="142"/>
        <v>40</v>
      </c>
      <c r="BE166" s="763">
        <f t="shared" si="142"/>
        <v>40</v>
      </c>
      <c r="BF166" s="59">
        <f t="shared" si="141"/>
        <v>40</v>
      </c>
    </row>
    <row r="167" spans="1:60" s="706" customFormat="1">
      <c r="A167" s="5" t="s">
        <v>3367</v>
      </c>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076" t="s">
        <v>3368</v>
      </c>
      <c r="AT167" s="1075">
        <v>75</v>
      </c>
      <c r="AU167" s="59"/>
      <c r="AV167" s="59"/>
      <c r="AW167" s="59"/>
      <c r="AX167" s="59"/>
      <c r="AY167" s="59"/>
      <c r="AZ167" s="430" t="s">
        <v>3120</v>
      </c>
      <c r="BA167" s="46"/>
      <c r="BB167" s="46"/>
      <c r="BC167" s="46"/>
      <c r="BD167" s="46"/>
      <c r="BE167" s="46"/>
      <c r="BF167" s="46"/>
      <c r="BG167" s="46"/>
      <c r="BH167" s="46"/>
    </row>
    <row r="168" spans="1:60" s="706" customFormat="1">
      <c r="A168" s="711" t="s">
        <v>3113</v>
      </c>
      <c r="AS168" s="1"/>
      <c r="AT168" s="1"/>
      <c r="AU168" s="695"/>
      <c r="AV168" s="695"/>
      <c r="AW168" s="695">
        <f>AW134*AW102</f>
        <v>1156.3999999999999</v>
      </c>
      <c r="AX168" s="695">
        <f>AX134*AX102</f>
        <v>1156.3999999999999</v>
      </c>
      <c r="AY168" s="695">
        <f>AY134*AY102</f>
        <v>1156.3999999999999</v>
      </c>
      <c r="AZ168" s="695">
        <f>AZ134*AZ102</f>
        <v>1156.3999999999999</v>
      </c>
      <c r="BA168" s="695">
        <f t="shared" si="140"/>
        <v>1156.3999999999999</v>
      </c>
      <c r="BB168" s="695">
        <f t="shared" ref="BB168:BE168" si="144">BB134*BB102</f>
        <v>1156.3999999999999</v>
      </c>
      <c r="BC168" s="695">
        <f t="shared" si="144"/>
        <v>1156.3999999999999</v>
      </c>
      <c r="BD168" s="695">
        <f t="shared" si="144"/>
        <v>1156.3999999999999</v>
      </c>
      <c r="BE168" s="695">
        <f t="shared" si="144"/>
        <v>1156.3999999999999</v>
      </c>
      <c r="BF168" s="695">
        <f t="shared" ref="BF168" si="145">BE168</f>
        <v>1156.3999999999999</v>
      </c>
    </row>
    <row r="169" spans="1:60" s="706" customFormat="1">
      <c r="A169" s="711" t="s">
        <v>3366</v>
      </c>
      <c r="AR169" s="1"/>
      <c r="AS169" s="1"/>
      <c r="AT169" s="1"/>
      <c r="AU169" s="1077">
        <f>49%*$AT$167</f>
        <v>36.75</v>
      </c>
      <c r="AV169" s="1079">
        <f>AU169</f>
        <v>36.75</v>
      </c>
      <c r="AW169" s="1077">
        <f>AW134*($AT$167+150)</f>
        <v>92.924999999999997</v>
      </c>
      <c r="AX169" s="1078">
        <f>AX134*($AT$167+150)</f>
        <v>92.924999999999997</v>
      </c>
      <c r="AY169" s="1078">
        <f>AY134*($AT$167+150)</f>
        <v>92.924999999999997</v>
      </c>
      <c r="AZ169" s="1078">
        <f>AZ134*($AT$167+150+700)</f>
        <v>382.02499999999998</v>
      </c>
      <c r="BA169" s="1079">
        <f>AZ169</f>
        <v>382.02499999999998</v>
      </c>
      <c r="BB169" s="1078">
        <f>BB134*($AT$167+150+700)</f>
        <v>382.02499999999998</v>
      </c>
      <c r="BC169" s="1078">
        <f t="shared" ref="BC169:BE169" si="146">BC134*($AT$167+150+700)</f>
        <v>382.02499999999998</v>
      </c>
      <c r="BD169" s="1078">
        <f t="shared" si="146"/>
        <v>382.02499999999998</v>
      </c>
      <c r="BE169" s="1078">
        <f t="shared" si="146"/>
        <v>382.02499999999998</v>
      </c>
      <c r="BF169" s="1079">
        <f>BE169</f>
        <v>382.02499999999998</v>
      </c>
    </row>
    <row r="170" spans="1:60" s="57" customFormat="1">
      <c r="A170" s="711" t="s">
        <v>3203</v>
      </c>
      <c r="B170" s="706"/>
      <c r="C170" s="706"/>
      <c r="D170" s="706"/>
      <c r="E170" s="706"/>
      <c r="F170" s="706"/>
      <c r="G170" s="706"/>
      <c r="H170" s="706"/>
      <c r="I170" s="706"/>
      <c r="J170" s="706"/>
      <c r="K170" s="706"/>
      <c r="L170" s="706"/>
      <c r="M170" s="706"/>
      <c r="N170" s="706"/>
      <c r="O170" s="706"/>
      <c r="P170" s="706"/>
      <c r="Q170" s="706"/>
      <c r="R170" s="706"/>
      <c r="S170" s="706"/>
      <c r="T170" s="706"/>
      <c r="U170" s="706"/>
      <c r="V170" s="706"/>
      <c r="W170" s="706"/>
      <c r="X170" s="706"/>
      <c r="Y170" s="706"/>
      <c r="Z170" s="706"/>
      <c r="AA170" s="706"/>
      <c r="AB170" s="706"/>
      <c r="AC170" s="706"/>
      <c r="AD170" s="706"/>
      <c r="AE170" s="706"/>
      <c r="AF170" s="706"/>
      <c r="AG170" s="706"/>
      <c r="AH170" s="706"/>
      <c r="AI170" s="706"/>
      <c r="AJ170" s="706"/>
      <c r="AK170" s="706"/>
      <c r="AL170" s="706"/>
      <c r="AM170" s="706"/>
      <c r="AN170" s="706"/>
      <c r="AO170" s="706"/>
      <c r="AP170" s="706"/>
      <c r="AQ170" s="706"/>
      <c r="AR170" s="695"/>
      <c r="AS170" s="695"/>
      <c r="AT170" s="695"/>
      <c r="AU170" s="695"/>
      <c r="AV170" s="695"/>
      <c r="AW170" s="695">
        <f>AW171-AW168</f>
        <v>1743.6000000000001</v>
      </c>
      <c r="AX170" s="695">
        <f>AX171-AX168</f>
        <v>1743.6000000000001</v>
      </c>
      <c r="AY170" s="695">
        <f>AX170</f>
        <v>1743.6000000000001</v>
      </c>
      <c r="AZ170" s="695">
        <f>AY170</f>
        <v>1743.6000000000001</v>
      </c>
      <c r="BA170" s="695">
        <f t="shared" si="140"/>
        <v>1743.6000000000001</v>
      </c>
      <c r="BB170" s="695">
        <f t="shared" ref="BB170:BF171" si="147">BA170</f>
        <v>1743.6000000000001</v>
      </c>
      <c r="BC170" s="695">
        <f t="shared" si="147"/>
        <v>1743.6000000000001</v>
      </c>
      <c r="BD170" s="695">
        <f t="shared" si="147"/>
        <v>1743.6000000000001</v>
      </c>
      <c r="BE170" s="695">
        <f t="shared" si="147"/>
        <v>1743.6000000000001</v>
      </c>
      <c r="BF170" s="695">
        <f t="shared" si="147"/>
        <v>1743.6000000000001</v>
      </c>
    </row>
    <row r="171" spans="1:60" s="79" customFormat="1">
      <c r="A171" s="1059" t="s">
        <v>3202</v>
      </c>
      <c r="B171" s="314"/>
      <c r="C171" s="314"/>
      <c r="D171" s="314"/>
      <c r="E171" s="314"/>
      <c r="F171" s="314"/>
      <c r="G171" s="314"/>
      <c r="H171" s="314"/>
      <c r="I171" s="314"/>
      <c r="J171" s="314"/>
      <c r="K171" s="314"/>
      <c r="L171" s="314"/>
      <c r="M171" s="314"/>
      <c r="N171" s="314"/>
      <c r="O171" s="314"/>
      <c r="P171" s="314"/>
      <c r="Q171" s="314"/>
      <c r="R171" s="314"/>
      <c r="S171" s="314"/>
      <c r="T171" s="314"/>
      <c r="U171" s="314"/>
      <c r="V171" s="314"/>
      <c r="W171" s="314"/>
      <c r="X171" s="314"/>
      <c r="Y171" s="314"/>
      <c r="Z171" s="314"/>
      <c r="AA171" s="314"/>
      <c r="AB171" s="314"/>
      <c r="AC171" s="314"/>
      <c r="AD171" s="314"/>
      <c r="AE171" s="314"/>
      <c r="AF171" s="314"/>
      <c r="AG171" s="314"/>
      <c r="AH171" s="314"/>
      <c r="AI171" s="314"/>
      <c r="AJ171" s="314"/>
      <c r="AK171" s="314"/>
      <c r="AL171" s="314"/>
      <c r="AM171" s="314"/>
      <c r="AN171" s="314"/>
      <c r="AO171" s="314"/>
      <c r="AP171" s="314"/>
      <c r="AQ171" s="314"/>
      <c r="AR171" s="81"/>
      <c r="AS171" s="81"/>
      <c r="AT171" s="81"/>
      <c r="AU171" s="161">
        <v>2200</v>
      </c>
      <c r="AV171" s="81">
        <f>AU171</f>
        <v>2200</v>
      </c>
      <c r="AW171" s="161">
        <v>2900</v>
      </c>
      <c r="AX171" s="161">
        <v>2900</v>
      </c>
      <c r="AY171" s="161">
        <v>2900</v>
      </c>
      <c r="AZ171" s="81">
        <f>SUM(AZ168:AZ170)</f>
        <v>3282.0249999999996</v>
      </c>
      <c r="BA171" s="81">
        <f t="shared" si="140"/>
        <v>3282.0249999999996</v>
      </c>
      <c r="BB171" s="81">
        <f t="shared" ref="BB171:BE171" si="148">SUM(BB168:BB170)</f>
        <v>3282.0249999999996</v>
      </c>
      <c r="BC171" s="81">
        <f t="shared" si="148"/>
        <v>3282.0249999999996</v>
      </c>
      <c r="BD171" s="81">
        <f t="shared" si="148"/>
        <v>3282.0249999999996</v>
      </c>
      <c r="BE171" s="81">
        <f t="shared" si="148"/>
        <v>3282.0249999999996</v>
      </c>
      <c r="BF171" s="81">
        <f t="shared" si="147"/>
        <v>3282.0249999999996</v>
      </c>
    </row>
    <row r="172" spans="1:60">
      <c r="A172" s="102" t="s">
        <v>3251</v>
      </c>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7"/>
      <c r="AI172" s="57"/>
      <c r="AJ172" s="57"/>
      <c r="AK172" s="57"/>
      <c r="AL172" s="57"/>
      <c r="AM172" s="57"/>
      <c r="AN172" s="57"/>
      <c r="AO172" s="57"/>
      <c r="AP172" s="57"/>
      <c r="AQ172" s="57"/>
      <c r="AR172" s="92">
        <v>1467</v>
      </c>
      <c r="AS172" s="92">
        <v>1467</v>
      </c>
      <c r="AT172" s="92">
        <v>1467</v>
      </c>
      <c r="AU172" s="92">
        <v>1467</v>
      </c>
      <c r="AV172" s="92">
        <f>AU172</f>
        <v>1467</v>
      </c>
      <c r="AW172" s="92">
        <f>1467+280</f>
        <v>1747</v>
      </c>
      <c r="AX172" s="92">
        <f>AW172</f>
        <v>1747</v>
      </c>
      <c r="AY172" s="92">
        <f>AX172</f>
        <v>1747</v>
      </c>
      <c r="AZ172" s="721">
        <f>AY172*(100*'SVF Segment'!$AZ$288)/34</f>
        <v>1567.1617647058827</v>
      </c>
      <c r="BA172" s="92">
        <f>AZ172</f>
        <v>1567.1617647058827</v>
      </c>
      <c r="BB172" s="92">
        <f>AZ172*'SVF Segment'!BB288/'SVF Segment'!AZ288</f>
        <v>1528.6250000000002</v>
      </c>
      <c r="BC172" s="92">
        <f>BB172*'SVF Segment'!BC288/'SVF Segment'!BB288</f>
        <v>1490.0882352941178</v>
      </c>
      <c r="BD172" s="92">
        <f>BC172*'SVF Segment'!BD288/'SVF Segment'!BC288</f>
        <v>1451.5514705882354</v>
      </c>
      <c r="BE172" s="92">
        <f>BD172*'SVF Segment'!BE288/'SVF Segment'!BD288</f>
        <v>1413.0147058823529</v>
      </c>
      <c r="BF172" s="92">
        <f>BE172</f>
        <v>1413.0147058823529</v>
      </c>
    </row>
    <row r="173" spans="1:60">
      <c r="A173" s="5" t="s">
        <v>192</v>
      </c>
      <c r="AR173" s="36">
        <f>AR174-SUM(AR162:AR166)-SUM(AR171:AR172)</f>
        <v>38518</v>
      </c>
      <c r="AS173" s="36">
        <f>AS174-SUM(AS162:AS166)-SUM(AS171:AS172)</f>
        <v>37818</v>
      </c>
      <c r="AT173" s="36">
        <f>AT174-SUM(AT162:AT166)-SUM(AT171:AT172)</f>
        <v>38178</v>
      </c>
      <c r="AU173" s="36">
        <f>AU174-SUM(AU162:AU166)-SUM(AU171:AU172)</f>
        <v>37178</v>
      </c>
      <c r="AV173" s="36">
        <f>AU173</f>
        <v>37178</v>
      </c>
      <c r="AW173" s="36">
        <f>AW174-SUM(AW162:AW166)-SUM(AW171:AW172)</f>
        <v>36798</v>
      </c>
      <c r="AX173" s="36">
        <f>AX174-SUM(AX162:AX166)-SUM(AX171:AX172)+AX161</f>
        <v>34898</v>
      </c>
      <c r="AY173" s="36">
        <f>AY174-SUM(AY162:AY166)-SUM(AY171:AY172)+AY161</f>
        <v>38348</v>
      </c>
      <c r="AZ173" s="622">
        <f>AY173</f>
        <v>38348</v>
      </c>
      <c r="BA173" s="36">
        <f t="shared" si="140"/>
        <v>38348</v>
      </c>
      <c r="BB173" s="622">
        <f t="shared" ref="BB173:BF173" si="149">BA173</f>
        <v>38348</v>
      </c>
      <c r="BC173" s="622">
        <f t="shared" si="149"/>
        <v>38348</v>
      </c>
      <c r="BD173" s="622">
        <f t="shared" si="149"/>
        <v>38348</v>
      </c>
      <c r="BE173" s="622">
        <f t="shared" si="149"/>
        <v>38348</v>
      </c>
      <c r="BF173" s="36">
        <f t="shared" si="149"/>
        <v>38348</v>
      </c>
    </row>
    <row r="174" spans="1:60">
      <c r="A174" s="288" t="s">
        <v>2825</v>
      </c>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39">
        <f>AR177</f>
        <v>40800</v>
      </c>
      <c r="AS174" s="39">
        <f>AS177</f>
        <v>40600</v>
      </c>
      <c r="AT174" s="39">
        <f>AT177</f>
        <v>41000</v>
      </c>
      <c r="AU174" s="39">
        <f>AU177</f>
        <v>44700</v>
      </c>
      <c r="AV174" s="39">
        <f>AU174</f>
        <v>44700</v>
      </c>
      <c r="AW174" s="39">
        <f>AW177</f>
        <v>52800</v>
      </c>
      <c r="AX174" s="39">
        <f>AX177</f>
        <v>52000</v>
      </c>
      <c r="AY174" s="39">
        <f>AY177</f>
        <v>79400</v>
      </c>
      <c r="AZ174" s="39">
        <f>MROUND(SUM(AZ162:AZ166)+SUM(AZ171:AZ173), 5)</f>
        <v>81900</v>
      </c>
      <c r="BA174" s="39">
        <f t="shared" si="140"/>
        <v>81900</v>
      </c>
      <c r="BB174" s="39">
        <f t="shared" ref="BB174:BF174" si="150">MROUND(SUM(BB162:BB166)+SUM(BB171:BB173), 5)</f>
        <v>91865</v>
      </c>
      <c r="BC174" s="39">
        <f t="shared" si="150"/>
        <v>101825</v>
      </c>
      <c r="BD174" s="39">
        <f t="shared" si="150"/>
        <v>111785</v>
      </c>
      <c r="BE174" s="39">
        <f t="shared" si="150"/>
        <v>111750</v>
      </c>
      <c r="BF174" s="39">
        <f t="shared" si="150"/>
        <v>111750</v>
      </c>
    </row>
    <row r="175" spans="1:60">
      <c r="AR175" s="522" t="s">
        <v>2452</v>
      </c>
      <c r="AS175" s="71"/>
      <c r="AT175" s="71"/>
      <c r="AU175" s="71"/>
      <c r="AV175" s="71"/>
      <c r="AW175" s="71"/>
      <c r="AX175" s="71"/>
      <c r="AY175" s="71"/>
    </row>
    <row r="176" spans="1:60">
      <c r="A176" s="1" t="s">
        <v>1299</v>
      </c>
      <c r="AO176" s="342">
        <v>25700</v>
      </c>
      <c r="AP176" s="342">
        <v>25900</v>
      </c>
      <c r="AQ176" s="36">
        <f>AP176</f>
        <v>25900</v>
      </c>
      <c r="AR176" s="342">
        <v>24900</v>
      </c>
      <c r="AS176" s="342">
        <v>25600</v>
      </c>
      <c r="AT176" s="342">
        <v>24800</v>
      </c>
      <c r="AU176" s="342">
        <v>29000</v>
      </c>
      <c r="AV176" s="36">
        <f>AU176</f>
        <v>29000</v>
      </c>
      <c r="AW176" s="342">
        <v>38200</v>
      </c>
      <c r="AX176" s="342">
        <v>44900</v>
      </c>
      <c r="AY176" s="342">
        <v>81200</v>
      </c>
      <c r="AZ176" s="36">
        <f>AZ157</f>
        <v>81585</v>
      </c>
      <c r="BA176" s="36">
        <f>AZ176</f>
        <v>81585</v>
      </c>
      <c r="BB176" s="36">
        <f>BB157</f>
        <v>112615</v>
      </c>
      <c r="BC176" s="36">
        <f>BC157</f>
        <v>124550</v>
      </c>
      <c r="BD176" s="36">
        <f>BD157</f>
        <v>136475</v>
      </c>
      <c r="BE176" s="36">
        <f>BE157</f>
        <v>136425</v>
      </c>
      <c r="BF176" s="36">
        <f>BE176</f>
        <v>136425</v>
      </c>
    </row>
    <row r="177" spans="1:78">
      <c r="A177" s="1" t="s">
        <v>1300</v>
      </c>
      <c r="AO177" s="342">
        <v>40900</v>
      </c>
      <c r="AP177" s="342">
        <v>40800</v>
      </c>
      <c r="AQ177" s="36">
        <f>AP177</f>
        <v>40800</v>
      </c>
      <c r="AR177" s="342">
        <v>40800</v>
      </c>
      <c r="AS177" s="342">
        <v>40600</v>
      </c>
      <c r="AT177" s="342">
        <v>41000</v>
      </c>
      <c r="AU177" s="342">
        <v>44700</v>
      </c>
      <c r="AV177" s="36">
        <f>AU177</f>
        <v>44700</v>
      </c>
      <c r="AW177" s="342">
        <v>52800</v>
      </c>
      <c r="AX177" s="342">
        <v>52000</v>
      </c>
      <c r="AY177" s="342">
        <v>79400</v>
      </c>
      <c r="AZ177" s="36">
        <f>AZ174</f>
        <v>81900</v>
      </c>
      <c r="BA177" s="36">
        <f>AZ177</f>
        <v>81900</v>
      </c>
      <c r="BB177" s="36">
        <f>BB174</f>
        <v>91865</v>
      </c>
      <c r="BC177" s="36">
        <f>BC174</f>
        <v>101825</v>
      </c>
      <c r="BD177" s="36">
        <f>BD174</f>
        <v>111785</v>
      </c>
      <c r="BE177" s="36">
        <f>BE174</f>
        <v>111750</v>
      </c>
      <c r="BF177" s="36">
        <f>BE177</f>
        <v>111750</v>
      </c>
    </row>
    <row r="178" spans="1:78">
      <c r="A178" s="1" t="s">
        <v>302</v>
      </c>
      <c r="AO178" s="16">
        <f t="shared" ref="AO178:AT178" si="151">AO176/AO177-1</f>
        <v>-0.371638141809291</v>
      </c>
      <c r="AP178" s="16">
        <f t="shared" si="151"/>
        <v>-0.36519607843137258</v>
      </c>
      <c r="AQ178" s="16">
        <f t="shared" si="151"/>
        <v>-0.36519607843137258</v>
      </c>
      <c r="AR178" s="16">
        <f t="shared" si="151"/>
        <v>-0.38970588235294112</v>
      </c>
      <c r="AS178" s="16">
        <f t="shared" si="151"/>
        <v>-0.36945812807881773</v>
      </c>
      <c r="AT178" s="16">
        <f t="shared" si="151"/>
        <v>-0.39512195121951221</v>
      </c>
      <c r="AU178" s="16">
        <f t="shared" ref="AU178:AV178" si="152">AU176/AU177-1</f>
        <v>-0.35123042505592839</v>
      </c>
      <c r="AV178" s="16">
        <f t="shared" si="152"/>
        <v>-0.35123042505592839</v>
      </c>
      <c r="AW178" s="16">
        <f t="shared" ref="AW178:AY178" si="153">AW176/AW177-1</f>
        <v>-0.27651515151515149</v>
      </c>
      <c r="AX178" s="16">
        <f t="shared" si="153"/>
        <v>-0.1365384615384615</v>
      </c>
      <c r="AY178" s="16">
        <f t="shared" si="153"/>
        <v>2.267002518891692E-2</v>
      </c>
      <c r="AZ178" s="16">
        <f t="shared" ref="AZ178:BD178" si="154">AZ176/AZ177-1</f>
        <v>-3.8461538461538325E-3</v>
      </c>
      <c r="BA178" s="16">
        <f t="shared" si="154"/>
        <v>-3.8461538461538325E-3</v>
      </c>
      <c r="BB178" s="16">
        <f t="shared" si="154"/>
        <v>0.22587492516192231</v>
      </c>
      <c r="BC178" s="16">
        <f t="shared" si="154"/>
        <v>0.22317701939602252</v>
      </c>
      <c r="BD178" s="16">
        <f t="shared" si="154"/>
        <v>0.22087042089725806</v>
      </c>
      <c r="BE178" s="16">
        <f t="shared" ref="BE178:BF178" si="155">BE176/BE177-1</f>
        <v>0.22080536912751669</v>
      </c>
      <c r="BF178" s="16">
        <f t="shared" si="155"/>
        <v>0.22080536912751669</v>
      </c>
    </row>
    <row r="179" spans="1:78">
      <c r="A179" s="1" t="s">
        <v>305</v>
      </c>
      <c r="AP179" s="16">
        <f>AP176/(AO176+(AP177-AO177)*(AO176/AO177))-1</f>
        <v>1.0252155336842872E-2</v>
      </c>
      <c r="AR179" s="16">
        <f>AR176/(AQ176+(AR177-AQ177)*(AQ176/AQ177))-1</f>
        <v>-3.8610038610038644E-2</v>
      </c>
      <c r="AS179" s="16">
        <f>AS176/(AR176+(AS177-AR177)*(AR176/AR177))-1</f>
        <v>3.3177043147961438E-2</v>
      </c>
      <c r="AT179" s="16">
        <f>AT176/(AS176+(AT177-AS177)*(AS176/AS177))-1</f>
        <v>-4.0701219512195186E-2</v>
      </c>
      <c r="AU179" s="16">
        <f>AU176/(AT176+(AU177-AT177)*(AT176/AT177))-1</f>
        <v>7.2562603738182796E-2</v>
      </c>
      <c r="AW179" s="16">
        <f>AW176/(AV176+(AW177-AV177)*(AV176/AV177))-1</f>
        <v>0.11516457680250802</v>
      </c>
      <c r="AX179" s="16">
        <f>AX176/(AW176+(AX177-AW177)*(AW176/AW177))-1</f>
        <v>0.19347563431333059</v>
      </c>
      <c r="AY179" s="16">
        <f>AY176/(AX176+(AY177-AX177)*(AX176/AX177))-1</f>
        <v>0.18438399353727553</v>
      </c>
      <c r="AZ179" s="16">
        <f>AZ176/(AY176+(AZ177-AY177)*(AY176/AY177))-1</f>
        <v>-2.5928381962864733E-2</v>
      </c>
      <c r="BB179" s="16">
        <f>BB176/(BA176+(BB177-BA177)*(BA176/BA177))-1</f>
        <v>0.23060803298108046</v>
      </c>
      <c r="BC179" s="16">
        <f>BC176/(BB176+(BC177-BB177)*(BB176/BB177))-1</f>
        <v>-2.2008001881133055E-3</v>
      </c>
      <c r="BD179" s="16">
        <f>BD176/(BC176+(BD177-BC177)*(BC176/BC177))-1</f>
        <v>-1.8857438148268679E-3</v>
      </c>
      <c r="BE179" s="16">
        <f>BE176/(BD176+(BE177-BD177)*(BD176/BD177))-1</f>
        <v>-5.3283107386281614E-5</v>
      </c>
    </row>
    <row r="181" spans="1:78">
      <c r="A181" s="1" t="s">
        <v>853</v>
      </c>
      <c r="AO181" s="36">
        <f>VLOOKUP(AO2, 'Thomson Reuters VC Index'!$B:$C, 2, FALSE)</f>
        <v>15846.53</v>
      </c>
      <c r="AP181" s="36">
        <f>VLOOKUP(AP2, 'Thomson Reuters VC Index'!$B:$C, 2, FALSE)</f>
        <v>17772.759999999998</v>
      </c>
      <c r="AQ181" s="36">
        <f>AP181</f>
        <v>17772.759999999998</v>
      </c>
      <c r="AR181" s="36">
        <f>VLOOKUP(AR2, 'Thomson Reuters VC Index'!$B:$C, 2, FALSE)</f>
        <v>18209.02</v>
      </c>
      <c r="AS181" s="36">
        <f>VLOOKUP(AS2, 'Thomson Reuters VC Index'!$B:$C, 2, FALSE)</f>
        <v>18940</v>
      </c>
      <c r="AT181" s="36">
        <f>VLOOKUP(AT2, 'Thomson Reuters VC Index'!$B:$C, 2, FALSE)</f>
        <v>20420</v>
      </c>
      <c r="AU181" s="36">
        <f>VLOOKUP(AU2, 'Thomson Reuters VC Index'!$B:$C, 2, FALSE)</f>
        <v>18485</v>
      </c>
      <c r="AV181" s="36">
        <f>AU181</f>
        <v>18485</v>
      </c>
      <c r="AW181" s="36">
        <f>VLOOKUP(AW2, 'Thomson Reuters VC Index'!$B:$C, 2, FALSE)</f>
        <v>24720</v>
      </c>
      <c r="AX181" s="36">
        <f>VLOOKUP(AX2, 'Thomson Reuters VC Index'!$B:$C, 2, FALSE)</f>
        <v>25805</v>
      </c>
      <c r="AY181" s="36">
        <f>VLOOKUP(AY2, 'Thomson Reuters VC Index'!$B:$C, 2, FALSE)</f>
        <v>23745</v>
      </c>
      <c r="AZ181" s="228">
        <f>'SVF1'!AZ157</f>
        <v>20500</v>
      </c>
      <c r="BA181" s="36">
        <f>AZ181</f>
        <v>20500</v>
      </c>
    </row>
    <row r="182" spans="1:78">
      <c r="A182" s="1" t="s">
        <v>305</v>
      </c>
      <c r="AP182" s="16">
        <f>AP181/AO181-1</f>
        <v>0.12155531841986833</v>
      </c>
      <c r="AR182" s="16">
        <f>AR181/AQ181-1</f>
        <v>2.4546553264659154E-2</v>
      </c>
      <c r="AS182" s="16">
        <f>AS181/AR181-1</f>
        <v>4.0143840799779396E-2</v>
      </c>
      <c r="AT182" s="16">
        <f>AT181/AS181-1</f>
        <v>7.8141499472016873E-2</v>
      </c>
      <c r="AU182" s="16">
        <f>AU181/AT181-1</f>
        <v>-9.4760039177277156E-2</v>
      </c>
      <c r="AW182" s="16">
        <f>AW181/AV181-1</f>
        <v>0.33730051393021365</v>
      </c>
      <c r="AX182" s="16">
        <f>AX181/AW181-1</f>
        <v>4.3891585760517771E-2</v>
      </c>
      <c r="AY182" s="16">
        <f>AY181/AX181-1</f>
        <v>-7.9829490408835468E-2</v>
      </c>
      <c r="AZ182" s="16">
        <f>AZ181/AY181-1</f>
        <v>-0.13666034954727313</v>
      </c>
    </row>
    <row r="184" spans="1:78" s="57" customFormat="1">
      <c r="A184" s="57" t="s">
        <v>3442</v>
      </c>
      <c r="AW184" s="92"/>
      <c r="AX184" s="92"/>
      <c r="AY184" s="92"/>
      <c r="AZ184" s="146">
        <f>20%*17500</f>
        <v>3500</v>
      </c>
      <c r="BA184" s="92">
        <f>SUM(AW184:AZ184)</f>
        <v>3500</v>
      </c>
      <c r="BB184" s="92">
        <f>MROUND(('SVF Segment'!AZ288-'SVF Segment'!BB288)*AVERAGE('SVF Segment'!AZ289, 'SVF Segment'!BB289), 5)</f>
        <v>105</v>
      </c>
      <c r="BC184" s="92">
        <f>MROUND(('SVF Segment'!BB288-'SVF Segment'!BC288)*AVERAGE('SVF Segment'!BB289:BC289), 5)</f>
        <v>105</v>
      </c>
      <c r="BD184" s="92">
        <f>MROUND(('SVF Segment'!BC288-'SVF Segment'!BD288)*AVERAGE('SVF Segment'!BC289:BD289), 5)</f>
        <v>110</v>
      </c>
      <c r="BE184" s="92">
        <f>MROUND(('SVF Segment'!BD288-'SVF Segment'!BE288)*AVERAGE('SVF Segment'!BD289:BE289), 5)</f>
        <v>110</v>
      </c>
      <c r="BF184" s="92">
        <f>SUM(BB184:BE184)</f>
        <v>430</v>
      </c>
      <c r="BG184" s="92"/>
      <c r="BH184" s="92"/>
      <c r="BI184" s="92"/>
      <c r="BJ184" s="92"/>
      <c r="BK184" s="92"/>
      <c r="BL184" s="92"/>
      <c r="BM184" s="92"/>
      <c r="BN184" s="92"/>
      <c r="BO184" s="92"/>
      <c r="BP184" s="92"/>
      <c r="BQ184" s="92"/>
      <c r="BR184" s="92"/>
      <c r="BS184" s="92"/>
      <c r="BT184" s="92"/>
      <c r="BU184" s="92"/>
      <c r="BV184" s="92"/>
      <c r="BW184" s="92"/>
      <c r="BX184" s="92"/>
      <c r="BY184" s="92"/>
      <c r="BZ184" s="92"/>
    </row>
    <row r="186" spans="1:78" s="12" customFormat="1">
      <c r="A186" s="13" t="s">
        <v>1268</v>
      </c>
      <c r="AO186" s="227"/>
    </row>
    <row r="187" spans="1:78">
      <c r="AO187" s="57" t="s">
        <v>1274</v>
      </c>
      <c r="AU187" s="219" t="s">
        <v>2827</v>
      </c>
    </row>
    <row r="188" spans="1:78">
      <c r="A188" s="5" t="s">
        <v>1272</v>
      </c>
      <c r="AO188" s="223">
        <v>19.98</v>
      </c>
      <c r="AP188" s="223">
        <v>19.98</v>
      </c>
      <c r="AR188" s="223">
        <v>12.56</v>
      </c>
      <c r="AS188" s="223">
        <v>10.8</v>
      </c>
      <c r="AT188" s="223">
        <v>11.11</v>
      </c>
      <c r="AU188" s="223">
        <v>9.24</v>
      </c>
      <c r="AW188" s="223">
        <v>6.02</v>
      </c>
      <c r="AX188" s="223">
        <v>9.11</v>
      </c>
      <c r="AY188" s="223">
        <v>11.81</v>
      </c>
      <c r="AZ188" s="221">
        <v>10.9</v>
      </c>
      <c r="BB188" s="221">
        <f>AZ188</f>
        <v>10.9</v>
      </c>
      <c r="BC188" s="221">
        <f>BB188</f>
        <v>10.9</v>
      </c>
      <c r="BD188" s="221">
        <f t="shared" ref="BD188:BE188" si="156">BC188</f>
        <v>10.9</v>
      </c>
      <c r="BE188" s="221">
        <f t="shared" si="156"/>
        <v>10.9</v>
      </c>
    </row>
    <row r="189" spans="1:78">
      <c r="A189" s="5" t="s">
        <v>738</v>
      </c>
      <c r="AP189" s="21">
        <f>AP188/AO188-1</f>
        <v>0</v>
      </c>
      <c r="AR189" s="21">
        <f>AR188/AP188-1</f>
        <v>-0.37137137137137133</v>
      </c>
      <c r="AS189" s="21">
        <f>AS188/AR188-1</f>
        <v>-0.14012738853503182</v>
      </c>
      <c r="AT189" s="21">
        <f>AT188/AS188-1</f>
        <v>2.8703703703703676E-2</v>
      </c>
      <c r="AU189" s="21">
        <f>AU188/AT188-1</f>
        <v>-0.16831683168316824</v>
      </c>
      <c r="AW189" s="21">
        <f>AW188/AU188-1</f>
        <v>-0.34848484848484851</v>
      </c>
      <c r="AX189" s="21">
        <f>AX188/AW188-1</f>
        <v>0.51328903654485059</v>
      </c>
      <c r="AY189" s="21">
        <f>AY188/AX188-1</f>
        <v>0.29637760702524707</v>
      </c>
      <c r="AZ189" s="21">
        <f>AZ188/AY188-1</f>
        <v>-7.7053344623200681E-2</v>
      </c>
    </row>
    <row r="191" spans="1:78">
      <c r="A191" s="5" t="s">
        <v>1273</v>
      </c>
      <c r="AO191" s="223">
        <v>10.17</v>
      </c>
      <c r="AP191" s="223">
        <v>10.8</v>
      </c>
      <c r="AR191" s="223">
        <v>10.66</v>
      </c>
      <c r="AS191" s="223">
        <v>10.54</v>
      </c>
      <c r="AT191" s="223">
        <v>11.33</v>
      </c>
      <c r="AU191" s="223">
        <v>10.42</v>
      </c>
      <c r="AW191" s="223">
        <v>10.08</v>
      </c>
      <c r="AX191" s="223">
        <v>9.99</v>
      </c>
      <c r="AY191" s="223">
        <v>10.09</v>
      </c>
      <c r="AZ191" s="221">
        <v>9.5</v>
      </c>
      <c r="BB191" s="221">
        <f>AZ191</f>
        <v>9.5</v>
      </c>
      <c r="BC191" s="221">
        <f>BB191</f>
        <v>9.5</v>
      </c>
      <c r="BD191" s="221">
        <f t="shared" ref="BD191:BE191" si="157">BC191</f>
        <v>9.5</v>
      </c>
      <c r="BE191" s="221">
        <f t="shared" si="157"/>
        <v>9.5</v>
      </c>
    </row>
    <row r="192" spans="1:78">
      <c r="A192" s="5" t="s">
        <v>738</v>
      </c>
      <c r="AP192" s="21">
        <f>AP191/AO191-1</f>
        <v>6.1946902654867353E-2</v>
      </c>
      <c r="AR192" s="21">
        <f>AR191/AP191-1</f>
        <v>-1.2962962962963065E-2</v>
      </c>
      <c r="AS192" s="21">
        <f>AS191/AR191-1</f>
        <v>-1.1257035647279645E-2</v>
      </c>
      <c r="AT192" s="21">
        <f>AT191/AS191-1</f>
        <v>7.4952561669829221E-2</v>
      </c>
      <c r="AU192" s="21">
        <f>AU191/AT191-1</f>
        <v>-8.0317740511915314E-2</v>
      </c>
      <c r="AW192" s="21">
        <f>AW191/AU191-1</f>
        <v>-3.2629558541266812E-2</v>
      </c>
      <c r="AX192" s="21">
        <f>AX191/AW191-1</f>
        <v>-8.9285714285713969E-3</v>
      </c>
      <c r="AY192" s="21">
        <f>AY191/AX191-1</f>
        <v>1.0010010010010006E-2</v>
      </c>
      <c r="AZ192" s="21">
        <f>AZ191/AY191-1</f>
        <v>-5.847373637264619E-2</v>
      </c>
      <c r="BB192" s="21">
        <f>BB191/AZ191-1</f>
        <v>0</v>
      </c>
      <c r="BC192" s="21">
        <f>BC191/BB191-1</f>
        <v>0</v>
      </c>
      <c r="BD192" s="21">
        <f>BD191/BC191-1</f>
        <v>0</v>
      </c>
      <c r="BE192" s="21">
        <f>BE191/BD191-1</f>
        <v>0</v>
      </c>
    </row>
    <row r="194" spans="1:58">
      <c r="A194" s="5" t="s">
        <v>749</v>
      </c>
      <c r="AO194" s="24">
        <f>AO188/AO191</f>
        <v>1.9646017699115044</v>
      </c>
      <c r="AP194" s="24">
        <f>AP188/AP191</f>
        <v>1.8499999999999999</v>
      </c>
      <c r="AQ194" s="24"/>
      <c r="AR194" s="24">
        <f>AR188/AR191</f>
        <v>1.178236397748593</v>
      </c>
      <c r="AS194" s="24">
        <f>AS188/AS191</f>
        <v>1.0246679316888048</v>
      </c>
      <c r="AT194" s="24">
        <f>AT188/AT191</f>
        <v>0.98058252427184456</v>
      </c>
      <c r="AU194" s="24">
        <f>AU188/AU191</f>
        <v>0.88675623800383885</v>
      </c>
      <c r="AW194" s="24">
        <f>AW188/AW191</f>
        <v>0.59722222222222221</v>
      </c>
      <c r="AX194" s="24">
        <f>AX188/AX191</f>
        <v>0.91191191191191179</v>
      </c>
      <c r="AY194" s="24">
        <f>AY188/AY191</f>
        <v>1.1704658077304262</v>
      </c>
      <c r="AZ194" s="24">
        <f>AZ188/AZ191</f>
        <v>1.1473684210526316</v>
      </c>
      <c r="BB194" s="24">
        <f>BB188/BB191</f>
        <v>1.1473684210526316</v>
      </c>
      <c r="BC194" s="24">
        <f>BC188/BC191</f>
        <v>1.1473684210526316</v>
      </c>
      <c r="BD194" s="24">
        <f>BD188/BD191</f>
        <v>1.1473684210526316</v>
      </c>
      <c r="BE194" s="24">
        <f>BE188/BE191</f>
        <v>1.1473684210526316</v>
      </c>
    </row>
    <row r="195" spans="1:58">
      <c r="A195" s="5" t="s">
        <v>738</v>
      </c>
      <c r="AP195" s="21">
        <f>AP194/AO194-1</f>
        <v>-5.8333333333333348E-2</v>
      </c>
      <c r="AR195" s="21">
        <f>AR194/AP194-1</f>
        <v>-0.36311546067643619</v>
      </c>
      <c r="AS195" s="21">
        <f>AS194/AR194-1</f>
        <v>-0.1303375675316355</v>
      </c>
      <c r="AT195" s="21">
        <f>AT194/AS194-1</f>
        <v>-4.3024092053218554E-2</v>
      </c>
      <c r="AU195" s="21">
        <f>AU194/AT194-1</f>
        <v>-9.5684232530738544E-2</v>
      </c>
      <c r="AW195" s="21">
        <f>AW194/AU194-1</f>
        <v>-0.32650913900913903</v>
      </c>
      <c r="AX195" s="21">
        <f>AX194/AW194-1</f>
        <v>0.52692227110831746</v>
      </c>
      <c r="AY195" s="21">
        <f>AY194/AX194-1</f>
        <v>0.28352946424006142</v>
      </c>
      <c r="AZ195" s="21">
        <f>AZ194/AY194-1</f>
        <v>-1.9733499710325786E-2</v>
      </c>
      <c r="BB195" s="21">
        <f>BB194/AZ194-1</f>
        <v>0</v>
      </c>
      <c r="BC195" s="21">
        <f>BC194/BB194-1</f>
        <v>0</v>
      </c>
      <c r="BD195" s="21">
        <f>BD194/BC194-1</f>
        <v>0</v>
      </c>
      <c r="BE195" s="21">
        <f>BE194/BD194-1</f>
        <v>0</v>
      </c>
    </row>
    <row r="197" spans="1:58">
      <c r="A197" s="5" t="s">
        <v>1275</v>
      </c>
      <c r="AO197" s="38">
        <f>AO43/AO194</f>
        <v>1323.4234234234234</v>
      </c>
      <c r="AP197" s="38">
        <f>AP43/AP194</f>
        <v>1297.2972972972973</v>
      </c>
      <c r="AQ197" s="38">
        <f>AP197</f>
        <v>1297.2972972972973</v>
      </c>
      <c r="AR197" s="38">
        <f>AR43/AR194</f>
        <v>1357.9617834394903</v>
      </c>
      <c r="AS197" s="38">
        <f>AS43/AS194</f>
        <v>1366.2962962962961</v>
      </c>
      <c r="AT197" s="38">
        <f>AT43/AT194</f>
        <v>1325.742574257426</v>
      </c>
      <c r="AU197" s="38">
        <f>AU43/AU194</f>
        <v>1353.2467532467531</v>
      </c>
      <c r="AV197" s="38">
        <f>AU197</f>
        <v>1353.2467532467531</v>
      </c>
      <c r="AW197" s="228">
        <f>AW198*AW202</f>
        <v>1371.4161716000001</v>
      </c>
      <c r="AX197" s="228">
        <f>AX198*AX202</f>
        <v>1371.4161716000001</v>
      </c>
      <c r="AY197" s="228">
        <f>AY198*AY202</f>
        <v>1371.4161716000001</v>
      </c>
      <c r="AZ197" s="228">
        <f>AZ198*AZ202</f>
        <v>1371.4161716000001</v>
      </c>
      <c r="BA197" s="38">
        <f>AZ197</f>
        <v>1371.4161716000001</v>
      </c>
      <c r="BB197" s="228">
        <f>BB198*BB202</f>
        <v>1371.4161716000001</v>
      </c>
      <c r="BC197" s="228">
        <f>BC198*BC202</f>
        <v>1371.4161716000001</v>
      </c>
      <c r="BD197" s="228">
        <f>BD198*BD202</f>
        <v>1371.4161716000001</v>
      </c>
      <c r="BE197" s="228">
        <f>BE198*BE202</f>
        <v>1371.4161716000001</v>
      </c>
      <c r="BF197" s="38">
        <f>BE197</f>
        <v>1371.4161716000001</v>
      </c>
    </row>
    <row r="198" spans="1:58">
      <c r="A198" s="5" t="s">
        <v>80</v>
      </c>
      <c r="AO198" s="21">
        <f>AO197/AO202</f>
        <v>0.38600198855156137</v>
      </c>
      <c r="AP198" s="21">
        <f>AP197/AP202</f>
        <v>0.37838179953318474</v>
      </c>
      <c r="AQ198" s="104"/>
      <c r="AR198" s="21">
        <f>AR197/AR202</f>
        <v>0.39607576797207728</v>
      </c>
      <c r="AS198" s="21">
        <f>AS197/AS202</f>
        <v>0.3985066895345909</v>
      </c>
      <c r="AT198" s="21">
        <f>AT197/AT202</f>
        <v>0.38667841366073796</v>
      </c>
      <c r="AU198" s="21">
        <f>AU197/AU202</f>
        <v>0.39470053839833341</v>
      </c>
      <c r="AW198" s="683">
        <v>0.4</v>
      </c>
      <c r="AX198" s="683">
        <v>0.4</v>
      </c>
      <c r="AY198" s="683">
        <v>0.4</v>
      </c>
      <c r="AZ198" s="683">
        <v>0.4</v>
      </c>
      <c r="BB198" s="683">
        <v>0.4</v>
      </c>
      <c r="BC198" s="683">
        <v>0.4</v>
      </c>
      <c r="BD198" s="683">
        <v>0.4</v>
      </c>
      <c r="BE198" s="683">
        <v>0.4</v>
      </c>
    </row>
    <row r="200" spans="1:58">
      <c r="A200" s="5" t="s">
        <v>745</v>
      </c>
      <c r="AO200" s="36">
        <f t="shared" ref="AO200:AZ200" si="158">AO43-AO102</f>
        <v>-200</v>
      </c>
      <c r="AP200" s="36">
        <f t="shared" si="158"/>
        <v>-400</v>
      </c>
      <c r="AQ200" s="36">
        <f t="shared" si="158"/>
        <v>-400</v>
      </c>
      <c r="AR200" s="36">
        <f t="shared" si="158"/>
        <v>-1200</v>
      </c>
      <c r="AS200" s="36">
        <f t="shared" si="158"/>
        <v>-1400</v>
      </c>
      <c r="AT200" s="36">
        <f t="shared" si="158"/>
        <v>-1500</v>
      </c>
      <c r="AU200" s="36">
        <f t="shared" si="158"/>
        <v>-1600</v>
      </c>
      <c r="AV200" s="36">
        <f t="shared" si="158"/>
        <v>-1600</v>
      </c>
      <c r="AW200" s="36">
        <f t="shared" si="158"/>
        <v>-1980</v>
      </c>
      <c r="AX200" s="36">
        <f t="shared" si="158"/>
        <v>-1550</v>
      </c>
      <c r="AY200" s="36">
        <f t="shared" si="158"/>
        <v>-1195</v>
      </c>
      <c r="AZ200" s="36">
        <f t="shared" si="158"/>
        <v>-1225</v>
      </c>
    </row>
    <row r="201" spans="1:58">
      <c r="AO201" s="219" t="s">
        <v>734</v>
      </c>
      <c r="AR201" s="678" t="s">
        <v>2677</v>
      </c>
    </row>
    <row r="202" spans="1:58">
      <c r="A202" s="5" t="s">
        <v>1277</v>
      </c>
      <c r="AO202" s="37">
        <v>3428.5404290000001</v>
      </c>
      <c r="AP202" s="679">
        <f>AVERAGE(AO202, AR202)</f>
        <v>3428.5404290000001</v>
      </c>
      <c r="AR202" s="37">
        <v>3428.5404290000001</v>
      </c>
      <c r="AS202" s="679">
        <f>AVERAGE(AR202, AT202)</f>
        <v>3428.5404290000001</v>
      </c>
      <c r="AT202" s="37">
        <v>3428.5404290000001</v>
      </c>
      <c r="AU202" s="679">
        <f>AVERAGE(AT202, AW202)</f>
        <v>3428.5404290000001</v>
      </c>
      <c r="AW202" s="37">
        <v>3428.5404290000001</v>
      </c>
      <c r="AX202" s="228">
        <f>AW202</f>
        <v>3428.5404290000001</v>
      </c>
      <c r="AY202" s="228">
        <f>AX202</f>
        <v>3428.5404290000001</v>
      </c>
      <c r="AZ202" s="228">
        <f>AY202</f>
        <v>3428.5404290000001</v>
      </c>
      <c r="BB202" s="228">
        <f>AZ202</f>
        <v>3428.5404290000001</v>
      </c>
      <c r="BC202" s="228">
        <f>BB202</f>
        <v>3428.5404290000001</v>
      </c>
      <c r="BD202" s="228">
        <f>BC202</f>
        <v>3428.5404290000001</v>
      </c>
      <c r="BE202" s="228">
        <f>BD202</f>
        <v>3428.5404290000001</v>
      </c>
    </row>
    <row r="204" spans="1:58">
      <c r="A204" s="5" t="s">
        <v>1276</v>
      </c>
      <c r="AP204" s="24"/>
      <c r="AR204" s="24"/>
    </row>
    <row r="205" spans="1:58">
      <c r="A205" s="5" t="s">
        <v>739</v>
      </c>
      <c r="AP205" s="21"/>
      <c r="AR205" s="21"/>
    </row>
    <row r="206" spans="1:58">
      <c r="A206" s="222" t="s">
        <v>740</v>
      </c>
      <c r="AP206" s="221"/>
    </row>
    <row r="207" spans="1:58">
      <c r="A207" s="5" t="s">
        <v>741</v>
      </c>
      <c r="AP207" s="224"/>
    </row>
    <row r="208" spans="1:58">
      <c r="A208" s="222" t="s">
        <v>742</v>
      </c>
      <c r="AP208" s="80"/>
    </row>
    <row r="209" spans="1:57" s="618" customFormat="1">
      <c r="A209" s="619" t="s">
        <v>743</v>
      </c>
      <c r="AP209" s="677"/>
    </row>
    <row r="211" spans="1:57">
      <c r="A211" s="1" t="s">
        <v>1094</v>
      </c>
    </row>
    <row r="212" spans="1:57">
      <c r="A212" s="1" t="s">
        <v>1096</v>
      </c>
    </row>
    <row r="213" spans="1:57">
      <c r="A213" s="1" t="s">
        <v>1095</v>
      </c>
      <c r="AP213" s="167"/>
    </row>
    <row r="215" spans="1:57" s="12" customFormat="1">
      <c r="A215" s="13" t="s">
        <v>3362</v>
      </c>
      <c r="AO215" s="227"/>
    </row>
    <row r="217" spans="1:57">
      <c r="A217" s="5" t="s">
        <v>870</v>
      </c>
      <c r="AO217" s="24"/>
      <c r="AP217" s="24"/>
      <c r="AR217" s="24"/>
      <c r="AS217" s="24"/>
      <c r="AT217" s="24"/>
      <c r="AU217" s="24"/>
      <c r="AV217" s="24"/>
      <c r="AW217" s="24"/>
      <c r="AX217" s="24"/>
      <c r="AY217" s="223">
        <v>450.7</v>
      </c>
      <c r="AZ217" s="221">
        <v>533.1</v>
      </c>
      <c r="BB217" s="221">
        <f>AZ217</f>
        <v>533.1</v>
      </c>
      <c r="BC217" s="221">
        <f>BB217</f>
        <v>533.1</v>
      </c>
      <c r="BD217" s="221">
        <f t="shared" ref="BD217:BE217" si="159">BC217</f>
        <v>533.1</v>
      </c>
      <c r="BE217" s="221">
        <f t="shared" si="159"/>
        <v>533.1</v>
      </c>
    </row>
    <row r="218" spans="1:57">
      <c r="A218" s="5" t="s">
        <v>738</v>
      </c>
      <c r="AP218" s="21"/>
      <c r="AR218" s="21"/>
      <c r="AS218" s="21"/>
      <c r="AT218" s="21"/>
      <c r="AU218" s="21"/>
      <c r="AV218" s="21"/>
      <c r="AW218" s="21"/>
      <c r="AX218" s="21"/>
      <c r="AY218" s="21"/>
      <c r="AZ218" s="21">
        <f>AZ217/AY217-1</f>
        <v>0.18282671400044381</v>
      </c>
    </row>
    <row r="220" spans="1:57">
      <c r="A220" s="5" t="s">
        <v>871</v>
      </c>
      <c r="AO220" s="24"/>
      <c r="AP220" s="24"/>
      <c r="AR220" s="24"/>
      <c r="AS220" s="24"/>
      <c r="AT220" s="24"/>
      <c r="AU220" s="24"/>
      <c r="AV220" s="24"/>
      <c r="AW220" s="24"/>
      <c r="AX220" s="24"/>
      <c r="AY220" s="223">
        <f>'SVF1'!AY263</f>
        <v>89.96</v>
      </c>
      <c r="AZ220" s="221">
        <f>'SVF1'!AZ263</f>
        <v>91.1</v>
      </c>
      <c r="BB220" s="221">
        <f>AZ220</f>
        <v>91.1</v>
      </c>
      <c r="BC220" s="221">
        <f>BB220</f>
        <v>91.1</v>
      </c>
      <c r="BD220" s="221">
        <f t="shared" ref="BD220:BE220" si="160">BC220</f>
        <v>91.1</v>
      </c>
      <c r="BE220" s="221">
        <f t="shared" si="160"/>
        <v>91.1</v>
      </c>
    </row>
    <row r="221" spans="1:57">
      <c r="A221" s="5" t="s">
        <v>738</v>
      </c>
      <c r="AP221" s="21"/>
      <c r="AR221" s="21"/>
      <c r="AS221" s="21"/>
      <c r="AT221" s="21"/>
      <c r="AU221" s="21"/>
      <c r="AV221" s="21"/>
      <c r="AW221" s="21"/>
      <c r="AX221" s="21"/>
      <c r="AY221" s="21"/>
      <c r="AZ221" s="21">
        <f t="shared" ref="AZ221" si="161">AZ220/AY220-1</f>
        <v>1.2672298799466519E-2</v>
      </c>
      <c r="BB221" s="21">
        <f>BB220/AZ220-1</f>
        <v>0</v>
      </c>
      <c r="BC221" s="21">
        <f>BC220/BB220-1</f>
        <v>0</v>
      </c>
      <c r="BD221" s="21">
        <f>BD220/BC220-1</f>
        <v>0</v>
      </c>
      <c r="BE221" s="21">
        <f>BE220/BD220-1</f>
        <v>0</v>
      </c>
    </row>
    <row r="223" spans="1:57">
      <c r="A223" s="5" t="s">
        <v>749</v>
      </c>
      <c r="AO223" s="24"/>
      <c r="AP223" s="24"/>
      <c r="AQ223" s="24"/>
      <c r="AR223" s="24"/>
      <c r="AS223" s="24"/>
      <c r="AT223" s="24"/>
      <c r="AU223" s="24"/>
      <c r="AV223" s="24"/>
      <c r="AW223" s="24"/>
      <c r="AX223" s="24"/>
      <c r="AY223" s="24">
        <f>AY217/AY220</f>
        <v>5.0100044464206315</v>
      </c>
      <c r="AZ223" s="24">
        <f>AZ217/AZ220</f>
        <v>5.8518111964873771</v>
      </c>
      <c r="BB223" s="24">
        <f t="shared" ref="BB223:BE223" si="162">BB217/BB220</f>
        <v>5.8518111964873771</v>
      </c>
      <c r="BC223" s="24">
        <f t="shared" si="162"/>
        <v>5.8518111964873771</v>
      </c>
      <c r="BD223" s="24">
        <f t="shared" si="162"/>
        <v>5.8518111964873771</v>
      </c>
      <c r="BE223" s="24">
        <f t="shared" si="162"/>
        <v>5.8518111964873771</v>
      </c>
    </row>
    <row r="224" spans="1:57">
      <c r="A224" s="5" t="s">
        <v>738</v>
      </c>
      <c r="AP224" s="21"/>
      <c r="AR224" s="21"/>
      <c r="AS224" s="21"/>
      <c r="AT224" s="21"/>
      <c r="AU224" s="21"/>
      <c r="AV224" s="21"/>
      <c r="AW224" s="21"/>
      <c r="AX224" s="21"/>
      <c r="AY224" s="21"/>
      <c r="AZ224" s="21">
        <f t="shared" ref="AZ224" si="163">AZ223/AY223-1</f>
        <v>0.16802515029066889</v>
      </c>
      <c r="BB224" s="21">
        <f>BB223/AZ223-1</f>
        <v>0</v>
      </c>
      <c r="BC224" s="21">
        <f>BC223/BB223-1</f>
        <v>0</v>
      </c>
      <c r="BD224" s="21">
        <f>BD223/BC223-1</f>
        <v>0</v>
      </c>
      <c r="BE224" s="21">
        <f>BE223/BD223-1</f>
        <v>0</v>
      </c>
    </row>
    <row r="225" spans="1:58">
      <c r="AZ225" s="219" t="s">
        <v>734</v>
      </c>
      <c r="BB225" s="25" t="s">
        <v>3369</v>
      </c>
    </row>
    <row r="226" spans="1:58">
      <c r="A226" s="5" t="s">
        <v>1275</v>
      </c>
      <c r="AO226" s="38"/>
      <c r="AP226" s="38"/>
      <c r="AQ226" s="38"/>
      <c r="AR226" s="38"/>
      <c r="AS226" s="38"/>
      <c r="AT226" s="38"/>
      <c r="AU226" s="38"/>
      <c r="AV226" s="38"/>
      <c r="AW226" s="38"/>
      <c r="AX226" s="38"/>
      <c r="AY226" s="38">
        <f>AY44/AY223</f>
        <v>219.5606833814067</v>
      </c>
      <c r="AZ226" s="228">
        <v>227.91197399999999</v>
      </c>
      <c r="BA226" s="38">
        <f>AZ226</f>
        <v>227.91197399999999</v>
      </c>
      <c r="BB226" s="228">
        <f>BA226</f>
        <v>227.91197399999999</v>
      </c>
      <c r="BC226" s="228">
        <f t="shared" ref="BC226:BE226" si="164">BB226</f>
        <v>227.91197399999999</v>
      </c>
      <c r="BD226" s="228">
        <f t="shared" si="164"/>
        <v>227.91197399999999</v>
      </c>
      <c r="BE226" s="228">
        <f t="shared" si="164"/>
        <v>227.91197399999999</v>
      </c>
      <c r="BF226" s="38">
        <f>BE226</f>
        <v>227.91197399999999</v>
      </c>
    </row>
    <row r="227" spans="1:58">
      <c r="A227" s="5" t="s">
        <v>80</v>
      </c>
      <c r="AO227" s="21"/>
      <c r="AP227" s="21"/>
      <c r="AQ227" s="104"/>
      <c r="AR227" s="21"/>
      <c r="AS227" s="21"/>
      <c r="AT227" s="21"/>
      <c r="AU227" s="21"/>
      <c r="AV227" s="21"/>
      <c r="AW227" s="21"/>
      <c r="AX227" s="21"/>
      <c r="AY227" s="21">
        <f>AY226/AY231</f>
        <v>0.12655700965994826</v>
      </c>
      <c r="AZ227" s="21">
        <f>AZ226/AZ231</f>
        <v>0.13137077846050504</v>
      </c>
      <c r="BB227" s="21">
        <f t="shared" ref="BB227:BE227" si="165">BB226/BB231</f>
        <v>0.13137077846050504</v>
      </c>
      <c r="BC227" s="21">
        <f t="shared" si="165"/>
        <v>0.13137077846050504</v>
      </c>
      <c r="BD227" s="21">
        <f t="shared" si="165"/>
        <v>0.13137077846050504</v>
      </c>
      <c r="BE227" s="21">
        <f t="shared" si="165"/>
        <v>0.13137077846050504</v>
      </c>
    </row>
    <row r="229" spans="1:58">
      <c r="A229" s="5" t="s">
        <v>745</v>
      </c>
      <c r="AO229" s="36"/>
      <c r="AP229" s="36"/>
      <c r="AQ229" s="36"/>
      <c r="AR229" s="36"/>
      <c r="AS229" s="36"/>
      <c r="AT229" s="36"/>
      <c r="AU229" s="36"/>
      <c r="AV229" s="36"/>
      <c r="AW229" s="36"/>
      <c r="AX229" s="36"/>
      <c r="AY229" s="36">
        <f>AY44-AY103</f>
        <v>900</v>
      </c>
      <c r="AZ229" s="36">
        <f>AZ44-AZ103</f>
        <v>1135</v>
      </c>
    </row>
    <row r="230" spans="1:58">
      <c r="AO230" s="219"/>
      <c r="AR230" s="678"/>
      <c r="AZ230" s="706" t="s">
        <v>2882</v>
      </c>
    </row>
    <row r="231" spans="1:58">
      <c r="A231" s="5" t="s">
        <v>3370</v>
      </c>
      <c r="AO231" s="38"/>
      <c r="AP231" s="695"/>
      <c r="AR231" s="38"/>
      <c r="AS231" s="680"/>
      <c r="AT231" s="680"/>
      <c r="AU231" s="680"/>
      <c r="AV231" s="680"/>
      <c r="AW231" s="680"/>
      <c r="AX231" s="680"/>
      <c r="AY231" s="681">
        <v>1734.8757210000001</v>
      </c>
      <c r="AZ231" s="622">
        <f>AY231</f>
        <v>1734.8757210000001</v>
      </c>
      <c r="BB231" s="228">
        <f>AZ231</f>
        <v>1734.8757210000001</v>
      </c>
      <c r="BC231" s="228">
        <f>BB231</f>
        <v>1734.8757210000001</v>
      </c>
      <c r="BD231" s="228">
        <f>BC231</f>
        <v>1734.8757210000001</v>
      </c>
      <c r="BE231" s="228">
        <f>BD231</f>
        <v>1734.8757210000001</v>
      </c>
    </row>
    <row r="233" spans="1:58">
      <c r="A233" s="5" t="s">
        <v>1276</v>
      </c>
      <c r="AP233" s="24"/>
      <c r="AR233" s="24"/>
    </row>
    <row r="234" spans="1:58">
      <c r="A234" s="5" t="s">
        <v>739</v>
      </c>
      <c r="AP234" s="21"/>
      <c r="AR234" s="21"/>
    </row>
    <row r="235" spans="1:58">
      <c r="A235" s="222" t="s">
        <v>740</v>
      </c>
      <c r="AP235" s="722"/>
    </row>
    <row r="236" spans="1:58">
      <c r="A236" s="5" t="s">
        <v>741</v>
      </c>
      <c r="AP236" s="224"/>
    </row>
    <row r="237" spans="1:58">
      <c r="A237" s="222" t="s">
        <v>742</v>
      </c>
      <c r="AP237" s="80"/>
    </row>
    <row r="238" spans="1:58" s="618" customFormat="1">
      <c r="A238" s="619" t="s">
        <v>743</v>
      </c>
      <c r="AP238" s="677"/>
    </row>
    <row r="240" spans="1:58">
      <c r="A240" s="1" t="s">
        <v>1094</v>
      </c>
    </row>
    <row r="241" spans="1:58">
      <c r="A241" s="1" t="s">
        <v>1096</v>
      </c>
    </row>
    <row r="242" spans="1:58">
      <c r="A242" s="1" t="s">
        <v>1095</v>
      </c>
      <c r="AP242" s="167"/>
    </row>
    <row r="244" spans="1:58" s="12" customFormat="1">
      <c r="A244" s="13" t="s">
        <v>3363</v>
      </c>
      <c r="AO244" s="227"/>
    </row>
    <row r="246" spans="1:58">
      <c r="A246" s="5" t="s">
        <v>870</v>
      </c>
      <c r="AO246" s="24"/>
      <c r="AP246" s="24"/>
      <c r="AR246" s="24"/>
      <c r="AS246" s="24"/>
      <c r="AT246" s="24"/>
      <c r="AU246" s="24"/>
      <c r="AV246" s="24"/>
      <c r="AW246" s="24"/>
      <c r="AX246" s="24"/>
      <c r="AY246" s="223">
        <v>180.22</v>
      </c>
      <c r="AZ246" s="221">
        <v>159</v>
      </c>
      <c r="BB246" s="221">
        <f>AZ246</f>
        <v>159</v>
      </c>
      <c r="BC246" s="221">
        <f>BB246</f>
        <v>159</v>
      </c>
      <c r="BD246" s="221">
        <f t="shared" ref="BD246:BE246" si="166">BC246</f>
        <v>159</v>
      </c>
      <c r="BE246" s="221">
        <f t="shared" si="166"/>
        <v>159</v>
      </c>
    </row>
    <row r="247" spans="1:58">
      <c r="A247" s="5" t="s">
        <v>738</v>
      </c>
      <c r="AP247" s="21"/>
      <c r="AR247" s="21"/>
      <c r="AS247" s="21"/>
      <c r="AT247" s="21"/>
      <c r="AU247" s="21"/>
      <c r="AV247" s="21"/>
      <c r="AW247" s="21"/>
      <c r="AX247" s="21"/>
      <c r="AY247" s="21"/>
      <c r="AZ247" s="21">
        <f>AZ246/AY246-1</f>
        <v>-0.11774497835978248</v>
      </c>
    </row>
    <row r="249" spans="1:58">
      <c r="A249" s="5" t="s">
        <v>871</v>
      </c>
      <c r="AO249" s="24"/>
      <c r="AP249" s="24"/>
      <c r="AR249" s="24"/>
      <c r="AS249" s="24"/>
      <c r="AT249" s="24"/>
      <c r="AU249" s="24"/>
      <c r="AV249" s="24"/>
      <c r="AW249" s="24"/>
      <c r="AX249" s="24"/>
      <c r="AY249" s="223">
        <f>'SVF1'!AY263</f>
        <v>89.96</v>
      </c>
      <c r="AZ249" s="221">
        <f>'SVF1'!AZ263</f>
        <v>91.1</v>
      </c>
      <c r="BB249" s="221">
        <f>AZ249</f>
        <v>91.1</v>
      </c>
      <c r="BC249" s="221">
        <f>BB249</f>
        <v>91.1</v>
      </c>
      <c r="BD249" s="221">
        <f t="shared" ref="BD249:BE249" si="167">BC249</f>
        <v>91.1</v>
      </c>
      <c r="BE249" s="221">
        <f t="shared" si="167"/>
        <v>91.1</v>
      </c>
    </row>
    <row r="250" spans="1:58">
      <c r="A250" s="5" t="s">
        <v>738</v>
      </c>
      <c r="AP250" s="21"/>
      <c r="AR250" s="21"/>
      <c r="AS250" s="21"/>
      <c r="AT250" s="21"/>
      <c r="AU250" s="21"/>
      <c r="AV250" s="21"/>
      <c r="AW250" s="21"/>
      <c r="AX250" s="21"/>
      <c r="AY250" s="21"/>
      <c r="AZ250" s="21">
        <f t="shared" ref="AZ250" si="168">AZ249/AY249-1</f>
        <v>1.2672298799466519E-2</v>
      </c>
      <c r="BB250" s="21">
        <f>BB249/AZ249-1</f>
        <v>0</v>
      </c>
      <c r="BC250" s="21">
        <f>BC249/BB249-1</f>
        <v>0</v>
      </c>
      <c r="BD250" s="21">
        <f>BD249/BC249-1</f>
        <v>0</v>
      </c>
      <c r="BE250" s="21">
        <f>BE249/BD249-1</f>
        <v>0</v>
      </c>
    </row>
    <row r="252" spans="1:58">
      <c r="A252" s="5" t="s">
        <v>749</v>
      </c>
      <c r="AO252" s="24"/>
      <c r="AP252" s="24"/>
      <c r="AQ252" s="24"/>
      <c r="AR252" s="24"/>
      <c r="AS252" s="24"/>
      <c r="AT252" s="24"/>
      <c r="AU252" s="24"/>
      <c r="AV252" s="24"/>
      <c r="AW252" s="24"/>
      <c r="AX252" s="24"/>
      <c r="AY252" s="24">
        <f>AY246/AY249</f>
        <v>2.003334815473544</v>
      </c>
      <c r="AZ252" s="24">
        <f>AZ246/AZ249</f>
        <v>1.7453347969264545</v>
      </c>
      <c r="BB252" s="24">
        <f t="shared" ref="BB252:BE252" si="169">BB246/BB249</f>
        <v>1.7453347969264545</v>
      </c>
      <c r="BC252" s="24">
        <f t="shared" si="169"/>
        <v>1.7453347969264545</v>
      </c>
      <c r="BD252" s="24">
        <f t="shared" si="169"/>
        <v>1.7453347969264545</v>
      </c>
      <c r="BE252" s="24">
        <f t="shared" si="169"/>
        <v>1.7453347969264545</v>
      </c>
    </row>
    <row r="253" spans="1:58">
      <c r="A253" s="5" t="s">
        <v>738</v>
      </c>
      <c r="AP253" s="21"/>
      <c r="AR253" s="21"/>
      <c r="AS253" s="21"/>
      <c r="AT253" s="21"/>
      <c r="AU253" s="21"/>
      <c r="AV253" s="21"/>
      <c r="AW253" s="21"/>
      <c r="AX253" s="21"/>
      <c r="AY253" s="21"/>
      <c r="AZ253" s="21">
        <f t="shared" ref="AZ253" si="170">AZ252/AY252-1</f>
        <v>-0.12878527171510468</v>
      </c>
      <c r="BB253" s="21">
        <f>BB252/AZ252-1</f>
        <v>0</v>
      </c>
      <c r="BC253" s="21">
        <f>BC252/BB252-1</f>
        <v>0</v>
      </c>
      <c r="BD253" s="21">
        <f>BD252/BC252-1</f>
        <v>0</v>
      </c>
      <c r="BE253" s="21">
        <f>BE252/BD252-1</f>
        <v>0</v>
      </c>
    </row>
    <row r="254" spans="1:58">
      <c r="AZ254" s="219" t="s">
        <v>734</v>
      </c>
    </row>
    <row r="255" spans="1:58">
      <c r="A255" s="5" t="s">
        <v>1275</v>
      </c>
      <c r="AO255" s="38"/>
      <c r="AP255" s="38"/>
      <c r="AQ255" s="38"/>
      <c r="AR255" s="38"/>
      <c r="AS255" s="38"/>
      <c r="AT255" s="38"/>
      <c r="AU255" s="38"/>
      <c r="AV255" s="38"/>
      <c r="AW255" s="38"/>
      <c r="AX255" s="38"/>
      <c r="AY255" s="38">
        <f>AY45/AY252</f>
        <v>399.33414715347902</v>
      </c>
      <c r="AZ255" s="228">
        <v>396.36076200000002</v>
      </c>
      <c r="BA255" s="38">
        <f>AZ255</f>
        <v>396.36076200000002</v>
      </c>
      <c r="BB255" s="228">
        <f>BA255</f>
        <v>396.36076200000002</v>
      </c>
      <c r="BC255" s="228">
        <f t="shared" ref="BC255:BE255" si="171">BB255</f>
        <v>396.36076200000002</v>
      </c>
      <c r="BD255" s="228">
        <f t="shared" si="171"/>
        <v>396.36076200000002</v>
      </c>
      <c r="BE255" s="228">
        <f t="shared" si="171"/>
        <v>396.36076200000002</v>
      </c>
      <c r="BF255" s="38">
        <f>BE255</f>
        <v>396.36076200000002</v>
      </c>
    </row>
    <row r="256" spans="1:58">
      <c r="A256" s="5" t="s">
        <v>80</v>
      </c>
      <c r="AO256" s="21"/>
      <c r="AP256" s="21"/>
      <c r="AQ256" s="104"/>
      <c r="AR256" s="21"/>
      <c r="AS256" s="21"/>
      <c r="AT256" s="21"/>
      <c r="AU256" s="21"/>
      <c r="AV256" s="21"/>
      <c r="AW256" s="21"/>
      <c r="AX256" s="21"/>
      <c r="AY256" s="21">
        <f>AY255/AY260</f>
        <v>8.848272898647945E-2</v>
      </c>
      <c r="AZ256" s="21">
        <f>AZ255/AZ260</f>
        <v>8.782389919548092E-2</v>
      </c>
      <c r="BB256" s="21">
        <f t="shared" ref="BB256:BE256" si="172">BB255/BB260</f>
        <v>8.782389919548092E-2</v>
      </c>
      <c r="BC256" s="21">
        <f t="shared" si="172"/>
        <v>8.782389919548092E-2</v>
      </c>
      <c r="BD256" s="21">
        <f t="shared" si="172"/>
        <v>8.782389919548092E-2</v>
      </c>
      <c r="BE256" s="21">
        <f t="shared" si="172"/>
        <v>8.782389919548092E-2</v>
      </c>
    </row>
    <row r="258" spans="1:57">
      <c r="A258" s="5" t="s">
        <v>745</v>
      </c>
      <c r="AO258" s="36"/>
      <c r="AP258" s="36"/>
      <c r="AQ258" s="36"/>
      <c r="AR258" s="36"/>
      <c r="AS258" s="36"/>
      <c r="AT258" s="36"/>
      <c r="AU258" s="36"/>
      <c r="AV258" s="36"/>
      <c r="AW258" s="36"/>
      <c r="AX258" s="36"/>
      <c r="AY258" s="36"/>
      <c r="AZ258" s="36"/>
    </row>
    <row r="259" spans="1:57">
      <c r="AO259" s="219"/>
      <c r="AR259" s="678"/>
      <c r="AZ259" s="706" t="s">
        <v>2882</v>
      </c>
    </row>
    <row r="260" spans="1:57">
      <c r="A260" s="5" t="s">
        <v>3372</v>
      </c>
      <c r="AO260" s="38"/>
      <c r="AP260" s="695"/>
      <c r="AR260" s="38"/>
      <c r="AS260" s="680"/>
      <c r="AT260" s="680"/>
      <c r="AU260" s="680"/>
      <c r="AV260" s="680"/>
      <c r="AW260" s="680"/>
      <c r="AX260" s="680"/>
      <c r="AY260" s="681">
        <v>4513.1310000000003</v>
      </c>
      <c r="AZ260" s="622">
        <f>AY260</f>
        <v>4513.1310000000003</v>
      </c>
      <c r="BB260" s="228">
        <f>AZ260</f>
        <v>4513.1310000000003</v>
      </c>
      <c r="BC260" s="228">
        <f>BB260</f>
        <v>4513.1310000000003</v>
      </c>
      <c r="BD260" s="228">
        <f>BC260</f>
        <v>4513.1310000000003</v>
      </c>
      <c r="BE260" s="228">
        <f>BD260</f>
        <v>4513.1310000000003</v>
      </c>
    </row>
    <row r="262" spans="1:57">
      <c r="A262" s="5" t="s">
        <v>1276</v>
      </c>
      <c r="AP262" s="24"/>
      <c r="AR262" s="24"/>
    </row>
    <row r="263" spans="1:57">
      <c r="A263" s="5" t="s">
        <v>739</v>
      </c>
      <c r="AP263" s="21"/>
      <c r="AR263" s="21"/>
    </row>
    <row r="264" spans="1:57">
      <c r="A264" s="222" t="s">
        <v>740</v>
      </c>
      <c r="AP264" s="722"/>
    </row>
    <row r="265" spans="1:57">
      <c r="A265" s="5" t="s">
        <v>741</v>
      </c>
      <c r="AP265" s="224"/>
    </row>
    <row r="266" spans="1:57">
      <c r="A266" s="222" t="s">
        <v>742</v>
      </c>
      <c r="AP266" s="80"/>
    </row>
    <row r="267" spans="1:57" s="618" customFormat="1">
      <c r="A267" s="619" t="s">
        <v>743</v>
      </c>
      <c r="AP267" s="677"/>
    </row>
    <row r="269" spans="1:57">
      <c r="A269" s="1" t="s">
        <v>1094</v>
      </c>
    </row>
    <row r="270" spans="1:57">
      <c r="A270" s="1" t="s">
        <v>1096</v>
      </c>
    </row>
    <row r="271" spans="1:57">
      <c r="A271" s="1" t="s">
        <v>1095</v>
      </c>
      <c r="AP271" s="167"/>
    </row>
    <row r="273" spans="1:58" s="12" customFormat="1">
      <c r="A273" s="13" t="s">
        <v>2822</v>
      </c>
      <c r="AO273" s="227"/>
    </row>
    <row r="275" spans="1:58">
      <c r="A275" s="5" t="s">
        <v>870</v>
      </c>
      <c r="AO275" s="24"/>
      <c r="AP275" s="24"/>
      <c r="AR275" s="24"/>
      <c r="AS275" s="24"/>
      <c r="AT275" s="223">
        <v>540.9</v>
      </c>
      <c r="AU275" s="223">
        <v>330.2</v>
      </c>
      <c r="AW275" s="223">
        <v>400.4</v>
      </c>
      <c r="AX275" s="223">
        <v>422.95</v>
      </c>
      <c r="AY275" s="223">
        <v>386.25</v>
      </c>
      <c r="AZ275" s="221">
        <v>300.05</v>
      </c>
      <c r="BB275" s="221">
        <f>AZ275</f>
        <v>300.05</v>
      </c>
      <c r="BC275" s="221">
        <f>BB275</f>
        <v>300.05</v>
      </c>
      <c r="BD275" s="221">
        <f t="shared" ref="BD275:BE275" si="173">BC275</f>
        <v>300.05</v>
      </c>
      <c r="BE275" s="221">
        <f t="shared" si="173"/>
        <v>300.05</v>
      </c>
    </row>
    <row r="276" spans="1:58">
      <c r="A276" s="5" t="s">
        <v>738</v>
      </c>
      <c r="AP276" s="21"/>
      <c r="AR276" s="21"/>
      <c r="AS276" s="21"/>
      <c r="AT276" s="21"/>
      <c r="AU276" s="21">
        <f t="shared" ref="AU276" si="174">AU275/AT275-1</f>
        <v>-0.38953595858753931</v>
      </c>
      <c r="AW276" s="21">
        <f>AW275/AU275-1</f>
        <v>0.21259842519685046</v>
      </c>
      <c r="AX276" s="21">
        <f t="shared" ref="AX276:AZ276" si="175">AX275/AW275-1</f>
        <v>5.6318681318681341E-2</v>
      </c>
      <c r="AY276" s="21">
        <f t="shared" si="175"/>
        <v>-8.6771485991251951E-2</v>
      </c>
      <c r="AZ276" s="21">
        <f t="shared" si="175"/>
        <v>-0.22317152103559867</v>
      </c>
    </row>
    <row r="278" spans="1:58">
      <c r="A278" s="5" t="s">
        <v>871</v>
      </c>
      <c r="AO278" s="24"/>
      <c r="AP278" s="24"/>
      <c r="AR278" s="24"/>
      <c r="AS278" s="24"/>
      <c r="AT278" s="223">
        <f>'SVF1'!AT263</f>
        <v>85.56</v>
      </c>
      <c r="AU278" s="223">
        <f>'SVF1'!AU263</f>
        <v>85.47</v>
      </c>
      <c r="AW278" s="223">
        <f>'SVF1'!AW263</f>
        <v>85.71</v>
      </c>
      <c r="AX278" s="223">
        <f>'SVF1'!AX263</f>
        <v>88.84</v>
      </c>
      <c r="AY278" s="223">
        <f>'SVF1'!AY263</f>
        <v>89.96</v>
      </c>
      <c r="AZ278" s="221">
        <f>'SVF1'!AZ263</f>
        <v>91.1</v>
      </c>
      <c r="BB278" s="221">
        <f>AZ278</f>
        <v>91.1</v>
      </c>
      <c r="BC278" s="221">
        <f>BB278</f>
        <v>91.1</v>
      </c>
      <c r="BD278" s="221">
        <f t="shared" ref="BD278:BE278" si="176">BC278</f>
        <v>91.1</v>
      </c>
      <c r="BE278" s="221">
        <f t="shared" si="176"/>
        <v>91.1</v>
      </c>
    </row>
    <row r="279" spans="1:58">
      <c r="A279" s="5" t="s">
        <v>738</v>
      </c>
      <c r="AP279" s="21"/>
      <c r="AR279" s="21"/>
      <c r="AS279" s="21"/>
      <c r="AT279" s="21"/>
      <c r="AU279" s="21">
        <f t="shared" ref="AU279" si="177">AU278/AT278-1</f>
        <v>-1.0518934081347187E-3</v>
      </c>
      <c r="AW279" s="21">
        <f>AW278/AU278-1</f>
        <v>2.8080028080026409E-3</v>
      </c>
      <c r="AX279" s="21">
        <f t="shared" ref="AX279:AZ279" si="178">AX278/AW278-1</f>
        <v>3.6518492591296248E-2</v>
      </c>
      <c r="AY279" s="21">
        <f t="shared" si="178"/>
        <v>1.2606933813597454E-2</v>
      </c>
      <c r="AZ279" s="21">
        <f t="shared" si="178"/>
        <v>1.2672298799466519E-2</v>
      </c>
      <c r="BB279" s="21">
        <f>BB278/AZ278-1</f>
        <v>0</v>
      </c>
      <c r="BC279" s="21">
        <f>BC278/BB278-1</f>
        <v>0</v>
      </c>
      <c r="BD279" s="21">
        <f>BD278/BC278-1</f>
        <v>0</v>
      </c>
      <c r="BE279" s="21">
        <f>BE278/BD278-1</f>
        <v>0</v>
      </c>
    </row>
    <row r="281" spans="1:58">
      <c r="A281" s="5" t="s">
        <v>749</v>
      </c>
      <c r="AO281" s="24"/>
      <c r="AP281" s="24"/>
      <c r="AQ281" s="24"/>
      <c r="AR281" s="24"/>
      <c r="AS281" s="24"/>
      <c r="AT281" s="24">
        <f>AT275/AT278</f>
        <v>6.3218793828892004</v>
      </c>
      <c r="AU281" s="24">
        <f>AU275/AU278</f>
        <v>3.8633438633438635</v>
      </c>
      <c r="AV281" s="24"/>
      <c r="AW281" s="24">
        <f>AW275/AW278</f>
        <v>4.6715669116789176</v>
      </c>
      <c r="AX281" s="24">
        <f>AX275/AX278</f>
        <v>4.7608059432687977</v>
      </c>
      <c r="AY281" s="24">
        <f>AY275/AY278</f>
        <v>4.2935749221876396</v>
      </c>
      <c r="AZ281" s="24">
        <f>AZ275/AZ278</f>
        <v>3.2936333699231617</v>
      </c>
      <c r="BB281" s="24">
        <f t="shared" ref="BB281:BE281" si="179">BB275/BB278</f>
        <v>3.2936333699231617</v>
      </c>
      <c r="BC281" s="24">
        <f t="shared" si="179"/>
        <v>3.2936333699231617</v>
      </c>
      <c r="BD281" s="24">
        <f t="shared" si="179"/>
        <v>3.2936333699231617</v>
      </c>
      <c r="BE281" s="24">
        <f t="shared" si="179"/>
        <v>3.2936333699231617</v>
      </c>
    </row>
    <row r="282" spans="1:58">
      <c r="A282" s="5" t="s">
        <v>738</v>
      </c>
      <c r="AP282" s="21"/>
      <c r="AR282" s="21"/>
      <c r="AS282" s="21"/>
      <c r="AT282" s="21"/>
      <c r="AU282" s="21">
        <f t="shared" ref="AU282" si="180">AU281/AT281-1</f>
        <v>-0.38889313930911262</v>
      </c>
      <c r="AW282" s="21">
        <f>AW281/AU281-1</f>
        <v>0.20920297983403113</v>
      </c>
      <c r="AX282" s="21">
        <f t="shared" ref="AX282:AZ282" si="181">AX281/AW281-1</f>
        <v>1.9102590903018468E-2</v>
      </c>
      <c r="AY282" s="21">
        <f t="shared" si="181"/>
        <v>-9.8141160687670093E-2</v>
      </c>
      <c r="AZ282" s="21">
        <f t="shared" si="181"/>
        <v>-0.23289253603032345</v>
      </c>
      <c r="BB282" s="21">
        <f>BB281/AZ281-1</f>
        <v>0</v>
      </c>
      <c r="BC282" s="21">
        <f>BC281/BB281-1</f>
        <v>0</v>
      </c>
      <c r="BD282" s="21">
        <f>BD281/BC281-1</f>
        <v>0</v>
      </c>
      <c r="BE282" s="21">
        <f>BE281/BD281-1</f>
        <v>0</v>
      </c>
    </row>
    <row r="283" spans="1:58">
      <c r="AT283" s="219"/>
      <c r="AW283" s="219"/>
    </row>
    <row r="284" spans="1:58">
      <c r="A284" s="5" t="s">
        <v>1275</v>
      </c>
      <c r="AO284" s="38"/>
      <c r="AP284" s="38"/>
      <c r="AQ284" s="38"/>
      <c r="AR284" s="38"/>
      <c r="AS284" s="38"/>
      <c r="AT284" s="38">
        <f>AT46/AT281</f>
        <v>173.99889073765945</v>
      </c>
      <c r="AU284" s="38">
        <f>AU46/AU281</f>
        <v>181.1901877649909</v>
      </c>
      <c r="AV284" s="38">
        <f>AU284</f>
        <v>181.1901877649909</v>
      </c>
      <c r="AW284" s="38">
        <f>AW46/AW281</f>
        <v>171.24875124875123</v>
      </c>
      <c r="AX284" s="38">
        <f>AX46/AX281</f>
        <v>189.04362217756236</v>
      </c>
      <c r="AY284" s="38">
        <f>AY46/AY281</f>
        <v>163.0343042071197</v>
      </c>
      <c r="AZ284" s="228">
        <v>172.91282100000001</v>
      </c>
      <c r="BA284" s="38">
        <f>AZ284</f>
        <v>172.91282100000001</v>
      </c>
      <c r="BB284" s="228">
        <f>BA284</f>
        <v>172.91282100000001</v>
      </c>
      <c r="BC284" s="228">
        <f t="shared" ref="BC284:BE284" si="182">BB284</f>
        <v>172.91282100000001</v>
      </c>
      <c r="BD284" s="228">
        <f t="shared" si="182"/>
        <v>172.91282100000001</v>
      </c>
      <c r="BE284" s="228">
        <f t="shared" si="182"/>
        <v>172.91282100000001</v>
      </c>
      <c r="BF284" s="38">
        <f>BE284</f>
        <v>172.91282100000001</v>
      </c>
    </row>
    <row r="285" spans="1:58">
      <c r="A285" s="5" t="s">
        <v>80</v>
      </c>
      <c r="AO285" s="21"/>
      <c r="AP285" s="21"/>
      <c r="AQ285" s="104"/>
      <c r="AR285" s="21"/>
      <c r="AS285" s="21"/>
      <c r="AT285" s="21">
        <f>AT284/AT289</f>
        <v>7.6098992203932389E-2</v>
      </c>
      <c r="AU285" s="21">
        <f>AU284/AU289</f>
        <v>7.9244129820034523E-2</v>
      </c>
      <c r="AW285" s="21">
        <f>AW284/AW289</f>
        <v>7.4896209573313832E-2</v>
      </c>
      <c r="AX285" s="21">
        <f>AX284/AX289</f>
        <v>8.2678855418586966E-2</v>
      </c>
      <c r="AY285" s="21">
        <f>AY284/AY289</f>
        <v>7.1303593903578197E-2</v>
      </c>
      <c r="AZ285" s="21">
        <f>AZ284/AZ289</f>
        <v>7.5623996000515878E-2</v>
      </c>
      <c r="BB285" s="21">
        <f t="shared" ref="BB285" si="183">BB284/BB289</f>
        <v>7.5623996000515878E-2</v>
      </c>
      <c r="BC285" s="21">
        <f t="shared" ref="BC285" si="184">BC284/BC289</f>
        <v>7.5623996000515878E-2</v>
      </c>
      <c r="BD285" s="21">
        <f t="shared" ref="BD285" si="185">BD284/BD289</f>
        <v>7.5623996000515878E-2</v>
      </c>
      <c r="BE285" s="21">
        <f t="shared" ref="BE285" si="186">BE284/BE289</f>
        <v>7.5623996000515878E-2</v>
      </c>
    </row>
    <row r="287" spans="1:58">
      <c r="A287" s="5" t="s">
        <v>745</v>
      </c>
      <c r="AO287" s="36"/>
      <c r="AP287" s="36"/>
      <c r="AQ287" s="36"/>
      <c r="AR287" s="36"/>
      <c r="AS287" s="36"/>
      <c r="AT287" s="36">
        <f t="shared" ref="AT287:AZ287" si="187">AT46-AT105</f>
        <v>700</v>
      </c>
      <c r="AU287" s="36">
        <f t="shared" si="187"/>
        <v>200</v>
      </c>
      <c r="AV287" s="36">
        <f t="shared" si="187"/>
        <v>200</v>
      </c>
      <c r="AW287" s="36">
        <f t="shared" si="187"/>
        <v>400</v>
      </c>
      <c r="AX287" s="36">
        <f t="shared" si="187"/>
        <v>400</v>
      </c>
      <c r="AY287" s="36">
        <f t="shared" si="187"/>
        <v>300</v>
      </c>
      <c r="AZ287" s="36">
        <f t="shared" si="187"/>
        <v>170</v>
      </c>
    </row>
    <row r="288" spans="1:58">
      <c r="AO288" s="219"/>
      <c r="AR288" s="678"/>
      <c r="AZ288" s="706" t="s">
        <v>2882</v>
      </c>
    </row>
    <row r="289" spans="1:57">
      <c r="A289" s="5" t="s">
        <v>3371</v>
      </c>
      <c r="AO289" s="38"/>
      <c r="AP289" s="695"/>
      <c r="AR289" s="38"/>
      <c r="AS289" s="680"/>
      <c r="AT289" s="681">
        <v>2286.480881</v>
      </c>
      <c r="AU289" s="622">
        <f>AT289</f>
        <v>2286.480881</v>
      </c>
      <c r="AW289" s="622">
        <f>AU289</f>
        <v>2286.480881</v>
      </c>
      <c r="AX289" s="622">
        <f>AW289</f>
        <v>2286.480881</v>
      </c>
      <c r="AY289" s="622">
        <f>AX289</f>
        <v>2286.480881</v>
      </c>
      <c r="AZ289" s="622">
        <f>AY289</f>
        <v>2286.480881</v>
      </c>
      <c r="BB289" s="228">
        <f>AZ289</f>
        <v>2286.480881</v>
      </c>
      <c r="BC289" s="228">
        <f>BB289</f>
        <v>2286.480881</v>
      </c>
      <c r="BD289" s="228">
        <f>BC289</f>
        <v>2286.480881</v>
      </c>
      <c r="BE289" s="228">
        <f>BD289</f>
        <v>2286.480881</v>
      </c>
    </row>
    <row r="291" spans="1:57">
      <c r="A291" s="5" t="s">
        <v>1276</v>
      </c>
      <c r="AP291" s="24"/>
      <c r="AR291" s="24"/>
    </row>
    <row r="292" spans="1:57">
      <c r="A292" s="5" t="s">
        <v>739</v>
      </c>
      <c r="AP292" s="21"/>
      <c r="AR292" s="21"/>
    </row>
    <row r="293" spans="1:57">
      <c r="A293" s="222" t="s">
        <v>740</v>
      </c>
      <c r="AP293" s="722"/>
    </row>
    <row r="294" spans="1:57">
      <c r="A294" s="5" t="s">
        <v>741</v>
      </c>
      <c r="AP294" s="224"/>
    </row>
    <row r="295" spans="1:57">
      <c r="A295" s="222" t="s">
        <v>742</v>
      </c>
      <c r="AP295" s="80"/>
    </row>
    <row r="296" spans="1:57" s="618" customFormat="1">
      <c r="A296" s="619" t="s">
        <v>743</v>
      </c>
      <c r="AP296" s="677"/>
    </row>
    <row r="298" spans="1:57">
      <c r="A298" s="1" t="s">
        <v>1094</v>
      </c>
    </row>
    <row r="299" spans="1:57">
      <c r="A299" s="1" t="s">
        <v>1096</v>
      </c>
    </row>
    <row r="300" spans="1:57">
      <c r="A300" s="1" t="s">
        <v>1095</v>
      </c>
      <c r="AP300" s="167"/>
    </row>
    <row r="302" spans="1:57" s="12" customFormat="1">
      <c r="A302" s="13" t="s">
        <v>3256</v>
      </c>
      <c r="AO302" s="227"/>
    </row>
    <row r="304" spans="1:57">
      <c r="A304" s="5" t="s">
        <v>749</v>
      </c>
      <c r="AX304" s="223">
        <v>36.65</v>
      </c>
      <c r="AY304" s="223">
        <v>28.91</v>
      </c>
      <c r="AZ304" s="221">
        <v>13.55</v>
      </c>
      <c r="BB304" s="221">
        <f>AZ304</f>
        <v>13.55</v>
      </c>
      <c r="BC304" s="221">
        <f>BB304</f>
        <v>13.55</v>
      </c>
      <c r="BD304" s="221">
        <f t="shared" ref="BD304:BE304" si="188">BC304</f>
        <v>13.55</v>
      </c>
      <c r="BE304" s="221">
        <f t="shared" si="188"/>
        <v>13.55</v>
      </c>
    </row>
    <row r="305" spans="1:58">
      <c r="A305" s="5" t="s">
        <v>738</v>
      </c>
      <c r="AW305" s="21"/>
      <c r="AX305" s="21"/>
      <c r="AY305" s="21">
        <f t="shared" ref="AY305" si="189">AY304/AX304-1</f>
        <v>-0.21118690313778987</v>
      </c>
      <c r="AZ305" s="21">
        <f t="shared" ref="AZ305" si="190">AZ304/AY304-1</f>
        <v>-0.53130404704254586</v>
      </c>
      <c r="BB305" s="21">
        <f>BB304/AZ304-1</f>
        <v>0</v>
      </c>
      <c r="BC305" s="21">
        <f>BC304/BB304-1</f>
        <v>0</v>
      </c>
      <c r="BD305" s="21">
        <f>BD304/BC304-1</f>
        <v>0</v>
      </c>
      <c r="BE305" s="21">
        <f>BE304/BD304-1</f>
        <v>0</v>
      </c>
    </row>
    <row r="306" spans="1:58">
      <c r="AZ306" s="219" t="s">
        <v>734</v>
      </c>
    </row>
    <row r="307" spans="1:58">
      <c r="A307" s="5" t="s">
        <v>1275</v>
      </c>
      <c r="AW307" s="879"/>
      <c r="AX307" s="879">
        <f>AX47/AX304</f>
        <v>16.371077762619372</v>
      </c>
      <c r="AY307" s="879">
        <f>AY47/AY304</f>
        <v>13.836042891732964</v>
      </c>
      <c r="AZ307" s="305">
        <v>15.400224</v>
      </c>
      <c r="BA307" s="879">
        <f>AZ307</f>
        <v>15.400224</v>
      </c>
      <c r="BB307" s="305">
        <f t="shared" ref="BB307:BE307" si="191">BA307</f>
        <v>15.400224</v>
      </c>
      <c r="BC307" s="305">
        <f t="shared" si="191"/>
        <v>15.400224</v>
      </c>
      <c r="BD307" s="305">
        <f t="shared" si="191"/>
        <v>15.400224</v>
      </c>
      <c r="BE307" s="305">
        <f t="shared" si="191"/>
        <v>15.400224</v>
      </c>
      <c r="BF307" s="879">
        <f>BE307</f>
        <v>15.400224</v>
      </c>
    </row>
    <row r="308" spans="1:58">
      <c r="A308" s="5" t="s">
        <v>80</v>
      </c>
      <c r="AW308" s="21"/>
      <c r="AX308" s="21"/>
      <c r="AY308" s="21"/>
      <c r="AZ308" s="21"/>
    </row>
    <row r="310" spans="1:58">
      <c r="A310" s="5" t="s">
        <v>745</v>
      </c>
      <c r="AW310" s="36"/>
      <c r="AX310" s="36">
        <f>AX47-AX106</f>
        <v>-1100</v>
      </c>
      <c r="AY310" s="36">
        <f>AY47-AY106</f>
        <v>-1300</v>
      </c>
      <c r="AZ310" s="36">
        <f>AZ47-AZ106</f>
        <v>-1490</v>
      </c>
    </row>
    <row r="312" spans="1:58">
      <c r="A312" s="5" t="s">
        <v>3472</v>
      </c>
      <c r="AX312" s="37"/>
      <c r="AY312" s="228"/>
      <c r="AZ312" s="228"/>
    </row>
    <row r="314" spans="1:58">
      <c r="A314" s="5" t="s">
        <v>1276</v>
      </c>
      <c r="AR314" s="24"/>
    </row>
    <row r="315" spans="1:58">
      <c r="A315" s="5" t="s">
        <v>739</v>
      </c>
      <c r="AR315" s="21"/>
    </row>
    <row r="316" spans="1:58">
      <c r="A316" s="222" t="s">
        <v>740</v>
      </c>
    </row>
    <row r="317" spans="1:58">
      <c r="A317" s="5" t="s">
        <v>741</v>
      </c>
    </row>
    <row r="318" spans="1:58">
      <c r="A318" s="222" t="s">
        <v>742</v>
      </c>
    </row>
    <row r="319" spans="1:58" s="618" customFormat="1">
      <c r="A319" s="619" t="s">
        <v>743</v>
      </c>
    </row>
    <row r="321" spans="1:58">
      <c r="A321" s="1" t="s">
        <v>1094</v>
      </c>
    </row>
    <row r="322" spans="1:58">
      <c r="A322" s="1" t="s">
        <v>1096</v>
      </c>
    </row>
    <row r="323" spans="1:58">
      <c r="A323" s="1" t="s">
        <v>1095</v>
      </c>
    </row>
    <row r="325" spans="1:58" s="12" customFormat="1">
      <c r="A325" s="13" t="s">
        <v>2734</v>
      </c>
      <c r="AO325" s="227"/>
    </row>
    <row r="327" spans="1:58">
      <c r="A327" s="5" t="s">
        <v>870</v>
      </c>
      <c r="AO327" s="24"/>
      <c r="AP327" s="24"/>
      <c r="AR327" s="24"/>
      <c r="AS327" s="223">
        <v>99.62</v>
      </c>
      <c r="AT327" s="223">
        <v>85.73</v>
      </c>
      <c r="AU327" s="223">
        <v>53.05</v>
      </c>
      <c r="AW327" s="223">
        <v>43.16</v>
      </c>
      <c r="AX327" s="223">
        <v>56.95</v>
      </c>
      <c r="AY327" s="223">
        <v>36.24</v>
      </c>
      <c r="AZ327" s="221">
        <v>25.25</v>
      </c>
      <c r="BB327" s="221">
        <f>AZ327</f>
        <v>25.25</v>
      </c>
      <c r="BC327" s="221">
        <f>BB327</f>
        <v>25.25</v>
      </c>
      <c r="BD327" s="221">
        <f t="shared" ref="BD327:BE327" si="192">BC327</f>
        <v>25.25</v>
      </c>
      <c r="BE327" s="221">
        <f t="shared" si="192"/>
        <v>25.25</v>
      </c>
    </row>
    <row r="328" spans="1:58">
      <c r="A328" s="5" t="s">
        <v>738</v>
      </c>
      <c r="AP328" s="21"/>
      <c r="AR328" s="21"/>
      <c r="AS328" s="21"/>
      <c r="AT328" s="21">
        <f t="shared" ref="AT328:AU328" si="193">AT327/AS327-1</f>
        <v>-0.13942983336679382</v>
      </c>
      <c r="AU328" s="21">
        <f t="shared" si="193"/>
        <v>-0.38119678059022521</v>
      </c>
      <c r="AW328" s="21">
        <f>AW327/AU327-1</f>
        <v>-0.18642789820923655</v>
      </c>
      <c r="AX328" s="21">
        <f t="shared" ref="AX328:AZ328" si="194">AX327/AW327-1</f>
        <v>0.31950880444856367</v>
      </c>
      <c r="AY328" s="21">
        <f t="shared" si="194"/>
        <v>-0.36365232660228275</v>
      </c>
      <c r="AZ328" s="21">
        <f t="shared" si="194"/>
        <v>-0.30325607064017668</v>
      </c>
    </row>
    <row r="330" spans="1:58">
      <c r="A330" s="5" t="s">
        <v>871</v>
      </c>
      <c r="AO330" s="24"/>
      <c r="AP330" s="24"/>
      <c r="AR330" s="24"/>
      <c r="AS330" s="223">
        <f>'SVF1'!AS263</f>
        <v>83.83</v>
      </c>
      <c r="AT330" s="223">
        <f>'SVF1'!AT263</f>
        <v>85.56</v>
      </c>
      <c r="AU330" s="223">
        <f>'SVF1'!AU263</f>
        <v>85.47</v>
      </c>
      <c r="AW330" s="223">
        <f>'SVF1'!AW263</f>
        <v>85.71</v>
      </c>
      <c r="AX330" s="223">
        <f>'SVF1'!AX263</f>
        <v>88.84</v>
      </c>
      <c r="AY330" s="223">
        <f>'SVF1'!AY263</f>
        <v>89.96</v>
      </c>
      <c r="AZ330" s="221">
        <f>'SVF1'!AZ263</f>
        <v>91.1</v>
      </c>
      <c r="BB330" s="221">
        <f>AZ330</f>
        <v>91.1</v>
      </c>
      <c r="BC330" s="221">
        <f>BB330</f>
        <v>91.1</v>
      </c>
      <c r="BD330" s="221">
        <f t="shared" ref="BD330:BE330" si="195">BC330</f>
        <v>91.1</v>
      </c>
      <c r="BE330" s="221">
        <f t="shared" si="195"/>
        <v>91.1</v>
      </c>
    </row>
    <row r="331" spans="1:58">
      <c r="A331" s="5" t="s">
        <v>738</v>
      </c>
      <c r="AP331" s="21"/>
      <c r="AR331" s="21"/>
      <c r="AS331" s="21"/>
      <c r="AT331" s="21">
        <f>AT330/AS330-1</f>
        <v>2.0637003459382131E-2</v>
      </c>
      <c r="AU331" s="21">
        <f>AU330/AT330-1</f>
        <v>-1.0518934081347187E-3</v>
      </c>
      <c r="AW331" s="21">
        <f>AW330/AU330-1</f>
        <v>2.8080028080026409E-3</v>
      </c>
      <c r="AX331" s="21">
        <f>AX330/AW330-1</f>
        <v>3.6518492591296248E-2</v>
      </c>
      <c r="AY331" s="21">
        <f>AY330/AX330-1</f>
        <v>1.2606933813597454E-2</v>
      </c>
      <c r="AZ331" s="21">
        <f>AZ330/AY330-1</f>
        <v>1.2672298799466519E-2</v>
      </c>
      <c r="BB331" s="21">
        <f>BB330/AZ330-1</f>
        <v>0</v>
      </c>
      <c r="BC331" s="21">
        <f>BC330/BB330-1</f>
        <v>0</v>
      </c>
      <c r="BD331" s="21">
        <f>BD330/BC330-1</f>
        <v>0</v>
      </c>
      <c r="BE331" s="21">
        <f>BE330/BD330-1</f>
        <v>0</v>
      </c>
    </row>
    <row r="333" spans="1:58">
      <c r="A333" s="5" t="s">
        <v>749</v>
      </c>
      <c r="AO333" s="24"/>
      <c r="AP333" s="24"/>
      <c r="AQ333" s="24"/>
      <c r="AR333" s="24"/>
      <c r="AS333" s="24">
        <f>AS327/AS330</f>
        <v>1.188357389955863</v>
      </c>
      <c r="AT333" s="24">
        <f>AT327/AT330</f>
        <v>1.0019869097709211</v>
      </c>
      <c r="AU333" s="24">
        <f>AU327/AU330</f>
        <v>0.62068562068562061</v>
      </c>
      <c r="AW333" s="24">
        <f>AW327/AW330</f>
        <v>0.50355851125889628</v>
      </c>
      <c r="AX333" s="24">
        <f>AX327/AX330</f>
        <v>0.64104007203962177</v>
      </c>
      <c r="AY333" s="24">
        <f>AY327/AY330</f>
        <v>0.40284570920409074</v>
      </c>
      <c r="AZ333" s="24">
        <f>AZ327/AZ330</f>
        <v>0.27716794731064764</v>
      </c>
      <c r="BB333" s="24">
        <f t="shared" ref="BB333:BE333" si="196">BB327/BB330</f>
        <v>0.27716794731064764</v>
      </c>
      <c r="BC333" s="24">
        <f t="shared" si="196"/>
        <v>0.27716794731064764</v>
      </c>
      <c r="BD333" s="24">
        <f t="shared" si="196"/>
        <v>0.27716794731064764</v>
      </c>
      <c r="BE333" s="24">
        <f t="shared" si="196"/>
        <v>0.27716794731064764</v>
      </c>
    </row>
    <row r="334" spans="1:58">
      <c r="A334" s="5" t="s">
        <v>738</v>
      </c>
      <c r="AP334" s="21"/>
      <c r="AR334" s="21"/>
      <c r="AS334" s="21"/>
      <c r="AT334" s="21">
        <f>AT333/AS333-1</f>
        <v>-0.15683032878843284</v>
      </c>
      <c r="AU334" s="21">
        <f>AU333/AT333-1</f>
        <v>-0.38054518014858629</v>
      </c>
      <c r="AW334" s="21">
        <f>AW333/AU333-1</f>
        <v>-0.18870601400004017</v>
      </c>
      <c r="AX334" s="21">
        <f>AX333/AW333-1</f>
        <v>0.27302003184698753</v>
      </c>
      <c r="AY334" s="21">
        <f>AY333/AX333-1</f>
        <v>-0.37157484098873705</v>
      </c>
      <c r="AZ334" s="21">
        <f>AZ333/AY333-1</f>
        <v>-0.3119749299098824</v>
      </c>
      <c r="BB334" s="21">
        <f>BB333/AZ333-1</f>
        <v>0</v>
      </c>
      <c r="BC334" s="21">
        <f>BC333/BB333-1</f>
        <v>0</v>
      </c>
      <c r="BD334" s="21">
        <f>BD333/BC333-1</f>
        <v>0</v>
      </c>
      <c r="BE334" s="21">
        <f>BE333/BD333-1</f>
        <v>0</v>
      </c>
    </row>
    <row r="335" spans="1:58">
      <c r="AZ335" s="219" t="s">
        <v>734</v>
      </c>
    </row>
    <row r="336" spans="1:58">
      <c r="A336" s="5" t="s">
        <v>1275</v>
      </c>
      <c r="AO336" s="38"/>
      <c r="AP336" s="38"/>
      <c r="AQ336" s="38"/>
      <c r="AR336" s="38"/>
      <c r="AS336" s="38">
        <f>AS48/AS333</f>
        <v>841.49769122666135</v>
      </c>
      <c r="AT336" s="38">
        <f>AT48/AT333</f>
        <v>798.41362416890229</v>
      </c>
      <c r="AU336" s="38">
        <f>AU48/AU333</f>
        <v>805.56079170593785</v>
      </c>
      <c r="AV336" s="38">
        <f>AU336</f>
        <v>805.56079170593785</v>
      </c>
      <c r="AW336" s="38">
        <f>AW48/AW333</f>
        <v>794.34661723818351</v>
      </c>
      <c r="AX336" s="38">
        <f>AX48/AX333</f>
        <v>623.98595258999126</v>
      </c>
      <c r="AY336" s="38">
        <f>AY48/AY333</f>
        <v>496.46799116997789</v>
      </c>
      <c r="AZ336" s="228">
        <f>AY336</f>
        <v>496.46799116997789</v>
      </c>
      <c r="BA336" s="38">
        <f>AZ336</f>
        <v>496.46799116997789</v>
      </c>
      <c r="BB336" s="228">
        <f>BA336</f>
        <v>496.46799116997789</v>
      </c>
      <c r="BC336" s="228">
        <f t="shared" ref="BC336:BE336" si="197">BB336</f>
        <v>496.46799116997789</v>
      </c>
      <c r="BD336" s="228">
        <f t="shared" si="197"/>
        <v>496.46799116997789</v>
      </c>
      <c r="BE336" s="228">
        <f t="shared" si="197"/>
        <v>496.46799116997789</v>
      </c>
      <c r="BF336" s="38">
        <f>BE336</f>
        <v>496.46799116997789</v>
      </c>
    </row>
    <row r="337" spans="1:57">
      <c r="A337" s="5" t="s">
        <v>80</v>
      </c>
      <c r="AO337" s="21"/>
      <c r="AP337" s="21"/>
      <c r="AQ337" s="104"/>
      <c r="AR337" s="21"/>
      <c r="AS337" s="21">
        <f>AS336/AS341</f>
        <v>0.19077990155284832</v>
      </c>
      <c r="AT337" s="21">
        <f>AT336/AT341</f>
        <v>0.18101210996236422</v>
      </c>
      <c r="AU337" s="21">
        <f>AU336/AU341</f>
        <v>0.18263247794829382</v>
      </c>
      <c r="AW337" s="21">
        <f>AW336/AW341</f>
        <v>0.18009005968231384</v>
      </c>
      <c r="AX337" s="21">
        <f>AX336/AX341</f>
        <v>0.14146679170556842</v>
      </c>
      <c r="AY337" s="21">
        <f>AY336/AY341</f>
        <v>0.11255659458967729</v>
      </c>
      <c r="AZ337" s="21">
        <f>AZ336/AZ341</f>
        <v>0.11255659458967729</v>
      </c>
      <c r="BB337" s="21">
        <f t="shared" ref="BB337" si="198">BB336/BB341</f>
        <v>0.11255659458967729</v>
      </c>
      <c r="BC337" s="21">
        <f t="shared" ref="BC337" si="199">BC336/BC341</f>
        <v>0.11255659458967729</v>
      </c>
      <c r="BD337" s="21">
        <f t="shared" ref="BD337" si="200">BD336/BD341</f>
        <v>0.11255659458967729</v>
      </c>
      <c r="BE337" s="21">
        <f t="shared" ref="BE337" si="201">BE336/BE341</f>
        <v>0.11255659458967729</v>
      </c>
    </row>
    <row r="339" spans="1:57">
      <c r="A339" s="5" t="s">
        <v>745</v>
      </c>
      <c r="AO339" s="36"/>
      <c r="AP339" s="36"/>
      <c r="AQ339" s="36"/>
      <c r="AR339" s="36"/>
      <c r="AS339" s="36">
        <f t="shared" ref="AS339:AZ339" si="202">AS48-AS107</f>
        <v>400</v>
      </c>
      <c r="AT339" s="36">
        <f t="shared" si="202"/>
        <v>300</v>
      </c>
      <c r="AU339" s="36">
        <f t="shared" si="202"/>
        <v>0</v>
      </c>
      <c r="AV339" s="36">
        <f t="shared" si="202"/>
        <v>0</v>
      </c>
      <c r="AW339" s="36">
        <f t="shared" si="202"/>
        <v>-100</v>
      </c>
      <c r="AX339" s="36">
        <f t="shared" si="202"/>
        <v>0</v>
      </c>
      <c r="AY339" s="36">
        <f t="shared" si="202"/>
        <v>-200</v>
      </c>
      <c r="AZ339" s="36">
        <f t="shared" si="202"/>
        <v>-260</v>
      </c>
    </row>
    <row r="340" spans="1:57">
      <c r="AO340" s="219"/>
      <c r="AR340" s="678"/>
      <c r="AZ340" s="706" t="s">
        <v>2882</v>
      </c>
    </row>
    <row r="341" spans="1:57">
      <c r="A341" s="5" t="s">
        <v>2737</v>
      </c>
      <c r="AO341" s="38"/>
      <c r="AP341" s="695"/>
      <c r="AR341" s="38"/>
      <c r="AS341" s="681">
        <v>4410.8298850000001</v>
      </c>
      <c r="AT341" s="622">
        <f>AS341</f>
        <v>4410.8298850000001</v>
      </c>
      <c r="AU341" s="622">
        <f>AT341</f>
        <v>4410.8298850000001</v>
      </c>
      <c r="AW341" s="622">
        <f>AU341</f>
        <v>4410.8298850000001</v>
      </c>
      <c r="AX341" s="622">
        <f>AW341</f>
        <v>4410.8298850000001</v>
      </c>
      <c r="AY341" s="622">
        <f>AX341</f>
        <v>4410.8298850000001</v>
      </c>
      <c r="AZ341" s="622">
        <f>AY341</f>
        <v>4410.8298850000001</v>
      </c>
      <c r="BB341" s="228">
        <f>AZ341</f>
        <v>4410.8298850000001</v>
      </c>
      <c r="BC341" s="228">
        <f>BB341</f>
        <v>4410.8298850000001</v>
      </c>
      <c r="BD341" s="228">
        <f>BC341</f>
        <v>4410.8298850000001</v>
      </c>
      <c r="BE341" s="228">
        <f>BD341</f>
        <v>4410.8298850000001</v>
      </c>
    </row>
    <row r="343" spans="1:57">
      <c r="A343" s="5" t="s">
        <v>1276</v>
      </c>
      <c r="AP343" s="24"/>
      <c r="AR343" s="24"/>
      <c r="AX343" s="24">
        <f>AW336-AX336</f>
        <v>170.36066464819226</v>
      </c>
    </row>
    <row r="344" spans="1:57">
      <c r="A344" s="5" t="s">
        <v>739</v>
      </c>
      <c r="AP344" s="21"/>
      <c r="AR344" s="21"/>
      <c r="AX344" s="21">
        <f>AX343/AW336</f>
        <v>0.21446640666829944</v>
      </c>
    </row>
    <row r="345" spans="1:57">
      <c r="A345" s="222" t="s">
        <v>740</v>
      </c>
      <c r="AP345" s="722"/>
      <c r="AX345" s="221">
        <f>AVERAGE(AW333:AX333)</f>
        <v>0.57229929164925908</v>
      </c>
    </row>
    <row r="346" spans="1:57">
      <c r="A346" s="5" t="s">
        <v>741</v>
      </c>
      <c r="AP346" s="224"/>
      <c r="AX346" s="224">
        <f>MROUND(AW107/AW336, 0.05)</f>
        <v>0.65</v>
      </c>
    </row>
    <row r="347" spans="1:57">
      <c r="A347" s="222" t="s">
        <v>742</v>
      </c>
      <c r="AP347" s="80"/>
      <c r="AX347" s="80">
        <f>-MROUND(-AX343*(AX345-AX346), 5)</f>
        <v>-15</v>
      </c>
    </row>
    <row r="348" spans="1:57" s="618" customFormat="1">
      <c r="A348" s="619" t="s">
        <v>743</v>
      </c>
      <c r="AP348" s="677"/>
      <c r="AX348" s="226">
        <f>MROUND(-AW339*AX343/AW336, 5)</f>
        <v>20</v>
      </c>
    </row>
    <row r="350" spans="1:57">
      <c r="A350" s="1" t="s">
        <v>1094</v>
      </c>
    </row>
    <row r="351" spans="1:57">
      <c r="A351" s="1" t="s">
        <v>1096</v>
      </c>
    </row>
    <row r="352" spans="1:57">
      <c r="A352" s="1" t="s">
        <v>1095</v>
      </c>
      <c r="AP352" s="167"/>
    </row>
    <row r="354" spans="1:58" s="12" customFormat="1">
      <c r="A354" s="13" t="s">
        <v>3108</v>
      </c>
      <c r="AO354" s="227"/>
    </row>
    <row r="356" spans="1:58">
      <c r="A356" s="5" t="s">
        <v>749</v>
      </c>
      <c r="AW356" s="223">
        <v>34.51</v>
      </c>
      <c r="AX356" s="223">
        <v>20.170000000000002</v>
      </c>
      <c r="AY356" s="223">
        <v>25.17</v>
      </c>
      <c r="AZ356" s="221">
        <v>22.15</v>
      </c>
      <c r="BB356" s="221">
        <f>AZ356</f>
        <v>22.15</v>
      </c>
      <c r="BC356" s="221">
        <f>BB356</f>
        <v>22.15</v>
      </c>
      <c r="BD356" s="221">
        <f t="shared" ref="BD356:BE356" si="203">BC356</f>
        <v>22.15</v>
      </c>
      <c r="BE356" s="221">
        <f t="shared" si="203"/>
        <v>22.15</v>
      </c>
    </row>
    <row r="357" spans="1:58">
      <c r="A357" s="5" t="s">
        <v>738</v>
      </c>
      <c r="AW357" s="21"/>
      <c r="AX357" s="21">
        <f t="shared" ref="AX357:AZ357" si="204">AX356/AW356-1</f>
        <v>-0.41553172993335252</v>
      </c>
      <c r="AY357" s="21">
        <f t="shared" si="204"/>
        <v>0.2478929102627665</v>
      </c>
      <c r="AZ357" s="21">
        <f t="shared" si="204"/>
        <v>-0.11998410806515702</v>
      </c>
    </row>
    <row r="358" spans="1:58">
      <c r="AZ358" s="219" t="s">
        <v>734</v>
      </c>
    </row>
    <row r="359" spans="1:58">
      <c r="A359" s="5" t="s">
        <v>1275</v>
      </c>
      <c r="AW359" s="879">
        <f>AW49/AW356</f>
        <v>5.7954216169226314</v>
      </c>
      <c r="AX359" s="879">
        <f>AX49/AX356</f>
        <v>4.9578582052553291</v>
      </c>
      <c r="AY359" s="879">
        <f>AY49/AY356</f>
        <v>3.9729837107667856</v>
      </c>
      <c r="AZ359" s="305">
        <v>5.0673360000000001</v>
      </c>
      <c r="BA359" s="879">
        <f>AZ359</f>
        <v>5.0673360000000001</v>
      </c>
      <c r="BB359" s="305">
        <f t="shared" ref="BB359:BE359" si="205">BA359</f>
        <v>5.0673360000000001</v>
      </c>
      <c r="BC359" s="305">
        <f t="shared" si="205"/>
        <v>5.0673360000000001</v>
      </c>
      <c r="BD359" s="305">
        <f t="shared" si="205"/>
        <v>5.0673360000000001</v>
      </c>
      <c r="BE359" s="305">
        <f t="shared" si="205"/>
        <v>5.0673360000000001</v>
      </c>
      <c r="BF359" s="879">
        <f>BE359</f>
        <v>5.0673360000000001</v>
      </c>
    </row>
    <row r="360" spans="1:58">
      <c r="A360" s="5" t="s">
        <v>80</v>
      </c>
      <c r="AW360" s="21">
        <f>AW359/AW364</f>
        <v>1.5591201756095959E-2</v>
      </c>
      <c r="AX360" s="21">
        <f>AX359/AX364</f>
        <v>1.333793685183122E-2</v>
      </c>
      <c r="AY360" s="21">
        <f>AY359/AY364</f>
        <v>1.0688366559453148E-2</v>
      </c>
      <c r="AZ360" s="21">
        <f>AZ359/AZ364</f>
        <v>1.3632460787879722E-2</v>
      </c>
      <c r="BB360" s="21">
        <f>BB359/AZ359-1</f>
        <v>0</v>
      </c>
      <c r="BC360" s="21">
        <f>BC359/BB359-1</f>
        <v>0</v>
      </c>
      <c r="BD360" s="21">
        <f>BD359/BC359-1</f>
        <v>0</v>
      </c>
      <c r="BE360" s="21">
        <f>BE359/BD359-1</f>
        <v>0</v>
      </c>
    </row>
    <row r="362" spans="1:58">
      <c r="A362" s="5" t="s">
        <v>745</v>
      </c>
      <c r="AW362" s="36">
        <f>AW49-AW108</f>
        <v>-200</v>
      </c>
      <c r="AX362" s="36">
        <f>AX49-AX108</f>
        <v>-200</v>
      </c>
      <c r="AY362" s="36">
        <f>AY49-AY108</f>
        <v>-200</v>
      </c>
    </row>
    <row r="364" spans="1:58">
      <c r="A364" s="5" t="s">
        <v>3109</v>
      </c>
      <c r="AW364" s="37">
        <f>339.528738+32.182289</f>
        <v>371.71102699999994</v>
      </c>
      <c r="AX364" s="228">
        <f>AW364</f>
        <v>371.71102699999994</v>
      </c>
      <c r="AY364" s="228">
        <f>AX364</f>
        <v>371.71102699999994</v>
      </c>
      <c r="AZ364" s="228">
        <f>AY364</f>
        <v>371.71102699999994</v>
      </c>
      <c r="BB364" s="228">
        <f>AZ364</f>
        <v>371.71102699999994</v>
      </c>
      <c r="BC364" s="228">
        <f>BB364</f>
        <v>371.71102699999994</v>
      </c>
      <c r="BD364" s="228">
        <f>BC364</f>
        <v>371.71102699999994</v>
      </c>
      <c r="BE364" s="228">
        <f>BD364</f>
        <v>371.71102699999994</v>
      </c>
    </row>
    <row r="366" spans="1:58">
      <c r="A366" s="5" t="s">
        <v>1276</v>
      </c>
      <c r="AR366" s="24"/>
    </row>
    <row r="367" spans="1:58">
      <c r="A367" s="5" t="s">
        <v>739</v>
      </c>
      <c r="AR367" s="21"/>
    </row>
    <row r="368" spans="1:58">
      <c r="A368" s="222" t="s">
        <v>740</v>
      </c>
    </row>
    <row r="369" spans="1:58">
      <c r="A369" s="5" t="s">
        <v>741</v>
      </c>
    </row>
    <row r="370" spans="1:58">
      <c r="A370" s="222" t="s">
        <v>742</v>
      </c>
    </row>
    <row r="371" spans="1:58" s="618" customFormat="1">
      <c r="A371" s="619" t="s">
        <v>743</v>
      </c>
    </row>
    <row r="373" spans="1:58">
      <c r="A373" s="1" t="s">
        <v>1094</v>
      </c>
    </row>
    <row r="374" spans="1:58">
      <c r="A374" s="1" t="s">
        <v>1096</v>
      </c>
    </row>
    <row r="375" spans="1:58">
      <c r="A375" s="1" t="s">
        <v>1095</v>
      </c>
    </row>
    <row r="377" spans="1:58" s="12" customFormat="1">
      <c r="A377" s="13" t="s">
        <v>1269</v>
      </c>
      <c r="AO377" s="227"/>
    </row>
    <row r="378" spans="1:58">
      <c r="AO378" s="219" t="s">
        <v>734</v>
      </c>
    </row>
    <row r="379" spans="1:58">
      <c r="A379" s="5" t="s">
        <v>749</v>
      </c>
      <c r="AO379" s="223">
        <v>51.33</v>
      </c>
      <c r="AP379" s="223">
        <v>45</v>
      </c>
      <c r="AR379" s="223">
        <v>35.159999999999997</v>
      </c>
      <c r="AS379" s="223">
        <v>24.39</v>
      </c>
      <c r="AT379" s="223">
        <v>23.71</v>
      </c>
      <c r="AU379" s="223">
        <v>20.21</v>
      </c>
      <c r="AW379" s="223">
        <v>38.85</v>
      </c>
      <c r="AX379" s="223">
        <v>53.9</v>
      </c>
      <c r="AY379" s="223">
        <v>59.5</v>
      </c>
      <c r="AZ379" s="221">
        <v>54.75</v>
      </c>
      <c r="BB379" s="221">
        <f>AZ379</f>
        <v>54.75</v>
      </c>
      <c r="BC379" s="221">
        <f>BB379</f>
        <v>54.75</v>
      </c>
      <c r="BD379" s="221">
        <f t="shared" ref="BD379:BE379" si="206">BC379</f>
        <v>54.75</v>
      </c>
      <c r="BE379" s="221">
        <f t="shared" si="206"/>
        <v>54.75</v>
      </c>
    </row>
    <row r="380" spans="1:58">
      <c r="A380" s="5" t="s">
        <v>738</v>
      </c>
      <c r="AP380" s="21">
        <f>AP379/AO379-1</f>
        <v>-0.12331969608416127</v>
      </c>
      <c r="AR380" s="21">
        <f>AR379/AP379-1</f>
        <v>-0.21866666666666679</v>
      </c>
      <c r="AS380" s="21">
        <f>AS379/AR379-1</f>
        <v>-0.30631399317406138</v>
      </c>
      <c r="AT380" s="21">
        <f>AT379/AS379-1</f>
        <v>-2.7880278802787983E-2</v>
      </c>
      <c r="AU380" s="21">
        <f>AU379/AT379-1</f>
        <v>-0.14761703922395608</v>
      </c>
      <c r="AW380" s="21">
        <f>AW379/AU379-1</f>
        <v>0.92231568530430486</v>
      </c>
      <c r="AX380" s="21">
        <f>AX379/AW379-1</f>
        <v>0.38738738738738721</v>
      </c>
      <c r="AY380" s="21">
        <f>AY379/AX379-1</f>
        <v>0.10389610389610393</v>
      </c>
      <c r="AZ380" s="21">
        <f>AZ379/AY379-1</f>
        <v>-7.9831932773109293E-2</v>
      </c>
      <c r="BB380" s="21">
        <f>BB379/AZ379-1</f>
        <v>0</v>
      </c>
      <c r="BC380" s="21">
        <f>BC379/BB379-1</f>
        <v>0</v>
      </c>
      <c r="BD380" s="21">
        <f>BD379/BC379-1</f>
        <v>0</v>
      </c>
      <c r="BE380" s="21">
        <f>BE379/BD379-1</f>
        <v>0</v>
      </c>
    </row>
    <row r="381" spans="1:58">
      <c r="AO381" s="25" t="s">
        <v>1279</v>
      </c>
    </row>
    <row r="382" spans="1:58">
      <c r="A382" s="5" t="s">
        <v>1275</v>
      </c>
      <c r="AO382" s="87">
        <f>AO50/AO379</f>
        <v>19.481784531463084</v>
      </c>
      <c r="AP382" s="87">
        <f>AP50/AP379</f>
        <v>20</v>
      </c>
      <c r="AQ382" s="87">
        <f>AP382</f>
        <v>20</v>
      </c>
      <c r="AR382" s="87">
        <f>AR50/AR379</f>
        <v>19.908987485779296</v>
      </c>
      <c r="AS382" s="87">
        <f>AS50/AS379</f>
        <v>20.50020500205002</v>
      </c>
      <c r="AT382" s="87">
        <f>AT50/AT379</f>
        <v>21.088148460565161</v>
      </c>
      <c r="AU382" s="87">
        <f>AU50/AU379</f>
        <v>19.792182088075208</v>
      </c>
      <c r="AV382" s="87">
        <f>AU382</f>
        <v>19.792182088075208</v>
      </c>
      <c r="AW382" s="87">
        <f>AW50/AW379</f>
        <v>20.592020592020592</v>
      </c>
      <c r="AX382" s="87">
        <f>AX50/AX379</f>
        <v>20.408163265306122</v>
      </c>
      <c r="AY382" s="87">
        <f>AY50/AY379</f>
        <v>20.168067226890756</v>
      </c>
      <c r="AZ382" s="301">
        <f>AY382</f>
        <v>20.168067226890756</v>
      </c>
      <c r="BA382" s="87">
        <f>AZ382</f>
        <v>20.168067226890756</v>
      </c>
      <c r="BB382" s="301">
        <f>AZ382</f>
        <v>20.168067226890756</v>
      </c>
      <c r="BC382" s="301">
        <f>BB382</f>
        <v>20.168067226890756</v>
      </c>
      <c r="BD382" s="301">
        <f t="shared" ref="BD382:BE382" si="207">BC382</f>
        <v>20.168067226890756</v>
      </c>
      <c r="BE382" s="301">
        <f t="shared" si="207"/>
        <v>20.168067226890756</v>
      </c>
      <c r="BF382" s="87">
        <f>BE382</f>
        <v>20.168067226890756</v>
      </c>
    </row>
    <row r="383" spans="1:58">
      <c r="A383" s="5" t="s">
        <v>80</v>
      </c>
      <c r="AO383" s="21">
        <f>AO382/AO387</f>
        <v>3.3993147350053377E-2</v>
      </c>
      <c r="AP383" s="21">
        <f>AP382/AP387</f>
        <v>3.4248811367602432E-2</v>
      </c>
      <c r="AQ383" s="104"/>
      <c r="AR383" s="21">
        <f>AR382/AR387</f>
        <v>3.4038525931616138E-2</v>
      </c>
      <c r="AS383" s="21">
        <f>AS382/AS387</f>
        <v>3.4985436710195383E-2</v>
      </c>
      <c r="AT383" s="21">
        <f>AT382/AT387</f>
        <v>3.589962580328173E-2</v>
      </c>
      <c r="AU383" s="21">
        <f>AU382/AU387</f>
        <v>3.3607975917218778E-2</v>
      </c>
      <c r="AW383" s="21">
        <f>AW382/AW387</f>
        <v>3.4911948958653821E-2</v>
      </c>
      <c r="AX383" s="21">
        <f>AX382/AX387</f>
        <v>3.4600235128665842E-2</v>
      </c>
      <c r="AY383" s="21">
        <f>AY382/AY387</f>
        <v>3.4193173538916828E-2</v>
      </c>
      <c r="AZ383" s="21">
        <f>AZ382/AZ387</f>
        <v>3.4193173538916828E-2</v>
      </c>
    </row>
    <row r="385" spans="1:57">
      <c r="A385" s="5" t="s">
        <v>745</v>
      </c>
      <c r="AO385" s="36">
        <f t="shared" ref="AO385:AZ385" si="208">AO50-AO109</f>
        <v>800</v>
      </c>
      <c r="AP385" s="36">
        <f t="shared" si="208"/>
        <v>700</v>
      </c>
      <c r="AQ385" s="36">
        <f t="shared" si="208"/>
        <v>700</v>
      </c>
      <c r="AR385" s="36">
        <f t="shared" si="208"/>
        <v>500</v>
      </c>
      <c r="AS385" s="36">
        <f t="shared" si="208"/>
        <v>300</v>
      </c>
      <c r="AT385" s="36">
        <f t="shared" si="208"/>
        <v>300</v>
      </c>
      <c r="AU385" s="36">
        <f t="shared" si="208"/>
        <v>200</v>
      </c>
      <c r="AV385" s="36">
        <f t="shared" si="208"/>
        <v>200</v>
      </c>
      <c r="AW385" s="36">
        <f t="shared" si="208"/>
        <v>600</v>
      </c>
      <c r="AX385" s="36">
        <f t="shared" si="208"/>
        <v>900</v>
      </c>
      <c r="AY385" s="36">
        <f t="shared" si="208"/>
        <v>1000</v>
      </c>
      <c r="AZ385" s="36">
        <f t="shared" si="208"/>
        <v>905</v>
      </c>
    </row>
    <row r="386" spans="1:57">
      <c r="AO386" s="783" t="s">
        <v>2883</v>
      </c>
    </row>
    <row r="387" spans="1:57">
      <c r="A387" s="5" t="s">
        <v>1278</v>
      </c>
      <c r="AO387" s="784">
        <v>573.10917199999994</v>
      </c>
      <c r="AP387" s="784">
        <v>583.96187200000008</v>
      </c>
      <c r="AR387" s="784">
        <v>584.89570099999992</v>
      </c>
      <c r="AS387" s="784">
        <v>585.96395899999993</v>
      </c>
      <c r="AT387" s="784">
        <v>587.41972899999996</v>
      </c>
      <c r="AU387" s="784">
        <v>588.91324299999997</v>
      </c>
      <c r="AW387" s="784">
        <v>589.82729999999992</v>
      </c>
      <c r="AX387" s="785">
        <f>AW387</f>
        <v>589.82729999999992</v>
      </c>
      <c r="AY387" s="785">
        <f>AX387</f>
        <v>589.82729999999992</v>
      </c>
      <c r="AZ387" s="785">
        <f>AY387</f>
        <v>589.82729999999992</v>
      </c>
      <c r="BB387" s="785">
        <f>AZ387</f>
        <v>589.82729999999992</v>
      </c>
      <c r="BC387" s="785">
        <f>BB387</f>
        <v>589.82729999999992</v>
      </c>
      <c r="BD387" s="785">
        <f>BC387</f>
        <v>589.82729999999992</v>
      </c>
      <c r="BE387" s="785">
        <f>BD387</f>
        <v>589.82729999999992</v>
      </c>
    </row>
    <row r="389" spans="1:57">
      <c r="A389" s="5" t="s">
        <v>1276</v>
      </c>
      <c r="AP389" s="24"/>
      <c r="AR389" s="24"/>
    </row>
    <row r="390" spans="1:57">
      <c r="A390" s="5" t="s">
        <v>739</v>
      </c>
      <c r="AP390" s="21"/>
      <c r="AR390" s="21"/>
    </row>
    <row r="391" spans="1:57">
      <c r="A391" s="222" t="s">
        <v>740</v>
      </c>
      <c r="AP391" s="221"/>
    </row>
    <row r="392" spans="1:57">
      <c r="A392" s="5" t="s">
        <v>741</v>
      </c>
      <c r="AP392" s="224"/>
    </row>
    <row r="393" spans="1:57">
      <c r="A393" s="222" t="s">
        <v>742</v>
      </c>
      <c r="AP393" s="80"/>
    </row>
    <row r="394" spans="1:57" s="618" customFormat="1">
      <c r="A394" s="619" t="s">
        <v>743</v>
      </c>
      <c r="AP394" s="677"/>
    </row>
    <row r="396" spans="1:57">
      <c r="A396" s="1" t="s">
        <v>1094</v>
      </c>
    </row>
    <row r="397" spans="1:57">
      <c r="A397" s="1" t="s">
        <v>1096</v>
      </c>
    </row>
    <row r="398" spans="1:57">
      <c r="A398" s="1" t="s">
        <v>1095</v>
      </c>
      <c r="AP398" s="167"/>
    </row>
    <row r="400" spans="1:57" s="12" customFormat="1">
      <c r="A400" s="13" t="s">
        <v>1270</v>
      </c>
      <c r="AO400" s="227"/>
    </row>
    <row r="401" spans="1:58">
      <c r="AO401" s="219" t="s">
        <v>734</v>
      </c>
    </row>
    <row r="402" spans="1:58">
      <c r="A402" s="5" t="s">
        <v>749</v>
      </c>
      <c r="AO402" s="223">
        <v>17.05</v>
      </c>
      <c r="AP402" s="223">
        <v>13.75</v>
      </c>
      <c r="AR402" s="223">
        <v>9.83</v>
      </c>
      <c r="AS402" s="223">
        <v>13.21</v>
      </c>
      <c r="AT402" s="223">
        <v>10.6</v>
      </c>
      <c r="AU402" s="223">
        <v>1</v>
      </c>
      <c r="AW402" s="223">
        <v>0.73</v>
      </c>
      <c r="AX402" s="223">
        <v>1.82</v>
      </c>
      <c r="AY402" s="223">
        <v>1.79</v>
      </c>
      <c r="AZ402" s="221">
        <v>3.5</v>
      </c>
      <c r="BB402" s="221">
        <f>AZ402</f>
        <v>3.5</v>
      </c>
      <c r="BC402" s="221">
        <f>BB402</f>
        <v>3.5</v>
      </c>
      <c r="BD402" s="221">
        <f t="shared" ref="BD402:BE402" si="209">BC402</f>
        <v>3.5</v>
      </c>
      <c r="BE402" s="221">
        <f t="shared" si="209"/>
        <v>3.5</v>
      </c>
    </row>
    <row r="403" spans="1:58">
      <c r="A403" s="5" t="s">
        <v>738</v>
      </c>
      <c r="AP403" s="21">
        <f>AP402/AO402-1</f>
        <v>-0.19354838709677424</v>
      </c>
      <c r="AR403" s="21">
        <f>AR402/AP402-1</f>
        <v>-0.28509090909090906</v>
      </c>
      <c r="AS403" s="21">
        <f>AS402/AR402-1</f>
        <v>0.3438453713123093</v>
      </c>
      <c r="AT403" s="21">
        <f>AT402/AS402-1</f>
        <v>-0.19757759273277831</v>
      </c>
      <c r="AU403" s="21">
        <f>AU402/AT402-1</f>
        <v>-0.90566037735849059</v>
      </c>
      <c r="AW403" s="21">
        <f>AW402/AU402-1</f>
        <v>-0.27</v>
      </c>
      <c r="AX403" s="21">
        <f>AX402/AW402-1</f>
        <v>1.493150684931507</v>
      </c>
      <c r="AY403" s="21">
        <f>AY402/AX402-1</f>
        <v>-1.6483516483516536E-2</v>
      </c>
      <c r="AZ403" s="21">
        <f>AZ402/AY402-1</f>
        <v>0.95530726256983245</v>
      </c>
      <c r="BB403" s="21">
        <f>BB402/AZ402-1</f>
        <v>0</v>
      </c>
      <c r="BC403" s="21">
        <f>BC402/BB402-1</f>
        <v>0</v>
      </c>
      <c r="BD403" s="21">
        <f>BD402/BC402-1</f>
        <v>0</v>
      </c>
      <c r="BE403" s="21">
        <f>BE402/BD402-1</f>
        <v>0</v>
      </c>
    </row>
    <row r="404" spans="1:58">
      <c r="AO404" s="25"/>
      <c r="AZ404" s="219" t="s">
        <v>734</v>
      </c>
    </row>
    <row r="405" spans="1:58">
      <c r="A405" s="5" t="s">
        <v>1275</v>
      </c>
      <c r="AO405" s="87">
        <f>AO51/AO402</f>
        <v>11.730205278592376</v>
      </c>
      <c r="AP405" s="87">
        <f>AP51/AP402</f>
        <v>7.2727272727272725</v>
      </c>
      <c r="AQ405" s="87">
        <f>AP405</f>
        <v>7.2727272727272725</v>
      </c>
      <c r="AR405" s="87">
        <f>AR51/AR402</f>
        <v>10.172939979654119</v>
      </c>
      <c r="AS405" s="87">
        <f>AS51/AS402</f>
        <v>7.5700227100681294</v>
      </c>
      <c r="AT405" s="87">
        <f>AT51/AT402</f>
        <v>9.433962264150944</v>
      </c>
      <c r="AU405" s="87">
        <f>AU51/AU402</f>
        <v>0</v>
      </c>
      <c r="AV405" s="87">
        <f>AU405</f>
        <v>0</v>
      </c>
      <c r="AW405" s="87">
        <f>AW51/AW402</f>
        <v>136.98630136986301</v>
      </c>
      <c r="AX405" s="87">
        <f>AX51/AX402</f>
        <v>0</v>
      </c>
      <c r="AY405" s="87">
        <f>AY51/AY402</f>
        <v>0</v>
      </c>
      <c r="AZ405" s="301">
        <v>6.5411900000000003</v>
      </c>
      <c r="BA405" s="87">
        <f>AZ405</f>
        <v>6.5411900000000003</v>
      </c>
      <c r="BB405" s="301">
        <f>AZ405</f>
        <v>6.5411900000000003</v>
      </c>
      <c r="BC405" s="301">
        <f>BB405</f>
        <v>6.5411900000000003</v>
      </c>
      <c r="BD405" s="301">
        <f t="shared" ref="BD405:BE405" si="210">BC405</f>
        <v>6.5411900000000003</v>
      </c>
      <c r="BE405" s="301">
        <f t="shared" si="210"/>
        <v>6.5411900000000003</v>
      </c>
      <c r="BF405" s="87">
        <f>BE405</f>
        <v>6.5411900000000003</v>
      </c>
    </row>
    <row r="406" spans="1:58">
      <c r="A406" s="5" t="s">
        <v>80</v>
      </c>
      <c r="AO406" s="21">
        <f>AO405/AO410</f>
        <v>7.6816964987141315E-2</v>
      </c>
      <c r="AP406" s="21">
        <f>AP405/AP410</f>
        <v>4.5773212552602527E-2</v>
      </c>
      <c r="AQ406" s="104"/>
      <c r="AR406" s="21">
        <f>AR405/AR410</f>
        <v>6.3569851066040253E-2</v>
      </c>
      <c r="AS406" s="21">
        <f>AS405/AS410</f>
        <v>4.6855489327974037E-2</v>
      </c>
      <c r="AT406" s="21">
        <f>AT405/AT410</f>
        <v>5.8241912524328511E-2</v>
      </c>
      <c r="AU406" s="21">
        <f>AU405/AU410</f>
        <v>0</v>
      </c>
      <c r="AW406" s="21">
        <f>AW405/AW410</f>
        <v>0.84587940460870825</v>
      </c>
      <c r="AX406" s="21">
        <f>AX405/AX410</f>
        <v>0</v>
      </c>
      <c r="AY406" s="21">
        <f>AY405/AY410</f>
        <v>0</v>
      </c>
      <c r="AZ406" s="21">
        <f>AZ405/AZ410</f>
        <v>4.0391322689216781E-2</v>
      </c>
    </row>
    <row r="408" spans="1:58">
      <c r="A408" s="5" t="s">
        <v>745</v>
      </c>
      <c r="AO408" s="36">
        <f t="shared" ref="AO408:AZ408" si="211">AO51-AO110</f>
        <v>100</v>
      </c>
      <c r="AP408" s="36">
        <f t="shared" si="211"/>
        <v>0</v>
      </c>
      <c r="AQ408" s="36">
        <f t="shared" si="211"/>
        <v>0</v>
      </c>
      <c r="AR408" s="36">
        <f t="shared" si="211"/>
        <v>0</v>
      </c>
      <c r="AS408" s="36">
        <f t="shared" si="211"/>
        <v>0</v>
      </c>
      <c r="AT408" s="36">
        <f t="shared" si="211"/>
        <v>0</v>
      </c>
      <c r="AU408" s="36">
        <f t="shared" si="211"/>
        <v>-100</v>
      </c>
      <c r="AV408" s="36">
        <f t="shared" si="211"/>
        <v>-100</v>
      </c>
      <c r="AW408" s="36">
        <f t="shared" si="211"/>
        <v>0</v>
      </c>
      <c r="AX408" s="36">
        <f t="shared" si="211"/>
        <v>-100</v>
      </c>
      <c r="AY408" s="36">
        <f t="shared" si="211"/>
        <v>-100</v>
      </c>
      <c r="AZ408" s="36">
        <f t="shared" si="211"/>
        <v>-75</v>
      </c>
    </row>
    <row r="409" spans="1:58">
      <c r="AO409" s="25"/>
    </row>
    <row r="410" spans="1:58">
      <c r="A410" s="5" t="s">
        <v>1280</v>
      </c>
      <c r="AO410" s="37">
        <v>152.703316</v>
      </c>
      <c r="AP410" s="37">
        <v>158.886101</v>
      </c>
      <c r="AR410" s="37">
        <v>160.02774600000001</v>
      </c>
      <c r="AS410" s="37">
        <v>161.56106399999999</v>
      </c>
      <c r="AT410" s="37">
        <v>161.97892300000001</v>
      </c>
      <c r="AU410" s="37">
        <v>161.74792199999999</v>
      </c>
      <c r="AW410" s="37">
        <v>161.945427</v>
      </c>
      <c r="AX410" s="228">
        <f>AW410</f>
        <v>161.945427</v>
      </c>
      <c r="AY410" s="228">
        <f>AX410</f>
        <v>161.945427</v>
      </c>
      <c r="AZ410" s="228">
        <f>AY410</f>
        <v>161.945427</v>
      </c>
      <c r="BB410" s="228">
        <f>AZ410</f>
        <v>161.945427</v>
      </c>
      <c r="BC410" s="228">
        <f>BB410</f>
        <v>161.945427</v>
      </c>
      <c r="BD410" s="228">
        <f>BC410</f>
        <v>161.945427</v>
      </c>
      <c r="BE410" s="228">
        <f>BD410</f>
        <v>161.945427</v>
      </c>
    </row>
    <row r="412" spans="1:58">
      <c r="A412" s="5" t="s">
        <v>1276</v>
      </c>
      <c r="AP412" s="24"/>
      <c r="AR412" s="24"/>
    </row>
    <row r="413" spans="1:58">
      <c r="A413" s="5" t="s">
        <v>739</v>
      </c>
      <c r="AP413" s="21"/>
      <c r="AR413" s="21"/>
    </row>
    <row r="414" spans="1:58">
      <c r="A414" s="222" t="s">
        <v>740</v>
      </c>
      <c r="AP414" s="221"/>
    </row>
    <row r="415" spans="1:58">
      <c r="A415" s="5" t="s">
        <v>741</v>
      </c>
      <c r="AP415" s="224"/>
    </row>
    <row r="416" spans="1:58">
      <c r="A416" s="222" t="s">
        <v>742</v>
      </c>
      <c r="AP416" s="80"/>
    </row>
    <row r="417" spans="1:42" s="618" customFormat="1">
      <c r="A417" s="619" t="s">
        <v>743</v>
      </c>
      <c r="AP417" s="677"/>
    </row>
    <row r="419" spans="1:42">
      <c r="A419" s="1" t="s">
        <v>1094</v>
      </c>
    </row>
    <row r="420" spans="1:42">
      <c r="A420" s="1" t="s">
        <v>1096</v>
      </c>
    </row>
    <row r="421" spans="1:42">
      <c r="A421" s="1" t="s">
        <v>1095</v>
      </c>
      <c r="AP421" s="167"/>
    </row>
  </sheetData>
  <pageMargins left="0.7" right="0.7" top="0.75" bottom="0.75" header="0.3" footer="0.3"/>
  <pageSetup orientation="portrait"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0F4D2-16B8-4615-B54C-B29F7AC4AAC4}">
  <sheetPr codeName="Sheet34"/>
  <dimension ref="A1:BZ198"/>
  <sheetViews>
    <sheetView zoomScale="90" zoomScaleNormal="90" workbookViewId="0">
      <pane xSplit="8" ySplit="2" topLeftCell="AQ3" activePane="bottomRight" state="frozen"/>
      <selection activeCell="AO44" sqref="AO44:AS44"/>
      <selection pane="topRight" activeCell="AO44" sqref="AO44:AS44"/>
      <selection pane="bottomLeft" activeCell="AO44" sqref="AO44:AS44"/>
      <selection pane="bottomRight"/>
    </sheetView>
  </sheetViews>
  <sheetFormatPr defaultColWidth="9.140625" defaultRowHeight="12" outlineLevelCol="1"/>
  <cols>
    <col min="1" max="1" width="9.140625" style="1"/>
    <col min="2" max="2" width="18.42578125" style="1" customWidth="1"/>
    <col min="3" max="8" width="9.140625" style="1"/>
    <col min="9" max="12" width="11" style="1" hidden="1" customWidth="1" outlineLevel="1"/>
    <col min="13" max="13" width="11" style="1" customWidth="1" collapsed="1"/>
    <col min="14" max="17" width="11" style="1" hidden="1" customWidth="1" outlineLevel="1"/>
    <col min="18" max="18" width="11" style="1" customWidth="1" collapsed="1"/>
    <col min="19" max="22" width="11" style="1" hidden="1" customWidth="1" outlineLevel="1"/>
    <col min="23" max="23" width="11" style="1" customWidth="1" collapsed="1"/>
    <col min="24" max="27" width="11" style="1" hidden="1" customWidth="1" outlineLevel="1"/>
    <col min="28" max="28" width="11" style="1" customWidth="1" collapsed="1"/>
    <col min="29" max="32" width="11" style="1" hidden="1" customWidth="1" outlineLevel="1"/>
    <col min="33" max="33" width="11" style="1" customWidth="1" collapsed="1"/>
    <col min="34" max="37" width="11" style="1" hidden="1" customWidth="1" outlineLevel="1"/>
    <col min="38" max="38" width="11" style="1" customWidth="1" collapsed="1"/>
    <col min="39" max="42" width="11" style="1" customWidth="1" outlineLevel="1"/>
    <col min="43" max="43" width="11" style="1" customWidth="1"/>
    <col min="44" max="47" width="11.42578125" style="1" customWidth="1" outlineLevel="1"/>
    <col min="48" max="48" width="11.42578125" style="1" customWidth="1"/>
    <col min="49" max="52" width="11.42578125" style="1" customWidth="1" outlineLevel="1"/>
    <col min="53" max="53" width="11.42578125" style="1" customWidth="1"/>
    <col min="54" max="57" width="11.42578125" style="1" customWidth="1" outlineLevel="1"/>
    <col min="58" max="58" width="11.42578125" style="1" customWidth="1"/>
    <col min="59" max="62" width="11.42578125" style="1" customWidth="1" outlineLevel="1"/>
    <col min="63" max="63" width="11.42578125" style="1" customWidth="1"/>
    <col min="64" max="67" width="11.42578125" style="1" customWidth="1" outlineLevel="1"/>
    <col min="68" max="68" width="11.42578125" style="1" customWidth="1"/>
    <col min="69" max="72" width="11.42578125" style="1" customWidth="1" outlineLevel="1"/>
    <col min="73" max="73" width="11.42578125" style="1" customWidth="1"/>
    <col min="74" max="77" width="11.42578125" style="1" customWidth="1" outlineLevel="1"/>
    <col min="78" max="78" width="11.42578125" style="1" customWidth="1"/>
    <col min="79" max="16384" width="9.140625" style="1"/>
  </cols>
  <sheetData>
    <row r="1" spans="1:78" s="2" customFormat="1">
      <c r="A1" s="2" t="s">
        <v>0</v>
      </c>
      <c r="I1" s="43" t="s">
        <v>160</v>
      </c>
      <c r="J1" s="43" t="s">
        <v>161</v>
      </c>
      <c r="K1" s="43" t="s">
        <v>162</v>
      </c>
      <c r="M1" s="18" t="s">
        <v>159</v>
      </c>
      <c r="N1" s="43" t="s">
        <v>150</v>
      </c>
      <c r="O1" s="43" t="s">
        <v>151</v>
      </c>
      <c r="P1" s="43" t="s">
        <v>152</v>
      </c>
      <c r="R1" s="18" t="s">
        <v>153</v>
      </c>
      <c r="S1" s="43" t="s">
        <v>146</v>
      </c>
      <c r="T1" s="43" t="s">
        <v>147</v>
      </c>
      <c r="U1" s="43" t="s">
        <v>148</v>
      </c>
      <c r="W1" s="18" t="s">
        <v>149</v>
      </c>
      <c r="X1" s="43" t="s">
        <v>142</v>
      </c>
      <c r="Y1" s="43" t="s">
        <v>143</v>
      </c>
      <c r="Z1" s="43" t="s">
        <v>144</v>
      </c>
      <c r="AB1" s="18" t="s">
        <v>145</v>
      </c>
      <c r="AC1" s="43" t="s">
        <v>138</v>
      </c>
      <c r="AD1" s="43" t="s">
        <v>139</v>
      </c>
      <c r="AE1" s="43" t="s">
        <v>140</v>
      </c>
      <c r="AG1" s="18" t="s">
        <v>141</v>
      </c>
      <c r="AH1" s="43" t="s">
        <v>126</v>
      </c>
      <c r="AI1" s="43" t="s">
        <v>127</v>
      </c>
      <c r="AJ1" s="43" t="s">
        <v>128</v>
      </c>
      <c r="AL1" s="18" t="s">
        <v>79</v>
      </c>
      <c r="AM1" s="43" t="s">
        <v>129</v>
      </c>
      <c r="AN1" s="43" t="s">
        <v>130</v>
      </c>
      <c r="AO1" s="43" t="s">
        <v>131</v>
      </c>
      <c r="AQ1" s="18" t="s">
        <v>90</v>
      </c>
      <c r="AR1" s="43" t="s">
        <v>700</v>
      </c>
      <c r="AS1" s="43" t="s">
        <v>701</v>
      </c>
      <c r="AT1" s="43" t="s">
        <v>702</v>
      </c>
      <c r="AV1" s="18" t="s">
        <v>699</v>
      </c>
      <c r="AW1" s="43" t="s">
        <v>1177</v>
      </c>
      <c r="AX1" s="43" t="s">
        <v>1178</v>
      </c>
      <c r="AY1" s="43" t="s">
        <v>1179</v>
      </c>
      <c r="BA1" s="18" t="s">
        <v>1180</v>
      </c>
      <c r="BB1" s="43" t="s">
        <v>1189</v>
      </c>
      <c r="BC1" s="43" t="s">
        <v>1190</v>
      </c>
      <c r="BD1" s="43" t="s">
        <v>1191</v>
      </c>
      <c r="BF1" s="18" t="s">
        <v>1198</v>
      </c>
      <c r="BG1" s="43" t="s">
        <v>1192</v>
      </c>
      <c r="BH1" s="43" t="s">
        <v>1199</v>
      </c>
      <c r="BI1" s="43" t="s">
        <v>1200</v>
      </c>
      <c r="BK1" s="18" t="s">
        <v>1209</v>
      </c>
      <c r="BL1" s="43" t="s">
        <v>1201</v>
      </c>
      <c r="BM1" s="43" t="s">
        <v>1203</v>
      </c>
      <c r="BN1" s="43" t="s">
        <v>1205</v>
      </c>
      <c r="BP1" s="18" t="s">
        <v>1210</v>
      </c>
      <c r="BQ1" s="43" t="s">
        <v>1211</v>
      </c>
      <c r="BR1" s="43" t="s">
        <v>1213</v>
      </c>
      <c r="BS1" s="43" t="s">
        <v>1215</v>
      </c>
      <c r="BU1" s="18" t="s">
        <v>1219</v>
      </c>
      <c r="BV1" s="43" t="s">
        <v>1211</v>
      </c>
      <c r="BW1" s="43" t="s">
        <v>1213</v>
      </c>
      <c r="BX1" s="43" t="s">
        <v>1215</v>
      </c>
      <c r="BZ1" s="18" t="s">
        <v>1220</v>
      </c>
    </row>
    <row r="2" spans="1:78" s="2" customFormat="1">
      <c r="A2" s="2" t="s">
        <v>2</v>
      </c>
      <c r="I2" s="6" t="s">
        <v>194</v>
      </c>
      <c r="J2" s="6" t="s">
        <v>195</v>
      </c>
      <c r="K2" s="6" t="s">
        <v>196</v>
      </c>
      <c r="L2" s="6" t="s">
        <v>197</v>
      </c>
      <c r="M2" s="6" t="s">
        <v>198</v>
      </c>
      <c r="N2" s="6" t="s">
        <v>163</v>
      </c>
      <c r="O2" s="6" t="s">
        <v>164</v>
      </c>
      <c r="P2" s="6" t="s">
        <v>165</v>
      </c>
      <c r="Q2" s="6" t="s">
        <v>166</v>
      </c>
      <c r="R2" s="6" t="s">
        <v>167</v>
      </c>
      <c r="S2" s="6" t="s">
        <v>154</v>
      </c>
      <c r="T2" s="6" t="s">
        <v>155</v>
      </c>
      <c r="U2" s="6" t="s">
        <v>156</v>
      </c>
      <c r="V2" s="6" t="s">
        <v>157</v>
      </c>
      <c r="W2" s="6" t="s">
        <v>158</v>
      </c>
      <c r="X2" s="6" t="s">
        <v>133</v>
      </c>
      <c r="Y2" s="6" t="s">
        <v>134</v>
      </c>
      <c r="Z2" s="6" t="s">
        <v>135</v>
      </c>
      <c r="AA2" s="6" t="s">
        <v>136</v>
      </c>
      <c r="AB2" s="6" t="s">
        <v>137</v>
      </c>
      <c r="AC2" s="6" t="s">
        <v>74</v>
      </c>
      <c r="AD2" s="6" t="s">
        <v>75</v>
      </c>
      <c r="AE2" s="6" t="s">
        <v>76</v>
      </c>
      <c r="AF2" s="6" t="s">
        <v>77</v>
      </c>
      <c r="AG2" s="6" t="s">
        <v>78</v>
      </c>
      <c r="AH2" s="6" t="s">
        <v>10</v>
      </c>
      <c r="AI2" s="6" t="s">
        <v>11</v>
      </c>
      <c r="AJ2" s="6" t="s">
        <v>12</v>
      </c>
      <c r="AK2" s="6" t="s">
        <v>13</v>
      </c>
      <c r="AL2" s="6" t="s">
        <v>14</v>
      </c>
      <c r="AM2" s="6" t="s">
        <v>91</v>
      </c>
      <c r="AN2" s="6" t="s">
        <v>92</v>
      </c>
      <c r="AO2" s="6" t="s">
        <v>93</v>
      </c>
      <c r="AP2" s="6" t="s">
        <v>94</v>
      </c>
      <c r="AQ2" s="6" t="s">
        <v>95</v>
      </c>
      <c r="AR2" s="6" t="s">
        <v>686</v>
      </c>
      <c r="AS2" s="6" t="s">
        <v>695</v>
      </c>
      <c r="AT2" s="6" t="s">
        <v>696</v>
      </c>
      <c r="AU2" s="6" t="s">
        <v>697</v>
      </c>
      <c r="AV2" s="6" t="s">
        <v>698</v>
      </c>
      <c r="AW2" s="6" t="s">
        <v>1172</v>
      </c>
      <c r="AX2" s="6" t="s">
        <v>1173</v>
      </c>
      <c r="AY2" s="6" t="s">
        <v>1174</v>
      </c>
      <c r="AZ2" s="6" t="s">
        <v>1175</v>
      </c>
      <c r="BA2" s="6" t="s">
        <v>1176</v>
      </c>
      <c r="BB2" s="6" t="s">
        <v>1184</v>
      </c>
      <c r="BC2" s="6" t="s">
        <v>1185</v>
      </c>
      <c r="BD2" s="6" t="s">
        <v>1186</v>
      </c>
      <c r="BE2" s="6" t="s">
        <v>1187</v>
      </c>
      <c r="BF2" s="6" t="s">
        <v>1188</v>
      </c>
      <c r="BG2" s="6" t="s">
        <v>1193</v>
      </c>
      <c r="BH2" s="6" t="s">
        <v>1194</v>
      </c>
      <c r="BI2" s="6" t="s">
        <v>1195</v>
      </c>
      <c r="BJ2" s="6" t="s">
        <v>1196</v>
      </c>
      <c r="BK2" s="6" t="s">
        <v>1197</v>
      </c>
      <c r="BL2" s="6" t="s">
        <v>1202</v>
      </c>
      <c r="BM2" s="6" t="s">
        <v>1204</v>
      </c>
      <c r="BN2" s="6" t="s">
        <v>1206</v>
      </c>
      <c r="BO2" s="6" t="s">
        <v>1207</v>
      </c>
      <c r="BP2" s="6" t="s">
        <v>1208</v>
      </c>
      <c r="BQ2" s="6" t="s">
        <v>1212</v>
      </c>
      <c r="BR2" s="6" t="s">
        <v>1214</v>
      </c>
      <c r="BS2" s="6" t="s">
        <v>1216</v>
      </c>
      <c r="BT2" s="6" t="s">
        <v>1217</v>
      </c>
      <c r="BU2" s="6" t="s">
        <v>1218</v>
      </c>
      <c r="BV2" s="6" t="s">
        <v>1221</v>
      </c>
      <c r="BW2" s="6" t="s">
        <v>1222</v>
      </c>
      <c r="BX2" s="6" t="s">
        <v>1223</v>
      </c>
      <c r="BY2" s="6" t="s">
        <v>1224</v>
      </c>
      <c r="BZ2" s="6" t="s">
        <v>1225</v>
      </c>
    </row>
    <row r="3" spans="1:78">
      <c r="A3" s="262" t="s">
        <v>2461</v>
      </c>
    </row>
    <row r="4" spans="1:78">
      <c r="A4" s="3" t="s">
        <v>2458</v>
      </c>
      <c r="AR4" s="1119" t="s">
        <v>3429</v>
      </c>
      <c r="AS4" s="1119"/>
      <c r="AT4" s="1119"/>
      <c r="AU4" s="1119"/>
    </row>
    <row r="5" spans="1:78">
      <c r="AO5" s="522" t="s">
        <v>2470</v>
      </c>
      <c r="AP5" s="71"/>
      <c r="AQ5" s="71"/>
      <c r="AR5" s="71"/>
      <c r="AY5" s="25" t="s">
        <v>3390</v>
      </c>
    </row>
    <row r="6" spans="1:78">
      <c r="A6" s="5" t="s">
        <v>2460</v>
      </c>
      <c r="AO6" s="613">
        <f>10*AO46*AO49</f>
        <v>520.57008640000004</v>
      </c>
      <c r="AP6" s="613">
        <f>10*AP46*AP49</f>
        <v>949.89323519999994</v>
      </c>
      <c r="AQ6" s="36">
        <f>AP6</f>
        <v>949.89323519999994</v>
      </c>
      <c r="AR6" s="59">
        <f>AR46*AR49</f>
        <v>1298.6920128000002</v>
      </c>
      <c r="AS6" s="59">
        <f>AS46*AS49</f>
        <v>1276.6161408</v>
      </c>
      <c r="AT6" s="59">
        <f>AT46*AT49</f>
        <v>1411.6994528</v>
      </c>
      <c r="AU6" s="59">
        <f>AU46*AU49</f>
        <v>3308.4681392799998</v>
      </c>
      <c r="AV6" s="36">
        <f t="shared" ref="AV6:AV15" si="0">AU6</f>
        <v>3308.4681392799998</v>
      </c>
      <c r="AW6" s="59">
        <f>AW46*AW49</f>
        <v>4822.8905824399999</v>
      </c>
      <c r="AX6" s="59">
        <f>AX46*AX49</f>
        <v>5991.1688804800006</v>
      </c>
      <c r="AY6" s="59">
        <f>AY46*AY49</f>
        <v>0</v>
      </c>
      <c r="AZ6" s="751">
        <f t="shared" ref="AZ6" si="1">MROUND(AY6, 5)</f>
        <v>0</v>
      </c>
      <c r="BA6" s="36">
        <f t="shared" ref="BA6:BA15" si="2">AZ6</f>
        <v>0</v>
      </c>
      <c r="BB6" s="751">
        <v>0</v>
      </c>
      <c r="BC6" s="751">
        <v>0</v>
      </c>
      <c r="BD6" s="751">
        <v>0</v>
      </c>
      <c r="BE6" s="751">
        <v>0</v>
      </c>
      <c r="BF6" s="36">
        <f t="shared" ref="BF6" si="3">BE6</f>
        <v>0</v>
      </c>
    </row>
    <row r="7" spans="1:78">
      <c r="A7" s="5" t="s">
        <v>3021</v>
      </c>
      <c r="AO7" s="613"/>
      <c r="AP7" s="613"/>
      <c r="AQ7" s="36"/>
      <c r="AR7" s="59"/>
      <c r="AS7" s="59"/>
      <c r="AT7" s="59"/>
      <c r="AU7" s="59"/>
      <c r="AV7" s="36"/>
      <c r="AW7" s="59"/>
      <c r="AX7" s="59">
        <f>AX61*AX64</f>
        <v>2917.3913130999999</v>
      </c>
      <c r="AY7" s="59">
        <f>AY61*AY64</f>
        <v>3208.6956617999999</v>
      </c>
      <c r="AZ7" s="59">
        <f>AZ61*AZ64</f>
        <v>3965.2174032000003</v>
      </c>
      <c r="BA7" s="36">
        <f t="shared" si="2"/>
        <v>3965.2174032000003</v>
      </c>
      <c r="BB7" s="59">
        <f>BB61*BB64</f>
        <v>3965.2174032000003</v>
      </c>
      <c r="BC7" s="59">
        <f>BC61*BC64</f>
        <v>3965.2174032000003</v>
      </c>
      <c r="BD7" s="59">
        <f>BD61*BD64</f>
        <v>3965.2174032000003</v>
      </c>
      <c r="BE7" s="59">
        <f>BE61*BE64</f>
        <v>3965.2174032000003</v>
      </c>
      <c r="BF7" s="36">
        <f t="shared" ref="BF7:BF9" si="4">BE7</f>
        <v>3965.2174032000003</v>
      </c>
    </row>
    <row r="8" spans="1:78">
      <c r="A8" s="5" t="s">
        <v>2884</v>
      </c>
      <c r="AO8" s="36"/>
      <c r="AP8" s="36"/>
      <c r="AQ8" s="36"/>
      <c r="AR8" s="36"/>
      <c r="AS8" s="36"/>
      <c r="AT8" s="36"/>
      <c r="AU8" s="59">
        <f>AU76*AU79</f>
        <v>329.51</v>
      </c>
      <c r="AV8" s="36">
        <f t="shared" si="0"/>
        <v>329.51</v>
      </c>
      <c r="AW8" s="59">
        <f>AW76*AW79</f>
        <v>449.58265000000006</v>
      </c>
      <c r="AX8" s="59">
        <f>AX76*AX79</f>
        <v>554.39065000000005</v>
      </c>
      <c r="AY8" s="59">
        <f>AY76*AY79</f>
        <v>603.22164999999995</v>
      </c>
      <c r="AZ8" s="59">
        <f>AZ76*AZ79</f>
        <v>743.58100000000013</v>
      </c>
      <c r="BA8" s="36">
        <f t="shared" si="2"/>
        <v>743.58100000000013</v>
      </c>
      <c r="BB8" s="59">
        <f t="shared" ref="BB8:BE8" si="5">BB76*BB79</f>
        <v>743.58100000000013</v>
      </c>
      <c r="BC8" s="59">
        <f t="shared" si="5"/>
        <v>743.58100000000013</v>
      </c>
      <c r="BD8" s="59">
        <f t="shared" si="5"/>
        <v>743.58100000000013</v>
      </c>
      <c r="BE8" s="59">
        <f t="shared" si="5"/>
        <v>743.58100000000013</v>
      </c>
      <c r="BF8" s="36">
        <f t="shared" si="4"/>
        <v>743.58100000000013</v>
      </c>
    </row>
    <row r="9" spans="1:78">
      <c r="A9" s="5" t="s">
        <v>2768</v>
      </c>
      <c r="AO9" s="36"/>
      <c r="AP9" s="36"/>
      <c r="AQ9" s="36"/>
      <c r="AR9" s="36"/>
      <c r="AS9" s="36"/>
      <c r="AT9" s="36"/>
      <c r="AU9" s="59">
        <f>AU91*AU94</f>
        <v>170.56819999999999</v>
      </c>
      <c r="AV9" s="36">
        <f t="shared" si="0"/>
        <v>170.56819999999999</v>
      </c>
      <c r="AW9" s="59">
        <f>AW91*AW94</f>
        <v>266.72859999999997</v>
      </c>
      <c r="AX9" s="59">
        <f>AX91*AX94</f>
        <v>0</v>
      </c>
      <c r="AY9" s="59">
        <f>AY91*AY94</f>
        <v>0</v>
      </c>
      <c r="AZ9" s="751">
        <f t="shared" ref="AZ9" si="6">MROUND(AY9, 5)</f>
        <v>0</v>
      </c>
      <c r="BA9" s="36">
        <f t="shared" si="2"/>
        <v>0</v>
      </c>
      <c r="BB9" s="751">
        <v>0</v>
      </c>
      <c r="BC9" s="751">
        <v>0</v>
      </c>
      <c r="BD9" s="751">
        <v>0</v>
      </c>
      <c r="BE9" s="751">
        <v>0</v>
      </c>
      <c r="BF9" s="36">
        <f t="shared" si="4"/>
        <v>0</v>
      </c>
    </row>
    <row r="10" spans="1:78">
      <c r="A10" s="5" t="s">
        <v>2459</v>
      </c>
      <c r="AO10" s="59">
        <f>AO106*AO109</f>
        <v>1484.2229649599999</v>
      </c>
      <c r="AP10" s="59">
        <f>AP106*AP109</f>
        <v>1301.18904</v>
      </c>
      <c r="AQ10" s="36">
        <f>AP10</f>
        <v>1301.18904</v>
      </c>
      <c r="AR10" s="59">
        <f>AR106*AR109</f>
        <v>1016.6623699199999</v>
      </c>
      <c r="AS10" s="59">
        <f>AS106*AS109</f>
        <v>705.24445967999998</v>
      </c>
      <c r="AT10" s="59">
        <f>AT106*AT109</f>
        <v>685.58204752000006</v>
      </c>
      <c r="AU10" s="59">
        <f>AU106*AU109</f>
        <v>584.37845551999999</v>
      </c>
      <c r="AV10" s="36">
        <f t="shared" si="0"/>
        <v>584.37845551999999</v>
      </c>
      <c r="AW10" s="59">
        <f>AW106*AW109</f>
        <v>1123.3598712</v>
      </c>
      <c r="AX10" s="59">
        <f>AX106*AX109</f>
        <v>1558.5353167999999</v>
      </c>
      <c r="AY10" s="59">
        <f>AY106*AY109</f>
        <v>1512.2110640000001</v>
      </c>
      <c r="AZ10" s="59">
        <f>AZ106*AZ109</f>
        <v>1391.4883319999999</v>
      </c>
      <c r="BA10" s="36">
        <f t="shared" si="2"/>
        <v>1391.4883319999999</v>
      </c>
      <c r="BB10" s="59">
        <f t="shared" ref="BB10:BE10" si="7">BB106*BB109</f>
        <v>1391.4883319999999</v>
      </c>
      <c r="BC10" s="59">
        <f t="shared" si="7"/>
        <v>1391.4883319999999</v>
      </c>
      <c r="BD10" s="59">
        <f t="shared" si="7"/>
        <v>1391.4883319999999</v>
      </c>
      <c r="BE10" s="59">
        <f t="shared" si="7"/>
        <v>1391.4883319999999</v>
      </c>
      <c r="BF10" s="36">
        <f t="shared" ref="BF10:BF15" si="8">BE10</f>
        <v>1391.4883319999999</v>
      </c>
    </row>
    <row r="11" spans="1:78">
      <c r="A11" s="5" t="s">
        <v>2462</v>
      </c>
      <c r="AO11" s="59">
        <f>AO127*AO130</f>
        <v>244.30416666666667</v>
      </c>
      <c r="AP11" s="59">
        <f>AP127*AP130</f>
        <v>224.74129032258062</v>
      </c>
      <c r="AQ11" s="36">
        <f>AP11</f>
        <v>224.74129032258062</v>
      </c>
      <c r="AR11" s="59">
        <f>AR127*AR130</f>
        <v>209.16516129032257</v>
      </c>
      <c r="AS11" s="59">
        <f>AS127*AS130</f>
        <v>229.35850000000002</v>
      </c>
      <c r="AT11" s="59">
        <f>AT127*AT130</f>
        <v>121.07056701030929</v>
      </c>
      <c r="AU11" s="59">
        <f>AU127*AU130</f>
        <v>246.86592391304345</v>
      </c>
      <c r="AV11" s="36">
        <f t="shared" si="0"/>
        <v>246.86592391304345</v>
      </c>
      <c r="AW11" s="59">
        <f>AW127*AW130</f>
        <v>216.57642654117652</v>
      </c>
      <c r="AX11" s="59">
        <f>AX127*AX130</f>
        <v>199.64727190588235</v>
      </c>
      <c r="AY11" s="59">
        <f>AY127*AY130</f>
        <v>99.823635952941174</v>
      </c>
      <c r="AZ11" s="59">
        <f>AZ127*AZ130</f>
        <v>131.34688941176472</v>
      </c>
      <c r="BA11" s="36">
        <f t="shared" si="2"/>
        <v>131.34688941176472</v>
      </c>
      <c r="BB11" s="59">
        <f>BB127*BB130</f>
        <v>131.34688941176472</v>
      </c>
      <c r="BC11" s="59">
        <f>BC127*BC130</f>
        <v>131.34688941176472</v>
      </c>
      <c r="BD11" s="59">
        <f>BD127*BD130</f>
        <v>131.34688941176472</v>
      </c>
      <c r="BE11" s="59">
        <f>BE127*BE130</f>
        <v>131.34688941176472</v>
      </c>
      <c r="BF11" s="36">
        <f t="shared" si="8"/>
        <v>131.34688941176472</v>
      </c>
    </row>
    <row r="12" spans="1:78">
      <c r="A12" s="5" t="s">
        <v>2475</v>
      </c>
      <c r="AO12" s="59">
        <f>AO142*AO145</f>
        <v>193.29198391999998</v>
      </c>
      <c r="AP12" s="59">
        <f>AP142*AP145</f>
        <v>196.64733143999999</v>
      </c>
      <c r="AQ12" s="36">
        <f>AP12</f>
        <v>196.64733143999999</v>
      </c>
      <c r="AR12" s="59">
        <f>AR142*AR145</f>
        <v>197.72583599999999</v>
      </c>
      <c r="AS12" s="59">
        <f>AS142*AS145</f>
        <v>197.60600215999997</v>
      </c>
      <c r="AT12" s="59">
        <f>AT142*AT145</f>
        <v>392.44705948000001</v>
      </c>
      <c r="AU12" s="59">
        <f>AU142*AU145</f>
        <v>328.52132068000003</v>
      </c>
      <c r="AV12" s="36">
        <f t="shared" si="0"/>
        <v>328.52132068000003</v>
      </c>
      <c r="AW12" s="59">
        <f>AW142*AW145</f>
        <v>261.05055938000004</v>
      </c>
      <c r="AX12" s="59">
        <f>AX142*AX145</f>
        <v>190.77685172</v>
      </c>
      <c r="AY12" s="59">
        <f>AY142*AY145</f>
        <v>65.876805279999999</v>
      </c>
      <c r="AZ12" s="59">
        <f>AZ142*AZ145</f>
        <v>47.894418000000002</v>
      </c>
      <c r="BA12" s="36">
        <f t="shared" si="2"/>
        <v>47.894418000000002</v>
      </c>
      <c r="BB12" s="59">
        <f>BB142*BB145</f>
        <v>47.894418000000002</v>
      </c>
      <c r="BC12" s="59">
        <f>BC142*BC145</f>
        <v>47.894418000000002</v>
      </c>
      <c r="BD12" s="59">
        <f>BD142*BD145</f>
        <v>47.894418000000002</v>
      </c>
      <c r="BE12" s="59">
        <f>BE142*BE145</f>
        <v>47.894418000000002</v>
      </c>
      <c r="BF12" s="36">
        <f t="shared" si="8"/>
        <v>47.894418000000002</v>
      </c>
    </row>
    <row r="13" spans="1:78">
      <c r="A13" s="5" t="s">
        <v>3503</v>
      </c>
      <c r="AO13" s="59"/>
      <c r="AP13" s="59"/>
      <c r="AQ13" s="36"/>
      <c r="AR13" s="59">
        <f>AR157*AR160</f>
        <v>717.60351839999998</v>
      </c>
      <c r="AS13" s="59">
        <f>AS157*AS160</f>
        <v>359.58757120000001</v>
      </c>
      <c r="AT13" s="59">
        <f>AT157*AT160</f>
        <v>426.85307840000002</v>
      </c>
      <c r="AU13" s="59">
        <f>AU157*AU160</f>
        <v>241.08712160000002</v>
      </c>
      <c r="AV13" s="36">
        <f t="shared" si="0"/>
        <v>241.08712160000002</v>
      </c>
      <c r="AW13" s="59">
        <f>AW157*AW160</f>
        <v>285.4069184</v>
      </c>
      <c r="AX13" s="59">
        <f>AX157*AX160</f>
        <v>610.10443680000003</v>
      </c>
      <c r="AY13" s="59">
        <f>AY157*AY160</f>
        <v>409.5652144</v>
      </c>
      <c r="AZ13" s="59">
        <f>AZ157*AZ160</f>
        <v>353.61540000000002</v>
      </c>
      <c r="BA13" s="36">
        <f t="shared" si="2"/>
        <v>353.61540000000002</v>
      </c>
      <c r="BB13" s="59">
        <f>BB157*BB160</f>
        <v>353.61540000000002</v>
      </c>
      <c r="BC13" s="59">
        <f>BC157*BC160</f>
        <v>353.61540000000002</v>
      </c>
      <c r="BD13" s="59">
        <f>BD157*BD160</f>
        <v>353.61540000000002</v>
      </c>
      <c r="BE13" s="59">
        <f>BE157*BE160</f>
        <v>353.61540000000002</v>
      </c>
      <c r="BF13" s="36">
        <f t="shared" si="8"/>
        <v>353.61540000000002</v>
      </c>
    </row>
    <row r="14" spans="1:78">
      <c r="A14" s="5" t="s">
        <v>2833</v>
      </c>
      <c r="AO14" s="59"/>
      <c r="AP14" s="59"/>
      <c r="AQ14" s="59"/>
      <c r="AR14" s="59">
        <f>AR172*AR175</f>
        <v>189.18921</v>
      </c>
      <c r="AS14" s="59">
        <f>AS172*AS175</f>
        <v>305.94597960000004</v>
      </c>
      <c r="AT14" s="59">
        <f>AT172*AT175</f>
        <v>182.48650655999998</v>
      </c>
      <c r="AU14" s="59">
        <f>AU172*AU175</f>
        <v>260.75678544000004</v>
      </c>
      <c r="AV14" s="36">
        <f t="shared" si="0"/>
        <v>260.75678544000004</v>
      </c>
      <c r="AW14" s="59">
        <f>AW172*AW175</f>
        <v>343.45949724000002</v>
      </c>
      <c r="AX14" s="59">
        <f>AX172*AX175</f>
        <v>436.27031825999995</v>
      </c>
      <c r="AY14" s="59">
        <f>AY172*AY175</f>
        <v>319.18922429999998</v>
      </c>
      <c r="AZ14" s="59">
        <f>AZ172*AZ175</f>
        <v>287.83786950000001</v>
      </c>
      <c r="BA14" s="36">
        <f t="shared" si="2"/>
        <v>287.83786950000001</v>
      </c>
      <c r="BB14" s="59">
        <f>BB172*BB175</f>
        <v>287.83786950000001</v>
      </c>
      <c r="BC14" s="59">
        <f>BC172*BC175</f>
        <v>287.83786950000001</v>
      </c>
      <c r="BD14" s="59">
        <f>BD172*BD175</f>
        <v>287.83786950000001</v>
      </c>
      <c r="BE14" s="59">
        <f>BE172*BE175</f>
        <v>287.83786950000001</v>
      </c>
      <c r="BF14" s="36">
        <f t="shared" si="8"/>
        <v>287.83786950000001</v>
      </c>
    </row>
    <row r="15" spans="1:78">
      <c r="A15" s="5" t="s">
        <v>2888</v>
      </c>
      <c r="AO15" s="59"/>
      <c r="AP15" s="59"/>
      <c r="AQ15" s="59"/>
      <c r="AR15" s="59"/>
      <c r="AS15" s="59"/>
      <c r="AT15" s="59"/>
      <c r="AU15" s="59">
        <f>AU187*AU190</f>
        <v>24.008349899999999</v>
      </c>
      <c r="AV15" s="36">
        <f t="shared" si="0"/>
        <v>24.008349899999999</v>
      </c>
      <c r="AW15" s="59">
        <f>AW187*AW190</f>
        <v>49.895614140000006</v>
      </c>
      <c r="AX15" s="59">
        <f>AX187*AX190</f>
        <v>0</v>
      </c>
      <c r="AY15" s="59">
        <f>AY187*AY190</f>
        <v>0</v>
      </c>
      <c r="AZ15" s="751">
        <f t="shared" ref="AZ15" si="9">MROUND(AY15, 5)</f>
        <v>0</v>
      </c>
      <c r="BA15" s="36">
        <f t="shared" si="2"/>
        <v>0</v>
      </c>
      <c r="BB15" s="751">
        <v>0</v>
      </c>
      <c r="BC15" s="751">
        <v>0</v>
      </c>
      <c r="BD15" s="751">
        <v>0</v>
      </c>
      <c r="BE15" s="751">
        <v>0</v>
      </c>
      <c r="BF15" s="36">
        <f t="shared" si="8"/>
        <v>0</v>
      </c>
    </row>
    <row r="16" spans="1:78">
      <c r="A16" s="288" t="s">
        <v>2480</v>
      </c>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81">
        <f t="shared" ref="AO16:BF16" si="10">SUM(AO6:AO15)</f>
        <v>2442.3892019466666</v>
      </c>
      <c r="AP16" s="81">
        <f t="shared" si="10"/>
        <v>2672.4708969625804</v>
      </c>
      <c r="AQ16" s="81">
        <f t="shared" si="10"/>
        <v>2672.4708969625804</v>
      </c>
      <c r="AR16" s="81">
        <f t="shared" si="10"/>
        <v>3629.0381084103224</v>
      </c>
      <c r="AS16" s="81">
        <f t="shared" si="10"/>
        <v>3074.3586534400001</v>
      </c>
      <c r="AT16" s="81">
        <f t="shared" si="10"/>
        <v>3220.1387117703098</v>
      </c>
      <c r="AU16" s="81">
        <f t="shared" si="10"/>
        <v>5494.1642963330432</v>
      </c>
      <c r="AV16" s="81">
        <f t="shared" si="10"/>
        <v>5494.1642963330432</v>
      </c>
      <c r="AW16" s="81">
        <f t="shared" si="10"/>
        <v>7818.9507193411773</v>
      </c>
      <c r="AX16" s="81">
        <f t="shared" si="10"/>
        <v>12458.285039065882</v>
      </c>
      <c r="AY16" s="81">
        <f t="shared" si="10"/>
        <v>6218.5832557329404</v>
      </c>
      <c r="AZ16" s="81">
        <f t="shared" si="10"/>
        <v>6920.981312111765</v>
      </c>
      <c r="BA16" s="81">
        <f t="shared" si="10"/>
        <v>6920.981312111765</v>
      </c>
      <c r="BB16" s="81">
        <f t="shared" si="10"/>
        <v>6920.981312111765</v>
      </c>
      <c r="BC16" s="81">
        <f t="shared" si="10"/>
        <v>6920.981312111765</v>
      </c>
      <c r="BD16" s="81">
        <f t="shared" si="10"/>
        <v>6920.981312111765</v>
      </c>
      <c r="BE16" s="81">
        <f t="shared" si="10"/>
        <v>6920.981312111765</v>
      </c>
      <c r="BF16" s="81">
        <f t="shared" si="10"/>
        <v>6920.981312111765</v>
      </c>
      <c r="BG16" s="9"/>
      <c r="BH16" s="9"/>
      <c r="BI16" s="9"/>
      <c r="BJ16" s="9"/>
      <c r="BK16" s="9"/>
      <c r="BL16" s="9"/>
      <c r="BM16" s="9"/>
      <c r="BN16" s="9"/>
      <c r="BO16" s="9"/>
      <c r="BP16" s="9"/>
      <c r="BQ16" s="9"/>
      <c r="BR16" s="9"/>
      <c r="BS16" s="9"/>
      <c r="BT16" s="9"/>
      <c r="BU16" s="9"/>
      <c r="BV16" s="9"/>
      <c r="BW16" s="9"/>
      <c r="BX16" s="9"/>
      <c r="BY16" s="9"/>
      <c r="BZ16" s="9"/>
    </row>
    <row r="17" spans="1:78">
      <c r="A17" s="5" t="s">
        <v>3430</v>
      </c>
      <c r="AO17" s="59"/>
      <c r="AP17" s="59"/>
      <c r="AQ17" s="59"/>
      <c r="AR17" s="59"/>
      <c r="AS17" s="59"/>
      <c r="AT17" s="59"/>
      <c r="AU17" s="59"/>
      <c r="AV17" s="59"/>
      <c r="AW17" s="36">
        <f>AV17+'TopCo Net debt waterfall'!AW28</f>
        <v>500</v>
      </c>
      <c r="AX17" s="36">
        <f>AW17+'TopCo Net debt waterfall'!AX28</f>
        <v>1000</v>
      </c>
      <c r="AY17" s="36">
        <f>AX17+'TopCo Net debt waterfall'!AY28</f>
        <v>1750</v>
      </c>
      <c r="AZ17" s="36">
        <f>AY17+'TopCo Net debt waterfall'!AZ28</f>
        <v>2750</v>
      </c>
      <c r="BA17" s="36">
        <f>AZ17</f>
        <v>2750</v>
      </c>
      <c r="BB17" s="36">
        <f>BA17+'TopCo Net debt waterfall'!BB28</f>
        <v>3250</v>
      </c>
      <c r="BC17" s="36">
        <f>BB17+'TopCo Net debt waterfall'!BC28</f>
        <v>3750</v>
      </c>
      <c r="BD17" s="36">
        <f>BC17+'TopCo Net debt waterfall'!BD28</f>
        <v>4250</v>
      </c>
      <c r="BE17" s="36">
        <f>BD17+'TopCo Net debt waterfall'!BE28</f>
        <v>4750</v>
      </c>
      <c r="BF17" s="36">
        <f t="shared" ref="BF17:BF22" si="11">BE17</f>
        <v>4750</v>
      </c>
    </row>
    <row r="18" spans="1:78" s="623" customFormat="1">
      <c r="A18" s="1120" t="s">
        <v>3347</v>
      </c>
      <c r="AO18" s="1121"/>
      <c r="AP18" s="1121"/>
      <c r="AQ18" s="1121"/>
      <c r="AR18" s="1121"/>
      <c r="AS18" s="1121"/>
      <c r="AT18" s="1121"/>
      <c r="AU18" s="1121"/>
      <c r="AV18" s="1121"/>
      <c r="AW18" s="1121"/>
      <c r="AX18" s="1121"/>
      <c r="AY18" s="1121"/>
      <c r="AZ18" s="1121"/>
      <c r="BA18" s="1121"/>
      <c r="BB18" s="1121"/>
      <c r="BC18" s="1121"/>
      <c r="BD18" s="651">
        <f>'TopCo Net debt waterfall'!$BD$27</f>
        <v>2925</v>
      </c>
      <c r="BE18" s="651">
        <f>BD18</f>
        <v>2925</v>
      </c>
      <c r="BF18" s="36">
        <f t="shared" si="11"/>
        <v>2925</v>
      </c>
    </row>
    <row r="19" spans="1:78" s="219" customFormat="1">
      <c r="A19" s="704" t="s">
        <v>2800</v>
      </c>
      <c r="AO19" s="649"/>
      <c r="AP19" s="649"/>
      <c r="AQ19" s="649"/>
      <c r="AR19" s="649"/>
      <c r="AS19" s="649"/>
      <c r="AT19" s="649"/>
      <c r="AU19" s="649"/>
      <c r="AV19" s="649"/>
      <c r="AW19" s="1118">
        <f>AV19+'TopCo Net debt waterfall'!AW29</f>
        <v>0</v>
      </c>
      <c r="AX19" s="1118">
        <f>AW19+'TopCo Net debt waterfall'!AX29</f>
        <v>0</v>
      </c>
      <c r="AY19" s="1118">
        <f>AX19+'TopCo Net debt waterfall'!AY29</f>
        <v>6500</v>
      </c>
      <c r="AZ19" s="1118">
        <f>AY19+'TopCo Net debt waterfall'!AZ29</f>
        <v>6500</v>
      </c>
      <c r="BA19" s="649">
        <f>AZ19</f>
        <v>6500</v>
      </c>
      <c r="BB19" s="1123">
        <f>BA19</f>
        <v>6500</v>
      </c>
      <c r="BC19" s="1123">
        <f>BB19</f>
        <v>6500</v>
      </c>
      <c r="BD19" s="1123">
        <f>BC19</f>
        <v>6500</v>
      </c>
      <c r="BE19" s="1123">
        <f>BD19</f>
        <v>6500</v>
      </c>
      <c r="BF19" s="61">
        <f t="shared" si="11"/>
        <v>6500</v>
      </c>
    </row>
    <row r="20" spans="1:78" s="219" customFormat="1">
      <c r="A20" s="704" t="s">
        <v>3026</v>
      </c>
      <c r="AO20" s="649"/>
      <c r="AP20" s="649"/>
      <c r="AQ20" s="649"/>
      <c r="AR20" s="1118">
        <v>650</v>
      </c>
      <c r="AS20" s="1118">
        <v>650</v>
      </c>
      <c r="AT20" s="1118">
        <v>650</v>
      </c>
      <c r="AU20" s="1118">
        <v>650</v>
      </c>
      <c r="AV20" s="649">
        <f>AU20</f>
        <v>650</v>
      </c>
      <c r="AW20" s="1118">
        <v>650</v>
      </c>
      <c r="AX20" s="1118">
        <v>650</v>
      </c>
      <c r="AY20" s="1118">
        <v>650</v>
      </c>
      <c r="AZ20" s="1118">
        <v>650</v>
      </c>
      <c r="BA20" s="649">
        <f>AZ20</f>
        <v>650</v>
      </c>
      <c r="BB20" s="1123">
        <v>650</v>
      </c>
      <c r="BC20" s="1123">
        <v>650</v>
      </c>
      <c r="BD20" s="1123">
        <v>650</v>
      </c>
      <c r="BE20" s="1123">
        <v>650</v>
      </c>
      <c r="BF20" s="61">
        <f t="shared" si="11"/>
        <v>650</v>
      </c>
    </row>
    <row r="21" spans="1:78" s="57" customFormat="1">
      <c r="A21" s="102" t="s">
        <v>3165</v>
      </c>
      <c r="AO21" s="92"/>
      <c r="AP21" s="92"/>
      <c r="AQ21" s="92"/>
      <c r="AR21" s="92"/>
      <c r="AS21" s="92"/>
      <c r="AT21" s="92"/>
      <c r="AU21" s="92"/>
      <c r="AV21" s="92"/>
      <c r="AW21" s="92"/>
      <c r="AX21" s="92"/>
      <c r="AY21" s="92"/>
      <c r="AZ21" s="92"/>
      <c r="BA21" s="92"/>
      <c r="BB21" s="92"/>
      <c r="BC21" s="146">
        <f>'TopCo Net debt waterfall'!$BC$27</f>
        <v>5375</v>
      </c>
      <c r="BD21" s="146">
        <f>BC21</f>
        <v>5375</v>
      </c>
      <c r="BE21" s="146">
        <f>BD21</f>
        <v>5375</v>
      </c>
      <c r="BF21" s="59">
        <f t="shared" si="11"/>
        <v>5375</v>
      </c>
    </row>
    <row r="22" spans="1:78" s="618" customFormat="1">
      <c r="A22" s="619" t="s">
        <v>2468</v>
      </c>
      <c r="AO22" s="624">
        <f t="shared" ref="AO22:AV22" si="12">AO23-AO16</f>
        <v>10037.340051384785</v>
      </c>
      <c r="AP22" s="624">
        <f t="shared" si="12"/>
        <v>9810.1920711372804</v>
      </c>
      <c r="AQ22" s="624">
        <f t="shared" si="12"/>
        <v>9810.1920711372804</v>
      </c>
      <c r="AR22" s="1083">
        <f t="shared" ref="AR22:AU22" si="13">AR23-SUM(AR16:AR20)</f>
        <v>8137.9234610936201</v>
      </c>
      <c r="AS22" s="1083">
        <f t="shared" si="13"/>
        <v>10708.48657881671</v>
      </c>
      <c r="AT22" s="1083">
        <f t="shared" si="13"/>
        <v>9216.2186026815798</v>
      </c>
      <c r="AU22" s="1083">
        <f t="shared" si="13"/>
        <v>7633.2567844588229</v>
      </c>
      <c r="AV22" s="624">
        <f t="shared" si="12"/>
        <v>8283.2567844588229</v>
      </c>
      <c r="AW22" s="1083">
        <f>AW23-SUM(AW16:AW20)</f>
        <v>8502.2183988136458</v>
      </c>
      <c r="AX22" s="1083">
        <f>AX23-SUM(AX16:AX19)</f>
        <v>9311.7310812995129</v>
      </c>
      <c r="AY22" s="1083">
        <f>AY23-SUM(AY16:AY19)</f>
        <v>14018.89758228443</v>
      </c>
      <c r="AZ22" s="716">
        <f t="shared" ref="AZ22:BE22" si="14">AY22</f>
        <v>14018.89758228443</v>
      </c>
      <c r="BA22" s="624">
        <f>AZ22</f>
        <v>14018.89758228443</v>
      </c>
      <c r="BB22" s="716">
        <f t="shared" si="14"/>
        <v>14018.89758228443</v>
      </c>
      <c r="BC22" s="716">
        <f t="shared" si="14"/>
        <v>14018.89758228443</v>
      </c>
      <c r="BD22" s="716">
        <f t="shared" si="14"/>
        <v>14018.89758228443</v>
      </c>
      <c r="BE22" s="716">
        <f t="shared" si="14"/>
        <v>14018.89758228443</v>
      </c>
      <c r="BF22" s="624">
        <f t="shared" si="11"/>
        <v>14018.89758228443</v>
      </c>
    </row>
    <row r="23" spans="1:78">
      <c r="A23" s="9" t="s">
        <v>2469</v>
      </c>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81">
        <f t="shared" ref="AO23:AU23" si="15">AO25*1000</f>
        <v>12479.729253331452</v>
      </c>
      <c r="AP23" s="81">
        <f t="shared" si="15"/>
        <v>12482.662968099861</v>
      </c>
      <c r="AQ23" s="81">
        <f t="shared" si="15"/>
        <v>12482.662968099861</v>
      </c>
      <c r="AR23" s="81">
        <f t="shared" si="15"/>
        <v>12416.961569503943</v>
      </c>
      <c r="AS23" s="81">
        <f t="shared" si="15"/>
        <v>14432.84523225671</v>
      </c>
      <c r="AT23" s="81">
        <f t="shared" si="15"/>
        <v>13086.35731445189</v>
      </c>
      <c r="AU23" s="81">
        <f t="shared" si="15"/>
        <v>13777.421080791866</v>
      </c>
      <c r="AV23" s="81">
        <f t="shared" ref="AV23:AY23" si="16">AV25*1000</f>
        <v>13777.421080791866</v>
      </c>
      <c r="AW23" s="81">
        <f t="shared" si="16"/>
        <v>17471.169118154823</v>
      </c>
      <c r="AX23" s="81">
        <f t="shared" si="16"/>
        <v>22770.016120365395</v>
      </c>
      <c r="AY23" s="81">
        <f t="shared" si="16"/>
        <v>28487.480838017371</v>
      </c>
      <c r="AZ23" s="81">
        <f>SUM(AZ16:AZ22)</f>
        <v>30839.878894396195</v>
      </c>
      <c r="BA23" s="81">
        <f>SUM(BA16:BA22)</f>
        <v>30839.878894396195</v>
      </c>
      <c r="BB23" s="81">
        <f t="shared" ref="BB23:BF23" si="17">SUM(BB16:BB22)</f>
        <v>31339.878894396195</v>
      </c>
      <c r="BC23" s="81">
        <f t="shared" si="17"/>
        <v>37214.878894396199</v>
      </c>
      <c r="BD23" s="81">
        <f t="shared" si="17"/>
        <v>40639.878894396199</v>
      </c>
      <c r="BE23" s="81">
        <f t="shared" si="17"/>
        <v>41139.878894396199</v>
      </c>
      <c r="BF23" s="81">
        <f t="shared" si="17"/>
        <v>41139.878894396199</v>
      </c>
      <c r="BG23" s="9"/>
      <c r="BH23" s="9"/>
      <c r="BI23" s="9"/>
      <c r="BJ23" s="9"/>
      <c r="BK23" s="9"/>
      <c r="BL23" s="9"/>
      <c r="BM23" s="9"/>
      <c r="BN23" s="9"/>
      <c r="BO23" s="9"/>
      <c r="BP23" s="9"/>
      <c r="BQ23" s="9"/>
      <c r="BR23" s="9"/>
      <c r="BS23" s="9"/>
      <c r="BT23" s="9"/>
      <c r="BU23" s="9"/>
      <c r="BV23" s="9"/>
      <c r="BW23" s="9"/>
      <c r="BX23" s="9"/>
      <c r="BY23" s="9"/>
      <c r="BZ23" s="9"/>
    </row>
    <row r="24" spans="1:78">
      <c r="AW24" s="1081" t="s">
        <v>3389</v>
      </c>
      <c r="AX24" s="710"/>
      <c r="AY24" s="710"/>
      <c r="AZ24" s="710"/>
      <c r="BA24" s="710"/>
      <c r="BB24" s="710"/>
    </row>
    <row r="25" spans="1:78">
      <c r="A25" s="1" t="s">
        <v>2474</v>
      </c>
      <c r="AO25" s="24">
        <f>'Valuation &amp; SBG NAV'!BD65</f>
        <v>12.479729253331453</v>
      </c>
      <c r="AP25" s="24">
        <f>'Valuation &amp; SBG NAV'!BE65</f>
        <v>12.482662968099861</v>
      </c>
      <c r="AQ25" s="24">
        <f>'Valuation &amp; SBG NAV'!BF65</f>
        <v>12.482662968099861</v>
      </c>
      <c r="AR25" s="24">
        <f>'Valuation &amp; SBG NAV'!BG65</f>
        <v>12.416961569503943</v>
      </c>
      <c r="AS25" s="24">
        <f>'Valuation &amp; SBG NAV'!BH65</f>
        <v>14.43284523225671</v>
      </c>
      <c r="AT25" s="24">
        <f>'Valuation &amp; SBG NAV'!BI65</f>
        <v>13.08635731445189</v>
      </c>
      <c r="AU25" s="24">
        <f>'Valuation &amp; SBG NAV'!BJ65</f>
        <v>13.777421080791866</v>
      </c>
      <c r="AV25" s="24">
        <f>'Valuation &amp; SBG NAV'!BK65</f>
        <v>13.777421080791866</v>
      </c>
      <c r="AW25" s="24">
        <f>'Valuation &amp; SBG NAV'!BL65</f>
        <v>17.471169118154823</v>
      </c>
      <c r="AX25" s="24">
        <f>'Valuation &amp; SBG NAV'!BM65</f>
        <v>22.770016120365394</v>
      </c>
      <c r="AY25" s="24">
        <f>'Valuation &amp; SBG NAV'!BN65</f>
        <v>28.487480838017373</v>
      </c>
      <c r="AZ25" s="24">
        <f>AZ23/1000</f>
        <v>30.839878894396197</v>
      </c>
      <c r="BA25" s="24">
        <f>'Valuation &amp; SBG NAV'!BP65</f>
        <v>30.839878894396197</v>
      </c>
      <c r="BB25" s="24">
        <f>BB23/1000</f>
        <v>31.339878894396197</v>
      </c>
      <c r="BC25" s="24">
        <f t="shared" ref="BC25:BE25" si="18">BC23/1000</f>
        <v>37.2148788943962</v>
      </c>
      <c r="BD25" s="24">
        <f t="shared" si="18"/>
        <v>40.639878894396197</v>
      </c>
      <c r="BE25" s="24">
        <f t="shared" si="18"/>
        <v>41.139878894396197</v>
      </c>
      <c r="BF25" s="24">
        <f>'Valuation &amp; SBG NAV'!BU65</f>
        <v>41.139878894396197</v>
      </c>
    </row>
    <row r="26" spans="1:78">
      <c r="A26" s="1" t="s">
        <v>2636</v>
      </c>
      <c r="AR26" s="24">
        <f>AR25-AQ25</f>
        <v>-6.5701398595917837E-2</v>
      </c>
      <c r="AS26" s="24">
        <f>AS25-AR25</f>
        <v>2.015883662752767</v>
      </c>
      <c r="AT26" s="24">
        <f>AT25-AS25</f>
        <v>-1.3464879178048204</v>
      </c>
      <c r="AU26" s="24">
        <f>AU25-AT25</f>
        <v>0.69106376633997613</v>
      </c>
      <c r="AW26" s="24">
        <f>AW25-AV25</f>
        <v>3.6937480373629565</v>
      </c>
      <c r="AX26" s="24">
        <f>AX25-AW25</f>
        <v>5.2988470022105716</v>
      </c>
      <c r="AY26" s="24">
        <f>AY25-AX25</f>
        <v>5.7174647176519784</v>
      </c>
      <c r="AZ26" s="24">
        <f>AZ25-AY25</f>
        <v>2.3523980563788243</v>
      </c>
      <c r="BB26" s="24">
        <f>BB25-BA25</f>
        <v>0.5</v>
      </c>
      <c r="BC26" s="24">
        <f t="shared" ref="BC26:BE26" si="19">BC25-BB25</f>
        <v>5.8750000000000036</v>
      </c>
      <c r="BD26" s="24">
        <f t="shared" si="19"/>
        <v>3.4249999999999972</v>
      </c>
      <c r="BE26" s="24">
        <f t="shared" si="19"/>
        <v>0.5</v>
      </c>
    </row>
    <row r="28" spans="1:78" s="79" customFormat="1">
      <c r="A28" s="969" t="s">
        <v>3221</v>
      </c>
      <c r="AT28" s="712">
        <f>'SVF2'!AT140</f>
        <v>500</v>
      </c>
      <c r="AU28" s="712">
        <f>'SVF2'!AU140</f>
        <v>3292.993630573249</v>
      </c>
      <c r="AV28" s="59">
        <f>AU28</f>
        <v>3292.993630573249</v>
      </c>
      <c r="AW28" s="712">
        <f>'SVF2'!AW140</f>
        <v>3292.993630573249</v>
      </c>
      <c r="AX28" s="210">
        <f>'SVF2'!AX140</f>
        <v>7562.5</v>
      </c>
      <c r="AY28" s="712">
        <f>'SVF2'!AY140</f>
        <v>8110.6337869665804</v>
      </c>
      <c r="AZ28" s="712">
        <f>'SVF2'!AZ140</f>
        <v>8110.6337869665804</v>
      </c>
      <c r="BA28" s="59">
        <f>AZ28</f>
        <v>8110.6337869665804</v>
      </c>
    </row>
    <row r="29" spans="1:78" s="79" customFormat="1">
      <c r="A29" s="969" t="s">
        <v>3222</v>
      </c>
      <c r="AT29" s="59"/>
      <c r="AU29" s="59"/>
      <c r="AV29" s="59"/>
      <c r="AW29" s="59">
        <f>'SVF2'!AW141</f>
        <v>7500</v>
      </c>
      <c r="AX29" s="210">
        <f>'SVF2'!AX141</f>
        <v>10937.5</v>
      </c>
      <c r="AY29" s="59">
        <f>'SVF2'!AY141</f>
        <v>46289.36621303342</v>
      </c>
      <c r="AZ29" s="59">
        <f>'SVF2'!AZ141</f>
        <v>46289.36621303342</v>
      </c>
      <c r="BA29" s="59">
        <f>AZ29</f>
        <v>46289.36621303342</v>
      </c>
    </row>
    <row r="30" spans="1:78" s="79" customFormat="1">
      <c r="A30" s="969" t="s">
        <v>3223</v>
      </c>
      <c r="AT30" s="59"/>
      <c r="AU30" s="59"/>
      <c r="AV30" s="59"/>
      <c r="AW30" s="59"/>
      <c r="AX30" s="210">
        <v>8000</v>
      </c>
      <c r="AY30" s="59">
        <f>'SVF2'!AY142</f>
        <v>0</v>
      </c>
      <c r="AZ30" s="59">
        <f>'SVF2'!AZ142</f>
        <v>0</v>
      </c>
      <c r="BA30" s="59">
        <f>AZ30</f>
        <v>0</v>
      </c>
    </row>
    <row r="31" spans="1:78" s="79" customFormat="1">
      <c r="A31" s="314" t="s">
        <v>3117</v>
      </c>
      <c r="B31" s="314"/>
      <c r="C31" s="314"/>
      <c r="D31" s="314"/>
      <c r="E31" s="314"/>
      <c r="F31" s="314"/>
      <c r="G31" s="314"/>
      <c r="H31" s="314"/>
      <c r="I31" s="314"/>
      <c r="J31" s="314"/>
      <c r="K31" s="314"/>
      <c r="L31" s="314"/>
      <c r="M31" s="314"/>
      <c r="N31" s="314"/>
      <c r="O31" s="314"/>
      <c r="P31" s="314"/>
      <c r="Q31" s="314"/>
      <c r="R31" s="314"/>
      <c r="S31" s="314"/>
      <c r="T31" s="314"/>
      <c r="U31" s="314"/>
      <c r="V31" s="314"/>
      <c r="W31" s="314"/>
      <c r="X31" s="314"/>
      <c r="Y31" s="314"/>
      <c r="Z31" s="314"/>
      <c r="AA31" s="314"/>
      <c r="AB31" s="314"/>
      <c r="AC31" s="314"/>
      <c r="AD31" s="314"/>
      <c r="AE31" s="314"/>
      <c r="AF31" s="314"/>
      <c r="AG31" s="314"/>
      <c r="AH31" s="314"/>
      <c r="AI31" s="314"/>
      <c r="AJ31" s="314"/>
      <c r="AK31" s="314"/>
      <c r="AL31" s="314"/>
      <c r="AM31" s="314"/>
      <c r="AN31" s="314"/>
      <c r="AO31" s="314"/>
      <c r="AP31" s="314"/>
      <c r="AQ31" s="314"/>
      <c r="AR31" s="314"/>
      <c r="AS31" s="314"/>
      <c r="AT31" s="81">
        <f>SUM(AT28:AT30)</f>
        <v>500</v>
      </c>
      <c r="AU31" s="81">
        <f>SUM(AU28:AU30)</f>
        <v>3292.993630573249</v>
      </c>
      <c r="AV31" s="81">
        <f>SUM(AV28:AV30)</f>
        <v>3292.993630573249</v>
      </c>
      <c r="AW31" s="81">
        <f t="shared" ref="AW31:BA31" si="20">SUM(AW28:AW30)</f>
        <v>10792.993630573248</v>
      </c>
      <c r="AX31" s="81">
        <f t="shared" si="20"/>
        <v>26500</v>
      </c>
      <c r="AY31" s="81">
        <f t="shared" si="20"/>
        <v>54400</v>
      </c>
      <c r="AZ31" s="81">
        <f t="shared" si="20"/>
        <v>54400</v>
      </c>
      <c r="BA31" s="81">
        <f t="shared" si="20"/>
        <v>54400</v>
      </c>
      <c r="BB31" s="1149">
        <f>'SVF2'!BB143</f>
        <v>85475</v>
      </c>
      <c r="BC31" s="1149">
        <f>'SVF2'!BC143</f>
        <v>97450</v>
      </c>
      <c r="BD31" s="1149">
        <f>'SVF2'!BD143</f>
        <v>109425</v>
      </c>
      <c r="BE31" s="1149">
        <f>'SVF2'!BE143</f>
        <v>109425</v>
      </c>
      <c r="BF31" s="81">
        <f>BE31</f>
        <v>109425</v>
      </c>
    </row>
    <row r="32" spans="1:78" s="79" customFormat="1">
      <c r="A32" s="79" t="s">
        <v>2835</v>
      </c>
      <c r="AT32" s="119">
        <f>(AT31/1000)/'Valuation &amp; SBG NAV'!BI161</f>
        <v>2.092969387947635E-3</v>
      </c>
      <c r="AU32" s="119">
        <f>(AU31/1000)/'Valuation &amp; SBG NAV'!BJ161</f>
        <v>1.4106634942941738E-2</v>
      </c>
      <c r="AV32" s="119">
        <f>(AV31/1000)/'Valuation &amp; SBG NAV'!BK161</f>
        <v>1.4106634942941738E-2</v>
      </c>
      <c r="AW32" s="119">
        <f>(AW31/1000)/'Valuation &amp; SBG NAV'!BL161</f>
        <v>3.6853557873181154E-2</v>
      </c>
      <c r="AX32" s="119">
        <f>(AX31/1000)/'Valuation &amp; SBG NAV'!BM161</f>
        <v>9.2699565035817666E-2</v>
      </c>
      <c r="AY32" s="119">
        <f>(AY31/1000)/'Valuation &amp; SBG NAV'!BN161</f>
        <v>0.19307533338557961</v>
      </c>
      <c r="AZ32" s="119">
        <f>(AZ31/1000)/'Valuation &amp; SBG NAV'!BO161</f>
        <v>0.18349847839055902</v>
      </c>
      <c r="BA32" s="119">
        <f>(BA31/1000)/'Valuation &amp; SBG NAV'!BP161</f>
        <v>0.18349847839055902</v>
      </c>
      <c r="BB32" s="119">
        <f>(BB31/1000)/'Valuation &amp; SBG NAV'!BQ161</f>
        <v>0.26519500969557247</v>
      </c>
      <c r="BC32" s="119">
        <f>(BC31/1000)/'Valuation &amp; SBG NAV'!BR161</f>
        <v>0.28852884587159927</v>
      </c>
      <c r="BD32" s="119">
        <f>(BD31/1000)/'Valuation &amp; SBG NAV'!BS161</f>
        <v>0.31206323568441713</v>
      </c>
      <c r="BE32" s="119">
        <f>(BE31/1000)/'Valuation &amp; SBG NAV'!BT161</f>
        <v>0.31394107916312441</v>
      </c>
      <c r="BF32" s="119">
        <f>(BF31/1000)/'Valuation &amp; SBG NAV'!BU161</f>
        <v>0.31394107916312441</v>
      </c>
    </row>
    <row r="33" spans="1:78" s="79" customFormat="1">
      <c r="A33" s="79" t="s">
        <v>2836</v>
      </c>
      <c r="AT33" s="119">
        <f>(AT31/1000)/'Valuation &amp; SBG NAV'!BI73</f>
        <v>2.6956373551465579E-3</v>
      </c>
      <c r="AU33" s="119">
        <f>(AU31/1000)/'Valuation &amp; SBG NAV'!BJ73</f>
        <v>1.9158303799350671E-2</v>
      </c>
      <c r="AV33" s="119">
        <f>(AV31/1000)/'Valuation &amp; SBG NAV'!BK73</f>
        <v>1.9158303799350671E-2</v>
      </c>
      <c r="AW33" s="119">
        <f>(AW31/1000)/'Valuation &amp; SBG NAV'!BL73</f>
        <v>4.8238685421089882E-2</v>
      </c>
      <c r="AX33" s="119">
        <f>(AX31/1000)/'Valuation &amp; SBG NAV'!BM73</f>
        <v>0.1184780780780781</v>
      </c>
      <c r="AY33" s="119">
        <f>(AY31/1000)/'Valuation &amp; SBG NAV'!BN73</f>
        <v>0.27527032967032966</v>
      </c>
      <c r="AZ33" s="119">
        <f>(AZ31/1000)/'Valuation &amp; SBG NAV'!BO73</f>
        <v>0.25601386396209547</v>
      </c>
      <c r="BA33" s="119">
        <f>(BA31/1000)/'Valuation &amp; SBG NAV'!BP73</f>
        <v>0.25601386396209547</v>
      </c>
      <c r="BB33" s="119">
        <f>(BB31/1000)/'Valuation &amp; SBG NAV'!BQ73</f>
        <v>0.36831033066271218</v>
      </c>
      <c r="BC33" s="119">
        <f>(BC31/1000)/'Valuation &amp; SBG NAV'!BR73</f>
        <v>0.41915574424318669</v>
      </c>
      <c r="BD33" s="119">
        <f>(BD31/1000)/'Valuation &amp; SBG NAV'!BS73</f>
        <v>0.47384852578676778</v>
      </c>
      <c r="BE33" s="119">
        <f>(BE31/1000)/'Valuation &amp; SBG NAV'!BT73</f>
        <v>0.47948089647318431</v>
      </c>
      <c r="BF33" s="119">
        <f>(BF31/1000)/'Valuation &amp; SBG NAV'!BU73</f>
        <v>0.47948089647318431</v>
      </c>
    </row>
    <row r="35" spans="1:78">
      <c r="A35" s="3" t="s">
        <v>2905</v>
      </c>
    </row>
    <row r="36" spans="1:78">
      <c r="AP36" s="798" t="s">
        <v>2909</v>
      </c>
      <c r="AQ36" s="798" t="s">
        <v>2910</v>
      </c>
      <c r="AR36" s="729" t="s">
        <v>2907</v>
      </c>
      <c r="AS36" s="729" t="s">
        <v>2908</v>
      </c>
      <c r="AT36" s="732" t="s">
        <v>696</v>
      </c>
      <c r="AU36" s="732" t="s">
        <v>697</v>
      </c>
      <c r="AW36" s="732" t="s">
        <v>1172</v>
      </c>
      <c r="AX36" s="732" t="s">
        <v>1173</v>
      </c>
      <c r="AY36" s="732" t="s">
        <v>1174</v>
      </c>
      <c r="AZ36" s="732" t="s">
        <v>2906</v>
      </c>
    </row>
    <row r="37" spans="1:78">
      <c r="A37" s="5" t="s">
        <v>2460</v>
      </c>
      <c r="AO37" s="59"/>
      <c r="AP37" s="799">
        <f>(AX46-AT46)*(AU49-AT49)/1000</f>
        <v>1.0465444004400004</v>
      </c>
      <c r="AQ37" s="799">
        <f>(AX46-AU46)*(AU49-AT49)/1000</f>
        <v>1.5651132552000002</v>
      </c>
      <c r="AR37" s="796">
        <f>AU46*(AU49-AT49)/1000</f>
        <v>2.1691428976799996</v>
      </c>
      <c r="AS37" s="796">
        <f>AT46*(AU49-AT49)/1000</f>
        <v>2.6877117524399994</v>
      </c>
      <c r="AT37" s="794">
        <f t="shared" ref="AT37:BA37" si="21">AT6/1000</f>
        <v>1.4116994528</v>
      </c>
      <c r="AU37" s="794">
        <f t="shared" si="21"/>
        <v>3.3084681392799999</v>
      </c>
      <c r="AV37" s="794">
        <f t="shared" si="21"/>
        <v>3.3084681392799999</v>
      </c>
      <c r="AW37" s="794">
        <f t="shared" si="21"/>
        <v>4.8228905824399995</v>
      </c>
      <c r="AX37" s="794">
        <f t="shared" si="21"/>
        <v>5.991168880480001</v>
      </c>
      <c r="AY37" s="794">
        <f t="shared" si="21"/>
        <v>0</v>
      </c>
      <c r="AZ37" s="794">
        <f t="shared" si="21"/>
        <v>0</v>
      </c>
      <c r="BA37" s="794">
        <f t="shared" si="21"/>
        <v>0</v>
      </c>
    </row>
    <row r="38" spans="1:78">
      <c r="A38" s="5" t="s">
        <v>3021</v>
      </c>
      <c r="AO38" s="59"/>
      <c r="AP38" s="799"/>
      <c r="AQ38" s="799"/>
      <c r="AR38" s="796"/>
      <c r="AS38" s="796"/>
      <c r="AT38" s="794"/>
      <c r="AU38" s="794"/>
      <c r="AV38" s="794"/>
      <c r="AW38" s="794"/>
      <c r="AX38" s="794">
        <f t="shared" ref="AX38:BA40" si="22">AX7/1000</f>
        <v>2.9173913131</v>
      </c>
      <c r="AY38" s="794">
        <f t="shared" si="22"/>
        <v>3.2086956617999998</v>
      </c>
      <c r="AZ38" s="794">
        <f t="shared" si="22"/>
        <v>3.9652174032</v>
      </c>
      <c r="BA38" s="794">
        <f t="shared" si="22"/>
        <v>3.9652174032</v>
      </c>
    </row>
    <row r="39" spans="1:78">
      <c r="A39" s="5" t="s">
        <v>2885</v>
      </c>
      <c r="AO39" s="59"/>
      <c r="AP39" s="799">
        <f>(AX76-AT76)*(AU79-AT79)/1000</f>
        <v>0.16237300000000002</v>
      </c>
      <c r="AQ39" s="799">
        <f>(AX76-AU76)*(AU79-AT79)/1000</f>
        <v>0.22488065000000007</v>
      </c>
      <c r="AR39" s="796">
        <f>AU76*(AU79-AT79)/1000</f>
        <v>0.32950999999999997</v>
      </c>
      <c r="AS39" s="796">
        <f>AT76*(AU79-AT79)/1000</f>
        <v>0.39201765000000005</v>
      </c>
      <c r="AT39" s="794">
        <f t="shared" ref="AT39:AW40" si="23">AT8/1000</f>
        <v>0</v>
      </c>
      <c r="AU39" s="794">
        <f t="shared" si="23"/>
        <v>0.32950999999999997</v>
      </c>
      <c r="AV39" s="794">
        <f t="shared" si="23"/>
        <v>0.32950999999999997</v>
      </c>
      <c r="AW39" s="794">
        <f t="shared" si="23"/>
        <v>0.44958265000000008</v>
      </c>
      <c r="AX39" s="794">
        <f t="shared" si="22"/>
        <v>0.5543906500000001</v>
      </c>
      <c r="AY39" s="794">
        <f t="shared" si="22"/>
        <v>0.60322164999999994</v>
      </c>
      <c r="AZ39" s="794">
        <f t="shared" si="22"/>
        <v>0.74358100000000016</v>
      </c>
      <c r="BA39" s="794">
        <f t="shared" si="22"/>
        <v>0.74358100000000016</v>
      </c>
    </row>
    <row r="40" spans="1:78">
      <c r="A40" s="5" t="s">
        <v>2768</v>
      </c>
      <c r="AO40" s="59"/>
      <c r="AP40" s="799">
        <f>(AX91-AT91)*(AU94-AT94)/1000</f>
        <v>0.13981200000000002</v>
      </c>
      <c r="AQ40" s="799">
        <f>(AX91-AU91)*(AU94-AT94)/1000</f>
        <v>0.17254459999999999</v>
      </c>
      <c r="AR40" s="796">
        <f>AU91*(AU94-AT94)/1000</f>
        <v>0.1705682</v>
      </c>
      <c r="AS40" s="796">
        <f>AT91*(AU94-AT94)/1000</f>
        <v>0.20330079999999998</v>
      </c>
      <c r="AT40" s="794">
        <f t="shared" si="23"/>
        <v>0</v>
      </c>
      <c r="AU40" s="794">
        <f t="shared" si="23"/>
        <v>0.1705682</v>
      </c>
      <c r="AV40" s="794">
        <f t="shared" si="23"/>
        <v>0.1705682</v>
      </c>
      <c r="AW40" s="794">
        <f t="shared" si="23"/>
        <v>0.26672859999999998</v>
      </c>
      <c r="AX40" s="794">
        <f t="shared" si="22"/>
        <v>0</v>
      </c>
      <c r="AY40" s="794">
        <f t="shared" si="22"/>
        <v>0</v>
      </c>
      <c r="AZ40" s="794">
        <f t="shared" si="22"/>
        <v>0</v>
      </c>
      <c r="BA40" s="794">
        <f t="shared" si="22"/>
        <v>0</v>
      </c>
    </row>
    <row r="41" spans="1:78">
      <c r="A41" s="288" t="s">
        <v>89</v>
      </c>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81"/>
      <c r="AP41" s="800">
        <f>SUM(AP37:AP40)</f>
        <v>1.3487294004400006</v>
      </c>
      <c r="AQ41" s="800">
        <f>SUM(AQ37:AQ40)</f>
        <v>1.9625385052000002</v>
      </c>
      <c r="AR41" s="797">
        <f>SUM(AR37:AR40)</f>
        <v>2.6692210976799995</v>
      </c>
      <c r="AS41" s="797">
        <f>SUM(AS37:AS40)</f>
        <v>3.2830302024399995</v>
      </c>
      <c r="AT41" s="795">
        <f>SUM(AT37:AT40)</f>
        <v>1.4116994528</v>
      </c>
      <c r="AU41" s="795">
        <f t="shared" ref="AU41:BA41" si="24">SUM(AU37:AU40)</f>
        <v>3.8085463392799999</v>
      </c>
      <c r="AV41" s="795">
        <f t="shared" si="24"/>
        <v>3.8085463392799999</v>
      </c>
      <c r="AW41" s="795">
        <f t="shared" si="24"/>
        <v>5.5392018324399999</v>
      </c>
      <c r="AX41" s="795">
        <f>SUM(AX37:AX40)</f>
        <v>9.4629508435800016</v>
      </c>
      <c r="AY41" s="795">
        <f t="shared" si="24"/>
        <v>3.8119173117999998</v>
      </c>
      <c r="AZ41" s="795">
        <f t="shared" si="24"/>
        <v>4.7087984032000003</v>
      </c>
      <c r="BA41" s="795">
        <f t="shared" si="24"/>
        <v>4.7087984032000003</v>
      </c>
      <c r="BB41" s="9"/>
      <c r="BC41" s="9"/>
      <c r="BD41" s="9"/>
      <c r="BE41" s="9"/>
      <c r="BF41" s="9"/>
      <c r="BG41" s="9"/>
      <c r="BH41" s="9"/>
      <c r="BI41" s="9"/>
      <c r="BJ41" s="9"/>
      <c r="BK41" s="9"/>
      <c r="BL41" s="9"/>
      <c r="BM41" s="9"/>
      <c r="BN41" s="9"/>
      <c r="BO41" s="9"/>
      <c r="BP41" s="9"/>
      <c r="BQ41" s="9"/>
      <c r="BR41" s="9"/>
      <c r="BS41" s="9"/>
      <c r="BT41" s="9"/>
      <c r="BU41" s="9"/>
      <c r="BV41" s="9"/>
      <c r="BW41" s="9"/>
      <c r="BX41" s="9"/>
      <c r="BY41" s="9"/>
      <c r="BZ41" s="9"/>
    </row>
    <row r="42" spans="1:78" s="26" customFormat="1">
      <c r="A42" s="667" t="s">
        <v>2911</v>
      </c>
      <c r="AO42" s="61"/>
      <c r="AP42" s="549"/>
      <c r="AQ42" s="549"/>
      <c r="AR42" s="549"/>
      <c r="AS42" s="549"/>
      <c r="AT42" s="549"/>
      <c r="AU42" s="549"/>
      <c r="AV42" s="549"/>
      <c r="AW42" s="549">
        <f>AW41-AV41</f>
        <v>1.73065549316</v>
      </c>
      <c r="AX42" s="881">
        <f>AX41-AW41-2</f>
        <v>1.9237490111400017</v>
      </c>
      <c r="AY42" s="549">
        <f>AY41-AX41</f>
        <v>-5.6510335317800013</v>
      </c>
      <c r="AZ42" s="549"/>
      <c r="BA42" s="549"/>
    </row>
    <row r="43" spans="1:78">
      <c r="AX43" s="882" t="s">
        <v>3118</v>
      </c>
    </row>
    <row r="44" spans="1:78" s="12" customFormat="1">
      <c r="A44" s="13" t="s">
        <v>2460</v>
      </c>
      <c r="AO44" s="227"/>
    </row>
    <row r="45" spans="1:78">
      <c r="AO45" s="219" t="s">
        <v>734</v>
      </c>
    </row>
    <row r="46" spans="1:78">
      <c r="A46" s="5" t="s">
        <v>749</v>
      </c>
      <c r="AO46" s="223">
        <v>49.52</v>
      </c>
      <c r="AP46" s="223">
        <v>90.36</v>
      </c>
      <c r="AQ46" s="24">
        <f>AP46</f>
        <v>90.36</v>
      </c>
      <c r="AR46" s="223">
        <v>123.54</v>
      </c>
      <c r="AS46" s="223">
        <v>121.44</v>
      </c>
      <c r="AT46" s="223">
        <v>134.29</v>
      </c>
      <c r="AU46" s="223">
        <v>108.38</v>
      </c>
      <c r="AV46" s="24">
        <f>AU46</f>
        <v>108.38</v>
      </c>
      <c r="AW46" s="223">
        <v>157.99</v>
      </c>
      <c r="AX46" s="223">
        <v>186.58</v>
      </c>
      <c r="AY46" s="723">
        <f>5830/(19.226556+12.8839)</f>
        <v>181.5607975171701</v>
      </c>
      <c r="AZ46" s="430" t="s">
        <v>3198</v>
      </c>
      <c r="BA46" s="46"/>
      <c r="BB46" s="46"/>
      <c r="BC46" s="46"/>
      <c r="BD46" s="46"/>
    </row>
    <row r="47" spans="1:78">
      <c r="A47" s="5" t="s">
        <v>738</v>
      </c>
      <c r="AP47" s="21">
        <f>AP46/AO46-1</f>
        <v>0.82471728594507265</v>
      </c>
      <c r="AR47" s="21">
        <f>AR46/AQ46-1</f>
        <v>0.36719787516600277</v>
      </c>
      <c r="AS47" s="21">
        <f>AS46/AR46-1</f>
        <v>-1.6998542982030185E-2</v>
      </c>
      <c r="AT47" s="21">
        <f>AT46/AS46-1</f>
        <v>0.10581357048748341</v>
      </c>
      <c r="AU47" s="21">
        <f>AU46/AT46-1</f>
        <v>-0.19294065083029266</v>
      </c>
      <c r="AW47" s="21">
        <f>AW46/AV46-1</f>
        <v>0.45774128067909214</v>
      </c>
      <c r="AX47" s="21">
        <f>AX46/AW46-1</f>
        <v>0.18096082030508254</v>
      </c>
      <c r="AY47" s="21">
        <f>AY46/AX46-1</f>
        <v>-2.6901074514041778E-2</v>
      </c>
    </row>
    <row r="48" spans="1:78">
      <c r="AO48" s="623" t="s">
        <v>2476</v>
      </c>
    </row>
    <row r="49" spans="1:58">
      <c r="A49" s="5" t="s">
        <v>2463</v>
      </c>
      <c r="AO49" s="620">
        <v>1.0512319999999999</v>
      </c>
      <c r="AP49" s="620">
        <v>1.0512319999999999</v>
      </c>
      <c r="AQ49" s="38"/>
      <c r="AR49" s="620">
        <v>10.512320000000001</v>
      </c>
      <c r="AS49" s="620">
        <v>10.512320000000001</v>
      </c>
      <c r="AT49" s="620">
        <v>10.512320000000001</v>
      </c>
      <c r="AU49" s="786">
        <f>19.226556+11.3</f>
        <v>30.526555999999999</v>
      </c>
      <c r="AW49" s="786">
        <f>19.226556+11.3</f>
        <v>30.526555999999999</v>
      </c>
      <c r="AX49" s="786">
        <f>19.226556+12.8839</f>
        <v>32.110455999999999</v>
      </c>
      <c r="AY49" s="621">
        <v>0</v>
      </c>
    </row>
    <row r="50" spans="1:58">
      <c r="A50" s="5" t="s">
        <v>80</v>
      </c>
      <c r="AO50" s="268">
        <f>AO49/AO52</f>
        <v>4.2559999999999999E-4</v>
      </c>
      <c r="AP50" s="268">
        <f>AP49/AP52</f>
        <v>4.2049279999999996E-4</v>
      </c>
      <c r="AQ50" s="104"/>
      <c r="AR50" s="268">
        <f>AR49/AR52</f>
        <v>4.2854953118630254E-4</v>
      </c>
      <c r="AS50" s="268">
        <f>AS49/AS52</f>
        <v>4.2924948958758682E-4</v>
      </c>
      <c r="AT50" s="268">
        <f>AT49/AT52</f>
        <v>4.3083278688524595E-4</v>
      </c>
      <c r="AU50" s="268">
        <f>AU49/AU52</f>
        <v>1.2510883606557377E-3</v>
      </c>
      <c r="AW50" s="268">
        <f>AW49/AW52</f>
        <v>1.2562368724279836E-3</v>
      </c>
      <c r="AX50" s="268">
        <f>AX49/AX52</f>
        <v>1.3214179423868312E-3</v>
      </c>
      <c r="AY50" s="268">
        <f>AY49/AY52</f>
        <v>0</v>
      </c>
    </row>
    <row r="51" spans="1:58">
      <c r="AR51" s="678" t="s">
        <v>2679</v>
      </c>
    </row>
    <row r="52" spans="1:58">
      <c r="A52" s="5" t="s">
        <v>2465</v>
      </c>
      <c r="AO52" s="37">
        <v>2470</v>
      </c>
      <c r="AP52" s="37">
        <v>2500</v>
      </c>
      <c r="AR52" s="37">
        <v>24530</v>
      </c>
      <c r="AS52" s="37">
        <v>24490</v>
      </c>
      <c r="AT52" s="37">
        <v>24400</v>
      </c>
      <c r="AU52" s="37">
        <v>24400</v>
      </c>
      <c r="AW52" s="37">
        <v>24300</v>
      </c>
      <c r="AX52" s="648">
        <f>AW52</f>
        <v>24300</v>
      </c>
      <c r="AY52" s="622">
        <f>AX52</f>
        <v>24300</v>
      </c>
    </row>
    <row r="53" spans="1:58">
      <c r="AO53" s="262" t="s">
        <v>2471</v>
      </c>
    </row>
    <row r="54" spans="1:58">
      <c r="A54" s="5" t="s">
        <v>2464</v>
      </c>
      <c r="AP54" s="24"/>
      <c r="AR54" s="24"/>
    </row>
    <row r="55" spans="1:58">
      <c r="A55" s="5" t="s">
        <v>739</v>
      </c>
      <c r="AP55" s="21"/>
      <c r="AR55" s="21"/>
    </row>
    <row r="56" spans="1:58">
      <c r="A56" s="222" t="s">
        <v>740</v>
      </c>
    </row>
    <row r="57" spans="1:58" s="618" customFormat="1">
      <c r="A57" s="619" t="s">
        <v>2466</v>
      </c>
    </row>
    <row r="59" spans="1:58" s="12" customFormat="1">
      <c r="A59" s="13" t="s">
        <v>3021</v>
      </c>
      <c r="AO59" s="227"/>
    </row>
    <row r="60" spans="1:58">
      <c r="AO60" s="219"/>
    </row>
    <row r="61" spans="1:58">
      <c r="A61" s="5" t="s">
        <v>749</v>
      </c>
      <c r="AX61" s="223">
        <v>33.549999999999997</v>
      </c>
      <c r="AY61" s="223">
        <v>36.9</v>
      </c>
      <c r="AZ61" s="221">
        <v>45.6</v>
      </c>
      <c r="BA61" s="24">
        <f t="shared" ref="BA61:BF61" si="25">AZ61</f>
        <v>45.6</v>
      </c>
      <c r="BB61" s="221">
        <f t="shared" si="25"/>
        <v>45.6</v>
      </c>
      <c r="BC61" s="221">
        <f t="shared" si="25"/>
        <v>45.6</v>
      </c>
      <c r="BD61" s="221">
        <f t="shared" si="25"/>
        <v>45.6</v>
      </c>
      <c r="BE61" s="221">
        <f t="shared" si="25"/>
        <v>45.6</v>
      </c>
      <c r="BF61" s="24">
        <f t="shared" si="25"/>
        <v>45.6</v>
      </c>
    </row>
    <row r="62" spans="1:58">
      <c r="A62" s="5" t="s">
        <v>738</v>
      </c>
      <c r="AX62" s="21"/>
      <c r="AY62" s="21">
        <f>AY61/AX61-1</f>
        <v>9.9850968703427689E-2</v>
      </c>
      <c r="AZ62" s="21">
        <f>AZ61/AY61-1</f>
        <v>0.2357723577235773</v>
      </c>
      <c r="BB62" s="21">
        <f>BB61/BA61-1</f>
        <v>0</v>
      </c>
      <c r="BC62" s="21">
        <f>BC61/BB61-1</f>
        <v>0</v>
      </c>
      <c r="BD62" s="21">
        <f>BD61/BC61-1</f>
        <v>0</v>
      </c>
      <c r="BE62" s="21">
        <f>BE61/BD61-1</f>
        <v>0</v>
      </c>
    </row>
    <row r="64" spans="1:58">
      <c r="A64" s="5" t="s">
        <v>2463</v>
      </c>
      <c r="AX64" s="786">
        <v>86.956522000000007</v>
      </c>
      <c r="AY64" s="621">
        <f>AX64</f>
        <v>86.956522000000007</v>
      </c>
      <c r="AZ64" s="621">
        <f>AY64</f>
        <v>86.956522000000007</v>
      </c>
      <c r="BB64" s="621">
        <f>AZ64</f>
        <v>86.956522000000007</v>
      </c>
      <c r="BC64" s="621">
        <f t="shared" ref="BC64:BE64" si="26">BB64</f>
        <v>86.956522000000007</v>
      </c>
      <c r="BD64" s="621">
        <f t="shared" si="26"/>
        <v>86.956522000000007</v>
      </c>
      <c r="BE64" s="621">
        <f t="shared" si="26"/>
        <v>86.956522000000007</v>
      </c>
    </row>
    <row r="65" spans="1:58">
      <c r="A65" s="5" t="s">
        <v>80</v>
      </c>
      <c r="AX65" s="268">
        <f>AX64/AX67</f>
        <v>1.8229878825995808E-2</v>
      </c>
      <c r="AY65" s="268">
        <f>AY64/AY67</f>
        <v>1.8229878825995808E-2</v>
      </c>
      <c r="AZ65" s="268">
        <f>AZ64/AZ67</f>
        <v>1.8229878825995808E-2</v>
      </c>
      <c r="BB65" s="268">
        <f>BB64/BB67</f>
        <v>1.8229878825995808E-2</v>
      </c>
      <c r="BC65" s="268">
        <f>BC64/BC67</f>
        <v>1.8229878825995808E-2</v>
      </c>
      <c r="BD65" s="268">
        <f>BD64/BD67</f>
        <v>1.8229878825995808E-2</v>
      </c>
      <c r="BE65" s="268">
        <f>BE64/BE67</f>
        <v>1.8229878825995808E-2</v>
      </c>
    </row>
    <row r="66" spans="1:58">
      <c r="AX66" s="678" t="s">
        <v>3200</v>
      </c>
    </row>
    <row r="67" spans="1:58">
      <c r="A67" s="5" t="s">
        <v>3199</v>
      </c>
      <c r="AX67" s="37">
        <v>4770</v>
      </c>
      <c r="AY67" s="622">
        <f>AX67</f>
        <v>4770</v>
      </c>
      <c r="AZ67" s="622">
        <f>AY67</f>
        <v>4770</v>
      </c>
      <c r="BB67" s="622">
        <f>AZ67</f>
        <v>4770</v>
      </c>
      <c r="BC67" s="622">
        <f t="shared" ref="BC67:BE67" si="27">BB67</f>
        <v>4770</v>
      </c>
      <c r="BD67" s="622">
        <f t="shared" si="27"/>
        <v>4770</v>
      </c>
      <c r="BE67" s="622">
        <f t="shared" si="27"/>
        <v>4770</v>
      </c>
    </row>
    <row r="68" spans="1:58">
      <c r="AO68" s="262"/>
    </row>
    <row r="69" spans="1:58">
      <c r="A69" s="5" t="s">
        <v>2464</v>
      </c>
      <c r="AP69" s="24"/>
      <c r="AR69" s="24"/>
    </row>
    <row r="70" spans="1:58">
      <c r="A70" s="5" t="s">
        <v>739</v>
      </c>
      <c r="AP70" s="21"/>
      <c r="AR70" s="21"/>
    </row>
    <row r="71" spans="1:58">
      <c r="A71" s="222" t="s">
        <v>740</v>
      </c>
    </row>
    <row r="72" spans="1:58" s="618" customFormat="1">
      <c r="A72" s="619" t="s">
        <v>2466</v>
      </c>
    </row>
    <row r="74" spans="1:58" s="12" customFormat="1">
      <c r="A74" s="13" t="s">
        <v>2885</v>
      </c>
      <c r="AO74" s="227"/>
    </row>
    <row r="75" spans="1:58">
      <c r="AO75" s="219"/>
    </row>
    <row r="76" spans="1:58">
      <c r="A76" s="5" t="s">
        <v>749</v>
      </c>
      <c r="AT76" s="223">
        <v>197.49</v>
      </c>
      <c r="AU76" s="223">
        <v>166</v>
      </c>
      <c r="AV76" s="24">
        <f>AU76</f>
        <v>166</v>
      </c>
      <c r="AW76" s="223">
        <v>226.49</v>
      </c>
      <c r="AX76" s="223">
        <v>279.29000000000002</v>
      </c>
      <c r="AY76" s="223">
        <v>303.89</v>
      </c>
      <c r="AZ76" s="221">
        <v>374.6</v>
      </c>
      <c r="BA76" s="24">
        <f t="shared" ref="BA76:BF76" si="28">AZ76</f>
        <v>374.6</v>
      </c>
      <c r="BB76" s="221">
        <f t="shared" si="28"/>
        <v>374.6</v>
      </c>
      <c r="BC76" s="221">
        <f t="shared" si="28"/>
        <v>374.6</v>
      </c>
      <c r="BD76" s="221">
        <f t="shared" si="28"/>
        <v>374.6</v>
      </c>
      <c r="BE76" s="221">
        <f t="shared" si="28"/>
        <v>374.6</v>
      </c>
      <c r="BF76" s="24">
        <f t="shared" si="28"/>
        <v>374.6</v>
      </c>
    </row>
    <row r="77" spans="1:58">
      <c r="A77" s="5" t="s">
        <v>738</v>
      </c>
      <c r="AU77" s="21"/>
      <c r="AW77" s="21">
        <f>AW76/AV76-1</f>
        <v>0.36439759036144581</v>
      </c>
      <c r="AX77" s="21">
        <f>AX76/AW76-1</f>
        <v>0.23312287518212726</v>
      </c>
      <c r="AY77" s="21">
        <f>AY76/AX76-1</f>
        <v>8.8080489813455509E-2</v>
      </c>
      <c r="AZ77" s="21">
        <f>AZ76/AY76-1</f>
        <v>0.23268287867320425</v>
      </c>
      <c r="BB77" s="21">
        <f>BB76/BA76-1</f>
        <v>0</v>
      </c>
      <c r="BC77" s="21">
        <f>BC76/BB76-1</f>
        <v>0</v>
      </c>
      <c r="BD77" s="21">
        <f>BD76/BC76-1</f>
        <v>0</v>
      </c>
      <c r="BE77" s="21">
        <f>BE76/BD76-1</f>
        <v>0</v>
      </c>
    </row>
    <row r="79" spans="1:58">
      <c r="A79" s="5" t="s">
        <v>2463</v>
      </c>
      <c r="AU79" s="786">
        <v>1.9850000000000001</v>
      </c>
      <c r="AW79" s="786">
        <v>1.9850000000000001</v>
      </c>
      <c r="AX79" s="786">
        <v>1.9850000000000001</v>
      </c>
      <c r="AY79" s="621">
        <f>AX79</f>
        <v>1.9850000000000001</v>
      </c>
      <c r="AZ79" s="621">
        <f>AY79</f>
        <v>1.9850000000000001</v>
      </c>
      <c r="BB79" s="621">
        <f>AZ79</f>
        <v>1.9850000000000001</v>
      </c>
      <c r="BC79" s="621">
        <f t="shared" ref="BC79:BE79" si="29">BB79</f>
        <v>1.9850000000000001</v>
      </c>
      <c r="BD79" s="621">
        <f t="shared" si="29"/>
        <v>1.9850000000000001</v>
      </c>
      <c r="BE79" s="621">
        <f t="shared" si="29"/>
        <v>1.9850000000000001</v>
      </c>
    </row>
    <row r="80" spans="1:58">
      <c r="A80" s="5" t="s">
        <v>80</v>
      </c>
      <c r="AU80" s="268"/>
      <c r="AW80" s="268"/>
      <c r="AX80" s="268"/>
      <c r="AY80" s="268"/>
    </row>
    <row r="82" spans="1:55">
      <c r="A82" s="5" t="s">
        <v>2886</v>
      </c>
    </row>
    <row r="84" spans="1:55">
      <c r="A84" s="5" t="s">
        <v>2464</v>
      </c>
    </row>
    <row r="85" spans="1:55">
      <c r="A85" s="5" t="s">
        <v>739</v>
      </c>
    </row>
    <row r="86" spans="1:55">
      <c r="A86" s="222" t="s">
        <v>740</v>
      </c>
    </row>
    <row r="87" spans="1:55" s="618" customFormat="1">
      <c r="A87" s="619" t="s">
        <v>2466</v>
      </c>
    </row>
    <row r="89" spans="1:55" s="12" customFormat="1">
      <c r="A89" s="13" t="s">
        <v>2768</v>
      </c>
      <c r="AO89" s="227"/>
    </row>
    <row r="90" spans="1:55">
      <c r="AO90" s="219"/>
    </row>
    <row r="91" spans="1:55">
      <c r="A91" s="5" t="s">
        <v>749</v>
      </c>
      <c r="AT91" s="223">
        <v>166.64</v>
      </c>
      <c r="AU91" s="223">
        <v>139.81</v>
      </c>
      <c r="AV91" s="24">
        <f>AU91</f>
        <v>139.81</v>
      </c>
      <c r="AW91" s="223">
        <v>218.63</v>
      </c>
      <c r="AX91" s="223">
        <v>281.24</v>
      </c>
      <c r="AY91" s="723">
        <f>(328.33+281.24)/2</f>
        <v>304.78499999999997</v>
      </c>
      <c r="AZ91" s="949" t="s">
        <v>3201</v>
      </c>
      <c r="BA91" s="46"/>
      <c r="BB91" s="46"/>
      <c r="BC91" s="46"/>
    </row>
    <row r="92" spans="1:55">
      <c r="A92" s="5" t="s">
        <v>738</v>
      </c>
      <c r="AU92" s="21"/>
      <c r="AW92" s="21">
        <f>AW91/AV91-1</f>
        <v>0.56376510979186034</v>
      </c>
      <c r="AX92" s="21">
        <f>AX91/AW91-1</f>
        <v>0.28637423958285702</v>
      </c>
      <c r="AY92" s="21"/>
    </row>
    <row r="94" spans="1:55">
      <c r="A94" s="5" t="s">
        <v>2463</v>
      </c>
      <c r="AU94" s="786">
        <v>1.22</v>
      </c>
      <c r="AW94" s="786">
        <v>1.22</v>
      </c>
      <c r="AX94" s="786">
        <v>0</v>
      </c>
      <c r="AY94" s="621">
        <f>AX94</f>
        <v>0</v>
      </c>
    </row>
    <row r="95" spans="1:55">
      <c r="A95" s="5" t="s">
        <v>80</v>
      </c>
      <c r="AU95" s="268"/>
      <c r="AW95" s="268"/>
      <c r="AX95" s="268"/>
    </row>
    <row r="97" spans="1:58">
      <c r="A97" s="5" t="s">
        <v>2887</v>
      </c>
      <c r="AU97" s="622"/>
      <c r="AW97" s="622"/>
      <c r="AX97" s="622"/>
      <c r="AY97" s="622"/>
    </row>
    <row r="99" spans="1:58">
      <c r="A99" s="5" t="s">
        <v>2464</v>
      </c>
    </row>
    <row r="100" spans="1:58">
      <c r="A100" s="5" t="s">
        <v>739</v>
      </c>
    </row>
    <row r="101" spans="1:58">
      <c r="A101" s="222" t="s">
        <v>740</v>
      </c>
    </row>
    <row r="102" spans="1:58" s="618" customFormat="1">
      <c r="A102" s="619" t="s">
        <v>2466</v>
      </c>
    </row>
    <row r="104" spans="1:58" s="12" customFormat="1">
      <c r="A104" s="13" t="s">
        <v>1269</v>
      </c>
      <c r="AO104" s="227"/>
    </row>
    <row r="105" spans="1:58">
      <c r="AO105" s="219" t="s">
        <v>734</v>
      </c>
    </row>
    <row r="106" spans="1:58">
      <c r="A106" s="5" t="s">
        <v>749</v>
      </c>
      <c r="AO106" s="224">
        <f>'SVF2'!AO379</f>
        <v>51.33</v>
      </c>
      <c r="AP106" s="224">
        <f>'SVF2'!AP379</f>
        <v>45</v>
      </c>
      <c r="AQ106" s="24">
        <f>AP106</f>
        <v>45</v>
      </c>
      <c r="AR106" s="224">
        <f>'SVF2'!AR379</f>
        <v>35.159999999999997</v>
      </c>
      <c r="AS106" s="224">
        <f>'SVF2'!AS379</f>
        <v>24.39</v>
      </c>
      <c r="AT106" s="224">
        <f>'SVF2'!AT379</f>
        <v>23.71</v>
      </c>
      <c r="AU106" s="224">
        <f>'SVF2'!AU379</f>
        <v>20.21</v>
      </c>
      <c r="AV106" s="24">
        <f>AU106</f>
        <v>20.21</v>
      </c>
      <c r="AW106" s="224">
        <f>'SVF2'!AW379</f>
        <v>38.85</v>
      </c>
      <c r="AX106" s="224">
        <f>'SVF2'!AX379</f>
        <v>53.9</v>
      </c>
      <c r="AY106" s="224">
        <f>'SVF2'!AY379</f>
        <v>59.5</v>
      </c>
      <c r="AZ106" s="224">
        <f>'SVF2'!AZ379</f>
        <v>54.75</v>
      </c>
      <c r="BA106" s="24">
        <f t="shared" ref="BA106:BF106" si="30">AZ106</f>
        <v>54.75</v>
      </c>
      <c r="BB106" s="221">
        <f t="shared" si="30"/>
        <v>54.75</v>
      </c>
      <c r="BC106" s="221">
        <f t="shared" si="30"/>
        <v>54.75</v>
      </c>
      <c r="BD106" s="221">
        <f t="shared" si="30"/>
        <v>54.75</v>
      </c>
      <c r="BE106" s="221">
        <f t="shared" si="30"/>
        <v>54.75</v>
      </c>
      <c r="BF106" s="24">
        <f t="shared" si="30"/>
        <v>54.75</v>
      </c>
    </row>
    <row r="107" spans="1:58">
      <c r="A107" s="5" t="s">
        <v>738</v>
      </c>
      <c r="AP107" s="21">
        <f>AP106/AO106-1</f>
        <v>-0.12331969608416127</v>
      </c>
      <c r="AR107" s="21">
        <f>AR106/AQ106-1</f>
        <v>-0.21866666666666679</v>
      </c>
      <c r="AS107" s="21">
        <f>AS106/AR106-1</f>
        <v>-0.30631399317406138</v>
      </c>
      <c r="AT107" s="21">
        <f>AT106/AS106-1</f>
        <v>-2.7880278802787983E-2</v>
      </c>
      <c r="AU107" s="21">
        <f>AU106/AT106-1</f>
        <v>-0.14761703922395608</v>
      </c>
      <c r="AW107" s="21">
        <f>AW106/AV106-1</f>
        <v>0.92231568530430486</v>
      </c>
      <c r="AX107" s="21">
        <f>AX106/AW106-1</f>
        <v>0.38738738738738721</v>
      </c>
      <c r="AY107" s="21">
        <f>AY106/AX106-1</f>
        <v>0.10389610389610393</v>
      </c>
      <c r="AZ107" s="21">
        <f>AZ106/AY106-1</f>
        <v>-7.9831932773109293E-2</v>
      </c>
      <c r="BB107" s="21">
        <f>BB106/BA106-1</f>
        <v>0</v>
      </c>
      <c r="BC107" s="21">
        <f>BC106/BB106-1</f>
        <v>0</v>
      </c>
      <c r="BD107" s="21">
        <f>BD106/BC106-1</f>
        <v>0</v>
      </c>
      <c r="BE107" s="21">
        <f>BE106/BD106-1</f>
        <v>0</v>
      </c>
    </row>
    <row r="108" spans="1:58">
      <c r="AO108" s="678" t="s">
        <v>3551</v>
      </c>
      <c r="AY108" s="783" t="s">
        <v>3552</v>
      </c>
    </row>
    <row r="109" spans="1:58">
      <c r="A109" s="5" t="s">
        <v>2463</v>
      </c>
      <c r="AO109" s="620">
        <f>17.825312+2+9.09</f>
        <v>28.915312</v>
      </c>
      <c r="AP109" s="620">
        <f t="shared" ref="AP109:AX109" si="31">17.825312+2+9.09</f>
        <v>28.915312</v>
      </c>
      <c r="AQ109" s="38"/>
      <c r="AR109" s="620">
        <f t="shared" si="31"/>
        <v>28.915312</v>
      </c>
      <c r="AS109" s="620">
        <f t="shared" si="31"/>
        <v>28.915312</v>
      </c>
      <c r="AT109" s="620">
        <f t="shared" si="31"/>
        <v>28.915312</v>
      </c>
      <c r="AU109" s="620">
        <f t="shared" si="31"/>
        <v>28.915312</v>
      </c>
      <c r="AW109" s="620">
        <f t="shared" si="31"/>
        <v>28.915312</v>
      </c>
      <c r="AX109" s="620">
        <f t="shared" si="31"/>
        <v>28.915312</v>
      </c>
      <c r="AY109" s="620">
        <f>17.825312+2+5.59</f>
        <v>25.415312</v>
      </c>
      <c r="AZ109" s="621">
        <f>AY109</f>
        <v>25.415312</v>
      </c>
      <c r="BB109" s="621">
        <f>AZ109</f>
        <v>25.415312</v>
      </c>
      <c r="BC109" s="621">
        <f t="shared" ref="BC109:BE109" si="32">BB109</f>
        <v>25.415312</v>
      </c>
      <c r="BD109" s="621">
        <f t="shared" si="32"/>
        <v>25.415312</v>
      </c>
      <c r="BE109" s="621">
        <f t="shared" si="32"/>
        <v>25.415312</v>
      </c>
    </row>
    <row r="110" spans="1:58">
      <c r="A110" s="5" t="s">
        <v>80</v>
      </c>
      <c r="AO110" s="16">
        <f>AO109/AO112</f>
        <v>5.045340994821839E-2</v>
      </c>
      <c r="AP110" s="16">
        <f>AP109/AP112</f>
        <v>4.9515753316168552E-2</v>
      </c>
      <c r="AQ110" s="85"/>
      <c r="AR110" s="16">
        <f>AR109/AR112</f>
        <v>4.9436697774600337E-2</v>
      </c>
      <c r="AS110" s="16">
        <f>AS109/AS112</f>
        <v>4.9346570818701162E-2</v>
      </c>
      <c r="AT110" s="16">
        <f>AT109/AT112</f>
        <v>4.9224277926831435E-2</v>
      </c>
      <c r="AU110" s="16">
        <f>AU109/AU112</f>
        <v>4.9099442649144169E-2</v>
      </c>
      <c r="AW110" s="16">
        <f>AW109/AW112</f>
        <v>4.9023353106917911E-2</v>
      </c>
      <c r="AX110" s="16">
        <f>AX109/AX112</f>
        <v>4.9023353106917911E-2</v>
      </c>
      <c r="AY110" s="16">
        <f>AY109/AY112</f>
        <v>4.3089412782351719E-2</v>
      </c>
      <c r="AZ110" s="16">
        <f>AZ109/AZ112</f>
        <v>4.3089412782351719E-2</v>
      </c>
      <c r="BB110" s="16">
        <f>BB109/BB112</f>
        <v>4.3089412782351719E-2</v>
      </c>
      <c r="BC110" s="16">
        <f>BC109/BC112</f>
        <v>4.3089412782351719E-2</v>
      </c>
      <c r="BD110" s="16">
        <f>BD109/BD112</f>
        <v>4.3089412782351719E-2</v>
      </c>
      <c r="BE110" s="16">
        <f>BE109/BE112</f>
        <v>4.3089412782351719E-2</v>
      </c>
    </row>
    <row r="112" spans="1:58">
      <c r="A112" s="5" t="s">
        <v>2472</v>
      </c>
      <c r="AO112" s="80">
        <f>'SVF2'!AO387</f>
        <v>573.10917199999994</v>
      </c>
      <c r="AP112" s="80">
        <f>'SVF2'!AP387</f>
        <v>583.96187200000008</v>
      </c>
      <c r="AR112" s="80">
        <f>'SVF2'!AR387</f>
        <v>584.89570099999992</v>
      </c>
      <c r="AS112" s="80">
        <f>'SVF2'!AS387</f>
        <v>585.96395899999993</v>
      </c>
      <c r="AT112" s="80">
        <f>'SVF2'!AT387</f>
        <v>587.41972899999996</v>
      </c>
      <c r="AU112" s="80">
        <f>'SVF2'!AU387</f>
        <v>588.91324299999997</v>
      </c>
      <c r="AW112" s="80">
        <f>'SVF2'!AW387</f>
        <v>589.82729999999992</v>
      </c>
      <c r="AX112" s="80">
        <f>'SVF2'!AX387</f>
        <v>589.82729999999992</v>
      </c>
      <c r="AY112" s="80">
        <f>'SVF2'!AY387</f>
        <v>589.82729999999992</v>
      </c>
      <c r="AZ112" s="80">
        <f>'SVF2'!AZ387</f>
        <v>589.82729999999992</v>
      </c>
      <c r="BB112" s="622">
        <f>AZ112</f>
        <v>589.82729999999992</v>
      </c>
      <c r="BC112" s="622">
        <f t="shared" ref="BC112:BE112" si="33">BB112</f>
        <v>589.82729999999992</v>
      </c>
      <c r="BD112" s="622">
        <f t="shared" si="33"/>
        <v>589.82729999999992</v>
      </c>
      <c r="BE112" s="622">
        <f t="shared" si="33"/>
        <v>589.82729999999992</v>
      </c>
    </row>
    <row r="114" spans="1:58">
      <c r="A114" s="5" t="s">
        <v>2464</v>
      </c>
      <c r="AP114" s="24"/>
      <c r="AR114" s="24"/>
    </row>
    <row r="115" spans="1:58">
      <c r="A115" s="5" t="s">
        <v>739</v>
      </c>
      <c r="AP115" s="21"/>
      <c r="AR115" s="21"/>
    </row>
    <row r="116" spans="1:58">
      <c r="A116" s="222" t="s">
        <v>740</v>
      </c>
    </row>
    <row r="117" spans="1:58" s="618" customFormat="1">
      <c r="A117" s="619" t="s">
        <v>2466</v>
      </c>
    </row>
    <row r="118" spans="1:58">
      <c r="AO118" s="219"/>
    </row>
    <row r="119" spans="1:58" s="12" customFormat="1">
      <c r="A119" s="13" t="s">
        <v>2467</v>
      </c>
      <c r="AO119" s="227"/>
    </row>
    <row r="120" spans="1:58">
      <c r="AO120" s="219" t="s">
        <v>734</v>
      </c>
    </row>
    <row r="121" spans="1:58">
      <c r="A121" s="5" t="s">
        <v>1065</v>
      </c>
      <c r="AO121" s="223">
        <v>4.25</v>
      </c>
      <c r="AP121" s="223">
        <v>4.04</v>
      </c>
      <c r="AQ121" s="24">
        <f>AP121</f>
        <v>4.04</v>
      </c>
      <c r="AR121" s="223">
        <v>3.76</v>
      </c>
      <c r="AS121" s="223">
        <v>3.99</v>
      </c>
      <c r="AT121" s="223">
        <v>2.27</v>
      </c>
      <c r="AU121" s="223">
        <v>4.3899999999999997</v>
      </c>
      <c r="AV121" s="24">
        <f>AU121</f>
        <v>4.3899999999999997</v>
      </c>
      <c r="AW121" s="223">
        <v>3.71</v>
      </c>
      <c r="AX121" s="223">
        <v>3.42</v>
      </c>
      <c r="AY121" s="223">
        <v>1.71</v>
      </c>
      <c r="AZ121" s="221">
        <v>2.25</v>
      </c>
      <c r="BA121" s="24">
        <f t="shared" ref="BA121:BF121" si="34">AZ121</f>
        <v>2.25</v>
      </c>
      <c r="BB121" s="221">
        <f t="shared" si="34"/>
        <v>2.25</v>
      </c>
      <c r="BC121" s="221">
        <f t="shared" si="34"/>
        <v>2.25</v>
      </c>
      <c r="BD121" s="221">
        <f t="shared" si="34"/>
        <v>2.25</v>
      </c>
      <c r="BE121" s="221">
        <f t="shared" si="34"/>
        <v>2.25</v>
      </c>
      <c r="BF121" s="24">
        <f t="shared" si="34"/>
        <v>2.25</v>
      </c>
    </row>
    <row r="122" spans="1:58">
      <c r="A122" s="5" t="s">
        <v>738</v>
      </c>
      <c r="AP122" s="21">
        <f>AP121/AO121-1</f>
        <v>-4.9411764705882377E-2</v>
      </c>
      <c r="AR122" s="21">
        <f>AR121/AQ121-1</f>
        <v>-6.9306930693069368E-2</v>
      </c>
      <c r="AS122" s="21">
        <f>AS121/AR121-1</f>
        <v>6.1170212765957466E-2</v>
      </c>
      <c r="AT122" s="21">
        <f>AT121/AS121-1</f>
        <v>-0.43107769423558895</v>
      </c>
      <c r="AU122" s="21">
        <f>AU121/AT121-1</f>
        <v>0.93392070484581491</v>
      </c>
      <c r="AW122" s="21">
        <f>AW121/AV121-1</f>
        <v>-0.15489749430523914</v>
      </c>
      <c r="AX122" s="21">
        <f>AX121/AW121-1</f>
        <v>-7.816711590296499E-2</v>
      </c>
      <c r="AY122" s="21">
        <f>AY121/AX121-1</f>
        <v>-0.5</v>
      </c>
      <c r="AZ122" s="21">
        <f>AZ121/AY121-1</f>
        <v>0.31578947368421062</v>
      </c>
      <c r="BB122" s="21">
        <f>BB121/BA121-1</f>
        <v>0</v>
      </c>
      <c r="BC122" s="21">
        <f>BC121/BB121-1</f>
        <v>0</v>
      </c>
      <c r="BD122" s="21">
        <f>BD121/BC121-1</f>
        <v>0</v>
      </c>
      <c r="BE122" s="21">
        <f>BE121/BD121-1</f>
        <v>0</v>
      </c>
    </row>
    <row r="124" spans="1:58">
      <c r="A124" s="5" t="s">
        <v>1061</v>
      </c>
      <c r="AO124" s="223">
        <v>0.9</v>
      </c>
      <c r="AP124" s="223">
        <v>0.93</v>
      </c>
      <c r="AQ124" s="24">
        <f>AP124</f>
        <v>0.93</v>
      </c>
      <c r="AR124" s="223">
        <v>0.93</v>
      </c>
      <c r="AS124" s="223">
        <v>0.9</v>
      </c>
      <c r="AT124" s="223">
        <v>0.97</v>
      </c>
      <c r="AU124" s="223">
        <v>0.92</v>
      </c>
      <c r="AV124" s="24">
        <f>AU124</f>
        <v>0.92</v>
      </c>
      <c r="AW124" s="223">
        <v>0.85</v>
      </c>
      <c r="AX124" s="223">
        <v>0.85</v>
      </c>
      <c r="AY124" s="223">
        <v>0.85</v>
      </c>
      <c r="AZ124" s="305">
        <v>0.85</v>
      </c>
      <c r="BA124" s="24">
        <f>AZ124</f>
        <v>0.85</v>
      </c>
      <c r="BB124" s="621">
        <f>AZ124</f>
        <v>0.85</v>
      </c>
      <c r="BC124" s="621">
        <f t="shared" ref="BC124:BE124" si="35">BB124</f>
        <v>0.85</v>
      </c>
      <c r="BD124" s="621">
        <f t="shared" si="35"/>
        <v>0.85</v>
      </c>
      <c r="BE124" s="621">
        <f t="shared" si="35"/>
        <v>0.85</v>
      </c>
      <c r="BF124" s="24">
        <f>BE124</f>
        <v>0.85</v>
      </c>
    </row>
    <row r="125" spans="1:58">
      <c r="A125" s="5" t="s">
        <v>738</v>
      </c>
      <c r="AP125" s="21">
        <f>AP124/AO124-1</f>
        <v>3.3333333333333437E-2</v>
      </c>
      <c r="AR125" s="21">
        <f>AR124/AQ124-1</f>
        <v>0</v>
      </c>
      <c r="AS125" s="21">
        <f>AS124/AR124-1</f>
        <v>-3.2258064516129115E-2</v>
      </c>
      <c r="AT125" s="21">
        <f>AT124/AS124-1</f>
        <v>7.7777777777777724E-2</v>
      </c>
      <c r="AU125" s="21">
        <f>AU124/AT124-1</f>
        <v>-5.1546391752577247E-2</v>
      </c>
      <c r="AW125" s="21">
        <f>AW124/AU124-1</f>
        <v>-7.6086956521739246E-2</v>
      </c>
      <c r="AX125" s="21">
        <f>AX124/AW124-1</f>
        <v>0</v>
      </c>
      <c r="AY125" s="21">
        <f>AY124/AX124-1</f>
        <v>0</v>
      </c>
      <c r="AZ125" s="21"/>
    </row>
    <row r="127" spans="1:58">
      <c r="A127" s="5" t="s">
        <v>749</v>
      </c>
      <c r="AO127" s="24">
        <f t="shared" ref="AO127:AV127" si="36">AO121/AO124</f>
        <v>4.7222222222222223</v>
      </c>
      <c r="AP127" s="24">
        <f t="shared" si="36"/>
        <v>4.344086021505376</v>
      </c>
      <c r="AQ127" s="24">
        <f t="shared" si="36"/>
        <v>4.344086021505376</v>
      </c>
      <c r="AR127" s="24">
        <f t="shared" si="36"/>
        <v>4.043010752688172</v>
      </c>
      <c r="AS127" s="24">
        <f t="shared" si="36"/>
        <v>4.4333333333333336</v>
      </c>
      <c r="AT127" s="24">
        <f t="shared" si="36"/>
        <v>2.3402061855670104</v>
      </c>
      <c r="AU127" s="24">
        <f t="shared" ref="AU127:AW127" si="37">AU121/AU124</f>
        <v>4.7717391304347823</v>
      </c>
      <c r="AV127" s="24">
        <f t="shared" si="36"/>
        <v>4.7717391304347823</v>
      </c>
      <c r="AW127" s="24">
        <f t="shared" si="37"/>
        <v>4.3647058823529417</v>
      </c>
      <c r="AX127" s="24">
        <f t="shared" ref="AX127:AY127" si="38">AX121/AX124</f>
        <v>4.0235294117647058</v>
      </c>
      <c r="AY127" s="24">
        <f t="shared" si="38"/>
        <v>2.0117647058823529</v>
      </c>
      <c r="AZ127" s="24">
        <f t="shared" ref="AZ127:BD127" si="39">AZ121/AZ124</f>
        <v>2.6470588235294117</v>
      </c>
      <c r="BA127" s="24">
        <f t="shared" si="39"/>
        <v>2.6470588235294117</v>
      </c>
      <c r="BB127" s="24">
        <f t="shared" si="39"/>
        <v>2.6470588235294117</v>
      </c>
      <c r="BC127" s="24">
        <f t="shared" si="39"/>
        <v>2.6470588235294117</v>
      </c>
      <c r="BD127" s="24">
        <f t="shared" si="39"/>
        <v>2.6470588235294117</v>
      </c>
      <c r="BE127" s="24">
        <f t="shared" ref="BE127:BF127" si="40">BE121/BE124</f>
        <v>2.6470588235294117</v>
      </c>
      <c r="BF127" s="24">
        <f t="shared" si="40"/>
        <v>2.6470588235294117</v>
      </c>
    </row>
    <row r="128" spans="1:58">
      <c r="A128" s="5" t="s">
        <v>738</v>
      </c>
      <c r="AP128" s="21">
        <f>AP127/AO127-1</f>
        <v>-8.0075901328273358E-2</v>
      </c>
      <c r="AR128" s="21">
        <f>AR127/AQ127-1</f>
        <v>-6.9306930693069257E-2</v>
      </c>
      <c r="AS128" s="21">
        <f>AS127/AR127-1</f>
        <v>9.6542553191489411E-2</v>
      </c>
      <c r="AT128" s="21">
        <f>AT127/AS127-1</f>
        <v>-0.47213394310518564</v>
      </c>
      <c r="AU128" s="21">
        <f>AU127/AT127-1</f>
        <v>1.0390250909787393</v>
      </c>
      <c r="AW128" s="21">
        <f>AW127/AV127-1</f>
        <v>-8.5300817365670523E-2</v>
      </c>
      <c r="AX128" s="21">
        <f>AX127/AW127-1</f>
        <v>-7.8167115902965101E-2</v>
      </c>
      <c r="AY128" s="21">
        <f>AY127/AX127-1</f>
        <v>-0.5</v>
      </c>
      <c r="AZ128" s="21">
        <f>AZ127/AY127-1</f>
        <v>0.31578947368421062</v>
      </c>
      <c r="BB128" s="21">
        <f>BB127/BA127-1</f>
        <v>0</v>
      </c>
      <c r="BC128" s="21">
        <f>BC127/BB127-1</f>
        <v>0</v>
      </c>
      <c r="BD128" s="21">
        <f>BD127/BC127-1</f>
        <v>0</v>
      </c>
      <c r="BE128" s="21">
        <f>BE127/BD127-1</f>
        <v>0</v>
      </c>
    </row>
    <row r="129" spans="1:58">
      <c r="AO129" s="219" t="s">
        <v>734</v>
      </c>
    </row>
    <row r="130" spans="1:58">
      <c r="A130" s="5" t="s">
        <v>2463</v>
      </c>
      <c r="AO130" s="620">
        <v>51.734999999999999</v>
      </c>
      <c r="AP130" s="620">
        <v>51.734999999999999</v>
      </c>
      <c r="AQ130" s="38"/>
      <c r="AR130" s="620">
        <v>51.734999999999999</v>
      </c>
      <c r="AS130" s="620">
        <v>51.734999999999999</v>
      </c>
      <c r="AT130" s="620">
        <v>51.734999999999999</v>
      </c>
      <c r="AU130" s="620">
        <v>51.734999999999999</v>
      </c>
      <c r="AW130" s="620">
        <v>49.619936000000003</v>
      </c>
      <c r="AX130" s="621">
        <f>AW130</f>
        <v>49.619936000000003</v>
      </c>
      <c r="AY130" s="621">
        <f>AX130</f>
        <v>49.619936000000003</v>
      </c>
      <c r="AZ130" s="621">
        <f>AY130</f>
        <v>49.619936000000003</v>
      </c>
      <c r="BB130" s="621">
        <f>AZ130</f>
        <v>49.619936000000003</v>
      </c>
      <c r="BC130" s="621">
        <f t="shared" ref="BC130:BE130" si="41">BB130</f>
        <v>49.619936000000003</v>
      </c>
      <c r="BD130" s="621">
        <f t="shared" si="41"/>
        <v>49.619936000000003</v>
      </c>
      <c r="BE130" s="621">
        <f t="shared" si="41"/>
        <v>49.619936000000003</v>
      </c>
    </row>
    <row r="131" spans="1:58">
      <c r="A131" s="5" t="s">
        <v>80</v>
      </c>
      <c r="AO131" s="16">
        <f>AO130/AO133</f>
        <v>0.10887490339469949</v>
      </c>
      <c r="AP131" s="16">
        <f>AP130/AP133</f>
        <v>0.10887490339469949</v>
      </c>
      <c r="AQ131" s="85"/>
      <c r="AR131" s="16">
        <f>AR130/AR133</f>
        <v>0.10887490339469949</v>
      </c>
      <c r="AS131" s="16">
        <f>AS130/AS133</f>
        <v>0.10887490339469949</v>
      </c>
      <c r="AT131" s="16">
        <f>AT130/AT133</f>
        <v>0.10887490339469949</v>
      </c>
      <c r="AU131" s="16">
        <f>AU130/AU133</f>
        <v>0.10887490339469949</v>
      </c>
      <c r="AW131" s="16">
        <f>AW130/AW133</f>
        <v>0.10442380861024783</v>
      </c>
      <c r="AX131" s="16">
        <f>AX130/AX133</f>
        <v>0.10442380861024783</v>
      </c>
      <c r="AY131" s="16">
        <f>AY130/AY133</f>
        <v>0.10442380861024783</v>
      </c>
      <c r="AZ131" s="16">
        <f>AZ130/AZ133</f>
        <v>4.211117257645345E-2</v>
      </c>
      <c r="BB131" s="16">
        <f>BB130/BB133</f>
        <v>4.211117257645345E-2</v>
      </c>
      <c r="BC131" s="16">
        <f>BC130/BC133</f>
        <v>4.211117257645345E-2</v>
      </c>
      <c r="BD131" s="16">
        <f>BD130/BD133</f>
        <v>4.211117257645345E-2</v>
      </c>
      <c r="BE131" s="16">
        <f>BE130/BE133</f>
        <v>4.211117257645345E-2</v>
      </c>
    </row>
    <row r="132" spans="1:58">
      <c r="AO132" s="219" t="s">
        <v>734</v>
      </c>
      <c r="AR132" s="678" t="s">
        <v>2680</v>
      </c>
      <c r="AZ132" s="678" t="s">
        <v>3428</v>
      </c>
    </row>
    <row r="133" spans="1:58">
      <c r="A133" s="5" t="s">
        <v>2473</v>
      </c>
      <c r="AO133" s="37">
        <v>475.17837800000001</v>
      </c>
      <c r="AP133" s="37">
        <v>475.17837800000001</v>
      </c>
      <c r="AR133" s="37">
        <v>475.17837800000001</v>
      </c>
      <c r="AS133" s="37">
        <v>475.17837800000001</v>
      </c>
      <c r="AT133" s="37">
        <v>475.17837800000001</v>
      </c>
      <c r="AU133" s="37">
        <v>475.17837800000001</v>
      </c>
      <c r="AW133" s="37">
        <v>475.17837800000001</v>
      </c>
      <c r="AX133" s="228">
        <f>AW133</f>
        <v>475.17837800000001</v>
      </c>
      <c r="AY133" s="228">
        <f>AX133</f>
        <v>475.17837800000001</v>
      </c>
      <c r="AZ133" s="1080">
        <f>AY133+207+496.129728</f>
        <v>1178.308106</v>
      </c>
      <c r="BB133" s="622">
        <f>AZ133</f>
        <v>1178.308106</v>
      </c>
      <c r="BC133" s="622">
        <f t="shared" ref="BC133" si="42">BB133</f>
        <v>1178.308106</v>
      </c>
      <c r="BD133" s="622">
        <f t="shared" ref="BD133" si="43">BC133</f>
        <v>1178.308106</v>
      </c>
      <c r="BE133" s="622">
        <f t="shared" ref="BE133" si="44">BD133</f>
        <v>1178.308106</v>
      </c>
    </row>
    <row r="135" spans="1:58">
      <c r="A135" s="5" t="s">
        <v>2464</v>
      </c>
      <c r="AP135" s="24"/>
      <c r="AR135" s="24"/>
    </row>
    <row r="136" spans="1:58">
      <c r="A136" s="5" t="s">
        <v>739</v>
      </c>
      <c r="AP136" s="21"/>
      <c r="AR136" s="21"/>
    </row>
    <row r="137" spans="1:58">
      <c r="A137" s="222" t="s">
        <v>740</v>
      </c>
    </row>
    <row r="138" spans="1:58" s="618" customFormat="1">
      <c r="A138" s="619" t="s">
        <v>2466</v>
      </c>
    </row>
    <row r="140" spans="1:58" s="12" customFormat="1">
      <c r="A140" s="13" t="s">
        <v>2478</v>
      </c>
      <c r="AO140" s="227"/>
    </row>
    <row r="141" spans="1:58">
      <c r="AO141" s="219" t="s">
        <v>734</v>
      </c>
    </row>
    <row r="142" spans="1:58">
      <c r="A142" s="5" t="s">
        <v>749</v>
      </c>
      <c r="AO142" s="223">
        <v>16.13</v>
      </c>
      <c r="AP142" s="223">
        <v>16.41</v>
      </c>
      <c r="AQ142" s="24">
        <f>AP142</f>
        <v>16.41</v>
      </c>
      <c r="AR142" s="223">
        <v>16.5</v>
      </c>
      <c r="AS142" s="223">
        <v>16.489999999999998</v>
      </c>
      <c r="AT142" s="223">
        <v>36.68</v>
      </c>
      <c r="AU142" s="223">
        <v>31.43</v>
      </c>
      <c r="AV142" s="24">
        <f>AU142</f>
        <v>31.43</v>
      </c>
      <c r="AW142" s="223">
        <v>43.81</v>
      </c>
      <c r="AX142" s="223">
        <v>53.53</v>
      </c>
      <c r="AY142" s="223">
        <v>71.180000000000007</v>
      </c>
      <c r="AZ142" s="221">
        <v>51.75</v>
      </c>
      <c r="BA142" s="24">
        <f>AZ142</f>
        <v>51.75</v>
      </c>
      <c r="BB142" s="221">
        <f t="shared" ref="BB142:BF142" si="45">BA142</f>
        <v>51.75</v>
      </c>
      <c r="BC142" s="221">
        <f t="shared" si="45"/>
        <v>51.75</v>
      </c>
      <c r="BD142" s="221">
        <f t="shared" si="45"/>
        <v>51.75</v>
      </c>
      <c r="BE142" s="221">
        <f t="shared" si="45"/>
        <v>51.75</v>
      </c>
      <c r="BF142" s="24">
        <f t="shared" si="45"/>
        <v>51.75</v>
      </c>
    </row>
    <row r="143" spans="1:58">
      <c r="A143" s="5" t="s">
        <v>738</v>
      </c>
      <c r="AP143" s="21">
        <f>AP142/AO142-1</f>
        <v>1.7358958462492247E-2</v>
      </c>
      <c r="AR143" s="21">
        <f>AR142/AQ142-1</f>
        <v>5.4844606946984342E-3</v>
      </c>
      <c r="AS143" s="21">
        <f>AS142/AR142-1</f>
        <v>-6.0606060606072099E-4</v>
      </c>
      <c r="AT143" s="21">
        <f>AT142/AS142-1</f>
        <v>1.2243784111582778</v>
      </c>
      <c r="AU143" s="21">
        <f>AU142/AT142-1</f>
        <v>-0.14312977099236646</v>
      </c>
      <c r="AW143" s="21">
        <f>AW142/AV142-1</f>
        <v>0.39389118676423807</v>
      </c>
      <c r="AX143" s="21">
        <f>AX142/AW142-1</f>
        <v>0.22186715361789533</v>
      </c>
      <c r="AY143" s="21">
        <f>AY142/AX142-1</f>
        <v>0.3297216514104242</v>
      </c>
      <c r="AZ143" s="21">
        <f>AZ142/AY142-1</f>
        <v>-0.27296993537510539</v>
      </c>
    </row>
    <row r="144" spans="1:58">
      <c r="AO144" s="623" t="s">
        <v>2476</v>
      </c>
    </row>
    <row r="145" spans="1:58">
      <c r="A145" s="5" t="s">
        <v>2463</v>
      </c>
      <c r="AO145" s="620">
        <v>11.983383999999999</v>
      </c>
      <c r="AP145" s="620">
        <v>11.983383999999999</v>
      </c>
      <c r="AQ145" s="38"/>
      <c r="AR145" s="620">
        <v>11.983383999999999</v>
      </c>
      <c r="AS145" s="620">
        <v>11.983383999999999</v>
      </c>
      <c r="AT145" s="620">
        <v>10.699211</v>
      </c>
      <c r="AU145" s="620">
        <v>10.452476000000001</v>
      </c>
      <c r="AW145" s="620">
        <v>5.9586980000000001</v>
      </c>
      <c r="AX145" s="620">
        <v>3.5639240000000001</v>
      </c>
      <c r="AY145" s="620">
        <v>0.92549599999999999</v>
      </c>
      <c r="AZ145" s="621">
        <f>AY145</f>
        <v>0.92549599999999999</v>
      </c>
      <c r="BB145" s="621">
        <f>AZ145</f>
        <v>0.92549599999999999</v>
      </c>
      <c r="BC145" s="621">
        <f t="shared" ref="BC145" si="46">BB145</f>
        <v>0.92549599999999999</v>
      </c>
      <c r="BD145" s="621">
        <f t="shared" ref="BD145" si="47">BC145</f>
        <v>0.92549599999999999</v>
      </c>
      <c r="BE145" s="621">
        <f t="shared" ref="BE145" si="48">BD145</f>
        <v>0.92549599999999999</v>
      </c>
    </row>
    <row r="146" spans="1:58">
      <c r="A146" s="5" t="s">
        <v>80</v>
      </c>
      <c r="AO146" s="16">
        <f>AO145/AO148</f>
        <v>0.17064414412721002</v>
      </c>
      <c r="AP146" s="16">
        <f>AP145/AP148</f>
        <v>0.16997327350601996</v>
      </c>
      <c r="AQ146" s="85"/>
      <c r="AR146" s="16">
        <f>AR145/AR148</f>
        <v>0.16871364731969515</v>
      </c>
      <c r="AS146" s="16">
        <f>AS145/AS148</f>
        <v>0.16782383865227615</v>
      </c>
      <c r="AT146" s="16">
        <f>AT145/AT148</f>
        <v>0.14692665814154557</v>
      </c>
      <c r="AU146" s="16">
        <f>AU145/AU148</f>
        <v>0.14266442479523633</v>
      </c>
      <c r="AW146" s="16">
        <f>AW145/AW148</f>
        <v>8.0646731049361889E-2</v>
      </c>
      <c r="AX146" s="16">
        <f>AX145/AX148</f>
        <v>4.8235171560694304E-2</v>
      </c>
      <c r="AY146" s="16">
        <f>AY145/AY148</f>
        <v>1.2525928818554025E-2</v>
      </c>
      <c r="AZ146" s="16">
        <f>AZ145/AZ148</f>
        <v>1.2525928818554025E-2</v>
      </c>
      <c r="BB146" s="16">
        <f>BB145/BB148</f>
        <v>1.2525928818554025E-2</v>
      </c>
      <c r="BC146" s="16">
        <f>BC145/BC148</f>
        <v>1.2525928818554025E-2</v>
      </c>
      <c r="BD146" s="16">
        <f>BD145/BD148</f>
        <v>1.2525928818554025E-2</v>
      </c>
      <c r="BE146" s="16">
        <f>BE145/BE148</f>
        <v>1.2525928818554025E-2</v>
      </c>
    </row>
    <row r="148" spans="1:58">
      <c r="A148" s="5" t="s">
        <v>2479</v>
      </c>
      <c r="AO148" s="620">
        <v>70.224407999999997</v>
      </c>
      <c r="AP148" s="620">
        <v>70.501577999999995</v>
      </c>
      <c r="AR148" s="620">
        <v>71.027946999999998</v>
      </c>
      <c r="AS148" s="620">
        <v>71.404539999999997</v>
      </c>
      <c r="AT148" s="620">
        <v>72.820080000000004</v>
      </c>
      <c r="AU148" s="620">
        <v>73.266170000000002</v>
      </c>
      <c r="AW148" s="620">
        <v>73.886416999999994</v>
      </c>
      <c r="AX148" s="621">
        <f>AW148</f>
        <v>73.886416999999994</v>
      </c>
      <c r="AY148" s="621">
        <f>AX148</f>
        <v>73.886416999999994</v>
      </c>
      <c r="AZ148" s="621">
        <f>AY148</f>
        <v>73.886416999999994</v>
      </c>
      <c r="BB148" s="622">
        <f>AZ148</f>
        <v>73.886416999999994</v>
      </c>
      <c r="BC148" s="622">
        <f t="shared" ref="BC148" si="49">BB148</f>
        <v>73.886416999999994</v>
      </c>
      <c r="BD148" s="622">
        <f t="shared" ref="BD148" si="50">BC148</f>
        <v>73.886416999999994</v>
      </c>
      <c r="BE148" s="622">
        <f t="shared" ref="BE148" si="51">BD148</f>
        <v>73.886416999999994</v>
      </c>
    </row>
    <row r="149" spans="1:58">
      <c r="AO149" s="262" t="s">
        <v>2477</v>
      </c>
    </row>
    <row r="150" spans="1:58">
      <c r="A150" s="5" t="s">
        <v>2464</v>
      </c>
      <c r="AP150" s="24"/>
      <c r="AR150" s="24"/>
    </row>
    <row r="151" spans="1:58">
      <c r="A151" s="5" t="s">
        <v>739</v>
      </c>
      <c r="AP151" s="21"/>
      <c r="AR151" s="21"/>
    </row>
    <row r="152" spans="1:58">
      <c r="A152" s="222" t="s">
        <v>740</v>
      </c>
    </row>
    <row r="153" spans="1:58" s="618" customFormat="1">
      <c r="A153" s="619" t="s">
        <v>2466</v>
      </c>
    </row>
    <row r="155" spans="1:58" s="12" customFormat="1">
      <c r="A155" s="13" t="s">
        <v>3503</v>
      </c>
      <c r="AO155" s="227"/>
    </row>
    <row r="157" spans="1:58">
      <c r="A157" s="5" t="s">
        <v>749</v>
      </c>
      <c r="AR157" s="223">
        <v>22.83</v>
      </c>
      <c r="AS157" s="223">
        <v>11.44</v>
      </c>
      <c r="AT157" s="223">
        <v>13.58</v>
      </c>
      <c r="AU157" s="223">
        <v>7.67</v>
      </c>
      <c r="AV157" s="24">
        <f>AU157</f>
        <v>7.67</v>
      </c>
      <c r="AW157" s="223">
        <v>9.08</v>
      </c>
      <c r="AX157" s="223">
        <v>19.41</v>
      </c>
      <c r="AY157" s="223">
        <v>13.03</v>
      </c>
      <c r="AZ157" s="221">
        <v>11.25</v>
      </c>
      <c r="BA157" s="24">
        <f>AZ157</f>
        <v>11.25</v>
      </c>
      <c r="BB157" s="221">
        <f t="shared" ref="BB157:BF157" si="52">BA157</f>
        <v>11.25</v>
      </c>
      <c r="BC157" s="221">
        <f t="shared" si="52"/>
        <v>11.25</v>
      </c>
      <c r="BD157" s="221">
        <f t="shared" si="52"/>
        <v>11.25</v>
      </c>
      <c r="BE157" s="221">
        <f t="shared" si="52"/>
        <v>11.25</v>
      </c>
      <c r="BF157" s="24">
        <f t="shared" si="52"/>
        <v>11.25</v>
      </c>
    </row>
    <row r="158" spans="1:58">
      <c r="A158" s="5" t="s">
        <v>738</v>
      </c>
      <c r="AR158" s="21"/>
      <c r="AS158" s="21"/>
      <c r="AT158" s="21"/>
      <c r="AU158" s="21"/>
      <c r="AW158" s="21"/>
      <c r="AX158" s="21"/>
      <c r="AY158" s="21"/>
      <c r="AZ158" s="21"/>
    </row>
    <row r="160" spans="1:58">
      <c r="A160" s="5" t="s">
        <v>2463</v>
      </c>
      <c r="AR160" s="620">
        <v>31.432480000000002</v>
      </c>
      <c r="AS160" s="620">
        <v>31.432480000000002</v>
      </c>
      <c r="AT160" s="620">
        <v>31.432480000000002</v>
      </c>
      <c r="AU160" s="620">
        <v>31.432480000000002</v>
      </c>
      <c r="AW160" s="620">
        <v>31.432480000000002</v>
      </c>
      <c r="AX160" s="620">
        <v>31.432480000000002</v>
      </c>
      <c r="AY160" s="620">
        <v>31.432480000000002</v>
      </c>
      <c r="AZ160" s="621">
        <f>AY160</f>
        <v>31.432480000000002</v>
      </c>
      <c r="BB160" s="621">
        <f>AZ160</f>
        <v>31.432480000000002</v>
      </c>
      <c r="BC160" s="621">
        <f t="shared" ref="BC160" si="53">BB160</f>
        <v>31.432480000000002</v>
      </c>
      <c r="BD160" s="621">
        <f t="shared" ref="BD160" si="54">BC160</f>
        <v>31.432480000000002</v>
      </c>
      <c r="BE160" s="621">
        <f t="shared" ref="BE160" si="55">BD160</f>
        <v>31.432480000000002</v>
      </c>
    </row>
    <row r="161" spans="1:58">
      <c r="A161" s="5" t="s">
        <v>80</v>
      </c>
      <c r="AR161" s="16"/>
      <c r="AS161" s="16"/>
      <c r="AT161" s="16"/>
      <c r="AU161" s="16"/>
      <c r="AW161" s="16"/>
      <c r="AX161" s="16"/>
      <c r="AY161" s="16"/>
      <c r="AZ161" s="16"/>
      <c r="BB161" s="16"/>
      <c r="BC161" s="16"/>
      <c r="BD161" s="16"/>
      <c r="BE161" s="16"/>
    </row>
    <row r="163" spans="1:58">
      <c r="A163" s="5" t="s">
        <v>3504</v>
      </c>
    </row>
    <row r="164" spans="1:58">
      <c r="AO164" s="262"/>
    </row>
    <row r="165" spans="1:58">
      <c r="A165" s="5" t="s">
        <v>2464</v>
      </c>
      <c r="AP165" s="24"/>
      <c r="AR165" s="24"/>
    </row>
    <row r="166" spans="1:58">
      <c r="A166" s="5" t="s">
        <v>739</v>
      </c>
      <c r="AP166" s="21"/>
      <c r="AR166" s="21"/>
    </row>
    <row r="167" spans="1:58">
      <c r="A167" s="222" t="s">
        <v>740</v>
      </c>
    </row>
    <row r="168" spans="1:58" s="618" customFormat="1">
      <c r="A168" s="619" t="s">
        <v>2466</v>
      </c>
    </row>
    <row r="170" spans="1:58" s="12" customFormat="1">
      <c r="A170" s="13" t="s">
        <v>2833</v>
      </c>
      <c r="AO170" s="227"/>
    </row>
    <row r="172" spans="1:58">
      <c r="A172" s="5" t="s">
        <v>749</v>
      </c>
      <c r="AR172" s="223">
        <v>35</v>
      </c>
      <c r="AS172" s="223">
        <v>56.6</v>
      </c>
      <c r="AT172" s="223">
        <v>33.76</v>
      </c>
      <c r="AU172" s="223">
        <v>48.24</v>
      </c>
      <c r="AV172" s="24">
        <f>AU172</f>
        <v>48.24</v>
      </c>
      <c r="AW172" s="223">
        <v>63.54</v>
      </c>
      <c r="AX172" s="223">
        <v>80.709999999999994</v>
      </c>
      <c r="AY172" s="223">
        <v>59.05</v>
      </c>
      <c r="AZ172" s="221">
        <v>53.25</v>
      </c>
      <c r="BA172" s="24">
        <f>AZ172</f>
        <v>53.25</v>
      </c>
      <c r="BB172" s="221">
        <f t="shared" ref="BB172:BF172" si="56">BA172</f>
        <v>53.25</v>
      </c>
      <c r="BC172" s="221">
        <f t="shared" si="56"/>
        <v>53.25</v>
      </c>
      <c r="BD172" s="221">
        <f t="shared" si="56"/>
        <v>53.25</v>
      </c>
      <c r="BE172" s="221">
        <f t="shared" si="56"/>
        <v>53.25</v>
      </c>
      <c r="BF172" s="24">
        <f t="shared" si="56"/>
        <v>53.25</v>
      </c>
    </row>
    <row r="173" spans="1:58">
      <c r="A173" s="5" t="s">
        <v>738</v>
      </c>
      <c r="AR173" s="21"/>
      <c r="AS173" s="21">
        <f>AS172/AR172-1</f>
        <v>0.61714285714285722</v>
      </c>
      <c r="AT173" s="21">
        <f>AT172/AS172-1</f>
        <v>-0.40353356890459369</v>
      </c>
      <c r="AU173" s="21">
        <f>AU172/AT172-1</f>
        <v>0.42890995260663511</v>
      </c>
      <c r="AW173" s="21">
        <f>AW172/AV172-1</f>
        <v>0.31716417910447747</v>
      </c>
      <c r="AX173" s="21">
        <f>AX172/AW172-1</f>
        <v>0.27022348127163975</v>
      </c>
      <c r="AY173" s="21">
        <f>AY172/AX172-1</f>
        <v>-0.26836823194151904</v>
      </c>
      <c r="AZ173" s="21"/>
    </row>
    <row r="175" spans="1:58">
      <c r="A175" s="5" t="s">
        <v>2463</v>
      </c>
      <c r="AR175" s="620">
        <v>5.4054060000000002</v>
      </c>
      <c r="AS175" s="620">
        <v>5.4054060000000002</v>
      </c>
      <c r="AT175" s="620">
        <v>5.4054060000000002</v>
      </c>
      <c r="AU175" s="620">
        <v>5.4054060000000002</v>
      </c>
      <c r="AW175" s="620">
        <v>5.4054060000000002</v>
      </c>
      <c r="AX175" s="620">
        <v>5.4054060000000002</v>
      </c>
      <c r="AY175" s="621">
        <f>AX175</f>
        <v>5.4054060000000002</v>
      </c>
      <c r="AZ175" s="621">
        <f>AY175</f>
        <v>5.4054060000000002</v>
      </c>
      <c r="BB175" s="621">
        <f>AZ175</f>
        <v>5.4054060000000002</v>
      </c>
      <c r="BC175" s="621">
        <f t="shared" ref="BC175" si="57">BB175</f>
        <v>5.4054060000000002</v>
      </c>
      <c r="BD175" s="621">
        <f t="shared" ref="BD175" si="58">BC175</f>
        <v>5.4054060000000002</v>
      </c>
      <c r="BE175" s="621">
        <f t="shared" ref="BE175" si="59">BD175</f>
        <v>5.4054060000000002</v>
      </c>
    </row>
    <row r="176" spans="1:58">
      <c r="A176" s="5" t="s">
        <v>80</v>
      </c>
      <c r="AR176" s="16">
        <f>AR175/AR178</f>
        <v>3.5027547404620642E-2</v>
      </c>
      <c r="AS176" s="16">
        <f>AS175/AS178</f>
        <v>3.4331878124597419E-2</v>
      </c>
      <c r="AT176" s="16">
        <f>AT175/AT178</f>
        <v>3.1387963837742512E-2</v>
      </c>
      <c r="AU176" s="16">
        <f>AU175/AU178</f>
        <v>3.1224140750049197E-2</v>
      </c>
      <c r="AW176" s="16">
        <f>AW175/AW178</f>
        <v>3.1114269159300562E-2</v>
      </c>
      <c r="AX176" s="16">
        <f>AX175/AX178</f>
        <v>3.1114269159300562E-2</v>
      </c>
      <c r="AY176" s="16">
        <f>AY175/AY178</f>
        <v>3.1114269159300562E-2</v>
      </c>
      <c r="AZ176" s="16">
        <f>AZ175/AZ178</f>
        <v>3.1114269159300562E-2</v>
      </c>
      <c r="BB176" s="16">
        <f>BB175/BB178</f>
        <v>3.1114269159300562E-2</v>
      </c>
      <c r="BC176" s="16">
        <f>BC175/BC178</f>
        <v>3.1114269159300562E-2</v>
      </c>
      <c r="BD176" s="16">
        <f>BD175/BD178</f>
        <v>3.1114269159300562E-2</v>
      </c>
      <c r="BE176" s="16">
        <f>BE175/BE178</f>
        <v>3.1114269159300562E-2</v>
      </c>
    </row>
    <row r="178" spans="1:57">
      <c r="A178" s="5" t="s">
        <v>2834</v>
      </c>
      <c r="AR178" s="620">
        <f>149.274923+5.043789</f>
        <v>154.318712</v>
      </c>
      <c r="AS178" s="620">
        <f>152.401894+5.043789</f>
        <v>157.445683</v>
      </c>
      <c r="AT178" s="620">
        <f>167.168911+5.043789</f>
        <v>172.21270000000001</v>
      </c>
      <c r="AU178" s="620">
        <f>168.072456+5.043789</f>
        <v>173.11624499999999</v>
      </c>
      <c r="AW178" s="620">
        <f>168.683769+5.043789</f>
        <v>173.72755800000002</v>
      </c>
      <c r="AX178" s="621">
        <f>AW178</f>
        <v>173.72755800000002</v>
      </c>
      <c r="AY178" s="621">
        <f>AX178</f>
        <v>173.72755800000002</v>
      </c>
      <c r="AZ178" s="621">
        <f>AY178</f>
        <v>173.72755800000002</v>
      </c>
      <c r="BB178" s="622">
        <f>AZ178</f>
        <v>173.72755800000002</v>
      </c>
      <c r="BC178" s="622">
        <f t="shared" ref="BC178" si="60">BB178</f>
        <v>173.72755800000002</v>
      </c>
      <c r="BD178" s="622">
        <f t="shared" ref="BD178" si="61">BC178</f>
        <v>173.72755800000002</v>
      </c>
      <c r="BE178" s="622">
        <f t="shared" ref="BE178" si="62">BD178</f>
        <v>173.72755800000002</v>
      </c>
    </row>
    <row r="179" spans="1:57">
      <c r="AR179" s="262" t="s">
        <v>2844</v>
      </c>
    </row>
    <row r="180" spans="1:57">
      <c r="A180" s="5" t="s">
        <v>2464</v>
      </c>
      <c r="AP180" s="24"/>
      <c r="AR180" s="24"/>
    </row>
    <row r="181" spans="1:57">
      <c r="A181" s="5" t="s">
        <v>739</v>
      </c>
      <c r="AP181" s="21"/>
      <c r="AR181" s="21"/>
    </row>
    <row r="182" spans="1:57">
      <c r="A182" s="222" t="s">
        <v>740</v>
      </c>
    </row>
    <row r="183" spans="1:57" s="618" customFormat="1">
      <c r="A183" s="619" t="s">
        <v>2466</v>
      </c>
    </row>
    <row r="185" spans="1:57" s="12" customFormat="1">
      <c r="A185" s="13" t="s">
        <v>2888</v>
      </c>
      <c r="AO185" s="227"/>
    </row>
    <row r="187" spans="1:57">
      <c r="A187" s="5" t="s">
        <v>749</v>
      </c>
      <c r="AU187" s="223">
        <v>2.2999999999999998</v>
      </c>
      <c r="AV187" s="24">
        <f>AU187</f>
        <v>2.2999999999999998</v>
      </c>
      <c r="AW187" s="223">
        <v>4.78</v>
      </c>
      <c r="AX187" s="223">
        <v>12.59</v>
      </c>
      <c r="AY187" s="723">
        <f>(4.78+12.59)/2</f>
        <v>8.6850000000000005</v>
      </c>
      <c r="AZ187" s="949" t="s">
        <v>3201</v>
      </c>
      <c r="BA187" s="46"/>
      <c r="BB187" s="46"/>
      <c r="BC187" s="46"/>
    </row>
    <row r="188" spans="1:57">
      <c r="A188" s="5" t="s">
        <v>738</v>
      </c>
      <c r="AU188" s="21"/>
      <c r="AW188" s="21">
        <f>AW187/AV187-1</f>
        <v>1.0782608695652178</v>
      </c>
      <c r="AX188" s="21">
        <f>AX187/AW187-1</f>
        <v>1.6338912133891212</v>
      </c>
      <c r="AY188" s="21"/>
    </row>
    <row r="190" spans="1:57">
      <c r="A190" s="5" t="s">
        <v>2463</v>
      </c>
      <c r="AU190" s="620">
        <v>10.438413000000001</v>
      </c>
      <c r="AW190" s="620">
        <v>10.438413000000001</v>
      </c>
      <c r="AX190" s="620">
        <v>0</v>
      </c>
      <c r="AY190" s="621">
        <f>AX190</f>
        <v>0</v>
      </c>
    </row>
    <row r="191" spans="1:57">
      <c r="A191" s="5" t="s">
        <v>80</v>
      </c>
      <c r="AU191" s="16"/>
      <c r="AW191" s="16"/>
      <c r="AX191" s="16"/>
      <c r="AY191" s="16"/>
    </row>
    <row r="193" spans="1:51">
      <c r="A193" s="5" t="s">
        <v>2889</v>
      </c>
      <c r="AU193" s="621"/>
      <c r="AW193" s="621"/>
      <c r="AX193" s="621"/>
      <c r="AY193" s="621"/>
    </row>
    <row r="194" spans="1:51">
      <c r="AR194" s="262"/>
    </row>
    <row r="195" spans="1:51">
      <c r="A195" s="5" t="s">
        <v>2464</v>
      </c>
      <c r="AP195" s="24"/>
      <c r="AR195" s="24"/>
    </row>
    <row r="196" spans="1:51">
      <c r="A196" s="5" t="s">
        <v>739</v>
      </c>
      <c r="AP196" s="21"/>
      <c r="AR196" s="21"/>
    </row>
    <row r="197" spans="1:51">
      <c r="A197" s="222" t="s">
        <v>740</v>
      </c>
    </row>
    <row r="198" spans="1:51" s="618" customFormat="1">
      <c r="A198" s="619" t="s">
        <v>2466</v>
      </c>
    </row>
  </sheetData>
  <pageMargins left="0.7" right="0.7" top="0.75" bottom="0.75" header="0.3" footer="0.3"/>
  <pageSetup orientation="portrait"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1DC00-F41B-4D32-B100-E9A48C0D8AAB}">
  <sheetPr codeName="Sheet33"/>
  <dimension ref="A1:BZ88"/>
  <sheetViews>
    <sheetView zoomScale="90" zoomScaleNormal="90" workbookViewId="0">
      <pane xSplit="8" ySplit="2" topLeftCell="AS3" activePane="bottomRight" state="frozen"/>
      <selection activeCell="AO44" sqref="AO44:AS44"/>
      <selection pane="topRight" activeCell="AO44" sqref="AO44:AS44"/>
      <selection pane="bottomLeft" activeCell="AO44" sqref="AO44:AS44"/>
      <selection pane="bottomRight"/>
    </sheetView>
  </sheetViews>
  <sheetFormatPr defaultColWidth="9.140625" defaultRowHeight="12" outlineLevelCol="1"/>
  <cols>
    <col min="1" max="1" width="9.140625" style="1"/>
    <col min="2" max="2" width="18.42578125" style="1" customWidth="1"/>
    <col min="3" max="8" width="9.140625" style="1"/>
    <col min="9" max="12" width="11" style="1" hidden="1" customWidth="1" outlineLevel="1"/>
    <col min="13" max="13" width="11" style="1" customWidth="1" collapsed="1"/>
    <col min="14" max="17" width="11" style="1" hidden="1" customWidth="1" outlineLevel="1"/>
    <col min="18" max="18" width="11" style="1" customWidth="1" collapsed="1"/>
    <col min="19" max="22" width="11" style="1" hidden="1" customWidth="1" outlineLevel="1"/>
    <col min="23" max="23" width="11" style="1" customWidth="1" collapsed="1"/>
    <col min="24" max="27" width="11" style="1" hidden="1" customWidth="1" outlineLevel="1"/>
    <col min="28" max="28" width="11" style="1" customWidth="1" collapsed="1"/>
    <col min="29" max="32" width="11" style="1" hidden="1" customWidth="1" outlineLevel="1"/>
    <col min="33" max="33" width="11" style="1" customWidth="1" collapsed="1"/>
    <col min="34" max="37" width="11" style="1" hidden="1" customWidth="1" outlineLevel="1"/>
    <col min="38" max="38" width="11" style="1" customWidth="1" collapsed="1"/>
    <col min="39" max="42" width="11" style="1" customWidth="1" outlineLevel="1"/>
    <col min="43" max="43" width="11" style="1" customWidth="1"/>
    <col min="44" max="47" width="11.42578125" style="1" customWidth="1" outlineLevel="1"/>
    <col min="48" max="48" width="11.42578125" style="1" customWidth="1"/>
    <col min="49" max="52" width="11.42578125" style="1" customWidth="1" outlineLevel="1"/>
    <col min="53" max="53" width="11.42578125" style="1" customWidth="1"/>
    <col min="54" max="57" width="11.42578125" style="1" customWidth="1" outlineLevel="1"/>
    <col min="58" max="58" width="11.42578125" style="1" customWidth="1"/>
    <col min="59" max="62" width="11.42578125" style="1" customWidth="1" outlineLevel="1"/>
    <col min="63" max="63" width="11.42578125" style="1" customWidth="1"/>
    <col min="64" max="67" width="11.42578125" style="1" customWidth="1" outlineLevel="1"/>
    <col min="68" max="68" width="11.42578125" style="1" customWidth="1"/>
    <col min="69" max="72" width="11.42578125" style="1" customWidth="1" outlineLevel="1"/>
    <col min="73" max="73" width="11.42578125" style="1" customWidth="1"/>
    <col min="74" max="77" width="11.42578125" style="1" customWidth="1" outlineLevel="1"/>
    <col min="78" max="78" width="11.42578125" style="1" customWidth="1"/>
    <col min="79" max="16384" width="9.140625" style="1"/>
  </cols>
  <sheetData>
    <row r="1" spans="1:78" s="2" customFormat="1">
      <c r="A1" s="2" t="s">
        <v>0</v>
      </c>
      <c r="I1" s="43" t="s">
        <v>160</v>
      </c>
      <c r="J1" s="43" t="s">
        <v>161</v>
      </c>
      <c r="K1" s="43" t="s">
        <v>162</v>
      </c>
      <c r="M1" s="18" t="s">
        <v>159</v>
      </c>
      <c r="N1" s="43" t="s">
        <v>150</v>
      </c>
      <c r="O1" s="43" t="s">
        <v>151</v>
      </c>
      <c r="P1" s="43" t="s">
        <v>152</v>
      </c>
      <c r="R1" s="18" t="s">
        <v>153</v>
      </c>
      <c r="S1" s="43" t="s">
        <v>146</v>
      </c>
      <c r="T1" s="43" t="s">
        <v>147</v>
      </c>
      <c r="U1" s="43" t="s">
        <v>148</v>
      </c>
      <c r="W1" s="18" t="s">
        <v>149</v>
      </c>
      <c r="X1" s="43" t="s">
        <v>142</v>
      </c>
      <c r="Y1" s="43" t="s">
        <v>143</v>
      </c>
      <c r="Z1" s="43" t="s">
        <v>144</v>
      </c>
      <c r="AB1" s="18" t="s">
        <v>145</v>
      </c>
      <c r="AC1" s="43" t="s">
        <v>138</v>
      </c>
      <c r="AD1" s="43" t="s">
        <v>139</v>
      </c>
      <c r="AE1" s="43" t="s">
        <v>140</v>
      </c>
      <c r="AG1" s="18" t="s">
        <v>141</v>
      </c>
      <c r="AH1" s="43" t="s">
        <v>126</v>
      </c>
      <c r="AI1" s="43" t="s">
        <v>127</v>
      </c>
      <c r="AJ1" s="43" t="s">
        <v>128</v>
      </c>
      <c r="AL1" s="18" t="s">
        <v>79</v>
      </c>
      <c r="AM1" s="43" t="s">
        <v>129</v>
      </c>
      <c r="AN1" s="43" t="s">
        <v>130</v>
      </c>
      <c r="AO1" s="43" t="s">
        <v>131</v>
      </c>
      <c r="AQ1" s="18" t="s">
        <v>90</v>
      </c>
      <c r="AR1" s="43" t="s">
        <v>700</v>
      </c>
      <c r="AS1" s="43" t="s">
        <v>701</v>
      </c>
      <c r="AT1" s="43" t="s">
        <v>702</v>
      </c>
      <c r="AV1" s="18" t="s">
        <v>699</v>
      </c>
      <c r="AW1" s="43" t="s">
        <v>1177</v>
      </c>
      <c r="AX1" s="43" t="s">
        <v>1178</v>
      </c>
      <c r="AY1" s="43" t="s">
        <v>1179</v>
      </c>
      <c r="BA1" s="18" t="s">
        <v>1180</v>
      </c>
      <c r="BB1" s="43" t="s">
        <v>1189</v>
      </c>
      <c r="BC1" s="43" t="s">
        <v>1190</v>
      </c>
      <c r="BD1" s="43" t="s">
        <v>1191</v>
      </c>
      <c r="BF1" s="18" t="s">
        <v>1198</v>
      </c>
      <c r="BG1" s="43" t="s">
        <v>1192</v>
      </c>
      <c r="BH1" s="43" t="s">
        <v>1199</v>
      </c>
      <c r="BI1" s="43" t="s">
        <v>1200</v>
      </c>
      <c r="BK1" s="18" t="s">
        <v>1209</v>
      </c>
      <c r="BL1" s="43" t="s">
        <v>1201</v>
      </c>
      <c r="BM1" s="43" t="s">
        <v>1203</v>
      </c>
      <c r="BN1" s="43" t="s">
        <v>1205</v>
      </c>
      <c r="BP1" s="18" t="s">
        <v>1210</v>
      </c>
      <c r="BQ1" s="43" t="s">
        <v>1211</v>
      </c>
      <c r="BR1" s="43" t="s">
        <v>1213</v>
      </c>
      <c r="BS1" s="43" t="s">
        <v>1215</v>
      </c>
      <c r="BU1" s="18" t="s">
        <v>1219</v>
      </c>
      <c r="BV1" s="43" t="s">
        <v>1211</v>
      </c>
      <c r="BW1" s="43" t="s">
        <v>1213</v>
      </c>
      <c r="BX1" s="43" t="s">
        <v>1215</v>
      </c>
      <c r="BZ1" s="18" t="s">
        <v>1220</v>
      </c>
    </row>
    <row r="2" spans="1:78" s="2" customFormat="1">
      <c r="A2" s="2" t="s">
        <v>2</v>
      </c>
      <c r="I2" s="6" t="s">
        <v>194</v>
      </c>
      <c r="J2" s="6" t="s">
        <v>195</v>
      </c>
      <c r="K2" s="6" t="s">
        <v>196</v>
      </c>
      <c r="L2" s="6" t="s">
        <v>197</v>
      </c>
      <c r="M2" s="6" t="s">
        <v>198</v>
      </c>
      <c r="N2" s="6" t="s">
        <v>163</v>
      </c>
      <c r="O2" s="6" t="s">
        <v>164</v>
      </c>
      <c r="P2" s="6" t="s">
        <v>165</v>
      </c>
      <c r="Q2" s="6" t="s">
        <v>166</v>
      </c>
      <c r="R2" s="6" t="s">
        <v>167</v>
      </c>
      <c r="S2" s="6" t="s">
        <v>154</v>
      </c>
      <c r="T2" s="6" t="s">
        <v>155</v>
      </c>
      <c r="U2" s="6" t="s">
        <v>156</v>
      </c>
      <c r="V2" s="6" t="s">
        <v>157</v>
      </c>
      <c r="W2" s="6" t="s">
        <v>158</v>
      </c>
      <c r="X2" s="6" t="s">
        <v>133</v>
      </c>
      <c r="Y2" s="6" t="s">
        <v>134</v>
      </c>
      <c r="Z2" s="6" t="s">
        <v>135</v>
      </c>
      <c r="AA2" s="6" t="s">
        <v>136</v>
      </c>
      <c r="AB2" s="6" t="s">
        <v>137</v>
      </c>
      <c r="AC2" s="6" t="s">
        <v>74</v>
      </c>
      <c r="AD2" s="6" t="s">
        <v>75</v>
      </c>
      <c r="AE2" s="6" t="s">
        <v>76</v>
      </c>
      <c r="AF2" s="6" t="s">
        <v>77</v>
      </c>
      <c r="AG2" s="6" t="s">
        <v>78</v>
      </c>
      <c r="AH2" s="6" t="s">
        <v>10</v>
      </c>
      <c r="AI2" s="6" t="s">
        <v>11</v>
      </c>
      <c r="AJ2" s="6" t="s">
        <v>12</v>
      </c>
      <c r="AK2" s="6" t="s">
        <v>13</v>
      </c>
      <c r="AL2" s="6" t="s">
        <v>14</v>
      </c>
      <c r="AM2" s="6" t="s">
        <v>91</v>
      </c>
      <c r="AN2" s="6" t="s">
        <v>92</v>
      </c>
      <c r="AO2" s="6" t="s">
        <v>93</v>
      </c>
      <c r="AP2" s="6" t="s">
        <v>94</v>
      </c>
      <c r="AQ2" s="6" t="s">
        <v>95</v>
      </c>
      <c r="AR2" s="6" t="s">
        <v>686</v>
      </c>
      <c r="AS2" s="6" t="s">
        <v>695</v>
      </c>
      <c r="AT2" s="6" t="s">
        <v>696</v>
      </c>
      <c r="AU2" s="6" t="s">
        <v>697</v>
      </c>
      <c r="AV2" s="6" t="s">
        <v>698</v>
      </c>
      <c r="AW2" s="6" t="s">
        <v>1172</v>
      </c>
      <c r="AX2" s="6" t="s">
        <v>1173</v>
      </c>
      <c r="AY2" s="6" t="s">
        <v>1174</v>
      </c>
      <c r="AZ2" s="6" t="s">
        <v>1175</v>
      </c>
      <c r="BA2" s="6" t="s">
        <v>1176</v>
      </c>
      <c r="BB2" s="6" t="s">
        <v>1184</v>
      </c>
      <c r="BC2" s="6" t="s">
        <v>1185</v>
      </c>
      <c r="BD2" s="6" t="s">
        <v>1186</v>
      </c>
      <c r="BE2" s="6" t="s">
        <v>1187</v>
      </c>
      <c r="BF2" s="6" t="s">
        <v>1188</v>
      </c>
      <c r="BG2" s="6" t="s">
        <v>1193</v>
      </c>
      <c r="BH2" s="6" t="s">
        <v>1194</v>
      </c>
      <c r="BI2" s="6" t="s">
        <v>1195</v>
      </c>
      <c r="BJ2" s="6" t="s">
        <v>1196</v>
      </c>
      <c r="BK2" s="6" t="s">
        <v>1197</v>
      </c>
      <c r="BL2" s="6" t="s">
        <v>1202</v>
      </c>
      <c r="BM2" s="6" t="s">
        <v>1204</v>
      </c>
      <c r="BN2" s="6" t="s">
        <v>1206</v>
      </c>
      <c r="BO2" s="6" t="s">
        <v>1207</v>
      </c>
      <c r="BP2" s="6" t="s">
        <v>1208</v>
      </c>
      <c r="BQ2" s="6" t="s">
        <v>1212</v>
      </c>
      <c r="BR2" s="6" t="s">
        <v>1214</v>
      </c>
      <c r="BS2" s="6" t="s">
        <v>1216</v>
      </c>
      <c r="BT2" s="6" t="s">
        <v>1217</v>
      </c>
      <c r="BU2" s="6" t="s">
        <v>1218</v>
      </c>
      <c r="BV2" s="6" t="s">
        <v>1221</v>
      </c>
      <c r="BW2" s="6" t="s">
        <v>1222</v>
      </c>
      <c r="BX2" s="6" t="s">
        <v>1223</v>
      </c>
      <c r="BY2" s="6" t="s">
        <v>1224</v>
      </c>
      <c r="BZ2" s="6" t="s">
        <v>1225</v>
      </c>
    </row>
    <row r="3" spans="1:78">
      <c r="AO3" s="36"/>
      <c r="AP3" s="36"/>
    </row>
    <row r="4" spans="1:78">
      <c r="A4" s="1" t="s">
        <v>2186</v>
      </c>
      <c r="AO4" s="21">
        <f t="shared" ref="AO4:AS4" si="0">AO7/AO9</f>
        <v>0.12916666666666668</v>
      </c>
      <c r="AP4" s="21">
        <f t="shared" si="0"/>
        <v>0.14915254237288136</v>
      </c>
      <c r="AQ4" s="21">
        <f t="shared" si="0"/>
        <v>0.14915254237288136</v>
      </c>
      <c r="AR4" s="21">
        <f t="shared" si="0"/>
        <v>0.15775862068965518</v>
      </c>
      <c r="AS4" s="21">
        <f t="shared" si="0"/>
        <v>0.15916666666666668</v>
      </c>
      <c r="AT4" s="21">
        <f t="shared" ref="AT4:AV4" si="1">AT7/AT9</f>
        <v>0.13050847457627118</v>
      </c>
      <c r="AU4" s="21">
        <f t="shared" si="1"/>
        <v>0.14298245614035088</v>
      </c>
      <c r="AV4" s="21">
        <f t="shared" si="1"/>
        <v>0.14298245614035088</v>
      </c>
      <c r="AW4" s="21">
        <f t="shared" ref="AW4" si="2">AW7/AW9</f>
        <v>0.17258064516129032</v>
      </c>
      <c r="AX4" s="21">
        <f t="shared" ref="AX4:AY4" si="3">AX7/AX9</f>
        <v>0.17370517928286852</v>
      </c>
      <c r="AY4" s="21">
        <f t="shared" si="3"/>
        <v>0.16584564860426929</v>
      </c>
      <c r="AZ4" s="21">
        <f t="shared" ref="AZ4:BA4" si="4">AZ7/AZ9</f>
        <v>0.17284991568296795</v>
      </c>
      <c r="BA4" s="21">
        <f t="shared" si="4"/>
        <v>0.16914191419141913</v>
      </c>
    </row>
    <row r="5" spans="1:78">
      <c r="A5" s="1" t="s">
        <v>2187</v>
      </c>
      <c r="AO5" s="21">
        <f>1-AO4</f>
        <v>0.87083333333333335</v>
      </c>
      <c r="AP5" s="21">
        <f t="shared" ref="AP5:AS5" si="5">1-AP4</f>
        <v>0.85084745762711866</v>
      </c>
      <c r="AQ5" s="21">
        <f t="shared" si="5"/>
        <v>0.85084745762711866</v>
      </c>
      <c r="AR5" s="21">
        <f t="shared" si="5"/>
        <v>0.84224137931034482</v>
      </c>
      <c r="AS5" s="21">
        <f t="shared" si="5"/>
        <v>0.84083333333333332</v>
      </c>
      <c r="AT5" s="21">
        <f>1-AT4</f>
        <v>0.86949152542372876</v>
      </c>
      <c r="AU5" s="21">
        <f t="shared" ref="AU5:AV5" si="6">1-AU4</f>
        <v>0.85701754385964912</v>
      </c>
      <c r="AV5" s="21">
        <f t="shared" si="6"/>
        <v>0.85701754385964912</v>
      </c>
      <c r="AW5" s="21">
        <f t="shared" ref="AW5" si="7">1-AW4</f>
        <v>0.82741935483870965</v>
      </c>
      <c r="AX5" s="21">
        <f t="shared" ref="AX5:AY5" si="8">1-AX4</f>
        <v>0.82629482071713145</v>
      </c>
      <c r="AY5" s="21">
        <f t="shared" si="8"/>
        <v>0.83415435139573069</v>
      </c>
      <c r="AZ5" s="21">
        <f t="shared" ref="AZ5:BA5" si="9">1-AZ4</f>
        <v>0.82715008431703207</v>
      </c>
      <c r="BA5" s="21">
        <f t="shared" si="9"/>
        <v>0.83085808580858089</v>
      </c>
      <c r="BB5" s="79"/>
      <c r="BC5" s="79"/>
      <c r="BD5" s="79"/>
    </row>
    <row r="6" spans="1:78">
      <c r="AS6" s="79"/>
      <c r="AX6" s="79"/>
      <c r="AY6" s="79"/>
      <c r="AZ6" s="79"/>
      <c r="BB6" s="82"/>
      <c r="BC6" s="79"/>
      <c r="BD6" s="79"/>
      <c r="BZ6" s="25"/>
    </row>
    <row r="7" spans="1:78">
      <c r="A7" s="5" t="s">
        <v>2619</v>
      </c>
      <c r="AO7" s="36">
        <f>MROUND(AO30+AO42+AO54+AO66+AO78, 5)</f>
        <v>775</v>
      </c>
      <c r="AP7" s="36">
        <f>MROUND(AP30+AP42+AP54+AP66+AP78, 5)</f>
        <v>880</v>
      </c>
      <c r="AQ7" s="36">
        <f>AP7</f>
        <v>880</v>
      </c>
      <c r="AR7" s="36">
        <f>MROUND(AR30+AR42+AR54+AR66+AR78, 5)</f>
        <v>915</v>
      </c>
      <c r="AS7" s="36">
        <f>MROUND(AS30+AS42+AS54+AS66+AS78, 5)</f>
        <v>955</v>
      </c>
      <c r="AT7" s="36">
        <f>MROUND(AT30+AT42+AT54+AT66+AT78, 5)</f>
        <v>770</v>
      </c>
      <c r="AU7" s="36">
        <f>MROUND(AU30+AU42+AU54+AU66+AU78, 5)</f>
        <v>815</v>
      </c>
      <c r="AV7" s="36">
        <f>AU7</f>
        <v>815</v>
      </c>
      <c r="AW7" s="36">
        <f>MROUND(AW30+AW42+AW54+AW66+AW78, 5)</f>
        <v>1070</v>
      </c>
      <c r="AX7" s="36">
        <f>MROUND(AX30+AX42+AX54+AX66+AX78, 5)</f>
        <v>1090</v>
      </c>
      <c r="AY7" s="36">
        <f>MROUND(AY30+AY42+AY54+AY66+AY78, 5)</f>
        <v>1010</v>
      </c>
      <c r="AZ7" s="36">
        <f>MROUND(AZ30+AZ42+AZ54+AZ66+AZ78, 5)</f>
        <v>1025</v>
      </c>
      <c r="BA7" s="36">
        <f>AZ7</f>
        <v>1025</v>
      </c>
      <c r="BB7" s="82"/>
      <c r="BC7" s="79"/>
      <c r="BD7" s="79"/>
      <c r="BZ7" s="25"/>
    </row>
    <row r="8" spans="1:78">
      <c r="A8" s="5" t="s">
        <v>2620</v>
      </c>
      <c r="AO8" s="36">
        <f t="shared" ref="AO8:AS8" si="10">AO9-AO7</f>
        <v>5225</v>
      </c>
      <c r="AP8" s="36">
        <f t="shared" si="10"/>
        <v>5020</v>
      </c>
      <c r="AQ8" s="36">
        <f t="shared" si="10"/>
        <v>5020</v>
      </c>
      <c r="AR8" s="36">
        <f t="shared" si="10"/>
        <v>4885</v>
      </c>
      <c r="AS8" s="36">
        <f t="shared" si="10"/>
        <v>5045</v>
      </c>
      <c r="AT8" s="36">
        <f t="shared" ref="AT8:AW8" si="11">AT9-AT7</f>
        <v>5130</v>
      </c>
      <c r="AU8" s="36">
        <f t="shared" si="11"/>
        <v>4885</v>
      </c>
      <c r="AV8" s="36">
        <f t="shared" si="11"/>
        <v>4885</v>
      </c>
      <c r="AW8" s="36">
        <f t="shared" si="11"/>
        <v>5130</v>
      </c>
      <c r="AX8" s="36">
        <f>MROUND(AW8*(1+0.25*AX16), 5)</f>
        <v>5185</v>
      </c>
      <c r="AY8" s="36">
        <f>MROUND(AX8*(1+0.25*AY16), 5)</f>
        <v>5080</v>
      </c>
      <c r="AZ8" s="36">
        <f>MROUND(AY8*(1+0.25*AZ16), 5)</f>
        <v>4905</v>
      </c>
      <c r="BA8" s="36">
        <f t="shared" ref="BA8" si="12">BA9-BA7</f>
        <v>5035</v>
      </c>
      <c r="BB8" s="82"/>
      <c r="BC8" s="79"/>
      <c r="BD8" s="79"/>
      <c r="BZ8" s="25"/>
    </row>
    <row r="9" spans="1:78">
      <c r="A9" s="9" t="s">
        <v>2599</v>
      </c>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173">
        <f>'SVF Segment'!AL980</f>
        <v>5600</v>
      </c>
      <c r="AM9" s="173">
        <f>'SVF Segment'!AM980</f>
        <v>5900</v>
      </c>
      <c r="AN9" s="173">
        <f>'SVF Segment'!AN980</f>
        <v>5800</v>
      </c>
      <c r="AO9" s="39">
        <f>'SVF Segment'!AO980</f>
        <v>6000</v>
      </c>
      <c r="AP9" s="39">
        <f>'SVF Segment'!AP980</f>
        <v>5900</v>
      </c>
      <c r="AQ9" s="39">
        <f>'SVF Segment'!AQ980</f>
        <v>5900</v>
      </c>
      <c r="AR9" s="39">
        <f>'SVF Segment'!AR980</f>
        <v>5800</v>
      </c>
      <c r="AS9" s="39">
        <f>'SVF Segment'!AS980</f>
        <v>6000</v>
      </c>
      <c r="AT9" s="39">
        <f>'SVF Segment'!AT980</f>
        <v>5900</v>
      </c>
      <c r="AU9" s="39">
        <f>'SVF Segment'!AU980</f>
        <v>5700</v>
      </c>
      <c r="AV9" s="39">
        <f>'SVF Segment'!AV980</f>
        <v>5700</v>
      </c>
      <c r="AW9" s="39">
        <f>'SVF Segment'!AW980</f>
        <v>6200</v>
      </c>
      <c r="AX9" s="39">
        <f>SUM(AX7:AX8)</f>
        <v>6275</v>
      </c>
      <c r="AY9" s="39">
        <f>SUM(AY7:AY8)</f>
        <v>6090</v>
      </c>
      <c r="AZ9" s="39">
        <f>SUM(AZ7:AZ8)</f>
        <v>5930</v>
      </c>
      <c r="BA9" s="39">
        <f>'SVF Segment'!BA980</f>
        <v>6060</v>
      </c>
      <c r="BB9" s="59"/>
      <c r="BC9" s="59"/>
      <c r="BD9" s="59"/>
      <c r="BE9" s="36"/>
      <c r="BF9" s="36"/>
      <c r="BG9" s="36"/>
      <c r="BH9" s="36"/>
      <c r="BI9" s="36"/>
      <c r="BJ9" s="36"/>
      <c r="BK9" s="36"/>
      <c r="BL9" s="36"/>
      <c r="BM9" s="36"/>
      <c r="BN9" s="36"/>
      <c r="BO9" s="36"/>
      <c r="BP9" s="36"/>
      <c r="BQ9" s="36"/>
      <c r="BR9" s="36"/>
      <c r="BS9" s="36"/>
      <c r="BT9" s="36"/>
      <c r="BU9" s="36"/>
      <c r="BV9" s="36"/>
      <c r="BW9" s="36"/>
      <c r="BX9" s="36"/>
      <c r="BY9" s="36"/>
      <c r="BZ9" s="36"/>
    </row>
    <row r="10" spans="1:78">
      <c r="A10" s="1" t="s">
        <v>2642</v>
      </c>
      <c r="AL10" s="26">
        <f>'SVF Segment'!AL999</f>
        <v>100</v>
      </c>
      <c r="AM10" s="26">
        <f>'SVF Segment'!AM999</f>
        <v>100</v>
      </c>
      <c r="AN10" s="26">
        <f>'SVF Segment'!AN999</f>
        <v>100</v>
      </c>
      <c r="AO10" s="79">
        <f>'SVF Segment'!AO999</f>
        <v>300</v>
      </c>
      <c r="AP10" s="79">
        <f>'SVF Segment'!AP999</f>
        <v>400</v>
      </c>
      <c r="AQ10" s="79">
        <f>'SVF Segment'!AQ999</f>
        <v>400</v>
      </c>
      <c r="AR10" s="79">
        <f>'SVF Segment'!AR999</f>
        <v>400</v>
      </c>
      <c r="AS10" s="79">
        <f>'SVF Segment'!AS999</f>
        <v>400</v>
      </c>
      <c r="AT10" s="79">
        <f>'SVF Segment'!AT999</f>
        <v>500</v>
      </c>
      <c r="AU10" s="79">
        <f>'SVF Segment'!AU999</f>
        <v>700</v>
      </c>
      <c r="AV10" s="79">
        <f>'SVF Segment'!AV999</f>
        <v>700</v>
      </c>
      <c r="AW10" s="79">
        <f>'SVF Segment'!AW999</f>
        <v>700</v>
      </c>
      <c r="AX10" s="79">
        <f>'SVF Segment'!AX999</f>
        <v>700</v>
      </c>
      <c r="AY10" s="79">
        <f>'SVF Segment'!AY999</f>
        <v>900</v>
      </c>
      <c r="AZ10" s="79">
        <f>'SVF Segment'!AZ999</f>
        <v>970</v>
      </c>
      <c r="BA10" s="79">
        <f>'SVF Segment'!BA999</f>
        <v>970</v>
      </c>
      <c r="BB10" s="79"/>
      <c r="BC10" s="79"/>
      <c r="BD10" s="79"/>
    </row>
    <row r="11" spans="1:78">
      <c r="A11" s="9" t="s">
        <v>2644</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39">
        <f>SUM(AL9:AL10)</f>
        <v>5700</v>
      </c>
      <c r="AM11" s="39">
        <f>SUM(AM9:AM10)</f>
        <v>6000</v>
      </c>
      <c r="AN11" s="39">
        <f>SUM(AN9:AN10)</f>
        <v>5900</v>
      </c>
      <c r="AO11" s="39">
        <f t="shared" ref="AO11:AS11" si="13">SUM(AO9:AO10)</f>
        <v>6300</v>
      </c>
      <c r="AP11" s="39">
        <f t="shared" si="13"/>
        <v>6300</v>
      </c>
      <c r="AQ11" s="39">
        <f t="shared" si="13"/>
        <v>6300</v>
      </c>
      <c r="AR11" s="39">
        <f t="shared" si="13"/>
        <v>6200</v>
      </c>
      <c r="AS11" s="39">
        <f t="shared" si="13"/>
        <v>6400</v>
      </c>
      <c r="AT11" s="39">
        <f t="shared" ref="AT11:AW11" si="14">SUM(AT9:AT10)</f>
        <v>6400</v>
      </c>
      <c r="AU11" s="39">
        <f t="shared" si="14"/>
        <v>6400</v>
      </c>
      <c r="AV11" s="39">
        <f t="shared" si="14"/>
        <v>6400</v>
      </c>
      <c r="AW11" s="39">
        <f t="shared" si="14"/>
        <v>6900</v>
      </c>
      <c r="AX11" s="39">
        <f t="shared" ref="AX11" si="15">SUM(AX9:AX10)</f>
        <v>6975</v>
      </c>
      <c r="AY11" s="39">
        <f t="shared" ref="AY11:BA11" si="16">SUM(AY9:AY10)</f>
        <v>6990</v>
      </c>
      <c r="AZ11" s="39">
        <f t="shared" si="16"/>
        <v>6900</v>
      </c>
      <c r="BA11" s="39">
        <f t="shared" si="16"/>
        <v>7030</v>
      </c>
      <c r="BB11" s="79"/>
      <c r="BC11" s="79"/>
      <c r="BD11" s="79"/>
    </row>
    <row r="12" spans="1:78">
      <c r="A12" s="135" t="s">
        <v>2639</v>
      </c>
      <c r="AR12" s="36">
        <f>AR11-AQ11</f>
        <v>-100</v>
      </c>
      <c r="AS12" s="36">
        <f>AS11-AR11</f>
        <v>200</v>
      </c>
      <c r="AT12" s="36">
        <f>AT11-AS11</f>
        <v>0</v>
      </c>
      <c r="AU12" s="36">
        <f>AU11-AT11</f>
        <v>0</v>
      </c>
      <c r="AW12" s="36">
        <f>AW11-AV11</f>
        <v>500</v>
      </c>
      <c r="AX12" s="36">
        <f>AX11-AW11</f>
        <v>75</v>
      </c>
      <c r="AY12" s="36">
        <f>AY11-AX11</f>
        <v>15</v>
      </c>
      <c r="AZ12" s="36">
        <f>AZ11-AY11</f>
        <v>-90</v>
      </c>
      <c r="BA12" s="79"/>
      <c r="BB12" s="79"/>
      <c r="BC12" s="79"/>
      <c r="BD12" s="79"/>
    </row>
    <row r="13" spans="1:78">
      <c r="AS13" s="79"/>
      <c r="AT13" s="79"/>
      <c r="AU13" s="79"/>
      <c r="AX13" s="79"/>
      <c r="AY13" s="79"/>
      <c r="AZ13" s="79"/>
      <c r="BA13" s="79"/>
      <c r="BB13" s="79"/>
      <c r="BC13" s="79"/>
      <c r="BD13" s="79"/>
    </row>
    <row r="14" spans="1:78">
      <c r="A14" s="1" t="s">
        <v>853</v>
      </c>
      <c r="AS14" s="79"/>
      <c r="AT14" s="79"/>
      <c r="AU14" s="79"/>
      <c r="AX14" s="79"/>
      <c r="AY14" s="79"/>
      <c r="AZ14" s="79"/>
      <c r="BA14" s="79"/>
      <c r="BB14" s="79"/>
      <c r="BC14" s="79"/>
      <c r="BD14" s="79"/>
    </row>
    <row r="15" spans="1:78">
      <c r="A15" s="1" t="s">
        <v>305</v>
      </c>
      <c r="AM15" s="36"/>
      <c r="AN15" s="36"/>
      <c r="AO15" s="36"/>
      <c r="AP15" s="36"/>
      <c r="AQ15" s="36">
        <f>'SVF2'!AQ181</f>
        <v>17772.759999999998</v>
      </c>
      <c r="AR15" s="36">
        <f>'SVF2'!AR181</f>
        <v>18209.02</v>
      </c>
      <c r="AS15" s="36">
        <f>'SVF2'!AS181</f>
        <v>18940</v>
      </c>
      <c r="AT15" s="36">
        <f>'SVF2'!AT181</f>
        <v>20420</v>
      </c>
      <c r="AU15" s="36">
        <f>'SVF2'!AU181</f>
        <v>18485</v>
      </c>
      <c r="AV15" s="36">
        <f>'SVF2'!AV181</f>
        <v>18485</v>
      </c>
      <c r="AW15" s="36">
        <f>'SVF2'!AW181</f>
        <v>24720</v>
      </c>
      <c r="AX15" s="36">
        <f>'SVF2'!AX181</f>
        <v>25805</v>
      </c>
      <c r="AY15" s="36">
        <f>'SVF2'!AY181</f>
        <v>23745</v>
      </c>
      <c r="AZ15" s="36">
        <f>'SVF2'!AZ181</f>
        <v>20500</v>
      </c>
      <c r="BA15" s="36">
        <f>'SVF2'!BA181</f>
        <v>20500</v>
      </c>
      <c r="BB15" s="79"/>
      <c r="BC15" s="79"/>
      <c r="BD15" s="79"/>
    </row>
    <row r="16" spans="1:78">
      <c r="AR16" s="16">
        <f>AR15/AQ15-1</f>
        <v>2.4546553264659154E-2</v>
      </c>
      <c r="AS16" s="16">
        <f>AS15/AR15-1</f>
        <v>4.0143840799779396E-2</v>
      </c>
      <c r="AT16" s="16">
        <f>AT15/AS15-1</f>
        <v>7.8141499472016873E-2</v>
      </c>
      <c r="AU16" s="16">
        <f>AU15/AT15-1</f>
        <v>-9.4760039177277156E-2</v>
      </c>
      <c r="AW16" s="16">
        <f>AW15/AV15-1</f>
        <v>0.33730051393021365</v>
      </c>
      <c r="AX16" s="16">
        <f>AX15/AW15-1</f>
        <v>4.3891585760517771E-2</v>
      </c>
      <c r="AY16" s="16">
        <f>AY15/AX15-1</f>
        <v>-7.9829490408835468E-2</v>
      </c>
      <c r="AZ16" s="16">
        <f>AZ15/AY15-1</f>
        <v>-0.13666034954727313</v>
      </c>
      <c r="BA16" s="79"/>
      <c r="BB16" s="79"/>
      <c r="BC16" s="79"/>
      <c r="BD16" s="79"/>
    </row>
    <row r="17" spans="1:56">
      <c r="A17" s="1" t="s">
        <v>2621</v>
      </c>
      <c r="AS17" s="79"/>
      <c r="AT17" s="79"/>
      <c r="AU17" s="79"/>
      <c r="AX17" s="79"/>
      <c r="AY17" s="79"/>
      <c r="AZ17" s="79"/>
      <c r="BA17" s="79"/>
      <c r="BB17" s="79"/>
      <c r="BC17" s="79"/>
      <c r="BD17" s="79"/>
    </row>
    <row r="18" spans="1:56">
      <c r="A18" s="5" t="s">
        <v>2619</v>
      </c>
      <c r="AP18" s="119">
        <f>AP7/AO7-1</f>
        <v>0.13548387096774195</v>
      </c>
      <c r="AQ18" s="119"/>
      <c r="AR18" s="119">
        <f t="shared" ref="AR18:AU19" si="17">AR7/AQ7-1</f>
        <v>3.9772727272727293E-2</v>
      </c>
      <c r="AS18" s="119">
        <f t="shared" si="17"/>
        <v>4.3715846994535568E-2</v>
      </c>
      <c r="AT18" s="119">
        <f t="shared" si="17"/>
        <v>-0.19371727748691103</v>
      </c>
      <c r="AU18" s="119">
        <f t="shared" si="17"/>
        <v>5.8441558441558517E-2</v>
      </c>
      <c r="AV18" s="119"/>
      <c r="AW18" s="119">
        <f t="shared" ref="AW18:AW19" si="18">AW7/AV7-1</f>
        <v>0.31288343558282206</v>
      </c>
      <c r="AX18" s="119">
        <f t="shared" ref="AX18:AY19" si="19">AX7/AW7-1</f>
        <v>1.8691588785046731E-2</v>
      </c>
      <c r="AY18" s="119">
        <f t="shared" si="19"/>
        <v>-7.3394495412844041E-2</v>
      </c>
      <c r="AZ18" s="119">
        <f t="shared" ref="AZ18:AZ19" si="20">AZ7/AY7-1</f>
        <v>1.4851485148514865E-2</v>
      </c>
      <c r="BA18" s="119"/>
      <c r="BB18" s="79"/>
      <c r="BC18" s="79"/>
      <c r="BD18" s="79"/>
    </row>
    <row r="19" spans="1:56">
      <c r="A19" s="5" t="s">
        <v>2620</v>
      </c>
      <c r="AP19" s="119">
        <f>AP8/AO8-1</f>
        <v>-3.9234449760765511E-2</v>
      </c>
      <c r="AQ19" s="119"/>
      <c r="AR19" s="119">
        <f t="shared" si="17"/>
        <v>-2.6892430278884438E-2</v>
      </c>
      <c r="AS19" s="119">
        <f t="shared" si="17"/>
        <v>3.2753326509723735E-2</v>
      </c>
      <c r="AT19" s="119">
        <f t="shared" si="17"/>
        <v>1.6848364717542141E-2</v>
      </c>
      <c r="AU19" s="119">
        <f t="shared" si="17"/>
        <v>-4.7758284600389889E-2</v>
      </c>
      <c r="AV19" s="119"/>
      <c r="AW19" s="119">
        <f t="shared" si="18"/>
        <v>5.0153531218014358E-2</v>
      </c>
      <c r="AX19" s="119">
        <f t="shared" si="19"/>
        <v>1.0721247563352909E-2</v>
      </c>
      <c r="AY19" s="119">
        <f t="shared" si="19"/>
        <v>-2.0250723240115676E-2</v>
      </c>
      <c r="AZ19" s="119">
        <f t="shared" si="20"/>
        <v>-3.4448818897637845E-2</v>
      </c>
      <c r="BA19" s="119"/>
      <c r="BB19" s="79"/>
      <c r="BC19" s="79"/>
      <c r="BD19" s="79"/>
    </row>
    <row r="20" spans="1:56">
      <c r="A20" s="9" t="s">
        <v>2599</v>
      </c>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315">
        <f>AM9/(AL9-0.5*(AM10-AL10))-1</f>
        <v>5.3571428571428603E-2</v>
      </c>
      <c r="AN20" s="315">
        <f>AN9/(AM9-0.5*(AN10-AM10))-1</f>
        <v>-1.6949152542372836E-2</v>
      </c>
      <c r="AO20" s="315">
        <f>AO9/(AN9-0.5*(AO10-AN10))-1</f>
        <v>5.2631578947368363E-2</v>
      </c>
      <c r="AP20" s="315">
        <f>AP9/(AO9-0.5*(AP10-AO10))-1</f>
        <v>-8.4033613445377853E-3</v>
      </c>
      <c r="AQ20" s="315"/>
      <c r="AR20" s="315">
        <f>AR9/(AQ9-0.5*(AR10-AQ10))-1</f>
        <v>-1.6949152542372836E-2</v>
      </c>
      <c r="AS20" s="315">
        <f>AS9/(AR9-0.5*(AS10-AR10))-1</f>
        <v>3.4482758620689724E-2</v>
      </c>
      <c r="AT20" s="315">
        <f>AT9/(AS9-0.5*(AT10-AS10))-1</f>
        <v>-8.4033613445377853E-3</v>
      </c>
      <c r="AU20" s="315">
        <f>AU9/(AT9-0.5*(AU10-AT10))-1</f>
        <v>-1.7241379310344862E-2</v>
      </c>
      <c r="AV20" s="315"/>
      <c r="AW20" s="315">
        <f>AW9/(AV9-0.5*(AW10-AV10))-1</f>
        <v>8.7719298245614086E-2</v>
      </c>
      <c r="AX20" s="315">
        <f>AX9/(AW9-0.5*(AX10-AW10))-1</f>
        <v>1.2096774193548487E-2</v>
      </c>
      <c r="AY20" s="315">
        <f>AY9/(AX9-0.5*(AY10-AX10))-1</f>
        <v>-1.3765182186234792E-2</v>
      </c>
      <c r="AZ20" s="315">
        <f>AZ9/(AY9-0.5*(AZ10-AY10))-1</f>
        <v>-2.0644095788604488E-2</v>
      </c>
      <c r="BA20" s="315"/>
      <c r="BB20" s="79"/>
      <c r="BC20" s="79"/>
      <c r="BD20" s="79"/>
    </row>
    <row r="21" spans="1:56">
      <c r="AP21" s="262" t="s">
        <v>2641</v>
      </c>
      <c r="AS21" s="79"/>
      <c r="AT21" s="79"/>
      <c r="AU21" s="79"/>
      <c r="AV21" s="79"/>
      <c r="AW21" s="79"/>
      <c r="AX21" s="79"/>
      <c r="AY21" s="79"/>
      <c r="AZ21" s="79"/>
      <c r="BA21" s="79"/>
      <c r="BB21" s="79"/>
      <c r="BC21" s="79"/>
      <c r="BD21" s="79"/>
    </row>
    <row r="22" spans="1:56" s="12" customFormat="1">
      <c r="A22" s="13" t="s">
        <v>2600</v>
      </c>
      <c r="AO22" s="227"/>
    </row>
    <row r="23" spans="1:56">
      <c r="AO23" s="219" t="s">
        <v>734</v>
      </c>
    </row>
    <row r="24" spans="1:56">
      <c r="A24" s="5" t="s">
        <v>749</v>
      </c>
      <c r="AO24" s="223">
        <v>5.56</v>
      </c>
      <c r="AP24" s="223">
        <v>5.71</v>
      </c>
      <c r="AR24" s="223">
        <v>6.15</v>
      </c>
      <c r="AS24" s="223">
        <v>6.66</v>
      </c>
      <c r="AT24" s="223">
        <v>4.22</v>
      </c>
      <c r="AU24" s="223">
        <v>5.48</v>
      </c>
      <c r="AW24" s="223">
        <v>7.43</v>
      </c>
      <c r="AX24" s="223">
        <v>9.23</v>
      </c>
      <c r="AY24" s="223">
        <v>8.48</v>
      </c>
      <c r="AZ24" s="221">
        <v>8.75</v>
      </c>
    </row>
    <row r="25" spans="1:56">
      <c r="A25" s="5" t="s">
        <v>738</v>
      </c>
      <c r="AP25" s="21">
        <f>AP24/AO24-1</f>
        <v>2.6978417266187105E-2</v>
      </c>
      <c r="AR25" s="21">
        <f>AR24/AP24-1</f>
        <v>7.7057793345008729E-2</v>
      </c>
      <c r="AS25" s="21">
        <f>AS24/AR24-1</f>
        <v>8.2926829268292535E-2</v>
      </c>
      <c r="AT25" s="21">
        <f>AT24/AS24-1</f>
        <v>-0.36636636636636644</v>
      </c>
      <c r="AU25" s="21">
        <f>AU24/AT24-1</f>
        <v>0.29857819905213279</v>
      </c>
      <c r="AW25" s="21">
        <f>AW24/AU24-1</f>
        <v>0.35583941605839398</v>
      </c>
      <c r="AX25" s="21">
        <f>AX24/AW24-1</f>
        <v>0.24226110363391662</v>
      </c>
      <c r="AY25" s="21">
        <f>AY24/AX24-1</f>
        <v>-8.1256771397616445E-2</v>
      </c>
      <c r="AZ25" s="21">
        <f>AZ24/AY24-1</f>
        <v>3.1839622641509413E-2</v>
      </c>
    </row>
    <row r="26" spans="1:56">
      <c r="AO26" s="219" t="s">
        <v>2602</v>
      </c>
      <c r="AS26" s="25" t="s">
        <v>2604</v>
      </c>
      <c r="AT26" s="25"/>
      <c r="AU26" s="25"/>
      <c r="AW26" s="25"/>
      <c r="AX26" s="219" t="s">
        <v>2827</v>
      </c>
    </row>
    <row r="27" spans="1:56">
      <c r="A27" s="5" t="s">
        <v>2601</v>
      </c>
      <c r="AO27" s="253">
        <v>64.506636</v>
      </c>
      <c r="AP27" s="253">
        <v>64.506636</v>
      </c>
      <c r="AQ27" s="45">
        <f>AP27</f>
        <v>64.506636</v>
      </c>
      <c r="AR27" s="253">
        <v>64.506636</v>
      </c>
      <c r="AS27" s="253">
        <v>64.506636</v>
      </c>
      <c r="AT27" s="253">
        <v>64.506636</v>
      </c>
      <c r="AU27" s="253">
        <v>64.506636</v>
      </c>
      <c r="AV27" s="45">
        <f>AU27</f>
        <v>64.506636</v>
      </c>
      <c r="AW27" s="253">
        <v>64.506636</v>
      </c>
      <c r="AX27" s="253">
        <v>64.506636</v>
      </c>
      <c r="AY27" s="609">
        <f>AX27</f>
        <v>64.506636</v>
      </c>
      <c r="AZ27" s="609">
        <f>AY27</f>
        <v>64.506636</v>
      </c>
    </row>
    <row r="28" spans="1:56">
      <c r="A28" s="5" t="s">
        <v>80</v>
      </c>
      <c r="AO28" s="21">
        <f>AO27/AO32</f>
        <v>0.16038824781905611</v>
      </c>
      <c r="AP28" s="21">
        <f>AP27/AP32</f>
        <v>0.14694311180373043</v>
      </c>
      <c r="AQ28" s="104"/>
      <c r="AR28" s="21">
        <f>AR27/AR32</f>
        <v>0.14694311180373043</v>
      </c>
      <c r="AS28" s="21">
        <f>AS27/AS32</f>
        <v>0.14694311180373043</v>
      </c>
      <c r="AT28" s="21">
        <f>AT27/AT32</f>
        <v>0.14670537680002538</v>
      </c>
      <c r="AU28" s="21">
        <f>AU27/AU32</f>
        <v>0.14670462609734944</v>
      </c>
      <c r="AW28" s="21">
        <f>AW27/AW32</f>
        <v>0.14659235848608063</v>
      </c>
      <c r="AX28" s="21">
        <f>AX27/AX32</f>
        <v>0.14659235848608063</v>
      </c>
      <c r="AY28" s="21">
        <f>AY27/AY32</f>
        <v>0.14659235848608063</v>
      </c>
      <c r="AZ28" s="21">
        <f>AZ27/AZ32</f>
        <v>0.14659235848608063</v>
      </c>
    </row>
    <row r="30" spans="1:56">
      <c r="A30" s="5" t="s">
        <v>2603</v>
      </c>
      <c r="AO30" s="36">
        <f>AO24*AO27</f>
        <v>358.65689615999997</v>
      </c>
      <c r="AP30" s="36">
        <f>AP24*AP27</f>
        <v>368.33289156000001</v>
      </c>
      <c r="AQ30" s="36"/>
      <c r="AR30" s="36">
        <f>AR24*AR27</f>
        <v>396.71581140000001</v>
      </c>
      <c r="AS30" s="36">
        <f>AS24*AS27</f>
        <v>429.61419576000003</v>
      </c>
      <c r="AT30" s="36">
        <f>AT24*AT27</f>
        <v>272.21800392</v>
      </c>
      <c r="AU30" s="36">
        <f>AU24*AU27</f>
        <v>353.49636528000002</v>
      </c>
      <c r="AW30" s="36">
        <f>AW24*AW27</f>
        <v>479.28430548</v>
      </c>
      <c r="AX30" s="36">
        <f>AX24*AX27</f>
        <v>595.39625028</v>
      </c>
      <c r="AY30" s="36">
        <f>AY24*AY27</f>
        <v>547.01627328000006</v>
      </c>
      <c r="AZ30" s="36">
        <f>AZ24*AZ27</f>
        <v>564.43306500000006</v>
      </c>
    </row>
    <row r="31" spans="1:56">
      <c r="AO31" s="219" t="s">
        <v>2605</v>
      </c>
    </row>
    <row r="32" spans="1:56">
      <c r="A32" s="5" t="s">
        <v>2612</v>
      </c>
      <c r="AO32" s="37">
        <v>402.19054</v>
      </c>
      <c r="AP32" s="37">
        <v>438.99054000000001</v>
      </c>
      <c r="AR32" s="37">
        <v>438.99054000000001</v>
      </c>
      <c r="AS32" s="37">
        <v>438.99054000000001</v>
      </c>
      <c r="AT32" s="37">
        <v>439.70192100000003</v>
      </c>
      <c r="AU32" s="37">
        <v>439.70417099999997</v>
      </c>
      <c r="AW32" s="37">
        <v>440.04091799999998</v>
      </c>
      <c r="AX32" s="228">
        <f>AW32</f>
        <v>440.04091799999998</v>
      </c>
      <c r="AY32" s="228">
        <f>AX32</f>
        <v>440.04091799999998</v>
      </c>
      <c r="AZ32" s="228">
        <f>AY32</f>
        <v>440.04091799999998</v>
      </c>
    </row>
    <row r="33" spans="1:52">
      <c r="AO33" s="678" t="s">
        <v>2831</v>
      </c>
    </row>
    <row r="34" spans="1:52" s="12" customFormat="1">
      <c r="A34" s="13" t="s">
        <v>2606</v>
      </c>
      <c r="AO34" s="227"/>
    </row>
    <row r="35" spans="1:52">
      <c r="AO35" s="219" t="s">
        <v>734</v>
      </c>
    </row>
    <row r="36" spans="1:52">
      <c r="A36" s="5" t="s">
        <v>749</v>
      </c>
      <c r="AO36" s="223">
        <v>8.33</v>
      </c>
      <c r="AP36" s="223">
        <v>11.93</v>
      </c>
      <c r="AR36" s="223">
        <v>12.89</v>
      </c>
      <c r="AS36" s="223">
        <v>13.65</v>
      </c>
      <c r="AT36" s="223">
        <v>10.36</v>
      </c>
      <c r="AU36" s="223">
        <v>10.24</v>
      </c>
      <c r="AW36" s="223">
        <v>13.72</v>
      </c>
      <c r="AX36" s="223">
        <v>16.010000000000002</v>
      </c>
      <c r="AY36" s="223">
        <v>15.5</v>
      </c>
      <c r="AZ36" s="221">
        <v>16.8</v>
      </c>
    </row>
    <row r="37" spans="1:52">
      <c r="A37" s="5" t="s">
        <v>738</v>
      </c>
      <c r="AP37" s="21">
        <f>AP36/AO36-1</f>
        <v>0.43217286914765896</v>
      </c>
      <c r="AR37" s="21">
        <f>AR36/AP36-1</f>
        <v>8.0469404861693183E-2</v>
      </c>
      <c r="AS37" s="21">
        <f>AS36/AR36-1</f>
        <v>5.896043444530652E-2</v>
      </c>
      <c r="AT37" s="21">
        <f>AT36/AS36-1</f>
        <v>-0.24102564102564106</v>
      </c>
      <c r="AU37" s="21">
        <f>AU36/AT36-1</f>
        <v>-1.158301158301156E-2</v>
      </c>
      <c r="AW37" s="21">
        <f>AW36/AU36-1</f>
        <v>0.33984375</v>
      </c>
      <c r="AX37" s="21">
        <f>AX36/AW36-1</f>
        <v>0.16690962099125373</v>
      </c>
      <c r="AY37" s="21">
        <f>AY36/AX36-1</f>
        <v>-3.1855090568394862E-2</v>
      </c>
      <c r="AZ37" s="21">
        <f>AZ36/AY36-1</f>
        <v>8.3870967741935587E-2</v>
      </c>
    </row>
    <row r="38" spans="1:52">
      <c r="AO38" s="219" t="s">
        <v>2602</v>
      </c>
      <c r="AS38" s="25" t="s">
        <v>2604</v>
      </c>
      <c r="AT38" s="25"/>
      <c r="AU38" s="25"/>
      <c r="AW38" s="25"/>
      <c r="AX38" s="219" t="s">
        <v>2827</v>
      </c>
    </row>
    <row r="39" spans="1:52">
      <c r="A39" s="5" t="s">
        <v>2601</v>
      </c>
      <c r="AO39" s="253">
        <v>22</v>
      </c>
      <c r="AP39" s="253">
        <v>23.343665000000001</v>
      </c>
      <c r="AQ39" s="45">
        <f>AP39</f>
        <v>23.343665000000001</v>
      </c>
      <c r="AR39" s="253">
        <v>23.343665000000001</v>
      </c>
      <c r="AS39" s="253">
        <v>23.343665000000001</v>
      </c>
      <c r="AT39" s="253">
        <v>21.009298999999999</v>
      </c>
      <c r="AU39" s="253">
        <v>21.009298999999999</v>
      </c>
      <c r="AV39" s="45">
        <f>AU39</f>
        <v>21.009298999999999</v>
      </c>
      <c r="AW39" s="253">
        <v>21.009298999999999</v>
      </c>
      <c r="AX39" s="253">
        <v>17.842116000000001</v>
      </c>
      <c r="AY39" s="609">
        <f>AX39</f>
        <v>17.842116000000001</v>
      </c>
      <c r="AZ39" s="609">
        <f>AY39</f>
        <v>17.842116000000001</v>
      </c>
    </row>
    <row r="40" spans="1:52">
      <c r="A40" s="5" t="s">
        <v>80</v>
      </c>
      <c r="AO40" s="16">
        <f>AO39/AO44</f>
        <v>4.6424853672026554E-3</v>
      </c>
      <c r="AP40" s="16">
        <f>AP39/AP44</f>
        <v>4.8904831558314998E-3</v>
      </c>
      <c r="AQ40" s="85"/>
      <c r="AR40" s="16">
        <f>AR39/AR44</f>
        <v>4.8752088189415784E-3</v>
      </c>
      <c r="AS40" s="16">
        <f>AS39/AS44</f>
        <v>4.8565912601390626E-3</v>
      </c>
      <c r="AT40" s="16">
        <f>AT39/AT44</f>
        <v>4.3599890694892632E-3</v>
      </c>
      <c r="AU40" s="16">
        <f>AU39/AU44</f>
        <v>4.3547945124643326E-3</v>
      </c>
      <c r="AW40" s="16">
        <f>AW39/AW44</f>
        <v>4.3476320083709781E-3</v>
      </c>
      <c r="AX40" s="16">
        <f>AX39/AX44</f>
        <v>3.6922200316473184E-3</v>
      </c>
      <c r="AY40" s="16">
        <f>AY39/AY44</f>
        <v>3.6922200316473184E-3</v>
      </c>
      <c r="AZ40" s="16">
        <f>AZ39/AZ44</f>
        <v>3.6922200316473184E-3</v>
      </c>
    </row>
    <row r="42" spans="1:52">
      <c r="A42" s="5" t="s">
        <v>2603</v>
      </c>
      <c r="AO42" s="36">
        <f>AO36*AO39</f>
        <v>183.26</v>
      </c>
      <c r="AP42" s="36">
        <f>AP36*AP39</f>
        <v>278.48992344999999</v>
      </c>
      <c r="AQ42" s="36"/>
      <c r="AR42" s="36">
        <f>AR36*AR39</f>
        <v>300.89984185000003</v>
      </c>
      <c r="AS42" s="36">
        <f>AS36*AS39</f>
        <v>318.64102725000004</v>
      </c>
      <c r="AT42" s="36">
        <f>AT36*AT39</f>
        <v>217.65633763999998</v>
      </c>
      <c r="AU42" s="36">
        <f>AU36*AU39</f>
        <v>215.13522175999998</v>
      </c>
      <c r="AW42" s="36">
        <f>AW36*AW39</f>
        <v>288.24758228000002</v>
      </c>
      <c r="AX42" s="36">
        <f>AX36*AX39</f>
        <v>285.65227716000004</v>
      </c>
      <c r="AY42" s="36">
        <f>AY36*AY39</f>
        <v>276.552798</v>
      </c>
      <c r="AZ42" s="36">
        <f>AZ36*AZ39</f>
        <v>299.7475488</v>
      </c>
    </row>
    <row r="43" spans="1:52">
      <c r="AO43" s="219" t="s">
        <v>2608</v>
      </c>
    </row>
    <row r="44" spans="1:52">
      <c r="A44" s="5" t="s">
        <v>2607</v>
      </c>
      <c r="AO44" s="37">
        <v>4738.8410000000003</v>
      </c>
      <c r="AP44" s="37">
        <v>4773.2839999999997</v>
      </c>
      <c r="AR44" s="37">
        <v>4788.2389999999996</v>
      </c>
      <c r="AS44" s="37">
        <v>4806.5945330000004</v>
      </c>
      <c r="AT44" s="37">
        <v>4818.6586399999997</v>
      </c>
      <c r="AU44" s="37">
        <v>4824.4065110000001</v>
      </c>
      <c r="AW44" s="37">
        <v>4832.3544769999999</v>
      </c>
      <c r="AX44" s="228">
        <f>AW44</f>
        <v>4832.3544769999999</v>
      </c>
      <c r="AY44" s="228">
        <f>AX44</f>
        <v>4832.3544769999999</v>
      </c>
      <c r="AZ44" s="228">
        <f>AY44</f>
        <v>4832.3544769999999</v>
      </c>
    </row>
    <row r="45" spans="1:52" s="79" customFormat="1">
      <c r="A45" s="1"/>
      <c r="AS45" s="678" t="s">
        <v>2832</v>
      </c>
    </row>
    <row r="46" spans="1:52" s="12" customFormat="1">
      <c r="A46" s="13" t="s">
        <v>2609</v>
      </c>
      <c r="AO46" s="227"/>
    </row>
    <row r="47" spans="1:52">
      <c r="AO47" s="219" t="s">
        <v>734</v>
      </c>
    </row>
    <row r="48" spans="1:52">
      <c r="A48" s="5" t="s">
        <v>749</v>
      </c>
      <c r="AO48" s="223">
        <v>6.88</v>
      </c>
      <c r="AP48" s="223">
        <v>8.17</v>
      </c>
      <c r="AR48" s="223">
        <v>7.26</v>
      </c>
      <c r="AS48" s="223">
        <v>7.44</v>
      </c>
      <c r="AT48" s="223">
        <v>5.89</v>
      </c>
      <c r="AU48" s="223">
        <v>5.07</v>
      </c>
      <c r="AW48" s="223">
        <v>6.6</v>
      </c>
      <c r="AX48" s="223">
        <v>4.38</v>
      </c>
      <c r="AY48" s="223">
        <v>3.76</v>
      </c>
      <c r="AZ48" s="221">
        <v>3.15</v>
      </c>
    </row>
    <row r="49" spans="1:52">
      <c r="A49" s="5" t="s">
        <v>738</v>
      </c>
      <c r="AP49" s="21">
        <f>AP48/AO48-1</f>
        <v>0.1875</v>
      </c>
      <c r="AR49" s="21">
        <f>AR48/AP48-1</f>
        <v>-0.11138310893512848</v>
      </c>
      <c r="AS49" s="21">
        <f>AS48/AR48-1</f>
        <v>2.4793388429752206E-2</v>
      </c>
      <c r="AT49" s="21">
        <f>AT48/AS48-1</f>
        <v>-0.20833333333333337</v>
      </c>
      <c r="AU49" s="21">
        <f>AU48/AT48-1</f>
        <v>-0.13921901528013569</v>
      </c>
      <c r="AW49" s="21">
        <f>AW48/AU48-1</f>
        <v>0.30177514792899385</v>
      </c>
      <c r="AX49" s="21">
        <f>AX48/AW48-1</f>
        <v>-0.33636363636363631</v>
      </c>
      <c r="AY49" s="21">
        <f>AY48/AX48-1</f>
        <v>-0.14155251141552516</v>
      </c>
      <c r="AZ49" s="21">
        <f>AZ48/AY48-1</f>
        <v>-0.16223404255319152</v>
      </c>
    </row>
    <row r="50" spans="1:52">
      <c r="AO50" s="219" t="s">
        <v>2602</v>
      </c>
      <c r="AU50" s="522" t="s">
        <v>2604</v>
      </c>
      <c r="AV50" s="647"/>
      <c r="AW50" s="647"/>
      <c r="AX50" s="219" t="s">
        <v>2827</v>
      </c>
    </row>
    <row r="51" spans="1:52">
      <c r="A51" s="5" t="s">
        <v>2601</v>
      </c>
      <c r="AO51" s="253">
        <v>19.875188000000001</v>
      </c>
      <c r="AP51" s="253">
        <v>19.875188000000001</v>
      </c>
      <c r="AQ51" s="45">
        <f>AP51</f>
        <v>19.875188000000001</v>
      </c>
      <c r="AR51" s="253">
        <v>19.875188000000001</v>
      </c>
      <c r="AS51" s="253">
        <v>19.875188000000001</v>
      </c>
      <c r="AT51" s="253">
        <v>38.434587000000001</v>
      </c>
      <c r="AU51" s="253">
        <v>38.434587000000001</v>
      </c>
      <c r="AV51" s="45">
        <f>AU51</f>
        <v>38.434587000000001</v>
      </c>
      <c r="AW51" s="253">
        <v>38.434587000000001</v>
      </c>
      <c r="AX51" s="253">
        <v>38.434587000000001</v>
      </c>
      <c r="AY51" s="609">
        <f>AX51</f>
        <v>38.434587000000001</v>
      </c>
      <c r="AZ51" s="609">
        <f>AY51</f>
        <v>38.434587000000001</v>
      </c>
    </row>
    <row r="52" spans="1:52">
      <c r="A52" s="5" t="s">
        <v>80</v>
      </c>
      <c r="AO52" s="16">
        <f>AO51/AO56</f>
        <v>0.10800147334895539</v>
      </c>
      <c r="AP52" s="16">
        <f>AP51/AP56</f>
        <v>0.10770820471017967</v>
      </c>
      <c r="AQ52" s="16"/>
      <c r="AR52" s="16">
        <f>AR51/AR56</f>
        <v>0.10745013536426495</v>
      </c>
      <c r="AS52" s="16">
        <f>AS51/AS56</f>
        <v>0.10712992640391902</v>
      </c>
      <c r="AT52" s="16">
        <f>AT51/AT56</f>
        <v>0.20796364132075856</v>
      </c>
      <c r="AU52" s="16">
        <f>AU51/AU56</f>
        <v>0.21081215174998208</v>
      </c>
      <c r="AW52" s="16">
        <f>AW51/AW56</f>
        <v>0.21122172668437011</v>
      </c>
      <c r="AX52" s="16">
        <f>AX51/AX56</f>
        <v>0.21122172668437011</v>
      </c>
      <c r="AY52" s="16">
        <f>AY51/AY56</f>
        <v>0.21122172668437011</v>
      </c>
      <c r="AZ52" s="16">
        <f>AZ51/AZ56</f>
        <v>0.21122172668437011</v>
      </c>
    </row>
    <row r="54" spans="1:52">
      <c r="A54" s="5" t="s">
        <v>2603</v>
      </c>
      <c r="AO54" s="36">
        <f>AO48*AO51</f>
        <v>136.74129344000002</v>
      </c>
      <c r="AP54" s="36">
        <f>AP48*AP51</f>
        <v>162.38028596000001</v>
      </c>
      <c r="AQ54" s="36"/>
      <c r="AR54" s="36">
        <f>AR48*AR51</f>
        <v>144.29386488</v>
      </c>
      <c r="AS54" s="36">
        <f>AS48*AS51</f>
        <v>147.87139872000003</v>
      </c>
      <c r="AT54" s="36">
        <f>AT48*AT51</f>
        <v>226.37971743</v>
      </c>
      <c r="AU54" s="36">
        <f>AU48*AU51</f>
        <v>194.86335609000002</v>
      </c>
      <c r="AW54" s="36">
        <f>AW48*AW51</f>
        <v>253.66827419999998</v>
      </c>
      <c r="AX54" s="36">
        <f>AX48*AX51</f>
        <v>168.34349105999999</v>
      </c>
      <c r="AY54" s="36">
        <f>AY48*AY51</f>
        <v>144.51404711999999</v>
      </c>
      <c r="AZ54" s="36">
        <f>AZ48*AZ51</f>
        <v>121.06894905</v>
      </c>
    </row>
    <row r="55" spans="1:52">
      <c r="AO55" s="219" t="s">
        <v>2610</v>
      </c>
    </row>
    <row r="56" spans="1:52">
      <c r="A56" s="5" t="s">
        <v>2611</v>
      </c>
      <c r="AO56" s="37">
        <v>184.027008</v>
      </c>
      <c r="AP56" s="37">
        <v>184.52807799999999</v>
      </c>
      <c r="AR56" s="37">
        <v>184.97127</v>
      </c>
      <c r="AS56" s="37">
        <v>185.524145</v>
      </c>
      <c r="AT56" s="37">
        <v>184.813974</v>
      </c>
      <c r="AU56" s="37">
        <v>182.31675300000001</v>
      </c>
      <c r="AW56" s="37">
        <f>101.296497+80.66673</f>
        <v>181.96322700000002</v>
      </c>
      <c r="AX56" s="228">
        <f>AW56</f>
        <v>181.96322700000002</v>
      </c>
      <c r="AY56" s="228">
        <f>AX56</f>
        <v>181.96322700000002</v>
      </c>
      <c r="AZ56" s="228">
        <f>AY56</f>
        <v>181.96322700000002</v>
      </c>
    </row>
    <row r="57" spans="1:52">
      <c r="AW57" s="678" t="s">
        <v>3116</v>
      </c>
    </row>
    <row r="58" spans="1:52" s="12" customFormat="1">
      <c r="A58" s="13" t="s">
        <v>2613</v>
      </c>
      <c r="AO58" s="227"/>
    </row>
    <row r="59" spans="1:52">
      <c r="AO59" s="219" t="s">
        <v>734</v>
      </c>
    </row>
    <row r="60" spans="1:52">
      <c r="A60" s="5" t="s">
        <v>749</v>
      </c>
      <c r="AO60" s="223">
        <v>21.93</v>
      </c>
      <c r="AP60" s="223">
        <v>18.579999999999998</v>
      </c>
      <c r="AR60" s="223">
        <v>17.649999999999999</v>
      </c>
      <c r="AS60" s="223">
        <v>17.07</v>
      </c>
      <c r="AT60" s="223">
        <v>15.88</v>
      </c>
      <c r="AU60" s="223">
        <v>17.93</v>
      </c>
      <c r="AW60" s="223">
        <v>17.86</v>
      </c>
      <c r="AX60" s="223">
        <v>15.6</v>
      </c>
      <c r="AY60" s="223">
        <v>15.41</v>
      </c>
      <c r="AZ60" s="221">
        <v>15.6</v>
      </c>
    </row>
    <row r="61" spans="1:52">
      <c r="A61" s="5" t="s">
        <v>738</v>
      </c>
      <c r="AP61" s="21">
        <f>AP60/AO60-1</f>
        <v>-0.15275877792977666</v>
      </c>
      <c r="AR61" s="21">
        <f>AR60/AP60-1</f>
        <v>-5.0053821313239988E-2</v>
      </c>
      <c r="AS61" s="21">
        <f>AS60/AR60-1</f>
        <v>-3.2861189801699608E-2</v>
      </c>
      <c r="AT61" s="21">
        <f>AT60/AS60-1</f>
        <v>-6.9712946690099531E-2</v>
      </c>
      <c r="AU61" s="21">
        <f>AU60/AT60-1</f>
        <v>0.12909319899244331</v>
      </c>
      <c r="AW61" s="21">
        <f>AW60/AU60-1</f>
        <v>-3.9040713887339429E-3</v>
      </c>
      <c r="AX61" s="21">
        <f>AX60/AW60-1</f>
        <v>-0.12653975363941772</v>
      </c>
      <c r="AY61" s="21">
        <f>AY60/AX60-1</f>
        <v>-1.2179487179487136E-2</v>
      </c>
      <c r="AZ61" s="21">
        <f>AZ60/AY60-1</f>
        <v>1.2329656067488592E-2</v>
      </c>
    </row>
    <row r="62" spans="1:52">
      <c r="AO62" s="219" t="s">
        <v>2602</v>
      </c>
      <c r="AU62" s="522" t="s">
        <v>2604</v>
      </c>
      <c r="AV62" s="647"/>
      <c r="AW62" s="647"/>
      <c r="AX62" s="25"/>
    </row>
    <row r="63" spans="1:52">
      <c r="A63" s="5" t="s">
        <v>2601</v>
      </c>
      <c r="AO63" s="253">
        <v>2.4333230000000001</v>
      </c>
      <c r="AP63" s="253">
        <v>2.4333230000000001</v>
      </c>
      <c r="AQ63" s="45">
        <f>AP63</f>
        <v>2.4333230000000001</v>
      </c>
      <c r="AR63" s="253">
        <v>2.4333230000000001</v>
      </c>
      <c r="AS63" s="253">
        <v>2.4333230000000001</v>
      </c>
      <c r="AT63" s="253">
        <v>2.4333230000000001</v>
      </c>
      <c r="AU63" s="253">
        <v>2.4333230000000001</v>
      </c>
      <c r="AV63" s="45">
        <f>AU63</f>
        <v>2.4333230000000001</v>
      </c>
      <c r="AW63" s="253">
        <f>AU63</f>
        <v>2.4333230000000001</v>
      </c>
      <c r="AX63" s="609">
        <f>AW63</f>
        <v>2.4333230000000001</v>
      </c>
      <c r="AY63" s="609">
        <f>AX63</f>
        <v>2.4333230000000001</v>
      </c>
      <c r="AZ63" s="609">
        <f>AY63</f>
        <v>2.4333230000000001</v>
      </c>
    </row>
    <row r="64" spans="1:52">
      <c r="A64" s="5" t="s">
        <v>80</v>
      </c>
      <c r="AO64" s="16">
        <f>AO63/AO68</f>
        <v>2.5962969471120652E-2</v>
      </c>
      <c r="AP64" s="16">
        <f>AP63/AP68</f>
        <v>2.5962969471120652E-2</v>
      </c>
      <c r="AQ64" s="16"/>
      <c r="AR64" s="16">
        <f t="shared" ref="AR64:AT64" si="21">AR63/AR68</f>
        <v>2.5962969471120652E-2</v>
      </c>
      <c r="AS64" s="16">
        <f t="shared" si="21"/>
        <v>2.5962969471120652E-2</v>
      </c>
      <c r="AT64" s="16">
        <f t="shared" si="21"/>
        <v>2.5962969471120652E-2</v>
      </c>
      <c r="AU64" s="16">
        <f t="shared" ref="AU64:AX64" si="22">AU63/AU68</f>
        <v>2.5962969471120652E-2</v>
      </c>
      <c r="AW64" s="16">
        <f t="shared" si="22"/>
        <v>2.5962969471120652E-2</v>
      </c>
      <c r="AX64" s="16">
        <f t="shared" si="22"/>
        <v>2.5962969471120652E-2</v>
      </c>
      <c r="AY64" s="16">
        <f t="shared" ref="AY64" si="23">AY63/AY68</f>
        <v>2.5962969471120652E-2</v>
      </c>
    </row>
    <row r="66" spans="1:52">
      <c r="A66" s="5" t="s">
        <v>2603</v>
      </c>
      <c r="AO66" s="36">
        <f>AO60*AO63</f>
        <v>53.362773390000001</v>
      </c>
      <c r="AP66" s="36">
        <f>AP60*AP63</f>
        <v>45.211141339999998</v>
      </c>
      <c r="AQ66" s="36"/>
      <c r="AR66" s="36">
        <f>AR60*AR63</f>
        <v>42.948150949999999</v>
      </c>
      <c r="AS66" s="36">
        <f>AS60*AS63</f>
        <v>41.536823610000006</v>
      </c>
      <c r="AT66" s="36">
        <f>AT60*AT63</f>
        <v>38.641169240000004</v>
      </c>
      <c r="AU66" s="36">
        <f>AU60*AU63</f>
        <v>43.629481390000002</v>
      </c>
      <c r="AW66" s="36">
        <f>AW60*AW63</f>
        <v>43.45914878</v>
      </c>
      <c r="AX66" s="36">
        <f>AX60*AX63</f>
        <v>37.9598388</v>
      </c>
      <c r="AY66" s="36">
        <f>AY60*AY63</f>
        <v>37.497507429999999</v>
      </c>
      <c r="AZ66" s="36">
        <f>AZ60*AZ63</f>
        <v>37.9598388</v>
      </c>
    </row>
    <row r="67" spans="1:52">
      <c r="AO67" s="219" t="s">
        <v>2617</v>
      </c>
    </row>
    <row r="68" spans="1:52">
      <c r="A68" s="5" t="s">
        <v>2614</v>
      </c>
      <c r="AO68" s="37">
        <f>47.920068+45.802763</f>
        <v>93.722830999999999</v>
      </c>
      <c r="AP68" s="37">
        <f>49.920068+43.802763</f>
        <v>93.722830999999999</v>
      </c>
      <c r="AR68" s="37">
        <f>49.920068+43.802763</f>
        <v>93.722830999999999</v>
      </c>
      <c r="AS68" s="37">
        <f>49.920068+43.802763</f>
        <v>93.722830999999999</v>
      </c>
      <c r="AT68" s="37">
        <f>49.920068+43.802763</f>
        <v>93.722830999999999</v>
      </c>
      <c r="AU68" s="37">
        <f>49.920068+43.802763</f>
        <v>93.722830999999999</v>
      </c>
      <c r="AW68" s="37">
        <f>49.920068+43.802763</f>
        <v>93.722830999999999</v>
      </c>
      <c r="AX68" s="228">
        <f>AW68</f>
        <v>93.722830999999999</v>
      </c>
      <c r="AY68" s="228">
        <f>AX68</f>
        <v>93.722830999999999</v>
      </c>
      <c r="AZ68" s="228">
        <f>AY68</f>
        <v>93.722830999999999</v>
      </c>
    </row>
    <row r="69" spans="1:52">
      <c r="AW69" s="678" t="s">
        <v>2831</v>
      </c>
    </row>
    <row r="70" spans="1:52" s="12" customFormat="1">
      <c r="A70" s="13" t="s">
        <v>2615</v>
      </c>
    </row>
    <row r="71" spans="1:52">
      <c r="AO71" s="219" t="s">
        <v>734</v>
      </c>
    </row>
    <row r="72" spans="1:52">
      <c r="A72" s="5" t="s">
        <v>749</v>
      </c>
      <c r="AO72" s="223">
        <v>1.1399999999999999</v>
      </c>
      <c r="AP72" s="223">
        <v>0.72</v>
      </c>
      <c r="AR72" s="223">
        <v>0.82</v>
      </c>
      <c r="AS72" s="223">
        <v>6.32</v>
      </c>
      <c r="AT72" s="223">
        <v>5.88</v>
      </c>
      <c r="AU72" s="223">
        <v>3.26</v>
      </c>
      <c r="AW72" s="223">
        <v>1.33</v>
      </c>
      <c r="AX72" s="223">
        <v>1.52</v>
      </c>
      <c r="AY72" s="223">
        <v>1.88</v>
      </c>
      <c r="AZ72" s="221">
        <v>1.45</v>
      </c>
    </row>
    <row r="73" spans="1:52">
      <c r="A73" s="5" t="s">
        <v>738</v>
      </c>
      <c r="AP73" s="21">
        <f>AP72/AO72-1</f>
        <v>-0.36842105263157887</v>
      </c>
      <c r="AR73" s="21">
        <f>AR72/AP72-1</f>
        <v>0.13888888888888884</v>
      </c>
      <c r="AS73" s="21">
        <f>AS72/AR72-1</f>
        <v>6.7073170731707323</v>
      </c>
      <c r="AT73" s="21">
        <f>AT72/AS72-1</f>
        <v>-6.9620253164557E-2</v>
      </c>
      <c r="AU73" s="21">
        <f>AU72/AT72-1</f>
        <v>-0.44557823129251706</v>
      </c>
      <c r="AW73" s="21">
        <f>AW72/AU72-1</f>
        <v>-0.59202453987730053</v>
      </c>
      <c r="AX73" s="21">
        <f>AX72/AW72-1</f>
        <v>0.14285714285714279</v>
      </c>
      <c r="AY73" s="21">
        <f>AY72/AX72-1</f>
        <v>0.23684210526315774</v>
      </c>
      <c r="AZ73" s="21">
        <f>AZ72/AY72-1</f>
        <v>-0.22872340425531912</v>
      </c>
    </row>
    <row r="74" spans="1:52">
      <c r="AO74" s="219" t="s">
        <v>2602</v>
      </c>
      <c r="AU74" s="522" t="s">
        <v>2604</v>
      </c>
      <c r="AV74" s="647"/>
      <c r="AW74" s="647"/>
    </row>
    <row r="75" spans="1:52">
      <c r="A75" s="5" t="s">
        <v>2601</v>
      </c>
      <c r="AO75" s="253">
        <v>35.953699</v>
      </c>
      <c r="AP75" s="253">
        <v>35.953699</v>
      </c>
      <c r="AQ75" s="45">
        <f>AP75</f>
        <v>35.953699</v>
      </c>
      <c r="AR75" s="253">
        <v>35.953699</v>
      </c>
      <c r="AS75" s="253">
        <v>2.3969140000000002</v>
      </c>
      <c r="AT75" s="253">
        <v>2.3969800000000001</v>
      </c>
      <c r="AU75" s="253">
        <v>2.3969800000000001</v>
      </c>
      <c r="AV75" s="45">
        <f>AU75</f>
        <v>2.3969800000000001</v>
      </c>
      <c r="AW75" s="253">
        <v>2.3969800000000001</v>
      </c>
      <c r="AX75" s="609">
        <f>AW75</f>
        <v>2.3969800000000001</v>
      </c>
      <c r="AY75" s="609">
        <f>AX75</f>
        <v>2.3969800000000001</v>
      </c>
      <c r="AZ75" s="609">
        <f>AY75</f>
        <v>2.3969800000000001</v>
      </c>
    </row>
    <row r="76" spans="1:52">
      <c r="A76" s="5" t="s">
        <v>80</v>
      </c>
      <c r="AO76" s="16"/>
      <c r="AP76" s="16"/>
      <c r="AQ76" s="16"/>
      <c r="AR76" s="16"/>
      <c r="AS76" s="16"/>
      <c r="AT76" s="16"/>
    </row>
    <row r="78" spans="1:52">
      <c r="A78" s="5" t="s">
        <v>2603</v>
      </c>
      <c r="AO78" s="36">
        <f>AO72*AO75</f>
        <v>40.987216859999997</v>
      </c>
      <c r="AP78" s="36">
        <f>AP72*AP75</f>
        <v>25.88666328</v>
      </c>
      <c r="AQ78" s="36"/>
      <c r="AR78" s="36">
        <f>AR72*AR75</f>
        <v>29.482033179999998</v>
      </c>
      <c r="AS78" s="36">
        <f>AS72*AS75</f>
        <v>15.148496480000002</v>
      </c>
      <c r="AT78" s="36">
        <f>AT72*AT75</f>
        <v>14.094242400000001</v>
      </c>
      <c r="AU78" s="36">
        <f>AU72*AU75</f>
        <v>7.8141547999999998</v>
      </c>
      <c r="AW78" s="36">
        <f>AW72*AW75</f>
        <v>3.1879834000000002</v>
      </c>
      <c r="AX78" s="36">
        <f>AX72*AX75</f>
        <v>3.6434096</v>
      </c>
      <c r="AY78" s="36">
        <f>AY72*AY75</f>
        <v>4.5063224000000002</v>
      </c>
      <c r="AZ78" s="36">
        <f>AZ72*AZ75</f>
        <v>3.4756209999999998</v>
      </c>
    </row>
    <row r="79" spans="1:52">
      <c r="AO79" s="219" t="s">
        <v>2618</v>
      </c>
    </row>
    <row r="80" spans="1:52">
      <c r="A80" s="5" t="s">
        <v>2616</v>
      </c>
      <c r="AO80" s="38"/>
      <c r="AP80" s="38"/>
      <c r="AR80" s="38"/>
      <c r="AS80" s="629"/>
      <c r="AT80" s="629"/>
      <c r="AU80" s="629"/>
      <c r="AW80" s="629"/>
    </row>
    <row r="82" spans="1:44" s="46" customFormat="1">
      <c r="A82" s="47" t="s">
        <v>2640</v>
      </c>
    </row>
    <row r="84" spans="1:44">
      <c r="AP84" s="1" t="s">
        <v>2600</v>
      </c>
      <c r="AR84" s="541">
        <f>AY30/1000</f>
        <v>0.54701627328000002</v>
      </c>
    </row>
    <row r="85" spans="1:44">
      <c r="AP85" s="1" t="s">
        <v>2606</v>
      </c>
      <c r="AR85" s="541">
        <f>AY42/1000</f>
        <v>0.27655279799999999</v>
      </c>
    </row>
    <row r="86" spans="1:44">
      <c r="AP86" s="1" t="s">
        <v>2609</v>
      </c>
      <c r="AR86" s="541">
        <f>AY54/1000</f>
        <v>0.14451404711999999</v>
      </c>
    </row>
    <row r="87" spans="1:44">
      <c r="AP87" s="1" t="s">
        <v>2613</v>
      </c>
      <c r="AR87" s="541">
        <f>AY66/1000</f>
        <v>3.749750743E-2</v>
      </c>
    </row>
    <row r="88" spans="1:44">
      <c r="AP88" s="1" t="s">
        <v>192</v>
      </c>
      <c r="AR88" s="541">
        <f>(AY9/1000)-SUM(AR84:AR87)</f>
        <v>5.0844193741700003</v>
      </c>
    </row>
  </sheetData>
  <pageMargins left="0.7" right="0.7" top="0.75" bottom="0.75" header="0.3" footer="0.3"/>
  <pageSetup orientation="portrait"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1C8E6-8F74-4C10-B0D6-DE6C6C8894F3}">
  <sheetPr codeName="Sheet7"/>
  <dimension ref="A1:BU357"/>
  <sheetViews>
    <sheetView zoomScale="90" zoomScaleNormal="90" workbookViewId="0">
      <pane xSplit="8" ySplit="2" topLeftCell="AN330" activePane="bottomRight" state="frozen"/>
      <selection pane="topRight" activeCell="I1" sqref="I1"/>
      <selection pane="bottomLeft" activeCell="A3" sqref="A3"/>
      <selection pane="bottomRight"/>
    </sheetView>
  </sheetViews>
  <sheetFormatPr defaultColWidth="9.140625" defaultRowHeight="12" outlineLevelCol="1"/>
  <cols>
    <col min="1" max="8" width="9.140625" style="1"/>
    <col min="9" max="12" width="11.42578125" style="1" customWidth="1" outlineLevel="1"/>
    <col min="13" max="13" width="11.42578125" style="1" customWidth="1"/>
    <col min="14" max="17" width="11.42578125" style="1" customWidth="1" outlineLevel="1"/>
    <col min="18" max="18" width="11.42578125" style="1" customWidth="1"/>
    <col min="19" max="22" width="11.42578125" style="1" customWidth="1" outlineLevel="1"/>
    <col min="23" max="23" width="11.42578125" style="1" customWidth="1"/>
    <col min="24" max="27" width="11.42578125" style="1" customWidth="1" outlineLevel="1"/>
    <col min="28" max="28" width="11.42578125" style="1" customWidth="1"/>
    <col min="29" max="32" width="11.42578125" style="1" customWidth="1" outlineLevel="1"/>
    <col min="33" max="33" width="11.42578125" style="1" customWidth="1"/>
    <col min="34" max="37" width="11.42578125" style="1" customWidth="1" outlineLevel="1"/>
    <col min="38" max="38" width="11.42578125" style="1" customWidth="1"/>
    <col min="39" max="42" width="11.42578125" style="1" customWidth="1" outlineLevel="1"/>
    <col min="43" max="43" width="11.42578125" style="1" customWidth="1"/>
    <col min="44" max="47" width="11.42578125" style="1" customWidth="1" outlineLevel="1"/>
    <col min="48" max="58" width="11.42578125" style="1" customWidth="1"/>
    <col min="59" max="59" width="9.140625" style="1"/>
    <col min="60" max="60" width="9.140625" style="46"/>
    <col min="61" max="16384" width="9.140625" style="1"/>
  </cols>
  <sheetData>
    <row r="1" spans="1:73" s="2" customFormat="1">
      <c r="A1" s="2" t="s">
        <v>0</v>
      </c>
      <c r="I1" s="43" t="s">
        <v>160</v>
      </c>
      <c r="J1" s="43" t="s">
        <v>161</v>
      </c>
      <c r="K1" s="43" t="s">
        <v>162</v>
      </c>
      <c r="M1" s="18" t="s">
        <v>159</v>
      </c>
      <c r="N1" s="43" t="s">
        <v>150</v>
      </c>
      <c r="O1" s="43" t="s">
        <v>151</v>
      </c>
      <c r="P1" s="43" t="s">
        <v>152</v>
      </c>
      <c r="R1" s="18" t="s">
        <v>153</v>
      </c>
      <c r="S1" s="43" t="s">
        <v>146</v>
      </c>
      <c r="T1" s="43" t="s">
        <v>147</v>
      </c>
      <c r="U1" s="43" t="s">
        <v>148</v>
      </c>
      <c r="W1" s="18" t="s">
        <v>149</v>
      </c>
      <c r="X1" s="43" t="s">
        <v>142</v>
      </c>
      <c r="Y1" s="43" t="s">
        <v>143</v>
      </c>
      <c r="Z1" s="43" t="s">
        <v>144</v>
      </c>
      <c r="AB1" s="18" t="s">
        <v>145</v>
      </c>
      <c r="AC1" s="43" t="s">
        <v>138</v>
      </c>
      <c r="AD1" s="43" t="s">
        <v>139</v>
      </c>
      <c r="AE1" s="43" t="s">
        <v>140</v>
      </c>
      <c r="AG1" s="18" t="s">
        <v>141</v>
      </c>
      <c r="AH1" s="43" t="s">
        <v>126</v>
      </c>
      <c r="AI1" s="43" t="s">
        <v>127</v>
      </c>
      <c r="AJ1" s="43" t="s">
        <v>128</v>
      </c>
      <c r="AL1" s="18" t="s">
        <v>79</v>
      </c>
      <c r="AM1" s="43" t="s">
        <v>129</v>
      </c>
      <c r="AN1" s="43" t="s">
        <v>130</v>
      </c>
      <c r="AO1" s="43" t="s">
        <v>131</v>
      </c>
      <c r="AQ1" s="18" t="s">
        <v>90</v>
      </c>
      <c r="AR1" s="43" t="s">
        <v>700</v>
      </c>
      <c r="AS1" s="43" t="s">
        <v>701</v>
      </c>
      <c r="AT1" s="43" t="s">
        <v>702</v>
      </c>
      <c r="AV1" s="18" t="s">
        <v>699</v>
      </c>
      <c r="AW1" s="43" t="s">
        <v>1177</v>
      </c>
      <c r="AX1" s="43" t="s">
        <v>1178</v>
      </c>
      <c r="AY1" s="43" t="s">
        <v>1179</v>
      </c>
      <c r="BA1" s="18" t="s">
        <v>1180</v>
      </c>
      <c r="BB1" s="43" t="s">
        <v>1189</v>
      </c>
      <c r="BC1" s="43" t="s">
        <v>1190</v>
      </c>
      <c r="BD1" s="43" t="s">
        <v>1191</v>
      </c>
      <c r="BF1" s="18" t="s">
        <v>1198</v>
      </c>
      <c r="BH1" s="46"/>
    </row>
    <row r="2" spans="1:73" s="2" customFormat="1">
      <c r="A2" s="2" t="s">
        <v>2</v>
      </c>
      <c r="I2" s="6" t="s">
        <v>194</v>
      </c>
      <c r="J2" s="6" t="s">
        <v>195</v>
      </c>
      <c r="K2" s="6" t="s">
        <v>196</v>
      </c>
      <c r="L2" s="6" t="s">
        <v>197</v>
      </c>
      <c r="M2" s="6" t="s">
        <v>198</v>
      </c>
      <c r="N2" s="6" t="s">
        <v>163</v>
      </c>
      <c r="O2" s="6" t="s">
        <v>164</v>
      </c>
      <c r="P2" s="6" t="s">
        <v>165</v>
      </c>
      <c r="Q2" s="6" t="s">
        <v>166</v>
      </c>
      <c r="R2" s="6" t="s">
        <v>167</v>
      </c>
      <c r="S2" s="6" t="s">
        <v>154</v>
      </c>
      <c r="T2" s="6" t="s">
        <v>155</v>
      </c>
      <c r="U2" s="6" t="s">
        <v>156</v>
      </c>
      <c r="V2" s="6" t="s">
        <v>157</v>
      </c>
      <c r="W2" s="6" t="s">
        <v>158</v>
      </c>
      <c r="X2" s="6" t="s">
        <v>133</v>
      </c>
      <c r="Y2" s="6" t="s">
        <v>134</v>
      </c>
      <c r="Z2" s="6" t="s">
        <v>135</v>
      </c>
      <c r="AA2" s="6" t="s">
        <v>136</v>
      </c>
      <c r="AB2" s="6" t="s">
        <v>137</v>
      </c>
      <c r="AC2" s="6" t="s">
        <v>74</v>
      </c>
      <c r="AD2" s="6" t="s">
        <v>75</v>
      </c>
      <c r="AE2" s="6" t="s">
        <v>76</v>
      </c>
      <c r="AF2" s="6" t="s">
        <v>77</v>
      </c>
      <c r="AG2" s="6" t="s">
        <v>78</v>
      </c>
      <c r="AH2" s="6" t="s">
        <v>10</v>
      </c>
      <c r="AI2" s="6" t="s">
        <v>11</v>
      </c>
      <c r="AJ2" s="6" t="s">
        <v>12</v>
      </c>
      <c r="AK2" s="6" t="s">
        <v>13</v>
      </c>
      <c r="AL2" s="6" t="s">
        <v>14</v>
      </c>
      <c r="AM2" s="6" t="s">
        <v>91</v>
      </c>
      <c r="AN2" s="6" t="s">
        <v>92</v>
      </c>
      <c r="AO2" s="6" t="s">
        <v>93</v>
      </c>
      <c r="AP2" s="6" t="s">
        <v>94</v>
      </c>
      <c r="AQ2" s="6" t="s">
        <v>95</v>
      </c>
      <c r="AR2" s="6" t="s">
        <v>686</v>
      </c>
      <c r="AS2" s="6" t="s">
        <v>695</v>
      </c>
      <c r="AT2" s="6" t="s">
        <v>696</v>
      </c>
      <c r="AU2" s="6" t="s">
        <v>697</v>
      </c>
      <c r="AV2" s="6" t="s">
        <v>698</v>
      </c>
      <c r="AW2" s="6" t="s">
        <v>1172</v>
      </c>
      <c r="AX2" s="6" t="s">
        <v>1173</v>
      </c>
      <c r="AY2" s="6" t="s">
        <v>1174</v>
      </c>
      <c r="AZ2" s="6" t="s">
        <v>1175</v>
      </c>
      <c r="BA2" s="6" t="s">
        <v>1176</v>
      </c>
      <c r="BB2" s="6" t="s">
        <v>1184</v>
      </c>
      <c r="BC2" s="6" t="s">
        <v>1185</v>
      </c>
      <c r="BD2" s="6" t="s">
        <v>1186</v>
      </c>
      <c r="BE2" s="6" t="s">
        <v>1187</v>
      </c>
      <c r="BF2" s="6" t="s">
        <v>1188</v>
      </c>
      <c r="BH2" s="241" t="s">
        <v>1477</v>
      </c>
      <c r="BJ2" s="6" t="s">
        <v>158</v>
      </c>
      <c r="BK2" s="6" t="s">
        <v>137</v>
      </c>
      <c r="BL2" s="6" t="s">
        <v>78</v>
      </c>
      <c r="BM2" s="6" t="s">
        <v>14</v>
      </c>
      <c r="BN2" s="6" t="s">
        <v>95</v>
      </c>
      <c r="BO2" s="6" t="s">
        <v>698</v>
      </c>
      <c r="BP2" s="6" t="s">
        <v>1176</v>
      </c>
      <c r="BQ2" s="6" t="s">
        <v>1188</v>
      </c>
      <c r="BR2" s="6" t="s">
        <v>1197</v>
      </c>
      <c r="BS2" s="6" t="s">
        <v>1208</v>
      </c>
      <c r="BT2" s="6" t="s">
        <v>1218</v>
      </c>
      <c r="BU2" s="6" t="s">
        <v>1225</v>
      </c>
    </row>
    <row r="4" spans="1:73" s="44" customFormat="1">
      <c r="A4" s="49" t="s">
        <v>189</v>
      </c>
      <c r="BH4" s="46"/>
    </row>
    <row r="6" spans="1:73">
      <c r="A6" s="5" t="s">
        <v>81</v>
      </c>
    </row>
    <row r="7" spans="1:73">
      <c r="A7" s="5" t="s">
        <v>85</v>
      </c>
    </row>
    <row r="8" spans="1:73">
      <c r="A8" s="5" t="s">
        <v>191</v>
      </c>
    </row>
    <row r="9" spans="1:73">
      <c r="A9" s="5" t="s">
        <v>190</v>
      </c>
    </row>
    <row r="10" spans="1:73">
      <c r="A10" s="5" t="s">
        <v>193</v>
      </c>
    </row>
    <row r="12" spans="1:73" s="2" customFormat="1">
      <c r="A12" s="4" t="s">
        <v>237</v>
      </c>
      <c r="BH12" s="46"/>
    </row>
    <row r="14" spans="1:73">
      <c r="A14" s="3" t="s">
        <v>2044</v>
      </c>
    </row>
    <row r="16" spans="1:73">
      <c r="A16" s="1" t="s">
        <v>2033</v>
      </c>
      <c r="AP16" s="25" t="s">
        <v>2313</v>
      </c>
    </row>
    <row r="17" spans="1:51">
      <c r="A17" s="5" t="s">
        <v>2045</v>
      </c>
      <c r="V17" s="37">
        <v>1388240</v>
      </c>
      <c r="W17" s="36">
        <f>V17</f>
        <v>1388240</v>
      </c>
      <c r="AA17" s="37">
        <v>1152934</v>
      </c>
      <c r="AB17" s="36">
        <f>AA17</f>
        <v>1152934</v>
      </c>
      <c r="AF17" s="37">
        <v>1255116</v>
      </c>
      <c r="AG17" s="36">
        <f>AF17</f>
        <v>1255116</v>
      </c>
      <c r="AK17" s="37">
        <v>381851</v>
      </c>
      <c r="AL17" s="36">
        <f>AK17</f>
        <v>381851</v>
      </c>
      <c r="AM17" s="37">
        <v>429046</v>
      </c>
      <c r="AN17" s="37">
        <v>459947</v>
      </c>
      <c r="AO17" s="37">
        <v>446377</v>
      </c>
      <c r="AP17" s="37">
        <v>462977</v>
      </c>
      <c r="AQ17" s="36">
        <f>AP17</f>
        <v>462977</v>
      </c>
      <c r="AR17" s="37">
        <v>465640</v>
      </c>
      <c r="AS17" s="37">
        <v>891376</v>
      </c>
      <c r="AT17" s="37">
        <v>1001304</v>
      </c>
      <c r="AU17" s="37">
        <v>1775411</v>
      </c>
      <c r="AV17" s="36">
        <f>AU17</f>
        <v>1775411</v>
      </c>
      <c r="AW17" s="37">
        <v>3040938</v>
      </c>
      <c r="AX17" s="37">
        <v>3076150</v>
      </c>
      <c r="AY17" s="37">
        <v>2990227</v>
      </c>
    </row>
    <row r="18" spans="1:51">
      <c r="A18" s="5" t="s">
        <v>2046</v>
      </c>
      <c r="V18" s="37">
        <v>5034494</v>
      </c>
      <c r="W18" s="36">
        <f>V18</f>
        <v>5034494</v>
      </c>
      <c r="AA18" s="37">
        <v>4745549</v>
      </c>
      <c r="AB18" s="36">
        <f>AA18</f>
        <v>4745549</v>
      </c>
      <c r="AF18" s="37">
        <v>5918265</v>
      </c>
      <c r="AG18" s="36">
        <f>AF18</f>
        <v>5918265</v>
      </c>
      <c r="AK18" s="37">
        <v>5753022</v>
      </c>
      <c r="AL18" s="36">
        <f>AK18</f>
        <v>5753022</v>
      </c>
      <c r="AM18" s="37">
        <v>5950350</v>
      </c>
      <c r="AN18" s="37">
        <v>5958396</v>
      </c>
      <c r="AO18" s="37">
        <v>5902048</v>
      </c>
      <c r="AP18" s="37">
        <v>6147578</v>
      </c>
      <c r="AQ18" s="36">
        <f>AP18</f>
        <v>6147578</v>
      </c>
      <c r="AR18" s="37">
        <v>6457911</v>
      </c>
      <c r="AS18" s="37">
        <v>6321123</v>
      </c>
      <c r="AT18" s="37">
        <v>6810533</v>
      </c>
      <c r="AU18" s="37">
        <v>6668470</v>
      </c>
      <c r="AV18" s="36">
        <f>AU18</f>
        <v>6668470</v>
      </c>
      <c r="AW18" s="37">
        <v>6700937</v>
      </c>
      <c r="AX18" s="37">
        <v>7253007</v>
      </c>
      <c r="AY18" s="37">
        <v>8315247</v>
      </c>
    </row>
    <row r="19" spans="1:51">
      <c r="A19" s="5" t="s">
        <v>30</v>
      </c>
      <c r="V19" s="38"/>
      <c r="W19" s="36">
        <f>V19</f>
        <v>0</v>
      </c>
      <c r="AA19" s="37">
        <v>13367</v>
      </c>
      <c r="AB19" s="36">
        <f>AA19</f>
        <v>13367</v>
      </c>
      <c r="AF19" s="37">
        <v>12056</v>
      </c>
      <c r="AG19" s="36">
        <f>AF19</f>
        <v>12056</v>
      </c>
      <c r="AK19" s="37">
        <v>10717</v>
      </c>
      <c r="AL19" s="36">
        <f>AK19</f>
        <v>10717</v>
      </c>
      <c r="AM19" s="37">
        <v>10379</v>
      </c>
      <c r="AN19" s="37">
        <v>10038</v>
      </c>
      <c r="AO19" s="37">
        <v>9696</v>
      </c>
      <c r="AP19" s="37">
        <v>9351</v>
      </c>
      <c r="AQ19" s="36">
        <f>AP19</f>
        <v>9351</v>
      </c>
      <c r="AR19" s="37">
        <v>9005</v>
      </c>
      <c r="AS19" s="37">
        <v>8657</v>
      </c>
      <c r="AT19" s="37">
        <v>8308</v>
      </c>
      <c r="AU19" s="37">
        <v>7956</v>
      </c>
      <c r="AV19" s="36">
        <f>AU19</f>
        <v>7956</v>
      </c>
      <c r="AW19" s="37">
        <v>7603</v>
      </c>
      <c r="AX19" s="37">
        <v>7247</v>
      </c>
      <c r="AY19" s="37">
        <v>6890</v>
      </c>
    </row>
    <row r="20" spans="1:51">
      <c r="A20" s="5" t="s">
        <v>238</v>
      </c>
      <c r="V20" s="37">
        <v>106000</v>
      </c>
      <c r="W20" s="36">
        <f>V20</f>
        <v>106000</v>
      </c>
      <c r="AA20" s="37">
        <v>246500</v>
      </c>
      <c r="AB20" s="36">
        <f>AA20</f>
        <v>246500</v>
      </c>
      <c r="AF20" s="37">
        <v>256800</v>
      </c>
      <c r="AG20" s="36">
        <f>AF20</f>
        <v>256800</v>
      </c>
      <c r="AK20" s="37">
        <v>161000</v>
      </c>
      <c r="AL20" s="36">
        <f>AK20</f>
        <v>161000</v>
      </c>
      <c r="AM20" s="37">
        <v>189000</v>
      </c>
      <c r="AN20" s="37">
        <v>183500</v>
      </c>
      <c r="AO20" s="37">
        <v>183000</v>
      </c>
      <c r="AP20" s="37">
        <v>176500</v>
      </c>
      <c r="AQ20" s="36">
        <f>AP20</f>
        <v>176500</v>
      </c>
      <c r="AR20" s="37">
        <v>168000</v>
      </c>
      <c r="AS20" s="37">
        <v>198000</v>
      </c>
      <c r="AT20" s="37">
        <v>134000</v>
      </c>
      <c r="AU20" s="37">
        <v>141500</v>
      </c>
      <c r="AV20" s="36">
        <f>AU20</f>
        <v>141500</v>
      </c>
      <c r="AW20" s="37">
        <v>167500</v>
      </c>
      <c r="AX20" s="37">
        <v>190500</v>
      </c>
      <c r="AY20" s="37">
        <v>229500</v>
      </c>
    </row>
    <row r="21" spans="1:51">
      <c r="A21" s="9" t="s">
        <v>2033</v>
      </c>
      <c r="B21" s="9"/>
      <c r="C21" s="9"/>
      <c r="D21" s="9"/>
      <c r="E21" s="9"/>
      <c r="F21" s="9"/>
      <c r="G21" s="9"/>
      <c r="H21" s="9"/>
      <c r="I21" s="9"/>
      <c r="J21" s="9"/>
      <c r="K21" s="9"/>
      <c r="L21" s="9"/>
      <c r="M21" s="9"/>
      <c r="N21" s="9"/>
      <c r="O21" s="9"/>
      <c r="P21" s="9"/>
      <c r="Q21" s="9"/>
      <c r="R21" s="9"/>
      <c r="S21" s="9"/>
      <c r="T21" s="9"/>
      <c r="U21" s="9"/>
      <c r="V21" s="39">
        <f>SUM(V17:V20)</f>
        <v>6528734</v>
      </c>
      <c r="W21" s="39">
        <f>V21</f>
        <v>6528734</v>
      </c>
      <c r="X21" s="9"/>
      <c r="Y21" s="9"/>
      <c r="Z21" s="9"/>
      <c r="AA21" s="39">
        <f>SUM(AA17:AA20)</f>
        <v>6158350</v>
      </c>
      <c r="AB21" s="39">
        <f>AA21</f>
        <v>6158350</v>
      </c>
      <c r="AC21" s="9"/>
      <c r="AD21" s="9"/>
      <c r="AE21" s="9"/>
      <c r="AF21" s="39">
        <f>SUM(AF17:AF20)</f>
        <v>7442237</v>
      </c>
      <c r="AG21" s="39">
        <f>AF21</f>
        <v>7442237</v>
      </c>
      <c r="AH21" s="9"/>
      <c r="AI21" s="9"/>
      <c r="AJ21" s="9"/>
      <c r="AK21" s="39">
        <f>SUM(AK17:AK20)</f>
        <v>6306590</v>
      </c>
      <c r="AL21" s="39">
        <f>AK21</f>
        <v>6306590</v>
      </c>
      <c r="AM21" s="39">
        <f>SUM(AM17:AM20)</f>
        <v>6578775</v>
      </c>
      <c r="AN21" s="39">
        <f>SUM(AN17:AN20)</f>
        <v>6611881</v>
      </c>
      <c r="AO21" s="39">
        <f>SUM(AO17:AO20)</f>
        <v>6541121</v>
      </c>
      <c r="AP21" s="39">
        <f>SUM(AP17:AP20)</f>
        <v>6796406</v>
      </c>
      <c r="AQ21" s="39">
        <f>AP21</f>
        <v>6796406</v>
      </c>
      <c r="AR21" s="39">
        <f>SUM(AR17:AR20)</f>
        <v>7100556</v>
      </c>
      <c r="AS21" s="39">
        <f>SUM(AS17:AS20)</f>
        <v>7419156</v>
      </c>
      <c r="AT21" s="39">
        <f>SUM(AT17:AT20)</f>
        <v>7954145</v>
      </c>
      <c r="AU21" s="39">
        <f>SUM(AU17:AU20)</f>
        <v>8593337</v>
      </c>
      <c r="AV21" s="39">
        <f>AU21</f>
        <v>8593337</v>
      </c>
      <c r="AW21" s="39">
        <f>SUM(AW17:AW20)</f>
        <v>9916978</v>
      </c>
      <c r="AX21" s="39">
        <f>SUM(AX17:AX20)</f>
        <v>10526904</v>
      </c>
      <c r="AY21" s="39">
        <f>SUM(AY17:AY20)</f>
        <v>11541864</v>
      </c>
    </row>
    <row r="22" spans="1:51">
      <c r="AP22" s="26"/>
    </row>
    <row r="23" spans="1:51">
      <c r="A23" s="1" t="s">
        <v>2047</v>
      </c>
      <c r="AP23" s="26"/>
    </row>
    <row r="24" spans="1:51">
      <c r="A24" s="5" t="s">
        <v>2045</v>
      </c>
      <c r="V24" s="37">
        <v>1522228</v>
      </c>
      <c r="W24" s="36">
        <f>V24</f>
        <v>1522228</v>
      </c>
      <c r="AA24" s="37">
        <v>1874040</v>
      </c>
      <c r="AB24" s="36">
        <f>AA24</f>
        <v>1874040</v>
      </c>
      <c r="AF24" s="37">
        <v>2857000</v>
      </c>
      <c r="AG24" s="36">
        <f>AF24</f>
        <v>2857000</v>
      </c>
      <c r="AK24" s="37">
        <v>2065361</v>
      </c>
      <c r="AL24" s="36">
        <f>AK24</f>
        <v>2065361</v>
      </c>
      <c r="AM24" s="37">
        <v>2204581</v>
      </c>
      <c r="AN24" s="37">
        <v>2239479</v>
      </c>
      <c r="AO24" s="37">
        <v>2169431</v>
      </c>
      <c r="AP24" s="37">
        <v>2270601</v>
      </c>
      <c r="AQ24" s="36">
        <f>AP24</f>
        <v>2270601</v>
      </c>
      <c r="AR24" s="37">
        <v>2381090</v>
      </c>
      <c r="AS24" s="37">
        <v>2187359</v>
      </c>
      <c r="AT24" s="37">
        <v>2328547</v>
      </c>
      <c r="AU24" s="37">
        <v>2463823</v>
      </c>
      <c r="AV24" s="36">
        <f>AU24</f>
        <v>2463823</v>
      </c>
      <c r="AW24" s="37">
        <v>2358159</v>
      </c>
      <c r="AX24" s="37">
        <v>2053274</v>
      </c>
      <c r="AY24" s="37">
        <v>4296973</v>
      </c>
    </row>
    <row r="25" spans="1:51">
      <c r="A25" s="5" t="s">
        <v>2048</v>
      </c>
      <c r="V25" s="37">
        <v>196101</v>
      </c>
      <c r="W25" s="36">
        <f>V25</f>
        <v>196101</v>
      </c>
      <c r="AA25" s="37">
        <v>3085739</v>
      </c>
      <c r="AB25" s="36">
        <f>AA25</f>
        <v>3085739</v>
      </c>
      <c r="AF25" s="37">
        <v>4536573</v>
      </c>
      <c r="AG25" s="36">
        <f>AF25</f>
        <v>4536573</v>
      </c>
      <c r="AK25" s="37">
        <v>4263603</v>
      </c>
      <c r="AL25" s="36">
        <f>AK25</f>
        <v>4263603</v>
      </c>
      <c r="AM25" s="37">
        <v>5238201</v>
      </c>
      <c r="AN25" s="37">
        <v>5428301</v>
      </c>
      <c r="AO25" s="37">
        <v>5000436</v>
      </c>
      <c r="AP25" s="37">
        <v>5172511</v>
      </c>
      <c r="AQ25" s="36">
        <f>AP25</f>
        <v>5172511</v>
      </c>
      <c r="AR25" s="37">
        <v>4785867</v>
      </c>
      <c r="AS25" s="37">
        <v>3589758</v>
      </c>
      <c r="AT25" s="37">
        <v>2611963</v>
      </c>
      <c r="AU25" s="37">
        <v>997843</v>
      </c>
      <c r="AV25" s="36">
        <f>AU25</f>
        <v>997843</v>
      </c>
      <c r="AW25" s="37">
        <v>0</v>
      </c>
      <c r="AX25" s="37">
        <v>0</v>
      </c>
      <c r="AY25" s="37">
        <v>0</v>
      </c>
    </row>
    <row r="26" spans="1:51">
      <c r="A26" s="9" t="s">
        <v>2047</v>
      </c>
      <c r="B26" s="9"/>
      <c r="C26" s="9"/>
      <c r="D26" s="9"/>
      <c r="E26" s="9"/>
      <c r="F26" s="9"/>
      <c r="G26" s="9"/>
      <c r="H26" s="9"/>
      <c r="I26" s="9"/>
      <c r="J26" s="9"/>
      <c r="K26" s="9"/>
      <c r="L26" s="9"/>
      <c r="M26" s="9"/>
      <c r="N26" s="9"/>
      <c r="O26" s="9"/>
      <c r="P26" s="9"/>
      <c r="Q26" s="9"/>
      <c r="R26" s="9"/>
      <c r="S26" s="9"/>
      <c r="T26" s="9"/>
      <c r="U26" s="9"/>
      <c r="V26" s="39">
        <f>SUM(V24:V25)</f>
        <v>1718329</v>
      </c>
      <c r="W26" s="39">
        <f>V26</f>
        <v>1718329</v>
      </c>
      <c r="X26" s="9"/>
      <c r="Y26" s="9"/>
      <c r="Z26" s="9"/>
      <c r="AA26" s="39">
        <f>SUM(AA24:AA25)</f>
        <v>4959779</v>
      </c>
      <c r="AB26" s="39">
        <f>AA26</f>
        <v>4959779</v>
      </c>
      <c r="AC26" s="9"/>
      <c r="AD26" s="9"/>
      <c r="AE26" s="9"/>
      <c r="AF26" s="39">
        <f>SUM(AF24:AF25)</f>
        <v>7393573</v>
      </c>
      <c r="AG26" s="39">
        <f>AF26</f>
        <v>7393573</v>
      </c>
      <c r="AH26" s="9"/>
      <c r="AI26" s="9"/>
      <c r="AJ26" s="9"/>
      <c r="AK26" s="39">
        <f>SUM(AK24:AK25)</f>
        <v>6328964</v>
      </c>
      <c r="AL26" s="39">
        <f>AK26</f>
        <v>6328964</v>
      </c>
      <c r="AM26" s="39">
        <f>SUM(AM24:AM25)</f>
        <v>7442782</v>
      </c>
      <c r="AN26" s="39">
        <f>SUM(AN24:AN25)</f>
        <v>7667780</v>
      </c>
      <c r="AO26" s="39">
        <f>SUM(AO24:AO25)</f>
        <v>7169867</v>
      </c>
      <c r="AP26" s="39">
        <f>SUM(AP24:AP25)</f>
        <v>7443112</v>
      </c>
      <c r="AQ26" s="39">
        <f>AP26</f>
        <v>7443112</v>
      </c>
      <c r="AR26" s="39">
        <f>SUM(AR24:AR25)</f>
        <v>7166957</v>
      </c>
      <c r="AS26" s="39">
        <f>SUM(AS24:AS25)</f>
        <v>5777117</v>
      </c>
      <c r="AT26" s="39">
        <f>SUM(AT24:AT25)</f>
        <v>4940510</v>
      </c>
      <c r="AU26" s="39">
        <f>SUM(AU24:AU25)</f>
        <v>3461666</v>
      </c>
      <c r="AV26" s="39">
        <f>AU26</f>
        <v>3461666</v>
      </c>
      <c r="AW26" s="39">
        <f>SUM(AW24:AW25)</f>
        <v>2358159</v>
      </c>
      <c r="AX26" s="39">
        <f>SUM(AX24:AX25)</f>
        <v>2053274</v>
      </c>
      <c r="AY26" s="39">
        <f>SUM(AY24:AY25)</f>
        <v>4296973</v>
      </c>
    </row>
    <row r="27" spans="1:51">
      <c r="AP27" s="26"/>
    </row>
    <row r="28" spans="1:51">
      <c r="A28" s="1" t="s">
        <v>958</v>
      </c>
      <c r="AP28" s="26"/>
    </row>
    <row r="29" spans="1:51">
      <c r="A29" s="5" t="s">
        <v>2045</v>
      </c>
      <c r="V29" s="37">
        <v>0</v>
      </c>
      <c r="W29" s="36">
        <f>V29</f>
        <v>0</v>
      </c>
      <c r="AA29" s="37">
        <v>1866521</v>
      </c>
      <c r="AB29" s="36">
        <f>AA29</f>
        <v>1866521</v>
      </c>
      <c r="AF29" s="37">
        <v>33515</v>
      </c>
      <c r="AG29" s="36">
        <f>AF29</f>
        <v>33515</v>
      </c>
      <c r="AK29" s="37">
        <v>0</v>
      </c>
      <c r="AL29" s="36">
        <f>AK29</f>
        <v>0</v>
      </c>
      <c r="AM29" s="37">
        <v>5014</v>
      </c>
      <c r="AN29" s="37">
        <v>21</v>
      </c>
      <c r="AO29" s="37">
        <v>0</v>
      </c>
      <c r="AP29" s="37">
        <v>0</v>
      </c>
      <c r="AQ29" s="36">
        <f>AP29</f>
        <v>0</v>
      </c>
      <c r="AR29" s="37">
        <v>0</v>
      </c>
      <c r="AS29" s="37">
        <v>0</v>
      </c>
      <c r="AT29" s="37">
        <v>0</v>
      </c>
      <c r="AU29" s="37">
        <v>29796</v>
      </c>
      <c r="AV29" s="36">
        <f>AU29</f>
        <v>29796</v>
      </c>
      <c r="AW29" s="37">
        <v>5</v>
      </c>
      <c r="AX29" s="37">
        <v>0</v>
      </c>
      <c r="AY29" s="37">
        <v>469827</v>
      </c>
    </row>
    <row r="30" spans="1:51">
      <c r="A30" s="9" t="s">
        <v>958</v>
      </c>
      <c r="B30" s="9"/>
      <c r="C30" s="9"/>
      <c r="D30" s="9"/>
      <c r="E30" s="9"/>
      <c r="F30" s="9"/>
      <c r="G30" s="9"/>
      <c r="H30" s="9"/>
      <c r="I30" s="9"/>
      <c r="J30" s="9"/>
      <c r="K30" s="9"/>
      <c r="L30" s="9"/>
      <c r="M30" s="9"/>
      <c r="N30" s="9"/>
      <c r="O30" s="9"/>
      <c r="P30" s="9"/>
      <c r="Q30" s="9"/>
      <c r="R30" s="9"/>
      <c r="S30" s="9"/>
      <c r="T30" s="9"/>
      <c r="U30" s="9"/>
      <c r="V30" s="39">
        <f>V29</f>
        <v>0</v>
      </c>
      <c r="W30" s="39">
        <f>V30</f>
        <v>0</v>
      </c>
      <c r="X30" s="9"/>
      <c r="Y30" s="9"/>
      <c r="Z30" s="9"/>
      <c r="AA30" s="39">
        <f>AA29</f>
        <v>1866521</v>
      </c>
      <c r="AB30" s="39">
        <f>AA30</f>
        <v>1866521</v>
      </c>
      <c r="AC30" s="9"/>
      <c r="AD30" s="9"/>
      <c r="AE30" s="9"/>
      <c r="AF30" s="39">
        <f>AF29</f>
        <v>33515</v>
      </c>
      <c r="AG30" s="39">
        <f>AF30</f>
        <v>33515</v>
      </c>
      <c r="AH30" s="9"/>
      <c r="AI30" s="9"/>
      <c r="AJ30" s="9"/>
      <c r="AK30" s="39">
        <f>AK29</f>
        <v>0</v>
      </c>
      <c r="AL30" s="39">
        <f>AK30</f>
        <v>0</v>
      </c>
      <c r="AM30" s="39">
        <f>AM29</f>
        <v>5014</v>
      </c>
      <c r="AN30" s="39">
        <f>AN29</f>
        <v>21</v>
      </c>
      <c r="AO30" s="39">
        <f>AO29</f>
        <v>0</v>
      </c>
      <c r="AP30" s="39">
        <f>AP29</f>
        <v>0</v>
      </c>
      <c r="AQ30" s="39">
        <f>AP30</f>
        <v>0</v>
      </c>
      <c r="AR30" s="39">
        <f>AR29</f>
        <v>0</v>
      </c>
      <c r="AS30" s="39">
        <f>AS29</f>
        <v>0</v>
      </c>
      <c r="AT30" s="39">
        <f>AT29</f>
        <v>0</v>
      </c>
      <c r="AU30" s="39">
        <f>AU29</f>
        <v>29796</v>
      </c>
      <c r="AV30" s="39">
        <f>AU30</f>
        <v>29796</v>
      </c>
      <c r="AW30" s="39">
        <f>AW29</f>
        <v>5</v>
      </c>
      <c r="AX30" s="39">
        <f>AX29</f>
        <v>0</v>
      </c>
      <c r="AY30" s="39">
        <f>AY29</f>
        <v>469827</v>
      </c>
    </row>
    <row r="31" spans="1:51">
      <c r="AP31" s="26"/>
    </row>
    <row r="32" spans="1:51">
      <c r="A32" s="5" t="s">
        <v>192</v>
      </c>
      <c r="AP32" s="26"/>
      <c r="AR32" s="37">
        <v>27188</v>
      </c>
      <c r="AS32" s="37">
        <v>24062</v>
      </c>
      <c r="AT32" s="37">
        <v>26633</v>
      </c>
      <c r="AU32" s="37">
        <v>25144</v>
      </c>
      <c r="AV32" s="36">
        <f>AU32</f>
        <v>25144</v>
      </c>
      <c r="AW32" s="37">
        <v>24313</v>
      </c>
      <c r="AX32" s="37">
        <v>761</v>
      </c>
      <c r="AY32" s="37">
        <v>667</v>
      </c>
    </row>
    <row r="33" spans="1:51">
      <c r="A33" s="9" t="s">
        <v>2053</v>
      </c>
      <c r="B33" s="9"/>
      <c r="C33" s="9"/>
      <c r="D33" s="9"/>
      <c r="E33" s="9"/>
      <c r="F33" s="9"/>
      <c r="G33" s="9"/>
      <c r="H33" s="9"/>
      <c r="I33" s="9"/>
      <c r="J33" s="9"/>
      <c r="K33" s="9"/>
      <c r="L33" s="9"/>
      <c r="M33" s="9"/>
      <c r="N33" s="9"/>
      <c r="O33" s="9"/>
      <c r="P33" s="9"/>
      <c r="Q33" s="9"/>
      <c r="R33" s="9"/>
      <c r="S33" s="9"/>
      <c r="T33" s="9"/>
      <c r="U33" s="9"/>
      <c r="V33" s="39">
        <f>V21+V26+V30</f>
        <v>8247063</v>
      </c>
      <c r="W33" s="39">
        <f>V33</f>
        <v>8247063</v>
      </c>
      <c r="X33" s="9"/>
      <c r="Y33" s="9"/>
      <c r="Z33" s="9"/>
      <c r="AA33" s="39">
        <f>AA21+AA26+AA30</f>
        <v>12984650</v>
      </c>
      <c r="AB33" s="39">
        <f>AA33</f>
        <v>12984650</v>
      </c>
      <c r="AC33" s="9"/>
      <c r="AD33" s="9"/>
      <c r="AE33" s="9"/>
      <c r="AF33" s="39">
        <f>AF21+AF26+AF30</f>
        <v>14869325</v>
      </c>
      <c r="AG33" s="39">
        <f>AF33</f>
        <v>14869325</v>
      </c>
      <c r="AH33" s="9"/>
      <c r="AI33" s="9"/>
      <c r="AJ33" s="9"/>
      <c r="AK33" s="39">
        <f>AK21+AK26+AK30</f>
        <v>12635554</v>
      </c>
      <c r="AL33" s="39">
        <f>AK33</f>
        <v>12635554</v>
      </c>
      <c r="AM33" s="39">
        <f>AM21+AM26+AM30</f>
        <v>14026571</v>
      </c>
      <c r="AN33" s="39">
        <f>AN21+AN26+AN30</f>
        <v>14279682</v>
      </c>
      <c r="AO33" s="39">
        <f>AO21+AO26+AO30</f>
        <v>13710988</v>
      </c>
      <c r="AP33" s="39">
        <f>AP21+AP26+AP30</f>
        <v>14239518</v>
      </c>
      <c r="AQ33" s="39">
        <f>AP33</f>
        <v>14239518</v>
      </c>
      <c r="AR33" s="39">
        <f t="shared" ref="AR33:AY33" si="0">AR21+AR26+AR30+AR32</f>
        <v>14294701</v>
      </c>
      <c r="AS33" s="39">
        <f t="shared" si="0"/>
        <v>13220335</v>
      </c>
      <c r="AT33" s="39">
        <f t="shared" si="0"/>
        <v>12921288</v>
      </c>
      <c r="AU33" s="39">
        <f t="shared" si="0"/>
        <v>12109943</v>
      </c>
      <c r="AV33" s="39">
        <f t="shared" si="0"/>
        <v>12109943</v>
      </c>
      <c r="AW33" s="39">
        <f t="shared" si="0"/>
        <v>12299455</v>
      </c>
      <c r="AX33" s="39">
        <f t="shared" si="0"/>
        <v>12580939</v>
      </c>
      <c r="AY33" s="39">
        <f t="shared" si="0"/>
        <v>16309331</v>
      </c>
    </row>
    <row r="34" spans="1:51">
      <c r="AP34" s="26"/>
    </row>
    <row r="35" spans="1:51">
      <c r="A35" s="1" t="s">
        <v>2035</v>
      </c>
      <c r="AP35" s="26"/>
    </row>
    <row r="36" spans="1:51">
      <c r="A36" s="5" t="s">
        <v>84</v>
      </c>
      <c r="V36" s="37">
        <v>581543</v>
      </c>
      <c r="W36" s="36">
        <f>V36</f>
        <v>581543</v>
      </c>
      <c r="AA36" s="37">
        <v>444227</v>
      </c>
      <c r="AB36" s="36">
        <f>AA36</f>
        <v>444227</v>
      </c>
      <c r="AF36" s="37">
        <v>336535</v>
      </c>
      <c r="AG36" s="36">
        <f>AF36</f>
        <v>336535</v>
      </c>
      <c r="AK36" s="37">
        <v>552681</v>
      </c>
      <c r="AL36" s="36">
        <f>AK36</f>
        <v>552681</v>
      </c>
      <c r="AM36" s="37">
        <v>590620</v>
      </c>
      <c r="AN36" s="37">
        <v>0</v>
      </c>
      <c r="AO36" s="37">
        <v>0</v>
      </c>
      <c r="AP36" s="37">
        <v>0</v>
      </c>
      <c r="AQ36" s="36">
        <f>AP36</f>
        <v>0</v>
      </c>
      <c r="AR36" s="37">
        <v>0</v>
      </c>
      <c r="AS36" s="37">
        <v>0</v>
      </c>
      <c r="AT36" s="37">
        <v>0</v>
      </c>
      <c r="AU36" s="37">
        <v>0</v>
      </c>
      <c r="AV36" s="36">
        <f>AU36</f>
        <v>0</v>
      </c>
      <c r="AW36" s="37">
        <v>0</v>
      </c>
      <c r="AX36" s="37">
        <v>0</v>
      </c>
      <c r="AY36" s="37">
        <v>0</v>
      </c>
    </row>
    <row r="37" spans="1:51">
      <c r="A37" s="5" t="s">
        <v>83</v>
      </c>
      <c r="V37" s="38"/>
      <c r="W37" s="36"/>
      <c r="AA37" s="38"/>
      <c r="AB37" s="36"/>
      <c r="AF37" s="37">
        <v>731540</v>
      </c>
      <c r="AG37" s="36">
        <f>AF37</f>
        <v>731540</v>
      </c>
      <c r="AK37" s="37">
        <v>770004</v>
      </c>
      <c r="AL37" s="36">
        <f>AK37</f>
        <v>770004</v>
      </c>
      <c r="AM37" s="37">
        <v>829296</v>
      </c>
      <c r="AN37" s="37">
        <v>542213</v>
      </c>
      <c r="AO37" s="37">
        <v>513237</v>
      </c>
      <c r="AP37" s="37">
        <v>547894</v>
      </c>
      <c r="AQ37" s="36">
        <f>AP37</f>
        <v>547894</v>
      </c>
      <c r="AR37" s="37">
        <v>582854</v>
      </c>
      <c r="AS37" s="37">
        <v>508082</v>
      </c>
      <c r="AT37" s="37">
        <v>540195</v>
      </c>
      <c r="AU37" s="37">
        <v>501245</v>
      </c>
      <c r="AV37" s="36">
        <f>AU37</f>
        <v>501245</v>
      </c>
      <c r="AW37" s="37">
        <v>460917</v>
      </c>
      <c r="AX37" s="37">
        <v>647086</v>
      </c>
      <c r="AY37" s="37">
        <v>834711</v>
      </c>
    </row>
    <row r="38" spans="1:51">
      <c r="A38" s="5" t="s">
        <v>944</v>
      </c>
      <c r="V38" s="38"/>
      <c r="W38" s="36"/>
      <c r="AA38" s="38"/>
      <c r="AB38" s="36"/>
      <c r="AF38" s="37">
        <v>9179</v>
      </c>
      <c r="AG38" s="36">
        <f>AF38</f>
        <v>9179</v>
      </c>
      <c r="AK38" s="37">
        <v>0</v>
      </c>
      <c r="AL38" s="36">
        <f>AK38</f>
        <v>0</v>
      </c>
      <c r="AM38" s="37">
        <v>0</v>
      </c>
      <c r="AN38" s="37">
        <v>0</v>
      </c>
      <c r="AO38" s="37">
        <v>0</v>
      </c>
      <c r="AP38" s="37">
        <v>0</v>
      </c>
      <c r="AQ38" s="36">
        <f>AP38</f>
        <v>0</v>
      </c>
      <c r="AR38" s="37">
        <v>0</v>
      </c>
      <c r="AS38" s="37">
        <v>0</v>
      </c>
      <c r="AT38" s="37">
        <v>0</v>
      </c>
      <c r="AU38" s="37">
        <v>0</v>
      </c>
      <c r="AV38" s="36">
        <f>AU38</f>
        <v>0</v>
      </c>
      <c r="AW38" s="37">
        <v>0</v>
      </c>
      <c r="AX38" s="37">
        <v>0</v>
      </c>
      <c r="AY38" s="37">
        <v>0</v>
      </c>
    </row>
    <row r="39" spans="1:51">
      <c r="A39" s="5" t="s">
        <v>2054</v>
      </c>
      <c r="V39" s="37">
        <v>535</v>
      </c>
      <c r="W39" s="36">
        <f>V39</f>
        <v>535</v>
      </c>
      <c r="AA39" s="37">
        <v>363</v>
      </c>
      <c r="AB39" s="36">
        <f>AA39</f>
        <v>363</v>
      </c>
      <c r="AF39" s="37">
        <v>759</v>
      </c>
      <c r="AG39" s="36">
        <f>AF39</f>
        <v>759</v>
      </c>
      <c r="AK39" s="37">
        <v>14873</v>
      </c>
      <c r="AL39" s="36">
        <f>AK39</f>
        <v>14873</v>
      </c>
      <c r="AM39" s="37">
        <v>15916</v>
      </c>
      <c r="AN39" s="37">
        <v>16184</v>
      </c>
      <c r="AO39" s="37">
        <v>15152</v>
      </c>
      <c r="AP39" s="37">
        <v>15948</v>
      </c>
      <c r="AQ39" s="36">
        <f>AP39</f>
        <v>15948</v>
      </c>
      <c r="AR39" s="37">
        <v>16629</v>
      </c>
      <c r="AS39" s="37">
        <v>14935</v>
      </c>
      <c r="AT39" s="37">
        <v>16043</v>
      </c>
      <c r="AU39" s="37">
        <v>15027</v>
      </c>
      <c r="AV39" s="36">
        <f>AU39</f>
        <v>15027</v>
      </c>
      <c r="AW39" s="37">
        <v>14512</v>
      </c>
      <c r="AX39" s="37">
        <v>14735</v>
      </c>
      <c r="AY39" s="37">
        <v>15225</v>
      </c>
    </row>
    <row r="40" spans="1:51">
      <c r="A40" s="9" t="s">
        <v>2035</v>
      </c>
      <c r="B40" s="9"/>
      <c r="C40" s="9"/>
      <c r="D40" s="9"/>
      <c r="E40" s="9"/>
      <c r="F40" s="9"/>
      <c r="G40" s="9"/>
      <c r="H40" s="9"/>
      <c r="I40" s="9"/>
      <c r="J40" s="9"/>
      <c r="K40" s="9"/>
      <c r="L40" s="9"/>
      <c r="M40" s="9"/>
      <c r="N40" s="9"/>
      <c r="O40" s="9"/>
      <c r="P40" s="9"/>
      <c r="Q40" s="9"/>
      <c r="R40" s="9"/>
      <c r="S40" s="9"/>
      <c r="T40" s="9"/>
      <c r="U40" s="9"/>
      <c r="V40" s="39">
        <f>SUM(V36:V39)</f>
        <v>582078</v>
      </c>
      <c r="W40" s="39">
        <f>V40</f>
        <v>582078</v>
      </c>
      <c r="X40" s="9"/>
      <c r="Y40" s="9"/>
      <c r="Z40" s="9"/>
      <c r="AA40" s="39">
        <f>SUM(AA36:AA39)</f>
        <v>444590</v>
      </c>
      <c r="AB40" s="39">
        <f>AA40</f>
        <v>444590</v>
      </c>
      <c r="AC40" s="9"/>
      <c r="AD40" s="9"/>
      <c r="AE40" s="9"/>
      <c r="AF40" s="39">
        <f>SUM(AF36:AF39)</f>
        <v>1078013</v>
      </c>
      <c r="AG40" s="39">
        <f>AF40</f>
        <v>1078013</v>
      </c>
      <c r="AH40" s="9"/>
      <c r="AI40" s="9"/>
      <c r="AJ40" s="9"/>
      <c r="AK40" s="39">
        <f>SUM(AK36:AK39)</f>
        <v>1337558</v>
      </c>
      <c r="AL40" s="39">
        <f>AK40</f>
        <v>1337558</v>
      </c>
      <c r="AM40" s="39">
        <f>SUM(AM36:AM39)</f>
        <v>1435832</v>
      </c>
      <c r="AN40" s="39">
        <f>SUM(AN36:AN39)</f>
        <v>558397</v>
      </c>
      <c r="AO40" s="39">
        <f>SUM(AO36:AO39)</f>
        <v>528389</v>
      </c>
      <c r="AP40" s="39">
        <f>SUM(AP36:AP39)</f>
        <v>563842</v>
      </c>
      <c r="AQ40" s="39">
        <f>AP40</f>
        <v>563842</v>
      </c>
      <c r="AR40" s="39">
        <f>SUM(AR36:AR39)</f>
        <v>599483</v>
      </c>
      <c r="AS40" s="39">
        <f>SUM(AS36:AS39)</f>
        <v>523017</v>
      </c>
      <c r="AT40" s="39">
        <f>SUM(AT36:AT39)</f>
        <v>556238</v>
      </c>
      <c r="AU40" s="39">
        <f>SUM(AU36:AU39)</f>
        <v>516272</v>
      </c>
      <c r="AV40" s="39">
        <f>AU40</f>
        <v>516272</v>
      </c>
      <c r="AW40" s="39">
        <f>SUM(AW36:AW39)</f>
        <v>475429</v>
      </c>
      <c r="AX40" s="39">
        <f>SUM(AX36:AX39)</f>
        <v>661821</v>
      </c>
      <c r="AY40" s="39">
        <f>SUM(AY36:AY39)</f>
        <v>849936</v>
      </c>
    </row>
    <row r="41" spans="1:51">
      <c r="AP41" s="26"/>
    </row>
    <row r="42" spans="1:51">
      <c r="A42" s="1" t="s">
        <v>85</v>
      </c>
      <c r="AP42" s="26"/>
    </row>
    <row r="43" spans="1:51">
      <c r="A43" s="5" t="s">
        <v>2045</v>
      </c>
      <c r="V43" s="37">
        <v>2856027</v>
      </c>
      <c r="W43" s="36">
        <f>V43</f>
        <v>2856027</v>
      </c>
      <c r="AA43" s="37">
        <v>3037229</v>
      </c>
      <c r="AB43" s="36">
        <f>AA43</f>
        <v>3037229</v>
      </c>
      <c r="AF43" s="37">
        <v>3085954</v>
      </c>
      <c r="AG43" s="36">
        <f>AF43</f>
        <v>3085954</v>
      </c>
      <c r="AK43" s="37">
        <v>3080878</v>
      </c>
      <c r="AL43" s="36">
        <f>AK43</f>
        <v>3080878</v>
      </c>
      <c r="AM43" s="37">
        <v>3180568</v>
      </c>
      <c r="AN43" s="37">
        <v>3020625</v>
      </c>
      <c r="AO43" s="37">
        <v>3167791</v>
      </c>
      <c r="AP43" s="37">
        <v>2994039</v>
      </c>
      <c r="AQ43" s="36">
        <f>AP43</f>
        <v>2994039</v>
      </c>
      <c r="AR43" s="37">
        <v>3200477</v>
      </c>
      <c r="AS43" s="37">
        <v>2882350</v>
      </c>
      <c r="AT43" s="37">
        <v>2860643</v>
      </c>
      <c r="AU43" s="37">
        <v>2613115</v>
      </c>
      <c r="AV43" s="36">
        <f>AU43</f>
        <v>2613115</v>
      </c>
      <c r="AW43" s="37">
        <v>2745889</v>
      </c>
      <c r="AX43" s="37">
        <v>2694495</v>
      </c>
      <c r="AY43" s="37">
        <v>2868812</v>
      </c>
    </row>
    <row r="44" spans="1:51">
      <c r="A44" s="5" t="s">
        <v>2046</v>
      </c>
      <c r="V44" s="37">
        <v>40000</v>
      </c>
      <c r="W44" s="36">
        <f>V44</f>
        <v>40000</v>
      </c>
      <c r="AA44" s="37">
        <v>260000</v>
      </c>
      <c r="AB44" s="36">
        <f>AA44</f>
        <v>260000</v>
      </c>
      <c r="AF44" s="37">
        <v>469252</v>
      </c>
      <c r="AG44" s="36">
        <f>AF44</f>
        <v>469252</v>
      </c>
      <c r="AK44" s="37">
        <v>578684</v>
      </c>
      <c r="AL44" s="36">
        <f>AK44</f>
        <v>578684</v>
      </c>
      <c r="AM44" s="37">
        <v>578748</v>
      </c>
      <c r="AN44" s="37">
        <v>688404</v>
      </c>
      <c r="AO44" s="37">
        <v>688491</v>
      </c>
      <c r="AP44" s="37">
        <v>827781</v>
      </c>
      <c r="AQ44" s="36">
        <f>AP44</f>
        <v>827781</v>
      </c>
      <c r="AR44" s="37">
        <v>907624</v>
      </c>
      <c r="AS44" s="37">
        <v>907756</v>
      </c>
      <c r="AT44" s="37">
        <v>907889</v>
      </c>
      <c r="AU44" s="37">
        <v>1023282</v>
      </c>
      <c r="AV44" s="36">
        <f>AU44</f>
        <v>1023282</v>
      </c>
      <c r="AW44" s="37">
        <v>1104797</v>
      </c>
      <c r="AX44" s="37">
        <v>1182681</v>
      </c>
      <c r="AY44" s="37">
        <v>1156387</v>
      </c>
    </row>
    <row r="45" spans="1:51">
      <c r="A45" s="5" t="s">
        <v>30</v>
      </c>
      <c r="V45" s="37">
        <v>832877</v>
      </c>
      <c r="W45" s="36">
        <f>V45</f>
        <v>832877</v>
      </c>
      <c r="AA45" s="37">
        <v>706393</v>
      </c>
      <c r="AB45" s="36">
        <f>AA45</f>
        <v>706393</v>
      </c>
      <c r="AF45" s="37">
        <v>559846</v>
      </c>
      <c r="AG45" s="36">
        <f>AF45</f>
        <v>559846</v>
      </c>
      <c r="AK45" s="37">
        <v>490249</v>
      </c>
      <c r="AL45" s="36">
        <f>AK45</f>
        <v>490249</v>
      </c>
      <c r="AM45" s="37">
        <v>480564</v>
      </c>
      <c r="AN45" s="37">
        <v>475536</v>
      </c>
      <c r="AO45" s="37">
        <v>467480</v>
      </c>
      <c r="AP45" s="37">
        <v>466005</v>
      </c>
      <c r="AQ45" s="36">
        <f>AP45</f>
        <v>466005</v>
      </c>
      <c r="AR45" s="37">
        <v>468428</v>
      </c>
      <c r="AS45" s="37">
        <v>462914</v>
      </c>
      <c r="AT45" s="37">
        <v>457698</v>
      </c>
      <c r="AU45" s="37">
        <v>453872</v>
      </c>
      <c r="AV45" s="36">
        <f>AU45</f>
        <v>453872</v>
      </c>
      <c r="AW45" s="37">
        <v>456806</v>
      </c>
      <c r="AX45" s="37">
        <v>461900</v>
      </c>
      <c r="AY45" s="37">
        <v>465005</v>
      </c>
    </row>
    <row r="46" spans="1:51">
      <c r="A46" s="5" t="s">
        <v>238</v>
      </c>
      <c r="V46" s="37">
        <v>100000</v>
      </c>
      <c r="W46" s="36">
        <f>V46</f>
        <v>100000</v>
      </c>
      <c r="AA46" s="37">
        <v>162701</v>
      </c>
      <c r="AB46" s="36">
        <f>AA46</f>
        <v>162701</v>
      </c>
      <c r="AF46" s="37">
        <v>121401</v>
      </c>
      <c r="AG46" s="36">
        <f>AF46</f>
        <v>121401</v>
      </c>
      <c r="AK46" s="37">
        <v>1</v>
      </c>
      <c r="AL46" s="36">
        <f>AK46</f>
        <v>1</v>
      </c>
      <c r="AM46" s="37">
        <v>129501</v>
      </c>
      <c r="AN46" s="37">
        <v>231001</v>
      </c>
      <c r="AO46" s="37">
        <v>162001</v>
      </c>
      <c r="AP46" s="37">
        <v>86001</v>
      </c>
      <c r="AQ46" s="36">
        <f>AP46</f>
        <v>86001</v>
      </c>
      <c r="AR46" s="37">
        <v>60500</v>
      </c>
      <c r="AS46" s="37">
        <v>0</v>
      </c>
      <c r="AT46" s="37">
        <v>0</v>
      </c>
      <c r="AU46" s="37">
        <v>0</v>
      </c>
      <c r="AV46" s="36">
        <f>AU46</f>
        <v>0</v>
      </c>
      <c r="AW46" s="37">
        <v>41000</v>
      </c>
      <c r="AX46" s="37">
        <v>0</v>
      </c>
      <c r="AY46" s="37">
        <v>0</v>
      </c>
    </row>
    <row r="47" spans="1:51">
      <c r="A47" s="9" t="s">
        <v>85</v>
      </c>
      <c r="B47" s="9"/>
      <c r="C47" s="9"/>
      <c r="D47" s="9"/>
      <c r="E47" s="9"/>
      <c r="F47" s="9"/>
      <c r="G47" s="9"/>
      <c r="H47" s="9"/>
      <c r="I47" s="9"/>
      <c r="J47" s="9"/>
      <c r="K47" s="9"/>
      <c r="L47" s="9"/>
      <c r="M47" s="9"/>
      <c r="N47" s="9"/>
      <c r="O47" s="9"/>
      <c r="P47" s="9"/>
      <c r="Q47" s="9"/>
      <c r="R47" s="9"/>
      <c r="S47" s="9"/>
      <c r="T47" s="9"/>
      <c r="U47" s="9"/>
      <c r="V47" s="39">
        <f>SUM(V43:V46)</f>
        <v>3828904</v>
      </c>
      <c r="W47" s="39">
        <f>V47</f>
        <v>3828904</v>
      </c>
      <c r="X47" s="9"/>
      <c r="Y47" s="9"/>
      <c r="Z47" s="9"/>
      <c r="AA47" s="39">
        <f>SUM(AA43:AA46)</f>
        <v>4166323</v>
      </c>
      <c r="AB47" s="39">
        <f>AA47</f>
        <v>4166323</v>
      </c>
      <c r="AC47" s="9"/>
      <c r="AD47" s="9"/>
      <c r="AE47" s="9"/>
      <c r="AF47" s="39">
        <f>SUM(AF43:AF46)</f>
        <v>4236453</v>
      </c>
      <c r="AG47" s="39">
        <f>AF47</f>
        <v>4236453</v>
      </c>
      <c r="AH47" s="9"/>
      <c r="AI47" s="9"/>
      <c r="AJ47" s="9"/>
      <c r="AK47" s="39">
        <f>SUM(AK43:AK46)</f>
        <v>4149812</v>
      </c>
      <c r="AL47" s="39">
        <f>AK47</f>
        <v>4149812</v>
      </c>
      <c r="AM47" s="39">
        <f>SUM(AM43:AM46)</f>
        <v>4369381</v>
      </c>
      <c r="AN47" s="39">
        <f>SUM(AN43:AN46)</f>
        <v>4415566</v>
      </c>
      <c r="AO47" s="39">
        <f>SUM(AO43:AO46)</f>
        <v>4485763</v>
      </c>
      <c r="AP47" s="39">
        <f>SUM(AP43:AP46)</f>
        <v>4373826</v>
      </c>
      <c r="AQ47" s="39">
        <f>AP47</f>
        <v>4373826</v>
      </c>
      <c r="AR47" s="39">
        <f>SUM(AR43:AR46)</f>
        <v>4637029</v>
      </c>
      <c r="AS47" s="39">
        <f>SUM(AS43:AS46)</f>
        <v>4253020</v>
      </c>
      <c r="AT47" s="39">
        <f>SUM(AT43:AT46)</f>
        <v>4226230</v>
      </c>
      <c r="AU47" s="39">
        <f>SUM(AU43:AU46)</f>
        <v>4090269</v>
      </c>
      <c r="AV47" s="39">
        <f>AU47</f>
        <v>4090269</v>
      </c>
      <c r="AW47" s="39">
        <f>SUM(AW43:AW46)</f>
        <v>4348492</v>
      </c>
      <c r="AX47" s="39">
        <f>SUM(AX43:AX46)</f>
        <v>4339076</v>
      </c>
      <c r="AY47" s="39">
        <f>SUM(AY43:AY46)</f>
        <v>4490204</v>
      </c>
    </row>
    <row r="48" spans="1:51">
      <c r="AP48" s="26"/>
    </row>
    <row r="49" spans="1:51">
      <c r="A49" s="1" t="s">
        <v>1660</v>
      </c>
      <c r="AP49" s="26"/>
    </row>
    <row r="50" spans="1:51">
      <c r="A50" s="5" t="s">
        <v>2045</v>
      </c>
      <c r="V50" s="37">
        <v>463598</v>
      </c>
      <c r="W50" s="36">
        <f>V50</f>
        <v>463598</v>
      </c>
      <c r="AA50" s="37">
        <v>442406</v>
      </c>
      <c r="AB50" s="36">
        <f>AA50</f>
        <v>442406</v>
      </c>
      <c r="AF50" s="37">
        <v>418283</v>
      </c>
      <c r="AG50" s="36">
        <f>AF50</f>
        <v>418283</v>
      </c>
      <c r="AK50" s="37">
        <v>485470</v>
      </c>
      <c r="AL50" s="36">
        <f>AK50</f>
        <v>485470</v>
      </c>
      <c r="AM50" s="37">
        <v>516928</v>
      </c>
      <c r="AN50" s="37">
        <v>532711</v>
      </c>
      <c r="AO50" s="37">
        <v>624844</v>
      </c>
      <c r="AP50" s="37">
        <v>591338</v>
      </c>
      <c r="AQ50" s="36">
        <f>AP50</f>
        <v>591338</v>
      </c>
      <c r="AR50" s="37">
        <v>633839</v>
      </c>
      <c r="AS50" s="37">
        <v>598897</v>
      </c>
      <c r="AT50" s="37">
        <v>590230</v>
      </c>
      <c r="AU50" s="37">
        <v>556318</v>
      </c>
      <c r="AV50" s="36">
        <f>AU50</f>
        <v>556318</v>
      </c>
      <c r="AW50" s="37">
        <v>687612</v>
      </c>
      <c r="AX50" s="37">
        <v>643400</v>
      </c>
      <c r="AY50" s="37">
        <v>633026</v>
      </c>
    </row>
    <row r="51" spans="1:51">
      <c r="A51" s="5" t="s">
        <v>2046</v>
      </c>
      <c r="V51" s="37">
        <v>354327</v>
      </c>
      <c r="W51" s="36">
        <f>V51</f>
        <v>354327</v>
      </c>
      <c r="AA51" s="37">
        <v>543992</v>
      </c>
      <c r="AB51" s="36">
        <f>AA51</f>
        <v>543992</v>
      </c>
      <c r="AF51" s="37">
        <v>603977</v>
      </c>
      <c r="AG51" s="36">
        <f>AF51</f>
        <v>603977</v>
      </c>
      <c r="AK51" s="37">
        <v>578987</v>
      </c>
      <c r="AL51" s="36">
        <f>AK51</f>
        <v>578987</v>
      </c>
      <c r="AM51" s="37">
        <v>499067</v>
      </c>
      <c r="AN51" s="37">
        <v>499135</v>
      </c>
      <c r="AO51" s="37">
        <v>484203</v>
      </c>
      <c r="AP51" s="37">
        <v>469270</v>
      </c>
      <c r="AQ51" s="36">
        <f>AP51</f>
        <v>469270</v>
      </c>
      <c r="AR51" s="37">
        <v>469337</v>
      </c>
      <c r="AS51" s="37">
        <v>469233</v>
      </c>
      <c r="AT51" s="37">
        <v>444303</v>
      </c>
      <c r="AU51" s="37">
        <v>444374</v>
      </c>
      <c r="AV51" s="36">
        <f>AU51</f>
        <v>444374</v>
      </c>
      <c r="AW51" s="37">
        <v>374440</v>
      </c>
      <c r="AX51" s="37">
        <v>474189</v>
      </c>
      <c r="AY51" s="37">
        <v>474267</v>
      </c>
    </row>
    <row r="52" spans="1:51">
      <c r="A52" s="5" t="s">
        <v>30</v>
      </c>
      <c r="V52" s="37">
        <v>21117</v>
      </c>
      <c r="W52" s="36">
        <f>V52</f>
        <v>21117</v>
      </c>
      <c r="AA52" s="37">
        <v>44582</v>
      </c>
      <c r="AB52" s="36">
        <f>AA52</f>
        <v>44582</v>
      </c>
      <c r="AF52" s="38"/>
      <c r="AG52" s="36"/>
      <c r="AK52" s="38"/>
      <c r="AL52" s="36"/>
      <c r="AM52" s="38"/>
      <c r="AN52" s="38"/>
      <c r="AO52" s="37">
        <v>83234</v>
      </c>
      <c r="AP52" s="37">
        <v>61877</v>
      </c>
      <c r="AQ52" s="36">
        <f>AP52</f>
        <v>61877</v>
      </c>
      <c r="AR52" s="37">
        <v>59153</v>
      </c>
      <c r="AS52" s="37">
        <v>57298</v>
      </c>
      <c r="AT52" s="37">
        <v>57220</v>
      </c>
      <c r="AU52" s="37">
        <v>55087</v>
      </c>
      <c r="AV52" s="36">
        <f>AU52</f>
        <v>55087</v>
      </c>
      <c r="AW52" s="37">
        <v>48523</v>
      </c>
      <c r="AX52" s="37">
        <v>46274</v>
      </c>
      <c r="AY52" s="37">
        <v>45843</v>
      </c>
    </row>
    <row r="53" spans="1:51">
      <c r="A53" s="5" t="s">
        <v>238</v>
      </c>
      <c r="V53" s="37"/>
      <c r="W53" s="36"/>
      <c r="AA53" s="37"/>
      <c r="AB53" s="36"/>
      <c r="AF53" s="38"/>
      <c r="AG53" s="36"/>
      <c r="AK53" s="38"/>
      <c r="AL53" s="36"/>
      <c r="AM53" s="38"/>
      <c r="AN53" s="38"/>
      <c r="AO53" s="38"/>
      <c r="AP53" s="38"/>
      <c r="AQ53" s="36"/>
      <c r="AR53" s="38"/>
      <c r="AS53" s="37">
        <v>20000</v>
      </c>
      <c r="AT53" s="37">
        <v>42000</v>
      </c>
      <c r="AU53" s="37">
        <v>32000</v>
      </c>
      <c r="AV53" s="36">
        <f>AU53</f>
        <v>32000</v>
      </c>
      <c r="AW53" s="37">
        <v>32000</v>
      </c>
      <c r="AX53" s="37">
        <v>32000</v>
      </c>
      <c r="AY53" s="37">
        <v>0</v>
      </c>
    </row>
    <row r="54" spans="1:51">
      <c r="A54" s="9" t="s">
        <v>1660</v>
      </c>
      <c r="B54" s="9"/>
      <c r="C54" s="9"/>
      <c r="D54" s="9"/>
      <c r="E54" s="9"/>
      <c r="F54" s="9"/>
      <c r="G54" s="9"/>
      <c r="H54" s="9"/>
      <c r="I54" s="9"/>
      <c r="J54" s="9"/>
      <c r="K54" s="9"/>
      <c r="L54" s="9"/>
      <c r="M54" s="9"/>
      <c r="N54" s="9"/>
      <c r="O54" s="9"/>
      <c r="P54" s="9"/>
      <c r="Q54" s="9"/>
      <c r="R54" s="9"/>
      <c r="S54" s="9"/>
      <c r="T54" s="9"/>
      <c r="U54" s="9"/>
      <c r="V54" s="39">
        <f>SUM(V50:V52)</f>
        <v>839042</v>
      </c>
      <c r="W54" s="39">
        <f>V54</f>
        <v>839042</v>
      </c>
      <c r="X54" s="9"/>
      <c r="Y54" s="9"/>
      <c r="Z54" s="9"/>
      <c r="AA54" s="39">
        <f>SUM(AA50:AA52)</f>
        <v>1030980</v>
      </c>
      <c r="AB54" s="39">
        <f>AA54</f>
        <v>1030980</v>
      </c>
      <c r="AC54" s="9"/>
      <c r="AD54" s="9"/>
      <c r="AE54" s="9"/>
      <c r="AF54" s="39">
        <f>SUM(AF50:AF52)</f>
        <v>1022260</v>
      </c>
      <c r="AG54" s="39">
        <f>AF54</f>
        <v>1022260</v>
      </c>
      <c r="AH54" s="9"/>
      <c r="AI54" s="9"/>
      <c r="AJ54" s="9"/>
      <c r="AK54" s="39">
        <f>SUM(AK50:AK52)</f>
        <v>1064457</v>
      </c>
      <c r="AL54" s="39">
        <f>AK54</f>
        <v>1064457</v>
      </c>
      <c r="AM54" s="39">
        <f>SUM(AM50:AM52)</f>
        <v>1015995</v>
      </c>
      <c r="AN54" s="39">
        <f>SUM(AN50:AN52)</f>
        <v>1031846</v>
      </c>
      <c r="AO54" s="39">
        <f>SUM(AO50:AO52)</f>
        <v>1192281</v>
      </c>
      <c r="AP54" s="39">
        <f>SUM(AP50:AP52)</f>
        <v>1122485</v>
      </c>
      <c r="AQ54" s="39">
        <f>AP54</f>
        <v>1122485</v>
      </c>
      <c r="AR54" s="39">
        <f>SUM(AR50:AR52)</f>
        <v>1162329</v>
      </c>
      <c r="AS54" s="39">
        <f t="shared" ref="AS54:AY54" si="1">SUM(AS50:AS53)</f>
        <v>1145428</v>
      </c>
      <c r="AT54" s="39">
        <f t="shared" si="1"/>
        <v>1133753</v>
      </c>
      <c r="AU54" s="39">
        <f t="shared" si="1"/>
        <v>1087779</v>
      </c>
      <c r="AV54" s="39">
        <f t="shared" si="1"/>
        <v>1087779</v>
      </c>
      <c r="AW54" s="39">
        <f t="shared" si="1"/>
        <v>1142575</v>
      </c>
      <c r="AX54" s="39">
        <f t="shared" si="1"/>
        <v>1195863</v>
      </c>
      <c r="AY54" s="39">
        <f t="shared" si="1"/>
        <v>1153136</v>
      </c>
    </row>
    <row r="55" spans="1:51">
      <c r="AP55" s="26"/>
    </row>
    <row r="56" spans="1:51">
      <c r="A56" s="1" t="s">
        <v>2050</v>
      </c>
      <c r="AP56" s="26"/>
    </row>
    <row r="57" spans="1:51">
      <c r="A57" s="5" t="s">
        <v>2038</v>
      </c>
      <c r="V57" s="38"/>
      <c r="W57" s="36"/>
      <c r="AA57" s="38"/>
      <c r="AB57" s="36"/>
      <c r="AF57" s="37">
        <v>298921</v>
      </c>
      <c r="AG57" s="36">
        <f>AF57</f>
        <v>298921</v>
      </c>
      <c r="AK57" s="37">
        <v>396075</v>
      </c>
      <c r="AL57" s="36">
        <f>AK57</f>
        <v>396075</v>
      </c>
      <c r="AM57" s="37">
        <v>342139</v>
      </c>
      <c r="AN57" s="37">
        <v>365981</v>
      </c>
      <c r="AO57" s="37">
        <v>471417</v>
      </c>
      <c r="AP57" s="37">
        <v>503714</v>
      </c>
      <c r="AQ57" s="36">
        <f>AP57</f>
        <v>503714</v>
      </c>
      <c r="AR57" s="37">
        <v>414455</v>
      </c>
      <c r="AS57" s="37">
        <v>443317</v>
      </c>
      <c r="AT57" s="37">
        <v>435230</v>
      </c>
      <c r="AU57" s="37">
        <v>353216</v>
      </c>
      <c r="AV57" s="36">
        <f>AU57</f>
        <v>353216</v>
      </c>
      <c r="AW57" s="37">
        <v>567124</v>
      </c>
      <c r="AX57" s="37">
        <v>499379</v>
      </c>
      <c r="AY57" s="37">
        <v>543310</v>
      </c>
    </row>
    <row r="58" spans="1:51">
      <c r="A58" s="5" t="s">
        <v>2040</v>
      </c>
      <c r="V58" s="38"/>
      <c r="W58" s="36"/>
      <c r="AA58" s="38"/>
      <c r="AB58" s="36"/>
      <c r="AF58" s="37">
        <v>28046</v>
      </c>
      <c r="AG58" s="36">
        <f>AF58</f>
        <v>28046</v>
      </c>
      <c r="AK58" s="37">
        <v>111386</v>
      </c>
      <c r="AL58" s="36">
        <f>AK58</f>
        <v>111386</v>
      </c>
      <c r="AM58" s="37">
        <v>112462</v>
      </c>
      <c r="AN58" s="37">
        <v>110090</v>
      </c>
      <c r="AO58" s="38"/>
      <c r="AP58" s="38"/>
      <c r="AQ58" s="36"/>
      <c r="AR58" s="38"/>
      <c r="AS58" s="38"/>
      <c r="AT58" s="38"/>
      <c r="AU58" s="38"/>
      <c r="AV58" s="36"/>
      <c r="AW58" s="38"/>
      <c r="AX58" s="38"/>
      <c r="AY58" s="38"/>
    </row>
    <row r="59" spans="1:51">
      <c r="A59" s="5" t="s">
        <v>192</v>
      </c>
      <c r="V59" s="37">
        <v>413127</v>
      </c>
      <c r="W59" s="36">
        <f>V59</f>
        <v>413127</v>
      </c>
      <c r="AA59" s="37">
        <v>494747</v>
      </c>
      <c r="AB59" s="36">
        <f>AA59</f>
        <v>494747</v>
      </c>
      <c r="AF59" s="37">
        <v>414536</v>
      </c>
      <c r="AG59" s="36">
        <f>AF59</f>
        <v>414536</v>
      </c>
      <c r="AK59" s="37">
        <v>412961</v>
      </c>
      <c r="AL59" s="36">
        <f>AK59</f>
        <v>412961</v>
      </c>
      <c r="AM59" s="37">
        <v>400660</v>
      </c>
      <c r="AN59" s="37">
        <v>402497</v>
      </c>
      <c r="AO59" s="37">
        <v>322430</v>
      </c>
      <c r="AP59" s="37">
        <v>321069</v>
      </c>
      <c r="AQ59" s="36">
        <f>AP59</f>
        <v>321069</v>
      </c>
      <c r="AR59" s="37">
        <v>428200</v>
      </c>
      <c r="AS59" s="37">
        <v>421444</v>
      </c>
      <c r="AT59" s="37">
        <v>420595</v>
      </c>
      <c r="AU59" s="37">
        <v>430888</v>
      </c>
      <c r="AV59" s="36">
        <f>AU59</f>
        <v>430888</v>
      </c>
      <c r="AW59" s="37">
        <v>452224</v>
      </c>
      <c r="AX59" s="37">
        <v>433920</v>
      </c>
      <c r="AY59" s="37">
        <v>430949</v>
      </c>
    </row>
    <row r="60" spans="1:51">
      <c r="A60" s="9" t="s">
        <v>2049</v>
      </c>
      <c r="B60" s="9"/>
      <c r="C60" s="9"/>
      <c r="D60" s="9"/>
      <c r="E60" s="9"/>
      <c r="F60" s="9"/>
      <c r="G60" s="9"/>
      <c r="H60" s="9"/>
      <c r="I60" s="9"/>
      <c r="J60" s="9"/>
      <c r="K60" s="9"/>
      <c r="L60" s="9"/>
      <c r="M60" s="9"/>
      <c r="N60" s="9"/>
      <c r="O60" s="9"/>
      <c r="P60" s="9"/>
      <c r="Q60" s="9"/>
      <c r="R60" s="9"/>
      <c r="S60" s="9"/>
      <c r="T60" s="9"/>
      <c r="U60" s="9"/>
      <c r="V60" s="39">
        <f>V47+V54+SUM(V57:V59)</f>
        <v>5081073</v>
      </c>
      <c r="W60" s="39">
        <f>V60</f>
        <v>5081073</v>
      </c>
      <c r="X60" s="9"/>
      <c r="Y60" s="9"/>
      <c r="Z60" s="9"/>
      <c r="AA60" s="39">
        <f>AA47+AA54+SUM(AA57:AA59)</f>
        <v>5692050</v>
      </c>
      <c r="AB60" s="39">
        <f>AA60</f>
        <v>5692050</v>
      </c>
      <c r="AC60" s="9"/>
      <c r="AD60" s="9"/>
      <c r="AE60" s="9"/>
      <c r="AF60" s="39">
        <f>AF47+AF54+SUM(AF57:AF59)</f>
        <v>6000216</v>
      </c>
      <c r="AG60" s="39">
        <f>AF60</f>
        <v>6000216</v>
      </c>
      <c r="AH60" s="9"/>
      <c r="AI60" s="9"/>
      <c r="AJ60" s="9"/>
      <c r="AK60" s="39">
        <f>AK47+AK54+SUM(AK57:AK59)</f>
        <v>6134691</v>
      </c>
      <c r="AL60" s="39">
        <f>AK60</f>
        <v>6134691</v>
      </c>
      <c r="AM60" s="39">
        <f>AM47+AM54+SUM(AM57:AM59)</f>
        <v>6240637</v>
      </c>
      <c r="AN60" s="39">
        <f>AN47+AN54+SUM(AN57:AN59)</f>
        <v>6325980</v>
      </c>
      <c r="AO60" s="39">
        <f>AO47+AO54+SUM(AO57:AO59)</f>
        <v>6471891</v>
      </c>
      <c r="AP60" s="39">
        <f>AP47+AP54+SUM(AP57:AP59)</f>
        <v>6321094</v>
      </c>
      <c r="AQ60" s="39">
        <f>AP60</f>
        <v>6321094</v>
      </c>
      <c r="AR60" s="39">
        <f>AR47+AR54+SUM(AR57:AR59)</f>
        <v>6642013</v>
      </c>
      <c r="AS60" s="39">
        <f>AS47+AS54+SUM(AS57:AS59)</f>
        <v>6263209</v>
      </c>
      <c r="AT60" s="39">
        <f>AT47+AT54+SUM(AT57:AT59)</f>
        <v>6215808</v>
      </c>
      <c r="AU60" s="39">
        <f>AU47+AU54+SUM(AU57:AU59)</f>
        <v>5962152</v>
      </c>
      <c r="AV60" s="39">
        <f>AU60</f>
        <v>5962152</v>
      </c>
      <c r="AW60" s="39">
        <f>AW47+AW54+SUM(AW57:AW59)</f>
        <v>6510415</v>
      </c>
      <c r="AX60" s="39">
        <f>AX47+AX54+SUM(AX57:AX59)</f>
        <v>6468238</v>
      </c>
      <c r="AY60" s="39">
        <f>AY47+AY54+SUM(AY57:AY59)</f>
        <v>6617599</v>
      </c>
    </row>
    <row r="61" spans="1:51">
      <c r="AP61" s="26"/>
    </row>
    <row r="62" spans="1:51">
      <c r="A62" s="5" t="s">
        <v>2051</v>
      </c>
      <c r="V62" s="37">
        <v>259801</v>
      </c>
      <c r="W62" s="36">
        <f>V62</f>
        <v>259801</v>
      </c>
      <c r="AA62" s="37">
        <v>334917</v>
      </c>
      <c r="AB62" s="36">
        <f>AA62</f>
        <v>334917</v>
      </c>
      <c r="AF62" s="37">
        <v>286988</v>
      </c>
      <c r="AG62" s="36">
        <f>AF62</f>
        <v>286988</v>
      </c>
      <c r="AK62" s="37">
        <v>130014</v>
      </c>
      <c r="AL62" s="36">
        <f>AK62</f>
        <v>130014</v>
      </c>
      <c r="AM62" s="37">
        <v>138456</v>
      </c>
      <c r="AN62" s="37">
        <v>162093</v>
      </c>
      <c r="AO62" s="37">
        <v>157438</v>
      </c>
      <c r="AP62" s="37">
        <v>133442</v>
      </c>
      <c r="AQ62" s="36">
        <f>AP62</f>
        <v>133442</v>
      </c>
      <c r="AR62" s="37">
        <v>17956</v>
      </c>
      <c r="AS62" s="37">
        <v>253201</v>
      </c>
      <c r="AT62" s="37">
        <v>249832</v>
      </c>
      <c r="AU62" s="37">
        <v>233824</v>
      </c>
      <c r="AV62" s="36">
        <f>AU62</f>
        <v>233824</v>
      </c>
      <c r="AW62" s="37">
        <v>262970</v>
      </c>
      <c r="AX62" s="37">
        <v>302156</v>
      </c>
      <c r="AY62" s="37">
        <v>345195</v>
      </c>
    </row>
    <row r="63" spans="1:51">
      <c r="A63" s="5" t="s">
        <v>30</v>
      </c>
      <c r="V63" s="37">
        <v>102193</v>
      </c>
      <c r="W63" s="36">
        <f>V63</f>
        <v>102193</v>
      </c>
      <c r="AA63" s="37">
        <v>91769</v>
      </c>
      <c r="AB63" s="36">
        <f>AA63</f>
        <v>91769</v>
      </c>
      <c r="AF63" s="37">
        <v>89038</v>
      </c>
      <c r="AG63" s="36">
        <f>AF63</f>
        <v>89038</v>
      </c>
      <c r="AK63" s="37">
        <v>77374</v>
      </c>
      <c r="AL63" s="36">
        <f>AK63</f>
        <v>77374</v>
      </c>
      <c r="AM63" s="37">
        <v>66970</v>
      </c>
      <c r="AN63" s="37">
        <v>67574</v>
      </c>
      <c r="AO63" s="37">
        <v>65995</v>
      </c>
      <c r="AP63" s="37">
        <v>69505</v>
      </c>
      <c r="AQ63" s="36">
        <f>AP63</f>
        <v>69505</v>
      </c>
      <c r="AR63" s="37">
        <v>4247</v>
      </c>
      <c r="AS63" s="37">
        <v>27497</v>
      </c>
      <c r="AT63" s="37">
        <v>38634</v>
      </c>
      <c r="AU63" s="37">
        <v>36288</v>
      </c>
      <c r="AV63" s="36">
        <f>AU63</f>
        <v>36288</v>
      </c>
      <c r="AW63" s="37">
        <v>35714</v>
      </c>
      <c r="AX63" s="37">
        <v>39579</v>
      </c>
      <c r="AY63" s="37">
        <v>39998</v>
      </c>
    </row>
    <row r="64" spans="1:51">
      <c r="A64" s="9" t="s">
        <v>947</v>
      </c>
      <c r="B64" s="9"/>
      <c r="C64" s="9"/>
      <c r="D64" s="9"/>
      <c r="E64" s="9"/>
      <c r="F64" s="9"/>
      <c r="G64" s="9"/>
      <c r="H64" s="9"/>
      <c r="I64" s="9"/>
      <c r="J64" s="9"/>
      <c r="K64" s="9"/>
      <c r="L64" s="9"/>
      <c r="M64" s="9"/>
      <c r="N64" s="9"/>
      <c r="O64" s="9"/>
      <c r="P64" s="9"/>
      <c r="Q64" s="9"/>
      <c r="R64" s="9"/>
      <c r="S64" s="9"/>
      <c r="T64" s="9"/>
      <c r="U64" s="9"/>
      <c r="V64" s="48">
        <f>SUM(V62:V63)</f>
        <v>361994</v>
      </c>
      <c r="W64" s="39">
        <f>V64</f>
        <v>361994</v>
      </c>
      <c r="X64" s="9"/>
      <c r="Y64" s="9"/>
      <c r="Z64" s="9"/>
      <c r="AA64" s="48">
        <f>SUM(AA62:AA63)</f>
        <v>426686</v>
      </c>
      <c r="AB64" s="39">
        <f>AA64</f>
        <v>426686</v>
      </c>
      <c r="AC64" s="9"/>
      <c r="AD64" s="9"/>
      <c r="AE64" s="9"/>
      <c r="AF64" s="48">
        <f>SUM(AF62:AF63)</f>
        <v>376026</v>
      </c>
      <c r="AG64" s="39">
        <f>AF64</f>
        <v>376026</v>
      </c>
      <c r="AH64" s="9"/>
      <c r="AI64" s="9"/>
      <c r="AJ64" s="9"/>
      <c r="AK64" s="48">
        <f>SUM(AK62:AK63)</f>
        <v>207388</v>
      </c>
      <c r="AL64" s="39">
        <f>AK64</f>
        <v>207388</v>
      </c>
      <c r="AM64" s="48">
        <f>SUM(AM62:AM63)</f>
        <v>205426</v>
      </c>
      <c r="AN64" s="48">
        <f>SUM(AN62:AN63)</f>
        <v>229667</v>
      </c>
      <c r="AO64" s="48">
        <f>SUM(AO62:AO63)</f>
        <v>223433</v>
      </c>
      <c r="AP64" s="48">
        <f>SUM(AP62:AP63)</f>
        <v>202947</v>
      </c>
      <c r="AQ64" s="39">
        <f>AP64</f>
        <v>202947</v>
      </c>
      <c r="AR64" s="48">
        <f>SUM(AR62:AR63)</f>
        <v>22203</v>
      </c>
      <c r="AS64" s="48">
        <f>SUM(AS62:AS63)</f>
        <v>280698</v>
      </c>
      <c r="AT64" s="48">
        <f>SUM(AT62:AT63)</f>
        <v>288466</v>
      </c>
      <c r="AU64" s="48">
        <f>SUM(AU62:AU63)</f>
        <v>270112</v>
      </c>
      <c r="AV64" s="39">
        <f>AU64</f>
        <v>270112</v>
      </c>
      <c r="AW64" s="48">
        <f>SUM(AW62:AW63)</f>
        <v>298684</v>
      </c>
      <c r="AX64" s="48">
        <f>SUM(AX62:AX63)</f>
        <v>341735</v>
      </c>
      <c r="AY64" s="48">
        <f>SUM(AY62:AY63)</f>
        <v>385193</v>
      </c>
    </row>
    <row r="65" spans="1:67">
      <c r="AP65" s="26"/>
    </row>
    <row r="66" spans="1:67">
      <c r="A66" s="5" t="s">
        <v>2689</v>
      </c>
      <c r="AP66" s="26"/>
      <c r="AR66" s="37">
        <v>41528</v>
      </c>
      <c r="AS66" s="37">
        <v>39822</v>
      </c>
      <c r="AT66" s="37">
        <v>44513</v>
      </c>
      <c r="AU66" s="37">
        <v>54871</v>
      </c>
      <c r="AV66" s="36">
        <f>AU66</f>
        <v>54871</v>
      </c>
      <c r="AW66" s="37">
        <v>61278</v>
      </c>
      <c r="AX66" s="37">
        <v>67571</v>
      </c>
      <c r="AY66" s="37">
        <v>76801</v>
      </c>
    </row>
    <row r="67" spans="1:67">
      <c r="A67" s="5" t="s">
        <v>3381</v>
      </c>
      <c r="AP67" s="26"/>
      <c r="AR67" s="38"/>
      <c r="AS67" s="38"/>
      <c r="AT67" s="38"/>
      <c r="AU67" s="38"/>
      <c r="AV67" s="36"/>
      <c r="AW67" s="38"/>
      <c r="AX67" s="38"/>
      <c r="AY67" s="37">
        <v>11333</v>
      </c>
    </row>
    <row r="68" spans="1:67">
      <c r="A68" s="9" t="s">
        <v>2052</v>
      </c>
      <c r="B68" s="9"/>
      <c r="C68" s="9"/>
      <c r="D68" s="9"/>
      <c r="E68" s="9"/>
      <c r="F68" s="9"/>
      <c r="G68" s="9"/>
      <c r="H68" s="9"/>
      <c r="I68" s="9"/>
      <c r="J68" s="9"/>
      <c r="K68" s="9"/>
      <c r="L68" s="9"/>
      <c r="M68" s="9"/>
      <c r="N68" s="9"/>
      <c r="O68" s="9"/>
      <c r="P68" s="9"/>
      <c r="Q68" s="9"/>
      <c r="R68" s="9"/>
      <c r="S68" s="9"/>
      <c r="T68" s="9"/>
      <c r="U68" s="9"/>
      <c r="V68" s="39">
        <f>V33+V40+V60+V64</f>
        <v>14272208</v>
      </c>
      <c r="W68" s="39">
        <f>V68</f>
        <v>14272208</v>
      </c>
      <c r="X68" s="9"/>
      <c r="Y68" s="9"/>
      <c r="Z68" s="9"/>
      <c r="AA68" s="39">
        <f>AA33+AA40+AA60+AA64</f>
        <v>19547976</v>
      </c>
      <c r="AB68" s="39">
        <f>AA68</f>
        <v>19547976</v>
      </c>
      <c r="AC68" s="9"/>
      <c r="AD68" s="9"/>
      <c r="AE68" s="9"/>
      <c r="AF68" s="39">
        <f>AF33+AF40+AF60+AF64</f>
        <v>22323580</v>
      </c>
      <c r="AG68" s="39">
        <f>AF68</f>
        <v>22323580</v>
      </c>
      <c r="AH68" s="9"/>
      <c r="AI68" s="9"/>
      <c r="AJ68" s="9"/>
      <c r="AK68" s="39">
        <f>AK33+AK40+AK60+AK64</f>
        <v>20315191</v>
      </c>
      <c r="AL68" s="39">
        <f>AK68</f>
        <v>20315191</v>
      </c>
      <c r="AM68" s="39">
        <f t="shared" ref="AM68:AP68" si="2">AM33+AM40+AM60+AM64</f>
        <v>21908466</v>
      </c>
      <c r="AN68" s="39">
        <f t="shared" si="2"/>
        <v>21393726</v>
      </c>
      <c r="AO68" s="39">
        <f t="shared" si="2"/>
        <v>20934701</v>
      </c>
      <c r="AP68" s="39">
        <f t="shared" si="2"/>
        <v>21327401</v>
      </c>
      <c r="AQ68" s="39">
        <f>AP68</f>
        <v>21327401</v>
      </c>
      <c r="AR68" s="39">
        <f t="shared" ref="AR68:AY68" si="3">AR33+AR40+AR60+AR64+SUM(AR66:AR67)</f>
        <v>21599928</v>
      </c>
      <c r="AS68" s="39">
        <f t="shared" si="3"/>
        <v>20327081</v>
      </c>
      <c r="AT68" s="39">
        <f t="shared" si="3"/>
        <v>20026313</v>
      </c>
      <c r="AU68" s="39">
        <f t="shared" si="3"/>
        <v>18913350</v>
      </c>
      <c r="AV68" s="39">
        <f t="shared" si="3"/>
        <v>18913350</v>
      </c>
      <c r="AW68" s="39">
        <f t="shared" si="3"/>
        <v>19645261</v>
      </c>
      <c r="AX68" s="39">
        <f t="shared" si="3"/>
        <v>20120304</v>
      </c>
      <c r="AY68" s="39">
        <f t="shared" si="3"/>
        <v>24250193</v>
      </c>
    </row>
    <row r="69" spans="1:67">
      <c r="AP69" s="26"/>
      <c r="AQ69" s="26"/>
    </row>
    <row r="70" spans="1:67" s="12" customFormat="1">
      <c r="A70" s="13" t="s">
        <v>2055</v>
      </c>
      <c r="AP70" s="540"/>
      <c r="AQ70" s="540"/>
      <c r="BH70" s="46"/>
    </row>
    <row r="71" spans="1:67">
      <c r="AP71" s="26"/>
      <c r="AQ71" s="26"/>
    </row>
    <row r="72" spans="1:67">
      <c r="A72" s="3" t="s">
        <v>2044</v>
      </c>
      <c r="AP72" s="26"/>
      <c r="AQ72" s="26"/>
    </row>
    <row r="73" spans="1:67">
      <c r="AP73" s="26"/>
      <c r="AQ73" s="26"/>
    </row>
    <row r="74" spans="1:67">
      <c r="A74" s="1" t="s">
        <v>2033</v>
      </c>
      <c r="AP74" s="25" t="s">
        <v>2313</v>
      </c>
      <c r="AQ74" s="26"/>
    </row>
    <row r="75" spans="1:67">
      <c r="A75" s="5" t="s">
        <v>2045</v>
      </c>
      <c r="V75" s="38">
        <f>V17/V$280</f>
        <v>12756.041532665626</v>
      </c>
      <c r="W75" s="38">
        <f>V75</f>
        <v>12756.041532665626</v>
      </c>
      <c r="AA75" s="38">
        <f>AA17/AA$280</f>
        <v>10414.000541956464</v>
      </c>
      <c r="AB75" s="38">
        <f>AA75</f>
        <v>10414.000541956464</v>
      </c>
      <c r="AF75" s="38">
        <f>AF17/AF$280</f>
        <v>10255.053517444236</v>
      </c>
      <c r="AG75" s="38">
        <f>AF75</f>
        <v>10255.053517444236</v>
      </c>
      <c r="AK75" s="38">
        <f>AK17/AK$280</f>
        <v>2859.6644948700668</v>
      </c>
      <c r="AL75" s="38">
        <f>AK75</f>
        <v>2859.6644948700668</v>
      </c>
      <c r="AM75" s="38">
        <f t="shared" ref="AM75:AP79" si="4">AM17/AM$280</f>
        <v>2959.1420097937785</v>
      </c>
      <c r="AN75" s="38">
        <f t="shared" si="4"/>
        <v>3074.9231180639122</v>
      </c>
      <c r="AO75" s="38">
        <f t="shared" si="4"/>
        <v>3147.2678558838043</v>
      </c>
      <c r="AP75" s="38">
        <f t="shared" si="4"/>
        <v>3057.7702925830527</v>
      </c>
      <c r="AQ75" s="38">
        <f>AP75</f>
        <v>3057.7702925830527</v>
      </c>
      <c r="AR75" s="38">
        <f t="shared" ref="AR75:AU79" si="5">AR17/AR$280</f>
        <v>2890.916992611908</v>
      </c>
      <c r="AS75" s="38">
        <f t="shared" si="5"/>
        <v>6245.1902192951729</v>
      </c>
      <c r="AT75" s="38">
        <f t="shared" si="5"/>
        <v>6330.1555190289537</v>
      </c>
      <c r="AU75" s="38">
        <f t="shared" si="5"/>
        <v>11874.070358480471</v>
      </c>
      <c r="AV75" s="38">
        <f>AU75</f>
        <v>11874.070358480471</v>
      </c>
      <c r="AW75" s="38">
        <f t="shared" ref="AW75:AY79" si="6">AW17/AW$280</f>
        <v>20999.502796768178</v>
      </c>
      <c r="AX75" s="38">
        <f t="shared" si="6"/>
        <v>20661.942504030092</v>
      </c>
      <c r="AY75" s="38">
        <f t="shared" si="6"/>
        <v>19099.559274399591</v>
      </c>
    </row>
    <row r="76" spans="1:67">
      <c r="A76" s="5" t="s">
        <v>2046</v>
      </c>
      <c r="V76" s="38">
        <f>V18/V$280</f>
        <v>46260.167233299646</v>
      </c>
      <c r="W76" s="38">
        <f t="shared" ref="W76:W79" si="7">V76</f>
        <v>46260.167233299646</v>
      </c>
      <c r="AA76" s="38">
        <f>AA18/AA$280</f>
        <v>42864.682503838863</v>
      </c>
      <c r="AB76" s="38">
        <f t="shared" ref="AB76:AB79" si="8">AA76</f>
        <v>42864.682503838863</v>
      </c>
      <c r="AF76" s="38">
        <f>AF18/AF$280</f>
        <v>48355.788871639837</v>
      </c>
      <c r="AG76" s="38">
        <f t="shared" ref="AG76:AG79" si="9">AF76</f>
        <v>48355.788871639837</v>
      </c>
      <c r="AK76" s="38">
        <f>AK18/AK$280</f>
        <v>43084.115929004714</v>
      </c>
      <c r="AL76" s="38">
        <f t="shared" ref="AL76:AL79" si="10">AK76</f>
        <v>43084.115929004714</v>
      </c>
      <c r="AM76" s="38">
        <f t="shared" si="4"/>
        <v>41039.726877715701</v>
      </c>
      <c r="AN76" s="38">
        <f t="shared" si="4"/>
        <v>39834.175691937424</v>
      </c>
      <c r="AO76" s="38">
        <f t="shared" si="4"/>
        <v>41613.537333427339</v>
      </c>
      <c r="AP76" s="38">
        <f t="shared" si="4"/>
        <v>40602.192721748892</v>
      </c>
      <c r="AQ76" s="38">
        <f t="shared" ref="AQ76:AQ79" si="11">AP76</f>
        <v>40602.192721748892</v>
      </c>
      <c r="AR76" s="38">
        <f t="shared" si="5"/>
        <v>40093.816353138391</v>
      </c>
      <c r="AS76" s="38">
        <f t="shared" si="5"/>
        <v>44287.276676241861</v>
      </c>
      <c r="AT76" s="38">
        <f t="shared" si="5"/>
        <v>43055.588569983564</v>
      </c>
      <c r="AU76" s="38">
        <f t="shared" si="5"/>
        <v>44599.184055644728</v>
      </c>
      <c r="AV76" s="38">
        <f t="shared" ref="AV76:AV79" si="12">AU76</f>
        <v>44599.184055644728</v>
      </c>
      <c r="AW76" s="38">
        <f t="shared" si="6"/>
        <v>46273.993508735584</v>
      </c>
      <c r="AX76" s="38">
        <f t="shared" si="6"/>
        <v>48717.134605051047</v>
      </c>
      <c r="AY76" s="38">
        <f t="shared" si="6"/>
        <v>53112.206182933063</v>
      </c>
    </row>
    <row r="77" spans="1:67">
      <c r="A77" s="5" t="s">
        <v>30</v>
      </c>
      <c r="V77" s="38">
        <f>V19/V$280</f>
        <v>0</v>
      </c>
      <c r="W77" s="38">
        <f t="shared" si="7"/>
        <v>0</v>
      </c>
      <c r="AA77" s="38">
        <f>AA19/AA$280</f>
        <v>120.73886731099269</v>
      </c>
      <c r="AB77" s="38">
        <f t="shared" si="8"/>
        <v>120.73886731099269</v>
      </c>
      <c r="AF77" s="38">
        <f>AF19/AF$280</f>
        <v>98.504779802271429</v>
      </c>
      <c r="AG77" s="38">
        <f t="shared" si="9"/>
        <v>98.504779802271429</v>
      </c>
      <c r="AK77" s="38">
        <f>AK19/AK$280</f>
        <v>80.259117801243164</v>
      </c>
      <c r="AL77" s="38">
        <f t="shared" si="10"/>
        <v>80.259117801243164</v>
      </c>
      <c r="AM77" s="38">
        <f t="shared" si="4"/>
        <v>71.584247189461337</v>
      </c>
      <c r="AN77" s="38">
        <f t="shared" si="4"/>
        <v>67.107902125952663</v>
      </c>
      <c r="AO77" s="38">
        <f t="shared" si="4"/>
        <v>68.363533808080092</v>
      </c>
      <c r="AP77" s="38">
        <f t="shared" si="4"/>
        <v>61.759461065979792</v>
      </c>
      <c r="AQ77" s="38">
        <f t="shared" si="11"/>
        <v>61.759461065979792</v>
      </c>
      <c r="AR77" s="38">
        <f t="shared" si="5"/>
        <v>55.907369466691506</v>
      </c>
      <c r="AS77" s="38">
        <f t="shared" si="5"/>
        <v>60.652981153226378</v>
      </c>
      <c r="AT77" s="38">
        <f t="shared" si="5"/>
        <v>52.522442786698697</v>
      </c>
      <c r="AU77" s="38">
        <f t="shared" si="5"/>
        <v>53.210272873194221</v>
      </c>
      <c r="AV77" s="38">
        <f t="shared" si="12"/>
        <v>53.210272873194221</v>
      </c>
      <c r="AW77" s="38">
        <f t="shared" si="6"/>
        <v>52.503280160209933</v>
      </c>
      <c r="AX77" s="38">
        <f t="shared" si="6"/>
        <v>48.676786673831273</v>
      </c>
      <c r="AY77" s="38">
        <f t="shared" si="6"/>
        <v>44.008686765457334</v>
      </c>
    </row>
    <row r="78" spans="1:67">
      <c r="A78" s="5" t="s">
        <v>238</v>
      </c>
      <c r="V78" s="38">
        <f>V20/V$280</f>
        <v>973.99614077000831</v>
      </c>
      <c r="W78" s="38">
        <f t="shared" si="7"/>
        <v>973.99614077000831</v>
      </c>
      <c r="AA78" s="38">
        <f>AA20/AA$280</f>
        <v>2226.5378014632824</v>
      </c>
      <c r="AB78" s="38">
        <f t="shared" si="8"/>
        <v>2226.5378014632824</v>
      </c>
      <c r="AF78" s="38">
        <f>AF20/AF$280</f>
        <v>2098.2106381240296</v>
      </c>
      <c r="AG78" s="38">
        <f t="shared" si="9"/>
        <v>2098.2106381240296</v>
      </c>
      <c r="AK78" s="38">
        <f>AK20/AK$280</f>
        <v>1205.7215606979705</v>
      </c>
      <c r="AL78" s="38">
        <f t="shared" si="10"/>
        <v>1205.7215606979705</v>
      </c>
      <c r="AM78" s="38">
        <f t="shared" si="4"/>
        <v>1303.5381750465549</v>
      </c>
      <c r="AN78" s="38">
        <f t="shared" si="4"/>
        <v>1226.7682845300174</v>
      </c>
      <c r="AO78" s="38">
        <f t="shared" si="4"/>
        <v>1290.2770922935908</v>
      </c>
      <c r="AP78" s="38">
        <f t="shared" si="4"/>
        <v>1165.7090020474209</v>
      </c>
      <c r="AQ78" s="38">
        <f t="shared" si="11"/>
        <v>1165.7090020474209</v>
      </c>
      <c r="AR78" s="38">
        <f t="shared" si="5"/>
        <v>1043.0247718383312</v>
      </c>
      <c r="AS78" s="38">
        <f t="shared" si="5"/>
        <v>1387.2346388285575</v>
      </c>
      <c r="AT78" s="38">
        <f t="shared" si="5"/>
        <v>847.13617397901123</v>
      </c>
      <c r="AU78" s="38">
        <f t="shared" si="5"/>
        <v>946.3616907437131</v>
      </c>
      <c r="AV78" s="38">
        <f t="shared" si="12"/>
        <v>946.3616907437131</v>
      </c>
      <c r="AW78" s="38">
        <f t="shared" si="6"/>
        <v>1156.6880740280367</v>
      </c>
      <c r="AX78" s="38">
        <f t="shared" si="6"/>
        <v>1279.5540032240731</v>
      </c>
      <c r="AY78" s="38">
        <f t="shared" si="6"/>
        <v>1465.8916709248849</v>
      </c>
    </row>
    <row r="79" spans="1:67">
      <c r="A79" s="9" t="s">
        <v>2033</v>
      </c>
      <c r="B79" s="9"/>
      <c r="C79" s="9"/>
      <c r="D79" s="9"/>
      <c r="E79" s="9"/>
      <c r="F79" s="9"/>
      <c r="G79" s="9"/>
      <c r="H79" s="9"/>
      <c r="I79" s="9"/>
      <c r="J79" s="9"/>
      <c r="K79" s="9"/>
      <c r="L79" s="9"/>
      <c r="M79" s="9"/>
      <c r="N79" s="9"/>
      <c r="O79" s="9"/>
      <c r="P79" s="9"/>
      <c r="Q79" s="9"/>
      <c r="R79" s="9"/>
      <c r="S79" s="9"/>
      <c r="T79" s="9"/>
      <c r="U79" s="9"/>
      <c r="V79" s="48">
        <f>V21/V$280</f>
        <v>59990.204906735278</v>
      </c>
      <c r="W79" s="48">
        <f t="shared" si="7"/>
        <v>59990.204906735278</v>
      </c>
      <c r="X79" s="9"/>
      <c r="Y79" s="9"/>
      <c r="Z79" s="9"/>
      <c r="AA79" s="48">
        <f>AA21/AA$280</f>
        <v>55625.959714569603</v>
      </c>
      <c r="AB79" s="48">
        <f t="shared" si="8"/>
        <v>55625.959714569603</v>
      </c>
      <c r="AC79" s="9"/>
      <c r="AD79" s="9"/>
      <c r="AE79" s="9"/>
      <c r="AF79" s="48">
        <f>AF21/AF$280</f>
        <v>60807.557807010373</v>
      </c>
      <c r="AG79" s="48">
        <f t="shared" si="9"/>
        <v>60807.557807010373</v>
      </c>
      <c r="AH79" s="9"/>
      <c r="AI79" s="9"/>
      <c r="AJ79" s="9"/>
      <c r="AK79" s="48">
        <f>AK21/AK$280</f>
        <v>47229.761102373996</v>
      </c>
      <c r="AL79" s="48">
        <f t="shared" si="10"/>
        <v>47229.761102373996</v>
      </c>
      <c r="AM79" s="48">
        <f t="shared" si="4"/>
        <v>45373.991309745499</v>
      </c>
      <c r="AN79" s="48">
        <f t="shared" si="4"/>
        <v>44202.9749966573</v>
      </c>
      <c r="AO79" s="48">
        <f t="shared" si="4"/>
        <v>46119.445815412815</v>
      </c>
      <c r="AP79" s="48">
        <f t="shared" si="4"/>
        <v>44887.431477445345</v>
      </c>
      <c r="AQ79" s="48">
        <f t="shared" si="11"/>
        <v>44887.431477445345</v>
      </c>
      <c r="AR79" s="48">
        <f t="shared" si="5"/>
        <v>44083.665487055317</v>
      </c>
      <c r="AS79" s="48">
        <f t="shared" si="5"/>
        <v>51980.354515518819</v>
      </c>
      <c r="AT79" s="48">
        <f t="shared" si="5"/>
        <v>50285.402705778222</v>
      </c>
      <c r="AU79" s="48">
        <f t="shared" si="5"/>
        <v>57472.826377742102</v>
      </c>
      <c r="AV79" s="48">
        <f t="shared" si="12"/>
        <v>57472.826377742102</v>
      </c>
      <c r="AW79" s="48">
        <f t="shared" si="6"/>
        <v>68482.687659692005</v>
      </c>
      <c r="AX79" s="48">
        <f t="shared" si="6"/>
        <v>70707.307898979052</v>
      </c>
      <c r="AY79" s="48">
        <f t="shared" si="6"/>
        <v>73721.665815022992</v>
      </c>
      <c r="BJ79" s="48">
        <f t="shared" ref="BJ79:BO79" si="13">INDEX($S79:$AV79, MATCH(BJ$2, $S$2:$AV$2, 0))</f>
        <v>59990.204906735278</v>
      </c>
      <c r="BK79" s="48">
        <f t="shared" si="13"/>
        <v>55625.959714569603</v>
      </c>
      <c r="BL79" s="48">
        <f t="shared" si="13"/>
        <v>60807.557807010373</v>
      </c>
      <c r="BM79" s="48">
        <f t="shared" si="13"/>
        <v>47229.761102373996</v>
      </c>
      <c r="BN79" s="48">
        <f t="shared" si="13"/>
        <v>44887.431477445345</v>
      </c>
      <c r="BO79" s="48">
        <f t="shared" si="13"/>
        <v>57472.826377742102</v>
      </c>
    </row>
    <row r="81" spans="1:67" s="26" customFormat="1">
      <c r="A81" s="26" t="s">
        <v>2851</v>
      </c>
      <c r="V81" s="61">
        <f>MROUND(SUM(V75:V76), 100)</f>
        <v>59000</v>
      </c>
      <c r="W81" s="61">
        <f>MROUND(SUM(W75:W76), 100)</f>
        <v>59000</v>
      </c>
      <c r="AA81" s="61">
        <f>MROUND(SUM(AA75:AA76), 100)</f>
        <v>53300</v>
      </c>
      <c r="AB81" s="61">
        <f>MROUND(SUM(AB75:AB76), 100)</f>
        <v>53300</v>
      </c>
      <c r="AF81" s="61">
        <f>MROUND(SUM(AF75:AF76), 100)</f>
        <v>58600</v>
      </c>
      <c r="AG81" s="61">
        <f>MROUND(SUM(AG75:AG76), 100)</f>
        <v>58600</v>
      </c>
      <c r="AK81" s="61">
        <f t="shared" ref="AK81:AW81" si="14">MROUND(SUM(AK75:AK76), 100)</f>
        <v>45900</v>
      </c>
      <c r="AL81" s="61">
        <f t="shared" si="14"/>
        <v>45900</v>
      </c>
      <c r="AM81" s="61">
        <f t="shared" si="14"/>
        <v>44000</v>
      </c>
      <c r="AN81" s="61">
        <f t="shared" si="14"/>
        <v>42900</v>
      </c>
      <c r="AO81" s="61">
        <f t="shared" si="14"/>
        <v>44800</v>
      </c>
      <c r="AP81" s="61">
        <f t="shared" si="14"/>
        <v>43700</v>
      </c>
      <c r="AQ81" s="61">
        <f t="shared" si="14"/>
        <v>43700</v>
      </c>
      <c r="AR81" s="61">
        <f t="shared" si="14"/>
        <v>43000</v>
      </c>
      <c r="AS81" s="61">
        <f t="shared" si="14"/>
        <v>50500</v>
      </c>
      <c r="AT81" s="61">
        <f t="shared" si="14"/>
        <v>49400</v>
      </c>
      <c r="AU81" s="61">
        <f t="shared" si="14"/>
        <v>56500</v>
      </c>
      <c r="AV81" s="61">
        <f t="shared" si="14"/>
        <v>56500</v>
      </c>
      <c r="AW81" s="61">
        <f t="shared" si="14"/>
        <v>67300</v>
      </c>
      <c r="AX81" s="61">
        <f t="shared" ref="AX81:AY81" si="15">MROUND(SUM(AX75:AX76), 100)</f>
        <v>69400</v>
      </c>
      <c r="AY81" s="61">
        <f t="shared" si="15"/>
        <v>72200</v>
      </c>
      <c r="BH81" s="328"/>
      <c r="BJ81" s="190">
        <f t="shared" ref="BJ81:BO81" si="16">INDEX($S81:$AV81, MATCH(BJ$2, $S$2:$AV$2, 0))</f>
        <v>59000</v>
      </c>
      <c r="BK81" s="190">
        <f t="shared" si="16"/>
        <v>53300</v>
      </c>
      <c r="BL81" s="190">
        <f t="shared" si="16"/>
        <v>58600</v>
      </c>
      <c r="BM81" s="190">
        <f t="shared" si="16"/>
        <v>45900</v>
      </c>
      <c r="BN81" s="190">
        <f t="shared" si="16"/>
        <v>43700</v>
      </c>
      <c r="BO81" s="190">
        <f t="shared" si="16"/>
        <v>56500</v>
      </c>
    </row>
    <row r="83" spans="1:67">
      <c r="A83" s="1" t="s">
        <v>2047</v>
      </c>
    </row>
    <row r="84" spans="1:67">
      <c r="A84" s="5" t="s">
        <v>2045</v>
      </c>
      <c r="V84" s="38">
        <f>V24/V$280</f>
        <v>13987.209409170266</v>
      </c>
      <c r="W84" s="38">
        <f t="shared" ref="W84:W86" si="17">V84</f>
        <v>13987.209409170266</v>
      </c>
      <c r="AA84" s="38">
        <f>AA24/AA$280</f>
        <v>16927.468160057808</v>
      </c>
      <c r="AB84" s="38">
        <f t="shared" ref="AB84:AB86" si="18">AA84</f>
        <v>16927.468160057808</v>
      </c>
      <c r="AF84" s="38">
        <f>AF24/AF$280</f>
        <v>23343.410409347169</v>
      </c>
      <c r="AG84" s="38">
        <f t="shared" ref="AG84:AG86" si="19">AF84</f>
        <v>23343.410409347169</v>
      </c>
      <c r="AK84" s="38">
        <f>AK24/AK$280</f>
        <v>15467.393095184603</v>
      </c>
      <c r="AL84" s="38">
        <f t="shared" ref="AL84:AL86" si="20">AK84</f>
        <v>15467.393095184603</v>
      </c>
      <c r="AM84" s="38">
        <f t="shared" ref="AM84:AP86" si="21">AM24/AM$280</f>
        <v>15205.055521070417</v>
      </c>
      <c r="AN84" s="38">
        <f t="shared" si="21"/>
        <v>14971.780986762935</v>
      </c>
      <c r="AO84" s="38">
        <f t="shared" si="21"/>
        <v>15295.995205527743</v>
      </c>
      <c r="AP84" s="38">
        <f t="shared" si="21"/>
        <v>14996.374083614028</v>
      </c>
      <c r="AQ84" s="38">
        <f t="shared" ref="AQ84:AQ86" si="22">AP84</f>
        <v>14996.374083614028</v>
      </c>
      <c r="AR84" s="38">
        <f t="shared" ref="AR84:AU86" si="23">AR24/AR$280</f>
        <v>14782.951511765072</v>
      </c>
      <c r="AS84" s="38">
        <f t="shared" si="23"/>
        <v>15325.152385623205</v>
      </c>
      <c r="AT84" s="38">
        <f t="shared" si="23"/>
        <v>14720.868630673915</v>
      </c>
      <c r="AU84" s="38">
        <f t="shared" si="23"/>
        <v>16478.216960941678</v>
      </c>
      <c r="AV84" s="38">
        <f t="shared" ref="AV84:AV86" si="24">AU84</f>
        <v>16478.216960941678</v>
      </c>
      <c r="AW84" s="38">
        <f t="shared" ref="AW84:AY86" si="25">AW24/AW$280</f>
        <v>16284.503832608245</v>
      </c>
      <c r="AX84" s="38">
        <f t="shared" si="25"/>
        <v>13791.469639978506</v>
      </c>
      <c r="AY84" s="38">
        <f t="shared" si="25"/>
        <v>27446.173990802246</v>
      </c>
    </row>
    <row r="85" spans="1:67">
      <c r="A85" s="5" t="s">
        <v>2048</v>
      </c>
      <c r="V85" s="38">
        <f>V25/V$280</f>
        <v>1801.9020490673529</v>
      </c>
      <c r="W85" s="38">
        <f t="shared" si="17"/>
        <v>1801.9020490673529</v>
      </c>
      <c r="AA85" s="38">
        <f>AA25/AA$280</f>
        <v>27872.269894318491</v>
      </c>
      <c r="AB85" s="38">
        <f t="shared" si="18"/>
        <v>27872.269894318491</v>
      </c>
      <c r="AF85" s="38">
        <f>AF25/AF$280</f>
        <v>37066.533213497838</v>
      </c>
      <c r="AG85" s="38">
        <f t="shared" si="19"/>
        <v>37066.533213497838</v>
      </c>
      <c r="AK85" s="38">
        <f>AK25/AK$280</f>
        <v>31929.925859357449</v>
      </c>
      <c r="AL85" s="38">
        <f t="shared" si="20"/>
        <v>31929.925859357449</v>
      </c>
      <c r="AM85" s="38">
        <f t="shared" si="21"/>
        <v>36128.015725222423</v>
      </c>
      <c r="AN85" s="38">
        <f t="shared" si="21"/>
        <v>36290.286134509959</v>
      </c>
      <c r="AO85" s="38">
        <f t="shared" si="21"/>
        <v>35256.546569837126</v>
      </c>
      <c r="AP85" s="38">
        <f t="shared" si="21"/>
        <v>34162.28122316888</v>
      </c>
      <c r="AQ85" s="38">
        <f t="shared" si="22"/>
        <v>34162.28122316888</v>
      </c>
      <c r="AR85" s="38">
        <f t="shared" si="23"/>
        <v>29712.963307878563</v>
      </c>
      <c r="AS85" s="38">
        <f t="shared" si="23"/>
        <v>25150.69011420164</v>
      </c>
      <c r="AT85" s="38">
        <f t="shared" si="23"/>
        <v>16512.59957011</v>
      </c>
      <c r="AU85" s="38">
        <f t="shared" si="23"/>
        <v>6673.6423220973775</v>
      </c>
      <c r="AV85" s="38">
        <f t="shared" si="24"/>
        <v>6673.6423220973775</v>
      </c>
      <c r="AW85" s="38">
        <f t="shared" si="25"/>
        <v>0</v>
      </c>
      <c r="AX85" s="38">
        <f t="shared" si="25"/>
        <v>0</v>
      </c>
      <c r="AY85" s="38">
        <f t="shared" si="25"/>
        <v>0</v>
      </c>
    </row>
    <row r="86" spans="1:67">
      <c r="A86" s="9" t="s">
        <v>2047</v>
      </c>
      <c r="B86" s="9"/>
      <c r="C86" s="9"/>
      <c r="D86" s="9"/>
      <c r="E86" s="9"/>
      <c r="F86" s="9"/>
      <c r="G86" s="9"/>
      <c r="H86" s="9"/>
      <c r="I86" s="9"/>
      <c r="J86" s="9"/>
      <c r="K86" s="9"/>
      <c r="L86" s="9"/>
      <c r="M86" s="9"/>
      <c r="N86" s="9"/>
      <c r="O86" s="9"/>
      <c r="P86" s="9"/>
      <c r="Q86" s="9"/>
      <c r="R86" s="9"/>
      <c r="S86" s="9"/>
      <c r="T86" s="9"/>
      <c r="U86" s="9"/>
      <c r="V86" s="48">
        <f>V26/V$280</f>
        <v>15789.111458237619</v>
      </c>
      <c r="W86" s="48">
        <f t="shared" si="17"/>
        <v>15789.111458237619</v>
      </c>
      <c r="X86" s="9"/>
      <c r="Y86" s="9"/>
      <c r="Z86" s="9"/>
      <c r="AA86" s="48">
        <f>AA26/AA$280</f>
        <v>44799.738054376299</v>
      </c>
      <c r="AB86" s="48">
        <f t="shared" si="18"/>
        <v>44799.738054376299</v>
      </c>
      <c r="AC86" s="9"/>
      <c r="AD86" s="9"/>
      <c r="AE86" s="9"/>
      <c r="AF86" s="48">
        <f>AF26/AF$280</f>
        <v>60409.943622845007</v>
      </c>
      <c r="AG86" s="48">
        <f t="shared" si="19"/>
        <v>60409.943622845007</v>
      </c>
      <c r="AH86" s="9"/>
      <c r="AI86" s="9"/>
      <c r="AJ86" s="9"/>
      <c r="AK86" s="48">
        <f>AK26/AK$280</f>
        <v>47397.318954542054</v>
      </c>
      <c r="AL86" s="48">
        <f t="shared" si="20"/>
        <v>47397.318954542054</v>
      </c>
      <c r="AM86" s="48">
        <f t="shared" si="21"/>
        <v>51333.071246292842</v>
      </c>
      <c r="AN86" s="48">
        <f t="shared" si="21"/>
        <v>51262.067121272892</v>
      </c>
      <c r="AO86" s="48">
        <f t="shared" si="21"/>
        <v>50552.541775364873</v>
      </c>
      <c r="AP86" s="48">
        <f t="shared" si="21"/>
        <v>49158.655306782908</v>
      </c>
      <c r="AQ86" s="48">
        <f t="shared" si="22"/>
        <v>49158.655306782908</v>
      </c>
      <c r="AR86" s="48">
        <f t="shared" si="23"/>
        <v>44495.914819643636</v>
      </c>
      <c r="AS86" s="48">
        <f t="shared" si="23"/>
        <v>40475.842499824845</v>
      </c>
      <c r="AT86" s="48">
        <f t="shared" si="23"/>
        <v>31233.468200783915</v>
      </c>
      <c r="AU86" s="48">
        <f t="shared" si="23"/>
        <v>23151.859283039055</v>
      </c>
      <c r="AV86" s="48">
        <f t="shared" si="24"/>
        <v>23151.859283039055</v>
      </c>
      <c r="AW86" s="48">
        <f t="shared" si="25"/>
        <v>16284.503832608245</v>
      </c>
      <c r="AX86" s="48">
        <f t="shared" si="25"/>
        <v>13791.469639978506</v>
      </c>
      <c r="AY86" s="48">
        <f t="shared" si="25"/>
        <v>27446.173990802246</v>
      </c>
    </row>
    <row r="88" spans="1:67">
      <c r="A88" s="1" t="s">
        <v>958</v>
      </c>
    </row>
    <row r="89" spans="1:67">
      <c r="A89" s="5" t="s">
        <v>2045</v>
      </c>
      <c r="V89" s="38">
        <f>V29/V$280</f>
        <v>0</v>
      </c>
      <c r="W89" s="38">
        <f t="shared" ref="W89:W90" si="26">V89</f>
        <v>0</v>
      </c>
      <c r="AA89" s="38">
        <f>AA29/AA$280</f>
        <v>16859.551982657395</v>
      </c>
      <c r="AB89" s="38">
        <f t="shared" ref="AB89:AB90" si="27">AA89</f>
        <v>16859.551982657395</v>
      </c>
      <c r="AF89" s="38">
        <f>AF29/AF$280</f>
        <v>273.83773184083668</v>
      </c>
      <c r="AG89" s="38">
        <f t="shared" ref="AG89:AG93" si="28">AF89</f>
        <v>273.83773184083668</v>
      </c>
      <c r="AK89" s="38">
        <f>AK29/AK$280</f>
        <v>0</v>
      </c>
      <c r="AL89" s="38">
        <f t="shared" ref="AL89:AL93" si="29">AK89</f>
        <v>0</v>
      </c>
      <c r="AM89" s="38">
        <f t="shared" ref="AM89:AP90" si="30">AM29/AM$280</f>
        <v>34.581695289330298</v>
      </c>
      <c r="AN89" s="38">
        <f t="shared" si="30"/>
        <v>0.14039310068190933</v>
      </c>
      <c r="AO89" s="38">
        <f t="shared" si="30"/>
        <v>0</v>
      </c>
      <c r="AP89" s="38">
        <f t="shared" si="30"/>
        <v>0</v>
      </c>
      <c r="AQ89" s="38">
        <f t="shared" ref="AQ89:AQ90" si="31">AP89</f>
        <v>0</v>
      </c>
      <c r="AR89" s="38">
        <f t="shared" ref="AR89:AU90" si="32">AR29/AR$280</f>
        <v>0</v>
      </c>
      <c r="AS89" s="38">
        <f t="shared" si="32"/>
        <v>0</v>
      </c>
      <c r="AT89" s="38">
        <f t="shared" si="32"/>
        <v>0</v>
      </c>
      <c r="AU89" s="38">
        <f t="shared" si="32"/>
        <v>199.27768860353129</v>
      </c>
      <c r="AV89" s="38">
        <f t="shared" ref="AV89:AV93" si="33">AU89</f>
        <v>199.27768860353129</v>
      </c>
      <c r="AW89" s="38">
        <f t="shared" ref="AW89:AY90" si="34">AW29/AW$280</f>
        <v>3.4528002209792144E-2</v>
      </c>
      <c r="AX89" s="38">
        <f t="shared" si="34"/>
        <v>0</v>
      </c>
      <c r="AY89" s="38">
        <f t="shared" si="34"/>
        <v>3000.9389371486968</v>
      </c>
    </row>
    <row r="90" spans="1:67">
      <c r="A90" s="9" t="s">
        <v>958</v>
      </c>
      <c r="B90" s="9"/>
      <c r="C90" s="9"/>
      <c r="D90" s="9"/>
      <c r="E90" s="9"/>
      <c r="F90" s="9"/>
      <c r="G90" s="9"/>
      <c r="H90" s="9"/>
      <c r="I90" s="9"/>
      <c r="J90" s="9"/>
      <c r="K90" s="9"/>
      <c r="L90" s="9"/>
      <c r="M90" s="9"/>
      <c r="N90" s="9"/>
      <c r="O90" s="9"/>
      <c r="P90" s="9"/>
      <c r="Q90" s="9"/>
      <c r="R90" s="9"/>
      <c r="S90" s="9"/>
      <c r="T90" s="9"/>
      <c r="U90" s="9"/>
      <c r="V90" s="48">
        <f>V30/V$280</f>
        <v>0</v>
      </c>
      <c r="W90" s="48">
        <f t="shared" si="26"/>
        <v>0</v>
      </c>
      <c r="X90" s="9"/>
      <c r="Y90" s="9"/>
      <c r="Z90" s="9"/>
      <c r="AA90" s="48">
        <f>AA30/AA$280</f>
        <v>16859.551982657395</v>
      </c>
      <c r="AB90" s="48">
        <f t="shared" si="27"/>
        <v>16859.551982657395</v>
      </c>
      <c r="AC90" s="9"/>
      <c r="AD90" s="9"/>
      <c r="AE90" s="9"/>
      <c r="AF90" s="48">
        <f>AF30/AF$280</f>
        <v>273.83773184083668</v>
      </c>
      <c r="AG90" s="48">
        <f t="shared" si="28"/>
        <v>273.83773184083668</v>
      </c>
      <c r="AH90" s="9"/>
      <c r="AI90" s="9"/>
      <c r="AJ90" s="9"/>
      <c r="AK90" s="48">
        <f>AK30/AK$280</f>
        <v>0</v>
      </c>
      <c r="AL90" s="48">
        <f t="shared" si="29"/>
        <v>0</v>
      </c>
      <c r="AM90" s="48">
        <f t="shared" si="30"/>
        <v>34.581695289330298</v>
      </c>
      <c r="AN90" s="48">
        <f t="shared" si="30"/>
        <v>0.14039310068190933</v>
      </c>
      <c r="AO90" s="48">
        <f t="shared" si="30"/>
        <v>0</v>
      </c>
      <c r="AP90" s="48">
        <f t="shared" si="30"/>
        <v>0</v>
      </c>
      <c r="AQ90" s="48">
        <f t="shared" si="31"/>
        <v>0</v>
      </c>
      <c r="AR90" s="48">
        <f t="shared" si="32"/>
        <v>0</v>
      </c>
      <c r="AS90" s="48">
        <f t="shared" si="32"/>
        <v>0</v>
      </c>
      <c r="AT90" s="48">
        <f t="shared" si="32"/>
        <v>0</v>
      </c>
      <c r="AU90" s="48">
        <f t="shared" si="32"/>
        <v>199.27768860353129</v>
      </c>
      <c r="AV90" s="48">
        <f t="shared" si="33"/>
        <v>199.27768860353129</v>
      </c>
      <c r="AW90" s="48">
        <f t="shared" si="34"/>
        <v>3.4528002209792144E-2</v>
      </c>
      <c r="AX90" s="48">
        <f t="shared" si="34"/>
        <v>0</v>
      </c>
      <c r="AY90" s="48">
        <f t="shared" si="34"/>
        <v>3000.9389371486968</v>
      </c>
    </row>
    <row r="92" spans="1:67">
      <c r="A92" s="5" t="s">
        <v>192</v>
      </c>
      <c r="AR92" s="38">
        <f t="shared" ref="AR92:AU93" si="35">AR32/AR$280</f>
        <v>168.7961755758366</v>
      </c>
      <c r="AS92" s="38">
        <f t="shared" si="35"/>
        <v>168.58403979541794</v>
      </c>
      <c r="AT92" s="38">
        <f t="shared" si="35"/>
        <v>168.37147553420152</v>
      </c>
      <c r="AU92" s="38">
        <f t="shared" si="35"/>
        <v>168.16479400749063</v>
      </c>
      <c r="AV92" s="38">
        <f t="shared" si="33"/>
        <v>168.16479400749063</v>
      </c>
      <c r="AW92" s="38">
        <f t="shared" ref="AW92:AY93" si="36">AW32/AW$280</f>
        <v>167.89586354533526</v>
      </c>
      <c r="AX92" s="38">
        <f t="shared" si="36"/>
        <v>5.1114991939817305</v>
      </c>
      <c r="AY92" s="38">
        <f t="shared" si="36"/>
        <v>4.2603474706182931</v>
      </c>
    </row>
    <row r="93" spans="1:67">
      <c r="A93" s="9" t="s">
        <v>2053</v>
      </c>
      <c r="B93" s="9"/>
      <c r="C93" s="9"/>
      <c r="D93" s="9"/>
      <c r="E93" s="9"/>
      <c r="F93" s="9"/>
      <c r="G93" s="9"/>
      <c r="H93" s="9"/>
      <c r="I93" s="9"/>
      <c r="J93" s="9"/>
      <c r="K93" s="9"/>
      <c r="L93" s="9"/>
      <c r="M93" s="9"/>
      <c r="N93" s="9"/>
      <c r="O93" s="9"/>
      <c r="P93" s="9"/>
      <c r="Q93" s="9"/>
      <c r="R93" s="9"/>
      <c r="S93" s="9"/>
      <c r="T93" s="9"/>
      <c r="U93" s="9"/>
      <c r="V93" s="48">
        <f>V33/V$280</f>
        <v>75779.316364972896</v>
      </c>
      <c r="W93" s="48">
        <f t="shared" ref="W93" si="37">V93</f>
        <v>75779.316364972896</v>
      </c>
      <c r="X93" s="9"/>
      <c r="Y93" s="9"/>
      <c r="Z93" s="9"/>
      <c r="AA93" s="48">
        <f>AA33/AA$280</f>
        <v>117285.24975160329</v>
      </c>
      <c r="AB93" s="48">
        <f t="shared" ref="AB93" si="38">AA93</f>
        <v>117285.24975160329</v>
      </c>
      <c r="AC93" s="9"/>
      <c r="AD93" s="9"/>
      <c r="AE93" s="9"/>
      <c r="AF93" s="48">
        <f>AF33/AF$280</f>
        <v>121491.33916169622</v>
      </c>
      <c r="AG93" s="48">
        <f t="shared" si="28"/>
        <v>121491.33916169622</v>
      </c>
      <c r="AH93" s="9"/>
      <c r="AI93" s="9"/>
      <c r="AJ93" s="9"/>
      <c r="AK93" s="48">
        <f>AK33/AK$280</f>
        <v>94627.080056916049</v>
      </c>
      <c r="AL93" s="48">
        <f t="shared" si="29"/>
        <v>94627.080056916049</v>
      </c>
      <c r="AM93" s="48">
        <f>AM33/AM$280</f>
        <v>96741.644251327671</v>
      </c>
      <c r="AN93" s="48">
        <f>AN33/AN$280</f>
        <v>95465.182511030886</v>
      </c>
      <c r="AO93" s="48">
        <f>AO33/AO$280</f>
        <v>96671.987590777688</v>
      </c>
      <c r="AP93" s="48">
        <f>AP33/AP$280</f>
        <v>94046.086784228261</v>
      </c>
      <c r="AQ93" s="48">
        <f t="shared" ref="AQ93" si="39">AP93</f>
        <v>94046.086784228261</v>
      </c>
      <c r="AR93" s="48">
        <f t="shared" si="35"/>
        <v>88748.376482274791</v>
      </c>
      <c r="AS93" s="48">
        <f t="shared" si="35"/>
        <v>92624.781055139087</v>
      </c>
      <c r="AT93" s="48">
        <f t="shared" si="35"/>
        <v>81687.242382096345</v>
      </c>
      <c r="AU93" s="48">
        <f t="shared" si="35"/>
        <v>80992.128143392183</v>
      </c>
      <c r="AV93" s="48">
        <f t="shared" si="33"/>
        <v>80992.128143392183</v>
      </c>
      <c r="AW93" s="48">
        <f t="shared" si="36"/>
        <v>84935.121883847794</v>
      </c>
      <c r="AX93" s="48">
        <f t="shared" si="36"/>
        <v>84503.889038151538</v>
      </c>
      <c r="AY93" s="48">
        <f t="shared" si="36"/>
        <v>104173.03909044455</v>
      </c>
    </row>
    <row r="95" spans="1:67">
      <c r="A95" s="1" t="s">
        <v>2035</v>
      </c>
    </row>
    <row r="96" spans="1:67">
      <c r="A96" s="5" t="s">
        <v>84</v>
      </c>
      <c r="V96" s="38">
        <f>V36/V$280</f>
        <v>5343.5909216208765</v>
      </c>
      <c r="W96" s="38">
        <f t="shared" ref="W96" si="40">V96</f>
        <v>5343.5909216208765</v>
      </c>
      <c r="AA96" s="38">
        <f>AA36/AA$280</f>
        <v>4012.5282268991059</v>
      </c>
      <c r="AB96" s="38">
        <f t="shared" ref="AB96:AB100" si="41">AA96</f>
        <v>4012.5282268991059</v>
      </c>
      <c r="AF96" s="38">
        <f>AF36/AF$280</f>
        <v>2749.6936024184984</v>
      </c>
      <c r="AG96" s="38">
        <f t="shared" ref="AG96:AG100" si="42">AF96</f>
        <v>2749.6936024184984</v>
      </c>
      <c r="AK96" s="38">
        <f>AK36/AK$280</f>
        <v>4139.0024713547518</v>
      </c>
      <c r="AL96" s="38">
        <f t="shared" ref="AL96:AL100" si="43">AK96</f>
        <v>4139.0024713547518</v>
      </c>
      <c r="AM96" s="38">
        <f t="shared" ref="AM96:AP100" si="44">AM36/AM$280</f>
        <v>4073.5223118835779</v>
      </c>
      <c r="AN96" s="38">
        <f t="shared" si="44"/>
        <v>0</v>
      </c>
      <c r="AO96" s="38">
        <f t="shared" si="44"/>
        <v>0</v>
      </c>
      <c r="AP96" s="38">
        <f t="shared" si="44"/>
        <v>0</v>
      </c>
      <c r="AQ96" s="38">
        <f t="shared" ref="AQ96:AQ100" si="45">AP96</f>
        <v>0</v>
      </c>
      <c r="AR96" s="38">
        <f t="shared" ref="AR96:AU100" si="46">AR36/AR$280</f>
        <v>0</v>
      </c>
      <c r="AS96" s="38">
        <f t="shared" si="46"/>
        <v>0</v>
      </c>
      <c r="AT96" s="38">
        <f t="shared" si="46"/>
        <v>0</v>
      </c>
      <c r="AU96" s="38">
        <f t="shared" si="46"/>
        <v>0</v>
      </c>
      <c r="AV96" s="38">
        <f t="shared" ref="AV96:AV100" si="47">AU96</f>
        <v>0</v>
      </c>
      <c r="AW96" s="38">
        <f t="shared" ref="AW96:AY100" si="48">AW36/AW$280</f>
        <v>0</v>
      </c>
      <c r="AX96" s="38">
        <f t="shared" si="48"/>
        <v>0</v>
      </c>
      <c r="AY96" s="38">
        <f t="shared" si="48"/>
        <v>0</v>
      </c>
    </row>
    <row r="97" spans="1:51">
      <c r="A97" s="5" t="s">
        <v>83</v>
      </c>
      <c r="V97" s="38"/>
      <c r="W97" s="38"/>
      <c r="AA97" s="38"/>
      <c r="AB97" s="38"/>
      <c r="AF97" s="38">
        <f>AF37/AF$280</f>
        <v>5977.1223139145359</v>
      </c>
      <c r="AG97" s="38">
        <f t="shared" si="42"/>
        <v>5977.1223139145359</v>
      </c>
      <c r="AK97" s="38">
        <f>AK37/AK$280</f>
        <v>5766.5243765445966</v>
      </c>
      <c r="AL97" s="38">
        <f t="shared" si="43"/>
        <v>5766.5243765445966</v>
      </c>
      <c r="AM97" s="38">
        <f t="shared" si="44"/>
        <v>5719.6772191185592</v>
      </c>
      <c r="AN97" s="38">
        <f t="shared" si="44"/>
        <v>3624.9030619066716</v>
      </c>
      <c r="AO97" s="38">
        <f t="shared" si="44"/>
        <v>3618.6772897130363</v>
      </c>
      <c r="AP97" s="38">
        <f t="shared" si="44"/>
        <v>3618.6117165312726</v>
      </c>
      <c r="AQ97" s="38">
        <f t="shared" si="45"/>
        <v>3618.6117165312726</v>
      </c>
      <c r="AR97" s="38">
        <f t="shared" si="46"/>
        <v>3618.6378593158256</v>
      </c>
      <c r="AS97" s="38">
        <f t="shared" si="46"/>
        <v>3559.7421705317734</v>
      </c>
      <c r="AT97" s="38">
        <f t="shared" si="46"/>
        <v>3415.0651156909848</v>
      </c>
      <c r="AU97" s="38">
        <f t="shared" si="46"/>
        <v>3352.3608881754949</v>
      </c>
      <c r="AV97" s="38">
        <f t="shared" si="47"/>
        <v>3352.3608881754949</v>
      </c>
      <c r="AW97" s="38">
        <f t="shared" si="48"/>
        <v>3182.9086389061526</v>
      </c>
      <c r="AX97" s="38">
        <f t="shared" si="48"/>
        <v>4346.3594841483073</v>
      </c>
      <c r="AY97" s="38">
        <f t="shared" si="48"/>
        <v>5331.5725600408787</v>
      </c>
    </row>
    <row r="98" spans="1:51">
      <c r="A98" s="5" t="s">
        <v>944</v>
      </c>
      <c r="V98" s="38"/>
      <c r="W98" s="38"/>
      <c r="AA98" s="38"/>
      <c r="AB98" s="38"/>
      <c r="AF98" s="38">
        <f>AF38/AF$280</f>
        <v>74.997957349456655</v>
      </c>
      <c r="AG98" s="38">
        <f t="shared" si="42"/>
        <v>74.997957349456655</v>
      </c>
      <c r="AK98" s="38">
        <f>AK38/AK$280</f>
        <v>0</v>
      </c>
      <c r="AL98" s="38">
        <f t="shared" si="43"/>
        <v>0</v>
      </c>
      <c r="AM98" s="38">
        <f t="shared" si="44"/>
        <v>0</v>
      </c>
      <c r="AN98" s="38">
        <f t="shared" si="44"/>
        <v>0</v>
      </c>
      <c r="AO98" s="38">
        <f t="shared" si="44"/>
        <v>0</v>
      </c>
      <c r="AP98" s="38">
        <f t="shared" si="44"/>
        <v>0</v>
      </c>
      <c r="AQ98" s="38">
        <f t="shared" si="45"/>
        <v>0</v>
      </c>
      <c r="AR98" s="38">
        <f t="shared" si="46"/>
        <v>0</v>
      </c>
      <c r="AS98" s="38">
        <f t="shared" si="46"/>
        <v>0</v>
      </c>
      <c r="AT98" s="38">
        <f t="shared" si="46"/>
        <v>0</v>
      </c>
      <c r="AU98" s="38">
        <f t="shared" si="46"/>
        <v>0</v>
      </c>
      <c r="AV98" s="38">
        <f t="shared" si="47"/>
        <v>0</v>
      </c>
      <c r="AW98" s="38">
        <f t="shared" si="48"/>
        <v>0</v>
      </c>
      <c r="AX98" s="38">
        <f t="shared" si="48"/>
        <v>0</v>
      </c>
      <c r="AY98" s="38">
        <f t="shared" si="48"/>
        <v>0</v>
      </c>
    </row>
    <row r="99" spans="1:51">
      <c r="A99" s="5" t="s">
        <v>2054</v>
      </c>
      <c r="V99" s="38">
        <f>V39/V$280</f>
        <v>4.915923918037306</v>
      </c>
      <c r="W99" s="38">
        <f t="shared" ref="W99:W100" si="49">V99</f>
        <v>4.915923918037306</v>
      </c>
      <c r="AA99" s="38">
        <f>AA39/AA$280</f>
        <v>3.2788366001264566</v>
      </c>
      <c r="AB99" s="38">
        <f t="shared" si="41"/>
        <v>3.2788366001264566</v>
      </c>
      <c r="AF99" s="38">
        <f>AF39/AF$280</f>
        <v>6.2014870495955554</v>
      </c>
      <c r="AG99" s="38">
        <f t="shared" si="42"/>
        <v>6.2014870495955554</v>
      </c>
      <c r="AK99" s="38">
        <f>AK39/AK$280</f>
        <v>111.38320976559575</v>
      </c>
      <c r="AL99" s="38">
        <f t="shared" si="43"/>
        <v>111.38320976559575</v>
      </c>
      <c r="AM99" s="38">
        <f t="shared" si="44"/>
        <v>109.77308779915856</v>
      </c>
      <c r="AN99" s="38">
        <f t="shared" si="44"/>
        <v>108.1962829255248</v>
      </c>
      <c r="AO99" s="38">
        <f t="shared" si="44"/>
        <v>106.83212296411196</v>
      </c>
      <c r="AP99" s="38">
        <f t="shared" si="44"/>
        <v>105.32989894987121</v>
      </c>
      <c r="AQ99" s="38">
        <f t="shared" si="45"/>
        <v>105.32989894987121</v>
      </c>
      <c r="AR99" s="38">
        <f t="shared" si="46"/>
        <v>103.24082696964054</v>
      </c>
      <c r="AS99" s="38">
        <f t="shared" si="46"/>
        <v>104.63812793386114</v>
      </c>
      <c r="AT99" s="38">
        <f t="shared" si="46"/>
        <v>101.4224301428752</v>
      </c>
      <c r="AU99" s="38">
        <f t="shared" si="46"/>
        <v>100.50160513643659</v>
      </c>
      <c r="AV99" s="38">
        <f t="shared" si="47"/>
        <v>100.50160513643659</v>
      </c>
      <c r="AW99" s="38">
        <f t="shared" si="48"/>
        <v>100.21407361370071</v>
      </c>
      <c r="AX99" s="38">
        <f t="shared" si="48"/>
        <v>98.97232670607201</v>
      </c>
      <c r="AY99" s="38">
        <f t="shared" si="48"/>
        <v>97.247061829330605</v>
      </c>
    </row>
    <row r="100" spans="1:51">
      <c r="A100" s="9" t="s">
        <v>2035</v>
      </c>
      <c r="B100" s="9"/>
      <c r="C100" s="9"/>
      <c r="D100" s="9"/>
      <c r="E100" s="9"/>
      <c r="F100" s="9"/>
      <c r="G100" s="9"/>
      <c r="H100" s="9"/>
      <c r="I100" s="9"/>
      <c r="J100" s="9"/>
      <c r="K100" s="9"/>
      <c r="L100" s="9"/>
      <c r="M100" s="9"/>
      <c r="N100" s="9"/>
      <c r="O100" s="9"/>
      <c r="P100" s="9"/>
      <c r="Q100" s="9"/>
      <c r="R100" s="9"/>
      <c r="S100" s="9"/>
      <c r="T100" s="9"/>
      <c r="U100" s="9"/>
      <c r="V100" s="48">
        <f>V40/V$280</f>
        <v>5348.5068455389137</v>
      </c>
      <c r="W100" s="48">
        <f t="shared" si="49"/>
        <v>5348.5068455389137</v>
      </c>
      <c r="X100" s="9"/>
      <c r="Y100" s="9"/>
      <c r="Z100" s="9"/>
      <c r="AA100" s="48">
        <f>AA40/AA$280</f>
        <v>4015.8070634992323</v>
      </c>
      <c r="AB100" s="48">
        <f t="shared" si="41"/>
        <v>4015.8070634992323</v>
      </c>
      <c r="AC100" s="9"/>
      <c r="AD100" s="9"/>
      <c r="AE100" s="9"/>
      <c r="AF100" s="48">
        <f>AF40/AF$280</f>
        <v>8808.0153607320863</v>
      </c>
      <c r="AG100" s="48">
        <f t="shared" si="42"/>
        <v>8808.0153607320863</v>
      </c>
      <c r="AH100" s="9"/>
      <c r="AI100" s="9"/>
      <c r="AJ100" s="9"/>
      <c r="AK100" s="48">
        <f>AK40/AK$280</f>
        <v>10016.910057664943</v>
      </c>
      <c r="AL100" s="48">
        <f t="shared" si="43"/>
        <v>10016.910057664943</v>
      </c>
      <c r="AM100" s="48">
        <f t="shared" si="44"/>
        <v>9902.9726188012955</v>
      </c>
      <c r="AN100" s="48">
        <f t="shared" si="44"/>
        <v>3733.0993448321965</v>
      </c>
      <c r="AO100" s="48">
        <f t="shared" si="44"/>
        <v>3725.5094126771482</v>
      </c>
      <c r="AP100" s="48">
        <f t="shared" si="44"/>
        <v>3723.9416154811438</v>
      </c>
      <c r="AQ100" s="48">
        <f t="shared" si="45"/>
        <v>3723.9416154811438</v>
      </c>
      <c r="AR100" s="48">
        <f t="shared" si="46"/>
        <v>3721.8786862854663</v>
      </c>
      <c r="AS100" s="48">
        <f t="shared" si="46"/>
        <v>3664.3802984656345</v>
      </c>
      <c r="AT100" s="48">
        <f t="shared" si="46"/>
        <v>3516.4875458338602</v>
      </c>
      <c r="AU100" s="48">
        <f t="shared" si="46"/>
        <v>3452.8624933119313</v>
      </c>
      <c r="AV100" s="48">
        <f t="shared" si="47"/>
        <v>3452.8624933119313</v>
      </c>
      <c r="AW100" s="48">
        <f t="shared" si="48"/>
        <v>3283.1227125198534</v>
      </c>
      <c r="AX100" s="48">
        <f t="shared" si="48"/>
        <v>4445.3318108543799</v>
      </c>
      <c r="AY100" s="48">
        <f t="shared" si="48"/>
        <v>5428.8196218702096</v>
      </c>
    </row>
    <row r="102" spans="1:51">
      <c r="A102" s="1" t="s">
        <v>85</v>
      </c>
    </row>
    <row r="103" spans="1:51">
      <c r="A103" s="5" t="s">
        <v>2045</v>
      </c>
      <c r="V103" s="38">
        <f>V43/V$280</f>
        <v>26243.012037122116</v>
      </c>
      <c r="W103" s="38">
        <f t="shared" ref="W103:W107" si="50">V103</f>
        <v>26243.012037122116</v>
      </c>
      <c r="AA103" s="38">
        <f>AA43/AA$280</f>
        <v>27434.098094119774</v>
      </c>
      <c r="AB103" s="38">
        <f t="shared" ref="AB103:AB107" si="51">AA103</f>
        <v>27434.098094119774</v>
      </c>
      <c r="AF103" s="38">
        <f>AF43/AF$280</f>
        <v>25214.102459351256</v>
      </c>
      <c r="AG103" s="38">
        <f t="shared" ref="AG103:AG107" si="52">AF103</f>
        <v>25214.102459351256</v>
      </c>
      <c r="AK103" s="38">
        <f>AK43/AK$280</f>
        <v>23072.552984348087</v>
      </c>
      <c r="AL103" s="38">
        <f t="shared" ref="AL103:AL107" si="53">AK103</f>
        <v>23072.552984348087</v>
      </c>
      <c r="AM103" s="38">
        <f t="shared" ref="AM103:AP107" si="54">AM43/AM$280</f>
        <v>21936.464583764395</v>
      </c>
      <c r="AN103" s="38">
        <f t="shared" si="54"/>
        <v>20194.043321299636</v>
      </c>
      <c r="AO103" s="38">
        <f t="shared" si="54"/>
        <v>22335.126559966156</v>
      </c>
      <c r="AP103" s="38">
        <f t="shared" si="54"/>
        <v>19774.38082028928</v>
      </c>
      <c r="AQ103" s="38">
        <f t="shared" ref="AQ103:AQ107" si="55">AP103</f>
        <v>19774.38082028928</v>
      </c>
      <c r="AR103" s="38">
        <f t="shared" ref="AR103:AU107" si="56">AR43/AR$280</f>
        <v>19870.099956540635</v>
      </c>
      <c r="AS103" s="38">
        <f t="shared" si="56"/>
        <v>20194.423036502489</v>
      </c>
      <c r="AT103" s="38">
        <f t="shared" si="56"/>
        <v>18084.73258313314</v>
      </c>
      <c r="AU103" s="38">
        <f t="shared" si="56"/>
        <v>17476.69208132691</v>
      </c>
      <c r="AV103" s="38">
        <f t="shared" ref="AV103:AV107" si="57">AU103</f>
        <v>17476.69208132691</v>
      </c>
      <c r="AW103" s="38">
        <f t="shared" ref="AW103:AY107" si="58">AW43/AW$280</f>
        <v>18962.012291968786</v>
      </c>
      <c r="AX103" s="38">
        <f t="shared" si="58"/>
        <v>18098.434981192906</v>
      </c>
      <c r="AY103" s="38">
        <f t="shared" si="58"/>
        <v>18324.041900868677</v>
      </c>
    </row>
    <row r="104" spans="1:51">
      <c r="A104" s="5" t="s">
        <v>2046</v>
      </c>
      <c r="V104" s="38">
        <f>V44/V$280</f>
        <v>367.54571349811636</v>
      </c>
      <c r="W104" s="38">
        <f t="shared" si="50"/>
        <v>367.54571349811636</v>
      </c>
      <c r="AA104" s="38">
        <f>AA44/AA$280</f>
        <v>2348.4780056002169</v>
      </c>
      <c r="AB104" s="38">
        <f t="shared" si="51"/>
        <v>2348.4780056002169</v>
      </c>
      <c r="AF104" s="38">
        <f>AF44/AF$280</f>
        <v>3834.0714110629951</v>
      </c>
      <c r="AG104" s="38">
        <f t="shared" si="52"/>
        <v>3834.0714110629951</v>
      </c>
      <c r="AK104" s="38">
        <f>AK44/AK$280</f>
        <v>4333.737736838164</v>
      </c>
      <c r="AL104" s="38">
        <f t="shared" si="53"/>
        <v>4333.737736838164</v>
      </c>
      <c r="AM104" s="38">
        <f t="shared" si="54"/>
        <v>3991.6408028139867</v>
      </c>
      <c r="AN104" s="38">
        <f t="shared" si="54"/>
        <v>4602.24628961091</v>
      </c>
      <c r="AO104" s="38">
        <f t="shared" si="54"/>
        <v>4854.339702460692</v>
      </c>
      <c r="AP104" s="38">
        <f t="shared" si="54"/>
        <v>5467.1488012680802</v>
      </c>
      <c r="AQ104" s="38">
        <f t="shared" si="55"/>
        <v>5467.1488012680802</v>
      </c>
      <c r="AR104" s="38">
        <f t="shared" si="56"/>
        <v>5634.9661637797235</v>
      </c>
      <c r="AS104" s="38">
        <f t="shared" si="56"/>
        <v>6359.952357598263</v>
      </c>
      <c r="AT104" s="38">
        <f t="shared" si="56"/>
        <v>5739.5941332658995</v>
      </c>
      <c r="AU104" s="38">
        <f t="shared" si="56"/>
        <v>6843.7800963081854</v>
      </c>
      <c r="AV104" s="38">
        <f t="shared" si="57"/>
        <v>6843.7800963081854</v>
      </c>
      <c r="AW104" s="38">
        <f t="shared" si="58"/>
        <v>7629.2866514743455</v>
      </c>
      <c r="AX104" s="38">
        <f t="shared" si="58"/>
        <v>7943.8541106931762</v>
      </c>
      <c r="AY104" s="38">
        <f t="shared" si="58"/>
        <v>7386.2225344915687</v>
      </c>
    </row>
    <row r="105" spans="1:51">
      <c r="A105" s="5" t="s">
        <v>30</v>
      </c>
      <c r="V105" s="38">
        <f>V45/V$280</f>
        <v>7653.0092805292661</v>
      </c>
      <c r="W105" s="38">
        <f t="shared" si="50"/>
        <v>7653.0092805292661</v>
      </c>
      <c r="AA105" s="38">
        <f>AA45/AA$280</f>
        <v>6380.5708608075156</v>
      </c>
      <c r="AB105" s="38">
        <f t="shared" si="51"/>
        <v>6380.5708608075156</v>
      </c>
      <c r="AF105" s="38">
        <f>AF45/AF$280</f>
        <v>4574.2789443581996</v>
      </c>
      <c r="AG105" s="38">
        <f t="shared" si="52"/>
        <v>4574.2789443581996</v>
      </c>
      <c r="AK105" s="38">
        <f>AK45/AK$280</f>
        <v>3671.4521081404928</v>
      </c>
      <c r="AL105" s="38">
        <f t="shared" si="53"/>
        <v>3671.4521081404928</v>
      </c>
      <c r="AM105" s="38">
        <f t="shared" si="54"/>
        <v>3314.4630664183733</v>
      </c>
      <c r="AN105" s="38">
        <f t="shared" si="54"/>
        <v>3179.1415964701159</v>
      </c>
      <c r="AO105" s="38">
        <f t="shared" si="54"/>
        <v>3296.0586617781851</v>
      </c>
      <c r="AP105" s="38">
        <f t="shared" si="54"/>
        <v>3077.7689716663367</v>
      </c>
      <c r="AQ105" s="38">
        <f t="shared" si="55"/>
        <v>3077.7689716663367</v>
      </c>
      <c r="AR105" s="38">
        <f t="shared" si="56"/>
        <v>2908.2262370397966</v>
      </c>
      <c r="AS105" s="38">
        <f t="shared" si="56"/>
        <v>3243.2845232256709</v>
      </c>
      <c r="AT105" s="38">
        <f t="shared" si="56"/>
        <v>2893.5263623719811</v>
      </c>
      <c r="AU105" s="38">
        <f t="shared" si="56"/>
        <v>3035.5270197966825</v>
      </c>
      <c r="AV105" s="38">
        <f t="shared" si="57"/>
        <v>3035.5270197966825</v>
      </c>
      <c r="AW105" s="38">
        <f t="shared" si="58"/>
        <v>3154.5197154892617</v>
      </c>
      <c r="AX105" s="38">
        <f t="shared" si="58"/>
        <v>3102.4986566362172</v>
      </c>
      <c r="AY105" s="38">
        <f t="shared" si="58"/>
        <v>2970.1392437404188</v>
      </c>
    </row>
    <row r="106" spans="1:51">
      <c r="A106" s="5" t="s">
        <v>238</v>
      </c>
      <c r="V106" s="38">
        <f>V46/V$280</f>
        <v>918.86428374529089</v>
      </c>
      <c r="W106" s="38">
        <f t="shared" si="50"/>
        <v>918.86428374529089</v>
      </c>
      <c r="AA106" s="38">
        <f>AA46/AA$280</f>
        <v>1469.6143076506189</v>
      </c>
      <c r="AB106" s="38">
        <f t="shared" si="51"/>
        <v>1469.6143076506189</v>
      </c>
      <c r="AF106" s="38">
        <f>AF46/AF$280</f>
        <v>991.91927445052704</v>
      </c>
      <c r="AG106" s="38">
        <f t="shared" si="52"/>
        <v>991.91927445052704</v>
      </c>
      <c r="AK106" s="38">
        <f>AK46/AK$280</f>
        <v>7.4889537931550959E-3</v>
      </c>
      <c r="AL106" s="38">
        <f t="shared" si="53"/>
        <v>7.4889537931550959E-3</v>
      </c>
      <c r="AM106" s="38">
        <f t="shared" si="54"/>
        <v>893.17194289261317</v>
      </c>
      <c r="AN106" s="38">
        <f t="shared" si="54"/>
        <v>1544.3307928867494</v>
      </c>
      <c r="AO106" s="38">
        <f t="shared" si="54"/>
        <v>1142.2195586265245</v>
      </c>
      <c r="AP106" s="38">
        <f t="shared" si="54"/>
        <v>568.0007925500297</v>
      </c>
      <c r="AQ106" s="38">
        <f t="shared" si="55"/>
        <v>568.0007925500297</v>
      </c>
      <c r="AR106" s="38">
        <f t="shared" si="56"/>
        <v>375.61308747749428</v>
      </c>
      <c r="AS106" s="38">
        <f t="shared" si="56"/>
        <v>0</v>
      </c>
      <c r="AT106" s="38">
        <f t="shared" si="56"/>
        <v>0</v>
      </c>
      <c r="AU106" s="38">
        <f t="shared" si="56"/>
        <v>0</v>
      </c>
      <c r="AV106" s="38">
        <f t="shared" si="57"/>
        <v>0</v>
      </c>
      <c r="AW106" s="38">
        <f t="shared" si="58"/>
        <v>283.12961812029556</v>
      </c>
      <c r="AX106" s="38">
        <f t="shared" si="58"/>
        <v>0</v>
      </c>
      <c r="AY106" s="38">
        <f t="shared" si="58"/>
        <v>0</v>
      </c>
    </row>
    <row r="107" spans="1:51">
      <c r="A107" s="9" t="s">
        <v>85</v>
      </c>
      <c r="B107" s="9"/>
      <c r="C107" s="9"/>
      <c r="D107" s="9"/>
      <c r="E107" s="9"/>
      <c r="F107" s="9"/>
      <c r="G107" s="9"/>
      <c r="H107" s="9"/>
      <c r="I107" s="9"/>
      <c r="J107" s="9"/>
      <c r="K107" s="9"/>
      <c r="L107" s="9"/>
      <c r="M107" s="9"/>
      <c r="N107" s="9"/>
      <c r="O107" s="9"/>
      <c r="P107" s="9"/>
      <c r="Q107" s="9"/>
      <c r="R107" s="9"/>
      <c r="S107" s="9"/>
      <c r="T107" s="9"/>
      <c r="U107" s="9"/>
      <c r="V107" s="48">
        <f>V47/V$280</f>
        <v>35182.431314894791</v>
      </c>
      <c r="W107" s="48">
        <f t="shared" si="50"/>
        <v>35182.431314894791</v>
      </c>
      <c r="X107" s="9"/>
      <c r="Y107" s="9"/>
      <c r="Z107" s="9"/>
      <c r="AA107" s="48">
        <f>AA47/AA$280</f>
        <v>37632.761268178125</v>
      </c>
      <c r="AB107" s="48">
        <f t="shared" si="51"/>
        <v>37632.761268178125</v>
      </c>
      <c r="AC107" s="9"/>
      <c r="AD107" s="9"/>
      <c r="AE107" s="9"/>
      <c r="AF107" s="48">
        <f>AF47/AF$280</f>
        <v>34614.372089222976</v>
      </c>
      <c r="AG107" s="48">
        <f t="shared" si="52"/>
        <v>34614.372089222976</v>
      </c>
      <c r="AH107" s="9"/>
      <c r="AI107" s="9"/>
      <c r="AJ107" s="9"/>
      <c r="AK107" s="48">
        <f>AK47/AK$280</f>
        <v>31077.750318280538</v>
      </c>
      <c r="AL107" s="48">
        <f t="shared" si="53"/>
        <v>31077.750318280538</v>
      </c>
      <c r="AM107" s="48">
        <f t="shared" si="54"/>
        <v>30135.74039588937</v>
      </c>
      <c r="AN107" s="48">
        <f t="shared" si="54"/>
        <v>29519.762000267412</v>
      </c>
      <c r="AO107" s="48">
        <f t="shared" si="54"/>
        <v>31627.744482831557</v>
      </c>
      <c r="AP107" s="48">
        <f t="shared" si="54"/>
        <v>28887.299385773727</v>
      </c>
      <c r="AQ107" s="48">
        <f t="shared" si="55"/>
        <v>28887.299385773727</v>
      </c>
      <c r="AR107" s="48">
        <f t="shared" si="56"/>
        <v>28788.905444837648</v>
      </c>
      <c r="AS107" s="48">
        <f t="shared" si="56"/>
        <v>29797.659917326422</v>
      </c>
      <c r="AT107" s="48">
        <f t="shared" si="56"/>
        <v>26717.853078771019</v>
      </c>
      <c r="AU107" s="48">
        <f t="shared" si="56"/>
        <v>27355.999197431778</v>
      </c>
      <c r="AV107" s="48">
        <f t="shared" si="57"/>
        <v>27355.999197431778</v>
      </c>
      <c r="AW107" s="48">
        <f t="shared" si="58"/>
        <v>30028.948277052688</v>
      </c>
      <c r="AX107" s="48">
        <f t="shared" si="58"/>
        <v>29144.7877485223</v>
      </c>
      <c r="AY107" s="48">
        <f t="shared" si="58"/>
        <v>28680.403679100666</v>
      </c>
    </row>
    <row r="109" spans="1:51">
      <c r="A109" s="1" t="s">
        <v>1660</v>
      </c>
    </row>
    <row r="110" spans="1:51">
      <c r="A110" s="5" t="s">
        <v>2045</v>
      </c>
      <c r="V110" s="38">
        <f>V50/V$280</f>
        <v>4259.8364421574934</v>
      </c>
      <c r="W110" s="38">
        <f t="shared" ref="W110:W113" si="59">V110</f>
        <v>4259.8364421574934</v>
      </c>
      <c r="AA110" s="38">
        <f>AA50/AA$280</f>
        <v>3996.0798482521905</v>
      </c>
      <c r="AB110" s="38">
        <f t="shared" ref="AB110:AB113" si="60">AA110</f>
        <v>3996.0798482521905</v>
      </c>
      <c r="AF110" s="38">
        <f>AF50/AF$280</f>
        <v>3417.6239888879809</v>
      </c>
      <c r="AG110" s="38">
        <f t="shared" ref="AG110:AG113" si="61">AF110</f>
        <v>3417.6239888879809</v>
      </c>
      <c r="AK110" s="38">
        <f>AK50/AK$280</f>
        <v>3635.6623979630044</v>
      </c>
      <c r="AL110" s="38">
        <f t="shared" ref="AL110:AL113" si="62">AK110</f>
        <v>3635.6623979630044</v>
      </c>
      <c r="AM110" s="38">
        <f t="shared" ref="AM110:AP112" si="63">AM50/AM$280</f>
        <v>3565.2665701082833</v>
      </c>
      <c r="AN110" s="38">
        <f t="shared" si="63"/>
        <v>3561.3785265409811</v>
      </c>
      <c r="AO110" s="38">
        <f t="shared" si="63"/>
        <v>4405.5841500387787</v>
      </c>
      <c r="AP110" s="38">
        <f t="shared" si="63"/>
        <v>3905.5412456244635</v>
      </c>
      <c r="AQ110" s="38">
        <f t="shared" ref="AQ110:AQ113" si="64">AP110</f>
        <v>3905.5412456244635</v>
      </c>
      <c r="AR110" s="38">
        <f t="shared" ref="AR110:AU112" si="65">AR50/AR$280</f>
        <v>3935.1772521264047</v>
      </c>
      <c r="AS110" s="38">
        <f t="shared" si="65"/>
        <v>4196.013451972256</v>
      </c>
      <c r="AT110" s="38">
        <f t="shared" si="65"/>
        <v>3731.3819699076998</v>
      </c>
      <c r="AU110" s="38">
        <f t="shared" si="65"/>
        <v>3720.6928838951308</v>
      </c>
      <c r="AV110" s="38">
        <f t="shared" ref="AV110:AV113" si="66">AU110</f>
        <v>3720.6928838951308</v>
      </c>
      <c r="AW110" s="38">
        <f t="shared" ref="AW110:AY112" si="67">AW50/AW$280</f>
        <v>4748.3737310959186</v>
      </c>
      <c r="AX110" s="38">
        <f t="shared" si="67"/>
        <v>4321.6012896292314</v>
      </c>
      <c r="AY110" s="38">
        <f t="shared" si="67"/>
        <v>4043.344404701073</v>
      </c>
    </row>
    <row r="111" spans="1:51">
      <c r="A111" s="5" t="s">
        <v>2046</v>
      </c>
      <c r="V111" s="38">
        <f>V51/V$280</f>
        <v>3255.7842506661768</v>
      </c>
      <c r="W111" s="38">
        <f t="shared" si="59"/>
        <v>3255.7842506661768</v>
      </c>
      <c r="AA111" s="38">
        <f>AA51/AA$280</f>
        <v>4913.6663354710508</v>
      </c>
      <c r="AB111" s="38">
        <f t="shared" si="60"/>
        <v>4913.6663354710508</v>
      </c>
      <c r="AF111" s="38">
        <f>AF51/AF$280</f>
        <v>4934.8557888716396</v>
      </c>
      <c r="AG111" s="38">
        <f t="shared" si="61"/>
        <v>4934.8557888716396</v>
      </c>
      <c r="AK111" s="38">
        <f>AK51/AK$280</f>
        <v>4336.0068898374893</v>
      </c>
      <c r="AL111" s="38">
        <f t="shared" si="62"/>
        <v>4336.0068898374893</v>
      </c>
      <c r="AM111" s="38">
        <f t="shared" si="63"/>
        <v>3442.0787640526933</v>
      </c>
      <c r="AN111" s="38">
        <f t="shared" si="63"/>
        <v>3336.9100147078484</v>
      </c>
      <c r="AO111" s="38">
        <f t="shared" si="63"/>
        <v>3413.9674257914403</v>
      </c>
      <c r="AP111" s="38">
        <f t="shared" si="63"/>
        <v>3099.3329370583187</v>
      </c>
      <c r="AQ111" s="38">
        <f t="shared" si="64"/>
        <v>3099.3329370583187</v>
      </c>
      <c r="AR111" s="38">
        <f t="shared" si="65"/>
        <v>2913.869746073136</v>
      </c>
      <c r="AS111" s="38">
        <f t="shared" si="65"/>
        <v>3287.556925663841</v>
      </c>
      <c r="AT111" s="38">
        <f t="shared" si="65"/>
        <v>2808.8443545328105</v>
      </c>
      <c r="AU111" s="38">
        <f t="shared" si="65"/>
        <v>2972.0037453183518</v>
      </c>
      <c r="AV111" s="38">
        <f t="shared" si="66"/>
        <v>2972.0037453183518</v>
      </c>
      <c r="AW111" s="38">
        <f t="shared" si="67"/>
        <v>2585.7330294869139</v>
      </c>
      <c r="AX111" s="38">
        <f t="shared" si="67"/>
        <v>3185.0416442772703</v>
      </c>
      <c r="AY111" s="38">
        <f t="shared" si="67"/>
        <v>3029.2986714358713</v>
      </c>
    </row>
    <row r="112" spans="1:51">
      <c r="A112" s="5" t="s">
        <v>30</v>
      </c>
      <c r="V112" s="38">
        <f>V52/V$280</f>
        <v>194.03657079849307</v>
      </c>
      <c r="W112" s="38">
        <f t="shared" si="59"/>
        <v>194.03657079849307</v>
      </c>
      <c r="AA112" s="38">
        <f>AA52/AA$280</f>
        <v>402.69171709872643</v>
      </c>
      <c r="AB112" s="38">
        <f t="shared" si="60"/>
        <v>402.69171709872643</v>
      </c>
      <c r="AF112" s="38">
        <f>AF52/AF$280</f>
        <v>0</v>
      </c>
      <c r="AG112" s="38">
        <f t="shared" si="61"/>
        <v>0</v>
      </c>
      <c r="AK112" s="38">
        <f>AK52/AK$280</f>
        <v>0</v>
      </c>
      <c r="AL112" s="38">
        <f t="shared" si="62"/>
        <v>0</v>
      </c>
      <c r="AM112" s="38">
        <f t="shared" si="63"/>
        <v>0</v>
      </c>
      <c r="AN112" s="38">
        <f t="shared" si="63"/>
        <v>0</v>
      </c>
      <c r="AO112" s="38">
        <f t="shared" si="63"/>
        <v>586.85750546428812</v>
      </c>
      <c r="AP112" s="38">
        <f t="shared" si="63"/>
        <v>408.67181824185985</v>
      </c>
      <c r="AQ112" s="38">
        <f t="shared" si="64"/>
        <v>408.67181824185985</v>
      </c>
      <c r="AR112" s="38">
        <f t="shared" si="65"/>
        <v>367.25026386043339</v>
      </c>
      <c r="AS112" s="38">
        <f t="shared" si="65"/>
        <v>401.44328452322571</v>
      </c>
      <c r="AT112" s="38">
        <f t="shared" si="65"/>
        <v>361.73979011252999</v>
      </c>
      <c r="AU112" s="38">
        <f t="shared" si="65"/>
        <v>368.42562867843765</v>
      </c>
      <c r="AV112" s="38">
        <f t="shared" si="66"/>
        <v>368.42562867843765</v>
      </c>
      <c r="AW112" s="38">
        <f t="shared" si="67"/>
        <v>335.08045024514882</v>
      </c>
      <c r="AX112" s="38">
        <f t="shared" si="67"/>
        <v>310.8140784524449</v>
      </c>
      <c r="AY112" s="38">
        <f t="shared" si="67"/>
        <v>292.81425651507408</v>
      </c>
    </row>
    <row r="113" spans="1:51">
      <c r="A113" s="9" t="s">
        <v>1660</v>
      </c>
      <c r="B113" s="9"/>
      <c r="C113" s="9"/>
      <c r="D113" s="9"/>
      <c r="E113" s="9"/>
      <c r="F113" s="9"/>
      <c r="G113" s="9"/>
      <c r="H113" s="9"/>
      <c r="I113" s="9"/>
      <c r="J113" s="9"/>
      <c r="K113" s="9"/>
      <c r="L113" s="9"/>
      <c r="M113" s="9"/>
      <c r="N113" s="9"/>
      <c r="O113" s="9"/>
      <c r="P113" s="9"/>
      <c r="Q113" s="9"/>
      <c r="R113" s="9"/>
      <c r="S113" s="9"/>
      <c r="T113" s="9"/>
      <c r="U113" s="9"/>
      <c r="V113" s="48">
        <f>V54/V$280</f>
        <v>7709.6572636221636</v>
      </c>
      <c r="W113" s="48">
        <f t="shared" si="59"/>
        <v>7709.6572636221636</v>
      </c>
      <c r="X113" s="9"/>
      <c r="Y113" s="9"/>
      <c r="Z113" s="9"/>
      <c r="AA113" s="48">
        <f>AA54/AA$280</f>
        <v>9312.4379008219676</v>
      </c>
      <c r="AB113" s="48">
        <f t="shared" si="60"/>
        <v>9312.4379008219676</v>
      </c>
      <c r="AC113" s="9"/>
      <c r="AD113" s="9"/>
      <c r="AE113" s="9"/>
      <c r="AF113" s="48">
        <f>AF54/AF$280</f>
        <v>8352.4797777596214</v>
      </c>
      <c r="AG113" s="48">
        <f t="shared" si="61"/>
        <v>8352.4797777596214</v>
      </c>
      <c r="AH113" s="9"/>
      <c r="AI113" s="9"/>
      <c r="AJ113" s="9"/>
      <c r="AK113" s="48">
        <f>AK54/AK$280</f>
        <v>7971.6692878004942</v>
      </c>
      <c r="AL113" s="48">
        <f t="shared" si="62"/>
        <v>7971.6692878004942</v>
      </c>
      <c r="AM113" s="48">
        <f>AM54/AM$280</f>
        <v>7007.3453341609766</v>
      </c>
      <c r="AN113" s="48">
        <f>AN54/AN$280</f>
        <v>6898.2885412488295</v>
      </c>
      <c r="AO113" s="48">
        <f>AO54/AO$280</f>
        <v>8406.4090812945069</v>
      </c>
      <c r="AP113" s="48">
        <f>AP54/AP$280</f>
        <v>7413.5460009246417</v>
      </c>
      <c r="AQ113" s="48">
        <f t="shared" si="64"/>
        <v>7413.5460009246417</v>
      </c>
      <c r="AR113" s="48">
        <f>AR54/AR$280</f>
        <v>7216.2972620599739</v>
      </c>
      <c r="AS113" s="48">
        <f>AS54/AS$280</f>
        <v>8025.1383731521064</v>
      </c>
      <c r="AT113" s="48">
        <f>AT54/AT$280</f>
        <v>7167.4864078897454</v>
      </c>
      <c r="AU113" s="48">
        <f>AU54/AU$280</f>
        <v>7275.1404494382014</v>
      </c>
      <c r="AV113" s="48">
        <f t="shared" si="66"/>
        <v>7275.1404494382014</v>
      </c>
      <c r="AW113" s="48">
        <f>AW54/AW$280</f>
        <v>7890.166424970651</v>
      </c>
      <c r="AX113" s="48">
        <f>AX54/AX$280</f>
        <v>8032.3952176249331</v>
      </c>
      <c r="AY113" s="48">
        <f>AY54/AY$280</f>
        <v>7365.4573326520185</v>
      </c>
    </row>
    <row r="115" spans="1:51">
      <c r="A115" s="1" t="s">
        <v>2050</v>
      </c>
    </row>
    <row r="116" spans="1:51">
      <c r="A116" s="5" t="s">
        <v>2038</v>
      </c>
      <c r="V116" s="38"/>
      <c r="W116" s="38"/>
      <c r="AA116" s="38"/>
      <c r="AB116" s="38"/>
      <c r="AF116" s="38">
        <f>AF57/AF$280</f>
        <v>2442.3645722689762</v>
      </c>
      <c r="AG116" s="38">
        <f t="shared" ref="AG116:AG119" si="68">AF116</f>
        <v>2442.3645722689762</v>
      </c>
      <c r="AK116" s="38">
        <f>AK57/AK$280</f>
        <v>2966.1873736239049</v>
      </c>
      <c r="AL116" s="38">
        <f t="shared" ref="AL116:AL119" si="69">AK116</f>
        <v>2966.1873736239049</v>
      </c>
      <c r="AM116" s="38">
        <f t="shared" ref="AM116:AP119" si="70">AM57/AM$280</f>
        <v>2359.7420511759428</v>
      </c>
      <c r="AN116" s="38">
        <f t="shared" si="70"/>
        <v>2446.7241609840885</v>
      </c>
      <c r="AO116" s="38">
        <f t="shared" si="70"/>
        <v>3323.8172459987304</v>
      </c>
      <c r="AP116" s="38">
        <f t="shared" si="70"/>
        <v>3326.8212139224624</v>
      </c>
      <c r="AQ116" s="38">
        <f t="shared" ref="AQ116:AQ119" si="71">AP116</f>
        <v>3326.8212139224624</v>
      </c>
      <c r="AR116" s="38">
        <f t="shared" ref="AR116:AU119" si="72">AR57/AR$280</f>
        <v>2573.1359036443782</v>
      </c>
      <c r="AS116" s="38">
        <f t="shared" si="72"/>
        <v>3105.9833251593923</v>
      </c>
      <c r="AT116" s="38">
        <f t="shared" si="72"/>
        <v>2751.4856492603362</v>
      </c>
      <c r="AU116" s="38">
        <f t="shared" si="72"/>
        <v>2362.3327982878545</v>
      </c>
      <c r="AV116" s="38">
        <f t="shared" ref="AV116:AV119" si="73">AU116</f>
        <v>2362.3327982878545</v>
      </c>
      <c r="AW116" s="38">
        <f t="shared" ref="AW116:AY119" si="74">AW57/AW$280</f>
        <v>3916.3317450452314</v>
      </c>
      <c r="AX116" s="38">
        <f t="shared" si="74"/>
        <v>3354.2383127350886</v>
      </c>
      <c r="AY116" s="38">
        <f t="shared" si="74"/>
        <v>3470.2989269289728</v>
      </c>
    </row>
    <row r="117" spans="1:51">
      <c r="A117" s="5" t="s">
        <v>2040</v>
      </c>
      <c r="V117" s="38"/>
      <c r="W117" s="38"/>
      <c r="AA117" s="38"/>
      <c r="AB117" s="38"/>
      <c r="AF117" s="38">
        <f>AF58/AF$280</f>
        <v>229.15270855462046</v>
      </c>
      <c r="AG117" s="38">
        <f t="shared" si="68"/>
        <v>229.15270855462046</v>
      </c>
      <c r="AK117" s="38">
        <f>AK58/AK$280</f>
        <v>834.16460720437351</v>
      </c>
      <c r="AL117" s="38">
        <f t="shared" si="69"/>
        <v>834.16460720437351</v>
      </c>
      <c r="AM117" s="38">
        <f t="shared" si="70"/>
        <v>775.65349334436848</v>
      </c>
      <c r="AN117" s="38">
        <f t="shared" si="70"/>
        <v>735.99411686054282</v>
      </c>
      <c r="AO117" s="38">
        <f t="shared" si="70"/>
        <v>0</v>
      </c>
      <c r="AP117" s="38">
        <f t="shared" si="70"/>
        <v>0</v>
      </c>
      <c r="AQ117" s="38">
        <f t="shared" si="71"/>
        <v>0</v>
      </c>
      <c r="AR117" s="38">
        <f t="shared" si="72"/>
        <v>0</v>
      </c>
      <c r="AS117" s="38">
        <f t="shared" si="72"/>
        <v>0</v>
      </c>
      <c r="AT117" s="38">
        <f t="shared" si="72"/>
        <v>0</v>
      </c>
      <c r="AU117" s="38">
        <f t="shared" si="72"/>
        <v>0</v>
      </c>
      <c r="AV117" s="38">
        <f t="shared" si="73"/>
        <v>0</v>
      </c>
      <c r="AW117" s="38">
        <f t="shared" si="74"/>
        <v>0</v>
      </c>
      <c r="AX117" s="38">
        <f t="shared" si="74"/>
        <v>0</v>
      </c>
      <c r="AY117" s="38">
        <f t="shared" si="74"/>
        <v>0</v>
      </c>
    </row>
    <row r="118" spans="1:51">
      <c r="A118" s="5" t="s">
        <v>192</v>
      </c>
      <c r="V118" s="38">
        <f>V59/V$280</f>
        <v>3796.0764495084077</v>
      </c>
      <c r="W118" s="38">
        <f t="shared" ref="W118:W119" si="75">V118</f>
        <v>3796.0764495084077</v>
      </c>
      <c r="AA118" s="38">
        <f>AA59/AA$280</f>
        <v>4468.8555686026557</v>
      </c>
      <c r="AB118" s="38">
        <f t="shared" ref="AB118:AB119" si="76">AA118</f>
        <v>4468.8555686026557</v>
      </c>
      <c r="AF118" s="38">
        <f>AF59/AF$280</f>
        <v>3387.0087425443253</v>
      </c>
      <c r="AG118" s="38">
        <f t="shared" si="68"/>
        <v>3387.0087425443253</v>
      </c>
      <c r="AK118" s="38">
        <f>AK59/AK$280</f>
        <v>3092.6458473751218</v>
      </c>
      <c r="AL118" s="38">
        <f t="shared" si="69"/>
        <v>3092.6458473751218</v>
      </c>
      <c r="AM118" s="38">
        <f t="shared" si="70"/>
        <v>2763.3629905510725</v>
      </c>
      <c r="AN118" s="38">
        <f t="shared" si="70"/>
        <v>2690.8477069126889</v>
      </c>
      <c r="AO118" s="38">
        <f t="shared" si="70"/>
        <v>2273.3554255094123</v>
      </c>
      <c r="AP118" s="38">
        <f t="shared" si="70"/>
        <v>2120.5270457697643</v>
      </c>
      <c r="AQ118" s="38">
        <f t="shared" si="71"/>
        <v>2120.5270457697643</v>
      </c>
      <c r="AR118" s="38">
        <f t="shared" si="72"/>
        <v>2658.4714720307943</v>
      </c>
      <c r="AS118" s="38">
        <f t="shared" si="72"/>
        <v>2952.7359349821345</v>
      </c>
      <c r="AT118" s="38">
        <f t="shared" si="72"/>
        <v>2658.9644708559867</v>
      </c>
      <c r="AU118" s="38">
        <f t="shared" si="72"/>
        <v>2881.8084537185659</v>
      </c>
      <c r="AV118" s="38">
        <f t="shared" si="73"/>
        <v>2881.8084537185659</v>
      </c>
      <c r="AW118" s="38">
        <f t="shared" si="74"/>
        <v>3122.8782542642084</v>
      </c>
      <c r="AX118" s="38">
        <f t="shared" si="74"/>
        <v>2914.5620634067704</v>
      </c>
      <c r="AY118" s="38">
        <f t="shared" si="74"/>
        <v>2752.6124169647419</v>
      </c>
    </row>
    <row r="119" spans="1:51">
      <c r="A119" s="9" t="s">
        <v>2049</v>
      </c>
      <c r="B119" s="9"/>
      <c r="C119" s="9"/>
      <c r="D119" s="9"/>
      <c r="E119" s="9"/>
      <c r="F119" s="9"/>
      <c r="G119" s="9"/>
      <c r="H119" s="9"/>
      <c r="I119" s="9"/>
      <c r="J119" s="9"/>
      <c r="K119" s="9"/>
      <c r="L119" s="9"/>
      <c r="M119" s="9"/>
      <c r="N119" s="9"/>
      <c r="O119" s="9"/>
      <c r="P119" s="9"/>
      <c r="Q119" s="9"/>
      <c r="R119" s="9"/>
      <c r="S119" s="9"/>
      <c r="T119" s="9"/>
      <c r="U119" s="9"/>
      <c r="V119" s="48">
        <f>V60/V$280</f>
        <v>46688.16502802536</v>
      </c>
      <c r="W119" s="48">
        <f t="shared" si="75"/>
        <v>46688.16502802536</v>
      </c>
      <c r="X119" s="9"/>
      <c r="Y119" s="9"/>
      <c r="Z119" s="9"/>
      <c r="AA119" s="48">
        <f>AA60/AA$280</f>
        <v>51414.054737602746</v>
      </c>
      <c r="AB119" s="48">
        <f t="shared" si="76"/>
        <v>51414.054737602746</v>
      </c>
      <c r="AC119" s="9"/>
      <c r="AD119" s="9"/>
      <c r="AE119" s="9"/>
      <c r="AF119" s="48">
        <f>AF60/AF$280</f>
        <v>49025.377890350515</v>
      </c>
      <c r="AG119" s="48">
        <f t="shared" si="68"/>
        <v>49025.377890350515</v>
      </c>
      <c r="AH119" s="9"/>
      <c r="AI119" s="9"/>
      <c r="AJ119" s="9"/>
      <c r="AK119" s="48">
        <f>AK60/AK$280</f>
        <v>45942.417434284427</v>
      </c>
      <c r="AL119" s="48">
        <f t="shared" si="69"/>
        <v>45942.417434284427</v>
      </c>
      <c r="AM119" s="48">
        <f t="shared" si="70"/>
        <v>43041.844265121726</v>
      </c>
      <c r="AN119" s="48">
        <f t="shared" si="70"/>
        <v>42291.616526273559</v>
      </c>
      <c r="AO119" s="48">
        <f t="shared" si="70"/>
        <v>45631.326235634209</v>
      </c>
      <c r="AP119" s="48">
        <f t="shared" si="70"/>
        <v>41748.193646390595</v>
      </c>
      <c r="AQ119" s="48">
        <f t="shared" si="71"/>
        <v>41748.193646390595</v>
      </c>
      <c r="AR119" s="48">
        <f t="shared" si="72"/>
        <v>41236.810082572796</v>
      </c>
      <c r="AS119" s="48">
        <f t="shared" si="72"/>
        <v>43881.517550620054</v>
      </c>
      <c r="AT119" s="48">
        <f t="shared" si="72"/>
        <v>39295.789606777085</v>
      </c>
      <c r="AU119" s="48">
        <f t="shared" si="72"/>
        <v>39875.280898876401</v>
      </c>
      <c r="AV119" s="48">
        <f t="shared" si="73"/>
        <v>39875.280898876401</v>
      </c>
      <c r="AW119" s="48">
        <f t="shared" si="74"/>
        <v>44958.324701332778</v>
      </c>
      <c r="AX119" s="48">
        <f t="shared" si="74"/>
        <v>43445.983342289095</v>
      </c>
      <c r="AY119" s="48">
        <f t="shared" si="74"/>
        <v>42268.772355646397</v>
      </c>
    </row>
    <row r="121" spans="1:51">
      <c r="A121" s="5" t="s">
        <v>2051</v>
      </c>
      <c r="V121" s="38">
        <f>V62/V$280</f>
        <v>2387.2185978131029</v>
      </c>
      <c r="W121" s="38">
        <f t="shared" ref="W121:W123" si="77">V121</f>
        <v>2387.2185978131029</v>
      </c>
      <c r="AA121" s="38">
        <f>AA62/AA$280</f>
        <v>3025.1738776984917</v>
      </c>
      <c r="AB121" s="38">
        <f t="shared" ref="AB121:AB123" si="78">AA121</f>
        <v>3025.1738776984917</v>
      </c>
      <c r="AF121" s="38">
        <f>AF62/AF$280</f>
        <v>2344.8647765340306</v>
      </c>
      <c r="AG121" s="38">
        <f t="shared" ref="AG121:AG123" si="79">AF121</f>
        <v>2344.8647765340306</v>
      </c>
      <c r="AK121" s="38">
        <f>AK62/AK$280</f>
        <v>973.66883846326664</v>
      </c>
      <c r="AL121" s="38">
        <f t="shared" ref="AL121:AL123" si="80">AK121</f>
        <v>973.66883846326664</v>
      </c>
      <c r="AM121" s="38">
        <f t="shared" ref="AM121:AP123" si="81">AM62/AM$280</f>
        <v>954.93482309124761</v>
      </c>
      <c r="AN121" s="38">
        <f t="shared" si="81"/>
        <v>1083.6542318491777</v>
      </c>
      <c r="AO121" s="38">
        <f t="shared" si="81"/>
        <v>1110.0472396531056</v>
      </c>
      <c r="AP121" s="38">
        <f t="shared" si="81"/>
        <v>881.32884221649829</v>
      </c>
      <c r="AQ121" s="38">
        <f t="shared" ref="AQ121:AQ123" si="82">AP121</f>
        <v>881.32884221649829</v>
      </c>
      <c r="AR121" s="38">
        <f t="shared" ref="AR121:AU123" si="83">AR62/AR$280</f>
        <v>111.4794809710064</v>
      </c>
      <c r="AS121" s="38">
        <f t="shared" si="83"/>
        <v>1773.9858474041898</v>
      </c>
      <c r="AT121" s="38">
        <f t="shared" si="83"/>
        <v>1579.4158553546592</v>
      </c>
      <c r="AU121" s="38">
        <f t="shared" si="83"/>
        <v>1563.8309256286784</v>
      </c>
      <c r="AV121" s="38">
        <f t="shared" ref="AV121:AV125" si="84">AU121</f>
        <v>1563.8309256286784</v>
      </c>
      <c r="AW121" s="38">
        <f t="shared" ref="AW121:AY123" si="85">AW62/AW$280</f>
        <v>1815.9657482218079</v>
      </c>
      <c r="AX121" s="38">
        <f t="shared" si="85"/>
        <v>2029.527135948415</v>
      </c>
      <c r="AY121" s="38">
        <f t="shared" si="85"/>
        <v>2204.8735309146655</v>
      </c>
    </row>
    <row r="122" spans="1:51">
      <c r="A122" s="5" t="s">
        <v>30</v>
      </c>
      <c r="V122" s="38">
        <f>V63/V$280</f>
        <v>939.01497748782504</v>
      </c>
      <c r="W122" s="38">
        <f t="shared" si="77"/>
        <v>939.01497748782504</v>
      </c>
      <c r="AA122" s="38">
        <f>AA63/AA$280</f>
        <v>828.91337729202428</v>
      </c>
      <c r="AB122" s="38">
        <f t="shared" si="78"/>
        <v>828.91337729202428</v>
      </c>
      <c r="AF122" s="38">
        <f>AF63/AF$280</f>
        <v>727.49407631342433</v>
      </c>
      <c r="AG122" s="38">
        <f t="shared" si="79"/>
        <v>727.49407631342433</v>
      </c>
      <c r="AK122" s="38">
        <f>AK63/AK$280</f>
        <v>579.45031079158241</v>
      </c>
      <c r="AL122" s="38">
        <f t="shared" si="80"/>
        <v>579.45031079158241</v>
      </c>
      <c r="AM122" s="38">
        <f t="shared" si="81"/>
        <v>461.89392371887715</v>
      </c>
      <c r="AN122" s="38">
        <f t="shared" si="81"/>
        <v>451.75825645139719</v>
      </c>
      <c r="AO122" s="38">
        <f t="shared" si="81"/>
        <v>465.31058309243457</v>
      </c>
      <c r="AP122" s="38">
        <f t="shared" si="81"/>
        <v>459.05158179776765</v>
      </c>
      <c r="AQ122" s="38">
        <f t="shared" si="82"/>
        <v>459.05158179776765</v>
      </c>
      <c r="AR122" s="38">
        <f t="shared" si="83"/>
        <v>26.367417892841623</v>
      </c>
      <c r="AS122" s="38">
        <f t="shared" si="83"/>
        <v>192.6504589084285</v>
      </c>
      <c r="AT122" s="38">
        <f t="shared" si="83"/>
        <v>244.24073839929193</v>
      </c>
      <c r="AU122" s="38">
        <f t="shared" si="83"/>
        <v>242.69662921348313</v>
      </c>
      <c r="AV122" s="38">
        <f t="shared" si="84"/>
        <v>242.69662921348313</v>
      </c>
      <c r="AW122" s="38">
        <f t="shared" si="85"/>
        <v>246.62661418410332</v>
      </c>
      <c r="AX122" s="38">
        <f t="shared" si="85"/>
        <v>265.84497581945192</v>
      </c>
      <c r="AY122" s="38">
        <f t="shared" si="85"/>
        <v>255.48032703117016</v>
      </c>
    </row>
    <row r="123" spans="1:51">
      <c r="A123" s="9" t="s">
        <v>947</v>
      </c>
      <c r="B123" s="9"/>
      <c r="C123" s="9"/>
      <c r="D123" s="9"/>
      <c r="E123" s="9"/>
      <c r="F123" s="9"/>
      <c r="G123" s="9"/>
      <c r="H123" s="9"/>
      <c r="I123" s="9"/>
      <c r="J123" s="9"/>
      <c r="K123" s="9"/>
      <c r="L123" s="9"/>
      <c r="M123" s="9"/>
      <c r="N123" s="9"/>
      <c r="O123" s="9"/>
      <c r="P123" s="9"/>
      <c r="Q123" s="9"/>
      <c r="R123" s="9"/>
      <c r="S123" s="9"/>
      <c r="T123" s="9"/>
      <c r="U123" s="9"/>
      <c r="V123" s="48">
        <f>V64/V$280</f>
        <v>3326.2335753009279</v>
      </c>
      <c r="W123" s="48">
        <f t="shared" si="77"/>
        <v>3326.2335753009279</v>
      </c>
      <c r="X123" s="9"/>
      <c r="Y123" s="9"/>
      <c r="Z123" s="9"/>
      <c r="AA123" s="48">
        <f>AA64/AA$280</f>
        <v>3854.0872549905162</v>
      </c>
      <c r="AB123" s="48">
        <f t="shared" si="78"/>
        <v>3854.0872549905162</v>
      </c>
      <c r="AC123" s="9"/>
      <c r="AD123" s="9"/>
      <c r="AE123" s="9"/>
      <c r="AF123" s="48">
        <f>AF64/AF$280</f>
        <v>3072.3588528474547</v>
      </c>
      <c r="AG123" s="48">
        <f t="shared" si="79"/>
        <v>3072.3588528474547</v>
      </c>
      <c r="AH123" s="9"/>
      <c r="AI123" s="9"/>
      <c r="AJ123" s="9"/>
      <c r="AK123" s="48">
        <f>AK64/AK$280</f>
        <v>1553.1191492548492</v>
      </c>
      <c r="AL123" s="48">
        <f t="shared" si="80"/>
        <v>1553.1191492548492</v>
      </c>
      <c r="AM123" s="48">
        <f t="shared" si="81"/>
        <v>1416.8287468101248</v>
      </c>
      <c r="AN123" s="48">
        <f t="shared" si="81"/>
        <v>1535.4124883005748</v>
      </c>
      <c r="AO123" s="48">
        <f t="shared" si="81"/>
        <v>1575.3578227455403</v>
      </c>
      <c r="AP123" s="48">
        <f t="shared" si="81"/>
        <v>1340.3804240142658</v>
      </c>
      <c r="AQ123" s="48">
        <f t="shared" si="82"/>
        <v>1340.3804240142658</v>
      </c>
      <c r="AR123" s="48">
        <f t="shared" si="83"/>
        <v>137.84689886384803</v>
      </c>
      <c r="AS123" s="48">
        <f t="shared" si="83"/>
        <v>1966.6363063126184</v>
      </c>
      <c r="AT123" s="48">
        <f t="shared" si="83"/>
        <v>1823.656593753951</v>
      </c>
      <c r="AU123" s="48">
        <f t="shared" si="83"/>
        <v>1806.5275548421614</v>
      </c>
      <c r="AV123" s="48">
        <f t="shared" si="84"/>
        <v>1806.5275548421614</v>
      </c>
      <c r="AW123" s="48">
        <f t="shared" si="85"/>
        <v>2062.592362405911</v>
      </c>
      <c r="AX123" s="48">
        <f t="shared" si="85"/>
        <v>2295.372111767867</v>
      </c>
      <c r="AY123" s="48">
        <f t="shared" si="85"/>
        <v>2460.3538579458354</v>
      </c>
    </row>
    <row r="125" spans="1:51">
      <c r="A125" s="5" t="s">
        <v>2689</v>
      </c>
      <c r="AR125" s="38">
        <f>AR66/AR$280</f>
        <v>257.82579002917987</v>
      </c>
      <c r="AS125" s="38">
        <f>AS66/AS$280</f>
        <v>279.00231205773139</v>
      </c>
      <c r="AT125" s="38">
        <f>AT66/AT$280</f>
        <v>281.40725755468452</v>
      </c>
      <c r="AU125" s="38">
        <f>AU66/AU$280</f>
        <v>366.98100588550022</v>
      </c>
      <c r="AV125" s="38">
        <f t="shared" si="84"/>
        <v>366.98100588550022</v>
      </c>
      <c r="AW125" s="38">
        <f>AW66/AW$280</f>
        <v>423.16138388232855</v>
      </c>
      <c r="AX125" s="38">
        <f>AX66/AX$280</f>
        <v>453.86217087587318</v>
      </c>
      <c r="AY125" s="38">
        <f>AY66/AY$280</f>
        <v>490.55314256515072</v>
      </c>
    </row>
    <row r="126" spans="1:51">
      <c r="A126" s="5" t="s">
        <v>3381</v>
      </c>
      <c r="AR126" s="38"/>
      <c r="AS126" s="38"/>
      <c r="AT126" s="38"/>
      <c r="AU126" s="38"/>
      <c r="AV126" s="38"/>
      <c r="AW126" s="38"/>
      <c r="AX126" s="38"/>
      <c r="AY126" s="38">
        <f>AY67/AY$280</f>
        <v>72.387583035258046</v>
      </c>
    </row>
    <row r="127" spans="1:51">
      <c r="A127" s="9" t="s">
        <v>2052</v>
      </c>
      <c r="B127" s="9"/>
      <c r="C127" s="9"/>
      <c r="D127" s="9"/>
      <c r="E127" s="9"/>
      <c r="F127" s="9"/>
      <c r="G127" s="9"/>
      <c r="H127" s="9"/>
      <c r="I127" s="9"/>
      <c r="J127" s="9"/>
      <c r="K127" s="9"/>
      <c r="L127" s="9"/>
      <c r="M127" s="9"/>
      <c r="N127" s="9"/>
      <c r="O127" s="9"/>
      <c r="P127" s="9"/>
      <c r="Q127" s="9"/>
      <c r="R127" s="9"/>
      <c r="S127" s="9"/>
      <c r="T127" s="9"/>
      <c r="U127" s="9"/>
      <c r="V127" s="48">
        <f>V68/V$280</f>
        <v>131142.22181383808</v>
      </c>
      <c r="W127" s="48">
        <f t="shared" ref="W127" si="86">V127</f>
        <v>131142.22181383808</v>
      </c>
      <c r="X127" s="9"/>
      <c r="Y127" s="9"/>
      <c r="Z127" s="9"/>
      <c r="AA127" s="48">
        <f>AA68/AA$280</f>
        <v>176569.19880769579</v>
      </c>
      <c r="AB127" s="48">
        <f t="shared" ref="AB127" si="87">AA127</f>
        <v>176569.19880769579</v>
      </c>
      <c r="AC127" s="9"/>
      <c r="AD127" s="9"/>
      <c r="AE127" s="9"/>
      <c r="AF127" s="48">
        <f>AF68/AF$280</f>
        <v>182397.09126562628</v>
      </c>
      <c r="AG127" s="48">
        <f t="shared" ref="AG127" si="88">AF127</f>
        <v>182397.09126562628</v>
      </c>
      <c r="AH127" s="9"/>
      <c r="AI127" s="9"/>
      <c r="AJ127" s="9"/>
      <c r="AK127" s="48">
        <f>AK68/AK$280</f>
        <v>152139.52669812026</v>
      </c>
      <c r="AL127" s="48">
        <f t="shared" ref="AL127" si="89">AK127</f>
        <v>152139.52669812026</v>
      </c>
      <c r="AM127" s="48">
        <f>AM68/AM$280</f>
        <v>151103.28988206081</v>
      </c>
      <c r="AN127" s="48">
        <f>AN68/AN$280</f>
        <v>143025.31087043721</v>
      </c>
      <c r="AO127" s="48">
        <f>AO68/AO$280</f>
        <v>147604.18106183459</v>
      </c>
      <c r="AP127" s="48">
        <f>AP68/AP$280</f>
        <v>140858.60247011427</v>
      </c>
      <c r="AQ127" s="48">
        <f t="shared" ref="AQ127" si="90">AP127</f>
        <v>140858.60247011427</v>
      </c>
      <c r="AR127" s="48">
        <f>AR68/AR$280</f>
        <v>134102.73794002607</v>
      </c>
      <c r="AS127" s="48">
        <f>AS68/AS$280</f>
        <v>142416.31752259511</v>
      </c>
      <c r="AT127" s="48">
        <f>AT68/AT$280</f>
        <v>126604.58338601593</v>
      </c>
      <c r="AU127" s="48">
        <f>AU68/AU$280</f>
        <v>126493.78009630818</v>
      </c>
      <c r="AV127" s="48">
        <f t="shared" ref="AV127" si="91">AU127</f>
        <v>126493.78009630818</v>
      </c>
      <c r="AW127" s="48">
        <f>AW68/AW$280</f>
        <v>135662.32304398867</v>
      </c>
      <c r="AX127" s="48">
        <f>AX68/AX$280</f>
        <v>135144.43847393876</v>
      </c>
      <c r="AY127" s="48">
        <f>AY68/AY$280</f>
        <v>154893.92565150739</v>
      </c>
    </row>
    <row r="128" spans="1:51">
      <c r="AP128" s="26"/>
      <c r="AQ128" s="26"/>
    </row>
    <row r="129" spans="1:60" s="2" customFormat="1">
      <c r="A129" s="4" t="s">
        <v>2056</v>
      </c>
      <c r="AP129" s="258"/>
      <c r="AQ129" s="258"/>
      <c r="BH129" s="46"/>
    </row>
    <row r="130" spans="1:60">
      <c r="AP130" s="26"/>
      <c r="AQ130" s="26"/>
    </row>
    <row r="131" spans="1:60">
      <c r="A131" s="3" t="s">
        <v>2030</v>
      </c>
      <c r="AP131" s="26"/>
      <c r="AQ131" s="26"/>
    </row>
    <row r="132" spans="1:60">
      <c r="A132" s="22" t="s">
        <v>2031</v>
      </c>
      <c r="AP132" s="26"/>
      <c r="AQ132" s="26"/>
    </row>
    <row r="133" spans="1:60">
      <c r="A133" s="1" t="s">
        <v>2032</v>
      </c>
      <c r="AP133" s="25" t="s">
        <v>2315</v>
      </c>
      <c r="AQ133" s="26"/>
    </row>
    <row r="134" spans="1:60">
      <c r="A134" s="5" t="s">
        <v>2033</v>
      </c>
      <c r="V134" s="136">
        <v>1455385</v>
      </c>
      <c r="W134" s="36">
        <f>V134</f>
        <v>1455385</v>
      </c>
      <c r="AA134" s="136">
        <v>1948177</v>
      </c>
      <c r="AB134" s="36">
        <f>AA134</f>
        <v>1948177</v>
      </c>
      <c r="AF134" s="136">
        <v>2502626</v>
      </c>
      <c r="AG134" s="36">
        <f>AF134</f>
        <v>2502626</v>
      </c>
      <c r="AK134" s="136">
        <v>3454474</v>
      </c>
      <c r="AL134" s="36">
        <f>AK134</f>
        <v>3454474</v>
      </c>
      <c r="AM134" s="136">
        <v>4528441</v>
      </c>
      <c r="AN134" s="136">
        <v>2861434</v>
      </c>
      <c r="AO134" s="136">
        <v>2490912</v>
      </c>
      <c r="AP134" s="136">
        <v>2198869</v>
      </c>
      <c r="AQ134" s="36">
        <f>AP134</f>
        <v>2198869</v>
      </c>
      <c r="AR134" s="136">
        <v>1840403</v>
      </c>
      <c r="AS134" s="136">
        <v>1491011</v>
      </c>
      <c r="AT134" s="136">
        <v>1521192</v>
      </c>
      <c r="AU134" s="136">
        <v>1251667</v>
      </c>
      <c r="AV134" s="36">
        <f>AU134</f>
        <v>1251667</v>
      </c>
      <c r="AW134" s="136">
        <v>1042731</v>
      </c>
      <c r="AX134" s="136">
        <v>1893359</v>
      </c>
      <c r="AY134" s="136">
        <v>1357647</v>
      </c>
    </row>
    <row r="135" spans="1:60">
      <c r="A135" s="5" t="s">
        <v>2034</v>
      </c>
      <c r="V135" s="136">
        <v>5906</v>
      </c>
      <c r="W135" s="36">
        <f>V135</f>
        <v>5906</v>
      </c>
      <c r="AA135" s="136">
        <v>33320</v>
      </c>
      <c r="AB135" s="36">
        <f>AA135</f>
        <v>33320</v>
      </c>
      <c r="AF135" s="136">
        <v>26271</v>
      </c>
      <c r="AG135" s="36">
        <f>AF135</f>
        <v>26271</v>
      </c>
      <c r="AK135" s="136">
        <v>543380</v>
      </c>
      <c r="AL135" s="36">
        <f>AK135</f>
        <v>543380</v>
      </c>
      <c r="AM135" s="136">
        <v>16735</v>
      </c>
      <c r="AN135" s="136">
        <v>19830</v>
      </c>
      <c r="AO135" s="136">
        <v>22183</v>
      </c>
      <c r="AP135" s="136">
        <v>30584</v>
      </c>
      <c r="AQ135" s="36">
        <f>AP135</f>
        <v>30584</v>
      </c>
      <c r="AR135" s="136">
        <v>314129</v>
      </c>
      <c r="AS135" s="136">
        <v>21961</v>
      </c>
      <c r="AT135" s="136">
        <v>143497</v>
      </c>
      <c r="AU135" s="136">
        <v>97622</v>
      </c>
      <c r="AV135" s="36">
        <f>AU135</f>
        <v>97622</v>
      </c>
      <c r="AW135" s="136">
        <v>66366</v>
      </c>
      <c r="AX135" s="136">
        <v>260195</v>
      </c>
      <c r="AY135" s="136">
        <v>37992</v>
      </c>
    </row>
    <row r="136" spans="1:60">
      <c r="A136" s="5" t="s">
        <v>958</v>
      </c>
      <c r="V136" s="136">
        <v>0</v>
      </c>
      <c r="W136" s="36">
        <f>V136</f>
        <v>0</v>
      </c>
      <c r="AA136" s="136">
        <v>221281</v>
      </c>
      <c r="AB136" s="36">
        <f>AA136</f>
        <v>221281</v>
      </c>
      <c r="AF136" s="136">
        <v>40458</v>
      </c>
      <c r="AG136" s="36">
        <f>AF136</f>
        <v>40458</v>
      </c>
      <c r="AK136" s="136">
        <v>18231</v>
      </c>
      <c r="AL136" s="36">
        <f>AK136</f>
        <v>18231</v>
      </c>
      <c r="AM136" s="136">
        <v>248330</v>
      </c>
      <c r="AN136" s="136">
        <v>1027096</v>
      </c>
      <c r="AO136" s="136">
        <v>841367</v>
      </c>
      <c r="AP136" s="136">
        <v>794508</v>
      </c>
      <c r="AQ136" s="36">
        <f>AP136</f>
        <v>794508</v>
      </c>
      <c r="AR136" s="136">
        <v>702294</v>
      </c>
      <c r="AS136" s="136">
        <v>499225</v>
      </c>
      <c r="AT136" s="136">
        <v>123428</v>
      </c>
      <c r="AU136" s="136">
        <v>1328</v>
      </c>
      <c r="AV136" s="36">
        <f>AU136</f>
        <v>1328</v>
      </c>
      <c r="AW136" s="136">
        <v>4874</v>
      </c>
      <c r="AX136" s="136">
        <v>19079</v>
      </c>
      <c r="AY136" s="136">
        <v>11501</v>
      </c>
    </row>
    <row r="137" spans="1:60">
      <c r="A137" s="5" t="s">
        <v>947</v>
      </c>
      <c r="V137" s="36"/>
      <c r="W137" s="36"/>
      <c r="AA137" s="36"/>
      <c r="AB137" s="36"/>
      <c r="AF137" s="36"/>
      <c r="AG137" s="36"/>
      <c r="AK137" s="36"/>
      <c r="AL137" s="36"/>
      <c r="AM137" s="36"/>
      <c r="AN137" s="36"/>
      <c r="AO137" s="36"/>
      <c r="AP137" s="36"/>
      <c r="AQ137" s="36"/>
      <c r="AR137" s="136">
        <v>231761</v>
      </c>
      <c r="AS137" s="136">
        <v>242255</v>
      </c>
      <c r="AT137" s="136">
        <v>172535</v>
      </c>
      <c r="AU137" s="136">
        <v>245641</v>
      </c>
      <c r="AV137" s="36">
        <f>AU137</f>
        <v>245641</v>
      </c>
      <c r="AW137" s="136">
        <v>843218</v>
      </c>
      <c r="AX137" s="136">
        <v>319647</v>
      </c>
      <c r="AY137" s="136">
        <v>236990</v>
      </c>
    </row>
    <row r="138" spans="1:60">
      <c r="A138" s="9" t="s">
        <v>2032</v>
      </c>
      <c r="B138" s="9"/>
      <c r="C138" s="9"/>
      <c r="D138" s="9"/>
      <c r="E138" s="9"/>
      <c r="F138" s="9"/>
      <c r="G138" s="9"/>
      <c r="H138" s="9"/>
      <c r="I138" s="9"/>
      <c r="J138" s="9"/>
      <c r="K138" s="9"/>
      <c r="L138" s="9"/>
      <c r="M138" s="9"/>
      <c r="N138" s="9"/>
      <c r="O138" s="9"/>
      <c r="P138" s="9"/>
      <c r="Q138" s="9"/>
      <c r="R138" s="9"/>
      <c r="S138" s="9"/>
      <c r="T138" s="9"/>
      <c r="U138" s="9"/>
      <c r="V138" s="39">
        <f>SUM(V134:V136)</f>
        <v>1461291</v>
      </c>
      <c r="W138" s="39">
        <f>V138</f>
        <v>1461291</v>
      </c>
      <c r="X138" s="9"/>
      <c r="Y138" s="9"/>
      <c r="Z138" s="9"/>
      <c r="AA138" s="39">
        <f>SUM(AA134:AA136)</f>
        <v>2202778</v>
      </c>
      <c r="AB138" s="39">
        <f>AA138</f>
        <v>2202778</v>
      </c>
      <c r="AC138" s="9"/>
      <c r="AD138" s="9"/>
      <c r="AE138" s="9"/>
      <c r="AF138" s="39">
        <f>SUM(AF134:AF136)</f>
        <v>2569355</v>
      </c>
      <c r="AG138" s="39">
        <f>AF138</f>
        <v>2569355</v>
      </c>
      <c r="AH138" s="9"/>
      <c r="AI138" s="9"/>
      <c r="AJ138" s="9"/>
      <c r="AK138" s="39">
        <f>SUM(AK134:AK136)</f>
        <v>4016085</v>
      </c>
      <c r="AL138" s="39">
        <f>AK138</f>
        <v>4016085</v>
      </c>
      <c r="AM138" s="39">
        <f>SUM(AM134:AM136)</f>
        <v>4793506</v>
      </c>
      <c r="AN138" s="39">
        <f>SUM(AN134:AN136)</f>
        <v>3908360</v>
      </c>
      <c r="AO138" s="39">
        <f>SUM(AO134:AO136)</f>
        <v>3354462</v>
      </c>
      <c r="AP138" s="39">
        <f>SUM(AP134:AP136)</f>
        <v>3023961</v>
      </c>
      <c r="AQ138" s="39">
        <f>AP138</f>
        <v>3023961</v>
      </c>
      <c r="AR138" s="39">
        <f t="shared" ref="AR138:AY138" si="92">SUM(AR134:AR137)</f>
        <v>3088587</v>
      </c>
      <c r="AS138" s="39">
        <f t="shared" si="92"/>
        <v>2254452</v>
      </c>
      <c r="AT138" s="39">
        <f t="shared" si="92"/>
        <v>1960652</v>
      </c>
      <c r="AU138" s="39">
        <f t="shared" si="92"/>
        <v>1596258</v>
      </c>
      <c r="AV138" s="39">
        <f t="shared" si="92"/>
        <v>1596258</v>
      </c>
      <c r="AW138" s="39">
        <f t="shared" si="92"/>
        <v>1957189</v>
      </c>
      <c r="AX138" s="39">
        <f t="shared" si="92"/>
        <v>2492280</v>
      </c>
      <c r="AY138" s="39">
        <f t="shared" si="92"/>
        <v>1644130</v>
      </c>
    </row>
    <row r="139" spans="1:60">
      <c r="AP139" s="26"/>
      <c r="AQ139" s="26"/>
    </row>
    <row r="140" spans="1:60">
      <c r="A140" s="1" t="s">
        <v>3382</v>
      </c>
      <c r="AM140" s="59">
        <f t="shared" ref="AM140:AY140" si="93">AM141-AM138</f>
        <v>348094</v>
      </c>
      <c r="AN140" s="59">
        <f t="shared" si="93"/>
        <v>448640</v>
      </c>
      <c r="AO140" s="59">
        <f t="shared" si="93"/>
        <v>387938</v>
      </c>
      <c r="AP140" s="59">
        <f t="shared" si="93"/>
        <v>932139</v>
      </c>
      <c r="AQ140" s="59">
        <f t="shared" si="93"/>
        <v>932139</v>
      </c>
      <c r="AR140" s="59">
        <f t="shared" si="93"/>
        <v>742613</v>
      </c>
      <c r="AS140" s="59">
        <f t="shared" si="93"/>
        <v>731748</v>
      </c>
      <c r="AT140" s="59">
        <f t="shared" si="93"/>
        <v>1346348</v>
      </c>
      <c r="AU140" s="59">
        <f t="shared" si="93"/>
        <v>1027042</v>
      </c>
      <c r="AV140" s="59">
        <f t="shared" si="93"/>
        <v>1027042</v>
      </c>
      <c r="AW140" s="59">
        <f t="shared" si="93"/>
        <v>976711</v>
      </c>
      <c r="AX140" s="59">
        <f t="shared" si="93"/>
        <v>1010120</v>
      </c>
      <c r="AY140" s="59">
        <f t="shared" si="93"/>
        <v>1171870</v>
      </c>
    </row>
    <row r="141" spans="1:60">
      <c r="A141" s="9" t="s">
        <v>2850</v>
      </c>
      <c r="B141" s="9"/>
      <c r="C141" s="9"/>
      <c r="D141" s="9"/>
      <c r="E141" s="9"/>
      <c r="F141" s="9"/>
      <c r="G141" s="9"/>
      <c r="H141" s="9"/>
      <c r="I141" s="9"/>
      <c r="J141" s="9"/>
      <c r="K141" s="9"/>
      <c r="L141" s="9"/>
      <c r="M141" s="9"/>
      <c r="N141" s="9"/>
      <c r="O141" s="9"/>
      <c r="P141" s="9"/>
      <c r="Q141" s="9"/>
      <c r="R141" s="9"/>
      <c r="S141" s="9"/>
      <c r="T141" s="9"/>
      <c r="U141" s="9"/>
      <c r="V141" s="39"/>
      <c r="W141" s="39"/>
      <c r="X141" s="9"/>
      <c r="Y141" s="9"/>
      <c r="Z141" s="9"/>
      <c r="AA141" s="39"/>
      <c r="AB141" s="39"/>
      <c r="AC141" s="9"/>
      <c r="AD141" s="9"/>
      <c r="AE141" s="9"/>
      <c r="AF141" s="39"/>
      <c r="AG141" s="39"/>
      <c r="AH141" s="9"/>
      <c r="AI141" s="9"/>
      <c r="AJ141" s="9"/>
      <c r="AK141" s="39"/>
      <c r="AL141" s="39"/>
      <c r="AM141" s="67">
        <v>5141600</v>
      </c>
      <c r="AN141" s="67">
        <v>4357000</v>
      </c>
      <c r="AO141" s="67">
        <v>3742400</v>
      </c>
      <c r="AP141" s="67">
        <v>3956100</v>
      </c>
      <c r="AQ141" s="39">
        <f>AP141</f>
        <v>3956100</v>
      </c>
      <c r="AR141" s="67">
        <v>3831200</v>
      </c>
      <c r="AS141" s="67">
        <v>2986200</v>
      </c>
      <c r="AT141" s="67">
        <v>3307000</v>
      </c>
      <c r="AU141" s="67">
        <v>2623300</v>
      </c>
      <c r="AV141" s="39">
        <f>AU141</f>
        <v>2623300</v>
      </c>
      <c r="AW141" s="67">
        <v>2933900</v>
      </c>
      <c r="AX141" s="67">
        <v>3502400</v>
      </c>
      <c r="AY141" s="67">
        <v>2816000</v>
      </c>
    </row>
    <row r="142" spans="1:60">
      <c r="AP142" s="26"/>
      <c r="AQ142" s="26"/>
    </row>
    <row r="143" spans="1:60">
      <c r="A143" s="1" t="s">
        <v>2035</v>
      </c>
      <c r="AP143" s="26"/>
      <c r="AQ143" s="26"/>
    </row>
    <row r="144" spans="1:60">
      <c r="A144" s="5" t="s">
        <v>84</v>
      </c>
      <c r="V144" s="136">
        <v>186028</v>
      </c>
      <c r="W144" s="36">
        <f t="shared" ref="W144:W147" si="94">V144</f>
        <v>186028</v>
      </c>
      <c r="AA144" s="136">
        <v>67580</v>
      </c>
      <c r="AB144" s="36">
        <f t="shared" ref="AB144:AB147" si="95">AA144</f>
        <v>67580</v>
      </c>
      <c r="AF144" s="136">
        <v>47754</v>
      </c>
      <c r="AG144" s="36">
        <f t="shared" ref="AG144:AG147" si="96">AF144</f>
        <v>47754</v>
      </c>
      <c r="AK144" s="136">
        <v>72159</v>
      </c>
      <c r="AL144" s="36">
        <f t="shared" ref="AL144:AL147" si="97">AK144</f>
        <v>72159</v>
      </c>
      <c r="AM144" s="136">
        <v>45090</v>
      </c>
      <c r="AN144" s="136">
        <v>48122</v>
      </c>
      <c r="AO144" s="136">
        <v>31115</v>
      </c>
      <c r="AP144" s="136">
        <v>65748</v>
      </c>
      <c r="AQ144" s="36">
        <f t="shared" ref="AQ144:AQ147" si="98">AP144</f>
        <v>65748</v>
      </c>
      <c r="AR144" s="136">
        <v>22027</v>
      </c>
      <c r="AS144" s="136">
        <v>47664</v>
      </c>
      <c r="AT144" s="136">
        <v>21720</v>
      </c>
      <c r="AU144" s="136">
        <v>30314</v>
      </c>
      <c r="AV144" s="36">
        <f t="shared" ref="AV144:AV147" si="99">AU144</f>
        <v>30314</v>
      </c>
      <c r="AW144" s="136">
        <v>61991</v>
      </c>
      <c r="AX144" s="136">
        <v>88881</v>
      </c>
      <c r="AY144" s="136">
        <v>132620</v>
      </c>
    </row>
    <row r="145" spans="1:51">
      <c r="A145" s="5" t="s">
        <v>83</v>
      </c>
      <c r="V145" s="136">
        <v>1193</v>
      </c>
      <c r="W145" s="36">
        <f t="shared" si="94"/>
        <v>1193</v>
      </c>
      <c r="AA145" s="136">
        <v>63470</v>
      </c>
      <c r="AB145" s="36">
        <f t="shared" si="95"/>
        <v>63470</v>
      </c>
      <c r="AF145" s="136">
        <v>150462</v>
      </c>
      <c r="AG145" s="36">
        <f t="shared" si="96"/>
        <v>150462</v>
      </c>
      <c r="AK145" s="136">
        <v>36930</v>
      </c>
      <c r="AL145" s="36">
        <f t="shared" si="97"/>
        <v>36930</v>
      </c>
      <c r="AM145" s="136">
        <v>64442</v>
      </c>
      <c r="AN145" s="136">
        <v>22411</v>
      </c>
      <c r="AO145" s="136">
        <v>21784</v>
      </c>
      <c r="AP145" s="136">
        <v>102063</v>
      </c>
      <c r="AQ145" s="36">
        <f t="shared" si="98"/>
        <v>102063</v>
      </c>
      <c r="AR145" s="136">
        <v>43031</v>
      </c>
      <c r="AS145" s="136">
        <v>32832</v>
      </c>
      <c r="AT145" s="136">
        <v>46479</v>
      </c>
      <c r="AU145" s="136">
        <v>29265</v>
      </c>
      <c r="AV145" s="36">
        <f t="shared" si="99"/>
        <v>29265</v>
      </c>
      <c r="AW145" s="136">
        <v>25734</v>
      </c>
      <c r="AX145" s="136">
        <v>193179</v>
      </c>
      <c r="AY145" s="136">
        <v>100633</v>
      </c>
    </row>
    <row r="146" spans="1:51">
      <c r="A146" s="5" t="s">
        <v>944</v>
      </c>
      <c r="V146" s="36"/>
      <c r="W146" s="36"/>
      <c r="AA146" s="36"/>
      <c r="AB146" s="36"/>
      <c r="AF146" s="136">
        <v>1890</v>
      </c>
      <c r="AG146" s="36">
        <f t="shared" si="96"/>
        <v>1890</v>
      </c>
      <c r="AK146" s="136">
        <v>2818</v>
      </c>
      <c r="AL146" s="36">
        <f t="shared" si="97"/>
        <v>2818</v>
      </c>
      <c r="AM146" s="136">
        <v>3348</v>
      </c>
      <c r="AN146" s="136">
        <v>3406</v>
      </c>
      <c r="AO146" s="136">
        <v>4128</v>
      </c>
      <c r="AP146" s="136">
        <v>3084</v>
      </c>
      <c r="AQ146" s="36">
        <f t="shared" si="98"/>
        <v>3084</v>
      </c>
      <c r="AR146" s="136">
        <v>4038</v>
      </c>
      <c r="AS146" s="136">
        <v>4315</v>
      </c>
      <c r="AT146" s="136">
        <v>3460</v>
      </c>
      <c r="AU146" s="136">
        <v>4497</v>
      </c>
      <c r="AV146" s="36">
        <f t="shared" si="99"/>
        <v>4497</v>
      </c>
      <c r="AW146" s="136">
        <v>2834</v>
      </c>
      <c r="AX146" s="136">
        <v>11038</v>
      </c>
      <c r="AY146" s="136">
        <v>8377</v>
      </c>
    </row>
    <row r="147" spans="1:51">
      <c r="A147" s="5" t="s">
        <v>2036</v>
      </c>
      <c r="V147" s="136">
        <v>38517</v>
      </c>
      <c r="W147" s="36">
        <f t="shared" si="94"/>
        <v>38517</v>
      </c>
      <c r="AA147" s="136">
        <v>25895</v>
      </c>
      <c r="AB147" s="36">
        <f t="shared" si="95"/>
        <v>25895</v>
      </c>
      <c r="AF147" s="136">
        <v>24340</v>
      </c>
      <c r="AG147" s="36">
        <f t="shared" si="96"/>
        <v>24340</v>
      </c>
      <c r="AK147" s="136">
        <v>97546</v>
      </c>
      <c r="AL147" s="36">
        <f t="shared" si="97"/>
        <v>97546</v>
      </c>
      <c r="AM147" s="136">
        <v>46039</v>
      </c>
      <c r="AN147" s="136">
        <v>48243</v>
      </c>
      <c r="AO147" s="136">
        <v>53846</v>
      </c>
      <c r="AP147" s="136">
        <v>58992</v>
      </c>
      <c r="AQ147" s="36">
        <f t="shared" si="98"/>
        <v>58992</v>
      </c>
      <c r="AR147" s="136">
        <v>65022</v>
      </c>
      <c r="AS147" s="136">
        <v>65012</v>
      </c>
      <c r="AT147" s="136">
        <v>74773</v>
      </c>
      <c r="AU147" s="136">
        <v>70020</v>
      </c>
      <c r="AV147" s="36">
        <f t="shared" si="99"/>
        <v>70020</v>
      </c>
      <c r="AW147" s="136">
        <v>63496</v>
      </c>
      <c r="AX147" s="136">
        <v>76846</v>
      </c>
      <c r="AY147" s="136">
        <v>92206</v>
      </c>
    </row>
    <row r="148" spans="1:51">
      <c r="A148" s="9" t="s">
        <v>2035</v>
      </c>
      <c r="B148" s="9"/>
      <c r="C148" s="9"/>
      <c r="D148" s="9"/>
      <c r="E148" s="9"/>
      <c r="F148" s="9"/>
      <c r="G148" s="9"/>
      <c r="H148" s="9"/>
      <c r="I148" s="9"/>
      <c r="J148" s="9"/>
      <c r="K148" s="9"/>
      <c r="L148" s="9"/>
      <c r="M148" s="9"/>
      <c r="N148" s="9"/>
      <c r="O148" s="9"/>
      <c r="P148" s="9"/>
      <c r="Q148" s="9"/>
      <c r="R148" s="9"/>
      <c r="S148" s="9"/>
      <c r="T148" s="9"/>
      <c r="U148" s="9"/>
      <c r="V148" s="39">
        <f>SUM(V144:V147)</f>
        <v>225738</v>
      </c>
      <c r="W148" s="39">
        <f>V148</f>
        <v>225738</v>
      </c>
      <c r="X148" s="9"/>
      <c r="Y148" s="9"/>
      <c r="Z148" s="9"/>
      <c r="AA148" s="39">
        <f>SUM(AA144:AA147)</f>
        <v>156945</v>
      </c>
      <c r="AB148" s="39">
        <f>AA148</f>
        <v>156945</v>
      </c>
      <c r="AC148" s="9"/>
      <c r="AD148" s="9"/>
      <c r="AE148" s="9"/>
      <c r="AF148" s="39">
        <f>SUM(AF144:AF147)</f>
        <v>224446</v>
      </c>
      <c r="AG148" s="39">
        <f>AF148</f>
        <v>224446</v>
      </c>
      <c r="AH148" s="9"/>
      <c r="AI148" s="9"/>
      <c r="AJ148" s="9"/>
      <c r="AK148" s="39">
        <f>SUM(AK144:AK147)</f>
        <v>209453</v>
      </c>
      <c r="AL148" s="39">
        <f>AK148</f>
        <v>209453</v>
      </c>
      <c r="AM148" s="39">
        <f>SUM(AM144:AM147)</f>
        <v>158919</v>
      </c>
      <c r="AN148" s="39">
        <f>SUM(AN144:AN147)</f>
        <v>122182</v>
      </c>
      <c r="AO148" s="39">
        <f>SUM(AO144:AO147)</f>
        <v>110873</v>
      </c>
      <c r="AP148" s="39">
        <f>SUM(AP144:AP147)</f>
        <v>229887</v>
      </c>
      <c r="AQ148" s="39">
        <f>AP148</f>
        <v>229887</v>
      </c>
      <c r="AR148" s="39">
        <f>SUM(AR144:AR147)</f>
        <v>134118</v>
      </c>
      <c r="AS148" s="39">
        <f>SUM(AS144:AS147)</f>
        <v>149823</v>
      </c>
      <c r="AT148" s="39">
        <f>SUM(AT144:AT147)</f>
        <v>146432</v>
      </c>
      <c r="AU148" s="39">
        <f>SUM(AU144:AU147)</f>
        <v>134096</v>
      </c>
      <c r="AV148" s="39">
        <f>AU148</f>
        <v>134096</v>
      </c>
      <c r="AW148" s="39">
        <f>SUM(AW144:AW147)</f>
        <v>154055</v>
      </c>
      <c r="AX148" s="39">
        <f>SUM(AX144:AX147)</f>
        <v>369944</v>
      </c>
      <c r="AY148" s="39">
        <f>SUM(AY144:AY147)</f>
        <v>333836</v>
      </c>
    </row>
    <row r="149" spans="1:51">
      <c r="AP149" s="26"/>
      <c r="AQ149" s="26"/>
    </row>
    <row r="150" spans="1:51">
      <c r="A150" s="1" t="s">
        <v>85</v>
      </c>
      <c r="AP150" s="26"/>
      <c r="AQ150" s="26"/>
    </row>
    <row r="151" spans="1:51">
      <c r="A151" s="5" t="s">
        <v>2037</v>
      </c>
      <c r="V151" s="136">
        <v>148127</v>
      </c>
      <c r="W151" s="36">
        <f t="shared" ref="W151:W152" si="100">V151</f>
        <v>148127</v>
      </c>
      <c r="AA151" s="136">
        <v>302539</v>
      </c>
      <c r="AB151" s="36">
        <f t="shared" ref="AB151:AB155" si="101">AA151</f>
        <v>302539</v>
      </c>
      <c r="AF151" s="136">
        <v>318661</v>
      </c>
      <c r="AG151" s="36">
        <f t="shared" ref="AG151:AG155" si="102">AF151</f>
        <v>318661</v>
      </c>
      <c r="AK151" s="136">
        <v>280768</v>
      </c>
      <c r="AL151" s="36">
        <f t="shared" ref="AL151:AL155" si="103">AK151</f>
        <v>280768</v>
      </c>
      <c r="AM151" s="136">
        <v>276737</v>
      </c>
      <c r="AN151" s="136">
        <v>468718</v>
      </c>
      <c r="AO151" s="136">
        <v>503238</v>
      </c>
      <c r="AP151" s="136">
        <v>482763</v>
      </c>
      <c r="AQ151" s="36">
        <f t="shared" ref="AQ151:AQ155" si="104">AP151</f>
        <v>482763</v>
      </c>
      <c r="AR151" s="136">
        <v>513887</v>
      </c>
      <c r="AS151" s="136">
        <v>352435</v>
      </c>
      <c r="AT151" s="136">
        <v>439487</v>
      </c>
      <c r="AU151" s="136">
        <v>293429</v>
      </c>
      <c r="AV151" s="36">
        <f t="shared" ref="AV151:AV155" si="105">AU151</f>
        <v>293429</v>
      </c>
      <c r="AW151" s="136">
        <v>266225</v>
      </c>
      <c r="AX151" s="136">
        <v>377559</v>
      </c>
      <c r="AY151" s="136">
        <v>286367</v>
      </c>
    </row>
    <row r="152" spans="1:51">
      <c r="A152" s="5" t="s">
        <v>1660</v>
      </c>
      <c r="V152" s="136">
        <v>242977</v>
      </c>
      <c r="W152" s="36">
        <f t="shared" si="100"/>
        <v>242977</v>
      </c>
      <c r="AA152" s="136">
        <v>420941</v>
      </c>
      <c r="AB152" s="36">
        <f t="shared" si="101"/>
        <v>420941</v>
      </c>
      <c r="AF152" s="136">
        <v>130277</v>
      </c>
      <c r="AG152" s="36">
        <f t="shared" si="102"/>
        <v>130277</v>
      </c>
      <c r="AK152" s="136">
        <v>89821</v>
      </c>
      <c r="AL152" s="36">
        <f t="shared" si="103"/>
        <v>89821</v>
      </c>
      <c r="AM152" s="136">
        <v>33605</v>
      </c>
      <c r="AN152" s="136">
        <v>176110</v>
      </c>
      <c r="AO152" s="136">
        <v>332549</v>
      </c>
      <c r="AP152" s="136">
        <v>325391</v>
      </c>
      <c r="AQ152" s="36">
        <f t="shared" si="104"/>
        <v>325391</v>
      </c>
      <c r="AR152" s="136">
        <v>402553</v>
      </c>
      <c r="AS152" s="136">
        <v>248529</v>
      </c>
      <c r="AT152" s="136">
        <v>272718</v>
      </c>
      <c r="AU152" s="136">
        <v>268132</v>
      </c>
      <c r="AV152" s="36">
        <f t="shared" si="105"/>
        <v>268132</v>
      </c>
      <c r="AW152" s="136">
        <v>226781</v>
      </c>
      <c r="AX152" s="136">
        <v>214665</v>
      </c>
      <c r="AY152" s="136">
        <v>198634</v>
      </c>
    </row>
    <row r="153" spans="1:51">
      <c r="A153" s="5" t="s">
        <v>2038</v>
      </c>
      <c r="W153" s="36"/>
      <c r="AB153" s="36"/>
      <c r="AF153" s="136">
        <v>824671</v>
      </c>
      <c r="AG153" s="36">
        <f t="shared" si="102"/>
        <v>824671</v>
      </c>
      <c r="AK153" s="136">
        <v>857430</v>
      </c>
      <c r="AL153" s="36">
        <f t="shared" si="103"/>
        <v>857430</v>
      </c>
      <c r="AM153" s="136">
        <v>734204</v>
      </c>
      <c r="AN153" s="136">
        <v>637315</v>
      </c>
      <c r="AO153" s="136">
        <v>836839</v>
      </c>
      <c r="AP153" s="136">
        <v>739759</v>
      </c>
      <c r="AQ153" s="36">
        <f t="shared" si="104"/>
        <v>739759</v>
      </c>
      <c r="AR153" s="136">
        <v>527419</v>
      </c>
      <c r="AS153" s="136">
        <v>586380</v>
      </c>
      <c r="AT153" s="136">
        <v>685715</v>
      </c>
      <c r="AU153" s="136">
        <v>366355</v>
      </c>
      <c r="AV153" s="36">
        <f t="shared" si="105"/>
        <v>366355</v>
      </c>
      <c r="AW153" s="136">
        <v>519731</v>
      </c>
      <c r="AX153" s="136">
        <v>386581</v>
      </c>
      <c r="AY153" s="136">
        <v>506123</v>
      </c>
    </row>
    <row r="154" spans="1:51">
      <c r="A154" s="5" t="s">
        <v>2040</v>
      </c>
      <c r="V154" s="36"/>
      <c r="W154" s="36"/>
      <c r="AA154" s="36"/>
      <c r="AB154" s="36"/>
      <c r="AF154" s="136">
        <v>174346</v>
      </c>
      <c r="AG154" s="36">
        <f t="shared" si="102"/>
        <v>174346</v>
      </c>
      <c r="AK154" s="136">
        <v>298277</v>
      </c>
      <c r="AL154" s="36">
        <f t="shared" si="103"/>
        <v>298277</v>
      </c>
      <c r="AM154" s="136">
        <v>263796</v>
      </c>
      <c r="AN154" s="136">
        <v>170853</v>
      </c>
      <c r="AQ154" s="36"/>
      <c r="AV154" s="36"/>
    </row>
    <row r="155" spans="1:51">
      <c r="A155" s="5" t="s">
        <v>947</v>
      </c>
      <c r="V155" s="136">
        <v>752704</v>
      </c>
      <c r="W155" s="36">
        <f t="shared" ref="W155" si="106">V155</f>
        <v>752704</v>
      </c>
      <c r="AA155" s="136">
        <v>861412</v>
      </c>
      <c r="AB155" s="36">
        <f t="shared" si="101"/>
        <v>861412</v>
      </c>
      <c r="AF155" s="136">
        <v>525934</v>
      </c>
      <c r="AG155" s="36">
        <f t="shared" si="102"/>
        <v>525934</v>
      </c>
      <c r="AK155" s="136">
        <v>532871</v>
      </c>
      <c r="AL155" s="36">
        <f t="shared" si="103"/>
        <v>532871</v>
      </c>
      <c r="AM155" s="136">
        <v>530011</v>
      </c>
      <c r="AN155" s="136">
        <v>558346</v>
      </c>
      <c r="AO155" s="136">
        <v>522256</v>
      </c>
      <c r="AP155" s="136">
        <v>444960</v>
      </c>
      <c r="AQ155" s="36">
        <f t="shared" si="104"/>
        <v>444960</v>
      </c>
      <c r="AR155" s="136">
        <v>463051</v>
      </c>
      <c r="AS155" s="136">
        <v>473274</v>
      </c>
      <c r="AT155" s="136">
        <v>492904</v>
      </c>
      <c r="AU155" s="136">
        <v>507609</v>
      </c>
      <c r="AV155" s="36">
        <f t="shared" si="105"/>
        <v>507609</v>
      </c>
      <c r="AW155" s="136">
        <v>544523</v>
      </c>
      <c r="AX155" s="136">
        <v>551858</v>
      </c>
      <c r="AY155" s="136">
        <v>586357</v>
      </c>
    </row>
    <row r="156" spans="1:51">
      <c r="A156" s="9" t="s">
        <v>85</v>
      </c>
      <c r="B156" s="9"/>
      <c r="C156" s="9"/>
      <c r="D156" s="9"/>
      <c r="E156" s="9"/>
      <c r="F156" s="9"/>
      <c r="G156" s="9"/>
      <c r="H156" s="9"/>
      <c r="I156" s="9"/>
      <c r="J156" s="9"/>
      <c r="K156" s="9"/>
      <c r="L156" s="9"/>
      <c r="M156" s="9"/>
      <c r="N156" s="9"/>
      <c r="O156" s="9"/>
      <c r="P156" s="9"/>
      <c r="Q156" s="9"/>
      <c r="R156" s="9"/>
      <c r="S156" s="9"/>
      <c r="T156" s="9"/>
      <c r="U156" s="9"/>
      <c r="V156" s="39">
        <f>SUM(V151:V155)</f>
        <v>1143808</v>
      </c>
      <c r="W156" s="39">
        <f>V156</f>
        <v>1143808</v>
      </c>
      <c r="X156" s="9"/>
      <c r="Y156" s="9"/>
      <c r="Z156" s="9"/>
      <c r="AA156" s="39">
        <f>SUM(AA151:AA155)</f>
        <v>1584892</v>
      </c>
      <c r="AB156" s="39">
        <f>AA156</f>
        <v>1584892</v>
      </c>
      <c r="AC156" s="9"/>
      <c r="AD156" s="9"/>
      <c r="AE156" s="9"/>
      <c r="AF156" s="39">
        <f>SUM(AF151:AF155)</f>
        <v>1973889</v>
      </c>
      <c r="AG156" s="39">
        <f>AF156</f>
        <v>1973889</v>
      </c>
      <c r="AH156" s="9"/>
      <c r="AI156" s="9"/>
      <c r="AJ156" s="9"/>
      <c r="AK156" s="39">
        <f>SUM(AK151:AK155)</f>
        <v>2059167</v>
      </c>
      <c r="AL156" s="39">
        <f>AK156</f>
        <v>2059167</v>
      </c>
      <c r="AM156" s="39">
        <f>SUM(AM151:AM155)</f>
        <v>1838353</v>
      </c>
      <c r="AN156" s="39">
        <f>SUM(AN151:AN155)</f>
        <v>2011342</v>
      </c>
      <c r="AO156" s="39">
        <f>SUM(AO151:AO155)</f>
        <v>2194882</v>
      </c>
      <c r="AP156" s="39">
        <f>SUM(AP151:AP155)</f>
        <v>1992873</v>
      </c>
      <c r="AQ156" s="39">
        <f>AP156</f>
        <v>1992873</v>
      </c>
      <c r="AR156" s="39">
        <f>SUM(AR151:AR155)</f>
        <v>1906910</v>
      </c>
      <c r="AS156" s="39">
        <f>SUM(AS151:AS155)</f>
        <v>1660618</v>
      </c>
      <c r="AT156" s="39">
        <f>SUM(AT151:AT155)</f>
        <v>1890824</v>
      </c>
      <c r="AU156" s="39">
        <f>SUM(AU151:AU155)</f>
        <v>1435525</v>
      </c>
      <c r="AV156" s="39">
        <f>AU156</f>
        <v>1435525</v>
      </c>
      <c r="AW156" s="39">
        <f>SUM(AW151:AW155)</f>
        <v>1557260</v>
      </c>
      <c r="AX156" s="39">
        <f>SUM(AX151:AX155)</f>
        <v>1530663</v>
      </c>
      <c r="AY156" s="39">
        <f>SUM(AY151:AY155)</f>
        <v>1577481</v>
      </c>
    </row>
    <row r="157" spans="1:51">
      <c r="A157" s="1" t="s">
        <v>2039</v>
      </c>
      <c r="AP157" s="26"/>
      <c r="AQ157" s="26"/>
    </row>
    <row r="158" spans="1:51">
      <c r="AP158" s="262" t="s">
        <v>2425</v>
      </c>
      <c r="AQ158" s="26"/>
    </row>
    <row r="159" spans="1:51">
      <c r="A159" s="28" t="s">
        <v>946</v>
      </c>
      <c r="V159" s="36"/>
      <c r="AA159" s="36"/>
      <c r="AF159" s="36"/>
      <c r="AK159" s="36"/>
      <c r="AM159" s="36"/>
      <c r="AN159" s="36"/>
      <c r="AO159" s="36"/>
      <c r="AP159" s="136">
        <v>291127</v>
      </c>
      <c r="AQ159" s="36">
        <f>AP159</f>
        <v>291127</v>
      </c>
      <c r="AR159" s="136">
        <v>235954</v>
      </c>
      <c r="AS159" s="136">
        <v>213743</v>
      </c>
      <c r="AT159" s="136">
        <v>322067</v>
      </c>
      <c r="AU159" s="136">
        <v>311795</v>
      </c>
      <c r="AV159" s="36">
        <f>AU159</f>
        <v>311795</v>
      </c>
      <c r="AW159" s="136">
        <v>283212</v>
      </c>
      <c r="AX159" s="136">
        <v>374825</v>
      </c>
      <c r="AY159" s="136">
        <v>439501</v>
      </c>
    </row>
    <row r="160" spans="1:51">
      <c r="V160" s="36"/>
      <c r="AA160" s="36"/>
      <c r="AF160" s="36"/>
      <c r="AK160" s="36"/>
      <c r="AM160" s="36"/>
      <c r="AN160" s="36"/>
      <c r="AO160" s="36"/>
      <c r="AP160" s="36"/>
      <c r="AQ160" s="36"/>
      <c r="AR160" s="36"/>
      <c r="AS160" s="36"/>
      <c r="AT160" s="36"/>
      <c r="AU160" s="36"/>
      <c r="AV160" s="36"/>
      <c r="AW160" s="36"/>
      <c r="AX160" s="36"/>
      <c r="AY160" s="136">
        <v>126660</v>
      </c>
    </row>
    <row r="161" spans="1:66">
      <c r="A161" s="1" t="s">
        <v>192</v>
      </c>
      <c r="V161" s="136">
        <v>538178</v>
      </c>
      <c r="W161" s="36">
        <f>V161</f>
        <v>538178</v>
      </c>
      <c r="AA161" s="136">
        <v>718110</v>
      </c>
      <c r="AB161" s="36">
        <f>AA161</f>
        <v>718110</v>
      </c>
      <c r="AF161" s="136">
        <v>401311</v>
      </c>
      <c r="AG161" s="36">
        <f>AF161</f>
        <v>401311</v>
      </c>
      <c r="AK161" s="136">
        <v>640448</v>
      </c>
      <c r="AL161" s="36">
        <f>AK161</f>
        <v>640448</v>
      </c>
      <c r="AM161" s="136">
        <v>525369</v>
      </c>
      <c r="AN161" s="136">
        <v>665929</v>
      </c>
      <c r="AO161" s="136">
        <v>503486</v>
      </c>
      <c r="AP161" s="136">
        <v>649026</v>
      </c>
      <c r="AQ161" s="36">
        <f>AP161</f>
        <v>649026</v>
      </c>
      <c r="AR161" s="136">
        <v>133362</v>
      </c>
      <c r="AS161" s="136">
        <v>197664</v>
      </c>
      <c r="AT161" s="136">
        <v>340048</v>
      </c>
      <c r="AU161" s="136">
        <v>235354</v>
      </c>
      <c r="AV161" s="36">
        <f>AU161</f>
        <v>235354</v>
      </c>
      <c r="AW161" s="136">
        <v>234304</v>
      </c>
      <c r="AX161" s="136">
        <v>213119</v>
      </c>
      <c r="AY161" s="136">
        <v>285064</v>
      </c>
    </row>
    <row r="162" spans="1:66">
      <c r="AP162" s="26"/>
    </row>
    <row r="163" spans="1:66">
      <c r="A163" s="9" t="s">
        <v>89</v>
      </c>
      <c r="B163" s="9"/>
      <c r="C163" s="9"/>
      <c r="D163" s="9"/>
      <c r="E163" s="9"/>
      <c r="F163" s="9"/>
      <c r="G163" s="9"/>
      <c r="H163" s="9"/>
      <c r="I163" s="9"/>
      <c r="J163" s="9"/>
      <c r="K163" s="9"/>
      <c r="L163" s="9"/>
      <c r="M163" s="9"/>
      <c r="N163" s="9"/>
      <c r="O163" s="9"/>
      <c r="P163" s="9"/>
      <c r="Q163" s="9"/>
      <c r="R163" s="9"/>
      <c r="S163" s="9"/>
      <c r="T163" s="9"/>
      <c r="U163" s="9"/>
      <c r="V163" s="39">
        <f>V138+V148+V156+V159+V161</f>
        <v>3369015</v>
      </c>
      <c r="W163" s="39">
        <f>V163</f>
        <v>3369015</v>
      </c>
      <c r="X163" s="9"/>
      <c r="Y163" s="9"/>
      <c r="Z163" s="9"/>
      <c r="AA163" s="39">
        <f>AA138+AA148+AA156+AA159+AA161</f>
        <v>4662725</v>
      </c>
      <c r="AB163" s="39">
        <f>AA163</f>
        <v>4662725</v>
      </c>
      <c r="AC163" s="9"/>
      <c r="AD163" s="9"/>
      <c r="AE163" s="9"/>
      <c r="AF163" s="39">
        <f>AF138+AF148+AF156+AF159+AF161</f>
        <v>5169001</v>
      </c>
      <c r="AG163" s="39">
        <f>AF163</f>
        <v>5169001</v>
      </c>
      <c r="AH163" s="9"/>
      <c r="AI163" s="9"/>
      <c r="AJ163" s="9"/>
      <c r="AK163" s="39">
        <f>AK138+AK148+AK156+AK159+AK161</f>
        <v>6925153</v>
      </c>
      <c r="AL163" s="39">
        <f>AK163</f>
        <v>6925153</v>
      </c>
      <c r="AM163" s="39">
        <f>AM138+AM148+AM156+SUM(AM159:AM161)</f>
        <v>7316147</v>
      </c>
      <c r="AN163" s="39">
        <f>AN138+AN148+AN156+SUM(AN159:AN161)</f>
        <v>6707813</v>
      </c>
      <c r="AO163" s="39">
        <f>AO138+AO148+AO156+SUM(AO159:AO161)</f>
        <v>6163703</v>
      </c>
      <c r="AP163" s="39">
        <f>AP138+AP148+AP156+SUM(AP159:AP161)</f>
        <v>6186874</v>
      </c>
      <c r="AQ163" s="39">
        <f>AP163</f>
        <v>6186874</v>
      </c>
      <c r="AR163" s="39">
        <f>AR138+AR148+AR156+SUM(AR159:AR161)</f>
        <v>5498931</v>
      </c>
      <c r="AS163" s="39">
        <f>AS138+AS148+AS156+SUM(AS159:AS161)</f>
        <v>4476300</v>
      </c>
      <c r="AT163" s="39">
        <f>AT138+AT148+AT156+SUM(AT159:AT161)</f>
        <v>4660023</v>
      </c>
      <c r="AU163" s="39">
        <f>AU138+AU148+AU156+SUM(AU159:AU161)</f>
        <v>3713028</v>
      </c>
      <c r="AV163" s="39">
        <f>AU163</f>
        <v>3713028</v>
      </c>
      <c r="AW163" s="39">
        <f>AW138+AW148+AW156+SUM(AW159:AW161)</f>
        <v>4186020</v>
      </c>
      <c r="AX163" s="39">
        <f>AX138+AX148+AX156+SUM(AX159:AX161)</f>
        <v>4980831</v>
      </c>
      <c r="AY163" s="39">
        <f>AY138+AY148+AY156+SUM(AY159:AY161)</f>
        <v>4406672</v>
      </c>
    </row>
    <row r="164" spans="1:66" s="26" customFormat="1">
      <c r="A164" s="26" t="s">
        <v>2041</v>
      </c>
      <c r="AA164" s="61"/>
      <c r="AB164" s="61"/>
      <c r="AF164" s="61">
        <f>AF163-'Financial statements (OLD)'!Q55</f>
        <v>0</v>
      </c>
      <c r="AG164" s="61">
        <f>AG163-'Financial statements (OLD)'!R55</f>
        <v>0</v>
      </c>
      <c r="AK164" s="61">
        <f>AK163-'Financial statements (OLD)'!V55</f>
        <v>0</v>
      </c>
      <c r="AL164" s="61">
        <f>AL163-'Financial statements (OLD)'!W55</f>
        <v>0</v>
      </c>
      <c r="AM164" s="61">
        <f>AM163-'Financial statements (OLD)'!X55</f>
        <v>0</v>
      </c>
      <c r="AN164" s="61">
        <f>AN163-'Financial statements (OLD)'!Y55</f>
        <v>0</v>
      </c>
      <c r="AO164" s="61">
        <f>AO163-'Financial statements (OLD)'!Z55</f>
        <v>0</v>
      </c>
      <c r="AP164" s="61">
        <f>AP163-'Financial statements (OLD)'!AA55</f>
        <v>6186874</v>
      </c>
      <c r="AQ164" s="61">
        <f>AQ163-'Financial statements (OLD)'!AB55</f>
        <v>6186874</v>
      </c>
      <c r="AR164" s="61">
        <f>AR163-'Financial statements (OLD)'!AC55</f>
        <v>5498931</v>
      </c>
      <c r="AS164" s="61">
        <f>AS163-'Financial statements (OLD)'!AD55</f>
        <v>4476300</v>
      </c>
      <c r="AT164" s="61">
        <f>AT163-'Financial statements (OLD)'!AE55</f>
        <v>4660023</v>
      </c>
      <c r="AU164" s="61">
        <f>AU163-'Financial statements (OLD)'!AF55</f>
        <v>3713028</v>
      </c>
      <c r="AV164" s="61">
        <f>AV163-'Financial statements (OLD)'!AG55</f>
        <v>3713028</v>
      </c>
      <c r="AW164" s="61">
        <f>AW163-'Financial statements (OLD)'!AH55</f>
        <v>4186020</v>
      </c>
      <c r="AX164" s="61">
        <f>AX163-'Financial statements (OLD)'!AI55</f>
        <v>4980831</v>
      </c>
      <c r="AY164" s="61">
        <f>AY163-'Financial statements (OLD)'!AJ55</f>
        <v>4406672</v>
      </c>
      <c r="BH164" s="328"/>
    </row>
    <row r="165" spans="1:66">
      <c r="AP165" s="26"/>
      <c r="AQ165" s="26"/>
    </row>
    <row r="166" spans="1:66" s="12" customFormat="1">
      <c r="A166" s="13" t="s">
        <v>230</v>
      </c>
      <c r="AP166" s="540"/>
      <c r="AQ166" s="540"/>
      <c r="BH166" s="46"/>
    </row>
    <row r="167" spans="1:66">
      <c r="AP167" s="26"/>
      <c r="AQ167" s="26"/>
    </row>
    <row r="168" spans="1:66">
      <c r="A168" s="3" t="s">
        <v>2030</v>
      </c>
      <c r="AP168" s="26"/>
      <c r="AQ168" s="26"/>
    </row>
    <row r="169" spans="1:66">
      <c r="A169" s="22" t="s">
        <v>2031</v>
      </c>
      <c r="AP169" s="26"/>
      <c r="AQ169" s="26"/>
    </row>
    <row r="170" spans="1:66">
      <c r="A170" s="1" t="s">
        <v>2032</v>
      </c>
      <c r="AP170" s="25" t="s">
        <v>2315</v>
      </c>
      <c r="AQ170" s="26"/>
    </row>
    <row r="171" spans="1:66">
      <c r="A171" s="5" t="s">
        <v>2033</v>
      </c>
      <c r="V171" s="36">
        <f>V134/V$280</f>
        <v>13373.012955986402</v>
      </c>
      <c r="W171" s="36">
        <f>V171</f>
        <v>13373.012955986402</v>
      </c>
      <c r="AA171" s="36">
        <f>AA134/AA$280</f>
        <v>17597.118598139285</v>
      </c>
      <c r="AB171" s="36">
        <f>AA171</f>
        <v>17597.118598139285</v>
      </c>
      <c r="AF171" s="36">
        <f>AF134/AF$280</f>
        <v>20447.961434757741</v>
      </c>
      <c r="AG171" s="36">
        <f>AF171</f>
        <v>20447.961434757741</v>
      </c>
      <c r="AK171" s="36">
        <f>AK134/AK$280</f>
        <v>25870.396165655657</v>
      </c>
      <c r="AL171" s="36">
        <f>AK171</f>
        <v>25870.396165655657</v>
      </c>
      <c r="AM171" s="36">
        <f t="shared" ref="AM171:AP173" si="107">AM134/AM$280</f>
        <v>31232.781571142834</v>
      </c>
      <c r="AN171" s="36">
        <f t="shared" si="107"/>
        <v>19129.790078887549</v>
      </c>
      <c r="AO171" s="36">
        <f t="shared" si="107"/>
        <v>17562.659521962913</v>
      </c>
      <c r="AP171" s="36">
        <f t="shared" si="107"/>
        <v>14522.614094181363</v>
      </c>
      <c r="AQ171" s="36">
        <f>AP171</f>
        <v>14522.614094181363</v>
      </c>
      <c r="AR171" s="36">
        <f t="shared" ref="AR171:AU175" si="108">AR134/AR$280</f>
        <v>11426.106661699883</v>
      </c>
      <c r="AS171" s="36">
        <f t="shared" si="108"/>
        <v>10446.374273103062</v>
      </c>
      <c r="AT171" s="36">
        <f t="shared" si="108"/>
        <v>9616.8415728916425</v>
      </c>
      <c r="AU171" s="36">
        <f t="shared" si="108"/>
        <v>8371.234617442482</v>
      </c>
      <c r="AV171" s="36">
        <f>AU171</f>
        <v>8371.234617442482</v>
      </c>
      <c r="AW171" s="36">
        <f t="shared" ref="AW171:AY175" si="109">AW134/AW$280</f>
        <v>7200.6836544437538</v>
      </c>
      <c r="AX171" s="36">
        <f t="shared" si="109"/>
        <v>12717.349543256314</v>
      </c>
      <c r="AY171" s="36">
        <f t="shared" si="109"/>
        <v>8671.7360756259586</v>
      </c>
      <c r="BJ171" s="65">
        <f>INDEX($S171:$AV171, MATCH(BJ$2, $S$2:$AV$2, 0))</f>
        <v>13373.012955986402</v>
      </c>
      <c r="BK171" s="65">
        <f>INDEX($S171:$AV171, MATCH(BK$2, $S$2:$AV$2, 0))</f>
        <v>17597.118598139285</v>
      </c>
      <c r="BL171" s="65">
        <f>INDEX($S171:$AV171, MATCH(BL$2, $S$2:$AV$2, 0))</f>
        <v>20447.961434757741</v>
      </c>
      <c r="BM171" s="65">
        <f>INDEX($S171:$AV171, MATCH(BM$2, $S$2:$AV$2, 0))</f>
        <v>25870.396165655657</v>
      </c>
      <c r="BN171" s="65">
        <f>INDEX($S171:$AV171, MATCH(BN$2, $S$2:$AV$2, 0))</f>
        <v>14522.614094181363</v>
      </c>
    </row>
    <row r="172" spans="1:66">
      <c r="A172" s="5" t="s">
        <v>2034</v>
      </c>
      <c r="V172" s="36">
        <f>V135/V$280</f>
        <v>54.268124597996874</v>
      </c>
      <c r="W172" s="36">
        <f>V172</f>
        <v>54.268124597996874</v>
      </c>
      <c r="AA172" s="36">
        <f>AA135/AA$280</f>
        <v>300.96648902538163</v>
      </c>
      <c r="AB172" s="36">
        <f>AA172</f>
        <v>300.96648902538163</v>
      </c>
      <c r="AF172" s="36">
        <f>AF135/AF$280</f>
        <v>214.64988969687064</v>
      </c>
      <c r="AG172" s="36">
        <f>AF172</f>
        <v>214.64988969687064</v>
      </c>
      <c r="AK172" s="36">
        <f>AK135/AK$280</f>
        <v>4069.347712124616</v>
      </c>
      <c r="AL172" s="36">
        <f>AK172</f>
        <v>4069.347712124616</v>
      </c>
      <c r="AM172" s="36">
        <f t="shared" si="107"/>
        <v>115.42175322436029</v>
      </c>
      <c r="AN172" s="36">
        <f t="shared" si="107"/>
        <v>132.57119935820296</v>
      </c>
      <c r="AO172" s="36">
        <f t="shared" si="107"/>
        <v>156.40555594726078</v>
      </c>
      <c r="AP172" s="36">
        <f t="shared" si="107"/>
        <v>201.99458424146357</v>
      </c>
      <c r="AQ172" s="36">
        <f>AP172</f>
        <v>201.99458424146357</v>
      </c>
      <c r="AR172" s="36">
        <f t="shared" si="108"/>
        <v>1950.263860433352</v>
      </c>
      <c r="AS172" s="36">
        <f t="shared" si="108"/>
        <v>153.86393890562601</v>
      </c>
      <c r="AT172" s="36">
        <f t="shared" si="108"/>
        <v>907.17536983183709</v>
      </c>
      <c r="AU172" s="36">
        <f t="shared" si="108"/>
        <v>652.90262172284645</v>
      </c>
      <c r="AV172" s="36">
        <f>AU172</f>
        <v>652.90262172284645</v>
      </c>
      <c r="AW172" s="36">
        <f t="shared" si="109"/>
        <v>458.29707893101306</v>
      </c>
      <c r="AX172" s="36">
        <f t="shared" si="109"/>
        <v>1747.6826974744761</v>
      </c>
      <c r="AY172" s="36">
        <f t="shared" si="109"/>
        <v>242.66734798160451</v>
      </c>
    </row>
    <row r="173" spans="1:66">
      <c r="A173" s="5" t="s">
        <v>958</v>
      </c>
      <c r="V173" s="36">
        <f>V136/V$280</f>
        <v>0</v>
      </c>
      <c r="W173" s="36">
        <f>V173</f>
        <v>0</v>
      </c>
      <c r="AA173" s="36">
        <f>AA136/AA$280</f>
        <v>1998.7444675277754</v>
      </c>
      <c r="AB173" s="36">
        <f>AA173</f>
        <v>1998.7444675277754</v>
      </c>
      <c r="AF173" s="36">
        <f>AF136/AF$280</f>
        <v>330.56622273061527</v>
      </c>
      <c r="AG173" s="36">
        <f>AF173</f>
        <v>330.56622273061527</v>
      </c>
      <c r="AK173" s="36">
        <f>AK136/AK$280</f>
        <v>136.53111660301056</v>
      </c>
      <c r="AL173" s="36">
        <f>AK173</f>
        <v>136.53111660301056</v>
      </c>
      <c r="AM173" s="36">
        <f t="shared" si="107"/>
        <v>1712.7388095730739</v>
      </c>
      <c r="AN173" s="36">
        <f t="shared" si="107"/>
        <v>6866.5329589517305</v>
      </c>
      <c r="AO173" s="36">
        <f t="shared" si="107"/>
        <v>5932.2216738348725</v>
      </c>
      <c r="AP173" s="36">
        <f t="shared" si="107"/>
        <v>5247.3944917772933</v>
      </c>
      <c r="AQ173" s="36">
        <f>AP173</f>
        <v>5247.3944917772933</v>
      </c>
      <c r="AR173" s="36">
        <f t="shared" si="108"/>
        <v>4360.1788042466014</v>
      </c>
      <c r="AS173" s="36">
        <f t="shared" si="108"/>
        <v>3497.6879422686193</v>
      </c>
      <c r="AT173" s="36">
        <f t="shared" si="108"/>
        <v>780.30092299911485</v>
      </c>
      <c r="AU173" s="36">
        <f t="shared" si="108"/>
        <v>8.8817549491706789</v>
      </c>
      <c r="AV173" s="36">
        <f>AU173</f>
        <v>8.8817549491706789</v>
      </c>
      <c r="AW173" s="36">
        <f t="shared" si="109"/>
        <v>33.657896554105378</v>
      </c>
      <c r="AX173" s="36">
        <f t="shared" si="109"/>
        <v>128.1501880709296</v>
      </c>
      <c r="AY173" s="36">
        <f t="shared" si="109"/>
        <v>73.460654062340311</v>
      </c>
    </row>
    <row r="174" spans="1:66">
      <c r="A174" s="5" t="s">
        <v>947</v>
      </c>
      <c r="V174" s="36"/>
      <c r="W174" s="36"/>
      <c r="AA174" s="36"/>
      <c r="AB174" s="36"/>
      <c r="AF174" s="36"/>
      <c r="AG174" s="36"/>
      <c r="AK174" s="36"/>
      <c r="AL174" s="36"/>
      <c r="AM174" s="36"/>
      <c r="AN174" s="36"/>
      <c r="AO174" s="36"/>
      <c r="AP174" s="36"/>
      <c r="AQ174" s="36"/>
      <c r="AR174" s="36">
        <f t="shared" si="108"/>
        <v>1438.8837151549017</v>
      </c>
      <c r="AS174" s="36">
        <f t="shared" si="108"/>
        <v>1697.2955930778394</v>
      </c>
      <c r="AT174" s="36">
        <f t="shared" si="108"/>
        <v>1090.7510431154381</v>
      </c>
      <c r="AU174" s="36">
        <f t="shared" si="108"/>
        <v>1642.8638309256285</v>
      </c>
      <c r="AV174" s="36">
        <f>AU174</f>
        <v>1642.8638309256285</v>
      </c>
      <c r="AW174" s="36">
        <f t="shared" si="109"/>
        <v>5822.9265934673022</v>
      </c>
      <c r="AX174" s="36">
        <f t="shared" si="109"/>
        <v>2147.0110155830198</v>
      </c>
      <c r="AY174" s="36">
        <f t="shared" si="109"/>
        <v>1513.7327542156361</v>
      </c>
    </row>
    <row r="175" spans="1:66">
      <c r="A175" s="9" t="s">
        <v>2032</v>
      </c>
      <c r="B175" s="9"/>
      <c r="C175" s="9"/>
      <c r="D175" s="9"/>
      <c r="E175" s="9"/>
      <c r="F175" s="9"/>
      <c r="G175" s="9"/>
      <c r="H175" s="9"/>
      <c r="I175" s="9"/>
      <c r="J175" s="9"/>
      <c r="K175" s="9"/>
      <c r="L175" s="9"/>
      <c r="M175" s="9"/>
      <c r="N175" s="9"/>
      <c r="O175" s="9"/>
      <c r="P175" s="9"/>
      <c r="Q175" s="9"/>
      <c r="R175" s="9"/>
      <c r="S175" s="9"/>
      <c r="T175" s="9"/>
      <c r="U175" s="9"/>
      <c r="V175" s="39">
        <f>V138/V$280</f>
        <v>13427.281080584398</v>
      </c>
      <c r="W175" s="39">
        <f>V175</f>
        <v>13427.281080584398</v>
      </c>
      <c r="X175" s="9"/>
      <c r="Y175" s="9"/>
      <c r="Z175" s="9"/>
      <c r="AA175" s="39">
        <f>AA138/AA$280</f>
        <v>19896.829554692442</v>
      </c>
      <c r="AB175" s="39">
        <f>AA175</f>
        <v>19896.829554692442</v>
      </c>
      <c r="AC175" s="9"/>
      <c r="AD175" s="9"/>
      <c r="AE175" s="9"/>
      <c r="AF175" s="39">
        <f>AF138/AF$280</f>
        <v>20993.177547185227</v>
      </c>
      <c r="AG175" s="39">
        <f>AF175</f>
        <v>20993.177547185227</v>
      </c>
      <c r="AH175" s="9"/>
      <c r="AI175" s="9"/>
      <c r="AJ175" s="9"/>
      <c r="AK175" s="39">
        <f>AK138/AK$280</f>
        <v>30076.274994383286</v>
      </c>
      <c r="AL175" s="39">
        <f>AK175</f>
        <v>30076.274994383286</v>
      </c>
      <c r="AM175" s="39">
        <f>AM138/AM$280</f>
        <v>33060.942133940269</v>
      </c>
      <c r="AN175" s="39">
        <f>AN138/AN$280</f>
        <v>26128.894237197484</v>
      </c>
      <c r="AO175" s="39">
        <f>AO138/AO$280</f>
        <v>23651.286751745043</v>
      </c>
      <c r="AP175" s="39">
        <f>AP138/AP$280</f>
        <v>19972.003170200118</v>
      </c>
      <c r="AQ175" s="39">
        <f>AP175</f>
        <v>19972.003170200118</v>
      </c>
      <c r="AR175" s="39">
        <f t="shared" si="108"/>
        <v>19175.433041534736</v>
      </c>
      <c r="AS175" s="39">
        <f t="shared" si="108"/>
        <v>15795.221747355146</v>
      </c>
      <c r="AT175" s="39">
        <f t="shared" si="108"/>
        <v>12395.068908838031</v>
      </c>
      <c r="AU175" s="39">
        <f t="shared" si="108"/>
        <v>10675.882825040127</v>
      </c>
      <c r="AV175" s="39">
        <f>AU175</f>
        <v>10675.882825040127</v>
      </c>
      <c r="AW175" s="39">
        <f t="shared" si="109"/>
        <v>13515.565223396174</v>
      </c>
      <c r="AX175" s="39">
        <f t="shared" si="109"/>
        <v>16740.193444384739</v>
      </c>
      <c r="AY175" s="39">
        <f t="shared" si="109"/>
        <v>10501.596831885539</v>
      </c>
    </row>
    <row r="176" spans="1:66">
      <c r="AP176" s="26"/>
      <c r="AQ176" s="26"/>
    </row>
    <row r="177" spans="1:51">
      <c r="A177" s="1" t="s">
        <v>276</v>
      </c>
      <c r="AM177" s="36">
        <f t="shared" ref="AM177:AP178" si="110">AM140/AM$280</f>
        <v>2400.8138492309813</v>
      </c>
      <c r="AN177" s="36">
        <f t="shared" si="110"/>
        <v>2999.3314614253241</v>
      </c>
      <c r="AO177" s="36">
        <f t="shared" si="110"/>
        <v>2735.2323203835576</v>
      </c>
      <c r="AP177" s="36">
        <f t="shared" si="110"/>
        <v>6156.3899346146227</v>
      </c>
      <c r="AQ177" s="36">
        <f>AP177</f>
        <v>6156.3899346146227</v>
      </c>
      <c r="AR177" s="36">
        <f t="shared" ref="AR177:AU178" si="111">AR140/AR$280</f>
        <v>4610.4985410070158</v>
      </c>
      <c r="AS177" s="36">
        <f t="shared" si="111"/>
        <v>5126.7988509773704</v>
      </c>
      <c r="AT177" s="36">
        <f t="shared" si="111"/>
        <v>8511.4932355544315</v>
      </c>
      <c r="AU177" s="36">
        <f t="shared" si="111"/>
        <v>6868.9272338148739</v>
      </c>
      <c r="AV177" s="36">
        <f>AU177</f>
        <v>6868.9272338148739</v>
      </c>
      <c r="AW177" s="36">
        <f t="shared" ref="AW177:AY178" si="112">AW140/AW$280</f>
        <v>6744.7759132656583</v>
      </c>
      <c r="AX177" s="36">
        <f t="shared" si="112"/>
        <v>6784.7931219774318</v>
      </c>
      <c r="AY177" s="36">
        <f t="shared" si="112"/>
        <v>7485.1175268267752</v>
      </c>
    </row>
    <row r="178" spans="1:51">
      <c r="A178" s="9" t="s">
        <v>2850</v>
      </c>
      <c r="B178" s="9"/>
      <c r="C178" s="9"/>
      <c r="D178" s="9"/>
      <c r="E178" s="9"/>
      <c r="F178" s="9"/>
      <c r="G178" s="9"/>
      <c r="H178" s="9"/>
      <c r="I178" s="9"/>
      <c r="J178" s="9"/>
      <c r="K178" s="9"/>
      <c r="L178" s="9"/>
      <c r="M178" s="9"/>
      <c r="N178" s="9"/>
      <c r="O178" s="9"/>
      <c r="P178" s="9"/>
      <c r="Q178" s="9"/>
      <c r="R178" s="9"/>
      <c r="S178" s="9"/>
      <c r="T178" s="9"/>
      <c r="U178" s="9"/>
      <c r="V178" s="39"/>
      <c r="W178" s="39"/>
      <c r="X178" s="9"/>
      <c r="Y178" s="9"/>
      <c r="Z178" s="9"/>
      <c r="AA178" s="39"/>
      <c r="AB178" s="39"/>
      <c r="AC178" s="9"/>
      <c r="AD178" s="9"/>
      <c r="AE178" s="9"/>
      <c r="AF178" s="39"/>
      <c r="AG178" s="39"/>
      <c r="AH178" s="9"/>
      <c r="AI178" s="9"/>
      <c r="AJ178" s="9"/>
      <c r="AK178" s="39"/>
      <c r="AL178" s="39"/>
      <c r="AM178" s="39">
        <f t="shared" si="110"/>
        <v>35461.75598317125</v>
      </c>
      <c r="AN178" s="39">
        <f t="shared" si="110"/>
        <v>29128.225698622809</v>
      </c>
      <c r="AO178" s="39">
        <f t="shared" si="110"/>
        <v>26386.519072128602</v>
      </c>
      <c r="AP178" s="39">
        <f t="shared" si="110"/>
        <v>26128.393104814742</v>
      </c>
      <c r="AQ178" s="39">
        <f>AP178</f>
        <v>26128.393104814742</v>
      </c>
      <c r="AR178" s="39">
        <f t="shared" si="111"/>
        <v>23785.931582541754</v>
      </c>
      <c r="AS178" s="39">
        <f t="shared" si="111"/>
        <v>20922.020598332518</v>
      </c>
      <c r="AT178" s="39">
        <f t="shared" si="111"/>
        <v>20906.562144392465</v>
      </c>
      <c r="AU178" s="39">
        <f t="shared" si="111"/>
        <v>17544.810058855001</v>
      </c>
      <c r="AV178" s="39">
        <f>AU178</f>
        <v>17544.810058855001</v>
      </c>
      <c r="AW178" s="39">
        <f t="shared" si="112"/>
        <v>20260.341136661831</v>
      </c>
      <c r="AX178" s="39">
        <f t="shared" si="112"/>
        <v>23524.986566362171</v>
      </c>
      <c r="AY178" s="39">
        <f t="shared" si="112"/>
        <v>17986.714358712314</v>
      </c>
    </row>
    <row r="179" spans="1:51">
      <c r="AP179" s="26"/>
      <c r="AQ179" s="26"/>
    </row>
    <row r="180" spans="1:51">
      <c r="A180" s="1" t="s">
        <v>2035</v>
      </c>
      <c r="AP180" s="26"/>
      <c r="AQ180" s="26"/>
    </row>
    <row r="181" spans="1:51">
      <c r="A181" s="5" t="s">
        <v>84</v>
      </c>
      <c r="V181" s="36">
        <f>V144/V$280</f>
        <v>1709.3448497656896</v>
      </c>
      <c r="W181" s="36">
        <f t="shared" ref="W181:W182" si="113">V181</f>
        <v>1709.3448497656896</v>
      </c>
      <c r="AA181" s="36">
        <f>AA144/AA$280</f>
        <v>610.42362930177944</v>
      </c>
      <c r="AB181" s="36">
        <f t="shared" ref="AB181:AB185" si="114">AA181</f>
        <v>610.42362930177944</v>
      </c>
      <c r="AF181" s="36">
        <f>AF144/AF$280</f>
        <v>390.178936187597</v>
      </c>
      <c r="AG181" s="36">
        <f t="shared" ref="AG181:AG185" si="115">AF181</f>
        <v>390.178936187597</v>
      </c>
      <c r="AK181" s="36">
        <f>AK144/AK$280</f>
        <v>540.39541676027864</v>
      </c>
      <c r="AL181" s="36">
        <f t="shared" ref="AL181:AL185" si="116">AK181</f>
        <v>540.39541676027864</v>
      </c>
      <c r="AM181" s="36">
        <f t="shared" ref="AM181:AP185" si="117">AM144/AM$280</f>
        <v>310.98696461824949</v>
      </c>
      <c r="AN181" s="36">
        <f t="shared" si="117"/>
        <v>321.7141329054686</v>
      </c>
      <c r="AO181" s="36">
        <f t="shared" si="117"/>
        <v>219.38235916237747</v>
      </c>
      <c r="AP181" s="36">
        <f t="shared" si="117"/>
        <v>434.23816128393105</v>
      </c>
      <c r="AQ181" s="36">
        <f t="shared" ref="AQ181:AQ185" si="118">AP181</f>
        <v>434.23816128393105</v>
      </c>
      <c r="AR181" s="36">
        <f t="shared" ref="AR181:AU185" si="119">AR144/AR$280</f>
        <v>136.75420624573167</v>
      </c>
      <c r="AS181" s="36">
        <f t="shared" si="119"/>
        <v>333.94521123800183</v>
      </c>
      <c r="AT181" s="36">
        <f t="shared" si="119"/>
        <v>137.31192312555316</v>
      </c>
      <c r="AU181" s="36">
        <f t="shared" si="119"/>
        <v>202.74210807918672</v>
      </c>
      <c r="AV181" s="36">
        <f t="shared" ref="AV181:AV185" si="120">AU181</f>
        <v>202.74210807918672</v>
      </c>
      <c r="AW181" s="36">
        <f t="shared" ref="AW181:AY185" si="121">AW144/AW$280</f>
        <v>428.0850769974449</v>
      </c>
      <c r="AX181" s="36">
        <f t="shared" si="121"/>
        <v>596.99758194519075</v>
      </c>
      <c r="AY181" s="36">
        <f t="shared" si="121"/>
        <v>847.08737864077671</v>
      </c>
    </row>
    <row r="182" spans="1:51">
      <c r="A182" s="5" t="s">
        <v>83</v>
      </c>
      <c r="V182" s="36">
        <f>V145/V$280</f>
        <v>10.96205090508132</v>
      </c>
      <c r="W182" s="36">
        <f t="shared" si="113"/>
        <v>10.96205090508132</v>
      </c>
      <c r="AA182" s="36">
        <f>AA145/AA$280</f>
        <v>573.29961159786831</v>
      </c>
      <c r="AB182" s="36">
        <f t="shared" si="114"/>
        <v>573.29961159786831</v>
      </c>
      <c r="AF182" s="36">
        <f>AF145/AF$280</f>
        <v>1229.3651442111284</v>
      </c>
      <c r="AG182" s="36">
        <f t="shared" si="115"/>
        <v>1229.3651442111284</v>
      </c>
      <c r="AK182" s="36">
        <f>AK145/AK$280</f>
        <v>276.56706358121772</v>
      </c>
      <c r="AL182" s="36">
        <f t="shared" si="116"/>
        <v>276.56706358121772</v>
      </c>
      <c r="AM182" s="36">
        <f t="shared" si="117"/>
        <v>444.4582384992068</v>
      </c>
      <c r="AN182" s="36">
        <f t="shared" si="117"/>
        <v>149.82617997058429</v>
      </c>
      <c r="AO182" s="36">
        <f t="shared" si="117"/>
        <v>153.59232884439115</v>
      </c>
      <c r="AP182" s="36">
        <f t="shared" si="117"/>
        <v>674.08361402813557</v>
      </c>
      <c r="AQ182" s="36">
        <f t="shared" si="118"/>
        <v>674.08361402813557</v>
      </c>
      <c r="AR182" s="36">
        <f t="shared" si="119"/>
        <v>267.15713664866206</v>
      </c>
      <c r="AS182" s="36">
        <f t="shared" si="119"/>
        <v>230.02872556575355</v>
      </c>
      <c r="AT182" s="36">
        <f t="shared" si="119"/>
        <v>293.83613604754078</v>
      </c>
      <c r="AU182" s="36">
        <f t="shared" si="119"/>
        <v>195.72632423756019</v>
      </c>
      <c r="AV182" s="36">
        <f t="shared" si="120"/>
        <v>195.72632423756019</v>
      </c>
      <c r="AW182" s="36">
        <f t="shared" si="121"/>
        <v>177.70872177335818</v>
      </c>
      <c r="AX182" s="36">
        <f t="shared" si="121"/>
        <v>1297.5483610961849</v>
      </c>
      <c r="AY182" s="36">
        <f t="shared" si="121"/>
        <v>642.77593254982116</v>
      </c>
    </row>
    <row r="183" spans="1:51">
      <c r="A183" s="5" t="s">
        <v>944</v>
      </c>
      <c r="V183" s="36"/>
      <c r="W183" s="36"/>
      <c r="AA183" s="36"/>
      <c r="AB183" s="36"/>
      <c r="AF183" s="36">
        <f>AF146/AF$280</f>
        <v>15.442438107688536</v>
      </c>
      <c r="AG183" s="36">
        <f t="shared" si="115"/>
        <v>15.442438107688536</v>
      </c>
      <c r="AK183" s="36">
        <f>AK146/AK$280</f>
        <v>21.103871789111061</v>
      </c>
      <c r="AL183" s="36">
        <f t="shared" si="116"/>
        <v>21.103871789111061</v>
      </c>
      <c r="AM183" s="36">
        <f t="shared" si="117"/>
        <v>23.091247672253257</v>
      </c>
      <c r="AN183" s="36">
        <f t="shared" si="117"/>
        <v>22.770423853456343</v>
      </c>
      <c r="AO183" s="36">
        <f t="shared" si="117"/>
        <v>29.105266868786572</v>
      </c>
      <c r="AP183" s="36">
        <f t="shared" si="117"/>
        <v>20.368535763820091</v>
      </c>
      <c r="AQ183" s="36">
        <f t="shared" si="118"/>
        <v>20.368535763820091</v>
      </c>
      <c r="AR183" s="36">
        <f t="shared" si="119"/>
        <v>25.06984540882846</v>
      </c>
      <c r="AS183" s="36">
        <f t="shared" si="119"/>
        <v>30.231906396693059</v>
      </c>
      <c r="AT183" s="36">
        <f t="shared" si="119"/>
        <v>21.873814641547604</v>
      </c>
      <c r="AU183" s="36">
        <f t="shared" si="119"/>
        <v>30.076243980738361</v>
      </c>
      <c r="AV183" s="36">
        <f t="shared" si="120"/>
        <v>30.076243980738361</v>
      </c>
      <c r="AW183" s="36">
        <f t="shared" si="121"/>
        <v>19.570471652510186</v>
      </c>
      <c r="AX183" s="36">
        <f t="shared" si="121"/>
        <v>74.140247178936065</v>
      </c>
      <c r="AY183" s="36">
        <f t="shared" si="121"/>
        <v>53.50664282064384</v>
      </c>
    </row>
    <row r="184" spans="1:51">
      <c r="A184" s="5" t="s">
        <v>2036</v>
      </c>
      <c r="V184" s="36">
        <f>V147/V$280</f>
        <v>353.91895617017366</v>
      </c>
      <c r="W184" s="36">
        <f t="shared" ref="W184:W185" si="122">V184</f>
        <v>353.91895617017366</v>
      </c>
      <c r="AA184" s="36">
        <f>AA147/AA$280</f>
        <v>233.89937675006774</v>
      </c>
      <c r="AB184" s="36">
        <f t="shared" si="114"/>
        <v>233.89937675006774</v>
      </c>
      <c r="AF184" s="36">
        <f>AF147/AF$280</f>
        <v>198.87245690007353</v>
      </c>
      <c r="AG184" s="36">
        <f t="shared" si="115"/>
        <v>198.87245690007353</v>
      </c>
      <c r="AK184" s="36">
        <f>AK147/AK$280</f>
        <v>730.51748670710697</v>
      </c>
      <c r="AL184" s="36">
        <f t="shared" si="116"/>
        <v>730.51748670710697</v>
      </c>
      <c r="AM184" s="36">
        <f t="shared" si="117"/>
        <v>317.53224360300709</v>
      </c>
      <c r="AN184" s="36">
        <f t="shared" si="117"/>
        <v>322.52306458082631</v>
      </c>
      <c r="AO184" s="36">
        <f t="shared" si="117"/>
        <v>379.65169569202561</v>
      </c>
      <c r="AP184" s="36">
        <f t="shared" si="117"/>
        <v>389.61759461065981</v>
      </c>
      <c r="AQ184" s="36">
        <f t="shared" si="118"/>
        <v>389.61759461065981</v>
      </c>
      <c r="AR184" s="36">
        <f t="shared" si="119"/>
        <v>403.68783758614268</v>
      </c>
      <c r="AS184" s="36">
        <f t="shared" si="119"/>
        <v>455.48938555314231</v>
      </c>
      <c r="AT184" s="36">
        <f t="shared" si="119"/>
        <v>472.70830699203435</v>
      </c>
      <c r="AU184" s="36">
        <f t="shared" si="119"/>
        <v>468.29855537720704</v>
      </c>
      <c r="AV184" s="36">
        <f t="shared" si="120"/>
        <v>468.29855537720704</v>
      </c>
      <c r="AW184" s="36">
        <f t="shared" si="121"/>
        <v>438.47800566259235</v>
      </c>
      <c r="AX184" s="36">
        <f t="shared" si="121"/>
        <v>516.16066630843636</v>
      </c>
      <c r="AY184" s="36">
        <f t="shared" si="121"/>
        <v>588.9499233520695</v>
      </c>
    </row>
    <row r="185" spans="1:51">
      <c r="A185" s="9" t="s">
        <v>2035</v>
      </c>
      <c r="B185" s="9"/>
      <c r="C185" s="9"/>
      <c r="D185" s="9"/>
      <c r="E185" s="9"/>
      <c r="F185" s="9"/>
      <c r="G185" s="9"/>
      <c r="H185" s="9"/>
      <c r="I185" s="9"/>
      <c r="J185" s="9"/>
      <c r="K185" s="9"/>
      <c r="L185" s="9"/>
      <c r="M185" s="9"/>
      <c r="N185" s="9"/>
      <c r="O185" s="9"/>
      <c r="P185" s="9"/>
      <c r="Q185" s="9"/>
      <c r="R185" s="9"/>
      <c r="S185" s="9"/>
      <c r="T185" s="9"/>
      <c r="U185" s="9"/>
      <c r="V185" s="39">
        <f>V148/V$280</f>
        <v>2074.2258568409447</v>
      </c>
      <c r="W185" s="39">
        <f t="shared" si="122"/>
        <v>2074.2258568409447</v>
      </c>
      <c r="X185" s="9"/>
      <c r="Y185" s="9"/>
      <c r="Z185" s="9"/>
      <c r="AA185" s="39">
        <f>AA148/AA$280</f>
        <v>1417.6226176497155</v>
      </c>
      <c r="AB185" s="39">
        <f t="shared" si="114"/>
        <v>1417.6226176497155</v>
      </c>
      <c r="AC185" s="9"/>
      <c r="AD185" s="9"/>
      <c r="AE185" s="9"/>
      <c r="AF185" s="39">
        <f>AF148/AF$280</f>
        <v>1833.8589754064874</v>
      </c>
      <c r="AG185" s="39">
        <f t="shared" si="115"/>
        <v>1833.8589754064874</v>
      </c>
      <c r="AH185" s="9"/>
      <c r="AI185" s="9"/>
      <c r="AJ185" s="9"/>
      <c r="AK185" s="39">
        <f>AK148/AK$280</f>
        <v>1568.5838388377144</v>
      </c>
      <c r="AL185" s="39">
        <f t="shared" si="116"/>
        <v>1568.5838388377144</v>
      </c>
      <c r="AM185" s="39">
        <f t="shared" si="117"/>
        <v>1096.0686943927167</v>
      </c>
      <c r="AN185" s="39">
        <f t="shared" si="117"/>
        <v>816.8338013103355</v>
      </c>
      <c r="AO185" s="39">
        <f t="shared" si="117"/>
        <v>781.7316505675808</v>
      </c>
      <c r="AP185" s="39">
        <f t="shared" si="117"/>
        <v>1518.3079056865465</v>
      </c>
      <c r="AQ185" s="39">
        <f t="shared" si="118"/>
        <v>1518.3079056865465</v>
      </c>
      <c r="AR185" s="39">
        <f t="shared" si="119"/>
        <v>832.66902588936489</v>
      </c>
      <c r="AS185" s="39">
        <f t="shared" si="119"/>
        <v>1049.6952287535908</v>
      </c>
      <c r="AT185" s="39">
        <f t="shared" si="119"/>
        <v>925.73018080667589</v>
      </c>
      <c r="AU185" s="39">
        <f t="shared" si="119"/>
        <v>896.84323167469233</v>
      </c>
      <c r="AV185" s="39">
        <f t="shared" si="120"/>
        <v>896.84323167469233</v>
      </c>
      <c r="AW185" s="39">
        <f t="shared" si="121"/>
        <v>1063.8422760859057</v>
      </c>
      <c r="AX185" s="39">
        <f t="shared" si="121"/>
        <v>2484.846856528748</v>
      </c>
      <c r="AY185" s="39">
        <f t="shared" si="121"/>
        <v>2132.3198773633112</v>
      </c>
    </row>
    <row r="187" spans="1:51">
      <c r="A187" s="1" t="s">
        <v>85</v>
      </c>
    </row>
    <row r="188" spans="1:51">
      <c r="A188" s="5" t="s">
        <v>2037</v>
      </c>
      <c r="V188" s="36">
        <f>V151/V$280</f>
        <v>1361.0860975833868</v>
      </c>
      <c r="W188" s="36">
        <f t="shared" ref="W188:W189" si="123">V188</f>
        <v>1361.0860975833868</v>
      </c>
      <c r="AA188" s="36">
        <f>AA151/AA$280</f>
        <v>2732.7161051395537</v>
      </c>
      <c r="AB188" s="36">
        <f t="shared" ref="AB188:AB192" si="124">AA188</f>
        <v>2732.7161051395537</v>
      </c>
      <c r="AF188" s="36">
        <f>AF151/AF$280</f>
        <v>2603.6522591715011</v>
      </c>
      <c r="AG188" s="36">
        <f t="shared" ref="AG188:AG192" si="125">AF188</f>
        <v>2603.6522591715011</v>
      </c>
      <c r="AK188" s="36">
        <f>AK151/AK$280</f>
        <v>2102.6585785965699</v>
      </c>
      <c r="AL188" s="36">
        <f t="shared" ref="AL188:AL192" si="126">AK188</f>
        <v>2102.6585785965699</v>
      </c>
      <c r="AM188" s="36">
        <f t="shared" ref="AM188:AP190" si="127">AM151/AM$280</f>
        <v>1908.6626663907855</v>
      </c>
      <c r="AN188" s="36">
        <f t="shared" si="127"/>
        <v>3133.560636448723</v>
      </c>
      <c r="AO188" s="36">
        <f t="shared" si="127"/>
        <v>3548.177395473454</v>
      </c>
      <c r="AP188" s="36">
        <f t="shared" si="127"/>
        <v>3188.4485833168219</v>
      </c>
      <c r="AQ188" s="36">
        <f t="shared" ref="AQ188:AQ192" si="128">AP188</f>
        <v>3188.4485833168219</v>
      </c>
      <c r="AR188" s="36">
        <f t="shared" ref="AR188:AU190" si="129">AR151/AR$280</f>
        <v>3190.4575650338365</v>
      </c>
      <c r="AS188" s="36">
        <f t="shared" si="129"/>
        <v>2469.2426259370841</v>
      </c>
      <c r="AT188" s="36">
        <f t="shared" si="129"/>
        <v>2778.3980275635349</v>
      </c>
      <c r="AU188" s="36">
        <f t="shared" si="129"/>
        <v>1962.4732477260566</v>
      </c>
      <c r="AV188" s="36">
        <f t="shared" ref="AV188:AV192" si="130">AU188</f>
        <v>1962.4732477260566</v>
      </c>
      <c r="AW188" s="36">
        <f t="shared" ref="AW188:AY190" si="131">AW151/AW$280</f>
        <v>1838.4434776603825</v>
      </c>
      <c r="AX188" s="36">
        <f t="shared" si="131"/>
        <v>2535.9954325631384</v>
      </c>
      <c r="AY188" s="36">
        <f t="shared" si="131"/>
        <v>1829.1198262646908</v>
      </c>
    </row>
    <row r="189" spans="1:51">
      <c r="A189" s="5" t="s">
        <v>1660</v>
      </c>
      <c r="V189" s="36">
        <f>V152/V$280</f>
        <v>2232.6288707157955</v>
      </c>
      <c r="W189" s="36">
        <f t="shared" si="123"/>
        <v>2232.6288707157955</v>
      </c>
      <c r="AA189" s="36">
        <f>AA152/AA$280</f>
        <v>3802.1949236744649</v>
      </c>
      <c r="AB189" s="36">
        <f t="shared" si="124"/>
        <v>3802.1949236744649</v>
      </c>
      <c r="AF189" s="36">
        <f>AF152/AF$280</f>
        <v>1064.4415393414495</v>
      </c>
      <c r="AG189" s="36">
        <f t="shared" si="125"/>
        <v>1064.4415393414495</v>
      </c>
      <c r="AK189" s="36">
        <f>AK152/AK$280</f>
        <v>672.66531865498393</v>
      </c>
      <c r="AL189" s="36">
        <f t="shared" si="126"/>
        <v>672.66531865498393</v>
      </c>
      <c r="AM189" s="36">
        <f t="shared" si="127"/>
        <v>231.77460514518242</v>
      </c>
      <c r="AN189" s="36">
        <f t="shared" si="127"/>
        <v>1177.3632838614787</v>
      </c>
      <c r="AO189" s="36">
        <f t="shared" si="127"/>
        <v>2344.7014030882042</v>
      </c>
      <c r="AP189" s="36">
        <f t="shared" si="127"/>
        <v>2149.0720560068689</v>
      </c>
      <c r="AQ189" s="36">
        <f t="shared" si="128"/>
        <v>2149.0720560068689</v>
      </c>
      <c r="AR189" s="36">
        <f t="shared" si="129"/>
        <v>2499.2425653442606</v>
      </c>
      <c r="AS189" s="36">
        <f t="shared" si="129"/>
        <v>1741.2527149162756</v>
      </c>
      <c r="AT189" s="36">
        <f t="shared" si="129"/>
        <v>1724.0991275761789</v>
      </c>
      <c r="AU189" s="36">
        <f t="shared" si="129"/>
        <v>1793.2851792402353</v>
      </c>
      <c r="AV189" s="36">
        <f t="shared" si="130"/>
        <v>1793.2851792402353</v>
      </c>
      <c r="AW189" s="36">
        <f t="shared" si="131"/>
        <v>1566.0589738277743</v>
      </c>
      <c r="AX189" s="36">
        <f t="shared" si="131"/>
        <v>1441.8659322944654</v>
      </c>
      <c r="AY189" s="36">
        <f t="shared" si="131"/>
        <v>1268.7404190086868</v>
      </c>
    </row>
    <row r="190" spans="1:51">
      <c r="A190" s="5" t="s">
        <v>2038</v>
      </c>
      <c r="V190" s="36"/>
      <c r="W190" s="36"/>
      <c r="AA190" s="36"/>
      <c r="AB190" s="36"/>
      <c r="AF190" s="36">
        <f>AF153/AF$280</f>
        <v>6738.0586649236047</v>
      </c>
      <c r="AG190" s="36">
        <f t="shared" si="125"/>
        <v>6738.0586649236047</v>
      </c>
      <c r="AK190" s="36">
        <f>AK153/AK$280</f>
        <v>6421.2536508649737</v>
      </c>
      <c r="AL190" s="36">
        <f t="shared" si="126"/>
        <v>6421.2536508649737</v>
      </c>
      <c r="AM190" s="36">
        <f t="shared" si="127"/>
        <v>5063.8250913856127</v>
      </c>
      <c r="AN190" s="36">
        <f t="shared" si="127"/>
        <v>4260.6966171948116</v>
      </c>
      <c r="AO190" s="36">
        <f t="shared" si="127"/>
        <v>5900.2961291687225</v>
      </c>
      <c r="AP190" s="36">
        <f t="shared" si="127"/>
        <v>4885.8001453008392</v>
      </c>
      <c r="AQ190" s="36">
        <f t="shared" si="128"/>
        <v>4885.8001453008392</v>
      </c>
      <c r="AR190" s="36">
        <f t="shared" si="129"/>
        <v>3274.4707270131003</v>
      </c>
      <c r="AS190" s="36">
        <f t="shared" si="129"/>
        <v>4108.3164015974216</v>
      </c>
      <c r="AT190" s="36">
        <f t="shared" si="129"/>
        <v>4335.029712985207</v>
      </c>
      <c r="AU190" s="36">
        <f t="shared" si="129"/>
        <v>2450.2073301230603</v>
      </c>
      <c r="AV190" s="36">
        <f t="shared" si="130"/>
        <v>2450.2073301230603</v>
      </c>
      <c r="AW190" s="36">
        <f t="shared" si="131"/>
        <v>3589.0546232994957</v>
      </c>
      <c r="AX190" s="36">
        <f t="shared" si="131"/>
        <v>2596.594572810317</v>
      </c>
      <c r="AY190" s="36">
        <f t="shared" si="131"/>
        <v>3232.7733776188043</v>
      </c>
    </row>
    <row r="191" spans="1:51">
      <c r="A191" s="5" t="s">
        <v>2316</v>
      </c>
      <c r="V191" s="36">
        <f>SUM(V154:V155)/V$280</f>
        <v>6916.3282183221536</v>
      </c>
      <c r="W191" s="36">
        <f t="shared" ref="W191:W192" si="132">V191</f>
        <v>6916.3282183221536</v>
      </c>
      <c r="AA191" s="36">
        <f>SUM(AA154:AA155)/AA$280</f>
        <v>7780.7966760003619</v>
      </c>
      <c r="AB191" s="36">
        <f t="shared" si="124"/>
        <v>7780.7966760003619</v>
      </c>
      <c r="AF191" s="36">
        <f>SUM(AF154:AF155)/AF$280</f>
        <v>5721.7092899746713</v>
      </c>
      <c r="AG191" s="36">
        <f t="shared" si="125"/>
        <v>5721.7092899746713</v>
      </c>
      <c r="AK191" s="36">
        <f>SUM(AK154:AK155)/AK$280</f>
        <v>6224.4289672732721</v>
      </c>
      <c r="AL191" s="36">
        <f t="shared" si="126"/>
        <v>6224.4289672732721</v>
      </c>
      <c r="AM191" s="36">
        <f>SUM(AM154:AM155)/AM$280</f>
        <v>5474.9086143871991</v>
      </c>
      <c r="AN191" s="36">
        <f>SUM(AN154:AN155)/AN$280</f>
        <v>4874.9766011498859</v>
      </c>
      <c r="AO191" s="36">
        <f>SUM(AO154:AO155)/AO$280</f>
        <v>3682.2675033490796</v>
      </c>
      <c r="AP191" s="36">
        <f>SUM(AP154:AP155)/AP$280</f>
        <v>2938.7755102040819</v>
      </c>
      <c r="AQ191" s="36">
        <f t="shared" si="128"/>
        <v>2938.7755102040819</v>
      </c>
      <c r="AR191" s="36">
        <f>SUM(AR154:AR155)/AR$280</f>
        <v>2874.8432358601854</v>
      </c>
      <c r="AS191" s="36">
        <f>SUM(AS154:AS155)/AS$280</f>
        <v>3315.8691235199331</v>
      </c>
      <c r="AT191" s="36">
        <f>SUM(AT154:AT155)/AT$280</f>
        <v>3116.0955873056009</v>
      </c>
      <c r="AU191" s="36">
        <f>SUM(AU154:AU155)/AU$280</f>
        <v>3394.9237560192614</v>
      </c>
      <c r="AV191" s="36">
        <f t="shared" si="130"/>
        <v>3394.9237560192614</v>
      </c>
      <c r="AW191" s="36">
        <f>SUM(AW154:AW155)/AW$280</f>
        <v>3760.258269456529</v>
      </c>
      <c r="AX191" s="36">
        <f>SUM(AX154:AX155)/AX$280</f>
        <v>3706.7302525523914</v>
      </c>
      <c r="AY191" s="36">
        <f>SUM(AY154:AY155)/AY$280</f>
        <v>3745.2542156361778</v>
      </c>
    </row>
    <row r="192" spans="1:51">
      <c r="A192" s="9" t="s">
        <v>85</v>
      </c>
      <c r="B192" s="9"/>
      <c r="C192" s="9"/>
      <c r="D192" s="9"/>
      <c r="E192" s="9"/>
      <c r="F192" s="9"/>
      <c r="G192" s="9"/>
      <c r="H192" s="9"/>
      <c r="I192" s="9"/>
      <c r="J192" s="9"/>
      <c r="K192" s="9"/>
      <c r="L192" s="9"/>
      <c r="M192" s="9"/>
      <c r="N192" s="9"/>
      <c r="O192" s="9"/>
      <c r="P192" s="9"/>
      <c r="Q192" s="9"/>
      <c r="R192" s="9"/>
      <c r="S192" s="9"/>
      <c r="T192" s="9"/>
      <c r="U192" s="9"/>
      <c r="V192" s="39">
        <f>V156/V$280</f>
        <v>10510.043186621337</v>
      </c>
      <c r="W192" s="39">
        <f t="shared" si="132"/>
        <v>10510.043186621337</v>
      </c>
      <c r="X192" s="9"/>
      <c r="Y192" s="9"/>
      <c r="Z192" s="9"/>
      <c r="AA192" s="39">
        <f>AA156/AA$280</f>
        <v>14315.70770481438</v>
      </c>
      <c r="AB192" s="39">
        <f t="shared" si="124"/>
        <v>14315.70770481438</v>
      </c>
      <c r="AC192" s="9"/>
      <c r="AD192" s="9"/>
      <c r="AE192" s="9"/>
      <c r="AF192" s="39">
        <f>AF156/AF$280</f>
        <v>16127.861753411225</v>
      </c>
      <c r="AG192" s="39">
        <f t="shared" si="125"/>
        <v>16127.861753411225</v>
      </c>
      <c r="AH192" s="9"/>
      <c r="AI192" s="9"/>
      <c r="AJ192" s="9"/>
      <c r="AK192" s="39">
        <f>AK156/AK$280</f>
        <v>15421.006515389799</v>
      </c>
      <c r="AL192" s="39">
        <f t="shared" si="126"/>
        <v>15421.006515389799</v>
      </c>
      <c r="AM192" s="39">
        <f>AM156/AM$280</f>
        <v>12679.170977308779</v>
      </c>
      <c r="AN192" s="39">
        <f>AN156/AN$280</f>
        <v>13446.597138654899</v>
      </c>
      <c r="AO192" s="39">
        <f>AO156/AO$280</f>
        <v>15475.44243107946</v>
      </c>
      <c r="AP192" s="39">
        <f>AP156/AP$280</f>
        <v>13162.096294828611</v>
      </c>
      <c r="AQ192" s="39">
        <f t="shared" si="128"/>
        <v>13162.096294828611</v>
      </c>
      <c r="AR192" s="39">
        <f>AR156/AR$280</f>
        <v>11839.014093251382</v>
      </c>
      <c r="AS192" s="39">
        <f>AS156/AS$280</f>
        <v>11634.680865970715</v>
      </c>
      <c r="AT192" s="39">
        <f>AT156/AT$280</f>
        <v>11953.622455430521</v>
      </c>
      <c r="AU192" s="39">
        <f>AU156/AU$280</f>
        <v>9600.8895131086138</v>
      </c>
      <c r="AV192" s="39">
        <f t="shared" si="130"/>
        <v>9600.8895131086138</v>
      </c>
      <c r="AW192" s="39">
        <f>AW156/AW$280</f>
        <v>10753.815344244182</v>
      </c>
      <c r="AX192" s="39">
        <f>AX156/AX$280</f>
        <v>10281.186190220313</v>
      </c>
      <c r="AY192" s="39">
        <f>AY156/AY$280</f>
        <v>10075.887838528359</v>
      </c>
    </row>
    <row r="193" spans="1:60">
      <c r="A193" s="1" t="s">
        <v>2039</v>
      </c>
    </row>
    <row r="195" spans="1:60">
      <c r="A195" s="5" t="s">
        <v>2042</v>
      </c>
      <c r="V195" s="36"/>
      <c r="W195" s="36">
        <f>SUM('Links (Arm OLD Model)'!W51:W52)</f>
        <v>0</v>
      </c>
      <c r="AA195" s="36"/>
      <c r="AB195" s="36">
        <f>SUM('Links (Arm OLD Model)'!AB51:AB52)</f>
        <v>1297</v>
      </c>
      <c r="AF195" s="36">
        <f>SUM('Links (Arm OLD Model)'!AF51:AF52)</f>
        <v>1635</v>
      </c>
      <c r="AG195" s="36">
        <f>SUM('Links (Arm OLD Model)'!AG51:AG52)</f>
        <v>1635</v>
      </c>
      <c r="AK195" s="36">
        <f>SUM('Links (Arm OLD Model)'!AK51:AK52)</f>
        <v>2215</v>
      </c>
      <c r="AL195" s="36">
        <f>SUM('Links (Arm OLD Model)'!AL51:AL52)</f>
        <v>2215</v>
      </c>
      <c r="AM195" s="36">
        <f>SUM('Links (Arm OLD Model)'!AM51:AM52)</f>
        <v>2049</v>
      </c>
      <c r="AN195" s="36">
        <f>SUM('Links (Arm OLD Model)'!AN51:AN52)</f>
        <v>2206</v>
      </c>
      <c r="AO195" s="36">
        <f>SUM('Links (Arm OLD Model)'!AO51:AO52)</f>
        <v>2401</v>
      </c>
      <c r="AP195" s="679">
        <f>AP159/AP$280</f>
        <v>1922.7726041873061</v>
      </c>
      <c r="AQ195" s="36">
        <f t="shared" ref="AQ195:AQ198" si="133">AP195</f>
        <v>1922.7726041873061</v>
      </c>
      <c r="AR195" s="36">
        <f>AR159/AR$280</f>
        <v>1464.9158750853667</v>
      </c>
      <c r="AS195" s="36">
        <f>AS159/AS$280</f>
        <v>1497.5338050865271</v>
      </c>
      <c r="AT195" s="36">
        <f>AT159/AT$280</f>
        <v>2036.0791503350613</v>
      </c>
      <c r="AU195" s="36">
        <f>AU159/AU$280</f>
        <v>2085.3063135366506</v>
      </c>
      <c r="AV195" s="36">
        <f t="shared" ref="AV195:AV198" si="134">AU195</f>
        <v>2085.3063135366506</v>
      </c>
      <c r="AW195" s="36">
        <f>AW159/AW$280</f>
        <v>1955.7489123679304</v>
      </c>
      <c r="AX195" s="36">
        <f>AX159/AX$280</f>
        <v>2517.6316496507256</v>
      </c>
      <c r="AY195" s="36">
        <f>AY159/AY$280</f>
        <v>2807.2368421052629</v>
      </c>
    </row>
    <row r="196" spans="1:60">
      <c r="A196" s="5" t="s">
        <v>3383</v>
      </c>
      <c r="V196" s="36"/>
      <c r="W196" s="36"/>
      <c r="AA196" s="36"/>
      <c r="AB196" s="36"/>
      <c r="AF196" s="36"/>
      <c r="AG196" s="36"/>
      <c r="AK196" s="36"/>
      <c r="AL196" s="36"/>
      <c r="AM196" s="36"/>
      <c r="AN196" s="36"/>
      <c r="AO196" s="36"/>
      <c r="AP196" s="679"/>
      <c r="AQ196" s="36"/>
      <c r="AR196" s="36"/>
      <c r="AS196" s="36"/>
      <c r="AT196" s="36"/>
      <c r="AU196" s="36"/>
      <c r="AV196" s="36"/>
      <c r="AW196" s="36"/>
      <c r="AX196" s="36"/>
      <c r="AY196" s="36">
        <f>AY160/AY$280</f>
        <v>809.01890648952474</v>
      </c>
    </row>
    <row r="197" spans="1:60">
      <c r="A197" s="5" t="s">
        <v>2043</v>
      </c>
      <c r="V197" s="36">
        <f>V198-V195</f>
        <v>4945.1254249747317</v>
      </c>
      <c r="W197" s="36">
        <f>W198-W195</f>
        <v>4945.1254249747317</v>
      </c>
      <c r="AA197" s="36">
        <f>AA198-AA195</f>
        <v>6486.4059253906607</v>
      </c>
      <c r="AB197" s="36">
        <f>AB198-AB195</f>
        <v>5189.4059253906607</v>
      </c>
      <c r="AF197" s="36">
        <f>AF198-AF195</f>
        <v>1643.9525288013729</v>
      </c>
      <c r="AG197" s="36">
        <f>AG198-AG195</f>
        <v>1643.9525288013729</v>
      </c>
      <c r="AK197" s="36">
        <f t="shared" ref="AK197:AO197" si="135">AK198-AK195</f>
        <v>2581.2854789185949</v>
      </c>
      <c r="AL197" s="36">
        <f t="shared" si="135"/>
        <v>2581.2854789185949</v>
      </c>
      <c r="AM197" s="36">
        <f t="shared" si="135"/>
        <v>1574.4843782329813</v>
      </c>
      <c r="AN197" s="36">
        <f t="shared" si="135"/>
        <v>2245.9922449525338</v>
      </c>
      <c r="AO197" s="36">
        <f t="shared" si="135"/>
        <v>1148.9259677078189</v>
      </c>
      <c r="AP197" s="679">
        <f t="shared" ref="AP197" si="136">AP198-AP195</f>
        <v>2363.7738590581862</v>
      </c>
      <c r="AQ197" s="36">
        <f t="shared" si="133"/>
        <v>2363.7738590581862</v>
      </c>
      <c r="AR197" s="36">
        <f>AR161/AR$280</f>
        <v>827.97541441609246</v>
      </c>
      <c r="AS197" s="36">
        <f>AS161/AS$280</f>
        <v>1384.8805436838788</v>
      </c>
      <c r="AT197" s="36">
        <f>AT161/AT$280</f>
        <v>2149.7534454419015</v>
      </c>
      <c r="AU197" s="36">
        <f>AU161/AU$280</f>
        <v>1574.063670411985</v>
      </c>
      <c r="AV197" s="36">
        <f t="shared" si="134"/>
        <v>1574.063670411985</v>
      </c>
      <c r="AW197" s="36">
        <f>AW161/AW$280</f>
        <v>1618.0098059526276</v>
      </c>
      <c r="AX197" s="36">
        <f>AX161/AX$280</f>
        <v>1431.4817302525523</v>
      </c>
      <c r="AY197" s="36">
        <f>AY161/AY$280</f>
        <v>1820.7971384772611</v>
      </c>
    </row>
    <row r="198" spans="1:60">
      <c r="A198" s="9" t="s">
        <v>192</v>
      </c>
      <c r="B198" s="9"/>
      <c r="C198" s="9"/>
      <c r="D198" s="9"/>
      <c r="E198" s="9"/>
      <c r="F198" s="9"/>
      <c r="G198" s="9"/>
      <c r="H198" s="9"/>
      <c r="I198" s="9"/>
      <c r="J198" s="9"/>
      <c r="K198" s="9"/>
      <c r="L198" s="9"/>
      <c r="M198" s="9"/>
      <c r="N198" s="9"/>
      <c r="O198" s="9"/>
      <c r="P198" s="9"/>
      <c r="Q198" s="9"/>
      <c r="R198" s="9"/>
      <c r="S198" s="9"/>
      <c r="T198" s="9"/>
      <c r="U198" s="9"/>
      <c r="V198" s="39">
        <f>V161/V$280</f>
        <v>4945.1254249747317</v>
      </c>
      <c r="W198" s="39">
        <f>V198</f>
        <v>4945.1254249747317</v>
      </c>
      <c r="X198" s="9"/>
      <c r="Y198" s="9"/>
      <c r="Z198" s="9"/>
      <c r="AA198" s="39">
        <f>AA161/AA$280</f>
        <v>6486.4059253906607</v>
      </c>
      <c r="AB198" s="39">
        <f>AA198</f>
        <v>6486.4059253906607</v>
      </c>
      <c r="AC198" s="9"/>
      <c r="AD198" s="9"/>
      <c r="AE198" s="9"/>
      <c r="AF198" s="39">
        <f>AF161/AF$280</f>
        <v>3278.9525288013729</v>
      </c>
      <c r="AG198" s="39">
        <f>AF198</f>
        <v>3278.9525288013729</v>
      </c>
      <c r="AH198" s="9"/>
      <c r="AI198" s="9"/>
      <c r="AJ198" s="9"/>
      <c r="AK198" s="39">
        <f>AK161/AK$280</f>
        <v>4796.2854789185949</v>
      </c>
      <c r="AL198" s="39">
        <f>AK198</f>
        <v>4796.2854789185949</v>
      </c>
      <c r="AM198" s="39">
        <f>AM161/AM$280</f>
        <v>3623.4843782329813</v>
      </c>
      <c r="AN198" s="39">
        <f>AN161/AN$280</f>
        <v>4451.9922449525338</v>
      </c>
      <c r="AO198" s="39">
        <f>AO161/AO$280</f>
        <v>3549.9259677078189</v>
      </c>
      <c r="AP198" s="702">
        <f>AP161/AP$280</f>
        <v>4286.5464632454923</v>
      </c>
      <c r="AQ198" s="39">
        <f t="shared" si="133"/>
        <v>4286.5464632454923</v>
      </c>
      <c r="AR198" s="39">
        <f>SUM(AR195:AR197)</f>
        <v>2292.8912895014591</v>
      </c>
      <c r="AS198" s="39">
        <f>SUM(AS195:AS197)</f>
        <v>2882.4143487704059</v>
      </c>
      <c r="AT198" s="39">
        <f>SUM(AT195:AT197)</f>
        <v>4185.832595776963</v>
      </c>
      <c r="AU198" s="39">
        <f>SUM(AU195:AU197)</f>
        <v>3659.3699839486353</v>
      </c>
      <c r="AV198" s="39">
        <f t="shared" si="134"/>
        <v>3659.3699839486353</v>
      </c>
      <c r="AW198" s="39">
        <f>SUM(AW195:AW197)</f>
        <v>3573.7587183205578</v>
      </c>
      <c r="AX198" s="39">
        <f>SUM(AX195:AX197)</f>
        <v>3949.1133799032777</v>
      </c>
      <c r="AY198" s="39">
        <f>SUM(AY195:AY197)</f>
        <v>5437.0528870720491</v>
      </c>
    </row>
    <row r="200" spans="1:60">
      <c r="A200" s="9" t="s">
        <v>89</v>
      </c>
      <c r="B200" s="9"/>
      <c r="C200" s="9"/>
      <c r="D200" s="9"/>
      <c r="E200" s="9"/>
      <c r="F200" s="9"/>
      <c r="G200" s="9"/>
      <c r="H200" s="9"/>
      <c r="I200" s="9"/>
      <c r="J200" s="9"/>
      <c r="K200" s="9"/>
      <c r="L200" s="9"/>
      <c r="M200" s="9"/>
      <c r="N200" s="9"/>
      <c r="O200" s="9"/>
      <c r="P200" s="9"/>
      <c r="Q200" s="9"/>
      <c r="R200" s="9"/>
      <c r="S200" s="9"/>
      <c r="T200" s="9"/>
      <c r="U200" s="9"/>
      <c r="V200" s="39">
        <f>V163/V$280</f>
        <v>30956.675549021409</v>
      </c>
      <c r="W200" s="39">
        <f>V200</f>
        <v>30956.675549021409</v>
      </c>
      <c r="X200" s="9"/>
      <c r="Y200" s="9"/>
      <c r="Z200" s="9"/>
      <c r="AA200" s="39">
        <f>AA163/AA$280</f>
        <v>42116.5658025472</v>
      </c>
      <c r="AB200" s="39">
        <f>AA200</f>
        <v>42116.5658025472</v>
      </c>
      <c r="AC200" s="9"/>
      <c r="AD200" s="9"/>
      <c r="AE200" s="9"/>
      <c r="AF200" s="39">
        <f>AF163/AF$280</f>
        <v>42233.850804804315</v>
      </c>
      <c r="AG200" s="39">
        <f>AF200</f>
        <v>42233.850804804315</v>
      </c>
      <c r="AH200" s="9"/>
      <c r="AI200" s="9"/>
      <c r="AJ200" s="9"/>
      <c r="AK200" s="39">
        <f>AK163/AK$280</f>
        <v>51862.150827529396</v>
      </c>
      <c r="AL200" s="39">
        <f>AK200</f>
        <v>51862.150827529396</v>
      </c>
      <c r="AM200" s="39">
        <f>AM163/AM$280</f>
        <v>50459.666183874746</v>
      </c>
      <c r="AN200" s="39">
        <f>AN163/AN$280</f>
        <v>44844.317422115251</v>
      </c>
      <c r="AO200" s="39">
        <f>AO163/AO$280</f>
        <v>43458.386801099907</v>
      </c>
      <c r="AP200" s="39">
        <f>AP163/AP$280</f>
        <v>40861.726438148078</v>
      </c>
      <c r="AQ200" s="39">
        <f>AP200</f>
        <v>40861.726438148078</v>
      </c>
      <c r="AR200" s="39">
        <f>AR163/AR$280</f>
        <v>34140.007450176941</v>
      </c>
      <c r="AS200" s="39">
        <f>AS163/AS$280</f>
        <v>31362.012190849859</v>
      </c>
      <c r="AT200" s="39">
        <f>AT163/AT$280</f>
        <v>29460.254140852194</v>
      </c>
      <c r="AU200" s="39">
        <f>AU163/AU$280</f>
        <v>24832.985553772069</v>
      </c>
      <c r="AV200" s="39">
        <f>AU200</f>
        <v>24832.985553772069</v>
      </c>
      <c r="AW200" s="39">
        <f>AW163/AW$280</f>
        <v>28906.981562046818</v>
      </c>
      <c r="AX200" s="39">
        <f>AX163/AX$280</f>
        <v>33455.339871037075</v>
      </c>
      <c r="AY200" s="39">
        <f>AY163/AY$280</f>
        <v>28146.857434849258</v>
      </c>
    </row>
    <row r="201" spans="1:60">
      <c r="AP201" s="26"/>
      <c r="AQ201" s="26"/>
    </row>
    <row r="202" spans="1:60" s="2" customFormat="1">
      <c r="A202" s="4" t="s">
        <v>2311</v>
      </c>
      <c r="AP202" s="258"/>
      <c r="AQ202" s="258"/>
      <c r="BH202" s="46"/>
    </row>
    <row r="203" spans="1:60">
      <c r="AP203" s="26"/>
      <c r="AQ203" s="26"/>
    </row>
    <row r="204" spans="1:60">
      <c r="A204" s="3" t="s">
        <v>2314</v>
      </c>
      <c r="AP204" s="26"/>
      <c r="AQ204" s="26"/>
    </row>
    <row r="205" spans="1:60">
      <c r="AP205" s="26"/>
      <c r="AQ205" s="26"/>
    </row>
    <row r="206" spans="1:60">
      <c r="A206" s="1" t="s">
        <v>2032</v>
      </c>
      <c r="AP206" s="26"/>
      <c r="AQ206" s="26"/>
    </row>
    <row r="207" spans="1:60">
      <c r="A207" s="5" t="s">
        <v>2033</v>
      </c>
      <c r="V207" s="36">
        <f>V21-V134</f>
        <v>5073349</v>
      </c>
      <c r="W207" s="36">
        <f>W21-W134</f>
        <v>5073349</v>
      </c>
      <c r="AA207" s="36">
        <f>AA21-AA134</f>
        <v>4210173</v>
      </c>
      <c r="AB207" s="36">
        <f>AB21-AB134</f>
        <v>4210173</v>
      </c>
      <c r="AF207" s="36">
        <f>AF21-AF134</f>
        <v>4939611</v>
      </c>
      <c r="AG207" s="36">
        <f>AG21-AG134</f>
        <v>4939611</v>
      </c>
      <c r="AK207" s="36">
        <f t="shared" ref="AK207:AV207" si="137">AK21-AK134</f>
        <v>2852116</v>
      </c>
      <c r="AL207" s="36">
        <f t="shared" si="137"/>
        <v>2852116</v>
      </c>
      <c r="AM207" s="36">
        <f t="shared" si="137"/>
        <v>2050334</v>
      </c>
      <c r="AN207" s="36">
        <f t="shared" si="137"/>
        <v>3750447</v>
      </c>
      <c r="AO207" s="36">
        <f t="shared" si="137"/>
        <v>4050209</v>
      </c>
      <c r="AP207" s="36">
        <f t="shared" si="137"/>
        <v>4597537</v>
      </c>
      <c r="AQ207" s="36">
        <f t="shared" si="137"/>
        <v>4597537</v>
      </c>
      <c r="AR207" s="36">
        <f t="shared" si="137"/>
        <v>5260153</v>
      </c>
      <c r="AS207" s="36">
        <f t="shared" si="137"/>
        <v>5928145</v>
      </c>
      <c r="AT207" s="36">
        <f t="shared" si="137"/>
        <v>6432953</v>
      </c>
      <c r="AU207" s="36">
        <f t="shared" si="137"/>
        <v>7341670</v>
      </c>
      <c r="AV207" s="36">
        <f t="shared" si="137"/>
        <v>7341670</v>
      </c>
      <c r="AW207" s="36">
        <f t="shared" ref="AW207:AY207" si="138">AW21-AW134</f>
        <v>8874247</v>
      </c>
      <c r="AX207" s="36">
        <f t="shared" si="138"/>
        <v>8633545</v>
      </c>
      <c r="AY207" s="36">
        <f t="shared" si="138"/>
        <v>10184217</v>
      </c>
    </row>
    <row r="208" spans="1:60">
      <c r="A208" s="5" t="s">
        <v>2034</v>
      </c>
      <c r="V208" s="36">
        <f>V26-V135</f>
        <v>1712423</v>
      </c>
      <c r="W208" s="36">
        <f>W26-W135</f>
        <v>1712423</v>
      </c>
      <c r="AA208" s="36">
        <f>AA26-AA135</f>
        <v>4926459</v>
      </c>
      <c r="AB208" s="36">
        <f>AB26-AB135</f>
        <v>4926459</v>
      </c>
      <c r="AF208" s="36">
        <f>AF26-AF135</f>
        <v>7367302</v>
      </c>
      <c r="AG208" s="36">
        <f>AG26-AG135</f>
        <v>7367302</v>
      </c>
      <c r="AK208" s="36">
        <f t="shared" ref="AK208:AV208" si="139">AK26-AK135</f>
        <v>5785584</v>
      </c>
      <c r="AL208" s="36">
        <f t="shared" si="139"/>
        <v>5785584</v>
      </c>
      <c r="AM208" s="36">
        <f t="shared" si="139"/>
        <v>7426047</v>
      </c>
      <c r="AN208" s="36">
        <f t="shared" si="139"/>
        <v>7647950</v>
      </c>
      <c r="AO208" s="36">
        <f t="shared" si="139"/>
        <v>7147684</v>
      </c>
      <c r="AP208" s="36">
        <f t="shared" si="139"/>
        <v>7412528</v>
      </c>
      <c r="AQ208" s="36">
        <f t="shared" si="139"/>
        <v>7412528</v>
      </c>
      <c r="AR208" s="36">
        <f t="shared" si="139"/>
        <v>6852828</v>
      </c>
      <c r="AS208" s="36">
        <f t="shared" si="139"/>
        <v>5755156</v>
      </c>
      <c r="AT208" s="36">
        <f t="shared" si="139"/>
        <v>4797013</v>
      </c>
      <c r="AU208" s="36">
        <f t="shared" si="139"/>
        <v>3364044</v>
      </c>
      <c r="AV208" s="36">
        <f t="shared" si="139"/>
        <v>3364044</v>
      </c>
      <c r="AW208" s="36">
        <f t="shared" ref="AW208:AY208" si="140">AW26-AW135</f>
        <v>2291793</v>
      </c>
      <c r="AX208" s="36">
        <f t="shared" si="140"/>
        <v>1793079</v>
      </c>
      <c r="AY208" s="36">
        <f t="shared" si="140"/>
        <v>4258981</v>
      </c>
    </row>
    <row r="209" spans="1:51">
      <c r="A209" s="5" t="s">
        <v>958</v>
      </c>
      <c r="V209" s="36">
        <f>V30-V136</f>
        <v>0</v>
      </c>
      <c r="W209" s="36">
        <f>W30-W136</f>
        <v>0</v>
      </c>
      <c r="AA209" s="36">
        <f>AA30-AA136</f>
        <v>1645240</v>
      </c>
      <c r="AB209" s="36">
        <f>AB30-AB136</f>
        <v>1645240</v>
      </c>
      <c r="AF209" s="36">
        <f>AF30-AF136</f>
        <v>-6943</v>
      </c>
      <c r="AG209" s="36">
        <f>AG30-AG136</f>
        <v>-6943</v>
      </c>
      <c r="AK209" s="36">
        <f t="shared" ref="AK209:AV209" si="141">AK30-AK136</f>
        <v>-18231</v>
      </c>
      <c r="AL209" s="36">
        <f t="shared" si="141"/>
        <v>-18231</v>
      </c>
      <c r="AM209" s="36">
        <f t="shared" si="141"/>
        <v>-243316</v>
      </c>
      <c r="AN209" s="36">
        <f t="shared" si="141"/>
        <v>-1027075</v>
      </c>
      <c r="AO209" s="36">
        <f t="shared" si="141"/>
        <v>-841367</v>
      </c>
      <c r="AP209" s="36">
        <f t="shared" si="141"/>
        <v>-794508</v>
      </c>
      <c r="AQ209" s="36">
        <f t="shared" si="141"/>
        <v>-794508</v>
      </c>
      <c r="AR209" s="36">
        <f t="shared" si="141"/>
        <v>-702294</v>
      </c>
      <c r="AS209" s="36">
        <f t="shared" si="141"/>
        <v>-499225</v>
      </c>
      <c r="AT209" s="36">
        <f t="shared" si="141"/>
        <v>-123428</v>
      </c>
      <c r="AU209" s="36">
        <f t="shared" si="141"/>
        <v>28468</v>
      </c>
      <c r="AV209" s="36">
        <f t="shared" si="141"/>
        <v>28468</v>
      </c>
      <c r="AW209" s="36">
        <f t="shared" ref="AW209:AY209" si="142">AW30-AW136</f>
        <v>-4869</v>
      </c>
      <c r="AX209" s="36">
        <f t="shared" si="142"/>
        <v>-19079</v>
      </c>
      <c r="AY209" s="36">
        <f t="shared" si="142"/>
        <v>458326</v>
      </c>
    </row>
    <row r="210" spans="1:51">
      <c r="A210" s="5" t="s">
        <v>947</v>
      </c>
      <c r="V210" s="36"/>
      <c r="W210" s="36"/>
      <c r="AA210" s="36"/>
      <c r="AB210" s="36"/>
      <c r="AF210" s="36"/>
      <c r="AG210" s="36"/>
      <c r="AK210" s="36"/>
      <c r="AL210" s="36"/>
      <c r="AM210" s="36"/>
      <c r="AN210" s="36"/>
      <c r="AO210" s="36"/>
      <c r="AP210" s="36"/>
      <c r="AQ210" s="36"/>
      <c r="AR210" s="36">
        <f t="shared" ref="AR210:AV211" si="143">AR32-AR137</f>
        <v>-204573</v>
      </c>
      <c r="AS210" s="36">
        <f t="shared" si="143"/>
        <v>-218193</v>
      </c>
      <c r="AT210" s="36">
        <f t="shared" si="143"/>
        <v>-145902</v>
      </c>
      <c r="AU210" s="36">
        <f t="shared" si="143"/>
        <v>-220497</v>
      </c>
      <c r="AV210" s="36">
        <f t="shared" si="143"/>
        <v>-220497</v>
      </c>
      <c r="AW210" s="36">
        <f t="shared" ref="AW210:AX210" si="144">AW32-AW137</f>
        <v>-818905</v>
      </c>
      <c r="AX210" s="36">
        <f t="shared" si="144"/>
        <v>-318886</v>
      </c>
      <c r="AY210" s="36">
        <f>AY32-AY137</f>
        <v>-236323</v>
      </c>
    </row>
    <row r="211" spans="1:51">
      <c r="A211" s="9" t="s">
        <v>2032</v>
      </c>
      <c r="B211" s="9"/>
      <c r="C211" s="9"/>
      <c r="D211" s="9"/>
      <c r="E211" s="9"/>
      <c r="F211" s="9"/>
      <c r="G211" s="9"/>
      <c r="H211" s="9"/>
      <c r="I211" s="9"/>
      <c r="J211" s="9"/>
      <c r="K211" s="9"/>
      <c r="L211" s="9"/>
      <c r="M211" s="9"/>
      <c r="N211" s="9"/>
      <c r="O211" s="9"/>
      <c r="P211" s="9"/>
      <c r="Q211" s="9"/>
      <c r="R211" s="9"/>
      <c r="S211" s="9"/>
      <c r="T211" s="9"/>
      <c r="U211" s="9"/>
      <c r="V211" s="39">
        <f>V33-V138</f>
        <v>6785772</v>
      </c>
      <c r="W211" s="39">
        <f>W33-W138</f>
        <v>6785772</v>
      </c>
      <c r="X211" s="9"/>
      <c r="Y211" s="9"/>
      <c r="Z211" s="9"/>
      <c r="AA211" s="39">
        <f>AA33-AA138</f>
        <v>10781872</v>
      </c>
      <c r="AB211" s="39">
        <f>AB33-AB138</f>
        <v>10781872</v>
      </c>
      <c r="AC211" s="9"/>
      <c r="AD211" s="9"/>
      <c r="AE211" s="9"/>
      <c r="AF211" s="39">
        <f>AF33-AF138</f>
        <v>12299970</v>
      </c>
      <c r="AG211" s="39">
        <f>AG33-AG138</f>
        <v>12299970</v>
      </c>
      <c r="AH211" s="9"/>
      <c r="AI211" s="9"/>
      <c r="AJ211" s="9"/>
      <c r="AK211" s="39">
        <f t="shared" ref="AK211:AQ211" si="145">AK33-AK138</f>
        <v>8619469</v>
      </c>
      <c r="AL211" s="39">
        <f t="shared" si="145"/>
        <v>8619469</v>
      </c>
      <c r="AM211" s="39">
        <f t="shared" si="145"/>
        <v>9233065</v>
      </c>
      <c r="AN211" s="39">
        <f t="shared" si="145"/>
        <v>10371322</v>
      </c>
      <c r="AO211" s="39">
        <f t="shared" si="145"/>
        <v>10356526</v>
      </c>
      <c r="AP211" s="39">
        <f t="shared" si="145"/>
        <v>11215557</v>
      </c>
      <c r="AQ211" s="39">
        <f t="shared" si="145"/>
        <v>11215557</v>
      </c>
      <c r="AR211" s="39">
        <f t="shared" si="143"/>
        <v>11206114</v>
      </c>
      <c r="AS211" s="39">
        <f t="shared" si="143"/>
        <v>10965883</v>
      </c>
      <c r="AT211" s="39">
        <f t="shared" si="143"/>
        <v>10960636</v>
      </c>
      <c r="AU211" s="39">
        <f t="shared" si="143"/>
        <v>10513685</v>
      </c>
      <c r="AV211" s="39">
        <f t="shared" si="143"/>
        <v>10513685</v>
      </c>
      <c r="AW211" s="39">
        <f t="shared" ref="AW211:AX211" si="146">AW33-AW138</f>
        <v>10342266</v>
      </c>
      <c r="AX211" s="39">
        <f t="shared" si="146"/>
        <v>10088659</v>
      </c>
      <c r="AY211" s="39">
        <f>AY33-AY138</f>
        <v>14665201</v>
      </c>
    </row>
    <row r="212" spans="1:51">
      <c r="A212" s="1" t="s">
        <v>706</v>
      </c>
      <c r="V212" s="36">
        <f>V211-SUM(V207:V209)</f>
        <v>0</v>
      </c>
      <c r="W212" s="36">
        <f>W211-SUM(W207:W209)</f>
        <v>0</v>
      </c>
      <c r="AA212" s="36">
        <f>AA211-SUM(AA207:AA209)</f>
        <v>0</v>
      </c>
      <c r="AB212" s="36">
        <f>AB211-SUM(AB207:AB209)</f>
        <v>0</v>
      </c>
      <c r="AF212" s="36">
        <f>AF211-SUM(AF207:AF209)</f>
        <v>0</v>
      </c>
      <c r="AG212" s="36">
        <f>AG211-SUM(AG207:AG209)</f>
        <v>0</v>
      </c>
      <c r="AK212" s="36">
        <f t="shared" ref="AK212:AO212" si="147">AK211-SUM(AK207:AK209)</f>
        <v>0</v>
      </c>
      <c r="AL212" s="36">
        <f t="shared" si="147"/>
        <v>0</v>
      </c>
      <c r="AM212" s="36">
        <f t="shared" si="147"/>
        <v>0</v>
      </c>
      <c r="AN212" s="36">
        <f t="shared" si="147"/>
        <v>0</v>
      </c>
      <c r="AO212" s="36">
        <f t="shared" si="147"/>
        <v>0</v>
      </c>
      <c r="AP212" s="36">
        <f t="shared" ref="AP212" si="148">AP211-SUM(AP207:AP209)</f>
        <v>0</v>
      </c>
      <c r="AQ212" s="36">
        <f t="shared" ref="AQ212" si="149">AQ211-SUM(AQ207:AQ209)</f>
        <v>0</v>
      </c>
      <c r="AR212" s="36">
        <f t="shared" ref="AR212:AW212" si="150">AR211-SUM(AR207:AR210)</f>
        <v>0</v>
      </c>
      <c r="AS212" s="36">
        <f t="shared" si="150"/>
        <v>0</v>
      </c>
      <c r="AT212" s="36">
        <f t="shared" si="150"/>
        <v>0</v>
      </c>
      <c r="AU212" s="36">
        <f t="shared" si="150"/>
        <v>0</v>
      </c>
      <c r="AV212" s="36">
        <f t="shared" si="150"/>
        <v>0</v>
      </c>
      <c r="AW212" s="36">
        <f t="shared" si="150"/>
        <v>0</v>
      </c>
      <c r="AX212" s="36">
        <f t="shared" ref="AX212:AY212" si="151">AX211-SUM(AX207:AX210)</f>
        <v>0</v>
      </c>
      <c r="AY212" s="36">
        <f t="shared" si="151"/>
        <v>0</v>
      </c>
    </row>
    <row r="214" spans="1:51">
      <c r="A214" s="28" t="s">
        <v>276</v>
      </c>
      <c r="V214" s="36"/>
      <c r="W214" s="36"/>
      <c r="AA214" s="36"/>
      <c r="AB214" s="36"/>
      <c r="AF214" s="36"/>
      <c r="AG214" s="36"/>
      <c r="AK214" s="36"/>
      <c r="AL214" s="36"/>
      <c r="AM214" s="36"/>
      <c r="AN214" s="36"/>
      <c r="AO214" s="36"/>
      <c r="AP214" s="36">
        <f>AP207-AP215</f>
        <v>1757231</v>
      </c>
      <c r="AQ214" s="36">
        <f t="shared" ref="AQ214:AW214" si="152">AQ207-AQ215</f>
        <v>1757231</v>
      </c>
      <c r="AR214" s="36">
        <f t="shared" si="152"/>
        <v>1990797</v>
      </c>
      <c r="AS214" s="36">
        <f t="shared" si="152"/>
        <v>1495189</v>
      </c>
      <c r="AT214" s="36">
        <f t="shared" si="152"/>
        <v>1785808</v>
      </c>
      <c r="AU214" s="36">
        <f t="shared" si="152"/>
        <v>1371633</v>
      </c>
      <c r="AV214" s="36">
        <f t="shared" si="152"/>
        <v>1371633</v>
      </c>
      <c r="AW214" s="36">
        <f t="shared" si="152"/>
        <v>1891169</v>
      </c>
      <c r="AX214" s="36">
        <f t="shared" ref="AX214:AY214" si="153">AX207-AX215</f>
        <v>1609041</v>
      </c>
      <c r="AY214" s="36">
        <f t="shared" si="153"/>
        <v>1458353</v>
      </c>
    </row>
    <row r="215" spans="1:51">
      <c r="A215" s="9" t="s">
        <v>3103</v>
      </c>
      <c r="B215" s="9"/>
      <c r="C215" s="9"/>
      <c r="D215" s="9"/>
      <c r="E215" s="9"/>
      <c r="F215" s="9"/>
      <c r="G215" s="9"/>
      <c r="H215" s="9"/>
      <c r="I215" s="9"/>
      <c r="J215" s="9"/>
      <c r="K215" s="9"/>
      <c r="L215" s="9"/>
      <c r="M215" s="9"/>
      <c r="N215" s="9"/>
      <c r="O215" s="9"/>
      <c r="P215" s="9"/>
      <c r="Q215" s="9"/>
      <c r="R215" s="9"/>
      <c r="S215" s="9"/>
      <c r="T215" s="9"/>
      <c r="U215" s="9"/>
      <c r="V215" s="39"/>
      <c r="W215" s="39"/>
      <c r="X215" s="9"/>
      <c r="Y215" s="9"/>
      <c r="Z215" s="9"/>
      <c r="AA215" s="39"/>
      <c r="AB215" s="39"/>
      <c r="AC215" s="9"/>
      <c r="AD215" s="9"/>
      <c r="AE215" s="9"/>
      <c r="AF215" s="39"/>
      <c r="AG215" s="39"/>
      <c r="AH215" s="9"/>
      <c r="AI215" s="9"/>
      <c r="AJ215" s="9"/>
      <c r="AK215" s="39"/>
      <c r="AL215" s="39"/>
      <c r="AM215" s="39"/>
      <c r="AN215" s="39"/>
      <c r="AO215" s="39"/>
      <c r="AP215" s="39">
        <f>AP21-AP141</f>
        <v>2840306</v>
      </c>
      <c r="AQ215" s="39">
        <f t="shared" ref="AQ215:AW215" si="154">AQ21-AQ141</f>
        <v>2840306</v>
      </c>
      <c r="AR215" s="39">
        <f t="shared" si="154"/>
        <v>3269356</v>
      </c>
      <c r="AS215" s="39">
        <f t="shared" si="154"/>
        <v>4432956</v>
      </c>
      <c r="AT215" s="39">
        <f t="shared" si="154"/>
        <v>4647145</v>
      </c>
      <c r="AU215" s="39">
        <f t="shared" si="154"/>
        <v>5970037</v>
      </c>
      <c r="AV215" s="39">
        <f t="shared" si="154"/>
        <v>5970037</v>
      </c>
      <c r="AW215" s="39">
        <f t="shared" si="154"/>
        <v>6983078</v>
      </c>
      <c r="AX215" s="39">
        <f t="shared" ref="AX215:AY215" si="155">AX21-AX141</f>
        <v>7024504</v>
      </c>
      <c r="AY215" s="39">
        <f t="shared" si="155"/>
        <v>8725864</v>
      </c>
    </row>
    <row r="217" spans="1:51">
      <c r="A217" s="1" t="s">
        <v>2035</v>
      </c>
    </row>
    <row r="218" spans="1:51">
      <c r="A218" s="5" t="s">
        <v>84</v>
      </c>
      <c r="V218" s="36">
        <f>V36-V144</f>
        <v>395515</v>
      </c>
      <c r="W218" s="36">
        <f>W36-W144</f>
        <v>395515</v>
      </c>
      <c r="AA218" s="36">
        <f>AA36-AA144</f>
        <v>376647</v>
      </c>
      <c r="AB218" s="36">
        <f>AB36-AB144</f>
        <v>376647</v>
      </c>
      <c r="AF218" s="36">
        <f t="shared" ref="AF218:AG222" si="156">AF36-AF144</f>
        <v>288781</v>
      </c>
      <c r="AG218" s="36">
        <f t="shared" si="156"/>
        <v>288781</v>
      </c>
      <c r="AK218" s="36">
        <f t="shared" ref="AK218:AW218" si="157">AK36-AK144</f>
        <v>480522</v>
      </c>
      <c r="AL218" s="36">
        <f t="shared" si="157"/>
        <v>480522</v>
      </c>
      <c r="AM218" s="36">
        <f t="shared" si="157"/>
        <v>545530</v>
      </c>
      <c r="AN218" s="36">
        <f t="shared" si="157"/>
        <v>-48122</v>
      </c>
      <c r="AO218" s="36">
        <f t="shared" si="157"/>
        <v>-31115</v>
      </c>
      <c r="AP218" s="36">
        <f t="shared" si="157"/>
        <v>-65748</v>
      </c>
      <c r="AQ218" s="36">
        <f t="shared" si="157"/>
        <v>-65748</v>
      </c>
      <c r="AR218" s="36">
        <f t="shared" si="157"/>
        <v>-22027</v>
      </c>
      <c r="AS218" s="36">
        <f t="shared" si="157"/>
        <v>-47664</v>
      </c>
      <c r="AT218" s="36">
        <f t="shared" si="157"/>
        <v>-21720</v>
      </c>
      <c r="AU218" s="36">
        <f t="shared" si="157"/>
        <v>-30314</v>
      </c>
      <c r="AV218" s="36">
        <f t="shared" si="157"/>
        <v>-30314</v>
      </c>
      <c r="AW218" s="36">
        <f t="shared" si="157"/>
        <v>-61991</v>
      </c>
      <c r="AX218" s="36">
        <f t="shared" ref="AX218:AY218" si="158">AX36-AX144</f>
        <v>-88881</v>
      </c>
      <c r="AY218" s="36">
        <f t="shared" si="158"/>
        <v>-132620</v>
      </c>
    </row>
    <row r="219" spans="1:51">
      <c r="A219" s="5" t="s">
        <v>83</v>
      </c>
      <c r="V219" s="36">
        <f>V37-V145</f>
        <v>-1193</v>
      </c>
      <c r="W219" s="36">
        <f>W37-W145</f>
        <v>-1193</v>
      </c>
      <c r="AA219" s="36">
        <f>AA37-AA145</f>
        <v>-63470</v>
      </c>
      <c r="AB219" s="36">
        <f>AB37-AB145</f>
        <v>-63470</v>
      </c>
      <c r="AF219" s="36">
        <f t="shared" si="156"/>
        <v>581078</v>
      </c>
      <c r="AG219" s="36">
        <f t="shared" si="156"/>
        <v>581078</v>
      </c>
      <c r="AK219" s="36">
        <f t="shared" ref="AK219:AW219" si="159">AK37-AK145</f>
        <v>733074</v>
      </c>
      <c r="AL219" s="36">
        <f t="shared" si="159"/>
        <v>733074</v>
      </c>
      <c r="AM219" s="36">
        <f t="shared" si="159"/>
        <v>764854</v>
      </c>
      <c r="AN219" s="36">
        <f t="shared" si="159"/>
        <v>519802</v>
      </c>
      <c r="AO219" s="36">
        <f t="shared" si="159"/>
        <v>491453</v>
      </c>
      <c r="AP219" s="36">
        <f t="shared" si="159"/>
        <v>445831</v>
      </c>
      <c r="AQ219" s="36">
        <f t="shared" si="159"/>
        <v>445831</v>
      </c>
      <c r="AR219" s="36">
        <f t="shared" si="159"/>
        <v>539823</v>
      </c>
      <c r="AS219" s="36">
        <f t="shared" si="159"/>
        <v>475250</v>
      </c>
      <c r="AT219" s="36">
        <f t="shared" si="159"/>
        <v>493716</v>
      </c>
      <c r="AU219" s="36">
        <f t="shared" si="159"/>
        <v>471980</v>
      </c>
      <c r="AV219" s="36">
        <f t="shared" si="159"/>
        <v>471980</v>
      </c>
      <c r="AW219" s="36">
        <f t="shared" si="159"/>
        <v>435183</v>
      </c>
      <c r="AX219" s="36">
        <f t="shared" ref="AX219:AY219" si="160">AX37-AX145</f>
        <v>453907</v>
      </c>
      <c r="AY219" s="36">
        <f t="shared" si="160"/>
        <v>734078</v>
      </c>
    </row>
    <row r="220" spans="1:51">
      <c r="A220" s="5" t="s">
        <v>944</v>
      </c>
      <c r="V220" s="36"/>
      <c r="W220" s="36"/>
      <c r="AA220" s="36"/>
      <c r="AB220" s="36"/>
      <c r="AF220" s="36">
        <f t="shared" si="156"/>
        <v>7289</v>
      </c>
      <c r="AG220" s="36">
        <f t="shared" si="156"/>
        <v>7289</v>
      </c>
      <c r="AK220" s="36">
        <f t="shared" ref="AK220:AW220" si="161">AK38-AK146</f>
        <v>-2818</v>
      </c>
      <c r="AL220" s="36">
        <f t="shared" si="161"/>
        <v>-2818</v>
      </c>
      <c r="AM220" s="36">
        <f t="shared" si="161"/>
        <v>-3348</v>
      </c>
      <c r="AN220" s="36">
        <f t="shared" si="161"/>
        <v>-3406</v>
      </c>
      <c r="AO220" s="36">
        <f t="shared" si="161"/>
        <v>-4128</v>
      </c>
      <c r="AP220" s="36">
        <f t="shared" si="161"/>
        <v>-3084</v>
      </c>
      <c r="AQ220" s="36">
        <f t="shared" si="161"/>
        <v>-3084</v>
      </c>
      <c r="AR220" s="36">
        <f t="shared" si="161"/>
        <v>-4038</v>
      </c>
      <c r="AS220" s="36">
        <f t="shared" si="161"/>
        <v>-4315</v>
      </c>
      <c r="AT220" s="36">
        <f t="shared" si="161"/>
        <v>-3460</v>
      </c>
      <c r="AU220" s="36">
        <f t="shared" si="161"/>
        <v>-4497</v>
      </c>
      <c r="AV220" s="36">
        <f t="shared" si="161"/>
        <v>-4497</v>
      </c>
      <c r="AW220" s="36">
        <f t="shared" si="161"/>
        <v>-2834</v>
      </c>
      <c r="AX220" s="36">
        <f t="shared" ref="AX220:AY220" si="162">AX38-AX146</f>
        <v>-11038</v>
      </c>
      <c r="AY220" s="36">
        <f t="shared" si="162"/>
        <v>-8377</v>
      </c>
    </row>
    <row r="221" spans="1:51">
      <c r="A221" s="5" t="s">
        <v>2036</v>
      </c>
      <c r="V221" s="36">
        <f>V39-V147</f>
        <v>-37982</v>
      </c>
      <c r="W221" s="36">
        <f>W39-W147</f>
        <v>-37982</v>
      </c>
      <c r="AA221" s="36">
        <f>AA39-AA147</f>
        <v>-25532</v>
      </c>
      <c r="AB221" s="36">
        <f>AB39-AB147</f>
        <v>-25532</v>
      </c>
      <c r="AF221" s="36">
        <f t="shared" si="156"/>
        <v>-23581</v>
      </c>
      <c r="AG221" s="36">
        <f t="shared" si="156"/>
        <v>-23581</v>
      </c>
      <c r="AK221" s="36">
        <f t="shared" ref="AK221:AW221" si="163">AK39-AK147</f>
        <v>-82673</v>
      </c>
      <c r="AL221" s="36">
        <f t="shared" si="163"/>
        <v>-82673</v>
      </c>
      <c r="AM221" s="36">
        <f t="shared" si="163"/>
        <v>-30123</v>
      </c>
      <c r="AN221" s="36">
        <f t="shared" si="163"/>
        <v>-32059</v>
      </c>
      <c r="AO221" s="36">
        <f t="shared" si="163"/>
        <v>-38694</v>
      </c>
      <c r="AP221" s="36">
        <f t="shared" si="163"/>
        <v>-43044</v>
      </c>
      <c r="AQ221" s="36">
        <f t="shared" si="163"/>
        <v>-43044</v>
      </c>
      <c r="AR221" s="36">
        <f t="shared" si="163"/>
        <v>-48393</v>
      </c>
      <c r="AS221" s="36">
        <f t="shared" si="163"/>
        <v>-50077</v>
      </c>
      <c r="AT221" s="36">
        <f t="shared" si="163"/>
        <v>-58730</v>
      </c>
      <c r="AU221" s="36">
        <f t="shared" si="163"/>
        <v>-54993</v>
      </c>
      <c r="AV221" s="36">
        <f t="shared" si="163"/>
        <v>-54993</v>
      </c>
      <c r="AW221" s="36">
        <f t="shared" si="163"/>
        <v>-48984</v>
      </c>
      <c r="AX221" s="36">
        <f t="shared" ref="AX221:AY221" si="164">AX39-AX147</f>
        <v>-62111</v>
      </c>
      <c r="AY221" s="36">
        <f t="shared" si="164"/>
        <v>-76981</v>
      </c>
    </row>
    <row r="222" spans="1:51">
      <c r="A222" s="9" t="s">
        <v>2035</v>
      </c>
      <c r="B222" s="9"/>
      <c r="C222" s="9"/>
      <c r="D222" s="9"/>
      <c r="E222" s="9"/>
      <c r="F222" s="9"/>
      <c r="G222" s="9"/>
      <c r="H222" s="9"/>
      <c r="I222" s="9"/>
      <c r="J222" s="9"/>
      <c r="K222" s="9"/>
      <c r="L222" s="9"/>
      <c r="M222" s="9"/>
      <c r="N222" s="9"/>
      <c r="O222" s="9"/>
      <c r="P222" s="9"/>
      <c r="Q222" s="9"/>
      <c r="R222" s="9"/>
      <c r="S222" s="9"/>
      <c r="T222" s="9"/>
      <c r="U222" s="9"/>
      <c r="V222" s="39">
        <f>V40-V148</f>
        <v>356340</v>
      </c>
      <c r="W222" s="39">
        <f>W40-W148</f>
        <v>356340</v>
      </c>
      <c r="X222" s="9"/>
      <c r="Y222" s="9"/>
      <c r="Z222" s="9"/>
      <c r="AA222" s="39">
        <f>AA40-AA148</f>
        <v>287645</v>
      </c>
      <c r="AB222" s="39">
        <f>AB40-AB148</f>
        <v>287645</v>
      </c>
      <c r="AC222" s="9"/>
      <c r="AD222" s="9"/>
      <c r="AE222" s="9"/>
      <c r="AF222" s="39">
        <f t="shared" si="156"/>
        <v>853567</v>
      </c>
      <c r="AG222" s="39">
        <f t="shared" si="156"/>
        <v>853567</v>
      </c>
      <c r="AH222" s="9"/>
      <c r="AI222" s="9"/>
      <c r="AJ222" s="9"/>
      <c r="AK222" s="39">
        <f t="shared" ref="AK222:AW222" si="165">AK40-AK148</f>
        <v>1128105</v>
      </c>
      <c r="AL222" s="39">
        <f t="shared" si="165"/>
        <v>1128105</v>
      </c>
      <c r="AM222" s="39">
        <f t="shared" si="165"/>
        <v>1276913</v>
      </c>
      <c r="AN222" s="39">
        <f t="shared" si="165"/>
        <v>436215</v>
      </c>
      <c r="AO222" s="39">
        <f t="shared" si="165"/>
        <v>417516</v>
      </c>
      <c r="AP222" s="39">
        <f t="shared" si="165"/>
        <v>333955</v>
      </c>
      <c r="AQ222" s="39">
        <f t="shared" si="165"/>
        <v>333955</v>
      </c>
      <c r="AR222" s="39">
        <f t="shared" si="165"/>
        <v>465365</v>
      </c>
      <c r="AS222" s="39">
        <f t="shared" si="165"/>
        <v>373194</v>
      </c>
      <c r="AT222" s="39">
        <f t="shared" si="165"/>
        <v>409806</v>
      </c>
      <c r="AU222" s="39">
        <f t="shared" si="165"/>
        <v>382176</v>
      </c>
      <c r="AV222" s="39">
        <f t="shared" si="165"/>
        <v>382176</v>
      </c>
      <c r="AW222" s="39">
        <f t="shared" si="165"/>
        <v>321374</v>
      </c>
      <c r="AX222" s="39">
        <f t="shared" ref="AX222:AY222" si="166">AX40-AX148</f>
        <v>291877</v>
      </c>
      <c r="AY222" s="39">
        <f t="shared" si="166"/>
        <v>516100</v>
      </c>
    </row>
    <row r="223" spans="1:51">
      <c r="A223" s="1" t="s">
        <v>706</v>
      </c>
      <c r="V223" s="36">
        <f>V222-SUM(V218:V221)</f>
        <v>0</v>
      </c>
      <c r="W223" s="36">
        <f>W222-SUM(W218:W221)</f>
        <v>0</v>
      </c>
      <c r="AA223" s="36">
        <f>AA222-SUM(AA218:AA221)</f>
        <v>0</v>
      </c>
      <c r="AB223" s="36">
        <f>AB222-SUM(AB218:AB221)</f>
        <v>0</v>
      </c>
      <c r="AF223" s="36">
        <f>AF222-SUM(AF218:AF221)</f>
        <v>0</v>
      </c>
      <c r="AG223" s="36">
        <f>AG222-SUM(AG218:AG221)</f>
        <v>0</v>
      </c>
      <c r="AK223" s="36">
        <f t="shared" ref="AK223:AO223" si="167">AK222-SUM(AK218:AK221)</f>
        <v>0</v>
      </c>
      <c r="AL223" s="36">
        <f t="shared" si="167"/>
        <v>0</v>
      </c>
      <c r="AM223" s="36">
        <f t="shared" si="167"/>
        <v>0</v>
      </c>
      <c r="AN223" s="36">
        <f t="shared" si="167"/>
        <v>0</v>
      </c>
      <c r="AO223" s="36">
        <f t="shared" si="167"/>
        <v>0</v>
      </c>
      <c r="AP223" s="36">
        <f t="shared" ref="AP223" si="168">AP222-SUM(AP218:AP221)</f>
        <v>0</v>
      </c>
      <c r="AQ223" s="36">
        <f t="shared" ref="AQ223:AR223" si="169">AQ222-SUM(AQ218:AQ221)</f>
        <v>0</v>
      </c>
      <c r="AR223" s="36">
        <f t="shared" si="169"/>
        <v>0</v>
      </c>
      <c r="AS223" s="36">
        <f t="shared" ref="AS223:AT223" si="170">AS222-SUM(AS218:AS221)</f>
        <v>0</v>
      </c>
      <c r="AT223" s="36">
        <f t="shared" si="170"/>
        <v>0</v>
      </c>
      <c r="AU223" s="36">
        <f t="shared" ref="AU223:AY223" si="171">AU222-SUM(AU218:AU221)</f>
        <v>0</v>
      </c>
      <c r="AV223" s="36">
        <f t="shared" si="171"/>
        <v>0</v>
      </c>
      <c r="AW223" s="36">
        <f t="shared" si="171"/>
        <v>0</v>
      </c>
      <c r="AX223" s="36">
        <f t="shared" si="171"/>
        <v>0</v>
      </c>
      <c r="AY223" s="36">
        <f t="shared" si="171"/>
        <v>0</v>
      </c>
    </row>
    <row r="224" spans="1:51">
      <c r="V224" s="36"/>
      <c r="W224" s="36"/>
      <c r="AA224" s="36"/>
      <c r="AB224" s="36"/>
      <c r="AF224" s="36"/>
      <c r="AG224" s="36"/>
      <c r="AK224" s="36"/>
      <c r="AL224" s="36"/>
      <c r="AM224" s="36"/>
      <c r="AN224" s="36"/>
      <c r="AO224" s="36"/>
      <c r="AP224" s="36"/>
      <c r="AQ224" s="36"/>
      <c r="AR224" s="61"/>
      <c r="AS224" s="61"/>
      <c r="AT224" s="36"/>
      <c r="AW224" s="61"/>
      <c r="AX224" s="61"/>
      <c r="AY224" s="36"/>
    </row>
    <row r="225" spans="1:60">
      <c r="A225" s="1" t="s">
        <v>85</v>
      </c>
    </row>
    <row r="226" spans="1:60">
      <c r="A226" s="5" t="s">
        <v>2037</v>
      </c>
      <c r="V226" s="36">
        <f>V47-V151</f>
        <v>3680777</v>
      </c>
      <c r="W226" s="36">
        <f>W47-W151</f>
        <v>3680777</v>
      </c>
      <c r="AA226" s="36">
        <f>AA47-AA151</f>
        <v>3863784</v>
      </c>
      <c r="AB226" s="36">
        <f>AB47-AB151</f>
        <v>3863784</v>
      </c>
      <c r="AF226" s="36">
        <f>AF47-AF151</f>
        <v>3917792</v>
      </c>
      <c r="AG226" s="36">
        <f>AG47-AG151</f>
        <v>3917792</v>
      </c>
      <c r="AK226" s="36">
        <f t="shared" ref="AK226:AW226" si="172">AK47-AK151</f>
        <v>3869044</v>
      </c>
      <c r="AL226" s="36">
        <f t="shared" si="172"/>
        <v>3869044</v>
      </c>
      <c r="AM226" s="36">
        <f t="shared" si="172"/>
        <v>4092644</v>
      </c>
      <c r="AN226" s="36">
        <f t="shared" si="172"/>
        <v>3946848</v>
      </c>
      <c r="AO226" s="36">
        <f t="shared" si="172"/>
        <v>3982525</v>
      </c>
      <c r="AP226" s="36">
        <f t="shared" si="172"/>
        <v>3891063</v>
      </c>
      <c r="AQ226" s="36">
        <f t="shared" si="172"/>
        <v>3891063</v>
      </c>
      <c r="AR226" s="36">
        <f t="shared" si="172"/>
        <v>4123142</v>
      </c>
      <c r="AS226" s="36">
        <f t="shared" si="172"/>
        <v>3900585</v>
      </c>
      <c r="AT226" s="36">
        <f t="shared" si="172"/>
        <v>3786743</v>
      </c>
      <c r="AU226" s="36">
        <f t="shared" si="172"/>
        <v>3796840</v>
      </c>
      <c r="AV226" s="36">
        <f t="shared" si="172"/>
        <v>3796840</v>
      </c>
      <c r="AW226" s="36">
        <f t="shared" si="172"/>
        <v>4082267</v>
      </c>
      <c r="AX226" s="36">
        <f t="shared" ref="AX226:AY226" si="173">AX47-AX151</f>
        <v>3961517</v>
      </c>
      <c r="AY226" s="36">
        <f t="shared" si="173"/>
        <v>4203837</v>
      </c>
    </row>
    <row r="227" spans="1:60">
      <c r="A227" s="5" t="s">
        <v>1660</v>
      </c>
      <c r="V227" s="36">
        <f>V54-V152</f>
        <v>596065</v>
      </c>
      <c r="W227" s="36">
        <f>W54-W152</f>
        <v>596065</v>
      </c>
      <c r="AA227" s="36">
        <f>AA54-AA152</f>
        <v>610039</v>
      </c>
      <c r="AB227" s="36">
        <f>AB54-AB152</f>
        <v>610039</v>
      </c>
      <c r="AF227" s="36">
        <f>AF54-AF152</f>
        <v>891983</v>
      </c>
      <c r="AG227" s="36">
        <f>AG54-AG152</f>
        <v>891983</v>
      </c>
      <c r="AK227" s="36">
        <f t="shared" ref="AK227:AW227" si="174">AK54-AK152</f>
        <v>974636</v>
      </c>
      <c r="AL227" s="36">
        <f t="shared" si="174"/>
        <v>974636</v>
      </c>
      <c r="AM227" s="36">
        <f t="shared" si="174"/>
        <v>982390</v>
      </c>
      <c r="AN227" s="36">
        <f t="shared" si="174"/>
        <v>855736</v>
      </c>
      <c r="AO227" s="36">
        <f t="shared" si="174"/>
        <v>859732</v>
      </c>
      <c r="AP227" s="36">
        <f t="shared" si="174"/>
        <v>797094</v>
      </c>
      <c r="AQ227" s="36">
        <f t="shared" si="174"/>
        <v>797094</v>
      </c>
      <c r="AR227" s="36">
        <f t="shared" si="174"/>
        <v>759776</v>
      </c>
      <c r="AS227" s="36">
        <f t="shared" si="174"/>
        <v>896899</v>
      </c>
      <c r="AT227" s="36">
        <f t="shared" si="174"/>
        <v>861035</v>
      </c>
      <c r="AU227" s="36">
        <f t="shared" si="174"/>
        <v>819647</v>
      </c>
      <c r="AV227" s="36">
        <f t="shared" si="174"/>
        <v>819647</v>
      </c>
      <c r="AW227" s="36">
        <f t="shared" si="174"/>
        <v>915794</v>
      </c>
      <c r="AX227" s="36">
        <f t="shared" ref="AX227:AY227" si="175">AX54-AX152</f>
        <v>981198</v>
      </c>
      <c r="AY227" s="36">
        <f t="shared" si="175"/>
        <v>954502</v>
      </c>
    </row>
    <row r="228" spans="1:60">
      <c r="A228" s="5" t="s">
        <v>2038</v>
      </c>
      <c r="V228" s="36"/>
      <c r="W228" s="36"/>
      <c r="AA228" s="36"/>
      <c r="AB228" s="36"/>
      <c r="AF228" s="36">
        <f t="shared" ref="AF228:AG231" si="176">AF57-AF153</f>
        <v>-525750</v>
      </c>
      <c r="AG228" s="36">
        <f t="shared" si="176"/>
        <v>-525750</v>
      </c>
      <c r="AK228" s="36">
        <f t="shared" ref="AK228:AW228" si="177">AK57-AK153</f>
        <v>-461355</v>
      </c>
      <c r="AL228" s="36">
        <f t="shared" si="177"/>
        <v>-461355</v>
      </c>
      <c r="AM228" s="36">
        <f t="shared" si="177"/>
        <v>-392065</v>
      </c>
      <c r="AN228" s="36">
        <f t="shared" si="177"/>
        <v>-271334</v>
      </c>
      <c r="AO228" s="36">
        <f t="shared" si="177"/>
        <v>-365422</v>
      </c>
      <c r="AP228" s="36">
        <f t="shared" si="177"/>
        <v>-236045</v>
      </c>
      <c r="AQ228" s="36">
        <f t="shared" si="177"/>
        <v>-236045</v>
      </c>
      <c r="AR228" s="36">
        <f t="shared" si="177"/>
        <v>-112964</v>
      </c>
      <c r="AS228" s="36">
        <f t="shared" si="177"/>
        <v>-143063</v>
      </c>
      <c r="AT228" s="36">
        <f t="shared" si="177"/>
        <v>-250485</v>
      </c>
      <c r="AU228" s="36">
        <f t="shared" si="177"/>
        <v>-13139</v>
      </c>
      <c r="AV228" s="36">
        <f t="shared" si="177"/>
        <v>-13139</v>
      </c>
      <c r="AW228" s="36">
        <f t="shared" si="177"/>
        <v>47393</v>
      </c>
      <c r="AX228" s="36">
        <f t="shared" ref="AX228:AY228" si="178">AX57-AX153</f>
        <v>112798</v>
      </c>
      <c r="AY228" s="36">
        <f t="shared" si="178"/>
        <v>37187</v>
      </c>
    </row>
    <row r="229" spans="1:60">
      <c r="A229" s="5" t="s">
        <v>2040</v>
      </c>
      <c r="V229" s="36"/>
      <c r="W229" s="36"/>
      <c r="AA229" s="36"/>
      <c r="AB229" s="36"/>
      <c r="AF229" s="36">
        <f t="shared" si="176"/>
        <v>-146300</v>
      </c>
      <c r="AG229" s="36">
        <f t="shared" si="176"/>
        <v>-146300</v>
      </c>
      <c r="AK229" s="36">
        <f t="shared" ref="AK229:AN231" si="179">AK58-AK154</f>
        <v>-186891</v>
      </c>
      <c r="AL229" s="36">
        <f t="shared" si="179"/>
        <v>-186891</v>
      </c>
      <c r="AM229" s="36">
        <f t="shared" si="179"/>
        <v>-151334</v>
      </c>
      <c r="AN229" s="36">
        <f t="shared" si="179"/>
        <v>-60763</v>
      </c>
      <c r="AO229" s="36"/>
      <c r="AP229" s="36"/>
      <c r="AQ229" s="36"/>
      <c r="AR229" s="36"/>
      <c r="AS229" s="36"/>
      <c r="AT229" s="36"/>
      <c r="AU229" s="36"/>
      <c r="AV229" s="36"/>
      <c r="AW229" s="36"/>
      <c r="AX229" s="36"/>
      <c r="AY229" s="36"/>
    </row>
    <row r="230" spans="1:60">
      <c r="A230" s="5" t="s">
        <v>947</v>
      </c>
      <c r="V230" s="36">
        <f>V59-V155</f>
        <v>-339577</v>
      </c>
      <c r="W230" s="36">
        <f>W59-W155</f>
        <v>-339577</v>
      </c>
      <c r="AA230" s="36">
        <f>AA59-AA155</f>
        <v>-366665</v>
      </c>
      <c r="AB230" s="36">
        <f>AB59-AB155</f>
        <v>-366665</v>
      </c>
      <c r="AF230" s="36">
        <f t="shared" si="176"/>
        <v>-111398</v>
      </c>
      <c r="AG230" s="36">
        <f t="shared" si="176"/>
        <v>-111398</v>
      </c>
      <c r="AK230" s="36">
        <f t="shared" si="179"/>
        <v>-119910</v>
      </c>
      <c r="AL230" s="36">
        <f t="shared" si="179"/>
        <v>-119910</v>
      </c>
      <c r="AM230" s="36">
        <f t="shared" si="179"/>
        <v>-129351</v>
      </c>
      <c r="AN230" s="36">
        <f t="shared" si="179"/>
        <v>-155849</v>
      </c>
      <c r="AO230" s="36">
        <f t="shared" ref="AO230:AW230" si="180">AO59-AO155</f>
        <v>-199826</v>
      </c>
      <c r="AP230" s="36">
        <f t="shared" si="180"/>
        <v>-123891</v>
      </c>
      <c r="AQ230" s="36">
        <f t="shared" si="180"/>
        <v>-123891</v>
      </c>
      <c r="AR230" s="36">
        <f t="shared" si="180"/>
        <v>-34851</v>
      </c>
      <c r="AS230" s="36">
        <f t="shared" si="180"/>
        <v>-51830</v>
      </c>
      <c r="AT230" s="36">
        <f t="shared" si="180"/>
        <v>-72309</v>
      </c>
      <c r="AU230" s="36">
        <f t="shared" si="180"/>
        <v>-76721</v>
      </c>
      <c r="AV230" s="36">
        <f t="shared" si="180"/>
        <v>-76721</v>
      </c>
      <c r="AW230" s="36">
        <f t="shared" si="180"/>
        <v>-92299</v>
      </c>
      <c r="AX230" s="36">
        <f t="shared" ref="AX230:AY230" si="181">AX59-AX155</f>
        <v>-117938</v>
      </c>
      <c r="AY230" s="36">
        <f t="shared" si="181"/>
        <v>-155408</v>
      </c>
    </row>
    <row r="231" spans="1:60">
      <c r="A231" s="9" t="s">
        <v>85</v>
      </c>
      <c r="B231" s="9"/>
      <c r="C231" s="9"/>
      <c r="D231" s="9"/>
      <c r="E231" s="9"/>
      <c r="F231" s="9"/>
      <c r="G231" s="9"/>
      <c r="H231" s="9"/>
      <c r="I231" s="9"/>
      <c r="J231" s="9"/>
      <c r="K231" s="9"/>
      <c r="L231" s="9"/>
      <c r="M231" s="9"/>
      <c r="N231" s="9"/>
      <c r="O231" s="9"/>
      <c r="P231" s="9"/>
      <c r="Q231" s="9"/>
      <c r="R231" s="9"/>
      <c r="S231" s="9"/>
      <c r="T231" s="9"/>
      <c r="U231" s="9"/>
      <c r="V231" s="39">
        <f>V60-V156</f>
        <v>3937265</v>
      </c>
      <c r="W231" s="39">
        <f>W60-W156</f>
        <v>3937265</v>
      </c>
      <c r="X231" s="9"/>
      <c r="Y231" s="9"/>
      <c r="Z231" s="9"/>
      <c r="AA231" s="39">
        <f>AA60-AA156</f>
        <v>4107158</v>
      </c>
      <c r="AB231" s="39">
        <f>AB60-AB156</f>
        <v>4107158</v>
      </c>
      <c r="AC231" s="9"/>
      <c r="AD231" s="9"/>
      <c r="AE231" s="9"/>
      <c r="AF231" s="39">
        <f t="shared" si="176"/>
        <v>4026327</v>
      </c>
      <c r="AG231" s="39">
        <f t="shared" si="176"/>
        <v>4026327</v>
      </c>
      <c r="AH231" s="9"/>
      <c r="AI231" s="9"/>
      <c r="AJ231" s="9"/>
      <c r="AK231" s="39">
        <f t="shared" si="179"/>
        <v>4075524</v>
      </c>
      <c r="AL231" s="39">
        <f t="shared" si="179"/>
        <v>4075524</v>
      </c>
      <c r="AM231" s="39">
        <f t="shared" si="179"/>
        <v>4402284</v>
      </c>
      <c r="AN231" s="39">
        <f t="shared" si="179"/>
        <v>4314638</v>
      </c>
      <c r="AO231" s="39">
        <f t="shared" ref="AO231:AW231" si="182">AO60-AO156</f>
        <v>4277009</v>
      </c>
      <c r="AP231" s="39">
        <f t="shared" si="182"/>
        <v>4328221</v>
      </c>
      <c r="AQ231" s="39">
        <f t="shared" si="182"/>
        <v>4328221</v>
      </c>
      <c r="AR231" s="39">
        <f t="shared" si="182"/>
        <v>4735103</v>
      </c>
      <c r="AS231" s="39">
        <f t="shared" si="182"/>
        <v>4602591</v>
      </c>
      <c r="AT231" s="39">
        <f t="shared" si="182"/>
        <v>4324984</v>
      </c>
      <c r="AU231" s="39">
        <f t="shared" si="182"/>
        <v>4526627</v>
      </c>
      <c r="AV231" s="39">
        <f t="shared" si="182"/>
        <v>4526627</v>
      </c>
      <c r="AW231" s="39">
        <f t="shared" si="182"/>
        <v>4953155</v>
      </c>
      <c r="AX231" s="39">
        <f t="shared" ref="AX231:AY231" si="183">AX60-AX156</f>
        <v>4937575</v>
      </c>
      <c r="AY231" s="39">
        <f t="shared" si="183"/>
        <v>5040118</v>
      </c>
    </row>
    <row r="232" spans="1:60">
      <c r="A232" s="1" t="s">
        <v>706</v>
      </c>
      <c r="V232" s="36">
        <f>V231-SUM(V226:V230)</f>
        <v>0</v>
      </c>
      <c r="W232" s="36">
        <f>W231-SUM(W226:W230)</f>
        <v>0</v>
      </c>
      <c r="AA232" s="36">
        <f>AA231-SUM(AA226:AA230)</f>
        <v>0</v>
      </c>
      <c r="AB232" s="36">
        <f>AB231-SUM(AB226:AB230)</f>
        <v>0</v>
      </c>
      <c r="AF232" s="36">
        <f>AF231-SUM(AF226:AF230)</f>
        <v>0</v>
      </c>
      <c r="AG232" s="36">
        <f>AG231-SUM(AG226:AG230)</f>
        <v>0</v>
      </c>
      <c r="AK232" s="36">
        <f t="shared" ref="AK232:AO232" si="184">AK231-SUM(AK226:AK230)</f>
        <v>0</v>
      </c>
      <c r="AL232" s="36">
        <f t="shared" si="184"/>
        <v>0</v>
      </c>
      <c r="AM232" s="36">
        <f t="shared" si="184"/>
        <v>0</v>
      </c>
      <c r="AN232" s="36">
        <f t="shared" si="184"/>
        <v>0</v>
      </c>
      <c r="AO232" s="36">
        <f t="shared" si="184"/>
        <v>0</v>
      </c>
      <c r="AP232" s="36">
        <f t="shared" ref="AP232" si="185">AP231-SUM(AP226:AP230)</f>
        <v>0</v>
      </c>
      <c r="AQ232" s="36">
        <f t="shared" ref="AQ232:AR232" si="186">AQ231-SUM(AQ226:AQ230)</f>
        <v>0</v>
      </c>
      <c r="AR232" s="36">
        <f t="shared" si="186"/>
        <v>0</v>
      </c>
      <c r="AS232" s="36">
        <f t="shared" ref="AS232:AT232" si="187">AS231-SUM(AS226:AS230)</f>
        <v>0</v>
      </c>
      <c r="AT232" s="36">
        <f t="shared" si="187"/>
        <v>0</v>
      </c>
      <c r="AU232" s="36">
        <f t="shared" ref="AU232:AY232" si="188">AU231-SUM(AU226:AU230)</f>
        <v>0</v>
      </c>
      <c r="AV232" s="36">
        <f t="shared" si="188"/>
        <v>0</v>
      </c>
      <c r="AW232" s="36">
        <f t="shared" si="188"/>
        <v>0</v>
      </c>
      <c r="AX232" s="36">
        <f t="shared" si="188"/>
        <v>0</v>
      </c>
      <c r="AY232" s="36">
        <f t="shared" si="188"/>
        <v>0</v>
      </c>
    </row>
    <row r="234" spans="1:60">
      <c r="A234" s="28" t="s">
        <v>946</v>
      </c>
      <c r="V234" s="36"/>
      <c r="AA234" s="36"/>
      <c r="AF234" s="36"/>
      <c r="AK234" s="36"/>
      <c r="AM234" s="36"/>
      <c r="AN234" s="36"/>
      <c r="AO234" s="36"/>
      <c r="AP234" s="703" t="s">
        <v>2690</v>
      </c>
      <c r="AQ234" s="684"/>
      <c r="AR234" s="684"/>
    </row>
    <row r="235" spans="1:60">
      <c r="A235" s="1" t="s">
        <v>192</v>
      </c>
      <c r="V235" s="36">
        <f>V64-V161</f>
        <v>-176184</v>
      </c>
      <c r="W235" s="36">
        <f>W64-W161</f>
        <v>-176184</v>
      </c>
      <c r="AA235" s="36">
        <f>AA64-AA161</f>
        <v>-291424</v>
      </c>
      <c r="AB235" s="36">
        <f>AB64-AB161</f>
        <v>-291424</v>
      </c>
      <c r="AF235" s="36">
        <f>AF64-AF161</f>
        <v>-25285</v>
      </c>
      <c r="AG235" s="36">
        <f>AG64-AG161</f>
        <v>-25285</v>
      </c>
      <c r="AK235" s="36">
        <f>AK64-AK161</f>
        <v>-433060</v>
      </c>
      <c r="AL235" s="36">
        <f>AL64-AL161</f>
        <v>-433060</v>
      </c>
      <c r="AM235" s="36">
        <f>AM64-AM161</f>
        <v>-319943</v>
      </c>
      <c r="AN235" s="36">
        <f>AN64-AN161</f>
        <v>-436262</v>
      </c>
      <c r="AO235" s="36">
        <f>AO64-AO161</f>
        <v>-280053</v>
      </c>
      <c r="AP235" s="679">
        <f>AP64-SUM(AP159:AP161)</f>
        <v>-737206</v>
      </c>
      <c r="AQ235" s="36">
        <f>AQ64-SUM(AQ159:AQ161)</f>
        <v>-737206</v>
      </c>
      <c r="AR235" s="679">
        <f t="shared" ref="AR235:AY235" si="189">AR64+SUM(AR66:AR67)-SUM(AR159:AR161)</f>
        <v>-305585</v>
      </c>
      <c r="AS235" s="679">
        <f t="shared" si="189"/>
        <v>-90887</v>
      </c>
      <c r="AT235" s="679">
        <f t="shared" si="189"/>
        <v>-329136</v>
      </c>
      <c r="AU235" s="679">
        <f t="shared" si="189"/>
        <v>-222166</v>
      </c>
      <c r="AV235" s="679">
        <f t="shared" si="189"/>
        <v>-222166</v>
      </c>
      <c r="AW235" s="679">
        <f t="shared" si="189"/>
        <v>-157554</v>
      </c>
      <c r="AX235" s="679">
        <f t="shared" si="189"/>
        <v>-178638</v>
      </c>
      <c r="AY235" s="679">
        <f t="shared" si="189"/>
        <v>-377898</v>
      </c>
    </row>
    <row r="237" spans="1:60">
      <c r="A237" s="9" t="s">
        <v>89</v>
      </c>
      <c r="B237" s="9"/>
      <c r="C237" s="9"/>
      <c r="D237" s="9"/>
      <c r="E237" s="9"/>
      <c r="F237" s="9"/>
      <c r="G237" s="9"/>
      <c r="H237" s="9"/>
      <c r="I237" s="9"/>
      <c r="J237" s="9"/>
      <c r="K237" s="9"/>
      <c r="L237" s="9"/>
      <c r="M237" s="9"/>
      <c r="N237" s="9"/>
      <c r="O237" s="9"/>
      <c r="P237" s="9"/>
      <c r="Q237" s="9"/>
      <c r="R237" s="9"/>
      <c r="S237" s="9"/>
      <c r="T237" s="9"/>
      <c r="U237" s="9"/>
      <c r="V237" s="39">
        <f>V68-V163</f>
        <v>10903193</v>
      </c>
      <c r="W237" s="39">
        <f>W68-W163</f>
        <v>10903193</v>
      </c>
      <c r="X237" s="9"/>
      <c r="Y237" s="9"/>
      <c r="Z237" s="9"/>
      <c r="AA237" s="39">
        <f>AA68-AA163</f>
        <v>14885251</v>
      </c>
      <c r="AB237" s="39">
        <f>AB68-AB163</f>
        <v>14885251</v>
      </c>
      <c r="AC237" s="9"/>
      <c r="AD237" s="9"/>
      <c r="AE237" s="9"/>
      <c r="AF237" s="39">
        <f>AF68-AF163</f>
        <v>17154579</v>
      </c>
      <c r="AG237" s="39">
        <f>AG68-AG163</f>
        <v>17154579</v>
      </c>
      <c r="AH237" s="9"/>
      <c r="AI237" s="9"/>
      <c r="AJ237" s="9"/>
      <c r="AK237" s="39">
        <f t="shared" ref="AK237:AY237" si="190">AK68-AK163</f>
        <v>13390038</v>
      </c>
      <c r="AL237" s="39">
        <f t="shared" si="190"/>
        <v>13390038</v>
      </c>
      <c r="AM237" s="39">
        <f t="shared" si="190"/>
        <v>14592319</v>
      </c>
      <c r="AN237" s="39">
        <f t="shared" si="190"/>
        <v>14685913</v>
      </c>
      <c r="AO237" s="39">
        <f t="shared" si="190"/>
        <v>14770998</v>
      </c>
      <c r="AP237" s="39">
        <f t="shared" si="190"/>
        <v>15140527</v>
      </c>
      <c r="AQ237" s="39">
        <f t="shared" si="190"/>
        <v>15140527</v>
      </c>
      <c r="AR237" s="39">
        <f t="shared" si="190"/>
        <v>16100997</v>
      </c>
      <c r="AS237" s="39">
        <f t="shared" si="190"/>
        <v>15850781</v>
      </c>
      <c r="AT237" s="39">
        <f t="shared" si="190"/>
        <v>15366290</v>
      </c>
      <c r="AU237" s="39">
        <f t="shared" si="190"/>
        <v>15200322</v>
      </c>
      <c r="AV237" s="39">
        <f t="shared" si="190"/>
        <v>15200322</v>
      </c>
      <c r="AW237" s="39">
        <f t="shared" si="190"/>
        <v>15459241</v>
      </c>
      <c r="AX237" s="39">
        <f t="shared" si="190"/>
        <v>15139473</v>
      </c>
      <c r="AY237" s="39">
        <f t="shared" si="190"/>
        <v>19843521</v>
      </c>
    </row>
    <row r="238" spans="1:60">
      <c r="A238" s="1" t="s">
        <v>706</v>
      </c>
      <c r="V238" s="36">
        <f>V237-SUM(V211, V222, V231, V235)</f>
        <v>0</v>
      </c>
      <c r="W238" s="36">
        <f>W237-SUM(W211, W222, W231, W235)</f>
        <v>0</v>
      </c>
      <c r="AA238" s="36">
        <f>AA237-SUM(AA211, AA222, AA231, AA235)</f>
        <v>0</v>
      </c>
      <c r="AB238" s="36">
        <f>AB237-SUM(AB211, AB222, AB231, AB235)</f>
        <v>0</v>
      </c>
      <c r="AF238" s="36">
        <f>AF237-SUM(AF211, AF222, AF231, AF235)</f>
        <v>0</v>
      </c>
      <c r="AG238" s="36">
        <f>AG237-SUM(AG211, AG222, AG231, AG235)</f>
        <v>0</v>
      </c>
      <c r="AK238" s="36">
        <f t="shared" ref="AK238:AY238" si="191">AK237-SUM(AK211, AK222, AK231, AK235)</f>
        <v>0</v>
      </c>
      <c r="AL238" s="36">
        <f t="shared" si="191"/>
        <v>0</v>
      </c>
      <c r="AM238" s="36">
        <f t="shared" si="191"/>
        <v>0</v>
      </c>
      <c r="AN238" s="36">
        <f t="shared" si="191"/>
        <v>0</v>
      </c>
      <c r="AO238" s="36">
        <f t="shared" si="191"/>
        <v>0</v>
      </c>
      <c r="AP238" s="36">
        <f t="shared" si="191"/>
        <v>0</v>
      </c>
      <c r="AQ238" s="36">
        <f t="shared" si="191"/>
        <v>0</v>
      </c>
      <c r="AR238" s="36">
        <f t="shared" si="191"/>
        <v>0</v>
      </c>
      <c r="AS238" s="36">
        <f t="shared" si="191"/>
        <v>0</v>
      </c>
      <c r="AT238" s="36">
        <f t="shared" si="191"/>
        <v>0</v>
      </c>
      <c r="AU238" s="36">
        <f t="shared" si="191"/>
        <v>0</v>
      </c>
      <c r="AV238" s="36">
        <f t="shared" si="191"/>
        <v>0</v>
      </c>
      <c r="AW238" s="36">
        <f t="shared" si="191"/>
        <v>0</v>
      </c>
      <c r="AX238" s="36">
        <f t="shared" si="191"/>
        <v>0</v>
      </c>
      <c r="AY238" s="36">
        <f t="shared" si="191"/>
        <v>0</v>
      </c>
    </row>
    <row r="240" spans="1:60" s="12" customFormat="1">
      <c r="A240" s="13" t="s">
        <v>2312</v>
      </c>
      <c r="BH240" s="46"/>
    </row>
    <row r="242" spans="1:66">
      <c r="A242" s="3" t="s">
        <v>2314</v>
      </c>
    </row>
    <row r="244" spans="1:66">
      <c r="A244" s="1" t="s">
        <v>2032</v>
      </c>
      <c r="AP244" s="26"/>
      <c r="AQ244" s="26"/>
    </row>
    <row r="245" spans="1:66">
      <c r="A245" s="5" t="s">
        <v>2033</v>
      </c>
      <c r="V245" s="36">
        <f>V207/V$280</f>
        <v>46617.191950748878</v>
      </c>
      <c r="W245" s="36">
        <f>V245</f>
        <v>46617.191950748878</v>
      </c>
      <c r="AA245" s="36">
        <f>AA207/AA$280</f>
        <v>38028.841116430318</v>
      </c>
      <c r="AB245" s="36">
        <f>AA245</f>
        <v>38028.841116430318</v>
      </c>
      <c r="AF245" s="36">
        <f>AF207/AF$280</f>
        <v>40359.596372252636</v>
      </c>
      <c r="AG245" s="36">
        <f>AF245</f>
        <v>40359.596372252636</v>
      </c>
      <c r="AK245" s="36">
        <f>AK207/AK$280</f>
        <v>21359.364936718339</v>
      </c>
      <c r="AL245" s="36">
        <f>AK245</f>
        <v>21359.364936718339</v>
      </c>
      <c r="AM245" s="36">
        <f t="shared" ref="AM245:AP247" si="192">AM207/AM$280</f>
        <v>14141.209738602662</v>
      </c>
      <c r="AN245" s="36">
        <f t="shared" si="192"/>
        <v>25073.184917769755</v>
      </c>
      <c r="AO245" s="36">
        <f t="shared" si="192"/>
        <v>28556.786293449903</v>
      </c>
      <c r="AP245" s="36">
        <f t="shared" si="192"/>
        <v>30364.817383263984</v>
      </c>
      <c r="AQ245" s="36">
        <f>AP245</f>
        <v>30364.817383263984</v>
      </c>
      <c r="AR245" s="36">
        <f t="shared" ref="AR245:AU249" si="193">AR207/AR$280</f>
        <v>32657.558825355438</v>
      </c>
      <c r="AS245" s="36">
        <f t="shared" si="193"/>
        <v>41533.980242415753</v>
      </c>
      <c r="AT245" s="36">
        <f t="shared" si="193"/>
        <v>40668.561132886585</v>
      </c>
      <c r="AU245" s="36">
        <f t="shared" si="193"/>
        <v>49101.59176029962</v>
      </c>
      <c r="AV245" s="36">
        <f>AU245</f>
        <v>49101.59176029962</v>
      </c>
      <c r="AW245" s="36">
        <f t="shared" ref="AW245:AY249" si="194">AW207/AW$280</f>
        <v>61282.004005248258</v>
      </c>
      <c r="AX245" s="36">
        <f t="shared" si="194"/>
        <v>57989.958355722731</v>
      </c>
      <c r="AY245" s="36">
        <f t="shared" si="194"/>
        <v>65049.929739397034</v>
      </c>
      <c r="BJ245" s="65">
        <f>INDEX($S245:$AV245, MATCH(BJ$2, $S$2:$AV$2, 0))</f>
        <v>46617.191950748878</v>
      </c>
      <c r="BK245" s="65">
        <f>INDEX($S245:$AV245, MATCH(BK$2, $S$2:$AV$2, 0))</f>
        <v>38028.841116430318</v>
      </c>
      <c r="BL245" s="65">
        <f>INDEX($S245:$AV245, MATCH(BL$2, $S$2:$AV$2, 0))</f>
        <v>40359.596372252636</v>
      </c>
      <c r="BM245" s="65">
        <f>INDEX($S245:$AV245, MATCH(BM$2, $S$2:$AV$2, 0))</f>
        <v>21359.364936718339</v>
      </c>
      <c r="BN245" s="65">
        <f>INDEX($S245:$AV245, MATCH(BN$2, $S$2:$AV$2, 0))</f>
        <v>30364.817383263984</v>
      </c>
    </row>
    <row r="246" spans="1:66">
      <c r="A246" s="5" t="s">
        <v>2034</v>
      </c>
      <c r="V246" s="36">
        <f>V208/V$280</f>
        <v>15734.843333639621</v>
      </c>
      <c r="W246" s="36">
        <f>V246</f>
        <v>15734.843333639621</v>
      </c>
      <c r="AA246" s="36">
        <f>AA208/AA$280</f>
        <v>44498.771565350922</v>
      </c>
      <c r="AB246" s="36">
        <f>AA246</f>
        <v>44498.771565350922</v>
      </c>
      <c r="AF246" s="36">
        <f>AF208/AF$280</f>
        <v>60195.29373314813</v>
      </c>
      <c r="AG246" s="36">
        <f>AF246</f>
        <v>60195.29373314813</v>
      </c>
      <c r="AK246" s="36">
        <f>AK208/AK$280</f>
        <v>43327.971242417436</v>
      </c>
      <c r="AL246" s="36">
        <f>AK246</f>
        <v>43327.971242417436</v>
      </c>
      <c r="AM246" s="36">
        <f t="shared" si="192"/>
        <v>51217.649493068486</v>
      </c>
      <c r="AN246" s="36">
        <f t="shared" si="192"/>
        <v>51129.495921914691</v>
      </c>
      <c r="AO246" s="36">
        <f t="shared" si="192"/>
        <v>50396.136219417611</v>
      </c>
      <c r="AP246" s="36">
        <f t="shared" si="192"/>
        <v>48956.660722541448</v>
      </c>
      <c r="AQ246" s="36">
        <f>AP246</f>
        <v>48956.660722541448</v>
      </c>
      <c r="AR246" s="36">
        <f t="shared" si="193"/>
        <v>42545.650959210281</v>
      </c>
      <c r="AS246" s="36">
        <f t="shared" si="193"/>
        <v>40321.978560919219</v>
      </c>
      <c r="AT246" s="36">
        <f t="shared" si="193"/>
        <v>30326.292830952079</v>
      </c>
      <c r="AU246" s="36">
        <f t="shared" si="193"/>
        <v>22498.95666131621</v>
      </c>
      <c r="AV246" s="36">
        <f>AU246</f>
        <v>22498.95666131621</v>
      </c>
      <c r="AW246" s="36">
        <f t="shared" si="194"/>
        <v>15826.206753677232</v>
      </c>
      <c r="AX246" s="36">
        <f t="shared" si="194"/>
        <v>12043.78694250403</v>
      </c>
      <c r="AY246" s="36">
        <f t="shared" si="194"/>
        <v>27203.506642820645</v>
      </c>
    </row>
    <row r="247" spans="1:66">
      <c r="A247" s="5" t="s">
        <v>958</v>
      </c>
      <c r="V247" s="36">
        <f>V209/V$280</f>
        <v>0</v>
      </c>
      <c r="W247" s="36">
        <f>V247</f>
        <v>0</v>
      </c>
      <c r="AA247" s="36">
        <f>AA209/AA$280</f>
        <v>14860.807515129618</v>
      </c>
      <c r="AB247" s="36">
        <f>AA247</f>
        <v>14860.807515129618</v>
      </c>
      <c r="AF247" s="36">
        <f>AF209/AF$280</f>
        <v>-56.728490889778577</v>
      </c>
      <c r="AG247" s="36">
        <f>AF247</f>
        <v>-56.728490889778577</v>
      </c>
      <c r="AK247" s="36">
        <f>AK209/AK$280</f>
        <v>-136.53111660301056</v>
      </c>
      <c r="AL247" s="36">
        <f>AK247</f>
        <v>-136.53111660301056</v>
      </c>
      <c r="AM247" s="36">
        <f t="shared" si="192"/>
        <v>-1678.1571142837436</v>
      </c>
      <c r="AN247" s="36">
        <f t="shared" si="192"/>
        <v>-6866.3925658510489</v>
      </c>
      <c r="AO247" s="36">
        <f t="shared" si="192"/>
        <v>-5932.2216738348725</v>
      </c>
      <c r="AP247" s="36">
        <f t="shared" si="192"/>
        <v>-5247.3944917772933</v>
      </c>
      <c r="AQ247" s="36">
        <f>AP247</f>
        <v>-5247.3944917772933</v>
      </c>
      <c r="AR247" s="36">
        <f t="shared" si="193"/>
        <v>-4360.1788042466014</v>
      </c>
      <c r="AS247" s="36">
        <f t="shared" si="193"/>
        <v>-3497.6879422686193</v>
      </c>
      <c r="AT247" s="36">
        <f t="shared" si="193"/>
        <v>-780.30092299911485</v>
      </c>
      <c r="AU247" s="36">
        <f t="shared" si="193"/>
        <v>190.39593365436062</v>
      </c>
      <c r="AV247" s="36">
        <f>AU247</f>
        <v>190.39593365436062</v>
      </c>
      <c r="AW247" s="36">
        <f t="shared" si="194"/>
        <v>-33.623368551895588</v>
      </c>
      <c r="AX247" s="36">
        <f t="shared" si="194"/>
        <v>-128.1501880709296</v>
      </c>
      <c r="AY247" s="36">
        <f t="shared" si="194"/>
        <v>2927.4782830863564</v>
      </c>
    </row>
    <row r="248" spans="1:66">
      <c r="A248" s="5" t="s">
        <v>947</v>
      </c>
      <c r="V248" s="36"/>
      <c r="W248" s="36"/>
      <c r="AA248" s="36"/>
      <c r="AB248" s="36"/>
      <c r="AF248" s="36"/>
      <c r="AG248" s="36"/>
      <c r="AK248" s="36"/>
      <c r="AL248" s="36"/>
      <c r="AM248" s="36"/>
      <c r="AN248" s="36"/>
      <c r="AO248" s="36"/>
      <c r="AP248" s="36"/>
      <c r="AQ248" s="36"/>
      <c r="AR248" s="36">
        <f t="shared" si="193"/>
        <v>-1270.0875395790652</v>
      </c>
      <c r="AS248" s="36">
        <f t="shared" si="193"/>
        <v>-1528.7115532824214</v>
      </c>
      <c r="AT248" s="36">
        <f t="shared" si="193"/>
        <v>-922.37956758123653</v>
      </c>
      <c r="AU248" s="36">
        <f t="shared" si="193"/>
        <v>-1474.6990369181378</v>
      </c>
      <c r="AV248" s="36">
        <f>AU248</f>
        <v>-1474.6990369181378</v>
      </c>
      <c r="AW248" s="36">
        <f t="shared" si="194"/>
        <v>-5655.0307299219667</v>
      </c>
      <c r="AX248" s="36">
        <f t="shared" si="194"/>
        <v>-2141.8995163890381</v>
      </c>
      <c r="AY248" s="36">
        <f t="shared" si="194"/>
        <v>-1509.4724067450179</v>
      </c>
    </row>
    <row r="249" spans="1:66">
      <c r="A249" s="9" t="s">
        <v>2032</v>
      </c>
      <c r="B249" s="9"/>
      <c r="C249" s="9"/>
      <c r="D249" s="9"/>
      <c r="E249" s="9"/>
      <c r="F249" s="9"/>
      <c r="G249" s="9"/>
      <c r="H249" s="9"/>
      <c r="I249" s="9"/>
      <c r="J249" s="9"/>
      <c r="K249" s="9"/>
      <c r="L249" s="9"/>
      <c r="M249" s="9"/>
      <c r="N249" s="9"/>
      <c r="O249" s="9"/>
      <c r="P249" s="9"/>
      <c r="Q249" s="9"/>
      <c r="R249" s="9"/>
      <c r="S249" s="9"/>
      <c r="T249" s="9"/>
      <c r="U249" s="9"/>
      <c r="V249" s="39">
        <f>V211/V$280</f>
        <v>62352.035284388498</v>
      </c>
      <c r="W249" s="39">
        <f>V249</f>
        <v>62352.035284388498</v>
      </c>
      <c r="X249" s="9"/>
      <c r="Y249" s="9"/>
      <c r="Z249" s="9"/>
      <c r="AA249" s="39">
        <f>AA211/AA$280</f>
        <v>97388.420196910854</v>
      </c>
      <c r="AB249" s="39">
        <f>AA249</f>
        <v>97388.420196910854</v>
      </c>
      <c r="AC249" s="9"/>
      <c r="AD249" s="9"/>
      <c r="AE249" s="9"/>
      <c r="AF249" s="39">
        <f>AF211/AF$280</f>
        <v>100498.16161451099</v>
      </c>
      <c r="AG249" s="39">
        <f>AF249</f>
        <v>100498.16161451099</v>
      </c>
      <c r="AH249" s="9"/>
      <c r="AI249" s="9"/>
      <c r="AJ249" s="9"/>
      <c r="AK249" s="39">
        <f>AK211/AK$280</f>
        <v>64550.805062532767</v>
      </c>
      <c r="AL249" s="39">
        <f>AK249</f>
        <v>64550.805062532767</v>
      </c>
      <c r="AM249" s="39">
        <f>AM211/AM$280</f>
        <v>63680.702117387402</v>
      </c>
      <c r="AN249" s="39">
        <f>AN211/AN$280</f>
        <v>69336.288273833401</v>
      </c>
      <c r="AO249" s="39">
        <f>AO211/AO$280</f>
        <v>73020.700839032637</v>
      </c>
      <c r="AP249" s="39">
        <f>AP211/AP$280</f>
        <v>74074.083614028132</v>
      </c>
      <c r="AQ249" s="39">
        <f>AP249</f>
        <v>74074.083614028132</v>
      </c>
      <c r="AR249" s="39">
        <f t="shared" si="193"/>
        <v>69572.943440740055</v>
      </c>
      <c r="AS249" s="39">
        <f t="shared" si="193"/>
        <v>76829.559307783929</v>
      </c>
      <c r="AT249" s="39">
        <f t="shared" si="193"/>
        <v>69292.173473258314</v>
      </c>
      <c r="AU249" s="39">
        <f t="shared" si="193"/>
        <v>70316.245318352056</v>
      </c>
      <c r="AV249" s="39">
        <f>AU249</f>
        <v>70316.245318352056</v>
      </c>
      <c r="AW249" s="39">
        <f t="shared" si="194"/>
        <v>71419.556660451621</v>
      </c>
      <c r="AX249" s="39">
        <f t="shared" si="194"/>
        <v>67763.695593766795</v>
      </c>
      <c r="AY249" s="39">
        <f t="shared" si="194"/>
        <v>93671.442258559022</v>
      </c>
    </row>
    <row r="250" spans="1:66">
      <c r="A250" s="1" t="s">
        <v>706</v>
      </c>
      <c r="V250" s="36">
        <f>V249-SUM(V245:V247)</f>
        <v>0</v>
      </c>
      <c r="W250" s="36">
        <f>W249-SUM(W245:W247)</f>
        <v>0</v>
      </c>
      <c r="AA250" s="36">
        <f>AA249-SUM(AA245:AA247)</f>
        <v>0</v>
      </c>
      <c r="AB250" s="36">
        <f>AB249-SUM(AB245:AB247)</f>
        <v>0</v>
      </c>
      <c r="AF250" s="36">
        <f>AF249-SUM(AF245:AF247)</f>
        <v>0</v>
      </c>
      <c r="AG250" s="36">
        <f>AG249-SUM(AG245:AG247)</f>
        <v>0</v>
      </c>
      <c r="AK250" s="36">
        <f t="shared" ref="AK250:AQ250" si="195">AK249-SUM(AK245:AK247)</f>
        <v>0</v>
      </c>
      <c r="AL250" s="36">
        <f t="shared" si="195"/>
        <v>0</v>
      </c>
      <c r="AM250" s="36">
        <f t="shared" si="195"/>
        <v>0</v>
      </c>
      <c r="AN250" s="36">
        <f t="shared" si="195"/>
        <v>0</v>
      </c>
      <c r="AO250" s="36">
        <f t="shared" si="195"/>
        <v>0</v>
      </c>
      <c r="AP250" s="36">
        <f t="shared" si="195"/>
        <v>0</v>
      </c>
      <c r="AQ250" s="36">
        <f t="shared" si="195"/>
        <v>0</v>
      </c>
      <c r="AR250" s="36">
        <f t="shared" ref="AR250:AW250" si="196">AR249-SUM(AR245:AR248)</f>
        <v>0</v>
      </c>
      <c r="AS250" s="36">
        <f t="shared" si="196"/>
        <v>0</v>
      </c>
      <c r="AT250" s="36">
        <f t="shared" si="196"/>
        <v>0</v>
      </c>
      <c r="AU250" s="36">
        <f t="shared" si="196"/>
        <v>0</v>
      </c>
      <c r="AV250" s="36">
        <f t="shared" si="196"/>
        <v>0</v>
      </c>
      <c r="AW250" s="36">
        <f t="shared" si="196"/>
        <v>0</v>
      </c>
      <c r="AX250" s="36">
        <f t="shared" ref="AX250:AY250" si="197">AX249-SUM(AX245:AX248)</f>
        <v>0</v>
      </c>
      <c r="AY250" s="36">
        <f t="shared" si="197"/>
        <v>0</v>
      </c>
    </row>
    <row r="252" spans="1:66">
      <c r="A252" s="28" t="s">
        <v>276</v>
      </c>
      <c r="V252" s="36"/>
      <c r="W252" s="36"/>
      <c r="AA252" s="36"/>
      <c r="AB252" s="36"/>
      <c r="AF252" s="36"/>
      <c r="AG252" s="36"/>
      <c r="AK252" s="36"/>
      <c r="AL252" s="36"/>
      <c r="AM252" s="36"/>
      <c r="AN252" s="36"/>
      <c r="AO252" s="36"/>
      <c r="AP252" s="36">
        <f>AP214/AP$280</f>
        <v>11605.77901063338</v>
      </c>
      <c r="AQ252" s="36">
        <f>AP252</f>
        <v>11605.77901063338</v>
      </c>
      <c r="AR252" s="36">
        <f t="shared" ref="AR252:AU253" si="198">AR214/AR$280</f>
        <v>12359.824920841871</v>
      </c>
      <c r="AS252" s="36">
        <f t="shared" si="198"/>
        <v>10475.646325229454</v>
      </c>
      <c r="AT252" s="36">
        <f t="shared" si="198"/>
        <v>11289.720571500822</v>
      </c>
      <c r="AU252" s="36">
        <f t="shared" si="198"/>
        <v>9173.5754414125186</v>
      </c>
      <c r="AV252" s="36">
        <f>AU252</f>
        <v>9173.5754414125186</v>
      </c>
      <c r="AW252" s="36">
        <f>AW214/AW$280</f>
        <v>13059.657482218079</v>
      </c>
      <c r="AX252" s="36">
        <f t="shared" ref="AW252:AY253" si="199">AX214/AX$280</f>
        <v>10807.637023105857</v>
      </c>
      <c r="AY252" s="36">
        <f t="shared" si="199"/>
        <v>9314.9782830863569</v>
      </c>
    </row>
    <row r="253" spans="1:66">
      <c r="A253" s="9" t="s">
        <v>3103</v>
      </c>
      <c r="B253" s="9"/>
      <c r="C253" s="9"/>
      <c r="D253" s="9"/>
      <c r="E253" s="9"/>
      <c r="F253" s="9"/>
      <c r="G253" s="9"/>
      <c r="H253" s="9"/>
      <c r="I253" s="9"/>
      <c r="J253" s="9"/>
      <c r="K253" s="9"/>
      <c r="L253" s="9"/>
      <c r="M253" s="9"/>
      <c r="N253" s="9"/>
      <c r="O253" s="9"/>
      <c r="P253" s="9"/>
      <c r="Q253" s="9"/>
      <c r="R253" s="9"/>
      <c r="S253" s="9"/>
      <c r="T253" s="9"/>
      <c r="U253" s="9"/>
      <c r="V253" s="39"/>
      <c r="W253" s="39"/>
      <c r="X253" s="9"/>
      <c r="Y253" s="9"/>
      <c r="Z253" s="9"/>
      <c r="AA253" s="39"/>
      <c r="AB253" s="39"/>
      <c r="AC253" s="9"/>
      <c r="AD253" s="9"/>
      <c r="AE253" s="9"/>
      <c r="AF253" s="39"/>
      <c r="AG253" s="39"/>
      <c r="AH253" s="9"/>
      <c r="AI253" s="9"/>
      <c r="AJ253" s="9"/>
      <c r="AK253" s="39"/>
      <c r="AL253" s="39"/>
      <c r="AM253" s="39"/>
      <c r="AN253" s="39"/>
      <c r="AO253" s="39"/>
      <c r="AP253" s="39">
        <f>AP215/AP$280</f>
        <v>18759.038372630606</v>
      </c>
      <c r="AQ253" s="39">
        <f>AP253</f>
        <v>18759.038372630606</v>
      </c>
      <c r="AR253" s="39">
        <f t="shared" si="198"/>
        <v>20297.733904513567</v>
      </c>
      <c r="AS253" s="39">
        <f t="shared" si="198"/>
        <v>31058.333917186297</v>
      </c>
      <c r="AT253" s="39">
        <f t="shared" si="198"/>
        <v>29378.840561385761</v>
      </c>
      <c r="AU253" s="39">
        <f t="shared" si="198"/>
        <v>39928.016318887101</v>
      </c>
      <c r="AV253" s="39">
        <f>AU253</f>
        <v>39928.016318887101</v>
      </c>
      <c r="AW253" s="39">
        <f t="shared" si="199"/>
        <v>48222.346523030174</v>
      </c>
      <c r="AX253" s="39">
        <f t="shared" si="199"/>
        <v>47182.321332616877</v>
      </c>
      <c r="AY253" s="39">
        <f t="shared" si="199"/>
        <v>55734.951456310679</v>
      </c>
    </row>
    <row r="254" spans="1:66" s="219" customFormat="1">
      <c r="A254" s="262" t="s">
        <v>3122</v>
      </c>
      <c r="AP254" s="649">
        <f t="shared" ref="AP254:AW254" si="200">AP255-AP253</f>
        <v>-1851.3044052572513</v>
      </c>
      <c r="AQ254" s="649">
        <f t="shared" si="200"/>
        <v>-1851.3044052572513</v>
      </c>
      <c r="AR254" s="649">
        <f t="shared" si="200"/>
        <v>-1734.3763581051753</v>
      </c>
      <c r="AS254" s="649">
        <f t="shared" si="200"/>
        <v>-2122.5810971764949</v>
      </c>
      <c r="AT254" s="649">
        <f t="shared" si="200"/>
        <v>-2004.9627007207055</v>
      </c>
      <c r="AU254" s="649">
        <f t="shared" si="200"/>
        <v>-2006.6680042803564</v>
      </c>
      <c r="AV254" s="649">
        <f t="shared" si="200"/>
        <v>-2006.6680042803564</v>
      </c>
      <c r="AW254" s="649">
        <f t="shared" si="200"/>
        <v>-2369.159588426206</v>
      </c>
      <c r="AX254" s="649">
        <f t="shared" ref="AX254:AY254" si="201">AX255-AX253</f>
        <v>-3119.9892530897414</v>
      </c>
      <c r="AY254" s="649">
        <f t="shared" si="201"/>
        <v>-4380.838017373535</v>
      </c>
      <c r="BH254" s="705"/>
    </row>
    <row r="255" spans="1:66" s="219" customFormat="1">
      <c r="A255" s="887" t="s">
        <v>3121</v>
      </c>
      <c r="B255" s="887"/>
      <c r="C255" s="887"/>
      <c r="D255" s="887"/>
      <c r="E255" s="887"/>
      <c r="F255" s="887"/>
      <c r="G255" s="887"/>
      <c r="H255" s="887"/>
      <c r="I255" s="887"/>
      <c r="J255" s="887"/>
      <c r="K255" s="887"/>
      <c r="L255" s="887"/>
      <c r="M255" s="887"/>
      <c r="N255" s="887"/>
      <c r="O255" s="887"/>
      <c r="P255" s="887"/>
      <c r="Q255" s="887"/>
      <c r="R255" s="887"/>
      <c r="S255" s="887"/>
      <c r="T255" s="887"/>
      <c r="U255" s="887"/>
      <c r="V255" s="888"/>
      <c r="W255" s="888"/>
      <c r="X255" s="887"/>
      <c r="Y255" s="887"/>
      <c r="Z255" s="887"/>
      <c r="AA255" s="888"/>
      <c r="AB255" s="888"/>
      <c r="AC255" s="887"/>
      <c r="AD255" s="887"/>
      <c r="AE255" s="887"/>
      <c r="AF255" s="888"/>
      <c r="AG255" s="888"/>
      <c r="AH255" s="887"/>
      <c r="AI255" s="887"/>
      <c r="AJ255" s="887"/>
      <c r="AK255" s="888"/>
      <c r="AL255" s="888"/>
      <c r="AM255" s="888"/>
      <c r="AN255" s="888"/>
      <c r="AO255" s="888"/>
      <c r="AP255" s="888">
        <f>1000*'Valuation &amp; SBG NAV'!BE71</f>
        <v>16907.733967373355</v>
      </c>
      <c r="AQ255" s="888">
        <f>1000*'Valuation &amp; SBG NAV'!BF71</f>
        <v>16907.733967373355</v>
      </c>
      <c r="AR255" s="888">
        <f>1000*'Valuation &amp; SBG NAV'!BG71</f>
        <v>18563.357546408391</v>
      </c>
      <c r="AS255" s="888">
        <f>1000*'Valuation &amp; SBG NAV'!BH71</f>
        <v>28935.752820009802</v>
      </c>
      <c r="AT255" s="888">
        <f>1000*'Valuation &amp; SBG NAV'!BI71</f>
        <v>27373.877860665056</v>
      </c>
      <c r="AU255" s="888">
        <f>1000*'Valuation &amp; SBG NAV'!BJ71</f>
        <v>37921.348314606745</v>
      </c>
      <c r="AV255" s="888">
        <f>1000*'Valuation &amp; SBG NAV'!BK71</f>
        <v>37921.348314606745</v>
      </c>
      <c r="AW255" s="888">
        <f>1000*'Valuation &amp; SBG NAV'!BL71</f>
        <v>45853.186934603968</v>
      </c>
      <c r="AX255" s="888">
        <f>1000*'Valuation &amp; SBG NAV'!BM71</f>
        <v>44062.332079527136</v>
      </c>
      <c r="AY255" s="888">
        <f>1000*'Valuation &amp; SBG NAV'!BN71</f>
        <v>51354.113438937144</v>
      </c>
      <c r="BH255" s="705"/>
    </row>
    <row r="257" spans="1:51">
      <c r="A257" s="1" t="s">
        <v>2035</v>
      </c>
    </row>
    <row r="258" spans="1:51">
      <c r="A258" s="5" t="s">
        <v>84</v>
      </c>
      <c r="V258" s="36">
        <f>V218/V$280</f>
        <v>3634.246071855187</v>
      </c>
      <c r="W258" s="36">
        <f>V258</f>
        <v>3634.246071855187</v>
      </c>
      <c r="AA258" s="36">
        <f>AA218/AA$280</f>
        <v>3402.1045975973266</v>
      </c>
      <c r="AB258" s="36">
        <f>AA258</f>
        <v>3402.1045975973266</v>
      </c>
      <c r="AF258" s="36">
        <f>AF218/AF$280</f>
        <v>2359.5146662309012</v>
      </c>
      <c r="AG258" s="36">
        <f>AF258</f>
        <v>2359.5146662309012</v>
      </c>
      <c r="AK258" s="36">
        <f>AK218/AK$280</f>
        <v>3598.6070545944731</v>
      </c>
      <c r="AL258" s="36">
        <f>AK258</f>
        <v>3598.6070545944731</v>
      </c>
      <c r="AM258" s="36">
        <f t="shared" ref="AM258:AP262" si="202">AM218/AM$280</f>
        <v>3762.5353472653283</v>
      </c>
      <c r="AN258" s="36">
        <f t="shared" si="202"/>
        <v>-321.7141329054686</v>
      </c>
      <c r="AO258" s="36">
        <f t="shared" si="202"/>
        <v>-219.38235916237747</v>
      </c>
      <c r="AP258" s="36">
        <f t="shared" si="202"/>
        <v>-434.23816128393105</v>
      </c>
      <c r="AQ258" s="36">
        <f>AP258</f>
        <v>-434.23816128393105</v>
      </c>
      <c r="AR258" s="36">
        <f t="shared" ref="AR258:AU262" si="203">AR218/AR$280</f>
        <v>-136.75420624573167</v>
      </c>
      <c r="AS258" s="36">
        <f t="shared" si="203"/>
        <v>-333.94521123800183</v>
      </c>
      <c r="AT258" s="36">
        <f t="shared" si="203"/>
        <v>-137.31192312555316</v>
      </c>
      <c r="AU258" s="36">
        <f t="shared" si="203"/>
        <v>-202.74210807918672</v>
      </c>
      <c r="AV258" s="36">
        <f>AU258</f>
        <v>-202.74210807918672</v>
      </c>
      <c r="AW258" s="36">
        <f t="shared" ref="AW258:AY262" si="204">AW218/AW$280</f>
        <v>-428.0850769974449</v>
      </c>
      <c r="AX258" s="36">
        <f t="shared" si="204"/>
        <v>-596.99758194519075</v>
      </c>
      <c r="AY258" s="36">
        <f t="shared" si="204"/>
        <v>-847.08737864077671</v>
      </c>
    </row>
    <row r="259" spans="1:51">
      <c r="A259" s="5" t="s">
        <v>83</v>
      </c>
      <c r="V259" s="36">
        <f>V219/V$280</f>
        <v>-10.96205090508132</v>
      </c>
      <c r="W259" s="36">
        <f>V259</f>
        <v>-10.96205090508132</v>
      </c>
      <c r="AA259" s="36">
        <f>AA219/AA$280</f>
        <v>-573.29961159786831</v>
      </c>
      <c r="AB259" s="36">
        <f>AA259</f>
        <v>-573.29961159786831</v>
      </c>
      <c r="AF259" s="36">
        <f>AF219/AF$280</f>
        <v>4747.7571697034073</v>
      </c>
      <c r="AG259" s="36">
        <f>AF259</f>
        <v>4747.7571697034073</v>
      </c>
      <c r="AK259" s="36">
        <f>AK219/AK$280</f>
        <v>5489.9573129633791</v>
      </c>
      <c r="AL259" s="36">
        <f>AK259</f>
        <v>5489.9573129633791</v>
      </c>
      <c r="AM259" s="36">
        <f t="shared" si="202"/>
        <v>5275.2189806193528</v>
      </c>
      <c r="AN259" s="36">
        <f t="shared" si="202"/>
        <v>3475.0768819360874</v>
      </c>
      <c r="AO259" s="36">
        <f t="shared" si="202"/>
        <v>3465.0849608686453</v>
      </c>
      <c r="AP259" s="36">
        <f t="shared" si="202"/>
        <v>2944.5281025031372</v>
      </c>
      <c r="AQ259" s="36">
        <f>AP259</f>
        <v>2944.5281025031372</v>
      </c>
      <c r="AR259" s="36">
        <f t="shared" si="203"/>
        <v>3351.4807226671633</v>
      </c>
      <c r="AS259" s="36">
        <f t="shared" si="203"/>
        <v>3329.7134449660198</v>
      </c>
      <c r="AT259" s="36">
        <f t="shared" si="203"/>
        <v>3121.2289796434438</v>
      </c>
      <c r="AU259" s="36">
        <f t="shared" si="203"/>
        <v>3156.6345639379347</v>
      </c>
      <c r="AV259" s="36">
        <f>AU259</f>
        <v>3156.6345639379347</v>
      </c>
      <c r="AW259" s="36">
        <f t="shared" si="204"/>
        <v>3005.1999171327948</v>
      </c>
      <c r="AX259" s="36">
        <f t="shared" si="204"/>
        <v>3048.8111230521226</v>
      </c>
      <c r="AY259" s="36">
        <f t="shared" si="204"/>
        <v>4688.7966274910577</v>
      </c>
    </row>
    <row r="260" spans="1:51">
      <c r="A260" s="5" t="s">
        <v>944</v>
      </c>
      <c r="V260" s="36"/>
      <c r="W260" s="36"/>
      <c r="AA260" s="36"/>
      <c r="AB260" s="36"/>
      <c r="AF260" s="36">
        <f>AF220/AF$280</f>
        <v>59.555519241768117</v>
      </c>
      <c r="AG260" s="36">
        <f>AF260</f>
        <v>59.555519241768117</v>
      </c>
      <c r="AK260" s="36">
        <f>AK220/AK$280</f>
        <v>-21.103871789111061</v>
      </c>
      <c r="AL260" s="36">
        <f>AK260</f>
        <v>-21.103871789111061</v>
      </c>
      <c r="AM260" s="36">
        <f t="shared" si="202"/>
        <v>-23.091247672253257</v>
      </c>
      <c r="AN260" s="36">
        <f t="shared" si="202"/>
        <v>-22.770423853456343</v>
      </c>
      <c r="AO260" s="36">
        <f t="shared" si="202"/>
        <v>-29.105266868786572</v>
      </c>
      <c r="AP260" s="36">
        <f t="shared" si="202"/>
        <v>-20.368535763820091</v>
      </c>
      <c r="AQ260" s="36">
        <f>AP260</f>
        <v>-20.368535763820091</v>
      </c>
      <c r="AR260" s="36">
        <f t="shared" si="203"/>
        <v>-25.06984540882846</v>
      </c>
      <c r="AS260" s="36">
        <f t="shared" si="203"/>
        <v>-30.231906396693059</v>
      </c>
      <c r="AT260" s="36">
        <f t="shared" si="203"/>
        <v>-21.873814641547604</v>
      </c>
      <c r="AU260" s="36">
        <f t="shared" si="203"/>
        <v>-30.076243980738361</v>
      </c>
      <c r="AV260" s="36">
        <f>AU260</f>
        <v>-30.076243980738361</v>
      </c>
      <c r="AW260" s="36">
        <f t="shared" si="204"/>
        <v>-19.570471652510186</v>
      </c>
      <c r="AX260" s="36">
        <f t="shared" si="204"/>
        <v>-74.140247178936065</v>
      </c>
      <c r="AY260" s="36">
        <f t="shared" si="204"/>
        <v>-53.50664282064384</v>
      </c>
    </row>
    <row r="261" spans="1:51">
      <c r="A261" s="5" t="s">
        <v>2036</v>
      </c>
      <c r="V261" s="36">
        <f>V221/V$280</f>
        <v>-349.00303225213639</v>
      </c>
      <c r="W261" s="36">
        <f>V261</f>
        <v>-349.00303225213639</v>
      </c>
      <c r="AA261" s="36">
        <f>AA221/AA$280</f>
        <v>-230.62054014994129</v>
      </c>
      <c r="AB261" s="36">
        <f>AA261</f>
        <v>-230.62054014994129</v>
      </c>
      <c r="AF261" s="36">
        <f>AF221/AF$280</f>
        <v>-192.67096985047797</v>
      </c>
      <c r="AG261" s="36">
        <f>AF261</f>
        <v>-192.67096985047797</v>
      </c>
      <c r="AK261" s="36">
        <f>AK221/AK$280</f>
        <v>-619.1342769415113</v>
      </c>
      <c r="AL261" s="36">
        <f>AK261</f>
        <v>-619.1342769415113</v>
      </c>
      <c r="AM261" s="36">
        <f t="shared" si="202"/>
        <v>-207.75915580384853</v>
      </c>
      <c r="AN261" s="36">
        <f t="shared" si="202"/>
        <v>-214.32678165530149</v>
      </c>
      <c r="AO261" s="36">
        <f t="shared" si="202"/>
        <v>-272.81957272791368</v>
      </c>
      <c r="AP261" s="36">
        <f t="shared" si="202"/>
        <v>-284.28769566078859</v>
      </c>
      <c r="AQ261" s="36">
        <f>AP261</f>
        <v>-284.28769566078859</v>
      </c>
      <c r="AR261" s="36">
        <f t="shared" si="203"/>
        <v>-300.44701061650215</v>
      </c>
      <c r="AS261" s="36">
        <f t="shared" si="203"/>
        <v>-350.85125761928117</v>
      </c>
      <c r="AT261" s="36">
        <f t="shared" si="203"/>
        <v>-371.28587684915919</v>
      </c>
      <c r="AU261" s="36">
        <f t="shared" si="203"/>
        <v>-367.79695024077046</v>
      </c>
      <c r="AV261" s="36">
        <f>AU261</f>
        <v>-367.79695024077046</v>
      </c>
      <c r="AW261" s="36">
        <f t="shared" si="204"/>
        <v>-338.26393204889166</v>
      </c>
      <c r="AX261" s="36">
        <f t="shared" si="204"/>
        <v>-417.18833960236435</v>
      </c>
      <c r="AY261" s="36">
        <f t="shared" si="204"/>
        <v>-491.70286152273889</v>
      </c>
    </row>
    <row r="262" spans="1:51">
      <c r="A262" s="9" t="s">
        <v>2035</v>
      </c>
      <c r="B262" s="9"/>
      <c r="C262" s="9"/>
      <c r="D262" s="9"/>
      <c r="E262" s="9"/>
      <c r="F262" s="9"/>
      <c r="G262" s="9"/>
      <c r="H262" s="9"/>
      <c r="I262" s="9"/>
      <c r="J262" s="9"/>
      <c r="K262" s="9"/>
      <c r="L262" s="9"/>
      <c r="M262" s="9"/>
      <c r="N262" s="9"/>
      <c r="O262" s="9"/>
      <c r="P262" s="9"/>
      <c r="Q262" s="9"/>
      <c r="R262" s="9"/>
      <c r="S262" s="9"/>
      <c r="T262" s="9"/>
      <c r="U262" s="9"/>
      <c r="V262" s="39">
        <f>V222/V$280</f>
        <v>3274.2809886979694</v>
      </c>
      <c r="W262" s="39">
        <f>V262</f>
        <v>3274.2809886979694</v>
      </c>
      <c r="X262" s="9"/>
      <c r="Y262" s="9"/>
      <c r="Z262" s="9"/>
      <c r="AA262" s="39">
        <f>AA222/AA$280</f>
        <v>2598.184445849517</v>
      </c>
      <c r="AB262" s="39">
        <f>AA262</f>
        <v>2598.184445849517</v>
      </c>
      <c r="AC262" s="9"/>
      <c r="AD262" s="9"/>
      <c r="AE262" s="9"/>
      <c r="AF262" s="39">
        <f>AF222/AF$280</f>
        <v>6974.1563853255984</v>
      </c>
      <c r="AG262" s="39">
        <f>AF262</f>
        <v>6974.1563853255984</v>
      </c>
      <c r="AH262" s="9"/>
      <c r="AI262" s="9"/>
      <c r="AJ262" s="9"/>
      <c r="AK262" s="39">
        <f>AK222/AK$280</f>
        <v>8448.3262188272292</v>
      </c>
      <c r="AL262" s="39">
        <f>AK262</f>
        <v>8448.3262188272292</v>
      </c>
      <c r="AM262" s="39">
        <f t="shared" si="202"/>
        <v>8806.9039244085798</v>
      </c>
      <c r="AN262" s="39">
        <f t="shared" si="202"/>
        <v>2916.2655435218608</v>
      </c>
      <c r="AO262" s="39">
        <f t="shared" si="202"/>
        <v>2943.7777621095674</v>
      </c>
      <c r="AP262" s="39">
        <f t="shared" si="202"/>
        <v>2205.6337097945975</v>
      </c>
      <c r="AQ262" s="39">
        <f>AP262</f>
        <v>2205.6337097945975</v>
      </c>
      <c r="AR262" s="39">
        <f t="shared" si="203"/>
        <v>2889.2096603961013</v>
      </c>
      <c r="AS262" s="39">
        <f t="shared" si="203"/>
        <v>2614.685069712044</v>
      </c>
      <c r="AT262" s="39">
        <f t="shared" si="203"/>
        <v>2590.7573650271843</v>
      </c>
      <c r="AU262" s="39">
        <f t="shared" si="203"/>
        <v>2556.0192616372392</v>
      </c>
      <c r="AV262" s="39">
        <f>AU262</f>
        <v>2556.0192616372392</v>
      </c>
      <c r="AW262" s="39">
        <f t="shared" si="204"/>
        <v>2219.2804364339477</v>
      </c>
      <c r="AX262" s="39">
        <f t="shared" si="204"/>
        <v>1960.4849543256314</v>
      </c>
      <c r="AY262" s="39">
        <f t="shared" si="204"/>
        <v>3296.4997445068984</v>
      </c>
    </row>
    <row r="263" spans="1:51">
      <c r="A263" s="1" t="s">
        <v>706</v>
      </c>
      <c r="V263" s="36">
        <f>V262-SUM(V258:V261)</f>
        <v>0</v>
      </c>
      <c r="W263" s="36">
        <f>W262-SUM(W258:W261)</f>
        <v>0</v>
      </c>
      <c r="AA263" s="36">
        <f>AA262-SUM(AA258:AA261)</f>
        <v>0</v>
      </c>
      <c r="AB263" s="36">
        <f>AB262-SUM(AB258:AB261)</f>
        <v>0</v>
      </c>
      <c r="AF263" s="36">
        <f>AF262-SUM(AF258:AF261)</f>
        <v>0</v>
      </c>
      <c r="AG263" s="36">
        <f>AG262-SUM(AG258:AG261)</f>
        <v>0</v>
      </c>
      <c r="AK263" s="36">
        <f t="shared" ref="AK263:AO263" si="205">AK262-SUM(AK258:AK261)</f>
        <v>0</v>
      </c>
      <c r="AL263" s="36">
        <f t="shared" si="205"/>
        <v>0</v>
      </c>
      <c r="AM263" s="36">
        <f t="shared" si="205"/>
        <v>0</v>
      </c>
      <c r="AN263" s="36">
        <f t="shared" si="205"/>
        <v>0</v>
      </c>
      <c r="AO263" s="36">
        <f t="shared" si="205"/>
        <v>0</v>
      </c>
      <c r="AP263" s="36">
        <f t="shared" ref="AP263" si="206">AP262-SUM(AP258:AP261)</f>
        <v>0</v>
      </c>
      <c r="AQ263" s="36">
        <f t="shared" ref="AQ263:AR263" si="207">AQ262-SUM(AQ258:AQ261)</f>
        <v>0</v>
      </c>
      <c r="AR263" s="36">
        <f t="shared" si="207"/>
        <v>0</v>
      </c>
      <c r="AS263" s="36">
        <f t="shared" ref="AS263:AW263" si="208">AS262-SUM(AS258:AS261)</f>
        <v>0</v>
      </c>
      <c r="AT263" s="36">
        <f t="shared" si="208"/>
        <v>0</v>
      </c>
      <c r="AU263" s="36">
        <f t="shared" si="208"/>
        <v>0</v>
      </c>
      <c r="AV263" s="36">
        <f t="shared" si="208"/>
        <v>0</v>
      </c>
      <c r="AW263" s="36">
        <f t="shared" si="208"/>
        <v>0</v>
      </c>
      <c r="AX263" s="36">
        <f t="shared" ref="AX263:AY263" si="209">AX262-SUM(AX258:AX261)</f>
        <v>0</v>
      </c>
      <c r="AY263" s="36">
        <f t="shared" si="209"/>
        <v>0</v>
      </c>
    </row>
    <row r="264" spans="1:51">
      <c r="V264" s="36"/>
      <c r="W264" s="36"/>
      <c r="AA264" s="36"/>
      <c r="AB264" s="36"/>
      <c r="AF264" s="36"/>
      <c r="AG264" s="36"/>
      <c r="AK264" s="36"/>
      <c r="AL264" s="36"/>
      <c r="AM264" s="36"/>
      <c r="AN264" s="36"/>
      <c r="AO264" s="36"/>
      <c r="AP264" s="36"/>
      <c r="AQ264" s="36"/>
      <c r="AR264" s="61"/>
      <c r="AS264" s="61"/>
      <c r="AT264" s="36"/>
      <c r="AW264" s="61"/>
      <c r="AY264" s="36"/>
    </row>
    <row r="265" spans="1:51">
      <c r="A265" s="1" t="s">
        <v>85</v>
      </c>
    </row>
    <row r="266" spans="1:51">
      <c r="A266" s="5" t="s">
        <v>2037</v>
      </c>
      <c r="V266" s="36">
        <f>V226/V$280</f>
        <v>33821.345217311406</v>
      </c>
      <c r="W266" s="36">
        <f t="shared" ref="W266:W270" si="210">V266</f>
        <v>33821.345217311406</v>
      </c>
      <c r="AA266" s="36">
        <f>AA226/AA$280</f>
        <v>34900.045163038572</v>
      </c>
      <c r="AB266" s="36">
        <f t="shared" ref="AB266:AB270" si="211">AA266</f>
        <v>34900.045163038572</v>
      </c>
      <c r="AF266" s="36">
        <f t="shared" ref="AF266:AF271" si="212">AF226/AF$280</f>
        <v>32010.719830051476</v>
      </c>
      <c r="AG266" s="36">
        <f t="shared" ref="AG266:AG270" si="213">AF266</f>
        <v>32010.719830051476</v>
      </c>
      <c r="AK266" s="36">
        <f t="shared" ref="AK266:AK271" si="214">AK226/AK$280</f>
        <v>28975.091739683965</v>
      </c>
      <c r="AL266" s="36">
        <f t="shared" ref="AL266:AL270" si="215">AK266</f>
        <v>28975.091739683965</v>
      </c>
      <c r="AM266" s="36">
        <f t="shared" ref="AM266:AP271" si="216">AM226/AM$280</f>
        <v>28227.077729498586</v>
      </c>
      <c r="AN266" s="36">
        <f t="shared" si="216"/>
        <v>26386.201363818691</v>
      </c>
      <c r="AO266" s="36">
        <f t="shared" si="216"/>
        <v>28079.567087358104</v>
      </c>
      <c r="AP266" s="36">
        <f t="shared" si="216"/>
        <v>25698.850802456906</v>
      </c>
      <c r="AQ266" s="36">
        <f t="shared" ref="AQ266:AQ270" si="217">AP266</f>
        <v>25698.850802456906</v>
      </c>
      <c r="AR266" s="36">
        <f t="shared" ref="AR266:AU271" si="218">AR226/AR$280</f>
        <v>25598.447879803814</v>
      </c>
      <c r="AS266" s="36">
        <f t="shared" si="218"/>
        <v>27328.417291389338</v>
      </c>
      <c r="AT266" s="36">
        <f t="shared" si="218"/>
        <v>23939.455051207486</v>
      </c>
      <c r="AU266" s="36">
        <f t="shared" si="218"/>
        <v>25393.525949705723</v>
      </c>
      <c r="AV266" s="36">
        <f t="shared" ref="AV266:AV270" si="219">AU266</f>
        <v>25393.525949705723</v>
      </c>
      <c r="AW266" s="36">
        <f t="shared" ref="AW266:AY271" si="220">AW226/AW$280</f>
        <v>28190.504799392307</v>
      </c>
      <c r="AX266" s="36">
        <f t="shared" si="220"/>
        <v>26608.792315959163</v>
      </c>
      <c r="AY266" s="36">
        <f t="shared" si="220"/>
        <v>26851.283852835972</v>
      </c>
    </row>
    <row r="267" spans="1:51">
      <c r="A267" s="5" t="s">
        <v>1660</v>
      </c>
      <c r="V267" s="36">
        <f>V227/V$280</f>
        <v>5477.028392906368</v>
      </c>
      <c r="W267" s="36">
        <f t="shared" si="210"/>
        <v>5477.028392906368</v>
      </c>
      <c r="AA267" s="36">
        <f>AA227/AA$280</f>
        <v>5510.2429771475026</v>
      </c>
      <c r="AB267" s="36">
        <f t="shared" si="211"/>
        <v>5510.2429771475026</v>
      </c>
      <c r="AF267" s="36">
        <f t="shared" si="212"/>
        <v>7288.0382384181712</v>
      </c>
      <c r="AG267" s="36">
        <f t="shared" si="213"/>
        <v>7288.0382384181712</v>
      </c>
      <c r="AK267" s="36">
        <f t="shared" si="214"/>
        <v>7299.0039691455104</v>
      </c>
      <c r="AL267" s="36">
        <f t="shared" si="215"/>
        <v>7299.0039691455104</v>
      </c>
      <c r="AM267" s="36">
        <f t="shared" si="216"/>
        <v>6775.5707290157934</v>
      </c>
      <c r="AN267" s="36">
        <f t="shared" si="216"/>
        <v>5720.9252573873509</v>
      </c>
      <c r="AO267" s="36">
        <f t="shared" si="216"/>
        <v>6061.7076782063032</v>
      </c>
      <c r="AP267" s="36">
        <f t="shared" si="216"/>
        <v>5264.4739449177732</v>
      </c>
      <c r="AQ267" s="36">
        <f t="shared" si="217"/>
        <v>5264.4739449177732</v>
      </c>
      <c r="AR267" s="36">
        <f t="shared" si="218"/>
        <v>4717.0546967157143</v>
      </c>
      <c r="AS267" s="36">
        <f t="shared" si="218"/>
        <v>6283.8856582358303</v>
      </c>
      <c r="AT267" s="36">
        <f t="shared" si="218"/>
        <v>5443.3872803135664</v>
      </c>
      <c r="AU267" s="36">
        <f t="shared" si="218"/>
        <v>5481.8552701979661</v>
      </c>
      <c r="AV267" s="36">
        <f t="shared" si="219"/>
        <v>5481.8552701979661</v>
      </c>
      <c r="AW267" s="36">
        <f t="shared" si="220"/>
        <v>6324.1074511428769</v>
      </c>
      <c r="AX267" s="36">
        <f t="shared" si="220"/>
        <v>6590.5292853304672</v>
      </c>
      <c r="AY267" s="36">
        <f t="shared" si="220"/>
        <v>6096.7169136433313</v>
      </c>
    </row>
    <row r="268" spans="1:51">
      <c r="A268" s="5" t="s">
        <v>2038</v>
      </c>
      <c r="V268" s="36"/>
      <c r="W268" s="36"/>
      <c r="AA268" s="36"/>
      <c r="AB268" s="36"/>
      <c r="AF268" s="36">
        <f t="shared" si="212"/>
        <v>-4295.6940926546285</v>
      </c>
      <c r="AG268" s="36">
        <f t="shared" si="213"/>
        <v>-4295.6940926546285</v>
      </c>
      <c r="AK268" s="36">
        <f t="shared" si="214"/>
        <v>-3455.0662772410692</v>
      </c>
      <c r="AL268" s="36">
        <f t="shared" si="215"/>
        <v>-3455.0662772410692</v>
      </c>
      <c r="AM268" s="36">
        <f t="shared" si="216"/>
        <v>-2704.0830402096694</v>
      </c>
      <c r="AN268" s="36">
        <f t="shared" si="216"/>
        <v>-1813.9724562107233</v>
      </c>
      <c r="AO268" s="36">
        <f t="shared" si="216"/>
        <v>-2576.4788831699921</v>
      </c>
      <c r="AP268" s="36">
        <f t="shared" si="216"/>
        <v>-1558.9789313783767</v>
      </c>
      <c r="AQ268" s="36">
        <f t="shared" si="217"/>
        <v>-1558.9789313783767</v>
      </c>
      <c r="AR268" s="36">
        <f t="shared" si="218"/>
        <v>-701.33482336872169</v>
      </c>
      <c r="AS268" s="36">
        <f t="shared" si="218"/>
        <v>-1002.3330764380299</v>
      </c>
      <c r="AT268" s="36">
        <f t="shared" si="218"/>
        <v>-1583.5440637248703</v>
      </c>
      <c r="AU268" s="36">
        <f t="shared" si="218"/>
        <v>-87.874531835205985</v>
      </c>
      <c r="AV268" s="36">
        <f t="shared" si="219"/>
        <v>-87.874531835205985</v>
      </c>
      <c r="AW268" s="36">
        <f t="shared" si="220"/>
        <v>327.27712174573577</v>
      </c>
      <c r="AX268" s="36">
        <f t="shared" si="220"/>
        <v>757.64373992477169</v>
      </c>
      <c r="AY268" s="36">
        <f t="shared" si="220"/>
        <v>237.52554931016863</v>
      </c>
    </row>
    <row r="269" spans="1:51">
      <c r="A269" s="5" t="s">
        <v>2040</v>
      </c>
      <c r="V269" s="36"/>
      <c r="W269" s="36"/>
      <c r="AA269" s="36"/>
      <c r="AB269" s="36"/>
      <c r="AF269" s="36">
        <f t="shared" si="212"/>
        <v>-1195.35909796552</v>
      </c>
      <c r="AG269" s="36">
        <f t="shared" si="213"/>
        <v>-1195.35909796552</v>
      </c>
      <c r="AK269" s="36">
        <f t="shared" si="214"/>
        <v>-1399.6180633565491</v>
      </c>
      <c r="AL269" s="36">
        <f t="shared" si="215"/>
        <v>-1399.6180633565491</v>
      </c>
      <c r="AM269" s="36">
        <f t="shared" si="216"/>
        <v>-1043.7547417063245</v>
      </c>
      <c r="AN269" s="36">
        <f t="shared" si="216"/>
        <v>-406.22409413023126</v>
      </c>
      <c r="AO269" s="36">
        <f t="shared" si="216"/>
        <v>0</v>
      </c>
      <c r="AP269" s="36">
        <f t="shared" si="216"/>
        <v>0</v>
      </c>
      <c r="AQ269" s="36">
        <f t="shared" si="217"/>
        <v>0</v>
      </c>
      <c r="AR269" s="36">
        <f t="shared" si="218"/>
        <v>0</v>
      </c>
      <c r="AS269" s="36">
        <f t="shared" si="218"/>
        <v>0</v>
      </c>
      <c r="AT269" s="36">
        <f t="shared" si="218"/>
        <v>0</v>
      </c>
      <c r="AU269" s="36">
        <f t="shared" si="218"/>
        <v>0</v>
      </c>
      <c r="AV269" s="36">
        <f t="shared" si="219"/>
        <v>0</v>
      </c>
      <c r="AW269" s="36">
        <f t="shared" si="220"/>
        <v>0</v>
      </c>
      <c r="AX269" s="36">
        <f t="shared" si="220"/>
        <v>0</v>
      </c>
      <c r="AY269" s="36">
        <f t="shared" si="220"/>
        <v>0</v>
      </c>
    </row>
    <row r="270" spans="1:51">
      <c r="A270" s="5" t="s">
        <v>947</v>
      </c>
      <c r="V270" s="36">
        <f>V230/V$280</f>
        <v>-3120.2517688137464</v>
      </c>
      <c r="W270" s="36">
        <f t="shared" si="210"/>
        <v>-3120.2517688137464</v>
      </c>
      <c r="AA270" s="36">
        <f>AA230/AA$280</f>
        <v>-3311.9411073977058</v>
      </c>
      <c r="AB270" s="36">
        <f t="shared" si="211"/>
        <v>-3311.9411073977058</v>
      </c>
      <c r="AF270" s="36">
        <f t="shared" si="212"/>
        <v>-910.18874091020507</v>
      </c>
      <c r="AG270" s="36">
        <f t="shared" si="213"/>
        <v>-910.18874091020507</v>
      </c>
      <c r="AK270" s="36">
        <f t="shared" si="214"/>
        <v>-898.00044933722756</v>
      </c>
      <c r="AL270" s="36">
        <f t="shared" si="215"/>
        <v>-898.00044933722756</v>
      </c>
      <c r="AM270" s="36">
        <f t="shared" si="216"/>
        <v>-892.13738878543347</v>
      </c>
      <c r="AN270" s="36">
        <f t="shared" si="216"/>
        <v>-1041.9106832464233</v>
      </c>
      <c r="AO270" s="36">
        <f t="shared" si="216"/>
        <v>-1408.9120778396671</v>
      </c>
      <c r="AP270" s="36">
        <f t="shared" si="216"/>
        <v>-818.24846443431738</v>
      </c>
      <c r="AQ270" s="36">
        <f t="shared" si="217"/>
        <v>-818.24846443431738</v>
      </c>
      <c r="AR270" s="36">
        <f t="shared" si="218"/>
        <v>-216.37176382939094</v>
      </c>
      <c r="AS270" s="36">
        <f t="shared" si="218"/>
        <v>-363.13318853779867</v>
      </c>
      <c r="AT270" s="36">
        <f t="shared" si="218"/>
        <v>-457.13111644961435</v>
      </c>
      <c r="AU270" s="36">
        <f t="shared" si="218"/>
        <v>-513.11530230069548</v>
      </c>
      <c r="AV270" s="36">
        <f t="shared" si="219"/>
        <v>-513.11530230069548</v>
      </c>
      <c r="AW270" s="36">
        <f t="shared" si="220"/>
        <v>-637.38001519232091</v>
      </c>
      <c r="AX270" s="36">
        <f t="shared" si="220"/>
        <v>-792.16818914562066</v>
      </c>
      <c r="AY270" s="36">
        <f t="shared" si="220"/>
        <v>-992.64179867143582</v>
      </c>
    </row>
    <row r="271" spans="1:51">
      <c r="A271" s="9" t="s">
        <v>85</v>
      </c>
      <c r="B271" s="9"/>
      <c r="C271" s="9"/>
      <c r="D271" s="9"/>
      <c r="E271" s="9"/>
      <c r="F271" s="9"/>
      <c r="G271" s="9"/>
      <c r="H271" s="9"/>
      <c r="I271" s="9"/>
      <c r="J271" s="9"/>
      <c r="K271" s="9"/>
      <c r="L271" s="9"/>
      <c r="M271" s="9"/>
      <c r="N271" s="9"/>
      <c r="O271" s="9"/>
      <c r="P271" s="9"/>
      <c r="Q271" s="9"/>
      <c r="R271" s="9"/>
      <c r="S271" s="9"/>
      <c r="T271" s="9"/>
      <c r="U271" s="9"/>
      <c r="V271" s="39">
        <f>V231/V$280</f>
        <v>36178.121841404027</v>
      </c>
      <c r="W271" s="39">
        <f>V271</f>
        <v>36178.121841404027</v>
      </c>
      <c r="X271" s="9"/>
      <c r="Y271" s="9"/>
      <c r="Z271" s="9"/>
      <c r="AA271" s="39">
        <f>AA231/AA$280</f>
        <v>37098.34703278837</v>
      </c>
      <c r="AB271" s="39">
        <f>AA271</f>
        <v>37098.34703278837</v>
      </c>
      <c r="AC271" s="9"/>
      <c r="AD271" s="9"/>
      <c r="AE271" s="9"/>
      <c r="AF271" s="39">
        <f t="shared" si="212"/>
        <v>32897.516136939295</v>
      </c>
      <c r="AG271" s="39">
        <f>AF271</f>
        <v>32897.516136939295</v>
      </c>
      <c r="AH271" s="9"/>
      <c r="AI271" s="9"/>
      <c r="AJ271" s="9"/>
      <c r="AK271" s="39">
        <f t="shared" si="214"/>
        <v>30521.410918894631</v>
      </c>
      <c r="AL271" s="39">
        <f>AK271</f>
        <v>30521.410918894631</v>
      </c>
      <c r="AM271" s="39">
        <f t="shared" si="216"/>
        <v>30362.673287812951</v>
      </c>
      <c r="AN271" s="39">
        <f t="shared" si="216"/>
        <v>28845.019387618664</v>
      </c>
      <c r="AO271" s="39">
        <f t="shared" si="216"/>
        <v>30155.883804554745</v>
      </c>
      <c r="AP271" s="39">
        <f t="shared" si="216"/>
        <v>28586.097351561984</v>
      </c>
      <c r="AQ271" s="39">
        <f>AP271</f>
        <v>28586.097351561984</v>
      </c>
      <c r="AR271" s="39">
        <f t="shared" si="218"/>
        <v>29397.795989321414</v>
      </c>
      <c r="AS271" s="39">
        <f t="shared" si="218"/>
        <v>32246.836684649341</v>
      </c>
      <c r="AT271" s="39">
        <f t="shared" si="218"/>
        <v>27342.167151346566</v>
      </c>
      <c r="AU271" s="39">
        <f t="shared" si="218"/>
        <v>30274.391385767787</v>
      </c>
      <c r="AV271" s="39">
        <f>AU271</f>
        <v>30274.391385767787</v>
      </c>
      <c r="AW271" s="39">
        <f t="shared" si="220"/>
        <v>34204.509357088595</v>
      </c>
      <c r="AX271" s="39">
        <f t="shared" si="220"/>
        <v>33164.797152068779</v>
      </c>
      <c r="AY271" s="39">
        <f t="shared" si="220"/>
        <v>32192.884517118036</v>
      </c>
    </row>
    <row r="272" spans="1:51">
      <c r="A272" s="1" t="s">
        <v>706</v>
      </c>
      <c r="V272" s="36">
        <f>V271-SUM(V266:V270)</f>
        <v>0</v>
      </c>
      <c r="W272" s="36">
        <f>W271-SUM(W266:W270)</f>
        <v>0</v>
      </c>
      <c r="AA272" s="36">
        <f>AA271-SUM(AA266:AA270)</f>
        <v>0</v>
      </c>
      <c r="AB272" s="36">
        <f>AB271-SUM(AB266:AB270)</f>
        <v>0</v>
      </c>
      <c r="AF272" s="36">
        <f>AF271-SUM(AF266:AF270)</f>
        <v>0</v>
      </c>
      <c r="AG272" s="36">
        <f>AG271-SUM(AG266:AG270)</f>
        <v>0</v>
      </c>
      <c r="AK272" s="36">
        <f t="shared" ref="AK272:AO272" si="221">AK271-SUM(AK266:AK270)</f>
        <v>0</v>
      </c>
      <c r="AL272" s="36">
        <f t="shared" si="221"/>
        <v>0</v>
      </c>
      <c r="AM272" s="36">
        <f t="shared" si="221"/>
        <v>0</v>
      </c>
      <c r="AN272" s="36">
        <f t="shared" si="221"/>
        <v>0</v>
      </c>
      <c r="AO272" s="36">
        <f t="shared" si="221"/>
        <v>0</v>
      </c>
      <c r="AP272" s="36">
        <f t="shared" ref="AP272" si="222">AP271-SUM(AP266:AP270)</f>
        <v>0</v>
      </c>
      <c r="AQ272" s="36">
        <f t="shared" ref="AQ272:AR272" si="223">AQ271-SUM(AQ266:AQ270)</f>
        <v>0</v>
      </c>
      <c r="AR272" s="36">
        <f t="shared" si="223"/>
        <v>0</v>
      </c>
      <c r="AS272" s="36">
        <f t="shared" ref="AS272:AW272" si="224">AS271-SUM(AS266:AS270)</f>
        <v>0</v>
      </c>
      <c r="AT272" s="36">
        <f t="shared" si="224"/>
        <v>0</v>
      </c>
      <c r="AU272" s="36">
        <f t="shared" si="224"/>
        <v>0</v>
      </c>
      <c r="AV272" s="36">
        <f t="shared" si="224"/>
        <v>0</v>
      </c>
      <c r="AW272" s="36">
        <f t="shared" si="224"/>
        <v>0</v>
      </c>
      <c r="AX272" s="36">
        <f t="shared" ref="AX272:AY272" si="225">AX271-SUM(AX266:AX270)</f>
        <v>0</v>
      </c>
      <c r="AY272" s="36">
        <f t="shared" si="225"/>
        <v>0</v>
      </c>
    </row>
    <row r="274" spans="1:58">
      <c r="A274" s="28" t="s">
        <v>946</v>
      </c>
      <c r="V274" s="36"/>
      <c r="AA274" s="36"/>
      <c r="AF274" s="36"/>
      <c r="AK274" s="36"/>
      <c r="AM274" s="36"/>
      <c r="AN274" s="36"/>
      <c r="AO274" s="36"/>
      <c r="AP274" s="36"/>
      <c r="AT274" s="36"/>
      <c r="AY274" s="36"/>
    </row>
    <row r="275" spans="1:58">
      <c r="A275" s="1" t="s">
        <v>192</v>
      </c>
      <c r="V275" s="36">
        <f>V235/V$280</f>
        <v>-1618.8918496738031</v>
      </c>
      <c r="W275" s="36">
        <f>V275</f>
        <v>-1618.8918496738031</v>
      </c>
      <c r="AA275" s="36">
        <f>AA235/AA$280</f>
        <v>-2632.3186704001446</v>
      </c>
      <c r="AB275" s="36">
        <f>AA275</f>
        <v>-2632.3186704001446</v>
      </c>
      <c r="AF275" s="36">
        <f>AF235/AF$280</f>
        <v>-206.5936759539178</v>
      </c>
      <c r="AG275" s="36">
        <f>AF275</f>
        <v>-206.5936759539178</v>
      </c>
      <c r="AK275" s="36">
        <f>AK235/AK$280</f>
        <v>-3243.1663296637457</v>
      </c>
      <c r="AL275" s="36">
        <f>AK275</f>
        <v>-3243.1663296637457</v>
      </c>
      <c r="AM275" s="36">
        <f>AM235/AM$280</f>
        <v>-2206.6556314228565</v>
      </c>
      <c r="AN275" s="36">
        <f>AN235/AN$280</f>
        <v>-2916.5797566519586</v>
      </c>
      <c r="AO275" s="36">
        <f>AO235/AO$280</f>
        <v>-1974.5681449622787</v>
      </c>
      <c r="AP275" s="36">
        <f>AP235/AP$280</f>
        <v>-4868.9386434185326</v>
      </c>
      <c r="AQ275" s="36">
        <f>AP275</f>
        <v>-4868.9386434185326</v>
      </c>
      <c r="AR275" s="36">
        <f>AR235/AR$280</f>
        <v>-1897.2186006084312</v>
      </c>
      <c r="AS275" s="36">
        <f>AS235/AS$280</f>
        <v>-636.77573040005609</v>
      </c>
      <c r="AT275" s="36">
        <f>AT235/AT$280</f>
        <v>-2080.768744468327</v>
      </c>
      <c r="AU275" s="36">
        <f>AU235/AU$280</f>
        <v>-1485.8614232209736</v>
      </c>
      <c r="AV275" s="36">
        <f>AU275</f>
        <v>-1485.8614232209736</v>
      </c>
      <c r="AW275" s="36">
        <f>AW235/AW$280</f>
        <v>-1088.0049720323182</v>
      </c>
      <c r="AX275" s="36">
        <f>AX235/AX$280</f>
        <v>-1199.879097259538</v>
      </c>
      <c r="AY275" s="36">
        <f>AY235/AY$280</f>
        <v>-2413.7583035258049</v>
      </c>
    </row>
    <row r="276" spans="1:58">
      <c r="AR276" s="26"/>
      <c r="AS276" s="26"/>
      <c r="AW276" s="26"/>
      <c r="AX276" s="26"/>
    </row>
    <row r="277" spans="1:58">
      <c r="A277" s="9" t="s">
        <v>89</v>
      </c>
      <c r="B277" s="9"/>
      <c r="C277" s="9"/>
      <c r="D277" s="9"/>
      <c r="E277" s="9"/>
      <c r="F277" s="9"/>
      <c r="G277" s="9"/>
      <c r="H277" s="9"/>
      <c r="I277" s="9"/>
      <c r="J277" s="9"/>
      <c r="K277" s="9"/>
      <c r="L277" s="9"/>
      <c r="M277" s="9"/>
      <c r="N277" s="9"/>
      <c r="O277" s="9"/>
      <c r="P277" s="9"/>
      <c r="Q277" s="9"/>
      <c r="R277" s="9"/>
      <c r="S277" s="9"/>
      <c r="T277" s="9"/>
      <c r="U277" s="9"/>
      <c r="V277" s="39">
        <f>V237/V$280</f>
        <v>100185.54626481669</v>
      </c>
      <c r="W277" s="39">
        <f>V277</f>
        <v>100185.54626481669</v>
      </c>
      <c r="X277" s="9"/>
      <c r="Y277" s="9"/>
      <c r="Z277" s="9"/>
      <c r="AA277" s="39">
        <f>AA237/AA$280</f>
        <v>134452.63300514859</v>
      </c>
      <c r="AB277" s="39">
        <f>AA277</f>
        <v>134452.63300514859</v>
      </c>
      <c r="AC277" s="9"/>
      <c r="AD277" s="9"/>
      <c r="AE277" s="9"/>
      <c r="AF277" s="39">
        <f>AF237/AF$280</f>
        <v>140163.24046082195</v>
      </c>
      <c r="AG277" s="39">
        <f>AF277</f>
        <v>140163.24046082195</v>
      </c>
      <c r="AH277" s="9"/>
      <c r="AI277" s="9"/>
      <c r="AJ277" s="9"/>
      <c r="AK277" s="39">
        <f>AK237/AK$280</f>
        <v>100277.37587059088</v>
      </c>
      <c r="AL277" s="39">
        <f>AK277</f>
        <v>100277.37587059088</v>
      </c>
      <c r="AM277" s="39">
        <f>AM237/AM$280</f>
        <v>100643.62369818607</v>
      </c>
      <c r="AN277" s="39">
        <f>AN237/AN$280</f>
        <v>98180.993448321955</v>
      </c>
      <c r="AO277" s="39">
        <f>AO237/AO$280</f>
        <v>104145.79426073468</v>
      </c>
      <c r="AP277" s="39">
        <f>AP237/AP$280</f>
        <v>99996.876031966181</v>
      </c>
      <c r="AQ277" s="39">
        <f>AP277</f>
        <v>99996.876031966181</v>
      </c>
      <c r="AR277" s="39">
        <f>AR237/AR$280</f>
        <v>99962.730489849142</v>
      </c>
      <c r="AS277" s="39">
        <f>AS237/AS$280</f>
        <v>111054.30533174526</v>
      </c>
      <c r="AT277" s="39">
        <f>AT237/AT$280</f>
        <v>97144.329245163739</v>
      </c>
      <c r="AU277" s="39">
        <f>AU237/AU$280</f>
        <v>101660.79454253611</v>
      </c>
      <c r="AV277" s="39">
        <f>AU277</f>
        <v>101660.79454253611</v>
      </c>
      <c r="AW277" s="39">
        <f>AW237/AW$280</f>
        <v>106755.34148194185</v>
      </c>
      <c r="AX277" s="39">
        <f>AX237/AX$280</f>
        <v>101689.09860290166</v>
      </c>
      <c r="AY277" s="39">
        <f>AY237/AY$280</f>
        <v>126747.06821665815</v>
      </c>
    </row>
    <row r="278" spans="1:58">
      <c r="A278" s="1" t="s">
        <v>706</v>
      </c>
      <c r="AF278" s="36"/>
      <c r="AG278" s="36"/>
      <c r="AK278" s="36"/>
      <c r="AL278" s="36"/>
      <c r="AM278" s="36"/>
      <c r="AN278" s="36"/>
      <c r="AO278" s="36"/>
      <c r="AP278" s="36"/>
      <c r="AQ278" s="36"/>
      <c r="AR278" s="61"/>
      <c r="AT278" s="36"/>
      <c r="AY278" s="36"/>
    </row>
    <row r="280" spans="1:58">
      <c r="A280" s="1" t="s">
        <v>1007</v>
      </c>
      <c r="S280" s="45">
        <f>FX!S6</f>
        <v>107.79</v>
      </c>
      <c r="T280" s="45">
        <f>FX!T6</f>
        <v>107.92</v>
      </c>
      <c r="U280" s="45">
        <f>FX!U6</f>
        <v>109.56</v>
      </c>
      <c r="V280" s="45">
        <f>FX!V6</f>
        <v>108.83</v>
      </c>
      <c r="X280" s="45">
        <f>FX!X6</f>
        <v>107.74</v>
      </c>
      <c r="Y280" s="45">
        <f>FX!Y6</f>
        <v>105.8</v>
      </c>
      <c r="Z280" s="45">
        <f>FX!Z6</f>
        <v>103.5</v>
      </c>
      <c r="AA280" s="45">
        <f>FX!AA6</f>
        <v>110.71</v>
      </c>
      <c r="AC280" s="45">
        <f>FX!AC6</f>
        <v>110.58</v>
      </c>
      <c r="AD280" s="45">
        <f>FX!AD6</f>
        <v>111.92</v>
      </c>
      <c r="AE280" s="45">
        <f>FX!AE6</f>
        <v>115.02</v>
      </c>
      <c r="AF280" s="45">
        <f>FX!AF6</f>
        <v>122.39</v>
      </c>
      <c r="AH280" s="45">
        <f>FX!AH6</f>
        <v>136.68</v>
      </c>
      <c r="AI280" s="45">
        <f>FX!AI6</f>
        <v>144.81</v>
      </c>
      <c r="AJ280" s="45">
        <f>FX!AJ6</f>
        <v>132.69999999999999</v>
      </c>
      <c r="AK280" s="45">
        <f>FX!AK6</f>
        <v>133.53</v>
      </c>
      <c r="AM280" s="45">
        <f>FX!AM6</f>
        <v>144.99</v>
      </c>
      <c r="AN280" s="45">
        <f>FX!AN6</f>
        <v>149.58000000000001</v>
      </c>
      <c r="AO280" s="45">
        <f>FX!AO6</f>
        <v>141.83000000000001</v>
      </c>
      <c r="AP280" s="45">
        <f>FX!AP6</f>
        <v>151.41</v>
      </c>
      <c r="AR280" s="45">
        <f>FX!AR6</f>
        <v>161.07</v>
      </c>
      <c r="AS280" s="45">
        <f>FX!AS6</f>
        <v>142.72999999999999</v>
      </c>
      <c r="AT280" s="45">
        <f>FX!AT6</f>
        <v>158.18</v>
      </c>
      <c r="AU280" s="45">
        <f>FX!AU6</f>
        <v>149.52000000000001</v>
      </c>
      <c r="AW280" s="45">
        <f>FX!AW6</f>
        <v>144.81</v>
      </c>
      <c r="AX280" s="45">
        <f>FX!AX6</f>
        <v>148.88</v>
      </c>
      <c r="AY280" s="45">
        <f>FX!AY6</f>
        <v>156.56</v>
      </c>
    </row>
    <row r="282" spans="1:58" s="71" customFormat="1">
      <c r="A282" s="217" t="s">
        <v>2496</v>
      </c>
    </row>
    <row r="283" spans="1:58">
      <c r="BB283" s="678" t="s">
        <v>3395</v>
      </c>
    </row>
    <row r="284" spans="1:58">
      <c r="A284" s="1" t="s">
        <v>3432</v>
      </c>
      <c r="BB284" s="678"/>
    </row>
    <row r="285" spans="1:58">
      <c r="A285" s="1" t="s">
        <v>2858</v>
      </c>
      <c r="BB285" s="678"/>
    </row>
    <row r="286" spans="1:58">
      <c r="A286" s="1" t="s">
        <v>192</v>
      </c>
      <c r="BB286" s="678"/>
    </row>
    <row r="287" spans="1:58">
      <c r="A287" s="9" t="s">
        <v>2497</v>
      </c>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39">
        <f t="shared" ref="AO287:AU287" si="226">MROUND(AO79, 5)</f>
        <v>46120</v>
      </c>
      <c r="AP287" s="39">
        <f t="shared" si="226"/>
        <v>44885</v>
      </c>
      <c r="AQ287" s="39">
        <f t="shared" si="226"/>
        <v>44885</v>
      </c>
      <c r="AR287" s="39">
        <f t="shared" si="226"/>
        <v>44085</v>
      </c>
      <c r="AS287" s="39">
        <f t="shared" si="226"/>
        <v>51980</v>
      </c>
      <c r="AT287" s="39">
        <f t="shared" si="226"/>
        <v>50285</v>
      </c>
      <c r="AU287" s="39">
        <f t="shared" si="226"/>
        <v>57475</v>
      </c>
      <c r="AV287" s="39">
        <f>AU287</f>
        <v>57475</v>
      </c>
      <c r="AW287" s="39">
        <f>MROUND(AW79, 5)</f>
        <v>68485</v>
      </c>
      <c r="AX287" s="39">
        <f>MROUND(AX79, 5)</f>
        <v>70705</v>
      </c>
      <c r="AY287" s="39">
        <f>MROUND(AY79, 5)</f>
        <v>73720</v>
      </c>
      <c r="AZ287" s="39">
        <f>'TopCo Net debt waterfall'!AZ6</f>
        <v>72580</v>
      </c>
      <c r="BA287" s="39">
        <f>AZ287</f>
        <v>72580</v>
      </c>
      <c r="BB287" s="1082">
        <v>72500</v>
      </c>
      <c r="BC287" s="1082">
        <v>72500</v>
      </c>
      <c r="BD287" s="1082">
        <v>72500</v>
      </c>
      <c r="BE287" s="1082">
        <v>72500</v>
      </c>
      <c r="BF287" s="39">
        <f>BE287</f>
        <v>72500</v>
      </c>
    </row>
    <row r="288" spans="1:58">
      <c r="A288" s="1" t="s">
        <v>2500</v>
      </c>
      <c r="AP288" s="1">
        <f>MROUND(AP294*AO287/4, 5)</f>
        <v>415</v>
      </c>
      <c r="AR288" s="1">
        <f>MROUND(AR294*AQ287/4, 5)</f>
        <v>425</v>
      </c>
      <c r="AS288" s="1">
        <f>MROUND(AS294*AR287/4, 5)</f>
        <v>410</v>
      </c>
      <c r="AT288" s="1">
        <f>MROUND(AT294*AS287/4, 5)</f>
        <v>490</v>
      </c>
      <c r="AU288" s="1">
        <f>MROUND(AU294*AT287/4, 5)</f>
        <v>490</v>
      </c>
      <c r="AW288" s="1">
        <f>MROUND(AW294*AV287/4, 5)</f>
        <v>590</v>
      </c>
      <c r="AX288" s="1">
        <f>MROUND(AX294*AW287/4, 5)</f>
        <v>705</v>
      </c>
      <c r="AY288" s="1">
        <f t="shared" ref="AY288:AZ288" si="227">MROUND(AY294*AX287/4, 5)</f>
        <v>750</v>
      </c>
      <c r="AZ288" s="1">
        <f t="shared" si="227"/>
        <v>795</v>
      </c>
      <c r="BB288" s="1">
        <f>MROUND(BB294*BA287/4, 5)</f>
        <v>795</v>
      </c>
      <c r="BC288" s="1">
        <f>MROUND(BC294*BB287/4, 5)</f>
        <v>805</v>
      </c>
      <c r="BD288" s="1">
        <f t="shared" ref="BD288" si="228">MROUND(BD294*BC287/4, 5)</f>
        <v>820</v>
      </c>
      <c r="BE288" s="1">
        <f t="shared" ref="BE288" si="229">MROUND(BE294*BD287/4, 5)</f>
        <v>830</v>
      </c>
    </row>
    <row r="289" spans="1:59">
      <c r="AR289" s="626" t="s">
        <v>2692</v>
      </c>
      <c r="AS289" s="179"/>
      <c r="AT289" s="179"/>
      <c r="AU289" s="179"/>
      <c r="AV289" s="179"/>
      <c r="AY289" s="803" t="s">
        <v>3190</v>
      </c>
      <c r="AZ289" s="227"/>
      <c r="BA289" s="227"/>
      <c r="BB289" s="227"/>
      <c r="BC289" s="227"/>
      <c r="BD289" s="227"/>
      <c r="BE289" s="227"/>
      <c r="BF289" s="227"/>
      <c r="BG289" s="227"/>
    </row>
    <row r="290" spans="1:59">
      <c r="A290" s="1" t="s">
        <v>2498</v>
      </c>
      <c r="AP290" s="637">
        <v>3.1E-2</v>
      </c>
      <c r="AR290" s="637">
        <v>3.2000000000000001E-2</v>
      </c>
      <c r="AS290" s="637">
        <v>3.2000000000000001E-2</v>
      </c>
      <c r="AT290" s="637">
        <v>3.3000000000000002E-2</v>
      </c>
      <c r="AU290" s="637">
        <v>3.4000000000000002E-2</v>
      </c>
      <c r="AW290" s="637">
        <v>3.5000000000000003E-2</v>
      </c>
      <c r="AX290" s="637">
        <v>3.6999999999999998E-2</v>
      </c>
      <c r="AY290" s="802">
        <f>AX290+0.1%</f>
        <v>3.7999999999999999E-2</v>
      </c>
      <c r="AZ290" s="802">
        <f>AY290+0.1%</f>
        <v>3.9E-2</v>
      </c>
      <c r="BB290" s="1097">
        <f>AZ290+0.075%</f>
        <v>3.9750000000000001E-2</v>
      </c>
      <c r="BC290" s="1097">
        <f>BB290+0.075%</f>
        <v>4.0500000000000001E-2</v>
      </c>
      <c r="BD290" s="1097">
        <f>BC290+0.075%</f>
        <v>4.1250000000000002E-2</v>
      </c>
      <c r="BE290" s="1097">
        <f>BD290+0.075%</f>
        <v>4.2000000000000003E-2</v>
      </c>
    </row>
    <row r="291" spans="1:59">
      <c r="A291" s="1" t="s">
        <v>2952</v>
      </c>
      <c r="AP291" s="50">
        <v>1.7500000000000002E-2</v>
      </c>
      <c r="AR291" s="50">
        <v>2.2499999999999999E-2</v>
      </c>
      <c r="AS291" s="50">
        <v>0.02</v>
      </c>
      <c r="AT291" s="50">
        <v>2.2499999999999999E-2</v>
      </c>
      <c r="AU291" s="50">
        <v>2.5000000000000001E-2</v>
      </c>
      <c r="AW291" s="50">
        <v>0.03</v>
      </c>
      <c r="AX291" s="50">
        <v>2.5000000000000001E-2</v>
      </c>
      <c r="AY291" s="50">
        <v>0.03</v>
      </c>
      <c r="AZ291" s="744">
        <f t="shared" ref="AZ291" si="230">AY291</f>
        <v>0.03</v>
      </c>
      <c r="BB291" s="1096">
        <f>AZ291</f>
        <v>0.03</v>
      </c>
      <c r="BC291" s="1096">
        <f>BB291</f>
        <v>0.03</v>
      </c>
      <c r="BD291" s="1096">
        <f t="shared" ref="BD291:BE291" si="231">BC291</f>
        <v>0.03</v>
      </c>
      <c r="BE291" s="1096">
        <f t="shared" si="231"/>
        <v>0.03</v>
      </c>
    </row>
    <row r="292" spans="1:59">
      <c r="A292" s="1" t="s">
        <v>2503</v>
      </c>
      <c r="AP292" s="638">
        <v>5.5E-2</v>
      </c>
      <c r="AR292" s="638">
        <v>5.5E-2</v>
      </c>
      <c r="AS292" s="638">
        <f>(5/6)*(5.5%)+(1/6)*(5%)</f>
        <v>5.4166666666666669E-2</v>
      </c>
      <c r="AT292" s="638">
        <f>(1/3)*(5%)+(1/2)*(4.75%)+(1/6)*(4.5%)</f>
        <v>4.791666666666667E-2</v>
      </c>
      <c r="AU292" s="638">
        <v>4.4999999999999998E-2</v>
      </c>
      <c r="AW292" s="638">
        <v>4.4999999999999998E-2</v>
      </c>
      <c r="AX292" s="638">
        <f>(5/6)*(4.5%)+(1/6)*(4.25%)</f>
        <v>4.4583333333333336E-2</v>
      </c>
      <c r="AY292" s="638">
        <f>(1/3)*(4.25%)+(1/3)*(4%)+(1/3)*(3.75%)</f>
        <v>0.04</v>
      </c>
      <c r="AZ292" s="744">
        <f>AY292-0.25%</f>
        <v>3.7499999999999999E-2</v>
      </c>
      <c r="BB292" s="1096">
        <v>3.7499999999999999E-2</v>
      </c>
      <c r="BC292" s="1096">
        <v>3.7499999999999999E-2</v>
      </c>
      <c r="BD292" s="1096">
        <v>3.7499999999999999E-2</v>
      </c>
      <c r="BE292" s="1096">
        <v>3.7499999999999999E-2</v>
      </c>
    </row>
    <row r="293" spans="1:59">
      <c r="A293" s="1" t="s">
        <v>2504</v>
      </c>
      <c r="AP293" s="638">
        <f>(5/6)*(-0.1%)+(1/6)*(0.1%)</f>
        <v>-6.6666666666666675E-4</v>
      </c>
      <c r="AR293" s="638">
        <v>1E-3</v>
      </c>
      <c r="AS293" s="638">
        <f>(1/3)*(0.1%)+(2/3)*(0.25%)</f>
        <v>2E-3</v>
      </c>
      <c r="AT293" s="638">
        <v>2.5000000000000001E-3</v>
      </c>
      <c r="AU293" s="638">
        <f>(1/6)*(0.25%)+(5/6)*(0.5%)</f>
        <v>4.5833333333333334E-3</v>
      </c>
      <c r="AW293" s="638">
        <v>5.0000000000000001E-3</v>
      </c>
      <c r="AX293" s="638">
        <v>5.0000000000000001E-3</v>
      </c>
      <c r="AY293" s="638">
        <f>(5/6)*(0.5%)+(1/6)*(0.75%)</f>
        <v>5.4166666666666669E-3</v>
      </c>
      <c r="AZ293" s="744">
        <v>7.4999999999999997E-3</v>
      </c>
      <c r="BB293" s="1098">
        <f>AZ293+0.125%</f>
        <v>8.7499999999999991E-3</v>
      </c>
      <c r="BC293" s="1098">
        <f>BB293+0.125%</f>
        <v>9.9999999999999985E-3</v>
      </c>
      <c r="BD293" s="1098">
        <f>BC293+0.125%</f>
        <v>1.1249999999999998E-2</v>
      </c>
      <c r="BE293" s="1098">
        <f>BD293+0.125%</f>
        <v>1.2499999999999997E-2</v>
      </c>
    </row>
    <row r="294" spans="1:59">
      <c r="A294" s="135" t="s">
        <v>2502</v>
      </c>
      <c r="AP294" s="85">
        <f>AP296*AP290+AP297*(AP292+AP291)+AP298*(AP293+AP291)</f>
        <v>3.5950000000000003E-2</v>
      </c>
      <c r="AR294" s="85">
        <f>AR296*AR290+AR297*(AR292+AR291)+AR298*(AR293+AR291)</f>
        <v>3.7975000000000002E-2</v>
      </c>
      <c r="AS294" s="85">
        <f>AS296*AS290+AS297*(AS292+AS291)+AS298*(AS293+AS291)</f>
        <v>3.7325000000000004E-2</v>
      </c>
      <c r="AT294" s="85">
        <f>AT296*AT290+AT297*(AT292+AT291)+AT298*(AT293+AT291)</f>
        <v>3.7812500000000006E-2</v>
      </c>
      <c r="AU294" s="85">
        <f>AU296*AU290+AU297*(AU292+AU291)+AU298*(AU293+AU291)</f>
        <v>3.8958333333333338E-2</v>
      </c>
      <c r="AW294" s="85">
        <f t="shared" ref="AW294:BE294" si="232">AW296*AW290+AW297*(AW292+AW291)+AW298*(AW293+AW291)</f>
        <v>4.1000000000000009E-2</v>
      </c>
      <c r="AX294" s="85">
        <f t="shared" si="232"/>
        <v>4.1187500000000002E-2</v>
      </c>
      <c r="AY294" s="85">
        <f t="shared" si="232"/>
        <v>4.2541666666666665E-2</v>
      </c>
      <c r="AZ294" s="85">
        <f t="shared" si="232"/>
        <v>4.3124999999999997E-2</v>
      </c>
      <c r="BB294" s="85">
        <f t="shared" si="232"/>
        <v>4.3812500000000004E-2</v>
      </c>
      <c r="BC294" s="85">
        <f t="shared" si="232"/>
        <v>4.4499999999999998E-2</v>
      </c>
      <c r="BD294" s="85">
        <f t="shared" si="232"/>
        <v>4.5187499999999999E-2</v>
      </c>
      <c r="BE294" s="85">
        <f t="shared" si="232"/>
        <v>4.5874999999999999E-2</v>
      </c>
    </row>
    <row r="295" spans="1:59">
      <c r="A295" s="678" t="s">
        <v>2696</v>
      </c>
      <c r="AP295" s="678" t="s">
        <v>2693</v>
      </c>
    </row>
    <row r="296" spans="1:59">
      <c r="A296" s="1" t="s">
        <v>2499</v>
      </c>
      <c r="AP296" s="483">
        <v>0.76</v>
      </c>
      <c r="AQ296" s="104">
        <f t="shared" ref="AQ296:AS298" si="233">AP296</f>
        <v>0.76</v>
      </c>
      <c r="AR296" s="707">
        <v>0.75</v>
      </c>
      <c r="AS296" s="707">
        <v>0.75</v>
      </c>
      <c r="AT296" s="707">
        <v>0.75</v>
      </c>
      <c r="AU296" s="707">
        <v>0.75</v>
      </c>
      <c r="AV296" s="104">
        <f t="shared" ref="AV296" si="234">AU296</f>
        <v>0.75</v>
      </c>
      <c r="AW296" s="707">
        <v>0.75</v>
      </c>
      <c r="AX296" s="707">
        <v>0.75</v>
      </c>
      <c r="AY296" s="707">
        <v>0.75</v>
      </c>
      <c r="AZ296" s="746">
        <f t="shared" ref="AZ296:BE296" si="235">AY296</f>
        <v>0.75</v>
      </c>
      <c r="BA296" s="104"/>
      <c r="BB296" s="746">
        <f>AZ296</f>
        <v>0.75</v>
      </c>
      <c r="BC296" s="746">
        <f t="shared" si="235"/>
        <v>0.75</v>
      </c>
      <c r="BD296" s="746">
        <f t="shared" si="235"/>
        <v>0.75</v>
      </c>
      <c r="BE296" s="746">
        <f t="shared" si="235"/>
        <v>0.75</v>
      </c>
      <c r="BF296" s="104"/>
    </row>
    <row r="297" spans="1:59">
      <c r="A297" s="1" t="s">
        <v>2541</v>
      </c>
      <c r="AP297" s="483">
        <v>0.15</v>
      </c>
      <c r="AQ297" s="104">
        <f t="shared" si="233"/>
        <v>0.15</v>
      </c>
      <c r="AR297" s="707">
        <f t="shared" si="233"/>
        <v>0.15</v>
      </c>
      <c r="AS297" s="707">
        <f t="shared" si="233"/>
        <v>0.15</v>
      </c>
      <c r="AT297" s="707">
        <f t="shared" ref="AT297" si="236">AS297</f>
        <v>0.15</v>
      </c>
      <c r="AU297" s="707">
        <f t="shared" ref="AU297" si="237">AT297</f>
        <v>0.15</v>
      </c>
      <c r="AV297" s="104">
        <f t="shared" ref="AV297:AY297" si="238">AU297</f>
        <v>0.15</v>
      </c>
      <c r="AW297" s="707">
        <f t="shared" si="238"/>
        <v>0.15</v>
      </c>
      <c r="AX297" s="707">
        <f t="shared" si="238"/>
        <v>0.15</v>
      </c>
      <c r="AY297" s="707">
        <f t="shared" si="238"/>
        <v>0.15</v>
      </c>
      <c r="AZ297" s="746">
        <f t="shared" ref="AZ297:BE297" si="239">AY297</f>
        <v>0.15</v>
      </c>
      <c r="BA297" s="104"/>
      <c r="BB297" s="746">
        <f t="shared" ref="BB297:BB298" si="240">AZ297</f>
        <v>0.15</v>
      </c>
      <c r="BC297" s="746">
        <f t="shared" si="239"/>
        <v>0.15</v>
      </c>
      <c r="BD297" s="746">
        <f t="shared" si="239"/>
        <v>0.15</v>
      </c>
      <c r="BE297" s="746">
        <f t="shared" si="239"/>
        <v>0.15</v>
      </c>
      <c r="BF297" s="104"/>
    </row>
    <row r="298" spans="1:59">
      <c r="A298" s="1" t="s">
        <v>2542</v>
      </c>
      <c r="AP298" s="483">
        <v>0.09</v>
      </c>
      <c r="AQ298" s="104">
        <f t="shared" si="233"/>
        <v>0.09</v>
      </c>
      <c r="AR298" s="707">
        <v>0.1</v>
      </c>
      <c r="AS298" s="707">
        <v>0.1</v>
      </c>
      <c r="AT298" s="707">
        <v>0.1</v>
      </c>
      <c r="AU298" s="707">
        <v>0.1</v>
      </c>
      <c r="AV298" s="104">
        <f t="shared" ref="AV298" si="241">AU298</f>
        <v>0.1</v>
      </c>
      <c r="AW298" s="707">
        <v>0.1</v>
      </c>
      <c r="AX298" s="707">
        <v>0.1</v>
      </c>
      <c r="AY298" s="707">
        <v>0.1</v>
      </c>
      <c r="AZ298" s="746">
        <f t="shared" ref="AZ298:BE298" si="242">AY298</f>
        <v>0.1</v>
      </c>
      <c r="BA298" s="104"/>
      <c r="BB298" s="746">
        <f t="shared" si="240"/>
        <v>0.1</v>
      </c>
      <c r="BC298" s="746">
        <f t="shared" si="242"/>
        <v>0.1</v>
      </c>
      <c r="BD298" s="746">
        <f t="shared" si="242"/>
        <v>0.1</v>
      </c>
      <c r="BE298" s="746">
        <f t="shared" si="242"/>
        <v>0.1</v>
      </c>
      <c r="BF298" s="104"/>
    </row>
    <row r="299" spans="1:59">
      <c r="A299" s="25" t="s">
        <v>2501</v>
      </c>
      <c r="AR299" s="708" t="s">
        <v>2694</v>
      </c>
      <c r="AS299" s="179"/>
      <c r="AT299" s="179"/>
    </row>
    <row r="300" spans="1:59">
      <c r="BB300" s="678" t="s">
        <v>3395</v>
      </c>
    </row>
    <row r="301" spans="1:59">
      <c r="A301" s="5" t="s">
        <v>2506</v>
      </c>
      <c r="AO301" s="36">
        <f t="shared" ref="AO301:AY301" si="243">MROUND(AO178, 5)</f>
        <v>26385</v>
      </c>
      <c r="AP301" s="36">
        <f t="shared" si="243"/>
        <v>26130</v>
      </c>
      <c r="AQ301" s="36">
        <f t="shared" si="243"/>
        <v>26130</v>
      </c>
      <c r="AR301" s="36">
        <f t="shared" si="243"/>
        <v>23785</v>
      </c>
      <c r="AS301" s="36">
        <f t="shared" si="243"/>
        <v>20920</v>
      </c>
      <c r="AT301" s="36">
        <f t="shared" si="243"/>
        <v>20905</v>
      </c>
      <c r="AU301" s="36">
        <f t="shared" si="243"/>
        <v>17545</v>
      </c>
      <c r="AV301" s="36">
        <f t="shared" si="243"/>
        <v>17545</v>
      </c>
      <c r="AW301" s="36">
        <f t="shared" si="243"/>
        <v>20260</v>
      </c>
      <c r="AX301" s="36">
        <f t="shared" si="243"/>
        <v>23525</v>
      </c>
      <c r="AY301" s="36">
        <f t="shared" si="243"/>
        <v>17985</v>
      </c>
      <c r="AZ301" s="36">
        <f>'TopCo Net debt waterfall'!AZ9</f>
        <v>17060</v>
      </c>
      <c r="BA301" s="36">
        <f>AZ301</f>
        <v>17060</v>
      </c>
      <c r="BB301" s="1083">
        <v>17500</v>
      </c>
      <c r="BC301" s="1083">
        <v>17500</v>
      </c>
      <c r="BD301" s="1083">
        <v>17500</v>
      </c>
      <c r="BE301" s="1083">
        <v>17500</v>
      </c>
      <c r="BF301" s="36"/>
    </row>
    <row r="302" spans="1:59">
      <c r="A302" s="5" t="s">
        <v>2505</v>
      </c>
      <c r="AO302" s="36">
        <f t="shared" ref="AO302:AY302" si="244">MROUND(AO173, 5)</f>
        <v>5930</v>
      </c>
      <c r="AP302" s="36">
        <f t="shared" si="244"/>
        <v>5245</v>
      </c>
      <c r="AQ302" s="36">
        <f t="shared" si="244"/>
        <v>5245</v>
      </c>
      <c r="AR302" s="36">
        <f t="shared" si="244"/>
        <v>4360</v>
      </c>
      <c r="AS302" s="36">
        <f t="shared" si="244"/>
        <v>3500</v>
      </c>
      <c r="AT302" s="36">
        <f t="shared" si="244"/>
        <v>780</v>
      </c>
      <c r="AU302" s="36">
        <f t="shared" si="244"/>
        <v>10</v>
      </c>
      <c r="AV302" s="36">
        <f t="shared" si="244"/>
        <v>10</v>
      </c>
      <c r="AW302" s="36">
        <f t="shared" si="244"/>
        <v>35</v>
      </c>
      <c r="AX302" s="36">
        <f t="shared" si="244"/>
        <v>130</v>
      </c>
      <c r="AY302" s="36">
        <f t="shared" si="244"/>
        <v>75</v>
      </c>
      <c r="AZ302" s="622">
        <f>AY302+AZ330-AZ317</f>
        <v>75</v>
      </c>
      <c r="BA302" s="36">
        <f>AZ302</f>
        <v>75</v>
      </c>
      <c r="BB302" s="622">
        <f t="shared" ref="BB302:BE302" si="245">BA302+BB330-BB317</f>
        <v>75</v>
      </c>
      <c r="BC302" s="622">
        <f t="shared" si="245"/>
        <v>75</v>
      </c>
      <c r="BD302" s="622">
        <f t="shared" si="245"/>
        <v>75</v>
      </c>
      <c r="BE302" s="622">
        <f t="shared" si="245"/>
        <v>75</v>
      </c>
      <c r="BF302" s="36"/>
    </row>
    <row r="303" spans="1:59">
      <c r="A303" s="9" t="s">
        <v>2507</v>
      </c>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39">
        <f t="shared" ref="AO303:AQ303" si="246">SUM(AO301:AO302)</f>
        <v>32315</v>
      </c>
      <c r="AP303" s="39">
        <f t="shared" si="246"/>
        <v>31375</v>
      </c>
      <c r="AQ303" s="39">
        <f t="shared" si="246"/>
        <v>31375</v>
      </c>
      <c r="AR303" s="39">
        <f t="shared" ref="AR303:AS303" si="247">SUM(AR301:AR302)</f>
        <v>28145</v>
      </c>
      <c r="AS303" s="39">
        <f t="shared" si="247"/>
        <v>24420</v>
      </c>
      <c r="AT303" s="39">
        <f t="shared" ref="AT303" si="248">SUM(AT301:AT302)</f>
        <v>21685</v>
      </c>
      <c r="AU303" s="39">
        <f t="shared" ref="AU303:AX303" si="249">SUM(AU301:AU302)</f>
        <v>17555</v>
      </c>
      <c r="AV303" s="39">
        <f t="shared" si="249"/>
        <v>17555</v>
      </c>
      <c r="AW303" s="39">
        <f t="shared" si="249"/>
        <v>20295</v>
      </c>
      <c r="AX303" s="39">
        <f t="shared" si="249"/>
        <v>23655</v>
      </c>
      <c r="AY303" s="39">
        <f>SUM(AY301:AY302)</f>
        <v>18060</v>
      </c>
      <c r="AZ303" s="39">
        <f t="shared" ref="AZ303:BE303" si="250">SUM(AZ301:AZ302)</f>
        <v>17135</v>
      </c>
      <c r="BA303" s="39">
        <f t="shared" si="250"/>
        <v>17135</v>
      </c>
      <c r="BB303" s="39">
        <f t="shared" si="250"/>
        <v>17575</v>
      </c>
      <c r="BC303" s="39">
        <f t="shared" si="250"/>
        <v>17575</v>
      </c>
      <c r="BD303" s="39">
        <f t="shared" si="250"/>
        <v>17575</v>
      </c>
      <c r="BE303" s="39">
        <f t="shared" si="250"/>
        <v>17575</v>
      </c>
      <c r="BF303" s="36"/>
    </row>
    <row r="304" spans="1:59">
      <c r="A304" s="1" t="s">
        <v>2509</v>
      </c>
      <c r="AP304" s="1">
        <f>MROUND(AP306*AO303/4, 5)</f>
        <v>285</v>
      </c>
      <c r="AR304" s="1">
        <f>MROUND(AR306*AQ303/4, 5)</f>
        <v>255</v>
      </c>
      <c r="AS304" s="1">
        <f>MROUND(AS306*AR303/4, 5)</f>
        <v>250</v>
      </c>
      <c r="AT304" s="1">
        <f>MROUND(AT306*AS303/4, 5)</f>
        <v>170</v>
      </c>
      <c r="AU304" s="1">
        <f>MROUND(AU306*AT303/4, 5)</f>
        <v>150</v>
      </c>
      <c r="AW304" s="1">
        <f>MROUND(AW306*AV303/4, 5)</f>
        <v>130</v>
      </c>
      <c r="AX304" s="1">
        <f>MROUND(AX306*AW303/4, 5)</f>
        <v>150</v>
      </c>
      <c r="AY304" s="1">
        <f>MROUND(AY306*AX303/4, 5)</f>
        <v>155</v>
      </c>
      <c r="AZ304" s="1">
        <f>MROUND(AZ306*AY303/4, 5)</f>
        <v>115</v>
      </c>
      <c r="BB304" s="1">
        <f>MROUND(BB306*BA303/4, 5)</f>
        <v>110</v>
      </c>
      <c r="BC304" s="1">
        <f>MROUND(BC306*BB303/4, 5)</f>
        <v>115</v>
      </c>
      <c r="BD304" s="1">
        <f>MROUND(BD306*BC303/4, 5)</f>
        <v>115</v>
      </c>
      <c r="BE304" s="1">
        <f>MROUND(BE306*BD303/4, 5)</f>
        <v>115</v>
      </c>
    </row>
    <row r="306" spans="1:58">
      <c r="A306" s="135" t="s">
        <v>2508</v>
      </c>
      <c r="AP306" s="16">
        <f>AP314*AP308/SUM(AP308:AP309)+AP315*AP309/SUM(AP308:AP309)</f>
        <v>3.5156249999999993E-2</v>
      </c>
      <c r="AR306" s="16">
        <f>AR314*AR308/SUM(AR308:AR309)+AR315*AR309/SUM(AR308:AR309)</f>
        <v>3.2724137931034479E-2</v>
      </c>
      <c r="AS306" s="16">
        <f>AS314*AS308/SUM(AS308:AS309)+AS315*AS309/SUM(AS308:AS309)</f>
        <v>3.5633333333333336E-2</v>
      </c>
      <c r="AT306" s="16">
        <f>AT314*AT308/SUM(AT308:AT309)+AT315*AT309/SUM(AT308:AT309)</f>
        <v>2.7860000000000003E-2</v>
      </c>
      <c r="AU306" s="16">
        <f>AU314*AU308/SUM(AU308:AU309)+AU315*AU309/SUM(AU308:AU309)</f>
        <v>2.7270833333333327E-2</v>
      </c>
      <c r="AW306" s="16">
        <f>AW314*AW308/SUM(AW308:AW309)+AW315*AW309/SUM(AW308:AW309)</f>
        <v>3.0119999999999994E-2</v>
      </c>
      <c r="AX306" s="16">
        <f>AX314*AX308/SUM(AX308:AX309)+AX315*AX309/SUM(AX308:AX309)</f>
        <v>2.9770000000000001E-2</v>
      </c>
      <c r="AY306" s="16">
        <f>AY314*AY308/SUM(AY308:AY309)+AY315*AY309/SUM(AY308:AY309)</f>
        <v>2.5986666666666668E-2</v>
      </c>
      <c r="AZ306" s="16">
        <f>AZ314*AZ308/SUM(AZ308:AZ309)+AZ315*AZ309/SUM(AZ308:AZ309)</f>
        <v>2.5986666666666668E-2</v>
      </c>
      <c r="BB306" s="16">
        <f>BB314*BB308/SUM(BB308:BB309)+BB315*BB309/SUM(BB308:BB309)</f>
        <v>2.5986666666666668E-2</v>
      </c>
      <c r="BC306" s="16">
        <f>BC314*BC308/SUM(BC308:BC309)+BC315*BC309/SUM(BC308:BC309)</f>
        <v>2.5986666666666668E-2</v>
      </c>
      <c r="BD306" s="16">
        <f>BD314*BD308/SUM(BD308:BD309)+BD315*BD309/SUM(BD308:BD309)</f>
        <v>2.5986666666666668E-2</v>
      </c>
      <c r="BE306" s="16">
        <f>BE314*BE308/SUM(BE308:BE309)+BE315*BE309/SUM(BE308:BE309)</f>
        <v>2.5986666666666668E-2</v>
      </c>
    </row>
    <row r="307" spans="1:58">
      <c r="A307" s="678" t="s">
        <v>2695</v>
      </c>
      <c r="AR307" s="678" t="s">
        <v>2697</v>
      </c>
    </row>
    <row r="308" spans="1:58">
      <c r="A308" s="1" t="s">
        <v>2543</v>
      </c>
      <c r="AP308" s="2">
        <v>0.7</v>
      </c>
      <c r="AQ308" s="1">
        <f>AP308</f>
        <v>0.7</v>
      </c>
      <c r="AR308" s="2">
        <v>0.8</v>
      </c>
      <c r="AS308" s="2">
        <v>0.5</v>
      </c>
      <c r="AT308" s="2">
        <v>0.7</v>
      </c>
      <c r="AU308" s="2">
        <v>0.5</v>
      </c>
      <c r="AV308" s="1">
        <f>AU308</f>
        <v>0.5</v>
      </c>
      <c r="AW308" s="942">
        <f>AW311*AW141/1000000</f>
        <v>0.46942400000000001</v>
      </c>
      <c r="AX308" s="942">
        <f>AX311*AX141/1000000</f>
        <v>0.56038399999999999</v>
      </c>
      <c r="AY308" s="636">
        <f t="shared" ref="AY308:BB308" si="251">AX308</f>
        <v>0.56038399999999999</v>
      </c>
      <c r="AZ308" s="636">
        <f t="shared" si="251"/>
        <v>0.56038399999999999</v>
      </c>
      <c r="BA308" s="24">
        <f>AZ308</f>
        <v>0.56038399999999999</v>
      </c>
      <c r="BB308" s="1099">
        <f t="shared" si="251"/>
        <v>0.56038399999999999</v>
      </c>
      <c r="BC308" s="1099">
        <f t="shared" ref="BC308:BC309" si="252">BB308</f>
        <v>0.56038399999999999</v>
      </c>
      <c r="BD308" s="1099">
        <f t="shared" ref="BD308:BD309" si="253">BC308</f>
        <v>0.56038399999999999</v>
      </c>
      <c r="BE308" s="1099">
        <f t="shared" ref="BE308:BE309" si="254">BD308</f>
        <v>0.56038399999999999</v>
      </c>
    </row>
    <row r="309" spans="1:58">
      <c r="A309" s="1" t="s">
        <v>2544</v>
      </c>
      <c r="AP309" s="2">
        <v>2.5</v>
      </c>
      <c r="AQ309" s="1">
        <f>AP309</f>
        <v>2.5</v>
      </c>
      <c r="AR309" s="2">
        <v>2.1</v>
      </c>
      <c r="AS309" s="299">
        <v>2</v>
      </c>
      <c r="AT309" s="2">
        <v>1.8</v>
      </c>
      <c r="AU309" s="2">
        <v>1.5</v>
      </c>
      <c r="AV309" s="1">
        <f>AU309</f>
        <v>1.5</v>
      </c>
      <c r="AW309" s="942">
        <f>AW312*AW141/1000000</f>
        <v>2.4644759999999999</v>
      </c>
      <c r="AX309" s="942">
        <f>AX312*AX141/1000000</f>
        <v>2.9420160000000002</v>
      </c>
      <c r="AY309" s="636">
        <f t="shared" ref="AY309:BB309" si="255">AX309</f>
        <v>2.9420160000000002</v>
      </c>
      <c r="AZ309" s="636">
        <f t="shared" si="255"/>
        <v>2.9420160000000002</v>
      </c>
      <c r="BA309" s="24">
        <f>AZ309</f>
        <v>2.9420160000000002</v>
      </c>
      <c r="BB309" s="1099">
        <f t="shared" si="255"/>
        <v>2.9420160000000002</v>
      </c>
      <c r="BC309" s="1099">
        <f t="shared" si="252"/>
        <v>2.9420160000000002</v>
      </c>
      <c r="BD309" s="1099">
        <f t="shared" si="253"/>
        <v>2.9420160000000002</v>
      </c>
      <c r="BE309" s="1099">
        <f t="shared" si="254"/>
        <v>2.9420160000000002</v>
      </c>
    </row>
    <row r="311" spans="1:58">
      <c r="A311" s="1" t="s">
        <v>2545</v>
      </c>
      <c r="AP311" s="21">
        <f>AP308/SUM(AP308:AP309)</f>
        <v>0.21874999999999997</v>
      </c>
      <c r="AQ311" s="21">
        <f>AQ308/SUM(AQ308:AQ309)</f>
        <v>0.21874999999999997</v>
      </c>
      <c r="AR311" s="21">
        <f>AR308/SUM(AR308:AR309)</f>
        <v>0.27586206896551724</v>
      </c>
      <c r="AS311" s="21">
        <f t="shared" ref="AS311:AV311" si="256">AS308/SUM(AS308:AS309)</f>
        <v>0.2</v>
      </c>
      <c r="AT311" s="21">
        <f t="shared" si="256"/>
        <v>0.27999999999999997</v>
      </c>
      <c r="AU311" s="21">
        <f t="shared" si="256"/>
        <v>0.25</v>
      </c>
      <c r="AV311" s="21">
        <f t="shared" si="256"/>
        <v>0.25</v>
      </c>
      <c r="AW311" s="752">
        <v>0.16</v>
      </c>
      <c r="AX311" s="752">
        <v>0.16</v>
      </c>
      <c r="AY311" s="21">
        <f t="shared" ref="AY311:BA311" si="257">AY308/SUM(AY308:AY309)</f>
        <v>0.16</v>
      </c>
      <c r="AZ311" s="21">
        <f t="shared" si="257"/>
        <v>0.16</v>
      </c>
      <c r="BA311" s="21">
        <f t="shared" si="257"/>
        <v>0.16</v>
      </c>
      <c r="BB311" s="21">
        <f t="shared" ref="BB311:BE311" si="258">BB308/SUM(BB308:BB309)</f>
        <v>0.16</v>
      </c>
      <c r="BC311" s="21">
        <f t="shared" si="258"/>
        <v>0.16</v>
      </c>
      <c r="BD311" s="21">
        <f t="shared" si="258"/>
        <v>0.16</v>
      </c>
      <c r="BE311" s="21">
        <f t="shared" si="258"/>
        <v>0.16</v>
      </c>
      <c r="BF311" s="21"/>
    </row>
    <row r="312" spans="1:58">
      <c r="A312" s="1" t="s">
        <v>3177</v>
      </c>
      <c r="AP312" s="104">
        <f>1-AP311</f>
        <v>0.78125</v>
      </c>
      <c r="AQ312" s="104">
        <f>1-AQ311</f>
        <v>0.78125</v>
      </c>
      <c r="AR312" s="104">
        <f>1-AR311</f>
        <v>0.72413793103448276</v>
      </c>
      <c r="AS312" s="104">
        <f t="shared" ref="AS312:AV312" si="259">1-AS311</f>
        <v>0.8</v>
      </c>
      <c r="AT312" s="104">
        <f t="shared" si="259"/>
        <v>0.72</v>
      </c>
      <c r="AU312" s="104">
        <f t="shared" si="259"/>
        <v>0.75</v>
      </c>
      <c r="AV312" s="104">
        <f t="shared" si="259"/>
        <v>0.75</v>
      </c>
      <c r="AW312" s="941">
        <f>1-AW311</f>
        <v>0.84</v>
      </c>
      <c r="AX312" s="941">
        <f t="shared" ref="AX312:BA312" si="260">1-AX311</f>
        <v>0.84</v>
      </c>
      <c r="AY312" s="104">
        <f t="shared" si="260"/>
        <v>0.84</v>
      </c>
      <c r="AZ312" s="104">
        <f t="shared" si="260"/>
        <v>0.84</v>
      </c>
      <c r="BA312" s="104">
        <f t="shared" si="260"/>
        <v>0.84</v>
      </c>
      <c r="BB312" s="104">
        <f t="shared" ref="BB312:BE312" si="261">1-BB311</f>
        <v>0.84</v>
      </c>
      <c r="BC312" s="104">
        <f t="shared" si="261"/>
        <v>0.84</v>
      </c>
      <c r="BD312" s="104">
        <f t="shared" si="261"/>
        <v>0.84</v>
      </c>
      <c r="BE312" s="104">
        <f t="shared" si="261"/>
        <v>0.84</v>
      </c>
      <c r="BF312" s="104"/>
    </row>
    <row r="314" spans="1:58">
      <c r="A314" s="1" t="s">
        <v>2546</v>
      </c>
      <c r="AP314" s="638">
        <f>IF(AP293-0.05%&gt;0, AP293-0.05%, 0)</f>
        <v>0</v>
      </c>
      <c r="AR314" s="638">
        <f>IF(AR293-0.05%&gt;0, AR293-0.05%, 0)</f>
        <v>5.0000000000000001E-4</v>
      </c>
      <c r="AS314" s="638">
        <f t="shared" ref="AS314:AU314" si="262">IF(AS293-0.05%&gt;0, AS293-0.05%, 0)</f>
        <v>1.5E-3</v>
      </c>
      <c r="AT314" s="638">
        <f t="shared" si="262"/>
        <v>2E-3</v>
      </c>
      <c r="AU314" s="638">
        <f t="shared" si="262"/>
        <v>4.0833333333333329E-3</v>
      </c>
      <c r="AW314" s="638">
        <f t="shared" ref="AW314:AX314" si="263">IF(AW293-0.05%&gt;0, AW293-0.05%, 0)</f>
        <v>4.5000000000000005E-3</v>
      </c>
      <c r="AX314" s="638">
        <f t="shared" si="263"/>
        <v>4.5000000000000005E-3</v>
      </c>
      <c r="AY314" s="638">
        <f t="shared" ref="AY314" si="264">IF(AY293-0.05%&gt;0, AY293-0.05%, 0)</f>
        <v>4.9166666666666664E-3</v>
      </c>
      <c r="AZ314" s="744">
        <f t="shared" ref="AZ314:AZ315" si="265">AY314</f>
        <v>4.9166666666666664E-3</v>
      </c>
      <c r="BB314" s="1096">
        <f>AZ314</f>
        <v>4.9166666666666664E-3</v>
      </c>
      <c r="BC314" s="1096">
        <f t="shared" ref="BC314:BC315" si="266">BB314</f>
        <v>4.9166666666666664E-3</v>
      </c>
      <c r="BD314" s="1096">
        <f t="shared" ref="BD314:BD315" si="267">BC314</f>
        <v>4.9166666666666664E-3</v>
      </c>
      <c r="BE314" s="1096">
        <f t="shared" ref="BE314:BE315" si="268">BD314</f>
        <v>4.9166666666666664E-3</v>
      </c>
    </row>
    <row r="315" spans="1:58">
      <c r="A315" s="1" t="s">
        <v>2547</v>
      </c>
      <c r="AP315" s="638">
        <f>AP292-1%</f>
        <v>4.4999999999999998E-2</v>
      </c>
      <c r="AR315" s="638">
        <f>AR292-1%</f>
        <v>4.4999999999999998E-2</v>
      </c>
      <c r="AS315" s="638">
        <f t="shared" ref="AS315:AU315" si="269">AS292-1%</f>
        <v>4.4166666666666667E-2</v>
      </c>
      <c r="AT315" s="638">
        <f t="shared" si="269"/>
        <v>3.7916666666666668E-2</v>
      </c>
      <c r="AU315" s="638">
        <f t="shared" si="269"/>
        <v>3.4999999999999996E-2</v>
      </c>
      <c r="AW315" s="638">
        <f t="shared" ref="AW315:AX315" si="270">AW292-1%</f>
        <v>3.4999999999999996E-2</v>
      </c>
      <c r="AX315" s="638">
        <f t="shared" si="270"/>
        <v>3.4583333333333334E-2</v>
      </c>
      <c r="AY315" s="638">
        <f t="shared" ref="AY315" si="271">AY292-1%</f>
        <v>0.03</v>
      </c>
      <c r="AZ315" s="744">
        <f t="shared" si="265"/>
        <v>0.03</v>
      </c>
      <c r="BB315" s="1096">
        <f>AZ315</f>
        <v>0.03</v>
      </c>
      <c r="BC315" s="1096">
        <f t="shared" si="266"/>
        <v>0.03</v>
      </c>
      <c r="BD315" s="1096">
        <f t="shared" si="267"/>
        <v>0.03</v>
      </c>
      <c r="BE315" s="1096">
        <f t="shared" si="268"/>
        <v>0.03</v>
      </c>
    </row>
    <row r="317" spans="1:58">
      <c r="A317" s="640" t="s">
        <v>2587</v>
      </c>
      <c r="B317" s="641"/>
      <c r="C317" s="641"/>
      <c r="D317" s="641"/>
      <c r="E317" s="641"/>
      <c r="F317" s="641"/>
      <c r="G317" s="641"/>
      <c r="H317" s="641"/>
      <c r="I317" s="641"/>
      <c r="J317" s="641"/>
      <c r="K317" s="641"/>
      <c r="L317" s="641"/>
      <c r="M317" s="641"/>
      <c r="N317" s="641"/>
      <c r="O317" s="641"/>
      <c r="P317" s="641"/>
      <c r="Q317" s="641"/>
      <c r="R317" s="641"/>
      <c r="S317" s="641"/>
      <c r="T317" s="641"/>
      <c r="U317" s="641"/>
      <c r="V317" s="641"/>
      <c r="W317" s="641"/>
      <c r="X317" s="641"/>
      <c r="Y317" s="641"/>
      <c r="Z317" s="641"/>
      <c r="AA317" s="641"/>
      <c r="AB317" s="641"/>
      <c r="AC317" s="641"/>
      <c r="AD317" s="641"/>
      <c r="AE317" s="641"/>
      <c r="AF317" s="641"/>
      <c r="AG317" s="641"/>
      <c r="AH317" s="641"/>
      <c r="AI317" s="641"/>
      <c r="AJ317" s="641"/>
      <c r="AK317" s="641"/>
      <c r="AL317" s="641"/>
      <c r="AM317" s="641"/>
      <c r="AN317" s="641"/>
      <c r="AO317" s="641"/>
      <c r="AP317" s="644">
        <f>AP288-AP304</f>
        <v>130</v>
      </c>
      <c r="AQ317" s="644"/>
      <c r="AR317" s="644">
        <f>AR288-AR304</f>
        <v>170</v>
      </c>
      <c r="AS317" s="644">
        <f>AS288-AS304</f>
        <v>160</v>
      </c>
      <c r="AT317" s="644">
        <f>AT288-AT304</f>
        <v>320</v>
      </c>
      <c r="AU317" s="644">
        <f>AU288-AU304</f>
        <v>340</v>
      </c>
      <c r="AV317" s="644">
        <f>SUM(AR317:AU317)</f>
        <v>990</v>
      </c>
      <c r="AW317" s="644">
        <f>AW288-AW304</f>
        <v>460</v>
      </c>
      <c r="AX317" s="644">
        <f>AX288-AX304</f>
        <v>555</v>
      </c>
      <c r="AY317" s="644">
        <f>AY288-AY304</f>
        <v>595</v>
      </c>
      <c r="AZ317" s="644">
        <f>AZ288-AZ304</f>
        <v>680</v>
      </c>
      <c r="BA317" s="644">
        <f>SUM(AW317:AZ317)</f>
        <v>2290</v>
      </c>
      <c r="BB317" s="644">
        <f>BB288-BB304</f>
        <v>685</v>
      </c>
      <c r="BC317" s="644">
        <f>BC288-BC304</f>
        <v>690</v>
      </c>
      <c r="BD317" s="644">
        <f>BD288-BD304</f>
        <v>705</v>
      </c>
      <c r="BE317" s="644">
        <f>BE288-BE304</f>
        <v>715</v>
      </c>
      <c r="BF317" s="644">
        <f>SUM(BB317:BE317)</f>
        <v>2795</v>
      </c>
    </row>
    <row r="319" spans="1:58">
      <c r="A319" s="3" t="s">
        <v>2538</v>
      </c>
    </row>
    <row r="320" spans="1:58">
      <c r="A320" s="262" t="s">
        <v>2539</v>
      </c>
    </row>
    <row r="321" spans="1:58">
      <c r="A321" s="1" t="s">
        <v>2540</v>
      </c>
      <c r="AP321" s="21">
        <f t="shared" ref="AP321:AV321" si="272">AO302/AO303</f>
        <v>0.18350611171282685</v>
      </c>
      <c r="AQ321" s="21">
        <f t="shared" si="272"/>
        <v>0.16717131474103586</v>
      </c>
      <c r="AR321" s="21">
        <f t="shared" si="272"/>
        <v>0.16717131474103586</v>
      </c>
      <c r="AS321" s="21">
        <f t="shared" ref="AS321" si="273">AR302/AR303</f>
        <v>0.15491206253330964</v>
      </c>
      <c r="AT321" s="21">
        <f t="shared" ref="AT321" si="274">AS302/AS303</f>
        <v>0.14332514332514332</v>
      </c>
      <c r="AU321" s="21">
        <f t="shared" ref="AU321" si="275">AT302/AT303</f>
        <v>3.596956421489509E-2</v>
      </c>
      <c r="AV321" s="21">
        <f t="shared" si="272"/>
        <v>5.6963827969239535E-4</v>
      </c>
      <c r="AW321" s="21">
        <f t="shared" ref="AW321" si="276">AV302/AV303</f>
        <v>5.6963827969239535E-4</v>
      </c>
      <c r="AX321" s="21">
        <f t="shared" ref="AX321" si="277">AW302/AW303</f>
        <v>1.7245627001724563E-3</v>
      </c>
      <c r="AY321" s="21">
        <f t="shared" ref="AY321" si="278">AX302/AX303</f>
        <v>5.4956668780384698E-3</v>
      </c>
      <c r="AZ321" s="21">
        <f t="shared" ref="AZ321" si="279">AY302/AY303</f>
        <v>4.152823920265781E-3</v>
      </c>
      <c r="BA321" s="21">
        <f t="shared" ref="BA321" si="280">AZ302/AZ303</f>
        <v>4.377006127808579E-3</v>
      </c>
      <c r="BB321" s="21">
        <f t="shared" ref="BB321" si="281">BA302/BA303</f>
        <v>4.377006127808579E-3</v>
      </c>
      <c r="BC321" s="21">
        <f t="shared" ref="BC321" si="282">BB302/BB303</f>
        <v>4.2674253200568994E-3</v>
      </c>
      <c r="BD321" s="21">
        <f t="shared" ref="BD321" si="283">BC302/BC303</f>
        <v>4.2674253200568994E-3</v>
      </c>
      <c r="BE321" s="21">
        <f t="shared" ref="BE321" si="284">BD302/BD303</f>
        <v>4.2674253200568994E-3</v>
      </c>
      <c r="BF321" s="21">
        <f t="shared" ref="BF321" si="285">BE302/BE303</f>
        <v>4.2674253200568994E-3</v>
      </c>
    </row>
    <row r="323" spans="1:58">
      <c r="A323" s="1" t="s">
        <v>2548</v>
      </c>
      <c r="AP323" s="21">
        <f>AP311/(1-AP321)</f>
        <v>0.26791382414250514</v>
      </c>
      <c r="AQ323" s="21">
        <f>AQ311/(1-AQ321)</f>
        <v>0.26265906046689624</v>
      </c>
      <c r="AR323" s="21">
        <f>AR311/(1-AR321)</f>
        <v>0.33123507132771157</v>
      </c>
      <c r="AS323" s="21">
        <f t="shared" ref="AS323:AU323" si="286">AS311/(1-AS321)</f>
        <v>0.2366617616144629</v>
      </c>
      <c r="AT323" s="21">
        <f t="shared" si="286"/>
        <v>0.32684512428298279</v>
      </c>
      <c r="AU323" s="21">
        <f t="shared" si="286"/>
        <v>0.25932791198277921</v>
      </c>
      <c r="AV323" s="21">
        <f>AV311/(1-AV321)</f>
        <v>0.25014249073810202</v>
      </c>
      <c r="AW323" s="21">
        <f>AW311/(1-AW321)</f>
        <v>0.16009119407238528</v>
      </c>
      <c r="AX323" s="21">
        <f t="shared" ref="AX323" si="287">AX311/(1-AX321)</f>
        <v>0.16027640671273444</v>
      </c>
      <c r="AY323" s="746">
        <f t="shared" ref="AY323:AZ323" si="288">AX323</f>
        <v>0.16027640671273444</v>
      </c>
      <c r="AZ323" s="746">
        <f t="shared" si="288"/>
        <v>0.16027640671273444</v>
      </c>
      <c r="BA323" s="21">
        <f>BA311/(1-BA321)</f>
        <v>0.16070339976553341</v>
      </c>
      <c r="BB323" s="746">
        <f t="shared" ref="BB323:BB324" si="289">BA323</f>
        <v>0.16070339976553341</v>
      </c>
      <c r="BC323" s="746">
        <f t="shared" ref="BC323:BC324" si="290">BB323</f>
        <v>0.16070339976553341</v>
      </c>
      <c r="BD323" s="746">
        <f t="shared" ref="BD323:BD324" si="291">BC323</f>
        <v>0.16070339976553341</v>
      </c>
      <c r="BE323" s="746">
        <f t="shared" ref="BE323:BE324" si="292">BD323</f>
        <v>0.16070339976553341</v>
      </c>
      <c r="BF323" s="21"/>
    </row>
    <row r="324" spans="1:58">
      <c r="A324" s="1" t="s">
        <v>2549</v>
      </c>
      <c r="AP324" s="21">
        <f>1-AP323</f>
        <v>0.7320861758574948</v>
      </c>
      <c r="AQ324" s="21">
        <f>1-AQ323</f>
        <v>0.73734093953310376</v>
      </c>
      <c r="AR324" s="21">
        <f>1-AR323</f>
        <v>0.66876492867228843</v>
      </c>
      <c r="AS324" s="21">
        <f t="shared" ref="AS324:AU324" si="293">1-AS323</f>
        <v>0.76333823838553716</v>
      </c>
      <c r="AT324" s="21">
        <f t="shared" si="293"/>
        <v>0.67315487571701715</v>
      </c>
      <c r="AU324" s="21">
        <f t="shared" si="293"/>
        <v>0.74067208801722084</v>
      </c>
      <c r="AV324" s="21">
        <f>1-AV323</f>
        <v>0.74985750926189798</v>
      </c>
      <c r="AW324" s="21">
        <f>1-AW323</f>
        <v>0.83990880592761474</v>
      </c>
      <c r="AX324" s="21">
        <f t="shared" ref="AX324" si="294">1-AX323</f>
        <v>0.83972359328726554</v>
      </c>
      <c r="AY324" s="746">
        <f t="shared" ref="AY324:AZ324" si="295">AX324</f>
        <v>0.83972359328726554</v>
      </c>
      <c r="AZ324" s="746">
        <f t="shared" si="295"/>
        <v>0.83972359328726554</v>
      </c>
      <c r="BA324" s="21">
        <f>1-BA323</f>
        <v>0.83929660023446662</v>
      </c>
      <c r="BB324" s="746">
        <f t="shared" si="289"/>
        <v>0.83929660023446662</v>
      </c>
      <c r="BC324" s="746">
        <f t="shared" si="290"/>
        <v>0.83929660023446662</v>
      </c>
      <c r="BD324" s="746">
        <f t="shared" si="291"/>
        <v>0.83929660023446662</v>
      </c>
      <c r="BE324" s="746">
        <f t="shared" si="292"/>
        <v>0.83929660023446662</v>
      </c>
      <c r="BF324" s="21"/>
    </row>
    <row r="326" spans="1:58">
      <c r="A326" s="135" t="s">
        <v>2537</v>
      </c>
      <c r="AP326" s="16">
        <f>AP323*AP314+AP324*AP315</f>
        <v>3.2943877913587265E-2</v>
      </c>
      <c r="AR326" s="16">
        <f>AR323*AR314+AR324*AR315</f>
        <v>3.0260039325916834E-2</v>
      </c>
      <c r="AS326" s="16">
        <f t="shared" ref="AS326:AU326" si="296">AS323*AS314+AS324*AS315</f>
        <v>3.4069098171116252E-2</v>
      </c>
      <c r="AT326" s="16">
        <f t="shared" si="296"/>
        <v>2.6177479286169533E-2</v>
      </c>
      <c r="AU326" s="16">
        <f t="shared" si="296"/>
        <v>2.698244538786574E-2</v>
      </c>
      <c r="AW326" s="16">
        <f>AW323*AW314+AW324*AW315</f>
        <v>3.0117218580792245E-2</v>
      </c>
      <c r="AX326" s="16">
        <f t="shared" ref="AX326" si="297">AX323*AX314+AX324*AX315</f>
        <v>2.9761684764725238E-2</v>
      </c>
      <c r="AY326" s="16">
        <f>AY323*AY314+AY324*AY315</f>
        <v>2.5979733464955575E-2</v>
      </c>
      <c r="AZ326" s="16">
        <f>AZ323*AZ314+AZ324*AZ315</f>
        <v>2.5979733464955575E-2</v>
      </c>
      <c r="BB326" s="16">
        <f>BB323*BB314+BB324*BB315</f>
        <v>2.5969023055881203E-2</v>
      </c>
      <c r="BC326" s="16">
        <f t="shared" ref="BC326" si="298">BC323*BC314+BC324*BC315</f>
        <v>2.5969023055881203E-2</v>
      </c>
      <c r="BD326" s="16">
        <f>BD323*BD314+BD324*BD315</f>
        <v>2.5969023055881203E-2</v>
      </c>
      <c r="BE326" s="16">
        <f>BE323*BE314+BE324*BE315</f>
        <v>2.5969023055881203E-2</v>
      </c>
    </row>
    <row r="328" spans="1:58">
      <c r="A328" s="1" t="s">
        <v>2550</v>
      </c>
      <c r="AP328" s="1">
        <f>MROUND(AP326*AO301/4, 5)</f>
        <v>215</v>
      </c>
      <c r="AR328" s="1">
        <f>MROUND(AR326*AQ301/4, 5)</f>
        <v>200</v>
      </c>
      <c r="AS328" s="1">
        <f t="shared" ref="AS328:AU328" si="299">MROUND(AS326*AR301/4, 5)</f>
        <v>205</v>
      </c>
      <c r="AT328" s="1">
        <f t="shared" si="299"/>
        <v>135</v>
      </c>
      <c r="AU328" s="1">
        <f t="shared" si="299"/>
        <v>140</v>
      </c>
      <c r="AV328" s="1">
        <f>SUM(AR328:AU328)</f>
        <v>680</v>
      </c>
      <c r="AW328" s="1">
        <f>MROUND(AW326*AV301/4, 5)</f>
        <v>130</v>
      </c>
      <c r="AX328" s="1">
        <f t="shared" ref="AX328" si="300">MROUND(AX326*AW301/4, 5)</f>
        <v>150</v>
      </c>
      <c r="AY328" s="1">
        <f>MROUND(AY326*AX301/4, 5)</f>
        <v>155</v>
      </c>
      <c r="AZ328" s="1">
        <f>MROUND(AZ326*AY301/4, 5)</f>
        <v>115</v>
      </c>
      <c r="BA328" s="1">
        <f>SUM(AW328:AZ328)</f>
        <v>550</v>
      </c>
      <c r="BB328" s="1">
        <f>MROUND(BB326*BA301/4, 5)</f>
        <v>110</v>
      </c>
      <c r="BC328" s="1">
        <f t="shared" ref="BC328" si="301">MROUND(BC326*BB301/4, 5)</f>
        <v>115</v>
      </c>
      <c r="BD328" s="1">
        <f>MROUND(BD326*BC301/4, 5)</f>
        <v>115</v>
      </c>
      <c r="BE328" s="1">
        <f>MROUND(BE326*BD301/4, 5)</f>
        <v>115</v>
      </c>
      <c r="BF328" s="1">
        <f>SUM(BB328:BE328)</f>
        <v>455</v>
      </c>
    </row>
    <row r="330" spans="1:58">
      <c r="A330" s="640" t="s">
        <v>2622</v>
      </c>
      <c r="B330" s="641"/>
      <c r="C330" s="641"/>
      <c r="D330" s="641"/>
      <c r="E330" s="641"/>
      <c r="F330" s="641"/>
      <c r="G330" s="641"/>
      <c r="H330" s="641"/>
      <c r="I330" s="641"/>
      <c r="J330" s="641"/>
      <c r="K330" s="641"/>
      <c r="L330" s="641"/>
      <c r="M330" s="641"/>
      <c r="N330" s="641"/>
      <c r="O330" s="641"/>
      <c r="P330" s="641"/>
      <c r="Q330" s="641"/>
      <c r="R330" s="641"/>
      <c r="S330" s="641"/>
      <c r="T330" s="641"/>
      <c r="U330" s="641"/>
      <c r="V330" s="641"/>
      <c r="W330" s="641"/>
      <c r="X330" s="641"/>
      <c r="Y330" s="641"/>
      <c r="Z330" s="641"/>
      <c r="AA330" s="641"/>
      <c r="AB330" s="641"/>
      <c r="AC330" s="641"/>
      <c r="AD330" s="641"/>
      <c r="AE330" s="641"/>
      <c r="AF330" s="641"/>
      <c r="AG330" s="641"/>
      <c r="AH330" s="641"/>
      <c r="AI330" s="641"/>
      <c r="AJ330" s="641"/>
      <c r="AK330" s="641"/>
      <c r="AL330" s="641"/>
      <c r="AM330" s="641"/>
      <c r="AN330" s="641"/>
      <c r="AO330" s="641"/>
      <c r="AP330" s="644">
        <f>AP288-AP328</f>
        <v>200</v>
      </c>
      <c r="AQ330" s="644"/>
      <c r="AR330" s="644">
        <f>AR288-AR328</f>
        <v>225</v>
      </c>
      <c r="AS330" s="644">
        <f t="shared" ref="AS330:AU330" si="302">AS288-AS328</f>
        <v>205</v>
      </c>
      <c r="AT330" s="644">
        <f t="shared" si="302"/>
        <v>355</v>
      </c>
      <c r="AU330" s="644">
        <f t="shared" si="302"/>
        <v>350</v>
      </c>
      <c r="AV330" s="644">
        <f>SUM(AR330:AU330)</f>
        <v>1135</v>
      </c>
      <c r="AW330" s="644">
        <f>AW288-AW328</f>
        <v>460</v>
      </c>
      <c r="AX330" s="644">
        <f t="shared" ref="AX330" si="303">AX288-AX328</f>
        <v>555</v>
      </c>
      <c r="AY330" s="644">
        <f>AY288-AY328</f>
        <v>595</v>
      </c>
      <c r="AZ330" s="644">
        <f>AZ288-AZ328</f>
        <v>680</v>
      </c>
      <c r="BA330" s="644">
        <f>SUM(AW330:AZ330)</f>
        <v>2290</v>
      </c>
      <c r="BB330" s="644">
        <f>BB288-BB328</f>
        <v>685</v>
      </c>
      <c r="BC330" s="644">
        <f t="shared" ref="BC330" si="304">BC288-BC328</f>
        <v>690</v>
      </c>
      <c r="BD330" s="644">
        <f>BD288-BD328</f>
        <v>705</v>
      </c>
      <c r="BE330" s="644">
        <f>BE288-BE328</f>
        <v>715</v>
      </c>
      <c r="BF330" s="644">
        <f>SUM(BB330:BE330)</f>
        <v>2795</v>
      </c>
    </row>
    <row r="332" spans="1:58" s="12" customFormat="1">
      <c r="A332" s="13" t="s">
        <v>3480</v>
      </c>
    </row>
    <row r="333" spans="1:58">
      <c r="AZ333" s="144" t="s">
        <v>3495</v>
      </c>
      <c r="BA333" s="171"/>
      <c r="BB333" s="171"/>
    </row>
    <row r="334" spans="1:58">
      <c r="A334" s="1" t="s">
        <v>3481</v>
      </c>
      <c r="AW334" s="685" t="s">
        <v>3494</v>
      </c>
      <c r="AX334" s="618"/>
      <c r="AY334" s="618"/>
      <c r="AZ334" s="618"/>
    </row>
    <row r="335" spans="1:58">
      <c r="A335" s="5" t="s">
        <v>946</v>
      </c>
      <c r="AP335" s="88">
        <f>'Valuation &amp; SBG NAV'!BE159</f>
        <v>115.26200383065849</v>
      </c>
      <c r="AR335" s="88">
        <f>'Valuation &amp; SBG NAV'!BG159</f>
        <v>150.92717452039489</v>
      </c>
      <c r="AS335" s="88">
        <f>'Valuation &amp; SBG NAV'!BH159</f>
        <v>131.93559167659217</v>
      </c>
      <c r="AT335" s="88">
        <f>'Valuation &amp; SBG NAV'!BI159</f>
        <v>113.79581489442407</v>
      </c>
      <c r="AU335" s="88">
        <f>'Valuation &amp; SBG NAV'!BJ159</f>
        <v>98.493017656500797</v>
      </c>
      <c r="AW335" s="88">
        <f>'Valuation &amp; SBG NAV'!BL159</f>
        <v>149.1642704233133</v>
      </c>
      <c r="AX335" s="88">
        <f>'Valuation &amp; SBG NAV'!BM159</f>
        <v>130.54943578721119</v>
      </c>
      <c r="AY335" s="88">
        <f>'Valuation &amp; SBG NAV'!BN159</f>
        <v>100.8616504854369</v>
      </c>
      <c r="AZ335" s="88">
        <f>'Valuation &amp; SBG NAV'!BO159</f>
        <v>117.40523523923699</v>
      </c>
      <c r="BB335" s="88">
        <f>'Valuation &amp; SBG NAV'!BQ159</f>
        <v>117.40523523923699</v>
      </c>
      <c r="BC335" s="88">
        <f>'Valuation &amp; SBG NAV'!BR159</f>
        <v>117.40523523923699</v>
      </c>
      <c r="BD335" s="88">
        <f>'Valuation &amp; SBG NAV'!BS159</f>
        <v>117.40523523923699</v>
      </c>
      <c r="BE335" s="88">
        <f>'Valuation &amp; SBG NAV'!BT159</f>
        <v>117.40523523923699</v>
      </c>
    </row>
    <row r="336" spans="1:58">
      <c r="A336" s="5" t="s">
        <v>3482</v>
      </c>
      <c r="AP336" s="88">
        <f>'Valuation &amp; SBG NAV'!BE150</f>
        <v>24.164850406181891</v>
      </c>
      <c r="AR336" s="88">
        <f>'Valuation &amp; SBG NAV'!BG150</f>
        <v>22.965791270876018</v>
      </c>
      <c r="AS336" s="88">
        <f>'Valuation &amp; SBG NAV'!BH150</f>
        <v>24.938695438940659</v>
      </c>
      <c r="AT336" s="88">
        <f>'Valuation &amp; SBG NAV'!BI150</f>
        <v>24.08521937033759</v>
      </c>
      <c r="AU336" s="88">
        <f>'Valuation &amp; SBG NAV'!BJ150</f>
        <v>26.658640984483682</v>
      </c>
      <c r="AW336" s="88">
        <f>'Valuation &amp; SBG NAV'!BL150</f>
        <v>29.462744285615635</v>
      </c>
      <c r="AX336" s="88">
        <f>'Valuation &amp; SBG NAV'!BM150</f>
        <v>27.988984416980117</v>
      </c>
      <c r="AY336" s="88">
        <f>'Valuation &amp; SBG NAV'!BN150</f>
        <v>26.290240163515584</v>
      </c>
      <c r="AZ336" s="88">
        <f>'Valuation &amp; SBG NAV'!BO150</f>
        <v>26.114349826452088</v>
      </c>
      <c r="BB336" s="88">
        <f>'Valuation &amp; SBG NAV'!BQ150</f>
        <v>26.181872385796503</v>
      </c>
      <c r="BC336" s="88">
        <f>'Valuation &amp; SBG NAV'!BR150</f>
        <v>26.249745029700058</v>
      </c>
      <c r="BD336" s="88">
        <f>'Valuation &amp; SBG NAV'!BS150</f>
        <v>26.317970487866923</v>
      </c>
      <c r="BE336" s="88">
        <f>'Valuation &amp; SBG NAV'!BT150</f>
        <v>26.386551518454194</v>
      </c>
    </row>
    <row r="337" spans="1:58">
      <c r="A337" s="5" t="s">
        <v>2372</v>
      </c>
      <c r="AP337" s="88">
        <f>SUM('Valuation &amp; SBG NAV'!BE157:BE158)</f>
        <v>19.939898289412852</v>
      </c>
      <c r="AR337" s="88">
        <f>SUM('Valuation &amp; SBG NAV'!BG157:BG158)</f>
        <v>21.121251629726206</v>
      </c>
      <c r="AS337" s="88">
        <f>SUM('Valuation &amp; SBG NAV'!BH157:BH158)</f>
        <v>23.571078259651092</v>
      </c>
      <c r="AT337" s="88">
        <f>SUM('Valuation &amp; SBG NAV'!BI157:BI158)</f>
        <v>24.391199898849415</v>
      </c>
      <c r="AU337" s="88">
        <f>SUM('Valuation &amp; SBG NAV'!BJ157:BJ158)</f>
        <v>28.21963616907437</v>
      </c>
      <c r="AW337" s="88">
        <f>SUM('Valuation &amp; SBG NAV'!BL157:BL158)</f>
        <v>19.9668531178786</v>
      </c>
      <c r="AX337" s="88">
        <f>SUM('Valuation &amp; SBG NAV'!BM157:BM158)</f>
        <v>11.149919398173026</v>
      </c>
      <c r="AY337" s="88">
        <f>SUM('Valuation &amp; SBG NAV'!BN157:BN158)</f>
        <v>5.8124680633622887</v>
      </c>
      <c r="AZ337" s="88">
        <f>SUM('Valuation &amp; SBG NAV'!BO157:BO158)</f>
        <v>3.4577600000000013</v>
      </c>
      <c r="BB337" s="88"/>
      <c r="BC337" s="88"/>
      <c r="BD337" s="88"/>
      <c r="BE337" s="88"/>
    </row>
    <row r="338" spans="1:58">
      <c r="A338" s="5" t="s">
        <v>84</v>
      </c>
      <c r="AP338" s="88">
        <f>'SVF1'!AP39*'SVF1'!AP74/1000</f>
        <v>8.5772325550718911</v>
      </c>
      <c r="AR338" s="88">
        <f>'SVF1'!AR39*'SVF1'!AR74/1000</f>
        <v>9.0058448719519664</v>
      </c>
      <c r="AS338" s="88">
        <f>'SVF1'!AS39*'SVF1'!AS74/1000</f>
        <v>10.633881163084704</v>
      </c>
      <c r="AT338" s="88">
        <f>'SVF1'!AT39*'SVF1'!AT74/1000</f>
        <v>10.119506172839507</v>
      </c>
      <c r="AU338" s="88">
        <f>'SVF1'!AU39*'SVF1'!AU74/1000</f>
        <v>10.044609532865801</v>
      </c>
      <c r="AW338" s="88">
        <f>'SVF1'!AW39*'SVF1'!AW74/1000</f>
        <v>11.071728271728272</v>
      </c>
      <c r="AX338" s="88">
        <f>'SVF1'!AX39*'SVF1'!AX74/1000</f>
        <v>11.962594005449592</v>
      </c>
      <c r="AY338" s="88">
        <f>'SVF1'!AY39*'SVF1'!AY74/1000</f>
        <v>9.4532873229204508</v>
      </c>
      <c r="AZ338" s="88">
        <f>'SVF1'!AZ39*'SVF1'!AZ74/1000</f>
        <v>7.9752666328085313</v>
      </c>
      <c r="BB338" s="1151">
        <f>AZ338</f>
        <v>7.9752666328085313</v>
      </c>
      <c r="BC338" s="1151">
        <f>BB338</f>
        <v>7.9752666328085313</v>
      </c>
      <c r="BD338" s="1151">
        <f t="shared" ref="BD338:BE340" si="305">BC338</f>
        <v>7.9752666328085313</v>
      </c>
      <c r="BE338" s="1151">
        <f t="shared" si="305"/>
        <v>7.9752666328085313</v>
      </c>
    </row>
    <row r="339" spans="1:58">
      <c r="A339" s="5" t="s">
        <v>83</v>
      </c>
      <c r="AP339" s="88">
        <f>'SVF2'!AP68/1000</f>
        <v>4</v>
      </c>
      <c r="AR339" s="88">
        <f>'SVF2'!AR68/1000</f>
        <v>2.9</v>
      </c>
      <c r="AS339" s="88">
        <f>'SVF2'!AS68/1000</f>
        <v>3.6</v>
      </c>
      <c r="AT339" s="88">
        <f>'SVF2'!AT68/1000</f>
        <v>4.3</v>
      </c>
      <c r="AU339" s="88">
        <f>'SVF2'!AU68/1000</f>
        <v>3.3</v>
      </c>
      <c r="AW339" s="88">
        <f>'SVF2'!AW68/1000</f>
        <v>2.8</v>
      </c>
      <c r="AX339" s="88">
        <f>'SVF2'!AX68/1000</f>
        <v>3.8</v>
      </c>
      <c r="AY339" s="88">
        <f>'SVF2'!AY68/1000</f>
        <v>5.2</v>
      </c>
      <c r="AZ339" s="1155">
        <f>('SVF2'!AZ68+'SVF2'!AZ155)/1000</f>
        <v>8.7750000000000004</v>
      </c>
      <c r="BB339" s="1155">
        <f>('SVF2'!BB68+'SVF2'!BB155)/1000</f>
        <v>8.73</v>
      </c>
      <c r="BC339" s="1155">
        <f>('SVF2'!BC68+'SVF2'!BC155)/1000</f>
        <v>8.69</v>
      </c>
      <c r="BD339" s="1155">
        <f>('SVF2'!BD68+'SVF2'!BD155)/1000</f>
        <v>8.64</v>
      </c>
      <c r="BE339" s="1155">
        <f>('SVF2'!BE68+'SVF2'!BE155)/1000</f>
        <v>8.59</v>
      </c>
    </row>
    <row r="340" spans="1:58">
      <c r="A340" s="5" t="s">
        <v>3373</v>
      </c>
      <c r="AP340" s="88">
        <f>'LatAm Funds'!AP7/1000</f>
        <v>0.88</v>
      </c>
      <c r="AR340" s="88">
        <f>'LatAm Funds'!AR7/1000</f>
        <v>0.91500000000000004</v>
      </c>
      <c r="AS340" s="88">
        <f>'LatAm Funds'!AS7/1000</f>
        <v>0.95499999999999996</v>
      </c>
      <c r="AT340" s="88">
        <f>'LatAm Funds'!AT7/1000</f>
        <v>0.77</v>
      </c>
      <c r="AU340" s="88">
        <f>'LatAm Funds'!AU7/1000</f>
        <v>0.81499999999999995</v>
      </c>
      <c r="AW340" s="88">
        <f>'LatAm Funds'!AW7/1000</f>
        <v>1.07</v>
      </c>
      <c r="AX340" s="88">
        <f>'LatAm Funds'!AX7/1000</f>
        <v>1.0900000000000001</v>
      </c>
      <c r="AY340" s="88">
        <f>'LatAm Funds'!AY7/1000</f>
        <v>1.01</v>
      </c>
      <c r="AZ340" s="88">
        <f>'LatAm Funds'!AZ7/1000</f>
        <v>1.0249999999999999</v>
      </c>
      <c r="BB340" s="1151">
        <f>AZ340</f>
        <v>1.0249999999999999</v>
      </c>
      <c r="BC340" s="1151">
        <f>BB340</f>
        <v>1.0249999999999999</v>
      </c>
      <c r="BD340" s="1151">
        <f t="shared" si="305"/>
        <v>1.0249999999999999</v>
      </c>
      <c r="BE340" s="1151">
        <f t="shared" si="305"/>
        <v>1.0249999999999999</v>
      </c>
    </row>
    <row r="341" spans="1:58">
      <c r="A341" s="5" t="s">
        <v>3483</v>
      </c>
      <c r="AP341" s="88">
        <f>'SoftBank Other (13F)'!AP16/1000</f>
        <v>2.6724708969625803</v>
      </c>
      <c r="AR341" s="88">
        <f>'SoftBank Other (13F)'!AR16/1000</f>
        <v>3.6290381084103225</v>
      </c>
      <c r="AS341" s="88">
        <f>'SoftBank Other (13F)'!AS16/1000</f>
        <v>3.07435865344</v>
      </c>
      <c r="AT341" s="88">
        <f>'SoftBank Other (13F)'!AT16/1000</f>
        <v>3.2201387117703097</v>
      </c>
      <c r="AU341" s="88">
        <f>'SoftBank Other (13F)'!AU16/1000</f>
        <v>5.494164296333043</v>
      </c>
      <c r="AW341" s="718">
        <f>('SoftBank Other (13F)'!AW16+'SVF2'!AW43)/1000</f>
        <v>8.6389507193411781</v>
      </c>
      <c r="AX341" s="718">
        <f>('SoftBank Other (13F)'!AX16+'SVF2'!AX43)/1000</f>
        <v>13.708285039065883</v>
      </c>
      <c r="AY341" s="718">
        <f>('SoftBank Other (13F)'!AY16+'SVF2'!AY43)/1000</f>
        <v>7.8235832557329408</v>
      </c>
      <c r="AZ341" s="718">
        <f>('SoftBank Other (13F)'!AZ16+'SVF2'!AZ43)/1000</f>
        <v>8.4959813121117662</v>
      </c>
      <c r="BB341" s="718">
        <f>('SoftBank Other (13F)'!BB16+'SVF2'!BB43)/1000</f>
        <v>8.4959813121117662</v>
      </c>
      <c r="BC341" s="718">
        <f>('SoftBank Other (13F)'!BC16+'SVF2'!BC43)/1000</f>
        <v>8.4959813121117662</v>
      </c>
      <c r="BD341" s="718">
        <f>('SoftBank Other (13F)'!BD16+'SVF2'!BD43)/1000</f>
        <v>8.4959813121117662</v>
      </c>
      <c r="BE341" s="718">
        <f>('SoftBank Other (13F)'!BE16+'SVF2'!BE43)/1000</f>
        <v>8.4959813121117662</v>
      </c>
    </row>
    <row r="342" spans="1:58">
      <c r="A342" s="288" t="s">
        <v>3484</v>
      </c>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1152">
        <f>SUM(AP335:AP341)</f>
        <v>175.49645597828768</v>
      </c>
      <c r="AQ342" s="9"/>
      <c r="AR342" s="1152">
        <f t="shared" ref="AR342:AU342" si="306">SUM(AR335:AR341)</f>
        <v>211.46410040135942</v>
      </c>
      <c r="AS342" s="1152">
        <f t="shared" si="306"/>
        <v>198.70860519170864</v>
      </c>
      <c r="AT342" s="1152">
        <f t="shared" si="306"/>
        <v>180.68187904822094</v>
      </c>
      <c r="AU342" s="1152">
        <f t="shared" si="306"/>
        <v>173.02506863925771</v>
      </c>
      <c r="AV342" s="9"/>
      <c r="AW342" s="1152">
        <f t="shared" ref="AW342" si="307">SUM(AW335:AW341)</f>
        <v>222.17454681787697</v>
      </c>
      <c r="AX342" s="1152">
        <f t="shared" ref="AX342" si="308">SUM(AX335:AX341)</f>
        <v>200.24921864687985</v>
      </c>
      <c r="AY342" s="1152">
        <f t="shared" ref="AY342" si="309">SUM(AY335:AY341)</f>
        <v>156.45122929096814</v>
      </c>
      <c r="AZ342" s="1152">
        <f t="shared" ref="AZ342" si="310">SUM(AZ335:AZ341)</f>
        <v>173.2485930106094</v>
      </c>
      <c r="BA342" s="9"/>
      <c r="BB342" s="1152">
        <f t="shared" ref="BB342" si="311">SUM(BB335:BB341)</f>
        <v>169.81335556995379</v>
      </c>
      <c r="BC342" s="1152">
        <f t="shared" ref="BC342" si="312">SUM(BC335:BC341)</f>
        <v>169.84122821385733</v>
      </c>
      <c r="BD342" s="1152">
        <f t="shared" ref="BD342" si="313">SUM(BD335:BD341)</f>
        <v>169.85945367202419</v>
      </c>
      <c r="BE342" s="1152">
        <f t="shared" ref="BE342" si="314">SUM(BE335:BE341)</f>
        <v>169.8780347026115</v>
      </c>
      <c r="BF342" s="9"/>
    </row>
    <row r="343" spans="1:58">
      <c r="A343" s="33" t="s">
        <v>2042</v>
      </c>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1152">
        <f>AP335</f>
        <v>115.26200383065849</v>
      </c>
      <c r="AQ343" s="9"/>
      <c r="AR343" s="1152">
        <f>AR335</f>
        <v>150.92717452039489</v>
      </c>
      <c r="AS343" s="1152">
        <f>AS335</f>
        <v>131.93559167659217</v>
      </c>
      <c r="AT343" s="1152">
        <f>AT335</f>
        <v>113.79581489442407</v>
      </c>
      <c r="AU343" s="1152">
        <f>AU335</f>
        <v>98.493017656500797</v>
      </c>
      <c r="AV343" s="9"/>
      <c r="AW343" s="1152">
        <f>AW335</f>
        <v>149.1642704233133</v>
      </c>
      <c r="AX343" s="1152">
        <f>AX335</f>
        <v>130.54943578721119</v>
      </c>
      <c r="AY343" s="1152">
        <f>AY335</f>
        <v>100.8616504854369</v>
      </c>
      <c r="AZ343" s="1152">
        <f>AZ335</f>
        <v>117.40523523923699</v>
      </c>
      <c r="BA343" s="9"/>
      <c r="BB343" s="1152">
        <f>BB335</f>
        <v>117.40523523923699</v>
      </c>
      <c r="BC343" s="1152">
        <f>BC335</f>
        <v>117.40523523923699</v>
      </c>
      <c r="BD343" s="1152">
        <f>BD335</f>
        <v>117.40523523923699</v>
      </c>
      <c r="BE343" s="1152">
        <f>BE335</f>
        <v>117.40523523923699</v>
      </c>
      <c r="BF343" s="9"/>
    </row>
    <row r="344" spans="1:58">
      <c r="A344" s="5" t="s">
        <v>3485</v>
      </c>
      <c r="AP344" s="88">
        <f>SUM(AP336:AP337)</f>
        <v>44.104748695594743</v>
      </c>
      <c r="AR344" s="88">
        <f>SUM(AR336:AR337)</f>
        <v>44.087042900602228</v>
      </c>
      <c r="AS344" s="88">
        <f>SUM(AS336:AS337)</f>
        <v>48.509773698591751</v>
      </c>
      <c r="AT344" s="88">
        <f>SUM(AT336:AT337)</f>
        <v>48.476419269187005</v>
      </c>
      <c r="AU344" s="88">
        <f>SUM(AU336:AU337)</f>
        <v>54.878277153558052</v>
      </c>
      <c r="AW344" s="88">
        <f>SUM(AW336:AW337)</f>
        <v>49.429597403494235</v>
      </c>
      <c r="AX344" s="88">
        <f>SUM(AX336:AX337)</f>
        <v>39.138903815153142</v>
      </c>
      <c r="AY344" s="88">
        <f>SUM(AY336:AY337)</f>
        <v>32.102708226877873</v>
      </c>
      <c r="AZ344" s="88">
        <f>SUM(AZ336:AZ337)</f>
        <v>29.572109826452088</v>
      </c>
      <c r="BB344" s="88">
        <f>SUM(BB336:BB337)</f>
        <v>26.181872385796503</v>
      </c>
      <c r="BC344" s="88">
        <f>SUM(BC336:BC337)</f>
        <v>26.249745029700058</v>
      </c>
      <c r="BD344" s="88">
        <f>SUM(BD336:BD337)</f>
        <v>26.317970487866923</v>
      </c>
      <c r="BE344" s="88">
        <f>SUM(BE336:BE337)</f>
        <v>26.386551518454194</v>
      </c>
    </row>
    <row r="345" spans="1:58">
      <c r="A345" s="1154" t="s">
        <v>711</v>
      </c>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c r="AF345" s="64"/>
      <c r="AG345" s="64"/>
      <c r="AH345" s="64"/>
      <c r="AI345" s="64"/>
      <c r="AJ345" s="64"/>
      <c r="AK345" s="64"/>
      <c r="AL345" s="64"/>
      <c r="AM345" s="64"/>
      <c r="AN345" s="64"/>
      <c r="AO345" s="64"/>
      <c r="AP345" s="1153">
        <f>SUM(AP338:AP341)</f>
        <v>16.129703452034473</v>
      </c>
      <c r="AQ345" s="64"/>
      <c r="AR345" s="1153">
        <f>SUM(AR338:AR341)</f>
        <v>16.44988298036229</v>
      </c>
      <c r="AS345" s="1153">
        <f>SUM(AS338:AS341)</f>
        <v>18.263239816524703</v>
      </c>
      <c r="AT345" s="1153">
        <f>SUM(AT338:AT341)</f>
        <v>18.409644884609818</v>
      </c>
      <c r="AU345" s="1153">
        <f>SUM(AU338:AU341)</f>
        <v>19.65377382919884</v>
      </c>
      <c r="AV345" s="64"/>
      <c r="AW345" s="1153">
        <f>SUM(AW338:AW341)</f>
        <v>23.580678991069451</v>
      </c>
      <c r="AX345" s="1153">
        <f>SUM(AX338:AX341)</f>
        <v>30.560879044515474</v>
      </c>
      <c r="AY345" s="1153">
        <f>SUM(AY338:AY341)</f>
        <v>23.486870578653392</v>
      </c>
      <c r="AZ345" s="1153">
        <f>SUM(AZ338:AZ341)</f>
        <v>26.271247944920297</v>
      </c>
      <c r="BA345" s="64"/>
      <c r="BB345" s="1153">
        <f>SUM(BB338:BB341)</f>
        <v>26.226247944920296</v>
      </c>
      <c r="BC345" s="1153">
        <f>SUM(BC338:BC341)</f>
        <v>26.186247944920297</v>
      </c>
      <c r="BD345" s="1153">
        <f>SUM(BD338:BD341)</f>
        <v>26.136247944920296</v>
      </c>
      <c r="BE345" s="1153">
        <f>SUM(BE338:BE341)</f>
        <v>26.086247944920295</v>
      </c>
      <c r="BF345" s="64"/>
    </row>
    <row r="347" spans="1:58">
      <c r="A347" s="1" t="s">
        <v>3486</v>
      </c>
    </row>
    <row r="348" spans="1:58">
      <c r="A348" s="5" t="s">
        <v>3487</v>
      </c>
      <c r="AP348" s="88">
        <f>AP253/1000</f>
        <v>18.759038372630606</v>
      </c>
      <c r="AR348" s="88">
        <f t="shared" ref="AR348:AY348" si="315">AR253/1000</f>
        <v>20.297733904513567</v>
      </c>
      <c r="AS348" s="88">
        <f t="shared" si="315"/>
        <v>31.058333917186296</v>
      </c>
      <c r="AT348" s="88">
        <f t="shared" si="315"/>
        <v>29.378840561385761</v>
      </c>
      <c r="AU348" s="88">
        <f t="shared" si="315"/>
        <v>39.928016318887103</v>
      </c>
      <c r="AW348" s="88">
        <f t="shared" si="315"/>
        <v>48.222346523030176</v>
      </c>
      <c r="AX348" s="88">
        <f t="shared" si="315"/>
        <v>47.18232133261688</v>
      </c>
      <c r="AY348" s="88">
        <f t="shared" si="315"/>
        <v>55.734951456310675</v>
      </c>
      <c r="AZ348" s="88">
        <f>'TopCo Net debt waterfall'!AZ36/1000</f>
        <v>55.505000000000003</v>
      </c>
      <c r="BB348" s="88">
        <f>'TopCo Net debt waterfall'!BB36/1000</f>
        <v>61</v>
      </c>
      <c r="BC348" s="88">
        <f>'TopCo Net debt waterfall'!BC36/1000</f>
        <v>73</v>
      </c>
      <c r="BD348" s="88">
        <f>'TopCo Net debt waterfall'!BD36/1000</f>
        <v>84.694999999999993</v>
      </c>
      <c r="BE348" s="88">
        <f>'TopCo Net debt waterfall'!BE36/1000</f>
        <v>83.79</v>
      </c>
    </row>
    <row r="349" spans="1:58">
      <c r="A349" s="5" t="s">
        <v>3488</v>
      </c>
      <c r="AP349" s="88">
        <f>'Valuation &amp; SBG NAV'!BE97+SUM('Valuation &amp; SBG NAV'!BE104:BE106)</f>
        <v>29.850868502740902</v>
      </c>
      <c r="AR349" s="88">
        <f>'Valuation &amp; SBG NAV'!BG97+SUM('Valuation &amp; SBG NAV'!BG104:BG106)</f>
        <v>27.323151424846337</v>
      </c>
      <c r="AS349" s="88">
        <f>'Valuation &amp; SBG NAV'!BH97+SUM('Valuation &amp; SBG NAV'!BH104:BH106)</f>
        <v>23.225439641280737</v>
      </c>
      <c r="AT349" s="88">
        <f>'Valuation &amp; SBG NAV'!BI97+SUM('Valuation &amp; SBG NAV'!BI104:BI106)</f>
        <v>22.621203691996463</v>
      </c>
      <c r="AU349" s="88">
        <f>'Valuation &amp; SBG NAV'!BJ97+SUM('Valuation &amp; SBG NAV'!BJ104:BJ106)</f>
        <v>20.278731942215089</v>
      </c>
      <c r="AW349" s="88">
        <f>'Valuation &amp; SBG NAV'!BL97+SUM('Valuation &amp; SBG NAV'!BL104:BL106)</f>
        <v>20.084096402182166</v>
      </c>
      <c r="AX349" s="88">
        <f>'Valuation &amp; SBG NAV'!BM97+SUM('Valuation &amp; SBG NAV'!BM104:BM106)</f>
        <v>13.790972595378829</v>
      </c>
      <c r="AY349" s="88">
        <f>'Valuation &amp; SBG NAV'!BN97+SUM('Valuation &amp; SBG NAV'!BN104:BN106)</f>
        <v>27.445707715891672</v>
      </c>
      <c r="AZ349" s="88">
        <f>'Valuation &amp; SBG NAV'!BO97+SUM('Valuation &amp; SBG NAV'!BO104:BO106)</f>
        <v>27.517618069605483</v>
      </c>
      <c r="BB349" s="88">
        <f>'Valuation &amp; SBG NAV'!BQ97+SUM('Valuation &amp; SBG NAV'!BQ104:BQ106)</f>
        <v>27.537556412447451</v>
      </c>
      <c r="BC349" s="88">
        <f>'Valuation &amp; SBG NAV'!BR97+SUM('Valuation &amp; SBG NAV'!BR104:BR106)</f>
        <v>30.05759812971764</v>
      </c>
      <c r="BD349" s="88">
        <f>'Valuation &amp; SBG NAV'!BS97+SUM('Valuation &amp; SBG NAV'!BS104:BS106)</f>
        <v>32.577744027454472</v>
      </c>
      <c r="BE349" s="88">
        <f>'Valuation &amp; SBG NAV'!BT97+SUM('Valuation &amp; SBG NAV'!BT104:BT106)</f>
        <v>32.597994920098074</v>
      </c>
    </row>
    <row r="350" spans="1:58">
      <c r="A350" s="5" t="s">
        <v>3489</v>
      </c>
      <c r="AP350" s="88">
        <f>'Valuation &amp; SBG NAV'!BE98+'Valuation &amp; SBG NAV'!BE101+'Valuation &amp; SBG NAV'!BE102</f>
        <v>3.6186117165312726</v>
      </c>
      <c r="AR350" s="88">
        <f>'Valuation &amp; SBG NAV'!BG98+'Valuation &amp; SBG NAV'!BG101+'Valuation &amp; SBG NAV'!BG102</f>
        <v>3.6186378593158257</v>
      </c>
      <c r="AS350" s="88">
        <f>'Valuation &amp; SBG NAV'!BH98+'Valuation &amp; SBG NAV'!BH101+'Valuation &amp; SBG NAV'!BH102</f>
        <v>3.5597421705317736</v>
      </c>
      <c r="AT350" s="88">
        <f>'Valuation &amp; SBG NAV'!BI98+'Valuation &amp; SBG NAV'!BI101+'Valuation &amp; SBG NAV'!BI102</f>
        <v>3.415065115690985</v>
      </c>
      <c r="AU350" s="88">
        <f>'Valuation &amp; SBG NAV'!BJ98+'Valuation &amp; SBG NAV'!BJ101+'Valuation &amp; SBG NAV'!BJ102</f>
        <v>3.3523608881754949</v>
      </c>
      <c r="AW350" s="88">
        <f>'Valuation &amp; SBG NAV'!BL98+'Valuation &amp; SBG NAV'!BL101+'Valuation &amp; SBG NAV'!BL102</f>
        <v>3.1829086389061527</v>
      </c>
      <c r="AX350" s="88">
        <f>'Valuation &amp; SBG NAV'!BM98+'Valuation &amp; SBG NAV'!BM101+'Valuation &amp; SBG NAV'!BM102</f>
        <v>4.3463594841483069</v>
      </c>
      <c r="AY350" s="88">
        <f>'Valuation &amp; SBG NAV'!BN98+'Valuation &amp; SBG NAV'!BN101+'Valuation &amp; SBG NAV'!BN102</f>
        <v>5.331572560040879</v>
      </c>
      <c r="AZ350" s="88">
        <f>'Valuation &amp; SBG NAV'!BO98+'Valuation &amp; SBG NAV'!BO101+'Valuation &amp; SBG NAV'!BO102</f>
        <v>5.33</v>
      </c>
      <c r="BB350" s="88">
        <f>'Valuation &amp; SBG NAV'!BQ98+'Valuation &amp; SBG NAV'!BQ101+'Valuation &amp; SBG NAV'!BQ102</f>
        <v>6.83</v>
      </c>
      <c r="BC350" s="88">
        <f>'Valuation &amp; SBG NAV'!BR98+'Valuation &amp; SBG NAV'!BR101+'Valuation &amp; SBG NAV'!BR102</f>
        <v>8.08</v>
      </c>
      <c r="BD350" s="88">
        <f>'Valuation &amp; SBG NAV'!BS98+'Valuation &amp; SBG NAV'!BS101+'Valuation &amp; SBG NAV'!BS102</f>
        <v>9.08</v>
      </c>
      <c r="BE350" s="88">
        <f>'Valuation &amp; SBG NAV'!BT98+'Valuation &amp; SBG NAV'!BT101+'Valuation &amp; SBG NAV'!BT102</f>
        <v>10.58</v>
      </c>
    </row>
    <row r="351" spans="1:58">
      <c r="A351" s="9" t="s">
        <v>3486</v>
      </c>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1152">
        <f>SUM(AP348:AP350)</f>
        <v>52.228518591902777</v>
      </c>
      <c r="AQ351" s="9"/>
      <c r="AR351" s="1152">
        <f t="shared" ref="AR351:AU351" si="316">SUM(AR348:AR350)</f>
        <v>51.239523188675733</v>
      </c>
      <c r="AS351" s="1152">
        <f t="shared" si="316"/>
        <v>57.84351572899881</v>
      </c>
      <c r="AT351" s="1152">
        <f t="shared" si="316"/>
        <v>55.415109369073214</v>
      </c>
      <c r="AU351" s="1152">
        <f t="shared" si="316"/>
        <v>63.559109149277688</v>
      </c>
      <c r="AV351" s="9"/>
      <c r="AW351" s="1152">
        <f t="shared" ref="AW351" si="317">SUM(AW348:AW350)</f>
        <v>71.489351564118493</v>
      </c>
      <c r="AX351" s="1152">
        <f t="shared" ref="AX351" si="318">SUM(AX348:AX350)</f>
        <v>65.319653412144021</v>
      </c>
      <c r="AY351" s="1152">
        <f t="shared" ref="AY351" si="319">SUM(AY348:AY350)</f>
        <v>88.512231732243237</v>
      </c>
      <c r="AZ351" s="1152">
        <f t="shared" ref="AZ351" si="320">SUM(AZ348:AZ350)</f>
        <v>88.352618069605484</v>
      </c>
      <c r="BA351" s="9"/>
      <c r="BB351" s="1152">
        <f t="shared" ref="BB351" si="321">SUM(BB348:BB350)</f>
        <v>95.367556412447456</v>
      </c>
      <c r="BC351" s="1152">
        <f t="shared" ref="BC351" si="322">SUM(BC348:BC350)</f>
        <v>111.13759812971763</v>
      </c>
      <c r="BD351" s="1152">
        <f t="shared" ref="BD351" si="323">SUM(BD348:BD350)</f>
        <v>126.35274402745446</v>
      </c>
      <c r="BE351" s="1152">
        <f t="shared" ref="BE351" si="324">SUM(BE348:BE350)</f>
        <v>126.96799492009808</v>
      </c>
      <c r="BF351" s="9"/>
    </row>
    <row r="352" spans="1:58">
      <c r="A352" s="1" t="s">
        <v>3490</v>
      </c>
      <c r="AP352" s="21">
        <f>AP351/AP342</f>
        <v>0.29760440631555807</v>
      </c>
      <c r="AR352" s="21">
        <f t="shared" ref="AR352:AU352" si="325">AR351/AR342</f>
        <v>0.24230837807184757</v>
      </c>
      <c r="AS352" s="21">
        <f t="shared" si="325"/>
        <v>0.29109718561605807</v>
      </c>
      <c r="AT352" s="21">
        <f t="shared" si="325"/>
        <v>0.30669987306410434</v>
      </c>
      <c r="AU352" s="21">
        <f t="shared" si="325"/>
        <v>0.36734046487675681</v>
      </c>
      <c r="AW352" s="21">
        <f t="shared" ref="AW352" si="326">AW351/AW342</f>
        <v>0.32177111459451035</v>
      </c>
      <c r="AX352" s="21">
        <f t="shared" ref="AX352" si="327">AX351/AX342</f>
        <v>0.32619180166355066</v>
      </c>
      <c r="AY352" s="21">
        <f t="shared" ref="AY352" si="328">AY351/AY342</f>
        <v>0.56574967249140695</v>
      </c>
      <c r="AZ352" s="21">
        <f t="shared" ref="AZ352" si="329">AZ351/AZ342</f>
        <v>0.50997596306132742</v>
      </c>
      <c r="BB352" s="21">
        <f t="shared" ref="BB352" si="330">BB351/BB342</f>
        <v>0.56160221375026809</v>
      </c>
      <c r="BC352" s="21">
        <f t="shared" ref="BC352" si="331">BC351/BC342</f>
        <v>0.65436171946294208</v>
      </c>
      <c r="BD352" s="21">
        <f t="shared" ref="BD352" si="332">BD351/BD342</f>
        <v>0.74386642189150487</v>
      </c>
      <c r="BE352" s="21">
        <f t="shared" ref="BE352" si="333">BE351/BE342</f>
        <v>0.74740678006057848</v>
      </c>
    </row>
    <row r="353" spans="1:58">
      <c r="A353" s="1" t="s">
        <v>3524</v>
      </c>
      <c r="AP353" s="21">
        <f>AP351/AP357</f>
        <v>0.22333953369464543</v>
      </c>
      <c r="AR353" s="21">
        <f t="shared" ref="AR353:BE353" si="334">AR351/AR357</f>
        <v>0.19085166301550693</v>
      </c>
      <c r="AS353" s="21">
        <f t="shared" si="334"/>
        <v>0.22335833280420128</v>
      </c>
      <c r="AT353" s="21">
        <f t="shared" si="334"/>
        <v>0.23196425507848084</v>
      </c>
      <c r="AU353" s="21">
        <f t="shared" si="334"/>
        <v>0.27227661230288086</v>
      </c>
      <c r="AW353" s="21">
        <f t="shared" si="334"/>
        <v>0.24410622718439434</v>
      </c>
      <c r="AX353" s="21">
        <f t="shared" si="334"/>
        <v>0.22849447017343827</v>
      </c>
      <c r="AY353" s="21">
        <f t="shared" si="334"/>
        <v>0.31414574725008348</v>
      </c>
      <c r="AZ353" s="21">
        <f t="shared" si="334"/>
        <v>0.29802520179402237</v>
      </c>
      <c r="BB353" s="21">
        <f t="shared" si="334"/>
        <v>0.29588768701306889</v>
      </c>
      <c r="BC353" s="21">
        <f t="shared" si="334"/>
        <v>0.32905492992620872</v>
      </c>
      <c r="BD353" s="21">
        <f t="shared" si="334"/>
        <v>0.36033855278786703</v>
      </c>
      <c r="BE353" s="21">
        <f t="shared" si="334"/>
        <v>0.36427205249617262</v>
      </c>
    </row>
    <row r="355" spans="1:58">
      <c r="A355" s="5" t="s">
        <v>3491</v>
      </c>
      <c r="AP355" s="88">
        <f>AP342</f>
        <v>175.49645597828768</v>
      </c>
      <c r="AR355" s="88">
        <f t="shared" ref="AR355:BE355" si="335">AR342</f>
        <v>211.46410040135942</v>
      </c>
      <c r="AS355" s="88">
        <f t="shared" si="335"/>
        <v>198.70860519170864</v>
      </c>
      <c r="AT355" s="88">
        <f t="shared" si="335"/>
        <v>180.68187904822094</v>
      </c>
      <c r="AU355" s="88">
        <f t="shared" si="335"/>
        <v>173.02506863925771</v>
      </c>
      <c r="AW355" s="88">
        <f t="shared" si="335"/>
        <v>222.17454681787697</v>
      </c>
      <c r="AX355" s="88">
        <f t="shared" si="335"/>
        <v>200.24921864687985</v>
      </c>
      <c r="AY355" s="88">
        <f t="shared" si="335"/>
        <v>156.45122929096814</v>
      </c>
      <c r="AZ355" s="88">
        <f t="shared" si="335"/>
        <v>173.2485930106094</v>
      </c>
      <c r="BB355" s="88">
        <f t="shared" si="335"/>
        <v>169.81335556995379</v>
      </c>
      <c r="BC355" s="88">
        <f t="shared" si="335"/>
        <v>169.84122821385733</v>
      </c>
      <c r="BD355" s="88">
        <f t="shared" si="335"/>
        <v>169.85945367202419</v>
      </c>
      <c r="BE355" s="88">
        <f t="shared" si="335"/>
        <v>169.8780347026115</v>
      </c>
    </row>
    <row r="356" spans="1:58">
      <c r="A356" s="5" t="s">
        <v>3492</v>
      </c>
      <c r="AP356" s="88">
        <f>AP357-AP355</f>
        <v>58.356090088682805</v>
      </c>
      <c r="AR356" s="88">
        <f>AR357-AR355</f>
        <v>57.014163707413161</v>
      </c>
      <c r="AS356" s="88">
        <f>AS357-AS355</f>
        <v>60.263222735146286</v>
      </c>
      <c r="AT356" s="88">
        <f>AT357-AT355</f>
        <v>58.21315825105836</v>
      </c>
      <c r="AU356" s="88">
        <f>AU357-AU355</f>
        <v>60.410732591346886</v>
      </c>
      <c r="AW356" s="88">
        <f>AW357-AW355</f>
        <v>70.68709947726839</v>
      </c>
      <c r="AX356" s="88">
        <f>AX357-AX355</f>
        <v>85.620515367091116</v>
      </c>
      <c r="AY356" s="88">
        <f>AY357-AY355</f>
        <v>125.30407857821936</v>
      </c>
      <c r="AZ356" s="88">
        <f>AZ357-AZ355</f>
        <v>123.21163094947588</v>
      </c>
      <c r="BB356" s="88">
        <f>BB357-BB355</f>
        <v>152.4966309494759</v>
      </c>
      <c r="BC356" s="88">
        <f>BC357-BC355</f>
        <v>167.90663094947593</v>
      </c>
      <c r="BD356" s="88">
        <f>BD357-BD355</f>
        <v>180.79063094947594</v>
      </c>
      <c r="BE356" s="88">
        <f>BE357-BE355</f>
        <v>178.6746309494759</v>
      </c>
    </row>
    <row r="357" spans="1:58">
      <c r="A357" s="9" t="s">
        <v>3493</v>
      </c>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1152">
        <f>'Valuation &amp; SBG NAV'!BE161</f>
        <v>233.85254606697049</v>
      </c>
      <c r="AQ357" s="9"/>
      <c r="AR357" s="1152">
        <f>'Valuation &amp; SBG NAV'!BG161</f>
        <v>268.47826410877258</v>
      </c>
      <c r="AS357" s="1152">
        <f>'Valuation &amp; SBG NAV'!BH161</f>
        <v>258.97182792685493</v>
      </c>
      <c r="AT357" s="1152">
        <f>'Valuation &amp; SBG NAV'!BI161</f>
        <v>238.89503729927929</v>
      </c>
      <c r="AU357" s="1152">
        <f>'Valuation &amp; SBG NAV'!BJ161</f>
        <v>233.4358012306046</v>
      </c>
      <c r="AV357" s="9"/>
      <c r="AW357" s="1152">
        <f>'Valuation &amp; SBG NAV'!BL161</f>
        <v>292.86164629514536</v>
      </c>
      <c r="AX357" s="1152">
        <f>'Valuation &amp; SBG NAV'!BM161</f>
        <v>285.86973401397097</v>
      </c>
      <c r="AY357" s="1152">
        <f>'Valuation &amp; SBG NAV'!BN161</f>
        <v>281.7553078691875</v>
      </c>
      <c r="AZ357" s="1152">
        <f>'Valuation &amp; SBG NAV'!BO161</f>
        <v>296.46022396008527</v>
      </c>
      <c r="BA357" s="9"/>
      <c r="BB357" s="1152">
        <f>'Valuation &amp; SBG NAV'!BQ161</f>
        <v>322.30998651942969</v>
      </c>
      <c r="BC357" s="1152">
        <f>'Valuation &amp; SBG NAV'!BR161</f>
        <v>337.74785916333326</v>
      </c>
      <c r="BD357" s="1152">
        <f>'Valuation &amp; SBG NAV'!BS161</f>
        <v>350.65008462150013</v>
      </c>
      <c r="BE357" s="1152">
        <f>'Valuation &amp; SBG NAV'!BT161</f>
        <v>348.5526656520874</v>
      </c>
      <c r="BF357" s="9"/>
    </row>
  </sheetData>
  <pageMargins left="0.7" right="0.7" top="0.75" bottom="0.75" header="0.3" footer="0.3"/>
  <pageSetup orientation="portrait" r:id="rId1"/>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BCB0C-14CA-467E-A6BD-B1AF7702BC40}">
  <sheetPr codeName="Sheet30"/>
  <dimension ref="A1:AF34"/>
  <sheetViews>
    <sheetView zoomScale="90" zoomScaleNormal="90" workbookViewId="0">
      <pane xSplit="1" ySplit="2" topLeftCell="B3" activePane="bottomRight" state="frozen"/>
      <selection pane="topRight" activeCell="I1" sqref="I1"/>
      <selection pane="bottomLeft" activeCell="A3" sqref="A3"/>
      <selection pane="bottomRight"/>
    </sheetView>
  </sheetViews>
  <sheetFormatPr defaultColWidth="9.140625" defaultRowHeight="12" outlineLevelCol="1"/>
  <cols>
    <col min="1" max="1" width="45.7109375" style="1" customWidth="1"/>
    <col min="2" max="2" width="11.42578125" style="1" customWidth="1"/>
    <col min="3" max="6" width="11.42578125" style="1" hidden="1" customWidth="1" outlineLevel="1"/>
    <col min="7" max="7" width="11.42578125" style="1" customWidth="1" collapsed="1"/>
    <col min="8" max="11" width="11.42578125" style="1" customWidth="1" outlineLevel="1"/>
    <col min="12" max="17" width="11.42578125" style="1" customWidth="1"/>
    <col min="18" max="18" width="9.140625" style="1"/>
    <col min="19" max="19" width="9.140625" style="46"/>
    <col min="20" max="16384" width="9.140625" style="1"/>
  </cols>
  <sheetData>
    <row r="1" spans="1:32" s="2" customFormat="1">
      <c r="A1" s="2" t="s">
        <v>0</v>
      </c>
      <c r="B1" s="18" t="s">
        <v>90</v>
      </c>
      <c r="C1" s="43" t="s">
        <v>700</v>
      </c>
      <c r="D1" s="43" t="s">
        <v>701</v>
      </c>
      <c r="E1" s="43" t="s">
        <v>702</v>
      </c>
      <c r="G1" s="18" t="s">
        <v>699</v>
      </c>
      <c r="H1" s="43" t="s">
        <v>1177</v>
      </c>
      <c r="I1" s="43" t="s">
        <v>1178</v>
      </c>
      <c r="J1" s="43" t="s">
        <v>1179</v>
      </c>
      <c r="L1" s="18" t="s">
        <v>1180</v>
      </c>
      <c r="M1" s="43" t="s">
        <v>1189</v>
      </c>
      <c r="N1" s="43" t="s">
        <v>1190</v>
      </c>
      <c r="O1" s="43" t="s">
        <v>1191</v>
      </c>
      <c r="Q1" s="18" t="s">
        <v>1198</v>
      </c>
      <c r="S1" s="46"/>
    </row>
    <row r="2" spans="1:32" s="2" customFormat="1">
      <c r="A2" s="2" t="s">
        <v>2</v>
      </c>
      <c r="B2" s="6" t="s">
        <v>95</v>
      </c>
      <c r="C2" s="6" t="s">
        <v>686</v>
      </c>
      <c r="D2" s="6" t="s">
        <v>695</v>
      </c>
      <c r="E2" s="6" t="s">
        <v>696</v>
      </c>
      <c r="F2" s="6" t="s">
        <v>697</v>
      </c>
      <c r="G2" s="6" t="s">
        <v>698</v>
      </c>
      <c r="H2" s="6" t="s">
        <v>1172</v>
      </c>
      <c r="I2" s="6" t="s">
        <v>1173</v>
      </c>
      <c r="J2" s="6" t="s">
        <v>1174</v>
      </c>
      <c r="K2" s="6" t="s">
        <v>1175</v>
      </c>
      <c r="L2" s="6" t="s">
        <v>1176</v>
      </c>
      <c r="M2" s="6" t="s">
        <v>1184</v>
      </c>
      <c r="N2" s="6" t="s">
        <v>1185</v>
      </c>
      <c r="O2" s="6" t="s">
        <v>1186</v>
      </c>
      <c r="P2" s="6" t="s">
        <v>1187</v>
      </c>
      <c r="Q2" s="6" t="s">
        <v>1188</v>
      </c>
      <c r="S2" s="241" t="s">
        <v>1477</v>
      </c>
      <c r="U2" s="6" t="s">
        <v>158</v>
      </c>
      <c r="V2" s="6" t="s">
        <v>137</v>
      </c>
      <c r="W2" s="6" t="s">
        <v>78</v>
      </c>
      <c r="X2" s="6" t="s">
        <v>14</v>
      </c>
      <c r="Y2" s="6" t="s">
        <v>95</v>
      </c>
      <c r="Z2" s="6" t="s">
        <v>698</v>
      </c>
      <c r="AA2" s="6" t="s">
        <v>1176</v>
      </c>
      <c r="AB2" s="6" t="s">
        <v>1188</v>
      </c>
      <c r="AC2" s="6" t="s">
        <v>1197</v>
      </c>
      <c r="AD2" s="6" t="s">
        <v>1208</v>
      </c>
      <c r="AE2" s="6" t="s">
        <v>1218</v>
      </c>
      <c r="AF2" s="6" t="s">
        <v>1225</v>
      </c>
    </row>
    <row r="4" spans="1:32" s="12" customFormat="1">
      <c r="A4" s="13" t="s">
        <v>2573</v>
      </c>
    </row>
    <row r="6" spans="1:32">
      <c r="A6" s="1" t="s">
        <v>2534</v>
      </c>
      <c r="C6" s="36">
        <f>'TopCo Net debt waterfall'!AR54</f>
        <v>26130</v>
      </c>
      <c r="D6" s="36">
        <f>'TopCo Net debt waterfall'!AS54</f>
        <v>23785</v>
      </c>
      <c r="E6" s="36">
        <f>'TopCo Net debt waterfall'!AT54</f>
        <v>20920</v>
      </c>
      <c r="F6" s="36">
        <f>'TopCo Net debt waterfall'!AU54</f>
        <v>20905</v>
      </c>
      <c r="G6" s="36">
        <f>B31</f>
        <v>26130</v>
      </c>
      <c r="H6" s="36">
        <f>'TopCo Net debt waterfall'!AW54</f>
        <v>17545.000000000004</v>
      </c>
      <c r="I6" s="36">
        <f>'TopCo Net debt waterfall'!AX54</f>
        <v>20260</v>
      </c>
      <c r="J6" s="36">
        <f>'TopCo Net debt waterfall'!AY54</f>
        <v>23525</v>
      </c>
      <c r="K6" s="36">
        <f>'TopCo Net debt waterfall'!AZ54</f>
        <v>17985</v>
      </c>
      <c r="L6" s="36">
        <f>G31</f>
        <v>17545.000000000004</v>
      </c>
      <c r="M6" s="36">
        <f>'TopCo Net debt waterfall'!BB54</f>
        <v>17059.999999999996</v>
      </c>
      <c r="N6" s="36">
        <f>'TopCo Net debt waterfall'!BC54</f>
        <v>18499.999999999996</v>
      </c>
      <c r="O6" s="36">
        <f>'TopCo Net debt waterfall'!BD54</f>
        <v>11374.999999999996</v>
      </c>
      <c r="P6" s="36">
        <f>'TopCo Net debt waterfall'!BE54</f>
        <v>9684.9999999999964</v>
      </c>
      <c r="Q6" s="36">
        <f>L31</f>
        <v>17059.999999999996</v>
      </c>
      <c r="U6" s="1" t="s">
        <v>3558</v>
      </c>
      <c r="W6" s="36">
        <f>$J$31</f>
        <v>17985</v>
      </c>
      <c r="X6" s="103">
        <f t="shared" ref="X6:X16" si="0">W6/1000</f>
        <v>17.984999999999999</v>
      </c>
    </row>
    <row r="7" spans="1:32">
      <c r="A7" s="5" t="s">
        <v>3538</v>
      </c>
      <c r="C7" s="36">
        <f>'TopCo Net debt waterfall'!AR55</f>
        <v>-225</v>
      </c>
      <c r="D7" s="36">
        <f>'TopCo Net debt waterfall'!AS55</f>
        <v>-205</v>
      </c>
      <c r="E7" s="36">
        <f>'TopCo Net debt waterfall'!AT55</f>
        <v>-355</v>
      </c>
      <c r="F7" s="36">
        <f>'TopCo Net debt waterfall'!AU55</f>
        <v>-350</v>
      </c>
      <c r="G7" s="36">
        <f t="shared" ref="G7:G30" si="1">SUM(C7:F7)</f>
        <v>-1135</v>
      </c>
      <c r="H7" s="36">
        <f>'TopCo Net debt waterfall'!AW55</f>
        <v>-460</v>
      </c>
      <c r="I7" s="36">
        <f>'TopCo Net debt waterfall'!AX55</f>
        <v>-555</v>
      </c>
      <c r="J7" s="36">
        <f>'TopCo Net debt waterfall'!AY55</f>
        <v>-595</v>
      </c>
      <c r="K7" s="36">
        <f>'TopCo Net debt waterfall'!AZ55</f>
        <v>-680</v>
      </c>
      <c r="L7" s="36">
        <f t="shared" ref="L7:L10" si="2">SUM(H7:K7)</f>
        <v>-2290</v>
      </c>
      <c r="M7" s="36">
        <f>'TopCo Net debt waterfall'!BB55</f>
        <v>-685</v>
      </c>
      <c r="N7" s="36">
        <f>'TopCo Net debt waterfall'!BC55</f>
        <v>-690</v>
      </c>
      <c r="O7" s="36">
        <f>'TopCo Net debt waterfall'!BD55</f>
        <v>-705</v>
      </c>
      <c r="P7" s="36">
        <f>'TopCo Net debt waterfall'!BE55</f>
        <v>-715</v>
      </c>
      <c r="Q7" s="36">
        <f t="shared" ref="Q7:Q11" si="3">SUM(M7:P7)</f>
        <v>-2795</v>
      </c>
      <c r="U7" s="1" t="s">
        <v>3561</v>
      </c>
      <c r="W7" s="36">
        <f>$K$16+$Q$16</f>
        <v>-12000</v>
      </c>
      <c r="X7" s="103">
        <f t="shared" si="0"/>
        <v>-12</v>
      </c>
    </row>
    <row r="8" spans="1:32">
      <c r="A8" s="5" t="s">
        <v>3536</v>
      </c>
      <c r="C8" s="36">
        <f>'TopCo Net debt waterfall'!AR56</f>
        <v>-210</v>
      </c>
      <c r="D8" s="36">
        <f>'TopCo Net debt waterfall'!AS56</f>
        <v>-210</v>
      </c>
      <c r="E8" s="36">
        <f>'TopCo Net debt waterfall'!AT56</f>
        <v>-210</v>
      </c>
      <c r="F8" s="36">
        <f>'TopCo Net debt waterfall'!AU56</f>
        <v>-230</v>
      </c>
      <c r="G8" s="36">
        <f t="shared" ref="G8" si="4">SUM(C8:F8)</f>
        <v>-860</v>
      </c>
      <c r="H8" s="36">
        <f>'TopCo Net debt waterfall'!AW56</f>
        <v>-240</v>
      </c>
      <c r="I8" s="36">
        <f>'TopCo Net debt waterfall'!AX56</f>
        <v>-240</v>
      </c>
      <c r="J8" s="36">
        <f>'TopCo Net debt waterfall'!AY56</f>
        <v>-490</v>
      </c>
      <c r="K8" s="36">
        <f>'TopCo Net debt waterfall'!AZ56</f>
        <v>-490</v>
      </c>
      <c r="L8" s="36">
        <f t="shared" ref="L8" si="5">SUM(H8:K8)</f>
        <v>-1460</v>
      </c>
      <c r="M8" s="36">
        <f>'TopCo Net debt waterfall'!BB56</f>
        <v>-490</v>
      </c>
      <c r="N8" s="36">
        <f>'TopCo Net debt waterfall'!BC56</f>
        <v>-540</v>
      </c>
      <c r="O8" s="36">
        <f>'TopCo Net debt waterfall'!BD56</f>
        <v>-590</v>
      </c>
      <c r="P8" s="36">
        <f>'TopCo Net debt waterfall'!BE56</f>
        <v>-590</v>
      </c>
      <c r="Q8" s="36">
        <f t="shared" si="3"/>
        <v>-2210</v>
      </c>
      <c r="U8" s="1" t="s">
        <v>3559</v>
      </c>
      <c r="W8" s="36">
        <f>($K$18+$Q$18)</f>
        <v>5760</v>
      </c>
      <c r="X8" s="103">
        <f t="shared" si="0"/>
        <v>5.76</v>
      </c>
    </row>
    <row r="9" spans="1:32">
      <c r="A9" s="5" t="s">
        <v>3539</v>
      </c>
      <c r="C9" s="36">
        <f>'TopCo Net debt waterfall'!AR57</f>
        <v>0</v>
      </c>
      <c r="D9" s="36">
        <f>'TopCo Net debt waterfall'!AS57</f>
        <v>-1900</v>
      </c>
      <c r="E9" s="36">
        <f>'TopCo Net debt waterfall'!AT57</f>
        <v>0</v>
      </c>
      <c r="F9" s="36">
        <f>'TopCo Net debt waterfall'!AU57</f>
        <v>-1900</v>
      </c>
      <c r="G9" s="36">
        <f t="shared" si="1"/>
        <v>-3800</v>
      </c>
      <c r="H9" s="36">
        <f>'TopCo Net debt waterfall'!AW57</f>
        <v>0</v>
      </c>
      <c r="I9" s="36">
        <f>'TopCo Net debt waterfall'!AX57</f>
        <v>-1750</v>
      </c>
      <c r="J9" s="36">
        <f>'TopCo Net debt waterfall'!AY57</f>
        <v>0</v>
      </c>
      <c r="K9" s="36">
        <f>'TopCo Net debt waterfall'!AZ57</f>
        <v>0</v>
      </c>
      <c r="L9" s="36">
        <f t="shared" si="2"/>
        <v>-1750</v>
      </c>
      <c r="M9" s="36">
        <f>'TopCo Net debt waterfall'!BB57</f>
        <v>0</v>
      </c>
      <c r="N9" s="36">
        <f>'TopCo Net debt waterfall'!BC57</f>
        <v>0</v>
      </c>
      <c r="O9" s="36">
        <f>'TopCo Net debt waterfall'!BD57</f>
        <v>0</v>
      </c>
      <c r="P9" s="36">
        <f>'TopCo Net debt waterfall'!BE57</f>
        <v>0</v>
      </c>
      <c r="Q9" s="36">
        <f t="shared" si="3"/>
        <v>0</v>
      </c>
      <c r="U9" s="706" t="s">
        <v>3563</v>
      </c>
      <c r="V9" s="706"/>
      <c r="W9" s="695">
        <v>1000</v>
      </c>
      <c r="X9" s="1162">
        <f t="shared" si="0"/>
        <v>1</v>
      </c>
    </row>
    <row r="10" spans="1:32">
      <c r="A10" s="5" t="s">
        <v>2650</v>
      </c>
      <c r="C10" s="36">
        <f>'TopCo Net debt waterfall'!AR58</f>
        <v>4155</v>
      </c>
      <c r="D10" s="36">
        <f>'TopCo Net debt waterfall'!AS58</f>
        <v>900</v>
      </c>
      <c r="E10" s="36">
        <f>'TopCo Net debt waterfall'!AT58</f>
        <v>3205</v>
      </c>
      <c r="F10" s="36">
        <f>'TopCo Net debt waterfall'!AU58</f>
        <v>5465</v>
      </c>
      <c r="G10" s="36">
        <f t="shared" si="1"/>
        <v>13725</v>
      </c>
      <c r="H10" s="36">
        <f>'TopCo Net debt waterfall'!AW58</f>
        <v>4270</v>
      </c>
      <c r="I10" s="36">
        <f>'TopCo Net debt waterfall'!AX58</f>
        <v>11375</v>
      </c>
      <c r="J10" s="36">
        <f>'TopCo Net debt waterfall'!AY58</f>
        <v>6115</v>
      </c>
      <c r="K10" s="36">
        <f>'TopCo Net debt waterfall'!AZ58</f>
        <v>0</v>
      </c>
      <c r="L10" s="36">
        <f t="shared" si="2"/>
        <v>21760</v>
      </c>
      <c r="M10" s="36">
        <f>'TopCo Net debt waterfall'!BB58</f>
        <v>5500</v>
      </c>
      <c r="N10" s="36">
        <f>'TopCo Net debt waterfall'!BC58</f>
        <v>0</v>
      </c>
      <c r="O10" s="36">
        <f>'TopCo Net debt waterfall'!BD58</f>
        <v>0</v>
      </c>
      <c r="P10" s="36">
        <f>'TopCo Net debt waterfall'!BE58</f>
        <v>0</v>
      </c>
      <c r="Q10" s="36">
        <f t="shared" si="3"/>
        <v>5500</v>
      </c>
      <c r="U10" s="1" t="s">
        <v>3560</v>
      </c>
      <c r="W10" s="36">
        <f>SUM($K$19:$K$21)+SUM($Q$19:$Q$21)-W9</f>
        <v>11085</v>
      </c>
      <c r="X10" s="103">
        <f t="shared" si="0"/>
        <v>11.085000000000001</v>
      </c>
    </row>
    <row r="11" spans="1:32">
      <c r="A11" s="5" t="s">
        <v>3540</v>
      </c>
      <c r="C11" s="36">
        <f>'TopCo Net debt waterfall'!AR59</f>
        <v>0</v>
      </c>
      <c r="D11" s="36">
        <f>'TopCo Net debt waterfall'!AS59</f>
        <v>0</v>
      </c>
      <c r="E11" s="36">
        <f>'TopCo Net debt waterfall'!AT59</f>
        <v>0</v>
      </c>
      <c r="F11" s="36">
        <f>'TopCo Net debt waterfall'!AU59</f>
        <v>0</v>
      </c>
      <c r="G11" s="36">
        <f t="shared" ref="G11" si="6">SUM(C11:F11)</f>
        <v>0</v>
      </c>
      <c r="H11" s="36">
        <f>'TopCo Net debt waterfall'!AW59</f>
        <v>8500</v>
      </c>
      <c r="I11" s="36">
        <f>'TopCo Net debt waterfall'!AX59</f>
        <v>0</v>
      </c>
      <c r="J11" s="36">
        <f>'TopCo Net debt waterfall'!AY59</f>
        <v>6500</v>
      </c>
      <c r="K11" s="36">
        <f>'TopCo Net debt waterfall'!AZ59</f>
        <v>0</v>
      </c>
      <c r="L11" s="36">
        <f t="shared" ref="L11:L30" si="7">SUM(H11:K11)</f>
        <v>15000</v>
      </c>
      <c r="M11" s="36">
        <f>'TopCo Net debt waterfall'!BB59</f>
        <v>0</v>
      </c>
      <c r="N11" s="36">
        <f>'TopCo Net debt waterfall'!BC59</f>
        <v>0</v>
      </c>
      <c r="O11" s="36">
        <f>'TopCo Net debt waterfall'!BD59</f>
        <v>0</v>
      </c>
      <c r="P11" s="36">
        <f>'TopCo Net debt waterfall'!BE59</f>
        <v>0</v>
      </c>
      <c r="Q11" s="36">
        <f t="shared" si="3"/>
        <v>0</v>
      </c>
      <c r="U11" s="1" t="s">
        <v>3348</v>
      </c>
      <c r="W11" s="36">
        <f>$K$13+$Q$13</f>
        <v>5000</v>
      </c>
      <c r="X11" s="103">
        <f t="shared" si="0"/>
        <v>5</v>
      </c>
    </row>
    <row r="12" spans="1:32">
      <c r="A12" s="5" t="s">
        <v>3546</v>
      </c>
      <c r="C12" s="36">
        <f>'TopCo Net debt waterfall'!AR60</f>
        <v>0</v>
      </c>
      <c r="D12" s="36">
        <f>'TopCo Net debt waterfall'!AS60</f>
        <v>0</v>
      </c>
      <c r="E12" s="36">
        <f>'TopCo Net debt waterfall'!AT60</f>
        <v>0</v>
      </c>
      <c r="F12" s="36">
        <f>'TopCo Net debt waterfall'!AU60</f>
        <v>2200</v>
      </c>
      <c r="G12" s="36">
        <f>SUM(C12:F12)</f>
        <v>2200</v>
      </c>
      <c r="H12" s="36">
        <f>'TopCo Net debt waterfall'!AW60</f>
        <v>0</v>
      </c>
      <c r="I12" s="36">
        <f>'TopCo Net debt waterfall'!AX60</f>
        <v>0</v>
      </c>
      <c r="J12" s="36">
        <f>'TopCo Net debt waterfall'!AY60</f>
        <v>2300</v>
      </c>
      <c r="K12" s="36">
        <f>'TopCo Net debt waterfall'!AZ60</f>
        <v>0</v>
      </c>
      <c r="L12" s="36">
        <f>SUM(H12:K12)</f>
        <v>2300</v>
      </c>
      <c r="M12" s="36">
        <f>'TopCo Net debt waterfall'!BB60</f>
        <v>0</v>
      </c>
      <c r="N12" s="36">
        <f>'TopCo Net debt waterfall'!BC60</f>
        <v>0</v>
      </c>
      <c r="O12" s="36">
        <f>'TopCo Net debt waterfall'!BD60</f>
        <v>0</v>
      </c>
      <c r="P12" s="36">
        <f>'TopCo Net debt waterfall'!BE60</f>
        <v>0</v>
      </c>
      <c r="Q12" s="36">
        <f>SUM(M12:P12)</f>
        <v>0</v>
      </c>
      <c r="U12" s="1" t="s">
        <v>3562</v>
      </c>
      <c r="W12" s="36">
        <f>$K$14+$Q$14</f>
        <v>5250</v>
      </c>
      <c r="X12" s="103">
        <f t="shared" si="0"/>
        <v>5.25</v>
      </c>
    </row>
    <row r="13" spans="1:32">
      <c r="A13" s="5" t="s">
        <v>3547</v>
      </c>
      <c r="C13" s="36">
        <f>'TopCo Net debt waterfall'!AR61</f>
        <v>0</v>
      </c>
      <c r="D13" s="36">
        <f>'TopCo Net debt waterfall'!AS61</f>
        <v>0</v>
      </c>
      <c r="E13" s="36">
        <f>'TopCo Net debt waterfall'!AT61</f>
        <v>0</v>
      </c>
      <c r="F13" s="36">
        <f>'TopCo Net debt waterfall'!AU61</f>
        <v>0</v>
      </c>
      <c r="G13" s="36">
        <f t="shared" ref="G13" si="8">SUM(C13:F13)</f>
        <v>0</v>
      </c>
      <c r="H13" s="36">
        <f>'TopCo Net debt waterfall'!AW61</f>
        <v>0</v>
      </c>
      <c r="I13" s="36">
        <f>'TopCo Net debt waterfall'!AX61</f>
        <v>0</v>
      </c>
      <c r="J13" s="36">
        <f>'TopCo Net debt waterfall'!AY61</f>
        <v>11250</v>
      </c>
      <c r="K13" s="36">
        <f>'TopCo Net debt waterfall'!AZ61</f>
        <v>0</v>
      </c>
      <c r="L13" s="36">
        <f t="shared" ref="L13" si="9">SUM(H13:K13)</f>
        <v>11250</v>
      </c>
      <c r="M13" s="36">
        <f>'TopCo Net debt waterfall'!BB61</f>
        <v>0</v>
      </c>
      <c r="N13" s="36">
        <f>'TopCo Net debt waterfall'!BC61</f>
        <v>2500</v>
      </c>
      <c r="O13" s="36">
        <f>'TopCo Net debt waterfall'!BD61</f>
        <v>2500</v>
      </c>
      <c r="P13" s="36">
        <f>'TopCo Net debt waterfall'!BE61</f>
        <v>0</v>
      </c>
      <c r="Q13" s="36">
        <f t="shared" ref="Q13" si="10">SUM(M13:P13)</f>
        <v>5000</v>
      </c>
      <c r="U13" s="1" t="s">
        <v>3565</v>
      </c>
      <c r="W13" s="36">
        <f>$M$10</f>
        <v>5500</v>
      </c>
      <c r="X13" s="103">
        <f t="shared" si="0"/>
        <v>5.5</v>
      </c>
    </row>
    <row r="14" spans="1:32">
      <c r="A14" s="5" t="s">
        <v>3541</v>
      </c>
      <c r="C14" s="36">
        <f>'TopCo Net debt waterfall'!AR62</f>
        <v>0</v>
      </c>
      <c r="D14" s="36">
        <f>'TopCo Net debt waterfall'!AS62</f>
        <v>0</v>
      </c>
      <c r="E14" s="36">
        <f>'TopCo Net debt waterfall'!AT62</f>
        <v>0</v>
      </c>
      <c r="F14" s="36">
        <f>'TopCo Net debt waterfall'!AU62</f>
        <v>0</v>
      </c>
      <c r="G14" s="36">
        <f t="shared" si="1"/>
        <v>0</v>
      </c>
      <c r="H14" s="36">
        <f>'TopCo Net debt waterfall'!AW62</f>
        <v>0</v>
      </c>
      <c r="I14" s="36">
        <f>'TopCo Net debt waterfall'!AX62</f>
        <v>1150</v>
      </c>
      <c r="J14" s="36">
        <f>'TopCo Net debt waterfall'!AY62</f>
        <v>985</v>
      </c>
      <c r="K14" s="36">
        <f>'TopCo Net debt waterfall'!AZ62</f>
        <v>0</v>
      </c>
      <c r="L14" s="36">
        <f t="shared" ref="L14" si="11">SUM(H14:K14)</f>
        <v>2135</v>
      </c>
      <c r="M14" s="36">
        <f>'TopCo Net debt waterfall'!BB62</f>
        <v>1500</v>
      </c>
      <c r="N14" s="36">
        <f>'TopCo Net debt waterfall'!BC62</f>
        <v>1250</v>
      </c>
      <c r="O14" s="36">
        <f>'TopCo Net debt waterfall'!BD62</f>
        <v>1000</v>
      </c>
      <c r="P14" s="36">
        <f>'TopCo Net debt waterfall'!BE62</f>
        <v>1500</v>
      </c>
      <c r="Q14" s="36">
        <f t="shared" ref="Q14" si="12">SUM(M14:P14)</f>
        <v>5250</v>
      </c>
      <c r="U14" s="1" t="s">
        <v>3566</v>
      </c>
      <c r="W14" s="36">
        <f>$K$29+$Q$29+$K$15+$Q$15</f>
        <v>19765</v>
      </c>
      <c r="X14" s="103">
        <f t="shared" si="0"/>
        <v>19.765000000000001</v>
      </c>
    </row>
    <row r="15" spans="1:32">
      <c r="A15" s="5" t="s">
        <v>2651</v>
      </c>
      <c r="C15" s="36">
        <f>'TopCo Net debt waterfall'!AR63</f>
        <v>-2875</v>
      </c>
      <c r="D15" s="36">
        <f>'TopCo Net debt waterfall'!AS63</f>
        <v>-765</v>
      </c>
      <c r="E15" s="36">
        <f>'TopCo Net debt waterfall'!AT63</f>
        <v>-555</v>
      </c>
      <c r="F15" s="36">
        <f>'TopCo Net debt waterfall'!AU63</f>
        <v>-425</v>
      </c>
      <c r="G15" s="36">
        <f t="shared" si="1"/>
        <v>-4620</v>
      </c>
      <c r="H15" s="36">
        <f>'TopCo Net debt waterfall'!AW63</f>
        <v>-3940</v>
      </c>
      <c r="I15" s="36">
        <f>'TopCo Net debt waterfall'!AX63</f>
        <v>-7460</v>
      </c>
      <c r="J15" s="36">
        <f>'TopCo Net debt waterfall'!AY63</f>
        <v>-5800</v>
      </c>
      <c r="K15" s="36">
        <f>'TopCo Net debt waterfall'!AZ63</f>
        <v>-1140</v>
      </c>
      <c r="L15" s="36">
        <f t="shared" si="7"/>
        <v>-18340</v>
      </c>
      <c r="M15" s="36">
        <f>'TopCo Net debt waterfall'!BB63</f>
        <v>-195</v>
      </c>
      <c r="N15" s="36">
        <f>'TopCo Net debt waterfall'!BC63</f>
        <v>-3880</v>
      </c>
      <c r="O15" s="36">
        <f>'TopCo Net debt waterfall'!BD63</f>
        <v>0</v>
      </c>
      <c r="P15" s="36">
        <f>'TopCo Net debt waterfall'!BE63</f>
        <v>-520</v>
      </c>
      <c r="Q15" s="36">
        <f t="shared" ref="Q15" si="13">SUM(M15:P15)</f>
        <v>-4595</v>
      </c>
      <c r="U15" s="1" t="s">
        <v>2726</v>
      </c>
      <c r="W15" s="36">
        <f>$K$23+$Q$23</f>
        <v>-30000</v>
      </c>
      <c r="X15" s="103">
        <f t="shared" si="0"/>
        <v>-30</v>
      </c>
    </row>
    <row r="16" spans="1:32">
      <c r="A16" s="5" t="s">
        <v>3542</v>
      </c>
      <c r="C16" s="36">
        <f>'TopCo Net debt waterfall'!AR64</f>
        <v>0</v>
      </c>
      <c r="D16" s="36">
        <f>'TopCo Net debt waterfall'!AS64</f>
        <v>0</v>
      </c>
      <c r="E16" s="36">
        <f>'TopCo Net debt waterfall'!AT64</f>
        <v>0</v>
      </c>
      <c r="F16" s="36">
        <f>'TopCo Net debt waterfall'!AU64</f>
        <v>0</v>
      </c>
      <c r="G16" s="36">
        <f t="shared" si="1"/>
        <v>0</v>
      </c>
      <c r="H16" s="36">
        <f>'TopCo Net debt waterfall'!AW64</f>
        <v>0</v>
      </c>
      <c r="I16" s="36">
        <f>'TopCo Net debt waterfall'!AX64</f>
        <v>-1000</v>
      </c>
      <c r="J16" s="36">
        <f>'TopCo Net debt waterfall'!AY64</f>
        <v>-2000</v>
      </c>
      <c r="K16" s="36">
        <f>'TopCo Net debt waterfall'!AZ64</f>
        <v>-5500</v>
      </c>
      <c r="L16" s="36">
        <f t="shared" ref="L16" si="14">SUM(H16:K16)</f>
        <v>-8500</v>
      </c>
      <c r="M16" s="36">
        <f>'TopCo Net debt waterfall'!BB64</f>
        <v>-6500</v>
      </c>
      <c r="N16" s="36">
        <f>'TopCo Net debt waterfall'!BC64</f>
        <v>0</v>
      </c>
      <c r="O16" s="36">
        <f>'TopCo Net debt waterfall'!BD64</f>
        <v>0</v>
      </c>
      <c r="P16" s="36">
        <f>'TopCo Net debt waterfall'!BE64</f>
        <v>0</v>
      </c>
      <c r="Q16" s="36">
        <f t="shared" ref="Q16" si="15">SUM(M16:P16)</f>
        <v>-6500</v>
      </c>
      <c r="U16" s="1" t="s">
        <v>2750</v>
      </c>
      <c r="W16" s="36">
        <f>$K$25+$Q$25</f>
        <v>-3000</v>
      </c>
      <c r="X16" s="103">
        <f t="shared" si="0"/>
        <v>-3</v>
      </c>
    </row>
    <row r="17" spans="1:25">
      <c r="A17" s="5" t="s">
        <v>3543</v>
      </c>
      <c r="C17" s="36">
        <f>'TopCo Net debt waterfall'!AR68</f>
        <v>765</v>
      </c>
      <c r="D17" s="36">
        <f>'TopCo Net debt waterfall'!AS68</f>
        <v>55</v>
      </c>
      <c r="E17" s="36">
        <f>'TopCo Net debt waterfall'!AT68</f>
        <v>615</v>
      </c>
      <c r="F17" s="36">
        <f>'TopCo Net debt waterfall'!AU68</f>
        <v>75</v>
      </c>
      <c r="G17" s="36">
        <f t="shared" si="1"/>
        <v>1510</v>
      </c>
      <c r="H17" s="36">
        <f>'TopCo Net debt waterfall'!AW68</f>
        <v>790</v>
      </c>
      <c r="I17" s="36">
        <f>'TopCo Net debt waterfall'!AX68</f>
        <v>40</v>
      </c>
      <c r="J17" s="36">
        <f>'TopCo Net debt waterfall'!AY68</f>
        <v>560</v>
      </c>
      <c r="K17" s="36">
        <f>'TopCo Net debt waterfall'!AZ68</f>
        <v>15</v>
      </c>
      <c r="L17" s="36">
        <f t="shared" si="7"/>
        <v>1405</v>
      </c>
      <c r="M17" s="36">
        <f>'TopCo Net debt waterfall'!BB68</f>
        <v>530</v>
      </c>
      <c r="N17" s="36">
        <f>'TopCo Net debt waterfall'!BC68</f>
        <v>0</v>
      </c>
      <c r="O17" s="36">
        <f>'TopCo Net debt waterfall'!BD68</f>
        <v>530</v>
      </c>
      <c r="P17" s="36">
        <f>'TopCo Net debt waterfall'!BE68</f>
        <v>0</v>
      </c>
      <c r="Q17" s="36">
        <f t="shared" ref="Q17:Q18" si="16">SUM(M17:P17)</f>
        <v>1060</v>
      </c>
      <c r="U17" s="1" t="s">
        <v>3168</v>
      </c>
      <c r="W17" s="36">
        <f>$N$24</f>
        <v>-5375</v>
      </c>
      <c r="X17" s="103">
        <f t="shared" ref="X17:X19" si="17">W17/1000</f>
        <v>-5.375</v>
      </c>
    </row>
    <row r="18" spans="1:25">
      <c r="A18" s="5" t="s">
        <v>3544</v>
      </c>
      <c r="C18" s="36">
        <f>'TopCo Net debt waterfall'!AR69</f>
        <v>-2830.2977000000001</v>
      </c>
      <c r="D18" s="36">
        <f>'TopCo Net debt waterfall'!AS69</f>
        <v>0</v>
      </c>
      <c r="E18" s="36">
        <f>'TopCo Net debt waterfall'!AT69</f>
        <v>0</v>
      </c>
      <c r="F18" s="36">
        <f>'TopCo Net debt waterfall'!AU69</f>
        <v>550</v>
      </c>
      <c r="G18" s="36">
        <f t="shared" si="1"/>
        <v>-2280.2977000000001</v>
      </c>
      <c r="H18" s="36">
        <f>'TopCo Net debt waterfall'!AW69</f>
        <v>4800</v>
      </c>
      <c r="I18" s="36">
        <f>'TopCo Net debt waterfall'!AX69</f>
        <v>6800</v>
      </c>
      <c r="J18" s="36">
        <f>'TopCo Net debt waterfall'!AY69</f>
        <v>3860</v>
      </c>
      <c r="K18" s="36">
        <f>'TopCo Net debt waterfall'!AZ69</f>
        <v>2300</v>
      </c>
      <c r="L18" s="36">
        <f t="shared" si="7"/>
        <v>17760</v>
      </c>
      <c r="M18" s="36">
        <f>'TopCo Net debt waterfall'!BB69</f>
        <v>3460</v>
      </c>
      <c r="N18" s="36">
        <f>'TopCo Net debt waterfall'!BC69</f>
        <v>0</v>
      </c>
      <c r="O18" s="36">
        <f>'TopCo Net debt waterfall'!BD69</f>
        <v>0</v>
      </c>
      <c r="P18" s="36">
        <f>'TopCo Net debt waterfall'!BE69</f>
        <v>0</v>
      </c>
      <c r="Q18" s="36">
        <f t="shared" si="16"/>
        <v>3460</v>
      </c>
      <c r="U18" s="1" t="s">
        <v>3567</v>
      </c>
      <c r="W18" s="36">
        <f>$O$24</f>
        <v>-2925</v>
      </c>
      <c r="X18" s="103">
        <f t="shared" si="17"/>
        <v>-2.9249999999999998</v>
      </c>
    </row>
    <row r="19" spans="1:25">
      <c r="A19" s="5" t="s">
        <v>3548</v>
      </c>
      <c r="C19" s="36">
        <f>'TopCo Net debt waterfall'!AR70</f>
        <v>900</v>
      </c>
      <c r="D19" s="36">
        <f>'TopCo Net debt waterfall'!AS70</f>
        <v>900</v>
      </c>
      <c r="E19" s="36">
        <f>'TopCo Net debt waterfall'!AT70</f>
        <v>800</v>
      </c>
      <c r="F19" s="36">
        <f>'TopCo Net debt waterfall'!AU70</f>
        <v>700</v>
      </c>
      <c r="G19" s="36">
        <f>SUM(C19:F19)</f>
        <v>3300</v>
      </c>
      <c r="H19" s="36">
        <f>'TopCo Net debt waterfall'!AW70</f>
        <v>1300</v>
      </c>
      <c r="I19" s="36">
        <f>'TopCo Net debt waterfall'!AX70</f>
        <v>1200</v>
      </c>
      <c r="J19" s="36">
        <f>'TopCo Net debt waterfall'!AY70</f>
        <v>425</v>
      </c>
      <c r="K19" s="36">
        <f>'TopCo Net debt waterfall'!AZ70</f>
        <v>1000</v>
      </c>
      <c r="L19" s="36">
        <f>SUM(H19:K19)</f>
        <v>3925</v>
      </c>
      <c r="M19" s="36">
        <f>'TopCo Net debt waterfall'!BB70</f>
        <v>1760</v>
      </c>
      <c r="N19" s="36">
        <f>'TopCo Net debt waterfall'!BC70</f>
        <v>1740</v>
      </c>
      <c r="O19" s="36">
        <f>'TopCo Net debt waterfall'!BD70</f>
        <v>1725</v>
      </c>
      <c r="P19" s="36">
        <f>'TopCo Net debt waterfall'!BE70</f>
        <v>1700</v>
      </c>
      <c r="Q19" s="36">
        <f>SUM(M19:P19)</f>
        <v>6925</v>
      </c>
      <c r="U19" s="1" t="s">
        <v>3564</v>
      </c>
      <c r="W19" s="36">
        <f>$K$24+$Q$24-W18-W17</f>
        <v>-1005</v>
      </c>
      <c r="X19" s="103">
        <f t="shared" si="17"/>
        <v>-1.0049999999999999</v>
      </c>
    </row>
    <row r="20" spans="1:25">
      <c r="A20" s="5" t="s">
        <v>3549</v>
      </c>
      <c r="C20" s="36">
        <f>'TopCo Net debt waterfall'!AR71</f>
        <v>100</v>
      </c>
      <c r="D20" s="36">
        <f>'TopCo Net debt waterfall'!AS71</f>
        <v>100</v>
      </c>
      <c r="E20" s="36">
        <f>'TopCo Net debt waterfall'!AT71</f>
        <v>500</v>
      </c>
      <c r="F20" s="36">
        <f>'TopCo Net debt waterfall'!AU71</f>
        <v>1700</v>
      </c>
      <c r="G20" s="36">
        <f t="shared" ref="G20:G21" si="18">SUM(C20:F20)</f>
        <v>2400</v>
      </c>
      <c r="H20" s="36">
        <f>'TopCo Net debt waterfall'!AW71</f>
        <v>2200</v>
      </c>
      <c r="I20" s="36">
        <f>'TopCo Net debt waterfall'!AX71</f>
        <v>200</v>
      </c>
      <c r="J20" s="36">
        <f>'TopCo Net debt waterfall'!AY71</f>
        <v>0</v>
      </c>
      <c r="K20" s="36">
        <f>'TopCo Net debt waterfall'!AZ71</f>
        <v>480</v>
      </c>
      <c r="L20" s="36">
        <f t="shared" ref="L20:L21" si="19">SUM(H20:K20)</f>
        <v>2880</v>
      </c>
      <c r="M20" s="36">
        <f>'TopCo Net debt waterfall'!BB71</f>
        <v>760</v>
      </c>
      <c r="N20" s="36">
        <f>'TopCo Net debt waterfall'!BC71</f>
        <v>865</v>
      </c>
      <c r="O20" s="36">
        <f>'TopCo Net debt waterfall'!BD71</f>
        <v>975</v>
      </c>
      <c r="P20" s="36">
        <f>'TopCo Net debt waterfall'!BE71</f>
        <v>1010</v>
      </c>
      <c r="Q20" s="36">
        <f t="shared" ref="Q20:Q21" si="20">SUM(M20:P20)</f>
        <v>3610</v>
      </c>
      <c r="U20" s="1" t="s">
        <v>192</v>
      </c>
      <c r="W20" s="36">
        <f>W21-SUM(W6:W19)</f>
        <v>-5465.0000000000036</v>
      </c>
      <c r="X20" s="103">
        <f>X21-SUM(X6:X19)</f>
        <v>-5.4650000000000034</v>
      </c>
    </row>
    <row r="21" spans="1:25">
      <c r="A21" s="5" t="s">
        <v>3550</v>
      </c>
      <c r="C21" s="36">
        <f>'TopCo Net debt waterfall'!AR72</f>
        <v>0</v>
      </c>
      <c r="D21" s="36">
        <f>'TopCo Net debt waterfall'!AS72</f>
        <v>0</v>
      </c>
      <c r="E21" s="36">
        <f>'TopCo Net debt waterfall'!AT72</f>
        <v>0</v>
      </c>
      <c r="F21" s="36">
        <f>'TopCo Net debt waterfall'!AU72</f>
        <v>0</v>
      </c>
      <c r="G21" s="36">
        <f t="shared" si="18"/>
        <v>0</v>
      </c>
      <c r="H21" s="36">
        <f>'TopCo Net debt waterfall'!AW72</f>
        <v>0</v>
      </c>
      <c r="I21" s="36">
        <f>'TopCo Net debt waterfall'!AX72</f>
        <v>0</v>
      </c>
      <c r="J21" s="36">
        <f>'TopCo Net debt waterfall'!AY72</f>
        <v>70</v>
      </c>
      <c r="K21" s="36">
        <f>'TopCo Net debt waterfall'!AZ72</f>
        <v>70</v>
      </c>
      <c r="L21" s="36">
        <f t="shared" si="19"/>
        <v>140</v>
      </c>
      <c r="M21" s="36">
        <f>'TopCo Net debt waterfall'!BB72</f>
        <v>0</v>
      </c>
      <c r="N21" s="36">
        <f>'TopCo Net debt waterfall'!BC72</f>
        <v>0</v>
      </c>
      <c r="O21" s="36">
        <f>'TopCo Net debt waterfall'!BD72</f>
        <v>0</v>
      </c>
      <c r="P21" s="36">
        <f>'TopCo Net debt waterfall'!BE72</f>
        <v>0</v>
      </c>
      <c r="Q21" s="36">
        <f t="shared" si="20"/>
        <v>0</v>
      </c>
      <c r="U21" s="1" t="s">
        <v>3568</v>
      </c>
      <c r="W21" s="36">
        <f>$Q$31</f>
        <v>11574.999999999996</v>
      </c>
      <c r="X21" s="103">
        <f>W21/1000</f>
        <v>11.574999999999996</v>
      </c>
    </row>
    <row r="22" spans="1:25">
      <c r="A22" s="5" t="s">
        <v>2652</v>
      </c>
      <c r="C22" s="36">
        <f>'TopCo Net debt waterfall'!AR74</f>
        <v>-205</v>
      </c>
      <c r="D22" s="36">
        <f>'TopCo Net debt waterfall'!AS74</f>
        <v>0</v>
      </c>
      <c r="E22" s="36">
        <f>'TopCo Net debt waterfall'!AT74</f>
        <v>-210</v>
      </c>
      <c r="F22" s="36">
        <f>'TopCo Net debt waterfall'!AU74</f>
        <v>0</v>
      </c>
      <c r="G22" s="36">
        <f t="shared" si="1"/>
        <v>-415</v>
      </c>
      <c r="H22" s="36">
        <f>'TopCo Net debt waterfall'!AW74</f>
        <v>-220</v>
      </c>
      <c r="I22" s="36">
        <f>'TopCo Net debt waterfall'!AX74</f>
        <v>0</v>
      </c>
      <c r="J22" s="36">
        <f>'TopCo Net debt waterfall'!AY74</f>
        <v>-205</v>
      </c>
      <c r="K22" s="36">
        <f>'TopCo Net debt waterfall'!AZ74</f>
        <v>0</v>
      </c>
      <c r="L22" s="36">
        <f t="shared" si="7"/>
        <v>-425</v>
      </c>
      <c r="M22" s="36">
        <f>'TopCo Net debt waterfall'!BB74</f>
        <v>-205</v>
      </c>
      <c r="N22" s="36">
        <f>'TopCo Net debt waterfall'!BC74</f>
        <v>0</v>
      </c>
      <c r="O22" s="36">
        <f>'TopCo Net debt waterfall'!BD74</f>
        <v>-205</v>
      </c>
      <c r="P22" s="36">
        <f>'TopCo Net debt waterfall'!BE74</f>
        <v>0</v>
      </c>
      <c r="Q22" s="36">
        <f t="shared" ref="Q22:Q23" si="21">SUM(M22:P22)</f>
        <v>-410</v>
      </c>
    </row>
    <row r="23" spans="1:25">
      <c r="A23" s="5" t="s">
        <v>3534</v>
      </c>
      <c r="C23" s="36">
        <f>'TopCo Net debt waterfall'!AR75</f>
        <v>0</v>
      </c>
      <c r="D23" s="36">
        <f>'TopCo Net debt waterfall'!AS75</f>
        <v>0</v>
      </c>
      <c r="E23" s="36">
        <f>'TopCo Net debt waterfall'!AT75</f>
        <v>-500</v>
      </c>
      <c r="F23" s="36">
        <f>'TopCo Net debt waterfall'!AU75</f>
        <v>-1700</v>
      </c>
      <c r="G23" s="36">
        <f t="shared" si="1"/>
        <v>-2200</v>
      </c>
      <c r="H23" s="36">
        <f>'TopCo Net debt waterfall'!AW75</f>
        <v>-7500</v>
      </c>
      <c r="I23" s="36">
        <f>'TopCo Net debt waterfall'!AX75</f>
        <v>-1100</v>
      </c>
      <c r="J23" s="36">
        <f>'TopCo Net debt waterfall'!AY75</f>
        <v>-23950</v>
      </c>
      <c r="K23" s="36">
        <f>'TopCo Net debt waterfall'!AZ75</f>
        <v>0</v>
      </c>
      <c r="L23" s="36">
        <f t="shared" si="7"/>
        <v>-32550</v>
      </c>
      <c r="M23" s="36">
        <f>'TopCo Net debt waterfall'!BB75</f>
        <v>-10000</v>
      </c>
      <c r="N23" s="36">
        <f>'TopCo Net debt waterfall'!BC75</f>
        <v>-10000</v>
      </c>
      <c r="O23" s="36">
        <f>'TopCo Net debt waterfall'!BD75</f>
        <v>-10000</v>
      </c>
      <c r="P23" s="36">
        <f>'TopCo Net debt waterfall'!BE75</f>
        <v>0</v>
      </c>
      <c r="Q23" s="36">
        <f t="shared" si="21"/>
        <v>-30000</v>
      </c>
      <c r="U23" s="1" t="s">
        <v>3569</v>
      </c>
      <c r="W23" s="36">
        <f>SUM(W8:W10)</f>
        <v>17845</v>
      </c>
      <c r="X23" s="103">
        <f>W23/1000</f>
        <v>17.844999999999999</v>
      </c>
      <c r="Y23" s="21">
        <f>X23/SUM($X$23:$X$25)</f>
        <v>0.33442653673163414</v>
      </c>
    </row>
    <row r="24" spans="1:25">
      <c r="A24" s="5" t="s">
        <v>3535</v>
      </c>
      <c r="C24" s="36">
        <f>'TopCo Net debt waterfall'!AR76</f>
        <v>-1095</v>
      </c>
      <c r="D24" s="36">
        <f>'TopCo Net debt waterfall'!AS76</f>
        <v>-745</v>
      </c>
      <c r="E24" s="36">
        <f>'TopCo Net debt waterfall'!AT76</f>
        <v>0</v>
      </c>
      <c r="F24" s="36">
        <f>'TopCo Net debt waterfall'!AU76</f>
        <v>-3000</v>
      </c>
      <c r="G24" s="36">
        <f t="shared" ref="G24" si="22">SUM(C24:F24)</f>
        <v>-4840</v>
      </c>
      <c r="H24" s="36">
        <f>'TopCo Net debt waterfall'!AW76</f>
        <v>0</v>
      </c>
      <c r="I24" s="36">
        <f>'TopCo Net debt waterfall'!AX76</f>
        <v>-1525</v>
      </c>
      <c r="J24" s="36">
        <f>'TopCo Net debt waterfall'!AY76</f>
        <v>5800</v>
      </c>
      <c r="K24" s="36">
        <f>'TopCo Net debt waterfall'!AZ76</f>
        <v>-1005</v>
      </c>
      <c r="L24" s="36">
        <f t="shared" ref="L24" si="23">SUM(H24:K24)</f>
        <v>3270</v>
      </c>
      <c r="M24" s="36">
        <f>'TopCo Net debt waterfall'!BB76</f>
        <v>0</v>
      </c>
      <c r="N24" s="36">
        <f>'TopCo Net debt waterfall'!BC76</f>
        <v>-5375</v>
      </c>
      <c r="O24" s="36">
        <f>'TopCo Net debt waterfall'!BD76</f>
        <v>-2925</v>
      </c>
      <c r="P24" s="36">
        <f>'TopCo Net debt waterfall'!BE76</f>
        <v>0</v>
      </c>
      <c r="Q24" s="36">
        <f t="shared" ref="Q24" si="24">SUM(M24:P24)</f>
        <v>-8300</v>
      </c>
      <c r="U24" s="1" t="s">
        <v>2795</v>
      </c>
      <c r="W24" s="36">
        <f>SUM(W11:W12)</f>
        <v>10250</v>
      </c>
      <c r="X24" s="103">
        <f>W24/1000</f>
        <v>10.25</v>
      </c>
      <c r="Y24" s="21">
        <f>X24/SUM($X$23:$X$25)</f>
        <v>0.19209145427286356</v>
      </c>
    </row>
    <row r="25" spans="1:25">
      <c r="A25" s="5" t="s">
        <v>2809</v>
      </c>
      <c r="C25" s="36">
        <f>'TopCo Net debt waterfall'!AR77</f>
        <v>0</v>
      </c>
      <c r="D25" s="36">
        <f>'TopCo Net debt waterfall'!AS77</f>
        <v>0</v>
      </c>
      <c r="E25" s="36">
        <f>'TopCo Net debt waterfall'!AT77</f>
        <v>0</v>
      </c>
      <c r="F25" s="36">
        <f>'TopCo Net debt waterfall'!AU77</f>
        <v>0</v>
      </c>
      <c r="G25" s="36">
        <f t="shared" ref="G25:G26" si="25">SUM(C25:F25)</f>
        <v>0</v>
      </c>
      <c r="H25" s="36">
        <f>'TopCo Net debt waterfall'!AW77</f>
        <v>-500</v>
      </c>
      <c r="I25" s="36">
        <f>'TopCo Net debt waterfall'!AX77</f>
        <v>-500</v>
      </c>
      <c r="J25" s="36">
        <f>'TopCo Net debt waterfall'!AY77</f>
        <v>-750</v>
      </c>
      <c r="K25" s="36">
        <f>'TopCo Net debt waterfall'!AZ77</f>
        <v>-1000</v>
      </c>
      <c r="L25" s="36">
        <f t="shared" si="7"/>
        <v>-2750</v>
      </c>
      <c r="M25" s="36">
        <f>'TopCo Net debt waterfall'!BB77</f>
        <v>-500</v>
      </c>
      <c r="N25" s="36">
        <f>'TopCo Net debt waterfall'!BC77</f>
        <v>-500</v>
      </c>
      <c r="O25" s="36">
        <f>'TopCo Net debt waterfall'!BD77</f>
        <v>-500</v>
      </c>
      <c r="P25" s="36">
        <f>'TopCo Net debt waterfall'!BE77</f>
        <v>-500</v>
      </c>
      <c r="Q25" s="36">
        <f t="shared" ref="Q25:Q28" si="26">SUM(M25:P25)</f>
        <v>-2000</v>
      </c>
      <c r="U25" s="1" t="s">
        <v>3570</v>
      </c>
      <c r="W25" s="36">
        <f>SUM(W13:W14)</f>
        <v>25265</v>
      </c>
      <c r="X25" s="103">
        <f>W25/1000</f>
        <v>25.265000000000001</v>
      </c>
      <c r="Y25" s="21">
        <f>X25/SUM($X$23:$X$25)</f>
        <v>0.47348200899550225</v>
      </c>
    </row>
    <row r="26" spans="1:25">
      <c r="A26" s="5" t="s">
        <v>3545</v>
      </c>
      <c r="C26" s="36">
        <f>'TopCo Net debt waterfall'!AR78</f>
        <v>0</v>
      </c>
      <c r="D26" s="36">
        <f>'TopCo Net debt waterfall'!AS78</f>
        <v>0</v>
      </c>
      <c r="E26" s="36">
        <f>'TopCo Net debt waterfall'!AT78</f>
        <v>0</v>
      </c>
      <c r="F26" s="36">
        <f>'TopCo Net debt waterfall'!AU78</f>
        <v>0</v>
      </c>
      <c r="G26" s="36">
        <f t="shared" si="25"/>
        <v>0</v>
      </c>
      <c r="H26" s="36">
        <f>'TopCo Net debt waterfall'!AW78</f>
        <v>0</v>
      </c>
      <c r="I26" s="36">
        <f>'TopCo Net debt waterfall'!AX78</f>
        <v>0</v>
      </c>
      <c r="J26" s="36">
        <f>'TopCo Net debt waterfall'!AY78</f>
        <v>-6500</v>
      </c>
      <c r="K26" s="36">
        <f>'TopCo Net debt waterfall'!AZ78</f>
        <v>0</v>
      </c>
      <c r="L26" s="36">
        <f t="shared" si="7"/>
        <v>-6500</v>
      </c>
      <c r="M26" s="36">
        <f>'TopCo Net debt waterfall'!BB78</f>
        <v>0</v>
      </c>
      <c r="N26" s="36">
        <f>'TopCo Net debt waterfall'!BC78</f>
        <v>0</v>
      </c>
      <c r="O26" s="36">
        <f>'TopCo Net debt waterfall'!BD78</f>
        <v>0</v>
      </c>
      <c r="P26" s="36">
        <f>'TopCo Net debt waterfall'!BE78</f>
        <v>0</v>
      </c>
      <c r="Q26" s="36">
        <f t="shared" si="26"/>
        <v>0</v>
      </c>
    </row>
    <row r="27" spans="1:25" s="706" customFormat="1">
      <c r="A27" s="709" t="s">
        <v>2699</v>
      </c>
      <c r="C27" s="695">
        <f>'TopCo Net debt waterfall'!AR79</f>
        <v>0</v>
      </c>
      <c r="D27" s="695">
        <f>'TopCo Net debt waterfall'!AS79</f>
        <v>-1025</v>
      </c>
      <c r="E27" s="695">
        <f>'TopCo Net debt waterfall'!AT79</f>
        <v>-350</v>
      </c>
      <c r="F27" s="695">
        <f>'TopCo Net debt waterfall'!AU79</f>
        <v>-195</v>
      </c>
      <c r="G27" s="695">
        <f t="shared" si="1"/>
        <v>-1570</v>
      </c>
      <c r="H27" s="695">
        <f>'TopCo Net debt waterfall'!AW79</f>
        <v>-640</v>
      </c>
      <c r="I27" s="695">
        <f>'TopCo Net debt waterfall'!AX79</f>
        <v>0</v>
      </c>
      <c r="J27" s="695">
        <f>'TopCo Net debt waterfall'!AY79</f>
        <v>0</v>
      </c>
      <c r="K27" s="695">
        <f>'TopCo Net debt waterfall'!AZ79</f>
        <v>0</v>
      </c>
      <c r="L27" s="695">
        <f t="shared" si="7"/>
        <v>-640</v>
      </c>
      <c r="M27" s="695">
        <f>'TopCo Net debt waterfall'!BB79</f>
        <v>0</v>
      </c>
      <c r="N27" s="695">
        <f>'TopCo Net debt waterfall'!BC79</f>
        <v>0</v>
      </c>
      <c r="O27" s="695">
        <f>'TopCo Net debt waterfall'!BD79</f>
        <v>0</v>
      </c>
      <c r="P27" s="695">
        <f>'TopCo Net debt waterfall'!BE79</f>
        <v>0</v>
      </c>
      <c r="Q27" s="695">
        <f t="shared" si="26"/>
        <v>0</v>
      </c>
      <c r="S27" s="710"/>
    </row>
    <row r="28" spans="1:25">
      <c r="A28" s="5" t="s">
        <v>2653</v>
      </c>
      <c r="C28" s="36">
        <f>'TopCo Net debt waterfall'!AR80</f>
        <v>-510</v>
      </c>
      <c r="D28" s="36">
        <f>'TopCo Net debt waterfall'!AS80</f>
        <v>690</v>
      </c>
      <c r="E28" s="36">
        <f>'TopCo Net debt waterfall'!AT80</f>
        <v>-665</v>
      </c>
      <c r="F28" s="36">
        <f>'TopCo Net debt waterfall'!AU80</f>
        <v>305</v>
      </c>
      <c r="G28" s="36">
        <f t="shared" si="1"/>
        <v>-180</v>
      </c>
      <c r="H28" s="36">
        <f>'TopCo Net debt waterfall'!AW80</f>
        <v>85</v>
      </c>
      <c r="I28" s="36">
        <f>'TopCo Net debt waterfall'!AX80</f>
        <v>-85</v>
      </c>
      <c r="J28" s="36">
        <f>'TopCo Net debt waterfall'!AY80</f>
        <v>-175</v>
      </c>
      <c r="K28" s="36">
        <f>'TopCo Net debt waterfall'!AZ80</f>
        <v>25</v>
      </c>
      <c r="L28" s="36">
        <f t="shared" si="7"/>
        <v>-150</v>
      </c>
      <c r="M28" s="36">
        <f>'TopCo Net debt waterfall'!BB80</f>
        <v>5</v>
      </c>
      <c r="N28" s="36">
        <f>'TopCo Net debt waterfall'!BC80</f>
        <v>5</v>
      </c>
      <c r="O28" s="36">
        <f>'TopCo Net debt waterfall'!BD80</f>
        <v>5</v>
      </c>
      <c r="P28" s="36">
        <f>'TopCo Net debt waterfall'!BE80</f>
        <v>5</v>
      </c>
      <c r="Q28" s="36">
        <f t="shared" si="26"/>
        <v>20</v>
      </c>
    </row>
    <row r="29" spans="1:25">
      <c r="A29" s="727" t="s">
        <v>3537</v>
      </c>
      <c r="C29" s="695"/>
      <c r="D29" s="695"/>
      <c r="E29" s="695"/>
      <c r="F29" s="695"/>
      <c r="G29" s="695"/>
      <c r="H29" s="695">
        <f>'TopCo Net debt waterfall'!AW81</f>
        <v>0</v>
      </c>
      <c r="I29" s="695">
        <f>'TopCo Net debt waterfall'!AX81</f>
        <v>0</v>
      </c>
      <c r="J29" s="695">
        <f>'TopCo Net debt waterfall'!AY81</f>
        <v>0</v>
      </c>
      <c r="K29" s="695">
        <f>'TopCo Net debt waterfall'!AZ81</f>
        <v>5000</v>
      </c>
      <c r="L29" s="695">
        <f t="shared" ref="L29" si="27">SUM(H29:K29)</f>
        <v>5000</v>
      </c>
      <c r="M29" s="695">
        <f>'TopCo Net debt waterfall'!BB81</f>
        <v>6500</v>
      </c>
      <c r="N29" s="695">
        <f>'TopCo Net debt waterfall'!BC81</f>
        <v>7500</v>
      </c>
      <c r="O29" s="695">
        <f>'TopCo Net debt waterfall'!BD81</f>
        <v>6500</v>
      </c>
      <c r="P29" s="695">
        <f>'TopCo Net debt waterfall'!BE81</f>
        <v>0</v>
      </c>
      <c r="Q29" s="695">
        <f t="shared" ref="Q29" si="28">SUM(M29:P29)</f>
        <v>20500</v>
      </c>
    </row>
    <row r="30" spans="1:25">
      <c r="A30" s="5" t="s">
        <v>192</v>
      </c>
      <c r="C30" s="36">
        <f>'TopCo Net debt waterfall'!AR82</f>
        <v>-314.70229999999992</v>
      </c>
      <c r="D30" s="36">
        <f>'TopCo Net debt waterfall'!AS82</f>
        <v>-660</v>
      </c>
      <c r="E30" s="36">
        <f>'TopCo Net debt waterfall'!AT82</f>
        <v>-2290</v>
      </c>
      <c r="F30" s="36">
        <f>'TopCo Net debt waterfall'!AU82</f>
        <v>-6555</v>
      </c>
      <c r="G30" s="36">
        <f t="shared" si="1"/>
        <v>-9819.7023000000008</v>
      </c>
      <c r="H30" s="36">
        <f>'TopCo Net debt waterfall'!AW82</f>
        <v>-5730.0000000000036</v>
      </c>
      <c r="I30" s="36">
        <f>'TopCo Net debt waterfall'!AX82</f>
        <v>-3285</v>
      </c>
      <c r="J30" s="36">
        <f>'TopCo Net debt waterfall'!AY82</f>
        <v>-2940</v>
      </c>
      <c r="K30" s="36">
        <f>'TopCo Net debt waterfall'!AZ82</f>
        <v>0</v>
      </c>
      <c r="L30" s="36">
        <f t="shared" si="7"/>
        <v>-11955.000000000004</v>
      </c>
      <c r="M30" s="36">
        <f>'TopCo Net debt waterfall'!BB82</f>
        <v>0</v>
      </c>
      <c r="N30" s="36">
        <f>'TopCo Net debt waterfall'!BC82</f>
        <v>0</v>
      </c>
      <c r="O30" s="36">
        <f>'TopCo Net debt waterfall'!BD82</f>
        <v>0</v>
      </c>
      <c r="P30" s="36">
        <f>'TopCo Net debt waterfall'!BE82</f>
        <v>0</v>
      </c>
      <c r="Q30" s="36">
        <f t="shared" ref="Q30" si="29">SUM(M30:P30)</f>
        <v>0</v>
      </c>
    </row>
    <row r="31" spans="1:25">
      <c r="A31" s="9" t="s">
        <v>2578</v>
      </c>
      <c r="B31" s="39">
        <f>'TopCo Net debt waterfall'!AQ83</f>
        <v>26130</v>
      </c>
      <c r="C31" s="39">
        <f>SUM(C6:C30)</f>
        <v>23785</v>
      </c>
      <c r="D31" s="39">
        <f t="shared" ref="D31:Q31" si="30">SUM(D6:D30)</f>
        <v>20920</v>
      </c>
      <c r="E31" s="39">
        <f t="shared" si="30"/>
        <v>20905</v>
      </c>
      <c r="F31" s="39">
        <f t="shared" si="30"/>
        <v>17545</v>
      </c>
      <c r="G31" s="39">
        <f t="shared" si="30"/>
        <v>17545.000000000004</v>
      </c>
      <c r="H31" s="39">
        <f t="shared" si="30"/>
        <v>20259.999999999996</v>
      </c>
      <c r="I31" s="39">
        <f t="shared" si="30"/>
        <v>23525</v>
      </c>
      <c r="J31" s="39">
        <f t="shared" si="30"/>
        <v>17985</v>
      </c>
      <c r="K31" s="39">
        <f t="shared" si="30"/>
        <v>17060</v>
      </c>
      <c r="L31" s="39">
        <f t="shared" si="30"/>
        <v>17059.999999999996</v>
      </c>
      <c r="M31" s="39">
        <f t="shared" si="30"/>
        <v>18499.999999999996</v>
      </c>
      <c r="N31" s="39">
        <f t="shared" si="30"/>
        <v>11374.999999999996</v>
      </c>
      <c r="O31" s="39">
        <f t="shared" si="30"/>
        <v>9684.9999999999964</v>
      </c>
      <c r="P31" s="39">
        <f t="shared" si="30"/>
        <v>11574.999999999996</v>
      </c>
      <c r="Q31" s="39">
        <f t="shared" si="30"/>
        <v>11574.999999999996</v>
      </c>
    </row>
    <row r="32" spans="1:25">
      <c r="A32" s="1" t="s">
        <v>2579</v>
      </c>
      <c r="C32" s="36">
        <f>C31-B31</f>
        <v>-2345</v>
      </c>
      <c r="D32" s="36">
        <f>D31-C31</f>
        <v>-2865</v>
      </c>
      <c r="E32" s="36">
        <f>E31-D31</f>
        <v>-15</v>
      </c>
      <c r="F32" s="36">
        <f>F31-E31</f>
        <v>-3360</v>
      </c>
      <c r="G32" s="36">
        <f>SUM(C32:F32)</f>
        <v>-8585</v>
      </c>
      <c r="H32" s="36">
        <f>H31-G31</f>
        <v>2714.9999999999927</v>
      </c>
      <c r="I32" s="36">
        <f>I31-H31</f>
        <v>3265.0000000000036</v>
      </c>
      <c r="J32" s="36">
        <f>J31-I31</f>
        <v>-5540</v>
      </c>
      <c r="K32" s="36">
        <f>K31-J31</f>
        <v>-925</v>
      </c>
      <c r="L32" s="36">
        <f>SUM(H32:K32)</f>
        <v>-485.00000000000364</v>
      </c>
      <c r="M32" s="36">
        <f>M31-L31</f>
        <v>1440</v>
      </c>
      <c r="N32" s="36">
        <f>N31-M31</f>
        <v>-7125</v>
      </c>
      <c r="O32" s="36">
        <f>O31-N31</f>
        <v>-1690</v>
      </c>
      <c r="P32" s="36">
        <f>P31-O31</f>
        <v>1890</v>
      </c>
      <c r="Q32" s="36">
        <f>SUM(M32:P32)</f>
        <v>-5485</v>
      </c>
    </row>
    <row r="34" spans="1:19" s="26" customFormat="1">
      <c r="A34" s="26" t="s">
        <v>706</v>
      </c>
      <c r="C34" s="61">
        <f>C31-'TopCo Net debt waterfall'!AR83</f>
        <v>0</v>
      </c>
      <c r="D34" s="61">
        <f>D31-'TopCo Net debt waterfall'!AS83</f>
        <v>0</v>
      </c>
      <c r="E34" s="61">
        <f>E31-'TopCo Net debt waterfall'!AT83</f>
        <v>0</v>
      </c>
      <c r="F34" s="61">
        <f>F31-'TopCo Net debt waterfall'!AU83</f>
        <v>0</v>
      </c>
      <c r="G34" s="61">
        <f>G31-'TopCo Net debt waterfall'!AV83</f>
        <v>0</v>
      </c>
      <c r="H34" s="61">
        <f>H31-'TopCo Net debt waterfall'!AW83</f>
        <v>0</v>
      </c>
      <c r="I34" s="61">
        <f>I31-'TopCo Net debt waterfall'!AX83</f>
        <v>0</v>
      </c>
      <c r="J34" s="61">
        <f>J31-'TopCo Net debt waterfall'!AY83</f>
        <v>0</v>
      </c>
      <c r="K34" s="61">
        <f>K31-'TopCo Net debt waterfall'!AZ83</f>
        <v>0</v>
      </c>
      <c r="L34" s="61">
        <f>L31-'TopCo Net debt waterfall'!BA83</f>
        <v>0</v>
      </c>
      <c r="M34" s="61">
        <f>M31-'TopCo Net debt waterfall'!BB83</f>
        <v>0</v>
      </c>
      <c r="N34" s="61">
        <f>N31-'TopCo Net debt waterfall'!BC83</f>
        <v>0</v>
      </c>
      <c r="O34" s="61">
        <f>O31-'TopCo Net debt waterfall'!BD83</f>
        <v>0</v>
      </c>
      <c r="P34" s="61">
        <f>P31-'TopCo Net debt waterfall'!BE83</f>
        <v>0</v>
      </c>
      <c r="Q34" s="61">
        <f>Q31-'TopCo Net debt waterfall'!BF83</f>
        <v>0</v>
      </c>
      <c r="S34" s="328"/>
    </row>
  </sheetData>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83E08-C9B1-4C4F-9579-60388EF545F3}">
  <sheetPr codeName="Sheet31"/>
  <dimension ref="A1:BU169"/>
  <sheetViews>
    <sheetView zoomScale="90" zoomScaleNormal="90" workbookViewId="0">
      <pane xSplit="8" ySplit="2" topLeftCell="AV30" activePane="bottomRight" state="frozen"/>
      <selection pane="topRight" activeCell="I1" sqref="I1"/>
      <selection pane="bottomLeft" activeCell="A3" sqref="A3"/>
      <selection pane="bottomRight"/>
    </sheetView>
  </sheetViews>
  <sheetFormatPr defaultColWidth="9.140625" defaultRowHeight="12" outlineLevelRow="1" outlineLevelCol="1"/>
  <cols>
    <col min="1" max="8" width="9.140625" style="1"/>
    <col min="9" max="12" width="11.42578125" style="1" hidden="1" customWidth="1" outlineLevel="1"/>
    <col min="13" max="13" width="11.42578125" style="1" customWidth="1" collapsed="1"/>
    <col min="14" max="17" width="11.42578125" style="1" hidden="1" customWidth="1" outlineLevel="1"/>
    <col min="18" max="18" width="11.42578125" style="1" customWidth="1" collapsed="1"/>
    <col min="19" max="22" width="11.42578125" style="1" hidden="1" customWidth="1" outlineLevel="1"/>
    <col min="23" max="23" width="11.42578125" style="1" customWidth="1" collapsed="1"/>
    <col min="24" max="27" width="11.42578125" style="1" hidden="1" customWidth="1" outlineLevel="1"/>
    <col min="28" max="28" width="11.42578125" style="1" customWidth="1" collapsed="1"/>
    <col min="29" max="32" width="11.42578125" style="1" hidden="1" customWidth="1" outlineLevel="1"/>
    <col min="33" max="33" width="11.42578125" style="1" customWidth="1" collapsed="1"/>
    <col min="34" max="37" width="11.42578125" style="1" hidden="1" customWidth="1" outlineLevel="1"/>
    <col min="38" max="38" width="11.42578125" style="1" customWidth="1" collapsed="1"/>
    <col min="39" max="42" width="11.42578125" style="1" customWidth="1" outlineLevel="1"/>
    <col min="43" max="43" width="11.42578125" style="1" customWidth="1"/>
    <col min="44" max="47" width="11.42578125" style="1" customWidth="1" outlineLevel="1"/>
    <col min="48" max="58" width="11.42578125" style="1" customWidth="1"/>
    <col min="59" max="59" width="9.140625" style="1"/>
    <col min="60" max="60" width="9.140625" style="46"/>
    <col min="61" max="16384" width="9.140625" style="1"/>
  </cols>
  <sheetData>
    <row r="1" spans="1:73" s="2" customFormat="1">
      <c r="A1" s="2" t="s">
        <v>0</v>
      </c>
      <c r="I1" s="43" t="s">
        <v>160</v>
      </c>
      <c r="J1" s="43" t="s">
        <v>161</v>
      </c>
      <c r="K1" s="43" t="s">
        <v>162</v>
      </c>
      <c r="M1" s="18" t="s">
        <v>159</v>
      </c>
      <c r="N1" s="43" t="s">
        <v>150</v>
      </c>
      <c r="O1" s="43" t="s">
        <v>151</v>
      </c>
      <c r="P1" s="43" t="s">
        <v>152</v>
      </c>
      <c r="R1" s="18" t="s">
        <v>153</v>
      </c>
      <c r="S1" s="43" t="s">
        <v>146</v>
      </c>
      <c r="T1" s="43" t="s">
        <v>147</v>
      </c>
      <c r="U1" s="43" t="s">
        <v>148</v>
      </c>
      <c r="W1" s="18" t="s">
        <v>149</v>
      </c>
      <c r="X1" s="43" t="s">
        <v>142</v>
      </c>
      <c r="Y1" s="43" t="s">
        <v>143</v>
      </c>
      <c r="Z1" s="43" t="s">
        <v>144</v>
      </c>
      <c r="AB1" s="18" t="s">
        <v>145</v>
      </c>
      <c r="AC1" s="43" t="s">
        <v>138</v>
      </c>
      <c r="AD1" s="43" t="s">
        <v>139</v>
      </c>
      <c r="AE1" s="43" t="s">
        <v>140</v>
      </c>
      <c r="AG1" s="18" t="s">
        <v>141</v>
      </c>
      <c r="AH1" s="43" t="s">
        <v>126</v>
      </c>
      <c r="AI1" s="43" t="s">
        <v>127</v>
      </c>
      <c r="AJ1" s="43" t="s">
        <v>128</v>
      </c>
      <c r="AL1" s="18" t="s">
        <v>79</v>
      </c>
      <c r="AM1" s="43" t="s">
        <v>129</v>
      </c>
      <c r="AN1" s="43" t="s">
        <v>130</v>
      </c>
      <c r="AO1" s="43" t="s">
        <v>131</v>
      </c>
      <c r="AQ1" s="18" t="s">
        <v>90</v>
      </c>
      <c r="AR1" s="43" t="s">
        <v>700</v>
      </c>
      <c r="AS1" s="43" t="s">
        <v>701</v>
      </c>
      <c r="AT1" s="43" t="s">
        <v>702</v>
      </c>
      <c r="AV1" s="18" t="s">
        <v>699</v>
      </c>
      <c r="AW1" s="43" t="s">
        <v>1177</v>
      </c>
      <c r="AX1" s="43" t="s">
        <v>1178</v>
      </c>
      <c r="AY1" s="43" t="s">
        <v>1179</v>
      </c>
      <c r="BA1" s="18" t="s">
        <v>1180</v>
      </c>
      <c r="BB1" s="43" t="s">
        <v>1189</v>
      </c>
      <c r="BC1" s="43" t="s">
        <v>1190</v>
      </c>
      <c r="BD1" s="43" t="s">
        <v>1191</v>
      </c>
      <c r="BF1" s="18" t="s">
        <v>1198</v>
      </c>
      <c r="BH1" s="46"/>
    </row>
    <row r="2" spans="1:73" s="2" customFormat="1">
      <c r="A2" s="2" t="s">
        <v>2</v>
      </c>
      <c r="I2" s="6" t="s">
        <v>194</v>
      </c>
      <c r="J2" s="6" t="s">
        <v>195</v>
      </c>
      <c r="K2" s="6" t="s">
        <v>196</v>
      </c>
      <c r="L2" s="6" t="s">
        <v>197</v>
      </c>
      <c r="M2" s="6" t="s">
        <v>198</v>
      </c>
      <c r="N2" s="6" t="s">
        <v>163</v>
      </c>
      <c r="O2" s="6" t="s">
        <v>164</v>
      </c>
      <c r="P2" s="6" t="s">
        <v>165</v>
      </c>
      <c r="Q2" s="6" t="s">
        <v>166</v>
      </c>
      <c r="R2" s="6" t="s">
        <v>167</v>
      </c>
      <c r="S2" s="6" t="s">
        <v>154</v>
      </c>
      <c r="T2" s="6" t="s">
        <v>155</v>
      </c>
      <c r="U2" s="6" t="s">
        <v>156</v>
      </c>
      <c r="V2" s="6" t="s">
        <v>157</v>
      </c>
      <c r="W2" s="6" t="s">
        <v>158</v>
      </c>
      <c r="X2" s="6" t="s">
        <v>133</v>
      </c>
      <c r="Y2" s="6" t="s">
        <v>134</v>
      </c>
      <c r="Z2" s="6" t="s">
        <v>135</v>
      </c>
      <c r="AA2" s="6" t="s">
        <v>136</v>
      </c>
      <c r="AB2" s="6" t="s">
        <v>137</v>
      </c>
      <c r="AC2" s="6" t="s">
        <v>74</v>
      </c>
      <c r="AD2" s="6" t="s">
        <v>75</v>
      </c>
      <c r="AE2" s="6" t="s">
        <v>76</v>
      </c>
      <c r="AF2" s="6" t="s">
        <v>77</v>
      </c>
      <c r="AG2" s="6" t="s">
        <v>78</v>
      </c>
      <c r="AH2" s="6" t="s">
        <v>10</v>
      </c>
      <c r="AI2" s="6" t="s">
        <v>11</v>
      </c>
      <c r="AJ2" s="6" t="s">
        <v>12</v>
      </c>
      <c r="AK2" s="6" t="s">
        <v>13</v>
      </c>
      <c r="AL2" s="6" t="s">
        <v>14</v>
      </c>
      <c r="AM2" s="6" t="s">
        <v>91</v>
      </c>
      <c r="AN2" s="6" t="s">
        <v>92</v>
      </c>
      <c r="AO2" s="6" t="s">
        <v>93</v>
      </c>
      <c r="AP2" s="6" t="s">
        <v>94</v>
      </c>
      <c r="AQ2" s="6" t="s">
        <v>95</v>
      </c>
      <c r="AR2" s="6" t="s">
        <v>686</v>
      </c>
      <c r="AS2" s="6" t="s">
        <v>695</v>
      </c>
      <c r="AT2" s="6" t="s">
        <v>696</v>
      </c>
      <c r="AU2" s="6" t="s">
        <v>697</v>
      </c>
      <c r="AV2" s="6" t="s">
        <v>698</v>
      </c>
      <c r="AW2" s="6" t="s">
        <v>1172</v>
      </c>
      <c r="AX2" s="6" t="s">
        <v>1173</v>
      </c>
      <c r="AY2" s="6" t="s">
        <v>1174</v>
      </c>
      <c r="AZ2" s="6" t="s">
        <v>1175</v>
      </c>
      <c r="BA2" s="6" t="s">
        <v>1176</v>
      </c>
      <c r="BB2" s="6" t="s">
        <v>1184</v>
      </c>
      <c r="BC2" s="6" t="s">
        <v>1185</v>
      </c>
      <c r="BD2" s="6" t="s">
        <v>1186</v>
      </c>
      <c r="BE2" s="6" t="s">
        <v>1187</v>
      </c>
      <c r="BF2" s="6" t="s">
        <v>1188</v>
      </c>
      <c r="BH2" s="241" t="s">
        <v>1477</v>
      </c>
      <c r="BJ2" s="6" t="s">
        <v>158</v>
      </c>
      <c r="BK2" s="6" t="s">
        <v>137</v>
      </c>
      <c r="BL2" s="6" t="s">
        <v>78</v>
      </c>
      <c r="BM2" s="6" t="s">
        <v>14</v>
      </c>
      <c r="BN2" s="6" t="s">
        <v>95</v>
      </c>
      <c r="BO2" s="6" t="s">
        <v>698</v>
      </c>
      <c r="BP2" s="6" t="s">
        <v>1176</v>
      </c>
      <c r="BQ2" s="6" t="s">
        <v>1188</v>
      </c>
      <c r="BR2" s="6" t="s">
        <v>1197</v>
      </c>
      <c r="BS2" s="6" t="s">
        <v>1208</v>
      </c>
      <c r="BT2" s="6" t="s">
        <v>1218</v>
      </c>
      <c r="BU2" s="6" t="s">
        <v>1225</v>
      </c>
    </row>
    <row r="4" spans="1:73" s="12" customFormat="1">
      <c r="A4" s="13" t="s">
        <v>2518</v>
      </c>
      <c r="AU4" s="803" t="s">
        <v>3433</v>
      </c>
      <c r="BB4" s="1081" t="s">
        <v>3427</v>
      </c>
      <c r="BC4" s="46"/>
      <c r="BD4" s="46"/>
      <c r="BE4" s="46"/>
    </row>
    <row r="5" spans="1:73">
      <c r="AR5" s="678" t="s">
        <v>2700</v>
      </c>
    </row>
    <row r="6" spans="1:73" outlineLevel="1">
      <c r="A6" s="5" t="s">
        <v>2593</v>
      </c>
      <c r="AR6" s="61">
        <f>AQ8+AR106+AR59+AR64+AR112</f>
        <v>46165</v>
      </c>
      <c r="AS6" s="61">
        <f>AR8+AS106+AS59+AS64+AS112</f>
        <v>44220</v>
      </c>
      <c r="AT6" s="61">
        <f>AS8+AT106+AT59+AT64+AT112</f>
        <v>54630</v>
      </c>
      <c r="AU6" s="61">
        <f>AT8+AU106+AU59+AU64+AU112</f>
        <v>55325</v>
      </c>
      <c r="AV6" s="61">
        <f>AU6</f>
        <v>55325</v>
      </c>
      <c r="AW6" s="61">
        <f>AV8+AW106+AW59+AW64+AW112</f>
        <v>66305</v>
      </c>
      <c r="AX6" s="61">
        <f>AW8+AX106+AX59+AX64+AX112</f>
        <v>71400</v>
      </c>
      <c r="AY6" s="61">
        <f>AX8+AY106+AY59+AY64+AY112</f>
        <v>75520</v>
      </c>
      <c r="AZ6" s="36">
        <f>AY8+AZ106</f>
        <v>72580</v>
      </c>
      <c r="BA6" s="36">
        <f>AZ6</f>
        <v>72580</v>
      </c>
      <c r="BB6" s="36"/>
      <c r="BC6" s="36"/>
      <c r="BD6" s="36"/>
      <c r="BE6" s="36"/>
      <c r="BF6" s="36"/>
    </row>
    <row r="7" spans="1:73" s="706" customFormat="1" outlineLevel="1">
      <c r="A7" s="711" t="s">
        <v>276</v>
      </c>
      <c r="AR7" s="695">
        <f t="shared" ref="AR7:BA7" si="0">AR8-AR6</f>
        <v>-2080</v>
      </c>
      <c r="AS7" s="695">
        <f t="shared" si="0"/>
        <v>7760</v>
      </c>
      <c r="AT7" s="695">
        <f t="shared" si="0"/>
        <v>-4345</v>
      </c>
      <c r="AU7" s="695">
        <f t="shared" ref="AU7" si="1">AU8-AU6</f>
        <v>2150</v>
      </c>
      <c r="AV7" s="695">
        <f t="shared" si="0"/>
        <v>2150</v>
      </c>
      <c r="AW7" s="695">
        <f t="shared" ref="AW7:AX7" si="2">AW8-AW6</f>
        <v>2180</v>
      </c>
      <c r="AX7" s="695">
        <f t="shared" si="2"/>
        <v>-695</v>
      </c>
      <c r="AY7" s="695">
        <f t="shared" si="0"/>
        <v>-1800</v>
      </c>
      <c r="AZ7" s="695">
        <f t="shared" si="0"/>
        <v>-15</v>
      </c>
      <c r="BA7" s="695">
        <f t="shared" si="0"/>
        <v>-15</v>
      </c>
      <c r="BB7" s="695"/>
      <c r="BC7" s="695"/>
      <c r="BD7" s="695"/>
      <c r="BE7" s="695"/>
      <c r="BF7" s="695"/>
      <c r="BH7" s="710"/>
    </row>
    <row r="8" spans="1:73">
      <c r="A8" s="5" t="s">
        <v>2589</v>
      </c>
      <c r="AQ8" s="61">
        <f>'Net debt &amp; LTV'!AQ287</f>
        <v>44885</v>
      </c>
      <c r="AR8" s="61">
        <f>'Net debt &amp; LTV'!AR287</f>
        <v>44085</v>
      </c>
      <c r="AS8" s="61">
        <f>'Net debt &amp; LTV'!AS287</f>
        <v>51980</v>
      </c>
      <c r="AT8" s="61">
        <f>'Net debt &amp; LTV'!AT287</f>
        <v>50285</v>
      </c>
      <c r="AU8" s="61">
        <f>'Net debt &amp; LTV'!AU287</f>
        <v>57475</v>
      </c>
      <c r="AV8" s="61">
        <f>'Net debt &amp; LTV'!AV287</f>
        <v>57475</v>
      </c>
      <c r="AW8" s="61">
        <f>'Net debt &amp; LTV'!AW287</f>
        <v>68485</v>
      </c>
      <c r="AX8" s="61">
        <f>'Net debt &amp; LTV'!AX287</f>
        <v>70705</v>
      </c>
      <c r="AY8" s="61">
        <f>'Net debt &amp; LTV'!AY287</f>
        <v>73720</v>
      </c>
      <c r="AZ8" s="36">
        <f t="shared" ref="AZ8:BA8" si="3">AZ9+AZ10</f>
        <v>72565</v>
      </c>
      <c r="BA8" s="36">
        <f t="shared" si="3"/>
        <v>72565</v>
      </c>
      <c r="BB8" s="36"/>
      <c r="BC8" s="36"/>
      <c r="BD8" s="36"/>
      <c r="BE8" s="36"/>
      <c r="BF8" s="36"/>
    </row>
    <row r="9" spans="1:73">
      <c r="A9" s="5" t="s">
        <v>2590</v>
      </c>
      <c r="AQ9" s="61">
        <f>'Net debt &amp; LTV'!AQ301</f>
        <v>26130</v>
      </c>
      <c r="AR9" s="61">
        <f>'Net debt &amp; LTV'!AR301</f>
        <v>23785</v>
      </c>
      <c r="AS9" s="61">
        <f>'Net debt &amp; LTV'!AS301</f>
        <v>20920</v>
      </c>
      <c r="AT9" s="61">
        <f>'Net debt &amp; LTV'!AT301</f>
        <v>20905</v>
      </c>
      <c r="AU9" s="61">
        <f>'Net debt &amp; LTV'!AU301</f>
        <v>17545</v>
      </c>
      <c r="AV9" s="61">
        <f>'Net debt &amp; LTV'!AV301</f>
        <v>17545</v>
      </c>
      <c r="AW9" s="61">
        <f>'Net debt &amp; LTV'!AW301</f>
        <v>20260</v>
      </c>
      <c r="AX9" s="61">
        <f>'Net debt &amp; LTV'!AX301</f>
        <v>23525</v>
      </c>
      <c r="AY9" s="61">
        <f>'Net debt &amp; LTV'!AY301</f>
        <v>17985</v>
      </c>
      <c r="AZ9" s="36">
        <f t="shared" ref="AZ9:BA9" si="4">AZ83</f>
        <v>17060</v>
      </c>
      <c r="BA9" s="36">
        <f t="shared" si="4"/>
        <v>17059.999999999996</v>
      </c>
      <c r="BB9" s="36"/>
      <c r="BC9" s="36"/>
      <c r="BD9" s="36"/>
      <c r="BE9" s="36"/>
      <c r="BF9" s="36"/>
    </row>
    <row r="10" spans="1:73">
      <c r="A10" s="9" t="s">
        <v>2591</v>
      </c>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173">
        <f t="shared" ref="AQ10:AW10" si="5">AQ8-AQ9</f>
        <v>18755</v>
      </c>
      <c r="AR10" s="173">
        <f t="shared" si="5"/>
        <v>20300</v>
      </c>
      <c r="AS10" s="173">
        <f t="shared" si="5"/>
        <v>31060</v>
      </c>
      <c r="AT10" s="173">
        <f t="shared" si="5"/>
        <v>29380</v>
      </c>
      <c r="AU10" s="173">
        <f t="shared" si="5"/>
        <v>39930</v>
      </c>
      <c r="AV10" s="173">
        <f t="shared" si="5"/>
        <v>39930</v>
      </c>
      <c r="AW10" s="173">
        <f t="shared" si="5"/>
        <v>48225</v>
      </c>
      <c r="AX10" s="173">
        <f t="shared" ref="AX10:AY10" si="6">AX8-AX9</f>
        <v>47180</v>
      </c>
      <c r="AY10" s="173">
        <f t="shared" si="6"/>
        <v>55735</v>
      </c>
      <c r="AZ10" s="39">
        <f t="shared" ref="AZ10:BA10" si="7">AZ36</f>
        <v>55505</v>
      </c>
      <c r="BA10" s="39">
        <f t="shared" si="7"/>
        <v>55505</v>
      </c>
      <c r="BB10" s="36"/>
      <c r="BC10" s="36"/>
      <c r="BD10" s="36"/>
      <c r="BE10" s="36"/>
      <c r="BF10" s="36"/>
    </row>
    <row r="12" spans="1:73">
      <c r="A12" s="1" t="s">
        <v>2510</v>
      </c>
      <c r="AR12" s="36">
        <f>AQ36</f>
        <v>18760</v>
      </c>
      <c r="AS12" s="36">
        <f>AR36</f>
        <v>20300</v>
      </c>
      <c r="AT12" s="36">
        <f>AS36</f>
        <v>31060</v>
      </c>
      <c r="AU12" s="36">
        <f>AT36</f>
        <v>29380</v>
      </c>
      <c r="AV12" s="36">
        <f>AQ36</f>
        <v>18760</v>
      </c>
      <c r="AW12" s="36">
        <f>AV36</f>
        <v>39930</v>
      </c>
      <c r="AX12" s="36">
        <f>AW36</f>
        <v>48220</v>
      </c>
      <c r="AY12" s="36">
        <f>AX36</f>
        <v>47180</v>
      </c>
      <c r="AZ12" s="36">
        <f>AY36</f>
        <v>55735</v>
      </c>
      <c r="BA12" s="36">
        <f>AV36</f>
        <v>39930</v>
      </c>
      <c r="BB12" s="36">
        <f>BA36</f>
        <v>55505</v>
      </c>
      <c r="BC12" s="36">
        <f>BB36</f>
        <v>61000</v>
      </c>
      <c r="BD12" s="36">
        <f>BC36</f>
        <v>73000</v>
      </c>
      <c r="BE12" s="36">
        <f>BD36</f>
        <v>84695</v>
      </c>
      <c r="BF12" s="36">
        <f>BA36</f>
        <v>55505</v>
      </c>
    </row>
    <row r="13" spans="1:73">
      <c r="A13" s="5" t="s">
        <v>2592</v>
      </c>
      <c r="AR13" s="36">
        <f>'Net debt &amp; LTV'!AR330</f>
        <v>225</v>
      </c>
      <c r="AS13" s="36">
        <f>'Net debt &amp; LTV'!AS330</f>
        <v>205</v>
      </c>
      <c r="AT13" s="36">
        <f>'Net debt &amp; LTV'!AT330</f>
        <v>355</v>
      </c>
      <c r="AU13" s="36">
        <f>'Net debt &amp; LTV'!AU330</f>
        <v>350</v>
      </c>
      <c r="AV13" s="36">
        <f t="shared" ref="AV13:AV35" si="8">SUM(AR13:AU13)</f>
        <v>1135</v>
      </c>
      <c r="AW13" s="36">
        <f>'Net debt &amp; LTV'!AW330</f>
        <v>460</v>
      </c>
      <c r="AX13" s="36">
        <f>'Net debt &amp; LTV'!AX330</f>
        <v>555</v>
      </c>
      <c r="AY13" s="36">
        <f>'Net debt &amp; LTV'!AY330</f>
        <v>595</v>
      </c>
      <c r="AZ13" s="36">
        <f>'Net debt &amp; LTV'!AZ330</f>
        <v>680</v>
      </c>
      <c r="BA13" s="36">
        <f t="shared" ref="BA13:BA20" si="9">SUM(AW13:AZ13)</f>
        <v>2290</v>
      </c>
      <c r="BB13" s="36">
        <f>'Net debt &amp; LTV'!BB330</f>
        <v>685</v>
      </c>
      <c r="BC13" s="36">
        <f>'Net debt &amp; LTV'!BC330</f>
        <v>690</v>
      </c>
      <c r="BD13" s="36">
        <f>'Net debt &amp; LTV'!BD330</f>
        <v>705</v>
      </c>
      <c r="BE13" s="36">
        <f>'Net debt &amp; LTV'!BE330</f>
        <v>715</v>
      </c>
      <c r="BF13" s="36">
        <f t="shared" ref="BF13" si="10">SUM(BB13:BE13)</f>
        <v>2795</v>
      </c>
    </row>
    <row r="14" spans="1:73">
      <c r="A14" s="5" t="s">
        <v>2955</v>
      </c>
      <c r="AR14" s="36">
        <f>MROUND((8%*MROUND('Investment Business Of HoldCo'!AR313, 100)+5%*MROUND('Investment Business Of HoldCo'!AR315, 100))/4, 10)</f>
        <v>210</v>
      </c>
      <c r="AS14" s="36">
        <f>MROUND((8%*MROUND('Investment Business Of HoldCo'!AS313, 100)+5%*MROUND('Investment Business Of HoldCo'!AS315, 100))/4, 10)</f>
        <v>210</v>
      </c>
      <c r="AT14" s="36">
        <f>MROUND((8%*MROUND('Investment Business Of HoldCo'!AT313, 100)+5%*MROUND('Investment Business Of HoldCo'!AT315, 100))/4, 10)</f>
        <v>210</v>
      </c>
      <c r="AU14" s="36">
        <f>MROUND((8%*MROUND('Investment Business Of HoldCo'!AU313, 100)+5%*MROUND('Investment Business Of HoldCo'!AU315, 100))/4, 10)</f>
        <v>230</v>
      </c>
      <c r="AV14" s="36">
        <f t="shared" si="8"/>
        <v>860</v>
      </c>
      <c r="AW14" s="36">
        <f>MROUND((8%*MROUND('Investment Business Of HoldCo'!AW313, 100)+5%*MROUND('Investment Business Of HoldCo'!AW315, 100))/4, 10)</f>
        <v>240</v>
      </c>
      <c r="AX14" s="36">
        <f>MROUND((8%*MROUND('Investment Business Of HoldCo'!AX313, 100)+5%*MROUND('Investment Business Of HoldCo'!AX315, 100))/4, 10)</f>
        <v>240</v>
      </c>
      <c r="AY14" s="36">
        <f>MROUND((8%*MROUND('Investment Business Of HoldCo'!AY313, 100)+5%*MROUND('Investment Business Of HoldCo'!AY315, 100))/4, 10)</f>
        <v>490</v>
      </c>
      <c r="AZ14" s="36">
        <f>MROUND((8%*MROUND('Investment Business Of HoldCo'!AZ313, 100)+5%*MROUND('Investment Business Of HoldCo'!AZ315, 100))/4, 10)</f>
        <v>490</v>
      </c>
      <c r="BA14" s="36">
        <f t="shared" si="9"/>
        <v>1460</v>
      </c>
      <c r="BB14" s="36">
        <f>MROUND((8%*MROUND('Investment Business Of HoldCo'!BB313, 100)+5%*MROUND('Investment Business Of HoldCo'!BB315, 100))/4, 10)</f>
        <v>490</v>
      </c>
      <c r="BC14" s="36">
        <f>MROUND((8%*MROUND('Investment Business Of HoldCo'!BC313, 100)+5%*MROUND('Investment Business Of HoldCo'!BC315, 100))/4, 10)</f>
        <v>540</v>
      </c>
      <c r="BD14" s="36">
        <f>MROUND((8%*MROUND('Investment Business Of HoldCo'!BD313, 100)+5%*MROUND('Investment Business Of HoldCo'!BD315, 100))/4, 10)</f>
        <v>590</v>
      </c>
      <c r="BE14" s="36">
        <f>MROUND((8%*MROUND('Investment Business Of HoldCo'!BE313, 100)+5%*MROUND('Investment Business Of HoldCo'!BE315, 100))/4, 10)</f>
        <v>590</v>
      </c>
      <c r="BF14" s="36">
        <f t="shared" ref="BF14" si="11">SUM(BB14:BE14)</f>
        <v>2210</v>
      </c>
    </row>
    <row r="15" spans="1:73">
      <c r="A15" s="5" t="s">
        <v>2594</v>
      </c>
      <c r="AR15" s="36"/>
      <c r="AS15" s="613">
        <f>MROUND('SVF Segment'!AS597*'SVF Segment'!AS579, 50)</f>
        <v>1900</v>
      </c>
      <c r="AT15" s="36"/>
      <c r="AU15" s="613">
        <f>MROUND('SVF Segment'!AU597*'SVF Segment'!AU579, 50)</f>
        <v>1900</v>
      </c>
      <c r="AV15" s="36">
        <f t="shared" si="8"/>
        <v>3800</v>
      </c>
      <c r="AW15" s="36"/>
      <c r="AX15" s="613">
        <f>MROUND('SVF Segment'!AX597*'SVF Segment'!AX579, 50)</f>
        <v>1750</v>
      </c>
      <c r="AY15" s="36"/>
      <c r="AZ15" s="36"/>
      <c r="BA15" s="36">
        <f t="shared" si="9"/>
        <v>1750</v>
      </c>
      <c r="BB15" s="36"/>
      <c r="BC15" s="36"/>
      <c r="BD15" s="36"/>
      <c r="BE15" s="36"/>
      <c r="BF15" s="36"/>
    </row>
    <row r="16" spans="1:73" outlineLevel="1">
      <c r="A16" s="34" t="s">
        <v>2519</v>
      </c>
      <c r="AR16" s="36">
        <f>-AR132</f>
        <v>-525</v>
      </c>
      <c r="AS16" s="36">
        <f>-AS132</f>
        <v>0</v>
      </c>
      <c r="AT16" s="36">
        <f>-AT132</f>
        <v>-540</v>
      </c>
      <c r="AU16" s="36">
        <f>-AU132</f>
        <v>0</v>
      </c>
      <c r="AV16" s="36">
        <f t="shared" si="8"/>
        <v>-1065</v>
      </c>
      <c r="AW16" s="36">
        <f>-AW132</f>
        <v>-565</v>
      </c>
      <c r="AX16" s="36">
        <f>-AX132</f>
        <v>0</v>
      </c>
      <c r="AY16" s="36">
        <f>-AY132</f>
        <v>-530</v>
      </c>
      <c r="AZ16" s="36">
        <f>-AZ132</f>
        <v>0</v>
      </c>
      <c r="BA16" s="36">
        <f t="shared" si="9"/>
        <v>-1095</v>
      </c>
      <c r="BB16" s="36">
        <f>-BB132</f>
        <v>-530</v>
      </c>
      <c r="BC16" s="36">
        <f>-BC132</f>
        <v>0</v>
      </c>
      <c r="BD16" s="36">
        <f>-BD132</f>
        <v>-530</v>
      </c>
      <c r="BE16" s="36">
        <f>-BE132</f>
        <v>0</v>
      </c>
      <c r="BF16" s="36">
        <f t="shared" ref="BF16" si="12">SUM(BB16:BE16)</f>
        <v>-1060</v>
      </c>
    </row>
    <row r="17" spans="1:68" outlineLevel="1">
      <c r="A17" s="34" t="s">
        <v>2520</v>
      </c>
      <c r="AR17" s="36">
        <f>-AR138</f>
        <v>-55</v>
      </c>
      <c r="AS17" s="36">
        <f>-AS138</f>
        <v>-55</v>
      </c>
      <c r="AT17" s="36">
        <f>-AT138</f>
        <v>-75</v>
      </c>
      <c r="AU17" s="36">
        <f>-AU138</f>
        <v>-75</v>
      </c>
      <c r="AV17" s="36">
        <f t="shared" si="8"/>
        <v>-260</v>
      </c>
      <c r="AW17" s="36">
        <f>-AW138</f>
        <v>-55</v>
      </c>
      <c r="AX17" s="36">
        <f>-AX138</f>
        <v>-40</v>
      </c>
      <c r="AY17" s="36">
        <f>-AY138</f>
        <v>-30</v>
      </c>
      <c r="AZ17" s="36">
        <f>-AZ138</f>
        <v>-15</v>
      </c>
      <c r="BA17" s="36">
        <f t="shared" si="9"/>
        <v>-140</v>
      </c>
      <c r="BB17" s="36"/>
      <c r="BC17" s="36"/>
      <c r="BD17" s="36"/>
      <c r="BE17" s="36"/>
      <c r="BF17" s="36"/>
    </row>
    <row r="18" spans="1:68" outlineLevel="1">
      <c r="A18" s="34" t="s">
        <v>2521</v>
      </c>
      <c r="AR18" s="36">
        <f>-AR144</f>
        <v>-185</v>
      </c>
      <c r="AS18" s="36">
        <f>-AS144</f>
        <v>0</v>
      </c>
      <c r="AT18" s="36">
        <f>-AT144</f>
        <v>0</v>
      </c>
      <c r="AU18" s="36">
        <f>-AU144</f>
        <v>0</v>
      </c>
      <c r="AV18" s="36">
        <f t="shared" si="8"/>
        <v>-185</v>
      </c>
      <c r="AW18" s="36">
        <f>-AW144</f>
        <v>-170</v>
      </c>
      <c r="AX18" s="36">
        <f>-AX144</f>
        <v>0</v>
      </c>
      <c r="AY18" s="36">
        <f>-AY144</f>
        <v>0</v>
      </c>
      <c r="AZ18" s="36">
        <f>-AZ144</f>
        <v>0</v>
      </c>
      <c r="BA18" s="36">
        <f t="shared" si="9"/>
        <v>-170</v>
      </c>
      <c r="BB18" s="36"/>
      <c r="BC18" s="36"/>
      <c r="BD18" s="36"/>
      <c r="BE18" s="36"/>
      <c r="BF18" s="36"/>
    </row>
    <row r="19" spans="1:68">
      <c r="A19" s="5" t="s">
        <v>2522</v>
      </c>
      <c r="AR19" s="36">
        <f>SUM(AR16:AR18)</f>
        <v>-765</v>
      </c>
      <c r="AS19" s="36">
        <f>SUM(AS16:AS18)</f>
        <v>-55</v>
      </c>
      <c r="AT19" s="36">
        <f>SUM(AT16:AT18)</f>
        <v>-615</v>
      </c>
      <c r="AU19" s="36">
        <f>SUM(AU16:AU18)</f>
        <v>-75</v>
      </c>
      <c r="AV19" s="36">
        <f t="shared" si="8"/>
        <v>-1510</v>
      </c>
      <c r="AW19" s="36">
        <f>SUM(AW16:AW18)</f>
        <v>-790</v>
      </c>
      <c r="AX19" s="36">
        <f>SUM(AX16:AX18)</f>
        <v>-40</v>
      </c>
      <c r="AY19" s="36">
        <f>SUM(AY16:AY18)</f>
        <v>-560</v>
      </c>
      <c r="AZ19" s="36">
        <f>SUM(AZ16:AZ18)</f>
        <v>-15</v>
      </c>
      <c r="BA19" s="36">
        <f t="shared" si="9"/>
        <v>-1405</v>
      </c>
      <c r="BB19" s="36">
        <f>SUM(BB16:BB18)</f>
        <v>-530</v>
      </c>
      <c r="BC19" s="36">
        <f>SUM(BC16:BC18)</f>
        <v>0</v>
      </c>
      <c r="BD19" s="36">
        <f>SUM(BD16:BD18)</f>
        <v>-530</v>
      </c>
      <c r="BE19" s="36">
        <f>SUM(BE16:BE18)</f>
        <v>0</v>
      </c>
      <c r="BF19" s="36">
        <f t="shared" ref="BF19:BF22" si="13">SUM(BB19:BE19)</f>
        <v>-1060</v>
      </c>
    </row>
    <row r="20" spans="1:68">
      <c r="A20" s="5" t="s">
        <v>2628</v>
      </c>
      <c r="AR20" s="613">
        <f>-6.73*99.51+3500</f>
        <v>2830.2977000000001</v>
      </c>
      <c r="AS20" s="36"/>
      <c r="AT20" s="36"/>
      <c r="AU20" s="622">
        <v>-550</v>
      </c>
      <c r="AV20" s="36">
        <f t="shared" si="8"/>
        <v>2280.2977000000001</v>
      </c>
      <c r="AW20" s="622">
        <v>-4800</v>
      </c>
      <c r="AX20" s="622">
        <f>-(9200+2400)-AW20</f>
        <v>-6800</v>
      </c>
      <c r="AY20" s="622">
        <f>-(12700-9200)-MROUND(369*AVERAGE(29.01, 27.66)/29.01, 5)</f>
        <v>-3860</v>
      </c>
      <c r="AZ20" s="622">
        <v>-2300</v>
      </c>
      <c r="BA20" s="36">
        <f t="shared" si="9"/>
        <v>-17760</v>
      </c>
      <c r="BB20" s="622">
        <f>-MROUND(FP!$G$8*('Investment Business Of HoldCo'!$BA$95-'Investment Business Of HoldCo'!$BB$95), 5)</f>
        <v>-3460</v>
      </c>
      <c r="BC20" s="36"/>
      <c r="BD20" s="36"/>
      <c r="BE20" s="36"/>
      <c r="BF20" s="36">
        <f t="shared" si="13"/>
        <v>-3460</v>
      </c>
    </row>
    <row r="21" spans="1:68" outlineLevel="1">
      <c r="A21" s="34" t="s">
        <v>2595</v>
      </c>
      <c r="AR21" s="679">
        <f>-'SVF1'!AR17</f>
        <v>-900</v>
      </c>
      <c r="AS21" s="679">
        <f>-'SVF1'!AS17</f>
        <v>-900</v>
      </c>
      <c r="AT21" s="679">
        <f>-'SVF1'!AT17</f>
        <v>-800</v>
      </c>
      <c r="AU21" s="679">
        <f>-'SVF1'!AU17</f>
        <v>-700</v>
      </c>
      <c r="AV21" s="36">
        <f t="shared" si="8"/>
        <v>-3300</v>
      </c>
      <c r="AW21" s="679">
        <f>-'SVF1'!AW17</f>
        <v>-1300</v>
      </c>
      <c r="AX21" s="679">
        <f>-'SVF1'!AX17</f>
        <v>-1200</v>
      </c>
      <c r="AY21" s="679">
        <f>-'SVF1'!AY17</f>
        <v>-425</v>
      </c>
      <c r="AZ21" s="622">
        <v>-1000</v>
      </c>
      <c r="BA21" s="36">
        <f t="shared" ref="BA21:BA25" si="14">SUM(AW21:AZ21)</f>
        <v>-3925</v>
      </c>
      <c r="BB21" s="1143">
        <f>-'SVF1'!BB46</f>
        <v>-1760</v>
      </c>
      <c r="BC21" s="1143">
        <f>-'SVF1'!BC46</f>
        <v>-1740</v>
      </c>
      <c r="BD21" s="1143">
        <f>-'SVF1'!BD46</f>
        <v>-1725</v>
      </c>
      <c r="BE21" s="1143">
        <f>-'SVF1'!BE46</f>
        <v>-1700</v>
      </c>
      <c r="BF21" s="36">
        <f t="shared" si="13"/>
        <v>-6925</v>
      </c>
    </row>
    <row r="22" spans="1:68" outlineLevel="1">
      <c r="A22" s="34" t="s">
        <v>2596</v>
      </c>
      <c r="AR22" s="36">
        <f>-'SVF2'!AR19</f>
        <v>-100</v>
      </c>
      <c r="AS22" s="36">
        <f>-'SVF2'!AS19</f>
        <v>-100</v>
      </c>
      <c r="AT22" s="36">
        <f>-'SVF2'!AT19</f>
        <v>-500</v>
      </c>
      <c r="AU22" s="36">
        <f>-'SVF2'!AU19</f>
        <v>-1700</v>
      </c>
      <c r="AV22" s="36">
        <f t="shared" si="8"/>
        <v>-2400</v>
      </c>
      <c r="AW22" s="36">
        <f>-'SVF2'!AW19</f>
        <v>-2200</v>
      </c>
      <c r="AX22" s="36">
        <f>-'SVF2'!AX19</f>
        <v>-200</v>
      </c>
      <c r="AY22" s="36">
        <f>-'SVF2'!AY19</f>
        <v>0</v>
      </c>
      <c r="AZ22" s="36">
        <f>-'SVF2'!AZ19</f>
        <v>-480</v>
      </c>
      <c r="BA22" s="36">
        <f t="shared" si="14"/>
        <v>-2880</v>
      </c>
      <c r="BB22" s="1143">
        <f>-'SVF2'!BB19</f>
        <v>-760</v>
      </c>
      <c r="BC22" s="1143">
        <f>-'SVF2'!BC19</f>
        <v>-865</v>
      </c>
      <c r="BD22" s="1143">
        <f>-'SVF2'!BD19</f>
        <v>-975</v>
      </c>
      <c r="BE22" s="1143">
        <f>-'SVF2'!BE19</f>
        <v>-1010</v>
      </c>
      <c r="BF22" s="36">
        <f t="shared" si="13"/>
        <v>-3610</v>
      </c>
    </row>
    <row r="23" spans="1:68" outlineLevel="1">
      <c r="A23" s="34" t="s">
        <v>2597</v>
      </c>
      <c r="AR23" s="36">
        <f>-'SVF Segment'!AR988</f>
        <v>0</v>
      </c>
      <c r="AS23" s="36">
        <f>-'SVF Segment'!AS988</f>
        <v>0</v>
      </c>
      <c r="AT23" s="36">
        <f>-'SVF Segment'!AT988</f>
        <v>0</v>
      </c>
      <c r="AU23" s="36">
        <f>-'SVF Segment'!AU988</f>
        <v>0</v>
      </c>
      <c r="AV23" s="36">
        <f t="shared" si="8"/>
        <v>0</v>
      </c>
      <c r="AW23" s="36">
        <f>-'SVF Segment'!AW988</f>
        <v>0</v>
      </c>
      <c r="AX23" s="36">
        <f>-'SVF Segment'!AX988</f>
        <v>0</v>
      </c>
      <c r="AY23" s="36">
        <f>-'SVF Segment'!AY988</f>
        <v>-70</v>
      </c>
      <c r="AZ23" s="36">
        <f>-'SVF Segment'!AZ988</f>
        <v>-70</v>
      </c>
      <c r="BA23" s="36">
        <f t="shared" si="14"/>
        <v>-140</v>
      </c>
      <c r="BB23" s="36"/>
      <c r="BC23" s="36"/>
      <c r="BD23" s="36"/>
      <c r="BE23" s="36"/>
      <c r="BF23" s="36"/>
    </row>
    <row r="24" spans="1:68">
      <c r="A24" s="5" t="s">
        <v>2598</v>
      </c>
      <c r="AR24" s="36">
        <f>SUM(AR21:AR23)</f>
        <v>-1000</v>
      </c>
      <c r="AS24" s="36">
        <f>SUM(AS21:AS23)</f>
        <v>-1000</v>
      </c>
      <c r="AT24" s="36">
        <f>SUM(AT21:AT23)</f>
        <v>-1300</v>
      </c>
      <c r="AU24" s="36">
        <f>SUM(AU21:AU23)</f>
        <v>-2400</v>
      </c>
      <c r="AV24" s="36">
        <f t="shared" si="8"/>
        <v>-5700</v>
      </c>
      <c r="AW24" s="36">
        <f>SUM(AW21:AW23)</f>
        <v>-3500</v>
      </c>
      <c r="AX24" s="36">
        <f>SUM(AX21:AX23)</f>
        <v>-1400</v>
      </c>
      <c r="AY24" s="36">
        <f>SUM(AY21:AY23)</f>
        <v>-495</v>
      </c>
      <c r="AZ24" s="36">
        <f>SUM(AZ21:AZ23)</f>
        <v>-1550</v>
      </c>
      <c r="BA24" s="36">
        <f t="shared" si="14"/>
        <v>-6945</v>
      </c>
      <c r="BB24" s="36">
        <f>SUM(BB21:BB23)</f>
        <v>-2520</v>
      </c>
      <c r="BC24" s="36">
        <f>SUM(BC21:BC23)</f>
        <v>-2605</v>
      </c>
      <c r="BD24" s="36">
        <f>SUM(BD21:BD23)</f>
        <v>-2700</v>
      </c>
      <c r="BE24" s="36">
        <f>SUM(BE21:BE23)</f>
        <v>-2710</v>
      </c>
      <c r="BF24" s="36">
        <f t="shared" ref="BF24:BF26" si="15">SUM(BB24:BE24)</f>
        <v>-10535</v>
      </c>
    </row>
    <row r="25" spans="1:68">
      <c r="A25" s="5" t="s">
        <v>2523</v>
      </c>
      <c r="AR25" s="36">
        <f>AR126</f>
        <v>205</v>
      </c>
      <c r="AS25" s="36">
        <f>AS126</f>
        <v>0</v>
      </c>
      <c r="AT25" s="36">
        <f>AT126</f>
        <v>210</v>
      </c>
      <c r="AU25" s="36">
        <f>AU126</f>
        <v>0</v>
      </c>
      <c r="AV25" s="36">
        <f t="shared" si="8"/>
        <v>415</v>
      </c>
      <c r="AW25" s="36">
        <f>AW126</f>
        <v>220</v>
      </c>
      <c r="AX25" s="36">
        <f>AX126</f>
        <v>0</v>
      </c>
      <c r="AY25" s="36">
        <f>AY126</f>
        <v>205</v>
      </c>
      <c r="AZ25" s="36">
        <f>AZ126</f>
        <v>0</v>
      </c>
      <c r="BA25" s="36">
        <f t="shared" si="14"/>
        <v>425</v>
      </c>
      <c r="BB25" s="36">
        <f>BB126</f>
        <v>205</v>
      </c>
      <c r="BC25" s="36">
        <f>BC126</f>
        <v>0</v>
      </c>
      <c r="BD25" s="36">
        <f>BD126</f>
        <v>205</v>
      </c>
      <c r="BE25" s="36">
        <f>BE126</f>
        <v>0</v>
      </c>
      <c r="BF25" s="36">
        <f t="shared" si="15"/>
        <v>410</v>
      </c>
    </row>
    <row r="26" spans="1:68">
      <c r="A26" s="5" t="s">
        <v>2953</v>
      </c>
      <c r="AT26" s="763">
        <v>500</v>
      </c>
      <c r="AU26" s="763">
        <v>1700</v>
      </c>
      <c r="AV26" s="36">
        <f t="shared" si="8"/>
        <v>2200</v>
      </c>
      <c r="AW26" s="651">
        <v>7500</v>
      </c>
      <c r="AX26" s="763">
        <v>1100</v>
      </c>
      <c r="AY26" s="651">
        <f>1000*FP!$Q$12+1450</f>
        <v>23950</v>
      </c>
      <c r="AZ26" s="36"/>
      <c r="BA26" s="36">
        <f t="shared" ref="BA26:BA35" si="16">SUM(AW26:AZ26)</f>
        <v>32550</v>
      </c>
      <c r="BB26" s="36">
        <f t="shared" ref="BB26:BE27" si="17">-BB75</f>
        <v>10000</v>
      </c>
      <c r="BC26" s="36">
        <f t="shared" si="17"/>
        <v>10000</v>
      </c>
      <c r="BD26" s="36">
        <f t="shared" si="17"/>
        <v>10000</v>
      </c>
      <c r="BE26" s="36">
        <f t="shared" si="17"/>
        <v>0</v>
      </c>
      <c r="BF26" s="36">
        <f t="shared" si="15"/>
        <v>30000</v>
      </c>
    </row>
    <row r="27" spans="1:68">
      <c r="A27" s="5" t="s">
        <v>2954</v>
      </c>
      <c r="AR27" s="622">
        <f>800+295</f>
        <v>1095</v>
      </c>
      <c r="AS27" s="622">
        <f>650+95</f>
        <v>745</v>
      </c>
      <c r="AT27" s="622"/>
      <c r="AU27" s="622">
        <f>MROUND(1000*AVERAGE('SoftBank Other (13F)'!$AR$41:$AS$41), 100)</f>
        <v>3000</v>
      </c>
      <c r="AV27" s="36">
        <f t="shared" si="8"/>
        <v>4840</v>
      </c>
      <c r="AW27" s="622">
        <v>0</v>
      </c>
      <c r="AX27" s="622">
        <f>2000-MROUND('SoftBank Other (13F)'!$AY$91*'SoftBank Other (13F)'!$AW$94, 25)-MROUND('SoftBank Other (13F)'!$AY$187*'SoftBank Other (13F)'!$AW$190, 25)</f>
        <v>1525</v>
      </c>
      <c r="AY27" s="622">
        <v>-5800</v>
      </c>
      <c r="AZ27" s="648">
        <f>500+700-MROUND((3.5*55), 5)</f>
        <v>1005</v>
      </c>
      <c r="BA27" s="36">
        <f t="shared" si="16"/>
        <v>-3270</v>
      </c>
      <c r="BB27" s="36"/>
      <c r="BC27" s="36">
        <f t="shared" si="17"/>
        <v>5375</v>
      </c>
      <c r="BD27" s="36">
        <f t="shared" si="17"/>
        <v>2925</v>
      </c>
      <c r="BE27" s="36">
        <f t="shared" si="17"/>
        <v>0</v>
      </c>
      <c r="BF27" s="36">
        <f t="shared" ref="BF27" si="18">SUM(BB27:BE27)</f>
        <v>8300</v>
      </c>
    </row>
    <row r="28" spans="1:68">
      <c r="A28" s="5" t="s">
        <v>2746</v>
      </c>
      <c r="AR28" s="649"/>
      <c r="AS28" s="649"/>
      <c r="AT28" s="649"/>
      <c r="AU28" s="649"/>
      <c r="AV28" s="36"/>
      <c r="AW28" s="651">
        <v>500</v>
      </c>
      <c r="AX28" s="622">
        <v>500</v>
      </c>
      <c r="AY28" s="622">
        <v>750</v>
      </c>
      <c r="AZ28" s="651">
        <v>1000</v>
      </c>
      <c r="BA28" s="36">
        <f t="shared" si="16"/>
        <v>2750</v>
      </c>
      <c r="BB28" s="1083">
        <v>500</v>
      </c>
      <c r="BC28" s="1083">
        <v>500</v>
      </c>
      <c r="BD28" s="1083">
        <v>500</v>
      </c>
      <c r="BE28" s="1083">
        <v>500</v>
      </c>
      <c r="BF28" s="36">
        <f t="shared" ref="BF28:BF30" si="19">SUM(BB28:BE28)</f>
        <v>2000</v>
      </c>
      <c r="BH28" s="318" t="s">
        <v>3125</v>
      </c>
      <c r="BI28" s="676"/>
      <c r="BJ28" s="676"/>
      <c r="BK28" s="676"/>
      <c r="BL28" s="676"/>
      <c r="BM28" s="676"/>
      <c r="BN28" s="676"/>
      <c r="BO28" s="676"/>
      <c r="BP28" s="676"/>
    </row>
    <row r="29" spans="1:68">
      <c r="A29" s="5" t="s">
        <v>2798</v>
      </c>
      <c r="AR29" s="649"/>
      <c r="AS29" s="649"/>
      <c r="AT29" s="649"/>
      <c r="AU29" s="649"/>
      <c r="AV29" s="36"/>
      <c r="AW29" s="651"/>
      <c r="AX29" s="651"/>
      <c r="AY29" s="651">
        <v>6500</v>
      </c>
      <c r="AZ29" s="651"/>
      <c r="BA29" s="36">
        <f t="shared" si="16"/>
        <v>6500</v>
      </c>
      <c r="BB29" s="36"/>
      <c r="BC29" s="36"/>
      <c r="BD29" s="36"/>
      <c r="BE29" s="36"/>
      <c r="BF29" s="36"/>
    </row>
    <row r="30" spans="1:68">
      <c r="A30" s="5" t="s">
        <v>2802</v>
      </c>
      <c r="AR30" s="649"/>
      <c r="AS30" s="649"/>
      <c r="AT30" s="649"/>
      <c r="AU30" s="649"/>
      <c r="AV30" s="36"/>
      <c r="AW30" s="649"/>
      <c r="AX30" s="649"/>
      <c r="AY30" s="749">
        <f>-AY61</f>
        <v>-11250</v>
      </c>
      <c r="AZ30" s="649"/>
      <c r="BA30" s="36">
        <f t="shared" si="16"/>
        <v>-11250</v>
      </c>
      <c r="BB30" s="36"/>
      <c r="BC30" s="622">
        <f>-BC61</f>
        <v>-2500</v>
      </c>
      <c r="BD30" s="36"/>
      <c r="BE30" s="36"/>
      <c r="BF30" s="36">
        <f t="shared" si="19"/>
        <v>-2500</v>
      </c>
    </row>
    <row r="31" spans="1:68">
      <c r="A31" s="5" t="s">
        <v>2873</v>
      </c>
      <c r="AR31" s="649"/>
      <c r="AS31" s="649"/>
      <c r="AT31" s="649"/>
      <c r="AU31" s="749">
        <f>-AU60</f>
        <v>-2200</v>
      </c>
      <c r="AV31" s="36">
        <f t="shared" si="8"/>
        <v>-2200</v>
      </c>
      <c r="AW31" s="59"/>
      <c r="AX31" s="59"/>
      <c r="AY31" s="749">
        <f>-AY60</f>
        <v>-2300</v>
      </c>
      <c r="AZ31" s="59"/>
      <c r="BA31" s="36">
        <f t="shared" si="16"/>
        <v>-2300</v>
      </c>
      <c r="BB31" s="36"/>
      <c r="BC31" s="36"/>
      <c r="BD31" s="36"/>
      <c r="BE31" s="36"/>
      <c r="BF31" s="36"/>
    </row>
    <row r="32" spans="1:68">
      <c r="A32" s="5" t="s">
        <v>3502</v>
      </c>
      <c r="AR32" s="649"/>
      <c r="AS32" s="649"/>
      <c r="AT32" s="649"/>
      <c r="AU32" s="1101"/>
      <c r="AV32" s="36"/>
      <c r="AW32" s="59">
        <f>-AW62</f>
        <v>0</v>
      </c>
      <c r="AX32" s="59">
        <f t="shared" ref="AX32:AZ32" si="20">-AX62</f>
        <v>-1150</v>
      </c>
      <c r="AY32" s="59">
        <f t="shared" si="20"/>
        <v>-985</v>
      </c>
      <c r="AZ32" s="59">
        <f t="shared" si="20"/>
        <v>0</v>
      </c>
      <c r="BA32" s="36">
        <f t="shared" si="16"/>
        <v>-2135</v>
      </c>
      <c r="BB32" s="59">
        <f>-BB62</f>
        <v>-1500</v>
      </c>
      <c r="BC32" s="59">
        <f t="shared" ref="BC32:BE32" si="21">-BC62</f>
        <v>-1250</v>
      </c>
      <c r="BD32" s="59">
        <f t="shared" si="21"/>
        <v>-1000</v>
      </c>
      <c r="BE32" s="59">
        <f t="shared" si="21"/>
        <v>-1500</v>
      </c>
      <c r="BF32" s="36">
        <f t="shared" ref="BF32" si="22">SUM(BB32:BE32)</f>
        <v>-5250</v>
      </c>
    </row>
    <row r="33" spans="1:60" s="706" customFormat="1">
      <c r="A33" s="709" t="s">
        <v>2698</v>
      </c>
      <c r="AR33" s="695"/>
      <c r="AS33" s="679">
        <f>AS167</f>
        <v>1025</v>
      </c>
      <c r="AT33" s="679">
        <f>AT167</f>
        <v>350</v>
      </c>
      <c r="AU33" s="679">
        <f>AU167</f>
        <v>195</v>
      </c>
      <c r="AV33" s="36">
        <f t="shared" si="8"/>
        <v>1570</v>
      </c>
      <c r="AW33" s="679">
        <f>AW167</f>
        <v>640</v>
      </c>
      <c r="AX33" s="679">
        <f t="shared" ref="AX33:AZ33" si="23">AX167</f>
        <v>0</v>
      </c>
      <c r="AY33" s="679">
        <f>AY167</f>
        <v>0</v>
      </c>
      <c r="AZ33" s="679">
        <f t="shared" si="23"/>
        <v>0</v>
      </c>
      <c r="BA33" s="36">
        <f t="shared" si="16"/>
        <v>640</v>
      </c>
      <c r="BB33" s="36"/>
      <c r="BC33" s="36"/>
      <c r="BD33" s="36"/>
      <c r="BE33" s="36"/>
      <c r="BF33" s="36"/>
      <c r="BH33" s="710"/>
    </row>
    <row r="34" spans="1:60">
      <c r="A34" s="5" t="s">
        <v>2532</v>
      </c>
      <c r="AR34" s="36">
        <f>SUM(AR49:AR50)</f>
        <v>-1415</v>
      </c>
      <c r="AS34" s="36">
        <f>SUM(AS49:AS50)</f>
        <v>3200</v>
      </c>
      <c r="AT34" s="36">
        <f>SUM(AT49:AT50)</f>
        <v>-2635</v>
      </c>
      <c r="AU34" s="36">
        <f>SUM(AU49:AU50)</f>
        <v>1655</v>
      </c>
      <c r="AV34" s="36">
        <f t="shared" si="8"/>
        <v>805</v>
      </c>
      <c r="AW34" s="36">
        <f>SUM(AW49:AW50)</f>
        <v>1035</v>
      </c>
      <c r="AX34" s="36">
        <f>SUM(AX49:AX50)</f>
        <v>-1225</v>
      </c>
      <c r="AY34" s="36">
        <f>SUM(AY49:AY50)</f>
        <v>-2255</v>
      </c>
      <c r="AZ34" s="36">
        <f>SUM(AZ49:AZ50)</f>
        <v>460</v>
      </c>
      <c r="BA34" s="36">
        <f t="shared" si="16"/>
        <v>-1985</v>
      </c>
      <c r="BB34" s="36">
        <f>SUM(BB49:BB50)</f>
        <v>125</v>
      </c>
      <c r="BC34" s="36">
        <f>SUM(BC49:BC50)</f>
        <v>0</v>
      </c>
      <c r="BD34" s="36">
        <f>SUM(BD49:BD50)</f>
        <v>0</v>
      </c>
      <c r="BE34" s="36">
        <f>SUM(BE49:BE50)</f>
        <v>0</v>
      </c>
      <c r="BF34" s="36">
        <f t="shared" ref="BF34" si="24">SUM(BB34:BE34)</f>
        <v>125</v>
      </c>
    </row>
    <row r="35" spans="1:60" s="219" customFormat="1">
      <c r="A35" s="704" t="s">
        <v>2517</v>
      </c>
      <c r="AR35" s="649">
        <f>AR36-SUM(AR12:AR15)-AR19-AR20-AR24-AR25-AR26-AR27-AR28-AR29-AR31-AR30-AR33-AR34</f>
        <v>154.70229999999992</v>
      </c>
      <c r="AS35" s="649">
        <f>AS36-SUM(AS12:AS15)-AS19-AS20-AS24-AS25-AS26-AS27-AS28-AS29-AS31-AS30-AS33-AS34</f>
        <v>4530</v>
      </c>
      <c r="AT35" s="649">
        <f>AT36-SUM(AT12:AT15)-AT19-AT20-AT24-AT25-AT26-AT27-AT28-AT29-AT31-AT30-AT33-AT34</f>
        <v>1245</v>
      </c>
      <c r="AU35" s="649">
        <f>AU36-SUM(AU12:AU15)-AU19-AU20-AU24-AU25-AU26-AU27-AU28-AU29-AU31-AU30-AU33-AU34</f>
        <v>6745</v>
      </c>
      <c r="AV35" s="36">
        <f t="shared" si="8"/>
        <v>12674.702300000001</v>
      </c>
      <c r="AW35" s="649">
        <f>AW36-SUM(AW12:AW15)-AW19-AW20-AW24-AW25-AW26-AW27-AW28-AW29-AW31-AW30-AW33-AW34</f>
        <v>6785</v>
      </c>
      <c r="AX35" s="649">
        <f>AX36-SUM(AX12:AX15)-AX19-AX20-AX24-AX25-AX26-AX27-AX28-AX29-AX31-AX30-AX33-AX34</f>
        <v>2755</v>
      </c>
      <c r="AY35" s="649">
        <f>AY36-SUM(AY12:AY15)-AY19-AY20-AY24-AY25-AY26-AY27-AY28-AY29-AY31-AY30-AY33-AY34</f>
        <v>2585</v>
      </c>
      <c r="AZ35" s="649"/>
      <c r="BA35" s="36">
        <f t="shared" si="16"/>
        <v>12125</v>
      </c>
      <c r="BB35" s="36"/>
      <c r="BC35" s="36"/>
      <c r="BD35" s="36"/>
      <c r="BE35" s="36"/>
      <c r="BF35" s="36"/>
      <c r="BH35" s="705"/>
    </row>
    <row r="36" spans="1:60">
      <c r="A36" s="9" t="s">
        <v>2516</v>
      </c>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646">
        <f>MROUND('Net debt &amp; LTV'!AQ253, 5)</f>
        <v>18760</v>
      </c>
      <c r="AR36" s="646">
        <f>MROUND('Net debt &amp; LTV'!AR253, 5)</f>
        <v>20300</v>
      </c>
      <c r="AS36" s="646">
        <f>MROUND('Net debt &amp; LTV'!AS253, 5)</f>
        <v>31060</v>
      </c>
      <c r="AT36" s="646">
        <f>MROUND('Net debt &amp; LTV'!AT253, 5)</f>
        <v>29380</v>
      </c>
      <c r="AU36" s="646">
        <f>MROUND('Net debt &amp; LTV'!AU253, 5)</f>
        <v>39930</v>
      </c>
      <c r="AV36" s="39">
        <f>MROUND(AV12+AV13+AV14+AV15+AV19+AV20+AV24+AV25+AV26+AV27+AV28+AV29+AV30+AV31+AV33+AV34+AV35, 5)</f>
        <v>39930</v>
      </c>
      <c r="AW36" s="646">
        <f>MROUND('Net debt &amp; LTV'!AW253, 5)</f>
        <v>48220</v>
      </c>
      <c r="AX36" s="646">
        <f>MROUND('Net debt &amp; LTV'!AX253, 5)</f>
        <v>47180</v>
      </c>
      <c r="AY36" s="646">
        <f>MROUND('Net debt &amp; LTV'!AY253, 5)</f>
        <v>55735</v>
      </c>
      <c r="AZ36" s="39">
        <f t="shared" ref="AZ36:BF36" si="25">MROUND(AZ12+AZ13+AZ14+AZ15+AZ19+AZ20+AZ24+AZ25+AZ26+AZ27+AZ28+AZ29+AZ30+AZ31+AZ33+AZ34+AZ35, 5)</f>
        <v>55505</v>
      </c>
      <c r="BA36" s="39">
        <f t="shared" si="25"/>
        <v>55505</v>
      </c>
      <c r="BB36" s="39">
        <f t="shared" si="25"/>
        <v>61000</v>
      </c>
      <c r="BC36" s="39">
        <f t="shared" si="25"/>
        <v>73000</v>
      </c>
      <c r="BD36" s="39">
        <f t="shared" si="25"/>
        <v>84695</v>
      </c>
      <c r="BE36" s="39">
        <f t="shared" si="25"/>
        <v>83790</v>
      </c>
      <c r="BF36" s="39">
        <f t="shared" si="25"/>
        <v>83790</v>
      </c>
    </row>
    <row r="37" spans="1:60">
      <c r="A37" s="1" t="s">
        <v>2576</v>
      </c>
      <c r="AR37" s="36">
        <f>AR36-AQ36</f>
        <v>1540</v>
      </c>
      <c r="AS37" s="36">
        <f>AS36-AR36</f>
        <v>10760</v>
      </c>
      <c r="AT37" s="36">
        <f>AT36-AS36</f>
        <v>-1680</v>
      </c>
      <c r="AU37" s="36">
        <f>AU36-AT36</f>
        <v>10550</v>
      </c>
      <c r="AV37" s="36">
        <f>SUM(AR37:AU37)</f>
        <v>21170</v>
      </c>
      <c r="AW37" s="36">
        <f>AW36-AV36</f>
        <v>8290</v>
      </c>
      <c r="AX37" s="36">
        <f>AX36-AW36</f>
        <v>-1040</v>
      </c>
      <c r="AY37" s="36">
        <f>AY36-AX36</f>
        <v>8555</v>
      </c>
      <c r="AZ37" s="36">
        <f>AZ36-AY36</f>
        <v>-230</v>
      </c>
      <c r="BA37" s="36">
        <f>SUM(AW37:AZ37)</f>
        <v>15575</v>
      </c>
      <c r="BB37" s="36">
        <f>BB36-BA36</f>
        <v>5495</v>
      </c>
      <c r="BC37" s="36">
        <f>BC36-BB36</f>
        <v>12000</v>
      </c>
      <c r="BD37" s="36">
        <f>BD36-BC36</f>
        <v>11695</v>
      </c>
      <c r="BE37" s="36">
        <f>BE36-BD36</f>
        <v>-905</v>
      </c>
      <c r="BF37" s="36">
        <f>SUM(BB37:BE37)</f>
        <v>28285</v>
      </c>
    </row>
    <row r="39" spans="1:60">
      <c r="A39" s="1" t="s">
        <v>2529</v>
      </c>
      <c r="AQ39" s="36">
        <f t="shared" ref="AQ39:AW39" si="26">AQ36*AQ42/1000</f>
        <v>2840.4515999999999</v>
      </c>
      <c r="AR39" s="36">
        <f t="shared" si="26"/>
        <v>3269.721</v>
      </c>
      <c r="AS39" s="36">
        <f t="shared" si="26"/>
        <v>4433.1938</v>
      </c>
      <c r="AT39" s="36">
        <f t="shared" si="26"/>
        <v>4647.3284000000003</v>
      </c>
      <c r="AU39" s="36">
        <f t="shared" si="26"/>
        <v>5970.3336000000008</v>
      </c>
      <c r="AV39" s="36">
        <f t="shared" si="26"/>
        <v>5970.3336000000008</v>
      </c>
      <c r="AW39" s="36">
        <f t="shared" si="26"/>
        <v>6982.7381999999998</v>
      </c>
      <c r="AX39" s="36">
        <f t="shared" ref="AX39:AY39" si="27">AX36*AX42/1000</f>
        <v>7024.1583999999993</v>
      </c>
      <c r="AY39" s="36">
        <f t="shared" si="27"/>
        <v>8725.8716000000004</v>
      </c>
    </row>
    <row r="40" spans="1:60">
      <c r="A40" s="1" t="s">
        <v>2577</v>
      </c>
      <c r="AR40" s="36">
        <f>AR39-AQ39</f>
        <v>429.26940000000013</v>
      </c>
      <c r="AS40" s="36">
        <f>AS39-AR39</f>
        <v>1163.4728</v>
      </c>
      <c r="AT40" s="36">
        <f>AT39-AS39</f>
        <v>214.13460000000032</v>
      </c>
      <c r="AU40" s="36">
        <f>AU39-AT39</f>
        <v>1323.0052000000005</v>
      </c>
      <c r="AV40" s="36">
        <f>SUM(AR40:AU40)</f>
        <v>3129.882000000001</v>
      </c>
      <c r="AW40" s="36">
        <f>AW39-AV39</f>
        <v>1012.4045999999989</v>
      </c>
      <c r="AX40" s="36">
        <f>AX39-AW39</f>
        <v>41.420199999999568</v>
      </c>
      <c r="AY40" s="36">
        <f>AY39-AX39</f>
        <v>1701.7132000000011</v>
      </c>
    </row>
    <row r="42" spans="1:60">
      <c r="A42" s="1" t="s">
        <v>2528</v>
      </c>
      <c r="AQ42" s="24">
        <f>FX!AQ6</f>
        <v>151.41</v>
      </c>
      <c r="AR42" s="24">
        <f>FX!AR6</f>
        <v>161.07</v>
      </c>
      <c r="AS42" s="24">
        <f>FX!AS6</f>
        <v>142.72999999999999</v>
      </c>
      <c r="AT42" s="24">
        <f>FX!AT6</f>
        <v>158.18</v>
      </c>
      <c r="AU42" s="24">
        <f>FX!AU6</f>
        <v>149.52000000000001</v>
      </c>
      <c r="AV42" s="24">
        <f>FX!AV6</f>
        <v>149.52000000000001</v>
      </c>
      <c r="AW42" s="24">
        <f>FX!AW6</f>
        <v>144.81</v>
      </c>
      <c r="AX42" s="24">
        <f>FX!AX6</f>
        <v>148.88</v>
      </c>
      <c r="AY42" s="24">
        <f>FX!AY6</f>
        <v>156.56</v>
      </c>
      <c r="AZ42" s="24">
        <f>FX!AZ6</f>
        <v>155.1</v>
      </c>
      <c r="BA42" s="24">
        <f>FX!BA6</f>
        <v>155.1</v>
      </c>
      <c r="BB42" s="24">
        <f>FX!BB6</f>
        <v>154.70000000000002</v>
      </c>
      <c r="BC42" s="24">
        <f>FX!BC6</f>
        <v>154.30000000000001</v>
      </c>
      <c r="BD42" s="24">
        <f>FX!BD6</f>
        <v>153.9</v>
      </c>
      <c r="BE42" s="24">
        <f>FX!BE6</f>
        <v>153.5</v>
      </c>
      <c r="BF42" s="24"/>
    </row>
    <row r="43" spans="1:60">
      <c r="A43" s="1" t="s">
        <v>2530</v>
      </c>
      <c r="AQ43" s="642">
        <f t="shared" ref="AQ43:AW43" si="28">1/AQ42</f>
        <v>6.6045835810052177E-3</v>
      </c>
      <c r="AR43" s="642">
        <f t="shared" si="28"/>
        <v>6.2084807847519715E-3</v>
      </c>
      <c r="AS43" s="642">
        <f t="shared" si="28"/>
        <v>7.0062355496391792E-3</v>
      </c>
      <c r="AT43" s="642">
        <f t="shared" si="28"/>
        <v>6.3219117461120241E-3</v>
      </c>
      <c r="AU43" s="642">
        <f t="shared" si="28"/>
        <v>6.6880684858212939E-3</v>
      </c>
      <c r="AV43" s="642">
        <f t="shared" si="28"/>
        <v>6.6880684858212939E-3</v>
      </c>
      <c r="AW43" s="642">
        <f t="shared" si="28"/>
        <v>6.9056004419584278E-3</v>
      </c>
      <c r="AX43" s="642">
        <f t="shared" ref="AX43:BA43" si="29">1/AX42</f>
        <v>6.7168189145620635E-3</v>
      </c>
      <c r="AY43" s="642">
        <f t="shared" si="29"/>
        <v>6.3873275421563614E-3</v>
      </c>
      <c r="AZ43" s="642">
        <f t="shared" si="29"/>
        <v>6.4474532559638947E-3</v>
      </c>
      <c r="BA43" s="642">
        <f t="shared" si="29"/>
        <v>6.4474532559638947E-3</v>
      </c>
      <c r="BB43" s="642">
        <f t="shared" ref="BB43:BE43" si="30">1/BB42</f>
        <v>6.4641241111829343E-3</v>
      </c>
      <c r="BC43" s="642">
        <f t="shared" si="30"/>
        <v>6.4808813998703816E-3</v>
      </c>
      <c r="BD43" s="642">
        <f t="shared" si="30"/>
        <v>6.4977257959714096E-3</v>
      </c>
      <c r="BE43" s="642">
        <f t="shared" si="30"/>
        <v>6.5146579804560263E-3</v>
      </c>
    </row>
    <row r="44" spans="1:60">
      <c r="A44" s="1" t="s">
        <v>2531</v>
      </c>
      <c r="AQ44" s="24"/>
      <c r="AR44" s="16">
        <f>AR43/AQ43-1</f>
        <v>-5.9973924380704036E-2</v>
      </c>
      <c r="AS44" s="16">
        <f>AS43/AR43-1</f>
        <v>0.1284943599803825</v>
      </c>
      <c r="AT44" s="16">
        <f>AT43/AS43-1</f>
        <v>-9.7673536477430822E-2</v>
      </c>
      <c r="AU44" s="16">
        <f>AU43/AT43-1</f>
        <v>5.7918673087212325E-2</v>
      </c>
      <c r="AV44" s="24"/>
      <c r="AW44" s="16">
        <f>AW43/AV43-1</f>
        <v>3.2525378081624368E-2</v>
      </c>
      <c r="AX44" s="16">
        <f>AX43/AW43-1</f>
        <v>-2.7337452982267529E-2</v>
      </c>
      <c r="AY44" s="16">
        <f>AY43/AX43-1</f>
        <v>-4.9054675523760971E-2</v>
      </c>
      <c r="AZ44" s="16">
        <f>AZ43/AY43-1</f>
        <v>9.4132817537073699E-3</v>
      </c>
      <c r="BA44" s="24"/>
      <c r="BB44" s="16">
        <f>BB43/BA43-1</f>
        <v>2.5856496444729427E-3</v>
      </c>
      <c r="BC44" s="16">
        <f>BC43/BB43-1</f>
        <v>2.5923525599480524E-3</v>
      </c>
      <c r="BD44" s="16">
        <f>BD43/BC43-1</f>
        <v>2.5990903183885639E-3</v>
      </c>
      <c r="BE44" s="16">
        <f>BE43/BD43-1</f>
        <v>2.6058631921825892E-3</v>
      </c>
    </row>
    <row r="45" spans="1:60">
      <c r="AQ45" s="24"/>
      <c r="AR45" s="24"/>
    </row>
    <row r="46" spans="1:60">
      <c r="A46" s="1" t="s">
        <v>3126</v>
      </c>
      <c r="AQ46" s="24"/>
      <c r="AR46" s="261">
        <v>0.7</v>
      </c>
      <c r="AS46" s="261">
        <v>0.7</v>
      </c>
      <c r="AT46" s="261">
        <v>0.6</v>
      </c>
      <c r="AU46" s="261">
        <v>0.65</v>
      </c>
      <c r="AW46" s="261">
        <v>0.6</v>
      </c>
      <c r="AX46" s="261">
        <v>0.7</v>
      </c>
      <c r="AY46" s="1035">
        <v>0.7</v>
      </c>
      <c r="AZ46" s="1035">
        <v>0.7</v>
      </c>
      <c r="BB46" s="1035">
        <v>0.7</v>
      </c>
      <c r="BC46" s="1035">
        <v>0.7</v>
      </c>
      <c r="BD46" s="1035">
        <v>0.7</v>
      </c>
      <c r="BE46" s="1035">
        <v>0.7</v>
      </c>
    </row>
    <row r="47" spans="1:60">
      <c r="A47" s="1" t="s">
        <v>2533</v>
      </c>
      <c r="AQ47" s="24"/>
      <c r="AR47" s="261">
        <v>0.3</v>
      </c>
      <c r="AS47" s="261">
        <v>0.25</v>
      </c>
      <c r="AT47" s="261">
        <v>0.2</v>
      </c>
      <c r="AU47" s="261">
        <v>0.2</v>
      </c>
      <c r="AW47" s="261">
        <v>0.15</v>
      </c>
      <c r="AX47" s="261">
        <v>0.15</v>
      </c>
      <c r="AY47" s="1035">
        <v>0.15</v>
      </c>
      <c r="AZ47" s="1035">
        <v>0.15</v>
      </c>
      <c r="BB47" s="1035">
        <v>0.15</v>
      </c>
      <c r="BC47" s="1035">
        <v>0.15</v>
      </c>
      <c r="BD47" s="1035">
        <v>0.15</v>
      </c>
      <c r="BE47" s="1035">
        <v>0.15</v>
      </c>
    </row>
    <row r="48" spans="1:60">
      <c r="AQ48" s="24"/>
      <c r="AR48" s="643" t="str">
        <f>IF(AR44&lt;0, "Weaker", "Stronger")</f>
        <v>Weaker</v>
      </c>
      <c r="AS48" s="650" t="str">
        <f>IF(AS44&lt;0, "Weaker", "Stronger")</f>
        <v>Stronger</v>
      </c>
      <c r="AT48" s="643" t="str">
        <f>IF(AT44&lt;0, "Weaker", "Stronger")</f>
        <v>Weaker</v>
      </c>
      <c r="AU48" s="650" t="str">
        <f>IF(AU44&lt;0, "Weaker", "Stronger")</f>
        <v>Stronger</v>
      </c>
      <c r="AW48" s="650" t="str">
        <f>IF(AW44&lt;0, "Weaker", "Stronger")</f>
        <v>Stronger</v>
      </c>
      <c r="AX48" s="643" t="str">
        <f>IF(AX44&lt;0, "Weaker", "Stronger")</f>
        <v>Weaker</v>
      </c>
      <c r="AY48" s="643" t="str">
        <f>IF(AY44&lt;0, "Weaker", "Stronger")</f>
        <v>Weaker</v>
      </c>
      <c r="AZ48" s="650" t="str">
        <f>IF(AZ44&lt;0, "Weaker", "Stronger")</f>
        <v>Stronger</v>
      </c>
      <c r="BB48" s="650" t="str">
        <f>IF(BB44&lt;0, "Weaker", "Stronger")</f>
        <v>Stronger</v>
      </c>
      <c r="BC48" s="650" t="str">
        <f t="shared" ref="BC48:BE48" si="31">IF(BC44&lt;0, "Weaker", "Stronger")</f>
        <v>Stronger</v>
      </c>
      <c r="BD48" s="650" t="str">
        <f t="shared" si="31"/>
        <v>Stronger</v>
      </c>
      <c r="BE48" s="650" t="str">
        <f t="shared" si="31"/>
        <v>Stronger</v>
      </c>
    </row>
    <row r="49" spans="1:69">
      <c r="A49" s="1" t="s">
        <v>2535</v>
      </c>
      <c r="AQ49" s="24"/>
      <c r="AR49" s="649">
        <f>-MROUND(-AQ8*AR44*AR46, 5)</f>
        <v>-1885</v>
      </c>
      <c r="AS49" s="92">
        <f>MROUND(AR8*AS44*AS46, 5)</f>
        <v>3965</v>
      </c>
      <c r="AT49" s="649">
        <f>-MROUND(-AS8*AT44*AT46, 5)</f>
        <v>-3045</v>
      </c>
      <c r="AU49" s="92">
        <f>MROUND(AT8*AU44*AU46, 5)</f>
        <v>1895</v>
      </c>
      <c r="AW49" s="92">
        <f>MROUND(AV8*AW44*AW46, 5)</f>
        <v>1120</v>
      </c>
      <c r="AX49" s="649">
        <f>-MROUND(-AW8*AX44*AX46, 5)</f>
        <v>-1310</v>
      </c>
      <c r="AY49" s="649">
        <f>-MROUND(-AX8*AY44*AY46, 5)</f>
        <v>-2430</v>
      </c>
      <c r="AZ49" s="92">
        <f>MROUND(AY8*AZ44*AZ46, 5)</f>
        <v>485</v>
      </c>
      <c r="BB49" s="92">
        <f>MROUND(BA8*BB44*BB46, 5)</f>
        <v>130</v>
      </c>
      <c r="BC49" s="92">
        <f t="shared" ref="BC49:BE49" si="32">MROUND(BB8*BC44*BC46, 5)</f>
        <v>0</v>
      </c>
      <c r="BD49" s="92">
        <f t="shared" si="32"/>
        <v>0</v>
      </c>
      <c r="BE49" s="92">
        <f t="shared" si="32"/>
        <v>0</v>
      </c>
    </row>
    <row r="50" spans="1:69">
      <c r="A50" s="1" t="s">
        <v>2536</v>
      </c>
      <c r="AQ50" s="24"/>
      <c r="AR50" s="649">
        <f>MROUND(-AQ9*AR44*AR47, 5)</f>
        <v>470</v>
      </c>
      <c r="AS50" s="92">
        <f>-MROUND(AR9*AS44*AS47, 5)</f>
        <v>-765</v>
      </c>
      <c r="AT50" s="649">
        <f>MROUND(-AS9*AT44*AT47, 5)</f>
        <v>410</v>
      </c>
      <c r="AU50" s="92">
        <f>-MROUND(AT9*AU44*AU47, 5)</f>
        <v>-240</v>
      </c>
      <c r="AW50" s="92">
        <f>-MROUND(AV9*AW44*AW47, 5)</f>
        <v>-85</v>
      </c>
      <c r="AX50" s="649">
        <f>MROUND(-AW9*AX44*AX47, 5)</f>
        <v>85</v>
      </c>
      <c r="AY50" s="649">
        <f>MROUND(-AX9*AY44*AY47, 5)</f>
        <v>175</v>
      </c>
      <c r="AZ50" s="92">
        <f>-MROUND(AY9*AZ44*AZ47, 5)</f>
        <v>-25</v>
      </c>
      <c r="BB50" s="92">
        <f>-MROUND(BA9*BB44*BB47, 5)</f>
        <v>-5</v>
      </c>
      <c r="BC50" s="92">
        <f t="shared" ref="BC50:BE50" si="33">-MROUND(BB9*BC44*BC47, 5)</f>
        <v>0</v>
      </c>
      <c r="BD50" s="92">
        <f t="shared" si="33"/>
        <v>0</v>
      </c>
      <c r="BE50" s="92">
        <f t="shared" si="33"/>
        <v>0</v>
      </c>
    </row>
    <row r="52" spans="1:69" s="12" customFormat="1">
      <c r="A52" s="13" t="s">
        <v>2573</v>
      </c>
      <c r="AX52" s="227"/>
    </row>
    <row r="53" spans="1:69">
      <c r="AZ53" s="748" t="s">
        <v>2797</v>
      </c>
      <c r="BA53" s="618"/>
      <c r="BB53" s="618"/>
      <c r="BC53" s="618"/>
      <c r="BD53" s="618"/>
      <c r="BE53" s="618"/>
      <c r="BF53" s="618"/>
      <c r="BG53" s="618"/>
      <c r="BH53" s="618"/>
      <c r="BI53" s="618"/>
      <c r="BJ53" s="618"/>
      <c r="BK53" s="618"/>
    </row>
    <row r="54" spans="1:69">
      <c r="A54" s="1" t="s">
        <v>2534</v>
      </c>
      <c r="AR54" s="36">
        <f>AQ83</f>
        <v>26130</v>
      </c>
      <c r="AS54" s="36">
        <f>AR83</f>
        <v>23785</v>
      </c>
      <c r="AT54" s="36">
        <f>AS83</f>
        <v>20920</v>
      </c>
      <c r="AU54" s="36">
        <f>AT83</f>
        <v>20905</v>
      </c>
      <c r="AV54" s="36">
        <f>AQ83</f>
        <v>26130</v>
      </c>
      <c r="AW54" s="36">
        <f>AV83</f>
        <v>17545.000000000004</v>
      </c>
      <c r="AX54" s="36">
        <f>AW83</f>
        <v>20260</v>
      </c>
      <c r="AY54" s="36">
        <f>AX83</f>
        <v>23525</v>
      </c>
      <c r="AZ54" s="36">
        <f>AY83</f>
        <v>17985</v>
      </c>
      <c r="BA54" s="36">
        <f>AV83</f>
        <v>17545.000000000004</v>
      </c>
      <c r="BB54" s="36">
        <f>BA83</f>
        <v>17059.999999999996</v>
      </c>
      <c r="BC54" s="36">
        <f>BB83</f>
        <v>18499.999999999996</v>
      </c>
      <c r="BD54" s="36">
        <f>BC83</f>
        <v>11374.999999999996</v>
      </c>
      <c r="BE54" s="36">
        <f>BD83</f>
        <v>9684.9999999999964</v>
      </c>
      <c r="BF54" s="36">
        <f>BA83</f>
        <v>17059.999999999996</v>
      </c>
    </row>
    <row r="55" spans="1:69">
      <c r="A55" s="5" t="s">
        <v>2586</v>
      </c>
      <c r="AR55" s="36">
        <f>-'Net debt &amp; LTV'!AR330</f>
        <v>-225</v>
      </c>
      <c r="AS55" s="36">
        <f>-'Net debt &amp; LTV'!AS330</f>
        <v>-205</v>
      </c>
      <c r="AT55" s="36">
        <f>-'Net debt &amp; LTV'!AT330</f>
        <v>-355</v>
      </c>
      <c r="AU55" s="36">
        <f>-'Net debt &amp; LTV'!AU330</f>
        <v>-350</v>
      </c>
      <c r="AV55" s="36">
        <f>SUM(AR55:AU55)</f>
        <v>-1135</v>
      </c>
      <c r="AW55" s="36">
        <f>-'Net debt &amp; LTV'!AW330</f>
        <v>-460</v>
      </c>
      <c r="AX55" s="36">
        <f>-'Net debt &amp; LTV'!AX330</f>
        <v>-555</v>
      </c>
      <c r="AY55" s="36">
        <f>-'Net debt &amp; LTV'!AY330</f>
        <v>-595</v>
      </c>
      <c r="AZ55" s="36">
        <f>-'Net debt &amp; LTV'!AZ330</f>
        <v>-680</v>
      </c>
      <c r="BA55" s="36">
        <f t="shared" ref="BA55:BA62" si="34">SUM(AW55:AZ55)</f>
        <v>-2290</v>
      </c>
      <c r="BB55" s="36">
        <f>-'Net debt &amp; LTV'!BB330</f>
        <v>-685</v>
      </c>
      <c r="BC55" s="36">
        <f>-'Net debt &amp; LTV'!BC330</f>
        <v>-690</v>
      </c>
      <c r="BD55" s="36">
        <f>-'Net debt &amp; LTV'!BD330</f>
        <v>-705</v>
      </c>
      <c r="BE55" s="36">
        <f>-'Net debt &amp; LTV'!BE330</f>
        <v>-715</v>
      </c>
      <c r="BF55" s="36">
        <f t="shared" ref="BF55:BF82" si="35">SUM(BB55:BE55)</f>
        <v>-2795</v>
      </c>
    </row>
    <row r="56" spans="1:69">
      <c r="A56" s="5" t="s">
        <v>2956</v>
      </c>
      <c r="AR56" s="36">
        <f>-AR14</f>
        <v>-210</v>
      </c>
      <c r="AS56" s="36">
        <f>-AS14</f>
        <v>-210</v>
      </c>
      <c r="AT56" s="36">
        <f>-AT14</f>
        <v>-210</v>
      </c>
      <c r="AU56" s="36">
        <f>-AU14</f>
        <v>-230</v>
      </c>
      <c r="AV56" s="36">
        <f>SUM(AR56:AU56)</f>
        <v>-860</v>
      </c>
      <c r="AW56" s="36">
        <f>-AW14</f>
        <v>-240</v>
      </c>
      <c r="AX56" s="36">
        <f>-AX14</f>
        <v>-240</v>
      </c>
      <c r="AY56" s="36">
        <f>-AY14</f>
        <v>-490</v>
      </c>
      <c r="AZ56" s="36">
        <f>-AZ14</f>
        <v>-490</v>
      </c>
      <c r="BA56" s="36">
        <f>SUM(AW56:AZ56)</f>
        <v>-1460</v>
      </c>
      <c r="BB56" s="36">
        <f>-BB14</f>
        <v>-490</v>
      </c>
      <c r="BC56" s="36">
        <f>-BC14</f>
        <v>-540</v>
      </c>
      <c r="BD56" s="36">
        <f>-BD14</f>
        <v>-590</v>
      </c>
      <c r="BE56" s="36">
        <f>-BE14</f>
        <v>-590</v>
      </c>
      <c r="BF56" s="36">
        <f t="shared" si="35"/>
        <v>-2210</v>
      </c>
    </row>
    <row r="57" spans="1:69">
      <c r="A57" s="5" t="s">
        <v>2623</v>
      </c>
      <c r="AR57" s="36"/>
      <c r="AS57" s="613">
        <f>-AS15</f>
        <v>-1900</v>
      </c>
      <c r="AT57" s="36"/>
      <c r="AU57" s="613">
        <f>-AU15</f>
        <v>-1900</v>
      </c>
      <c r="AV57" s="36">
        <f>SUM(AR57:AU57)</f>
        <v>-3800</v>
      </c>
      <c r="AW57" s="36"/>
      <c r="AX57" s="613">
        <f>-AX15</f>
        <v>-1750</v>
      </c>
      <c r="AY57" s="36"/>
      <c r="AZ57" s="36"/>
      <c r="BA57" s="36">
        <f t="shared" si="34"/>
        <v>-1750</v>
      </c>
      <c r="BB57" s="36"/>
      <c r="BC57" s="36"/>
      <c r="BD57" s="36"/>
      <c r="BE57" s="36"/>
      <c r="BF57" s="36">
        <f t="shared" si="35"/>
        <v>0</v>
      </c>
    </row>
    <row r="58" spans="1:69">
      <c r="A58" s="5" t="s">
        <v>2574</v>
      </c>
      <c r="AR58" s="36">
        <f>AR103+AR110</f>
        <v>4155</v>
      </c>
      <c r="AS58" s="36">
        <f>AS103+AS110</f>
        <v>900</v>
      </c>
      <c r="AT58" s="36">
        <f>AT103+AT110</f>
        <v>3205</v>
      </c>
      <c r="AU58" s="36">
        <f>AU103+AU110</f>
        <v>5465</v>
      </c>
      <c r="AV58" s="36">
        <f>SUM(AR58:AU58)</f>
        <v>13725</v>
      </c>
      <c r="AW58" s="36">
        <f>AW103+AW110</f>
        <v>4270</v>
      </c>
      <c r="AX58" s="36">
        <f>AX103+AX110</f>
        <v>11375</v>
      </c>
      <c r="AY58" s="36">
        <f>AY103+AY110</f>
        <v>6115</v>
      </c>
      <c r="AZ58" s="36">
        <f>AZ103+AZ110</f>
        <v>0</v>
      </c>
      <c r="BA58" s="36">
        <f t="shared" si="34"/>
        <v>21760</v>
      </c>
      <c r="BB58" s="622">
        <v>5500</v>
      </c>
      <c r="BC58" s="36"/>
      <c r="BD58" s="36"/>
      <c r="BE58" s="36"/>
      <c r="BF58" s="36">
        <f t="shared" si="35"/>
        <v>5500</v>
      </c>
    </row>
    <row r="59" spans="1:69">
      <c r="A59" s="5" t="s">
        <v>2796</v>
      </c>
      <c r="AR59" s="36"/>
      <c r="AS59" s="36"/>
      <c r="AT59" s="36"/>
      <c r="AU59" s="36"/>
      <c r="AV59" s="36"/>
      <c r="AW59" s="651">
        <v>8500</v>
      </c>
      <c r="AX59" s="36"/>
      <c r="AY59" s="651">
        <f>AY29</f>
        <v>6500</v>
      </c>
      <c r="AZ59" s="36"/>
      <c r="BA59" s="36">
        <f t="shared" si="34"/>
        <v>15000</v>
      </c>
      <c r="BB59" s="36"/>
      <c r="BC59" s="36"/>
      <c r="BD59" s="36"/>
      <c r="BE59" s="36"/>
      <c r="BF59" s="36">
        <f t="shared" si="35"/>
        <v>0</v>
      </c>
      <c r="BH59" s="318" t="s">
        <v>3136</v>
      </c>
      <c r="BI59" s="676"/>
      <c r="BJ59" s="676"/>
      <c r="BK59" s="676"/>
      <c r="BL59" s="676"/>
      <c r="BM59" s="676"/>
      <c r="BN59" s="676"/>
      <c r="BO59" s="44"/>
      <c r="BP59" s="44"/>
      <c r="BQ59" s="44"/>
    </row>
    <row r="60" spans="1:69">
      <c r="A60" s="5" t="s">
        <v>2872</v>
      </c>
      <c r="AR60" s="36"/>
      <c r="AS60" s="36"/>
      <c r="AT60" s="36"/>
      <c r="AU60" s="749">
        <f>MROUND('Investment Business Of HoldCo'!AU315-'Investment Business Of HoldCo'!AT315, 100)</f>
        <v>2200</v>
      </c>
      <c r="AV60" s="36">
        <f>SUM(AR60:AU60)</f>
        <v>2200</v>
      </c>
      <c r="AW60" s="36"/>
      <c r="AX60" s="36"/>
      <c r="AY60" s="749">
        <f>MROUND('Investment Business Of HoldCo'!AY315-'Investment Business Of HoldCo'!AX315, 100)</f>
        <v>2300</v>
      </c>
      <c r="AZ60" s="36"/>
      <c r="BA60" s="36">
        <f t="shared" si="34"/>
        <v>2300</v>
      </c>
      <c r="BB60" s="36"/>
      <c r="BC60" s="36"/>
      <c r="BD60" s="36"/>
      <c r="BE60" s="36"/>
      <c r="BF60" s="36">
        <f t="shared" si="35"/>
        <v>0</v>
      </c>
    </row>
    <row r="61" spans="1:69">
      <c r="A61" s="5" t="s">
        <v>2801</v>
      </c>
      <c r="AR61" s="36"/>
      <c r="AS61" s="36"/>
      <c r="AT61" s="36"/>
      <c r="AU61" s="36"/>
      <c r="AV61" s="36"/>
      <c r="AW61" s="36"/>
      <c r="AX61" s="36"/>
      <c r="AY61" s="749">
        <f>MROUND('Investment Business Of HoldCo'!AY313-'Investment Business Of HoldCo'!AX313, 250)</f>
        <v>11250</v>
      </c>
      <c r="AZ61" s="36"/>
      <c r="BA61" s="36">
        <f t="shared" si="34"/>
        <v>11250</v>
      </c>
      <c r="BB61" s="649"/>
      <c r="BC61" s="622">
        <v>2500</v>
      </c>
      <c r="BD61" s="622">
        <v>2500</v>
      </c>
      <c r="BE61" s="36"/>
      <c r="BF61" s="36">
        <f t="shared" ref="BF61:BF62" si="36">SUM(BB61:BE61)</f>
        <v>5000</v>
      </c>
    </row>
    <row r="62" spans="1:69">
      <c r="A62" s="5" t="s">
        <v>3501</v>
      </c>
      <c r="AR62" s="36"/>
      <c r="AS62" s="36"/>
      <c r="AT62" s="36"/>
      <c r="AU62" s="36"/>
      <c r="AV62" s="36"/>
      <c r="AW62" s="36">
        <f>'SVF Segment'!AW926</f>
        <v>0</v>
      </c>
      <c r="AX62" s="36">
        <f>'SVF Segment'!AX926</f>
        <v>1150</v>
      </c>
      <c r="AY62" s="36">
        <f>'SVF Segment'!AY926</f>
        <v>985</v>
      </c>
      <c r="AZ62" s="36">
        <f>'SVF Segment'!AZ926</f>
        <v>0</v>
      </c>
      <c r="BA62" s="36">
        <f t="shared" si="34"/>
        <v>2135</v>
      </c>
      <c r="BB62" s="36">
        <f>'SVF Segment'!BB926</f>
        <v>1500</v>
      </c>
      <c r="BC62" s="36">
        <f>'SVF Segment'!BC926</f>
        <v>1250</v>
      </c>
      <c r="BD62" s="36">
        <f>'SVF Segment'!BD926</f>
        <v>1000</v>
      </c>
      <c r="BE62" s="36">
        <f>'SVF Segment'!BE926</f>
        <v>1500</v>
      </c>
      <c r="BF62" s="36">
        <f t="shared" si="36"/>
        <v>5250</v>
      </c>
    </row>
    <row r="63" spans="1:69">
      <c r="A63" s="5" t="s">
        <v>2575</v>
      </c>
      <c r="AR63" s="36">
        <f>-AR105+AR111</f>
        <v>-2875</v>
      </c>
      <c r="AS63" s="36">
        <f>-AS105+AS111</f>
        <v>-765</v>
      </c>
      <c r="AT63" s="36">
        <f>-AT105+AT111</f>
        <v>-555</v>
      </c>
      <c r="AU63" s="36">
        <f>-AU105+AU111</f>
        <v>-425</v>
      </c>
      <c r="AV63" s="36">
        <f>SUM(AR63:AU63)</f>
        <v>-4620</v>
      </c>
      <c r="AW63" s="36">
        <f>-AW105+AW111</f>
        <v>-3940</v>
      </c>
      <c r="AX63" s="36">
        <f>-AX105+AX111</f>
        <v>-7460</v>
      </c>
      <c r="AY63" s="36">
        <f>-AY105+AY111</f>
        <v>-5800</v>
      </c>
      <c r="AZ63" s="36">
        <f>-AZ105+AZ111</f>
        <v>-1140</v>
      </c>
      <c r="BA63" s="36">
        <f>SUM(AW63:AZ63)</f>
        <v>-18340</v>
      </c>
      <c r="BB63" s="36">
        <f>-BB105</f>
        <v>-195</v>
      </c>
      <c r="BC63" s="36">
        <f>-BC105</f>
        <v>-3880</v>
      </c>
      <c r="BD63" s="36">
        <f>-BD105</f>
        <v>0</v>
      </c>
      <c r="BE63" s="36">
        <f>-BE105</f>
        <v>-520</v>
      </c>
      <c r="BF63" s="36">
        <f t="shared" si="35"/>
        <v>-4595</v>
      </c>
    </row>
    <row r="64" spans="1:69">
      <c r="A64" s="5" t="s">
        <v>3431</v>
      </c>
      <c r="AR64" s="36"/>
      <c r="AS64" s="36"/>
      <c r="AT64" s="36"/>
      <c r="AU64" s="36"/>
      <c r="AV64" s="36"/>
      <c r="AW64" s="36"/>
      <c r="AX64" s="721">
        <v>-1000</v>
      </c>
      <c r="AY64" s="721">
        <f>-3000-AX64</f>
        <v>-2000</v>
      </c>
      <c r="AZ64" s="622">
        <v>-5500</v>
      </c>
      <c r="BA64" s="36">
        <f>SUM(AW64:AZ64)</f>
        <v>-8500</v>
      </c>
      <c r="BB64" s="622">
        <v>-6500</v>
      </c>
      <c r="BC64" s="36"/>
      <c r="BD64" s="36"/>
      <c r="BE64" s="36"/>
      <c r="BF64" s="36">
        <f t="shared" si="35"/>
        <v>-6500</v>
      </c>
    </row>
    <row r="65" spans="1:60" outlineLevel="1">
      <c r="A65" s="34" t="s">
        <v>2511</v>
      </c>
      <c r="AR65" s="36">
        <f t="shared" ref="AR65:AU67" si="37">-AR16</f>
        <v>525</v>
      </c>
      <c r="AS65" s="36">
        <f t="shared" si="37"/>
        <v>0</v>
      </c>
      <c r="AT65" s="36">
        <f t="shared" si="37"/>
        <v>540</v>
      </c>
      <c r="AU65" s="36">
        <f t="shared" si="37"/>
        <v>0</v>
      </c>
      <c r="AV65" s="36">
        <f t="shared" ref="AV65:AV72" si="38">SUM(AR65:AU65)</f>
        <v>1065</v>
      </c>
      <c r="AW65" s="36">
        <f t="shared" ref="AW65:AZ67" si="39">-AW16</f>
        <v>565</v>
      </c>
      <c r="AX65" s="36">
        <f t="shared" si="39"/>
        <v>0</v>
      </c>
      <c r="AY65" s="36">
        <f t="shared" si="39"/>
        <v>530</v>
      </c>
      <c r="AZ65" s="36">
        <f t="shared" si="39"/>
        <v>0</v>
      </c>
      <c r="BA65" s="36">
        <f t="shared" ref="BA65:BA69" si="40">SUM(AW65:AZ65)</f>
        <v>1095</v>
      </c>
      <c r="BB65" s="36">
        <f>-BB16</f>
        <v>530</v>
      </c>
      <c r="BC65" s="36">
        <f>-BC16</f>
        <v>0</v>
      </c>
      <c r="BD65" s="36">
        <f>-BD16</f>
        <v>530</v>
      </c>
      <c r="BE65" s="36">
        <f>-BE16</f>
        <v>0</v>
      </c>
      <c r="BF65" s="36">
        <f t="shared" si="35"/>
        <v>1060</v>
      </c>
    </row>
    <row r="66" spans="1:60" outlineLevel="1">
      <c r="A66" s="34" t="s">
        <v>2512</v>
      </c>
      <c r="AR66" s="36">
        <f t="shared" si="37"/>
        <v>55</v>
      </c>
      <c r="AS66" s="36">
        <f t="shared" si="37"/>
        <v>55</v>
      </c>
      <c r="AT66" s="36">
        <f t="shared" si="37"/>
        <v>75</v>
      </c>
      <c r="AU66" s="36">
        <f t="shared" si="37"/>
        <v>75</v>
      </c>
      <c r="AV66" s="36">
        <f t="shared" si="38"/>
        <v>260</v>
      </c>
      <c r="AW66" s="36">
        <f t="shared" si="39"/>
        <v>55</v>
      </c>
      <c r="AX66" s="36">
        <f t="shared" si="39"/>
        <v>40</v>
      </c>
      <c r="AY66" s="36">
        <f t="shared" si="39"/>
        <v>30</v>
      </c>
      <c r="AZ66" s="36">
        <f t="shared" si="39"/>
        <v>15</v>
      </c>
      <c r="BA66" s="36">
        <f t="shared" si="40"/>
        <v>140</v>
      </c>
      <c r="BB66" s="36"/>
      <c r="BC66" s="36"/>
      <c r="BD66" s="36"/>
      <c r="BE66" s="36"/>
      <c r="BF66" s="36"/>
    </row>
    <row r="67" spans="1:60" outlineLevel="1">
      <c r="A67" s="34" t="s">
        <v>2513</v>
      </c>
      <c r="AR67" s="36">
        <f t="shared" si="37"/>
        <v>185</v>
      </c>
      <c r="AS67" s="36">
        <f t="shared" si="37"/>
        <v>0</v>
      </c>
      <c r="AT67" s="36">
        <f t="shared" si="37"/>
        <v>0</v>
      </c>
      <c r="AU67" s="36">
        <f t="shared" si="37"/>
        <v>0</v>
      </c>
      <c r="AV67" s="36">
        <f t="shared" si="38"/>
        <v>185</v>
      </c>
      <c r="AW67" s="36">
        <f t="shared" si="39"/>
        <v>170</v>
      </c>
      <c r="AX67" s="36">
        <f t="shared" si="39"/>
        <v>0</v>
      </c>
      <c r="AY67" s="36">
        <f t="shared" si="39"/>
        <v>0</v>
      </c>
      <c r="AZ67" s="36">
        <f t="shared" si="39"/>
        <v>0</v>
      </c>
      <c r="BA67" s="36">
        <f t="shared" si="40"/>
        <v>170</v>
      </c>
      <c r="BB67" s="36"/>
      <c r="BC67" s="36"/>
      <c r="BD67" s="36"/>
      <c r="BE67" s="36"/>
      <c r="BF67" s="36"/>
    </row>
    <row r="68" spans="1:60">
      <c r="A68" s="5" t="s">
        <v>2514</v>
      </c>
      <c r="AR68" s="36">
        <f>SUM(AR65:AR67)</f>
        <v>765</v>
      </c>
      <c r="AS68" s="36">
        <f>SUM(AS65:AS67)</f>
        <v>55</v>
      </c>
      <c r="AT68" s="36">
        <f>SUM(AT65:AT67)</f>
        <v>615</v>
      </c>
      <c r="AU68" s="36">
        <f>SUM(AU65:AU67)</f>
        <v>75</v>
      </c>
      <c r="AV68" s="36">
        <f t="shared" si="38"/>
        <v>1510</v>
      </c>
      <c r="AW68" s="36">
        <f>SUM(AW65:AW67)</f>
        <v>790</v>
      </c>
      <c r="AX68" s="36">
        <f>SUM(AX65:AX67)</f>
        <v>40</v>
      </c>
      <c r="AY68" s="36">
        <f>SUM(AY65:AY67)</f>
        <v>560</v>
      </c>
      <c r="AZ68" s="36">
        <f>SUM(AZ65:AZ67)</f>
        <v>15</v>
      </c>
      <c r="BA68" s="36">
        <f t="shared" si="40"/>
        <v>1405</v>
      </c>
      <c r="BB68" s="36">
        <f>SUM(BB65:BB67)</f>
        <v>530</v>
      </c>
      <c r="BC68" s="36">
        <f>SUM(BC65:BC67)</f>
        <v>0</v>
      </c>
      <c r="BD68" s="36">
        <f>SUM(BD65:BD67)</f>
        <v>530</v>
      </c>
      <c r="BE68" s="36">
        <f>SUM(BE65:BE67)</f>
        <v>0</v>
      </c>
      <c r="BF68" s="36">
        <f t="shared" si="35"/>
        <v>1060</v>
      </c>
    </row>
    <row r="69" spans="1:60">
      <c r="A69" s="5" t="s">
        <v>2629</v>
      </c>
      <c r="AR69" s="613">
        <f>6.73*99.51-3500</f>
        <v>-2830.2977000000001</v>
      </c>
      <c r="AS69" s="36"/>
      <c r="AT69" s="36"/>
      <c r="AU69" s="613">
        <f>-AU20</f>
        <v>550</v>
      </c>
      <c r="AV69" s="36">
        <f t="shared" si="38"/>
        <v>-2280.2977000000001</v>
      </c>
      <c r="AW69" s="613">
        <f t="shared" ref="AW69:AZ72" si="41">-AW20</f>
        <v>4800</v>
      </c>
      <c r="AX69" s="613">
        <f t="shared" si="41"/>
        <v>6800</v>
      </c>
      <c r="AY69" s="613">
        <f t="shared" si="41"/>
        <v>3860</v>
      </c>
      <c r="AZ69" s="622">
        <f t="shared" si="41"/>
        <v>2300</v>
      </c>
      <c r="BA69" s="36">
        <f t="shared" si="40"/>
        <v>17760</v>
      </c>
      <c r="BB69" s="622">
        <f>-BB20</f>
        <v>3460</v>
      </c>
      <c r="BC69" s="36"/>
      <c r="BD69" s="36"/>
      <c r="BE69" s="36"/>
      <c r="BF69" s="36">
        <f t="shared" si="35"/>
        <v>3460</v>
      </c>
    </row>
    <row r="70" spans="1:60" outlineLevel="1">
      <c r="A70" s="34" t="s">
        <v>2624</v>
      </c>
      <c r="AR70" s="36">
        <f t="shared" ref="AR70:AT72" si="42">-AR21</f>
        <v>900</v>
      </c>
      <c r="AS70" s="36">
        <f t="shared" si="42"/>
        <v>900</v>
      </c>
      <c r="AT70" s="36">
        <f t="shared" si="42"/>
        <v>800</v>
      </c>
      <c r="AU70" s="36">
        <f>-AU21</f>
        <v>700</v>
      </c>
      <c r="AV70" s="36">
        <f t="shared" si="38"/>
        <v>3300</v>
      </c>
      <c r="AW70" s="36">
        <f t="shared" si="41"/>
        <v>1300</v>
      </c>
      <c r="AX70" s="36">
        <f t="shared" si="41"/>
        <v>1200</v>
      </c>
      <c r="AY70" s="36">
        <f t="shared" si="41"/>
        <v>425</v>
      </c>
      <c r="AZ70" s="36">
        <f>-AZ21</f>
        <v>1000</v>
      </c>
      <c r="BA70" s="36">
        <f t="shared" ref="BA70:BA72" si="43">SUM(AW70:AZ70)</f>
        <v>3925</v>
      </c>
      <c r="BB70" s="36">
        <f t="shared" ref="BB70:BE72" si="44">-BB21</f>
        <v>1760</v>
      </c>
      <c r="BC70" s="36">
        <f t="shared" si="44"/>
        <v>1740</v>
      </c>
      <c r="BD70" s="36">
        <f t="shared" si="44"/>
        <v>1725</v>
      </c>
      <c r="BE70" s="36">
        <f t="shared" si="44"/>
        <v>1700</v>
      </c>
      <c r="BF70" s="36">
        <f t="shared" si="35"/>
        <v>6925</v>
      </c>
    </row>
    <row r="71" spans="1:60" outlineLevel="1">
      <c r="A71" s="34" t="s">
        <v>2625</v>
      </c>
      <c r="AR71" s="36">
        <f t="shared" si="42"/>
        <v>100</v>
      </c>
      <c r="AS71" s="36">
        <f t="shared" si="42"/>
        <v>100</v>
      </c>
      <c r="AT71" s="36">
        <f t="shared" si="42"/>
        <v>500</v>
      </c>
      <c r="AU71" s="36">
        <f>-AU22</f>
        <v>1700</v>
      </c>
      <c r="AV71" s="36">
        <f t="shared" si="38"/>
        <v>2400</v>
      </c>
      <c r="AW71" s="36">
        <f t="shared" si="41"/>
        <v>2200</v>
      </c>
      <c r="AX71" s="36">
        <f t="shared" si="41"/>
        <v>200</v>
      </c>
      <c r="AY71" s="36">
        <f t="shared" si="41"/>
        <v>0</v>
      </c>
      <c r="AZ71" s="36">
        <f t="shared" si="41"/>
        <v>480</v>
      </c>
      <c r="BA71" s="36">
        <f t="shared" si="43"/>
        <v>2880</v>
      </c>
      <c r="BB71" s="36">
        <f t="shared" si="44"/>
        <v>760</v>
      </c>
      <c r="BC71" s="36">
        <f t="shared" si="44"/>
        <v>865</v>
      </c>
      <c r="BD71" s="36">
        <f t="shared" si="44"/>
        <v>975</v>
      </c>
      <c r="BE71" s="36">
        <f t="shared" si="44"/>
        <v>1010</v>
      </c>
      <c r="BF71" s="36">
        <f t="shared" si="35"/>
        <v>3610</v>
      </c>
    </row>
    <row r="72" spans="1:60" outlineLevel="1">
      <c r="A72" s="34" t="s">
        <v>2626</v>
      </c>
      <c r="AR72" s="36">
        <f t="shared" si="42"/>
        <v>0</v>
      </c>
      <c r="AS72" s="36">
        <f t="shared" si="42"/>
        <v>0</v>
      </c>
      <c r="AT72" s="36">
        <f t="shared" si="42"/>
        <v>0</v>
      </c>
      <c r="AU72" s="36">
        <f>-AU23</f>
        <v>0</v>
      </c>
      <c r="AV72" s="36">
        <f t="shared" si="38"/>
        <v>0</v>
      </c>
      <c r="AW72" s="36">
        <f t="shared" si="41"/>
        <v>0</v>
      </c>
      <c r="AX72" s="36">
        <f t="shared" si="41"/>
        <v>0</v>
      </c>
      <c r="AY72" s="36">
        <f t="shared" si="41"/>
        <v>70</v>
      </c>
      <c r="AZ72" s="36">
        <f t="shared" si="41"/>
        <v>70</v>
      </c>
      <c r="BA72" s="36">
        <f t="shared" si="43"/>
        <v>140</v>
      </c>
      <c r="BB72" s="36">
        <f t="shared" si="44"/>
        <v>0</v>
      </c>
      <c r="BC72" s="36">
        <f t="shared" si="44"/>
        <v>0</v>
      </c>
      <c r="BD72" s="36">
        <f t="shared" si="44"/>
        <v>0</v>
      </c>
      <c r="BE72" s="36">
        <f t="shared" si="44"/>
        <v>0</v>
      </c>
      <c r="BF72" s="36">
        <f t="shared" si="35"/>
        <v>0</v>
      </c>
    </row>
    <row r="73" spans="1:60">
      <c r="A73" s="5" t="s">
        <v>2627</v>
      </c>
      <c r="AR73" s="36">
        <f>SUM(AR70:AR72)</f>
        <v>1000</v>
      </c>
      <c r="AS73" s="36">
        <f t="shared" ref="AS73:AU73" si="45">SUM(AS70:AS72)</f>
        <v>1000</v>
      </c>
      <c r="AT73" s="36">
        <f t="shared" si="45"/>
        <v>1300</v>
      </c>
      <c r="AU73" s="36">
        <f t="shared" si="45"/>
        <v>2400</v>
      </c>
      <c r="AV73" s="36">
        <f t="shared" ref="AV73:AV82" si="46">SUM(AR73:AU73)</f>
        <v>5700</v>
      </c>
      <c r="AW73" s="36">
        <f>SUM(AW70:AW72)</f>
        <v>3500</v>
      </c>
      <c r="AX73" s="36">
        <f t="shared" ref="AX73:AZ73" si="47">SUM(AX70:AX72)</f>
        <v>1400</v>
      </c>
      <c r="AY73" s="36">
        <f t="shared" si="47"/>
        <v>495</v>
      </c>
      <c r="AZ73" s="36">
        <f t="shared" si="47"/>
        <v>1550</v>
      </c>
      <c r="BA73" s="36">
        <f t="shared" ref="BA73:BA76" si="48">SUM(AW73:AZ73)</f>
        <v>6945</v>
      </c>
      <c r="BB73" s="36">
        <f>SUM(BB70:BB72)</f>
        <v>2520</v>
      </c>
      <c r="BC73" s="36">
        <f t="shared" ref="BC73:BE73" si="49">SUM(BC70:BC72)</f>
        <v>2605</v>
      </c>
      <c r="BD73" s="36">
        <f t="shared" si="49"/>
        <v>2700</v>
      </c>
      <c r="BE73" s="36">
        <f t="shared" si="49"/>
        <v>2710</v>
      </c>
      <c r="BF73" s="36">
        <f t="shared" ref="BF73" si="50">SUM(BB73:BE73)</f>
        <v>10535</v>
      </c>
    </row>
    <row r="74" spans="1:60">
      <c r="A74" s="5" t="s">
        <v>2515</v>
      </c>
      <c r="AR74" s="36">
        <f t="shared" ref="AR74:AU76" si="51">-AR25</f>
        <v>-205</v>
      </c>
      <c r="AS74" s="36">
        <f t="shared" si="51"/>
        <v>0</v>
      </c>
      <c r="AT74" s="36">
        <f t="shared" si="51"/>
        <v>-210</v>
      </c>
      <c r="AU74" s="36">
        <f t="shared" si="51"/>
        <v>0</v>
      </c>
      <c r="AV74" s="36">
        <f t="shared" si="46"/>
        <v>-415</v>
      </c>
      <c r="AW74" s="36">
        <f t="shared" ref="AW74:BB78" si="52">-AW25</f>
        <v>-220</v>
      </c>
      <c r="AX74" s="36">
        <f t="shared" si="52"/>
        <v>0</v>
      </c>
      <c r="AY74" s="36">
        <f t="shared" si="52"/>
        <v>-205</v>
      </c>
      <c r="AZ74" s="36">
        <f t="shared" si="52"/>
        <v>0</v>
      </c>
      <c r="BA74" s="36">
        <f t="shared" si="48"/>
        <v>-425</v>
      </c>
      <c r="BB74" s="36">
        <f>-BB25</f>
        <v>-205</v>
      </c>
      <c r="BC74" s="36">
        <f>-BC25</f>
        <v>0</v>
      </c>
      <c r="BD74" s="36">
        <f>-BD25</f>
        <v>-205</v>
      </c>
      <c r="BE74" s="36">
        <f>-BE25</f>
        <v>0</v>
      </c>
      <c r="BF74" s="36">
        <f t="shared" si="35"/>
        <v>-410</v>
      </c>
    </row>
    <row r="75" spans="1:60">
      <c r="A75" s="5" t="s">
        <v>2957</v>
      </c>
      <c r="AR75" s="36">
        <f t="shared" si="51"/>
        <v>0</v>
      </c>
      <c r="AS75" s="36">
        <f t="shared" si="51"/>
        <v>0</v>
      </c>
      <c r="AT75" s="36">
        <f t="shared" si="51"/>
        <v>-500</v>
      </c>
      <c r="AU75" s="36">
        <f t="shared" si="51"/>
        <v>-1700</v>
      </c>
      <c r="AV75" s="36">
        <f t="shared" si="46"/>
        <v>-2200</v>
      </c>
      <c r="AW75" s="36">
        <f t="shared" si="52"/>
        <v>-7500</v>
      </c>
      <c r="AX75" s="36">
        <f t="shared" si="52"/>
        <v>-1100</v>
      </c>
      <c r="AY75" s="36">
        <f t="shared" si="52"/>
        <v>-23950</v>
      </c>
      <c r="AZ75" s="36">
        <f t="shared" si="52"/>
        <v>0</v>
      </c>
      <c r="BA75" s="36">
        <f t="shared" si="48"/>
        <v>-32550</v>
      </c>
      <c r="BB75" s="648">
        <f>-1000*FP!Q21</f>
        <v>-10000</v>
      </c>
      <c r="BC75" s="648">
        <f>-1000*FP!R21</f>
        <v>-10000</v>
      </c>
      <c r="BD75" s="648">
        <f>-1000*FP!S21</f>
        <v>-10000</v>
      </c>
      <c r="BE75" s="648"/>
      <c r="BF75" s="36">
        <f t="shared" si="35"/>
        <v>-30000</v>
      </c>
    </row>
    <row r="76" spans="1:60">
      <c r="A76" s="5" t="s">
        <v>2958</v>
      </c>
      <c r="AR76" s="36">
        <f t="shared" si="51"/>
        <v>-1095</v>
      </c>
      <c r="AS76" s="36">
        <f t="shared" si="51"/>
        <v>-745</v>
      </c>
      <c r="AT76" s="36">
        <f t="shared" si="51"/>
        <v>0</v>
      </c>
      <c r="AU76" s="36">
        <f t="shared" si="51"/>
        <v>-3000</v>
      </c>
      <c r="AV76" s="36">
        <f t="shared" ref="AV76" si="53">SUM(AR76:AU76)</f>
        <v>-4840</v>
      </c>
      <c r="AW76" s="36">
        <f t="shared" si="52"/>
        <v>0</v>
      </c>
      <c r="AX76" s="36">
        <f t="shared" si="52"/>
        <v>-1525</v>
      </c>
      <c r="AY76" s="36">
        <f t="shared" si="52"/>
        <v>5800</v>
      </c>
      <c r="AZ76" s="36">
        <f t="shared" si="52"/>
        <v>-1005</v>
      </c>
      <c r="BA76" s="36">
        <f t="shared" si="48"/>
        <v>3270</v>
      </c>
      <c r="BB76" s="36">
        <f t="shared" si="52"/>
        <v>0</v>
      </c>
      <c r="BC76" s="146">
        <v>-5375</v>
      </c>
      <c r="BD76" s="651">
        <f>-MROUND(16*182.674425, 5)</f>
        <v>-2925</v>
      </c>
      <c r="BE76" s="36"/>
      <c r="BF76" s="36">
        <f t="shared" si="35"/>
        <v>-8300</v>
      </c>
      <c r="BH76" s="430" t="s">
        <v>3440</v>
      </c>
    </row>
    <row r="77" spans="1:60">
      <c r="A77" s="5" t="s">
        <v>2747</v>
      </c>
      <c r="AR77" s="36"/>
      <c r="AS77" s="36"/>
      <c r="AT77" s="36"/>
      <c r="AU77" s="36"/>
      <c r="AV77" s="36"/>
      <c r="AW77" s="36">
        <f t="shared" si="52"/>
        <v>-500</v>
      </c>
      <c r="AX77" s="36">
        <f t="shared" si="52"/>
        <v>-500</v>
      </c>
      <c r="AY77" s="36">
        <f t="shared" si="52"/>
        <v>-750</v>
      </c>
      <c r="AZ77" s="36">
        <f t="shared" si="52"/>
        <v>-1000</v>
      </c>
      <c r="BA77" s="36">
        <f t="shared" ref="BA77:BA82" si="54">SUM(AW77:AZ77)</f>
        <v>-2750</v>
      </c>
      <c r="BB77" s="36">
        <f>-BB28</f>
        <v>-500</v>
      </c>
      <c r="BC77" s="36">
        <f>-BC28</f>
        <v>-500</v>
      </c>
      <c r="BD77" s="36">
        <f>-BD28</f>
        <v>-500</v>
      </c>
      <c r="BE77" s="36">
        <f>-BE28</f>
        <v>-500</v>
      </c>
      <c r="BF77" s="36">
        <f t="shared" si="35"/>
        <v>-2000</v>
      </c>
    </row>
    <row r="78" spans="1:60">
      <c r="A78" s="5" t="s">
        <v>2799</v>
      </c>
      <c r="AR78" s="36"/>
      <c r="AS78" s="36"/>
      <c r="AT78" s="36"/>
      <c r="AU78" s="36"/>
      <c r="AV78" s="36"/>
      <c r="AW78" s="36">
        <f t="shared" si="52"/>
        <v>0</v>
      </c>
      <c r="AX78" s="36">
        <f t="shared" si="52"/>
        <v>0</v>
      </c>
      <c r="AY78" s="36">
        <f t="shared" si="52"/>
        <v>-6500</v>
      </c>
      <c r="AZ78" s="36">
        <f t="shared" si="52"/>
        <v>0</v>
      </c>
      <c r="BA78" s="36">
        <f t="shared" si="54"/>
        <v>-6500</v>
      </c>
      <c r="BB78" s="36"/>
      <c r="BC78" s="36"/>
      <c r="BD78" s="36"/>
      <c r="BE78" s="36"/>
      <c r="BF78" s="36">
        <f t="shared" si="35"/>
        <v>0</v>
      </c>
    </row>
    <row r="79" spans="1:60" s="706" customFormat="1">
      <c r="A79" s="709" t="s">
        <v>2699</v>
      </c>
      <c r="AR79" s="695"/>
      <c r="AS79" s="679">
        <f>-AS33</f>
        <v>-1025</v>
      </c>
      <c r="AT79" s="679">
        <f>-AT33</f>
        <v>-350</v>
      </c>
      <c r="AU79" s="679">
        <f>-AU33</f>
        <v>-195</v>
      </c>
      <c r="AV79" s="36">
        <f t="shared" si="46"/>
        <v>-1570</v>
      </c>
      <c r="AW79" s="679">
        <f>-AW33</f>
        <v>-640</v>
      </c>
      <c r="AX79" s="679">
        <f>-AX33</f>
        <v>0</v>
      </c>
      <c r="AY79" s="679">
        <f>-AY33</f>
        <v>0</v>
      </c>
      <c r="AZ79" s="679">
        <f>-AZ33</f>
        <v>0</v>
      </c>
      <c r="BA79" s="36">
        <f t="shared" si="54"/>
        <v>-640</v>
      </c>
      <c r="BB79" s="36"/>
      <c r="BC79" s="36"/>
      <c r="BD79" s="36"/>
      <c r="BE79" s="36"/>
      <c r="BF79" s="36">
        <f t="shared" si="35"/>
        <v>0</v>
      </c>
      <c r="BH79" s="710"/>
    </row>
    <row r="80" spans="1:60">
      <c r="A80" s="5" t="s">
        <v>2532</v>
      </c>
      <c r="AR80" s="649">
        <f>-MROUND(-AR86*AR44*AR54, 5)</f>
        <v>-510</v>
      </c>
      <c r="AS80" s="92">
        <f>MROUND(AS86*AS44*AS54, 5)</f>
        <v>690</v>
      </c>
      <c r="AT80" s="649">
        <f>-MROUND(-AT86*AT44*AT54, 5)</f>
        <v>-665</v>
      </c>
      <c r="AU80" s="59">
        <f>MROUND(AU86*AU44*AU54, 5)</f>
        <v>305</v>
      </c>
      <c r="AV80" s="36">
        <f t="shared" si="46"/>
        <v>-180</v>
      </c>
      <c r="AW80" s="92">
        <f>MROUND(AW86*AW44*AW54, 5)</f>
        <v>85</v>
      </c>
      <c r="AX80" s="649">
        <f>-MROUND(-AX86*AX44*AX54, 5)</f>
        <v>-85</v>
      </c>
      <c r="AY80" s="649">
        <f>-MROUND(-AY86*AY44*AY54, 5)</f>
        <v>-175</v>
      </c>
      <c r="AZ80" s="92">
        <f>MROUND(AZ86*AZ44*AZ54, 5)</f>
        <v>25</v>
      </c>
      <c r="BA80" s="36">
        <f t="shared" si="54"/>
        <v>-150</v>
      </c>
      <c r="BB80" s="92">
        <f>MROUND(BB86*BB44*BB54, 5)</f>
        <v>5</v>
      </c>
      <c r="BC80" s="92">
        <f>MROUND(BC86*BC44*BC54, 5)</f>
        <v>5</v>
      </c>
      <c r="BD80" s="92">
        <f>MROUND(BD86*BD44*BD54, 5)</f>
        <v>5</v>
      </c>
      <c r="BE80" s="92">
        <f>MROUND(BE86*BE44*BE54, 5)</f>
        <v>5</v>
      </c>
      <c r="BF80" s="36">
        <f t="shared" si="35"/>
        <v>20</v>
      </c>
    </row>
    <row r="81" spans="1:60" s="706" customFormat="1" outlineLevel="1">
      <c r="A81" s="727" t="s">
        <v>2748</v>
      </c>
      <c r="AR81" s="695"/>
      <c r="AS81" s="695"/>
      <c r="AT81" s="695"/>
      <c r="AU81" s="695"/>
      <c r="AV81" s="695"/>
      <c r="AW81" s="695"/>
      <c r="AX81" s="695"/>
      <c r="AY81" s="695"/>
      <c r="AZ81" s="747">
        <v>5000</v>
      </c>
      <c r="BA81" s="747">
        <f>SUM(AW81:AZ81)</f>
        <v>5000</v>
      </c>
      <c r="BB81" s="747">
        <v>6500</v>
      </c>
      <c r="BC81" s="747">
        <v>7500</v>
      </c>
      <c r="BD81" s="747">
        <v>6500</v>
      </c>
      <c r="BE81" s="747"/>
      <c r="BF81" s="36">
        <f t="shared" si="35"/>
        <v>20500</v>
      </c>
      <c r="BH81" s="710"/>
    </row>
    <row r="82" spans="1:60" s="219" customFormat="1">
      <c r="A82" s="704" t="s">
        <v>2517</v>
      </c>
      <c r="AR82" s="649">
        <f>AR83-SUM(AR54:AR64)-AR68-AR69-AR73-AR74-AR75-AR76-AR77-AR78-AR79-AR80</f>
        <v>-314.70229999999992</v>
      </c>
      <c r="AS82" s="649">
        <f>AS83-SUM(AS54:AS64)-AS68-AS69-AS73-AS74-AS75-AS76-AS77-AS78-AS79-AS80</f>
        <v>-660</v>
      </c>
      <c r="AT82" s="649">
        <f>AT83-SUM(AT54:AT64)-AT68-AT69-AT73-AT74-AT75-AT76-AT77-AT78-AT79-AT80</f>
        <v>-2290</v>
      </c>
      <c r="AU82" s="649">
        <f>AU83-SUM(AU54:AU64)-AU68-AU69-AU73-AU74-AU75-AU76-AU77-AU78-AU79-AU80</f>
        <v>-6555</v>
      </c>
      <c r="AV82" s="36">
        <f t="shared" si="46"/>
        <v>-9819.7023000000008</v>
      </c>
      <c r="AW82" s="649">
        <f>AW83-SUM(AW54:AW64)-AW68-AW69-AW73-AW74-AW75-AW76-AW77-AW78-AW79-AW80</f>
        <v>-5730.0000000000036</v>
      </c>
      <c r="AX82" s="649">
        <f>AX83-SUM(AX54:AX64)-AX68-AX69-AX73-AX74-AX75-AX76-AX77-AX78-AX79-AX80</f>
        <v>-3285</v>
      </c>
      <c r="AY82" s="649">
        <f>AY83-SUM(AY54:AY64)-AY68-AY69-AY73-AY74-AY75-AY76-AY77-AY78-AY79-AY80</f>
        <v>-2940</v>
      </c>
      <c r="AZ82" s="36"/>
      <c r="BA82" s="36">
        <f t="shared" si="54"/>
        <v>-11955.000000000004</v>
      </c>
      <c r="BB82" s="36"/>
      <c r="BC82" s="36"/>
      <c r="BD82" s="36"/>
      <c r="BE82" s="36"/>
      <c r="BF82" s="36">
        <f t="shared" si="35"/>
        <v>0</v>
      </c>
      <c r="BH82" s="705"/>
    </row>
    <row r="83" spans="1:60">
      <c r="A83" s="9" t="s">
        <v>3123</v>
      </c>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646">
        <f>MROUND('Net debt &amp; LTV'!AQ178, 5)</f>
        <v>26130</v>
      </c>
      <c r="AR83" s="646">
        <f>MROUND('Net debt &amp; LTV'!AR178, 5)</f>
        <v>23785</v>
      </c>
      <c r="AS83" s="646">
        <f>MROUND('Net debt &amp; LTV'!AS178, 5)</f>
        <v>20920</v>
      </c>
      <c r="AT83" s="646">
        <f>MROUND('Net debt &amp; LTV'!AT178, 5)</f>
        <v>20905</v>
      </c>
      <c r="AU83" s="646">
        <f>MROUND('Net debt &amp; LTV'!AU178, 5)</f>
        <v>17545</v>
      </c>
      <c r="AV83" s="39">
        <f>AV54+AV55+AV56+AV57+AV58+AV59+AV60+AV61+AV63+AV68+AV69+AV73+AV74+AV75+AV76+AV77+AV78+AV79+AV80+AV81+AV82</f>
        <v>17545.000000000004</v>
      </c>
      <c r="AW83" s="646">
        <f>MROUND('Net debt &amp; LTV'!AW178, 5)</f>
        <v>20260</v>
      </c>
      <c r="AX83" s="646">
        <f>MROUND('Net debt &amp; LTV'!AX178, 5)</f>
        <v>23525</v>
      </c>
      <c r="AY83" s="646">
        <f>MROUND('Net debt &amp; LTV'!AY178, 5)</f>
        <v>17985</v>
      </c>
      <c r="AZ83" s="39">
        <f>AZ54+AZ55+AZ56+AZ57+AZ58+AZ59+AZ60+AZ61+AZ62+AZ63+AZ64+AZ68+AZ69+AZ73+AZ74+AZ75+AZ76+AZ77+AZ78+AZ79+AZ80+AZ81+AZ82</f>
        <v>17060</v>
      </c>
      <c r="BA83" s="39">
        <f t="shared" ref="BA83:BF83" si="55">BA54+BA55+BA56+BA57+BA58+BA59+BA60+BA61+BA62+BA63+BA64+BA68+BA69+BA73+BA74+BA75+BA76+BA77+BA78+BA79+BA80+BA81+BA82</f>
        <v>17059.999999999996</v>
      </c>
      <c r="BB83" s="39">
        <f t="shared" si="55"/>
        <v>18499.999999999996</v>
      </c>
      <c r="BC83" s="39">
        <f t="shared" si="55"/>
        <v>11374.999999999996</v>
      </c>
      <c r="BD83" s="39">
        <f t="shared" si="55"/>
        <v>9684.9999999999964</v>
      </c>
      <c r="BE83" s="39">
        <f t="shared" si="55"/>
        <v>11574.999999999996</v>
      </c>
      <c r="BF83" s="39">
        <f t="shared" si="55"/>
        <v>11574.999999999996</v>
      </c>
    </row>
    <row r="84" spans="1:60">
      <c r="A84" s="1" t="s">
        <v>2579</v>
      </c>
      <c r="AR84" s="36">
        <f>AR83-AQ83</f>
        <v>-2345</v>
      </c>
      <c r="AS84" s="36">
        <f>AS83-AR83</f>
        <v>-2865</v>
      </c>
      <c r="AT84" s="36">
        <f>AT83-AS83</f>
        <v>-15</v>
      </c>
      <c r="AU84" s="36">
        <f>AU83-AT83</f>
        <v>-3360</v>
      </c>
      <c r="AV84" s="36">
        <f>SUM(AR84:AU84)</f>
        <v>-8585</v>
      </c>
      <c r="AW84" s="36">
        <f>AW83-AV83</f>
        <v>2714.9999999999964</v>
      </c>
      <c r="AX84" s="36">
        <f>AX83-AW83</f>
        <v>3265</v>
      </c>
      <c r="AY84" s="36">
        <f>AY83-AX83</f>
        <v>-5540</v>
      </c>
      <c r="AZ84" s="36">
        <f>AZ83-AY83</f>
        <v>-925</v>
      </c>
      <c r="BA84" s="36">
        <f>SUM(AW84:AZ84)</f>
        <v>-485.00000000000364</v>
      </c>
      <c r="BB84" s="36">
        <f>BB83-BA83</f>
        <v>1440</v>
      </c>
      <c r="BC84" s="36">
        <f>BC83-BB83</f>
        <v>-7125</v>
      </c>
      <c r="BD84" s="36">
        <f>BD83-BC83</f>
        <v>-1690</v>
      </c>
      <c r="BE84" s="36">
        <f>BE83-BD83</f>
        <v>1890</v>
      </c>
      <c r="BF84" s="36">
        <f>SUM(BB84:BE84)</f>
        <v>-5485</v>
      </c>
    </row>
    <row r="85" spans="1:60">
      <c r="A85" s="219" t="s">
        <v>3124</v>
      </c>
    </row>
    <row r="86" spans="1:60">
      <c r="A86" s="1" t="s">
        <v>2588</v>
      </c>
      <c r="AR86" s="85">
        <f>MROUND('Net debt &amp; LTV'!AR323, 2.5%)</f>
        <v>0.32500000000000001</v>
      </c>
      <c r="AS86" s="85">
        <f>MROUND('Net debt &amp; LTV'!AS323, 2.5%)</f>
        <v>0.22500000000000001</v>
      </c>
      <c r="AT86" s="85">
        <f>MROUND('Net debt &amp; LTV'!AT323, 2.5%)</f>
        <v>0.32500000000000001</v>
      </c>
      <c r="AU86" s="85">
        <f>MROUND('Net debt &amp; LTV'!AU323, 2.5%)</f>
        <v>0.25</v>
      </c>
      <c r="AW86" s="85">
        <f>MROUND('Net debt &amp; LTV'!AW323, 2.5%)</f>
        <v>0.15000000000000002</v>
      </c>
      <c r="AX86" s="85">
        <f>MROUND('Net debt &amp; LTV'!AX323, 2.5%)</f>
        <v>0.15000000000000002</v>
      </c>
      <c r="AY86" s="85">
        <f>MROUND('Net debt &amp; LTV'!AY323, 2.5%)</f>
        <v>0.15000000000000002</v>
      </c>
      <c r="AZ86" s="85">
        <f>MROUND('Net debt &amp; LTV'!AZ323, 2.5%)</f>
        <v>0.15000000000000002</v>
      </c>
      <c r="BB86" s="85">
        <f>MROUND('Net debt &amp; LTV'!BB323, 2.5%)</f>
        <v>0.15000000000000002</v>
      </c>
      <c r="BC86" s="85">
        <f>MROUND('Net debt &amp; LTV'!BC323, 2.5%)</f>
        <v>0.15000000000000002</v>
      </c>
      <c r="BD86" s="85">
        <f>MROUND('Net debt &amp; LTV'!BD323, 2.5%)</f>
        <v>0.15000000000000002</v>
      </c>
      <c r="BE86" s="85">
        <f>MROUND('Net debt &amp; LTV'!BE323, 2.5%)</f>
        <v>0.15000000000000002</v>
      </c>
    </row>
    <row r="88" spans="1:60">
      <c r="A88" s="3" t="s">
        <v>2580</v>
      </c>
    </row>
    <row r="90" spans="1:60">
      <c r="A90" s="5" t="s">
        <v>2581</v>
      </c>
      <c r="AR90" s="19">
        <f>30+50+20</f>
        <v>100</v>
      </c>
    </row>
    <row r="91" spans="1:60">
      <c r="A91" s="5" t="s">
        <v>2582</v>
      </c>
      <c r="AR91" s="19">
        <v>550</v>
      </c>
      <c r="AT91" s="36">
        <f>AT100*AT$114/1000</f>
        <v>350.30579999999998</v>
      </c>
      <c r="AW91" s="36">
        <f>AW100*AW$114/1000</f>
        <v>619.96130000000005</v>
      </c>
      <c r="AY91" s="36">
        <f>AY100*AY$114/1000</f>
        <v>499.85980000000001</v>
      </c>
    </row>
    <row r="92" spans="1:60">
      <c r="A92" s="5" t="s">
        <v>2743</v>
      </c>
      <c r="AS92" s="36">
        <f>AS101*AS$114/1000</f>
        <v>135.23400000000001</v>
      </c>
      <c r="AX92" s="36">
        <f>AX101*AX$114/1000</f>
        <v>620.23749999999995</v>
      </c>
    </row>
    <row r="93" spans="1:60">
      <c r="A93" s="5" t="s">
        <v>2744</v>
      </c>
      <c r="AS93" s="36"/>
      <c r="AT93" s="36">
        <f>AT102*AT$114/1000</f>
        <v>134.67479999999998</v>
      </c>
      <c r="AX93" s="36">
        <f>AX102*AX$114/1000</f>
        <v>200.6</v>
      </c>
      <c r="AY93" s="36">
        <f>AY102*AY$114/1000</f>
        <v>442.09479999999996</v>
      </c>
    </row>
    <row r="94" spans="1:60">
      <c r="A94" s="9" t="s">
        <v>2583</v>
      </c>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39">
        <f>SUM(AR90:AR93)</f>
        <v>650</v>
      </c>
      <c r="AS94" s="39">
        <f>SUM(AS90:AS93)</f>
        <v>135.23400000000001</v>
      </c>
      <c r="AT94" s="39">
        <f>SUM(AT90:AT93)</f>
        <v>484.98059999999998</v>
      </c>
      <c r="AU94" s="39">
        <f>SUM(AU90:AU93)</f>
        <v>0</v>
      </c>
      <c r="AV94" s="39">
        <f>SUM(AR94:AU94)</f>
        <v>1270.2146</v>
      </c>
      <c r="AW94" s="39">
        <f>SUM(AW90:AW93)</f>
        <v>619.96130000000005</v>
      </c>
      <c r="AX94" s="39">
        <f>SUM(AX90:AX93)</f>
        <v>820.83749999999998</v>
      </c>
      <c r="AY94" s="39">
        <f>SUM(AY90:AY93)</f>
        <v>941.95460000000003</v>
      </c>
      <c r="AZ94" s="39">
        <f>SUM(AZ90:AZ93)</f>
        <v>0</v>
      </c>
      <c r="BA94" s="39">
        <f>SUM(AW94:AZ94)</f>
        <v>2382.7534000000001</v>
      </c>
      <c r="BB94" s="36"/>
      <c r="BC94" s="36"/>
      <c r="BD94" s="36"/>
      <c r="BE94" s="36"/>
      <c r="BF94" s="36"/>
    </row>
    <row r="96" spans="1:60">
      <c r="A96" s="5" t="s">
        <v>2584</v>
      </c>
      <c r="AR96" s="622">
        <f>MROUND(SUM('SBG Corporate Bonds OLD'!G8:G9)/1000, 5)</f>
        <v>450</v>
      </c>
      <c r="AS96" s="36">
        <f>AS105*AS$114/1000</f>
        <v>114.94889999999999</v>
      </c>
      <c r="AT96" s="36">
        <f>AT105*AT$114/1000</f>
        <v>83.982599999999991</v>
      </c>
      <c r="AU96" s="36">
        <f>AU105*AU$114/1000</f>
        <v>65.003749999999997</v>
      </c>
      <c r="AV96" s="36">
        <f>SUM(AR96:AU96)</f>
        <v>713.93524999999988</v>
      </c>
      <c r="AW96" s="36">
        <f>AW105*AW$114/1000</f>
        <v>572.04859999999996</v>
      </c>
      <c r="AX96" s="36">
        <f>AX105*AX$114/1000</f>
        <v>294.26249999999999</v>
      </c>
      <c r="AZ96" s="36">
        <f>AZ105*AZ$114/1000</f>
        <v>176.81399999999999</v>
      </c>
    </row>
    <row r="97" spans="1:58">
      <c r="A97" s="9" t="s">
        <v>2585</v>
      </c>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39">
        <f t="shared" ref="AR97:BA97" si="56">AR94-AR96</f>
        <v>200</v>
      </c>
      <c r="AS97" s="39">
        <f t="shared" si="56"/>
        <v>20.285100000000014</v>
      </c>
      <c r="AT97" s="39">
        <f t="shared" si="56"/>
        <v>400.99799999999999</v>
      </c>
      <c r="AU97" s="39">
        <f t="shared" si="56"/>
        <v>-65.003749999999997</v>
      </c>
      <c r="AV97" s="39">
        <f t="shared" si="56"/>
        <v>556.27935000000014</v>
      </c>
      <c r="AW97" s="39">
        <f t="shared" si="56"/>
        <v>47.912700000000086</v>
      </c>
      <c r="AX97" s="39">
        <f t="shared" si="56"/>
        <v>526.57500000000005</v>
      </c>
      <c r="AY97" s="39">
        <f t="shared" si="56"/>
        <v>941.95460000000003</v>
      </c>
      <c r="AZ97" s="39">
        <f t="shared" si="56"/>
        <v>-176.81399999999999</v>
      </c>
      <c r="BA97" s="39">
        <f t="shared" si="56"/>
        <v>2382.7534000000001</v>
      </c>
      <c r="BB97" s="36"/>
      <c r="BC97" s="36"/>
      <c r="BD97" s="36"/>
      <c r="BE97" s="36"/>
      <c r="BF97" s="36"/>
    </row>
    <row r="99" spans="1:58">
      <c r="A99" s="5" t="s">
        <v>2630</v>
      </c>
      <c r="AR99" s="36">
        <f>MROUND(1000*AR90/AR$114, 5)</f>
        <v>640</v>
      </c>
    </row>
    <row r="100" spans="1:58">
      <c r="A100" s="5" t="s">
        <v>2631</v>
      </c>
      <c r="AR100" s="36">
        <f>MROUND(1000*AR91/AR$114, 5)</f>
        <v>3515</v>
      </c>
      <c r="AT100" s="622">
        <f>MROUND(1000*350/AT114, 5)</f>
        <v>2315</v>
      </c>
      <c r="AW100" s="622">
        <f>MROUND(1000*620/AW114, 5)</f>
        <v>4270</v>
      </c>
      <c r="AY100" s="622">
        <f>MROUND(1000*500/AY114, 5)</f>
        <v>3245</v>
      </c>
    </row>
    <row r="101" spans="1:58">
      <c r="A101" s="5" t="s">
        <v>2635</v>
      </c>
      <c r="AR101" s="36"/>
      <c r="AS101" s="19">
        <f>400+500</f>
        <v>900</v>
      </c>
      <c r="AX101" s="622">
        <f>MROUND((500+600+600+500)+1.18*(600+600+500), 5)</f>
        <v>4205</v>
      </c>
    </row>
    <row r="102" spans="1:58">
      <c r="A102" s="5" t="s">
        <v>2745</v>
      </c>
      <c r="AR102" s="36"/>
      <c r="AS102" s="36"/>
      <c r="AT102" s="622">
        <f>MROUND(1000*135/AT114, 5)</f>
        <v>890</v>
      </c>
      <c r="AX102" s="622">
        <f>MROUND(200000/147.05, 5)</f>
        <v>1360</v>
      </c>
      <c r="AY102" s="622">
        <f>MROUND((900+1100)+1.16*(750), 5)</f>
        <v>2870</v>
      </c>
    </row>
    <row r="103" spans="1:58">
      <c r="A103" s="9" t="s">
        <v>2632</v>
      </c>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81">
        <f>SUM(AR99:AR102)</f>
        <v>4155</v>
      </c>
      <c r="AS103" s="81">
        <f>SUM(AS99:AS102)</f>
        <v>900</v>
      </c>
      <c r="AT103" s="81">
        <f>SUM(AT99:AT102)</f>
        <v>3205</v>
      </c>
      <c r="AU103" s="81">
        <f>SUM(AU99:AU102)</f>
        <v>0</v>
      </c>
      <c r="AV103" s="39">
        <f>SUM(AR103:AU103)</f>
        <v>8260</v>
      </c>
      <c r="AW103" s="81">
        <f>SUM(AW99:AW102)</f>
        <v>4270</v>
      </c>
      <c r="AX103" s="81">
        <f>SUM(AX99:AX102)</f>
        <v>5565</v>
      </c>
      <c r="AY103" s="81">
        <f>SUM(AY99:AY102)</f>
        <v>6115</v>
      </c>
      <c r="AZ103" s="81">
        <f>SUM(AZ99:AZ102)</f>
        <v>0</v>
      </c>
      <c r="BA103" s="39">
        <f>SUM(AW103:AZ103)</f>
        <v>15950</v>
      </c>
      <c r="BB103" s="36"/>
      <c r="BC103" s="36"/>
      <c r="BD103" s="36"/>
      <c r="BE103" s="36"/>
      <c r="BF103" s="36"/>
    </row>
    <row r="104" spans="1:58">
      <c r="AR104" s="79"/>
    </row>
    <row r="105" spans="1:58">
      <c r="A105" s="5" t="s">
        <v>2633</v>
      </c>
      <c r="AR105" s="36">
        <f>MROUND(1000*AR96/AR$114, 5)</f>
        <v>2875</v>
      </c>
      <c r="AS105" s="19">
        <f>MROUND(766.814, 5)</f>
        <v>765</v>
      </c>
      <c r="AT105" s="19">
        <f>MROUND(1000*84/AT114, 5)</f>
        <v>555</v>
      </c>
      <c r="AU105" s="684">
        <v>425</v>
      </c>
      <c r="AV105" s="36">
        <f>SUM(AR105:AU105)</f>
        <v>4620</v>
      </c>
      <c r="AW105" s="679">
        <v>3940</v>
      </c>
      <c r="AX105" s="622">
        <f>SUM('SBG Corp. Bonds Jun. ''25'!$H$6:$H$8)</f>
        <v>1995</v>
      </c>
      <c r="AY105" s="622"/>
      <c r="AZ105" s="622">
        <f>MROUND(1000*177/FP!$G$4, 5)</f>
        <v>1140</v>
      </c>
      <c r="BA105" s="36">
        <f>SUM(AW105:AZ105)</f>
        <v>7075</v>
      </c>
      <c r="BB105" s="622">
        <f>'SBG Corp. Bonds Dec. ''25'!$H$3</f>
        <v>195</v>
      </c>
      <c r="BC105" s="622">
        <f>SUM('SBG Corp. Bonds Dec. ''25'!$H$4:$H$6)</f>
        <v>3880</v>
      </c>
      <c r="BD105" s="622"/>
      <c r="BE105" s="622">
        <f>'SBG Corp. Bonds Dec. ''25'!$H$7</f>
        <v>520</v>
      </c>
      <c r="BF105" s="36"/>
    </row>
    <row r="106" spans="1:58">
      <c r="A106" s="9" t="s">
        <v>2634</v>
      </c>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81">
        <f t="shared" ref="AR106:AX106" si="57">AR103-AR105</f>
        <v>1280</v>
      </c>
      <c r="AS106" s="81">
        <f t="shared" si="57"/>
        <v>135</v>
      </c>
      <c r="AT106" s="81">
        <f t="shared" si="57"/>
        <v>2650</v>
      </c>
      <c r="AU106" s="81">
        <f t="shared" si="57"/>
        <v>-425</v>
      </c>
      <c r="AV106" s="81">
        <f t="shared" si="57"/>
        <v>3640</v>
      </c>
      <c r="AW106" s="81">
        <f t="shared" si="57"/>
        <v>330</v>
      </c>
      <c r="AX106" s="81">
        <f t="shared" si="57"/>
        <v>3570</v>
      </c>
      <c r="AY106" s="81">
        <f t="shared" ref="AY106:AZ106" si="58">AY103-AY105</f>
        <v>6115</v>
      </c>
      <c r="AZ106" s="81">
        <f t="shared" si="58"/>
        <v>-1140</v>
      </c>
      <c r="BA106" s="81">
        <f>BA103-BA105</f>
        <v>8875</v>
      </c>
      <c r="BB106" s="59"/>
      <c r="BC106" s="59"/>
      <c r="BD106" s="59"/>
      <c r="BE106" s="59"/>
      <c r="BF106" s="59"/>
    </row>
    <row r="107" spans="1:58">
      <c r="AU107" s="685" t="s">
        <v>3132</v>
      </c>
      <c r="AV107" s="618"/>
      <c r="AW107" s="618"/>
    </row>
    <row r="108" spans="1:58">
      <c r="A108" s="3" t="s">
        <v>3434</v>
      </c>
      <c r="AR108" s="79"/>
    </row>
    <row r="109" spans="1:58">
      <c r="A109" s="25" t="s">
        <v>3437</v>
      </c>
      <c r="AR109" s="79"/>
      <c r="AY109" s="25" t="s">
        <v>3439</v>
      </c>
    </row>
    <row r="110" spans="1:58">
      <c r="A110" s="5" t="s">
        <v>3435</v>
      </c>
      <c r="AS110" s="36"/>
      <c r="AU110" s="801">
        <v>5465</v>
      </c>
      <c r="AV110" s="36">
        <f>SUM(AR110:AU110)</f>
        <v>5465</v>
      </c>
      <c r="AX110" s="801">
        <v>5810</v>
      </c>
      <c r="BA110" s="36">
        <f>SUM(AW110:AZ110)</f>
        <v>5810</v>
      </c>
    </row>
    <row r="111" spans="1:58">
      <c r="A111" s="5" t="s">
        <v>3436</v>
      </c>
      <c r="AS111" s="36"/>
      <c r="AT111" s="36"/>
      <c r="AV111" s="36"/>
      <c r="AX111" s="801">
        <v>-5465</v>
      </c>
      <c r="AY111" s="801">
        <v>-5800</v>
      </c>
      <c r="BA111" s="36">
        <f>SUM(AW111:AZ111)</f>
        <v>-11265</v>
      </c>
    </row>
    <row r="112" spans="1:58">
      <c r="A112" s="9" t="s">
        <v>3438</v>
      </c>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39">
        <f t="shared" ref="AR112:AT112" si="59">SUM(AR110:AR111)</f>
        <v>0</v>
      </c>
      <c r="AS112" s="39">
        <f t="shared" si="59"/>
        <v>0</v>
      </c>
      <c r="AT112" s="39">
        <f t="shared" si="59"/>
        <v>0</v>
      </c>
      <c r="AU112" s="39">
        <f t="shared" ref="AU112:BA112" si="60">SUM(AU110:AU111)</f>
        <v>5465</v>
      </c>
      <c r="AV112" s="39">
        <f t="shared" si="60"/>
        <v>5465</v>
      </c>
      <c r="AW112" s="39">
        <f t="shared" si="60"/>
        <v>0</v>
      </c>
      <c r="AX112" s="39">
        <f t="shared" si="60"/>
        <v>345</v>
      </c>
      <c r="AY112" s="39">
        <f t="shared" si="60"/>
        <v>-5800</v>
      </c>
      <c r="AZ112" s="39">
        <f t="shared" si="60"/>
        <v>0</v>
      </c>
      <c r="BA112" s="39">
        <f t="shared" si="60"/>
        <v>-5455</v>
      </c>
      <c r="BB112" s="36"/>
      <c r="BC112" s="36"/>
      <c r="BD112" s="36"/>
      <c r="BE112" s="36"/>
      <c r="BF112" s="36"/>
    </row>
    <row r="113" spans="1:60">
      <c r="AR113" s="79"/>
    </row>
    <row r="114" spans="1:60">
      <c r="A114" s="1" t="s">
        <v>2526</v>
      </c>
      <c r="AR114" s="24">
        <f>FX!AR5</f>
        <v>156.53</v>
      </c>
      <c r="AS114" s="24">
        <f>FX!AS5</f>
        <v>150.26</v>
      </c>
      <c r="AT114" s="24">
        <f>FX!AT5</f>
        <v>151.32</v>
      </c>
      <c r="AU114" s="24">
        <f>FX!AU5</f>
        <v>152.94999999999999</v>
      </c>
      <c r="AW114" s="24">
        <f>FX!AW5</f>
        <v>145.19</v>
      </c>
      <c r="AX114" s="24">
        <f>FX!AX5</f>
        <v>147.5</v>
      </c>
      <c r="AY114" s="24">
        <f>FX!AY5</f>
        <v>154.04</v>
      </c>
      <c r="AZ114" s="24">
        <f>FX!AZ5</f>
        <v>155.1</v>
      </c>
      <c r="BB114" s="24">
        <f>FX!BB5</f>
        <v>154.70000000000002</v>
      </c>
      <c r="BC114" s="24">
        <f>FX!BC5</f>
        <v>154.30000000000001</v>
      </c>
      <c r="BD114" s="24">
        <f>FX!BD5</f>
        <v>153.9</v>
      </c>
      <c r="BE114" s="24">
        <f>FX!BE5</f>
        <v>153.5</v>
      </c>
    </row>
    <row r="116" spans="1:60" s="12" customFormat="1">
      <c r="A116" s="13" t="s">
        <v>2524</v>
      </c>
    </row>
    <row r="118" spans="1:60">
      <c r="A118" s="3" t="s">
        <v>2568</v>
      </c>
    </row>
    <row r="120" spans="1:60">
      <c r="A120" s="1" t="s">
        <v>2569</v>
      </c>
      <c r="AR120" s="608">
        <v>22</v>
      </c>
      <c r="AT120" s="608">
        <v>22</v>
      </c>
      <c r="AW120" s="608">
        <v>22</v>
      </c>
      <c r="AY120" s="608">
        <v>22</v>
      </c>
      <c r="BB120" s="221">
        <v>22</v>
      </c>
      <c r="BD120" s="221">
        <v>22</v>
      </c>
    </row>
    <row r="121" spans="1:60" s="26" customFormat="1">
      <c r="A121" s="26" t="s">
        <v>2572</v>
      </c>
      <c r="AR121" s="61">
        <f>AQ153</f>
        <v>1465.925399</v>
      </c>
      <c r="AT121" s="61">
        <f>AS153</f>
        <v>1447.063101</v>
      </c>
      <c r="AW121" s="61">
        <f>AV153</f>
        <v>1437.5963059999999</v>
      </c>
      <c r="AY121" s="61">
        <f>AX153</f>
        <v>1424.4851570000001</v>
      </c>
      <c r="BB121" s="61">
        <f>BA153</f>
        <v>1424.4851570000001</v>
      </c>
      <c r="BD121" s="61">
        <f>BC153</f>
        <v>1424.4851570000001</v>
      </c>
      <c r="BH121" s="328"/>
    </row>
    <row r="122" spans="1:60">
      <c r="A122" s="135" t="s">
        <v>2570</v>
      </c>
      <c r="AR122" s="36">
        <f>AR120*AR121</f>
        <v>32250.358777999998</v>
      </c>
      <c r="AT122" s="36">
        <f>AT120*AT121</f>
        <v>31835.388221999998</v>
      </c>
      <c r="AW122" s="36">
        <f>AW120*AW121</f>
        <v>31627.118731999999</v>
      </c>
      <c r="AY122" s="36">
        <f>AY120*AY121</f>
        <v>31338.673454000003</v>
      </c>
      <c r="BB122" s="36">
        <f>BB120*BB121</f>
        <v>31338.673454000003</v>
      </c>
      <c r="BD122" s="36">
        <f>BD120*BD121</f>
        <v>31338.673454000003</v>
      </c>
    </row>
    <row r="123" spans="1:60">
      <c r="A123" s="1" t="s">
        <v>276</v>
      </c>
      <c r="AR123" s="36">
        <f>AR124-AR122</f>
        <v>-0.35877799999798299</v>
      </c>
      <c r="AT123" s="36">
        <f>AT124-AT122</f>
        <v>-0.38822199999776785</v>
      </c>
    </row>
    <row r="124" spans="1:60">
      <c r="A124" s="1" t="s">
        <v>2571</v>
      </c>
      <c r="AR124" s="136">
        <v>32250</v>
      </c>
      <c r="AT124" s="136">
        <v>31835</v>
      </c>
      <c r="AW124" s="36">
        <f>AW122+AW123</f>
        <v>31627.118731999999</v>
      </c>
      <c r="AY124" s="36">
        <f>AY122+AY123</f>
        <v>31338.673454000003</v>
      </c>
      <c r="BB124" s="36">
        <f>BB122+BB123</f>
        <v>31338.673454000003</v>
      </c>
      <c r="BD124" s="36">
        <f>BD122+BD123</f>
        <v>31338.673454000003</v>
      </c>
    </row>
    <row r="125" spans="1:60">
      <c r="A125" s="1" t="s">
        <v>2526</v>
      </c>
      <c r="AR125" s="24">
        <f>AR114</f>
        <v>156.53</v>
      </c>
      <c r="AT125" s="24">
        <f>AT114</f>
        <v>151.32</v>
      </c>
      <c r="AW125" s="24">
        <f>AW114</f>
        <v>145.19</v>
      </c>
      <c r="AY125" s="24">
        <f>AY114</f>
        <v>154.04</v>
      </c>
      <c r="BB125" s="24">
        <f>BB114</f>
        <v>154.70000000000002</v>
      </c>
      <c r="BD125" s="24">
        <f>BD114</f>
        <v>153.9</v>
      </c>
    </row>
    <row r="126" spans="1:60">
      <c r="A126" s="1" t="s">
        <v>2527</v>
      </c>
      <c r="AR126" s="36">
        <f>MROUND(AR124/AR125, 5)</f>
        <v>205</v>
      </c>
      <c r="AT126" s="36">
        <f>MROUND(AT124/AT125, 5)</f>
        <v>210</v>
      </c>
      <c r="AW126" s="36">
        <f>MROUND(AW124/AW125, 5)</f>
        <v>220</v>
      </c>
      <c r="AY126" s="36">
        <f>MROUND(AY124/AY125, 5)</f>
        <v>205</v>
      </c>
      <c r="BB126" s="36">
        <f>MROUND(BB124/BB125, 5)</f>
        <v>205</v>
      </c>
      <c r="BD126" s="36">
        <f>MROUND(BD124/BD125, 5)</f>
        <v>205</v>
      </c>
    </row>
    <row r="128" spans="1:60">
      <c r="A128" s="3" t="s">
        <v>2560</v>
      </c>
    </row>
    <row r="129" spans="1:63">
      <c r="BB129" s="1095" t="s">
        <v>3391</v>
      </c>
      <c r="BF129" s="783" t="s">
        <v>3392</v>
      </c>
      <c r="BG129" s="623"/>
      <c r="BH129" s="1094"/>
      <c r="BI129" s="623"/>
      <c r="BJ129" s="623"/>
      <c r="BK129" s="623"/>
    </row>
    <row r="130" spans="1:63">
      <c r="A130" s="1" t="s">
        <v>2525</v>
      </c>
      <c r="AR130" s="36">
        <f>FP!$V$4*'Financial statements KK'!AN87</f>
        <v>81.882667276707522</v>
      </c>
      <c r="AS130" s="36">
        <f>FP!$V$4*'Financial statements KK'!AO87</f>
        <v>0</v>
      </c>
      <c r="AT130" s="36">
        <f>FP!$V$4*'Financial statements KK'!AP87</f>
        <v>81.882667276707522</v>
      </c>
      <c r="AU130" s="36">
        <f>FP!$V$4*'Financial statements KK'!AQ87</f>
        <v>0</v>
      </c>
      <c r="AW130" s="36">
        <f>FP!$V$4*'Financial statements KK'!AS87</f>
        <v>81.882667276707522</v>
      </c>
      <c r="AX130" s="36">
        <f>FP!$V$4*'Financial statements KK'!AT87</f>
        <v>0</v>
      </c>
      <c r="AY130" s="36">
        <f>FP!$V$4*'Financial statements KK'!AU87</f>
        <v>81.882667276707522</v>
      </c>
      <c r="AZ130" s="36">
        <f>FP!$V$4*'Financial statements KK'!AV87</f>
        <v>0</v>
      </c>
      <c r="BB130" s="622">
        <f>FP!$V$4*'Financial statements KK'!AX87</f>
        <v>81.882667276707522</v>
      </c>
      <c r="BC130" s="36"/>
      <c r="BD130" s="622">
        <f>FP!$V$4*'Financial statements KK'!AZ87</f>
        <v>81.882667276707522</v>
      </c>
      <c r="BE130" s="36"/>
    </row>
    <row r="131" spans="1:63">
      <c r="A131" s="1" t="s">
        <v>2526</v>
      </c>
      <c r="AR131" s="24">
        <f>AR114</f>
        <v>156.53</v>
      </c>
      <c r="AS131" s="24">
        <f>AS114</f>
        <v>150.26</v>
      </c>
      <c r="AT131" s="24">
        <f>AT114</f>
        <v>151.32</v>
      </c>
      <c r="AU131" s="24">
        <f>AU114</f>
        <v>152.94999999999999</v>
      </c>
      <c r="AW131" s="24">
        <f>AW114</f>
        <v>145.19</v>
      </c>
      <c r="AX131" s="24">
        <f>AX114</f>
        <v>147.5</v>
      </c>
      <c r="AY131" s="24">
        <f>AY114</f>
        <v>154.04</v>
      </c>
      <c r="AZ131" s="24">
        <f>AZ114</f>
        <v>155.1</v>
      </c>
      <c r="BB131" s="24">
        <f>BB114</f>
        <v>154.70000000000002</v>
      </c>
      <c r="BC131" s="24"/>
      <c r="BD131" s="24">
        <f>BD114</f>
        <v>153.9</v>
      </c>
      <c r="BE131" s="24"/>
    </row>
    <row r="132" spans="1:63">
      <c r="A132" s="1" t="s">
        <v>2527</v>
      </c>
      <c r="AR132" s="36">
        <f>MROUND(1000*AR130/AR131, 5)</f>
        <v>525</v>
      </c>
      <c r="AS132" s="36">
        <f>MROUND(1000*AS130/AS131, 5)</f>
        <v>0</v>
      </c>
      <c r="AT132" s="36">
        <f>MROUND(1000*AT130/AT131, 5)</f>
        <v>540</v>
      </c>
      <c r="AU132" s="36">
        <f>MROUND(1000*AU130/AU131, 5)</f>
        <v>0</v>
      </c>
      <c r="AW132" s="36">
        <f>MROUND(1000*AW130/AW131, 5)</f>
        <v>565</v>
      </c>
      <c r="AX132" s="36">
        <f>MROUND(1000*AX130/AX131, 5)</f>
        <v>0</v>
      </c>
      <c r="AY132" s="36">
        <f>MROUND(1000*AY130/AY131, 5)</f>
        <v>530</v>
      </c>
      <c r="AZ132" s="36">
        <f>MROUND(1000*AZ130/AZ131, 5)</f>
        <v>0</v>
      </c>
      <c r="BB132" s="36">
        <f>MROUND(1000*BB130/BB131, 5)</f>
        <v>530</v>
      </c>
      <c r="BC132" s="36"/>
      <c r="BD132" s="36">
        <f>MROUND(1000*BD130/BD131, 5)</f>
        <v>530</v>
      </c>
      <c r="BE132" s="36"/>
    </row>
    <row r="134" spans="1:63">
      <c r="A134" s="3" t="s">
        <v>2561</v>
      </c>
    </row>
    <row r="136" spans="1:63">
      <c r="A136" s="1" t="s">
        <v>2525</v>
      </c>
      <c r="AR136" s="36">
        <f>AR138*AR137/1000</f>
        <v>8.6091499999999996</v>
      </c>
      <c r="AS136" s="36">
        <f>AS138*AS137/1000</f>
        <v>8.2642999999999986</v>
      </c>
      <c r="AT136" s="36">
        <f>AT138*AT137/1000</f>
        <v>11.349</v>
      </c>
      <c r="AU136" s="36">
        <f>AU138*AU137/1000</f>
        <v>11.47125</v>
      </c>
      <c r="AW136" s="36">
        <f>AW138*AW137/1000</f>
        <v>7.9854500000000002</v>
      </c>
      <c r="AX136" s="36">
        <f>AX138*AX137/1000</f>
        <v>5.9</v>
      </c>
      <c r="AY136" s="36">
        <f>AY138*AY137/1000</f>
        <v>4.6212</v>
      </c>
      <c r="AZ136" s="36">
        <f>AZ138*AZ137/1000</f>
        <v>2.3264999999999998</v>
      </c>
      <c r="BB136" s="36">
        <f>BB138*BB137/1000</f>
        <v>0</v>
      </c>
      <c r="BC136" s="36">
        <f>BC138*BC137/1000</f>
        <v>0</v>
      </c>
      <c r="BD136" s="36">
        <f>BD138*BD137/1000</f>
        <v>0</v>
      </c>
      <c r="BE136" s="36">
        <f>BE138*BE137/1000</f>
        <v>0</v>
      </c>
    </row>
    <row r="137" spans="1:63">
      <c r="A137" s="1" t="s">
        <v>2526</v>
      </c>
      <c r="AR137" s="24">
        <f>AR131</f>
        <v>156.53</v>
      </c>
      <c r="AS137" s="24">
        <f>AS131</f>
        <v>150.26</v>
      </c>
      <c r="AT137" s="24">
        <f>AT131</f>
        <v>151.32</v>
      </c>
      <c r="AU137" s="24">
        <f>AU131</f>
        <v>152.94999999999999</v>
      </c>
      <c r="AW137" s="24">
        <f>AW131</f>
        <v>145.19</v>
      </c>
      <c r="AX137" s="24">
        <f>AX131</f>
        <v>147.5</v>
      </c>
      <c r="AY137" s="24">
        <f>AY131</f>
        <v>154.04</v>
      </c>
      <c r="AZ137" s="24">
        <f>AZ131</f>
        <v>155.1</v>
      </c>
      <c r="BB137" s="24">
        <f>BB131</f>
        <v>154.70000000000002</v>
      </c>
      <c r="BC137" s="24">
        <f>BC131</f>
        <v>0</v>
      </c>
      <c r="BD137" s="24">
        <f>BD131</f>
        <v>153.9</v>
      </c>
      <c r="BE137" s="24">
        <f>BE131</f>
        <v>0</v>
      </c>
    </row>
    <row r="138" spans="1:63">
      <c r="A138" s="1" t="s">
        <v>2527</v>
      </c>
      <c r="AR138" s="36">
        <f>MROUND('Investment Business Of HoldCo'!AR184, 5)</f>
        <v>55</v>
      </c>
      <c r="AS138" s="36">
        <f>MROUND('Investment Business Of HoldCo'!AS184, 5)</f>
        <v>55</v>
      </c>
      <c r="AT138" s="36">
        <f>MROUND('Investment Business Of HoldCo'!AT184, 5)</f>
        <v>75</v>
      </c>
      <c r="AU138" s="36">
        <f>MROUND('Investment Business Of HoldCo'!AU184, 5)</f>
        <v>75</v>
      </c>
      <c r="AW138" s="36">
        <f>MROUND('Investment Business Of HoldCo'!AW184, 5)</f>
        <v>55</v>
      </c>
      <c r="AX138" s="36">
        <f>MROUND('Investment Business Of HoldCo'!AX184, 5)</f>
        <v>40</v>
      </c>
      <c r="AY138" s="36">
        <f>MROUND('Investment Business Of HoldCo'!AY184, 5)</f>
        <v>30</v>
      </c>
      <c r="AZ138" s="36">
        <f>MROUND('Investment Business Of HoldCo'!AZ184, 5)</f>
        <v>15</v>
      </c>
      <c r="BB138" s="36">
        <f>MROUND('Investment Business Of HoldCo'!BB184, 5)</f>
        <v>0</v>
      </c>
      <c r="BC138" s="36">
        <f>MROUND('Investment Business Of HoldCo'!BC184, 5)</f>
        <v>0</v>
      </c>
      <c r="BD138" s="36">
        <f>MROUND('Investment Business Of HoldCo'!BD184, 5)</f>
        <v>0</v>
      </c>
      <c r="BE138" s="36">
        <f>MROUND('Investment Business Of HoldCo'!BE184, 5)</f>
        <v>0</v>
      </c>
    </row>
    <row r="140" spans="1:63" s="26" customFormat="1">
      <c r="A140" s="189" t="s">
        <v>3393</v>
      </c>
      <c r="BH140" s="328"/>
    </row>
    <row r="141" spans="1:63" s="26" customFormat="1">
      <c r="BH141" s="328"/>
    </row>
    <row r="142" spans="1:63" s="26" customFormat="1">
      <c r="A142" s="26" t="s">
        <v>3394</v>
      </c>
      <c r="AR142" s="61">
        <f>AR144*AR143/1000</f>
        <v>28.95805</v>
      </c>
      <c r="AS142" s="61">
        <f>AS144*AS143/1000</f>
        <v>0</v>
      </c>
      <c r="AT142" s="61">
        <f>AT144*AT143/1000</f>
        <v>0</v>
      </c>
      <c r="AU142" s="61">
        <f>AU144*AU143/1000</f>
        <v>0</v>
      </c>
      <c r="AW142" s="61">
        <f>AW144*AW143/1000</f>
        <v>24.682299999999998</v>
      </c>
      <c r="AX142" s="61">
        <f>AX144*AX143/1000</f>
        <v>0</v>
      </c>
      <c r="AY142" s="61">
        <f>AY144*AY143/1000</f>
        <v>0</v>
      </c>
      <c r="AZ142" s="61">
        <f>AZ144*AZ143/1000</f>
        <v>0</v>
      </c>
      <c r="BH142" s="328"/>
    </row>
    <row r="143" spans="1:63" s="26" customFormat="1">
      <c r="A143" s="26" t="s">
        <v>2526</v>
      </c>
      <c r="AR143" s="287">
        <f>AR137</f>
        <v>156.53</v>
      </c>
      <c r="AS143" s="287">
        <f>AS137</f>
        <v>150.26</v>
      </c>
      <c r="AT143" s="287">
        <f>AT137</f>
        <v>151.32</v>
      </c>
      <c r="AU143" s="287">
        <f>AU137</f>
        <v>152.94999999999999</v>
      </c>
      <c r="AW143" s="287">
        <f>AW137</f>
        <v>145.19</v>
      </c>
      <c r="AX143" s="287">
        <f>AX137</f>
        <v>147.5</v>
      </c>
      <c r="AY143" s="287">
        <f>AY137</f>
        <v>154.04</v>
      </c>
      <c r="AZ143" s="287">
        <f>AZ137</f>
        <v>155.1</v>
      </c>
      <c r="BH143" s="328"/>
    </row>
    <row r="144" spans="1:63" s="26" customFormat="1">
      <c r="A144" s="26" t="s">
        <v>2527</v>
      </c>
      <c r="AR144" s="61">
        <f>MROUND('Investment Business Of HoldCo'!AR235, 5)</f>
        <v>185</v>
      </c>
      <c r="AS144" s="61">
        <f>MROUND('Investment Business Of HoldCo'!AS235, 5)</f>
        <v>0</v>
      </c>
      <c r="AT144" s="61">
        <f>MROUND('Investment Business Of HoldCo'!AT235, 5)</f>
        <v>0</v>
      </c>
      <c r="AU144" s="61">
        <f>MROUND('Investment Business Of HoldCo'!AU235, 5)</f>
        <v>0</v>
      </c>
      <c r="AW144" s="61">
        <f>MROUND('Investment Business Of HoldCo'!AW235, 5)</f>
        <v>170</v>
      </c>
      <c r="AX144" s="61">
        <f>MROUND('Investment Business Of HoldCo'!AX235, 5)</f>
        <v>0</v>
      </c>
      <c r="AY144" s="61">
        <f>MROUND('Investment Business Of HoldCo'!AY235, 5)</f>
        <v>0</v>
      </c>
      <c r="AZ144" s="61">
        <f>MROUND('Investment Business Of HoldCo'!AZ235, 5)</f>
        <v>0</v>
      </c>
      <c r="BH144" s="328"/>
    </row>
    <row r="146" spans="1:66" s="44" customFormat="1">
      <c r="A146" s="49" t="s">
        <v>2701</v>
      </c>
    </row>
    <row r="147" spans="1:66">
      <c r="A147" s="678" t="s">
        <v>2703</v>
      </c>
    </row>
    <row r="148" spans="1:66">
      <c r="A148" s="1" t="s">
        <v>2704</v>
      </c>
      <c r="AR148" s="136">
        <v>1469.99523</v>
      </c>
      <c r="AS148" s="136">
        <v>1469.99523</v>
      </c>
      <c r="AT148" s="136">
        <v>1469.99523</v>
      </c>
      <c r="AU148" s="136">
        <v>1469.99523</v>
      </c>
      <c r="AV148" s="36">
        <f>AR148</f>
        <v>1469.99523</v>
      </c>
      <c r="AW148" s="136">
        <v>1469.99523</v>
      </c>
      <c r="AX148" s="36">
        <f>AW151</f>
        <v>1469.99523</v>
      </c>
      <c r="AY148" s="36">
        <f>AX151</f>
        <v>1469.99523</v>
      </c>
      <c r="AZ148" s="36">
        <f>AY151</f>
        <v>1469.99523</v>
      </c>
      <c r="BA148" s="36">
        <f>AW148</f>
        <v>1469.99523</v>
      </c>
      <c r="BB148" s="36"/>
      <c r="BC148" s="36"/>
      <c r="BD148" s="36"/>
      <c r="BE148" s="36"/>
      <c r="BF148" s="36"/>
    </row>
    <row r="149" spans="1:66">
      <c r="A149" s="1" t="s">
        <v>2705</v>
      </c>
      <c r="AS149" s="718">
        <f>-AS159</f>
        <v>-18.909362999999999</v>
      </c>
      <c r="AT149" s="718">
        <f>-AT159</f>
        <v>-5.9398020000000002</v>
      </c>
      <c r="AU149" s="718">
        <f>-AU159</f>
        <v>-3.5269930000000009</v>
      </c>
      <c r="AV149" s="36">
        <f>SUM(AR149:AU149)</f>
        <v>-28.376158</v>
      </c>
      <c r="AW149" s="718">
        <f>-AW159</f>
        <v>-13.111148999999997</v>
      </c>
      <c r="AX149" s="36">
        <f>-AX159</f>
        <v>0</v>
      </c>
      <c r="AY149" s="36">
        <f>-AY159</f>
        <v>0</v>
      </c>
      <c r="AZ149" s="36">
        <f>-AZ159</f>
        <v>0</v>
      </c>
      <c r="BA149" s="36">
        <f>SUM(AW149:AZ149)</f>
        <v>-13.111148999999997</v>
      </c>
      <c r="BB149" s="36"/>
      <c r="BC149" s="36"/>
      <c r="BD149" s="36"/>
      <c r="BE149" s="36"/>
      <c r="BF149" s="36"/>
    </row>
    <row r="150" spans="1:66" s="706" customFormat="1">
      <c r="A150" s="706" t="s">
        <v>276</v>
      </c>
      <c r="AS150" s="36"/>
      <c r="AT150" s="36"/>
      <c r="AU150" s="36"/>
      <c r="AV150" s="36"/>
      <c r="AW150" s="36"/>
      <c r="AX150" s="36"/>
      <c r="AY150" s="36"/>
      <c r="AZ150" s="36"/>
      <c r="BA150" s="36"/>
      <c r="BB150" s="36"/>
      <c r="BC150" s="36"/>
      <c r="BD150" s="36"/>
      <c r="BE150" s="36"/>
      <c r="BF150" s="36"/>
      <c r="BH150" s="710"/>
    </row>
    <row r="151" spans="1:66">
      <c r="A151" s="9" t="s">
        <v>2706</v>
      </c>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67">
        <v>1469.99523</v>
      </c>
      <c r="AQ151" s="39">
        <f>AP151</f>
        <v>1469.99523</v>
      </c>
      <c r="AR151" s="67">
        <v>1469.99523</v>
      </c>
      <c r="AS151" s="67">
        <v>1469.99523</v>
      </c>
      <c r="AT151" s="67">
        <v>1469.99523</v>
      </c>
      <c r="AU151" s="67">
        <v>1469.99523</v>
      </c>
      <c r="AV151" s="39">
        <f>AU151</f>
        <v>1469.99523</v>
      </c>
      <c r="AW151" s="67">
        <v>1469.99523</v>
      </c>
      <c r="AX151" s="39">
        <f t="shared" ref="AX151:AZ151" si="61">SUM(AX148:AX150)</f>
        <v>1469.99523</v>
      </c>
      <c r="AY151" s="39">
        <f t="shared" si="61"/>
        <v>1469.99523</v>
      </c>
      <c r="AZ151" s="39">
        <f t="shared" si="61"/>
        <v>1469.99523</v>
      </c>
      <c r="BA151" s="39">
        <f>AZ151</f>
        <v>1469.99523</v>
      </c>
      <c r="BB151" s="1100">
        <f t="shared" ref="BB151" si="62">BA151</f>
        <v>1469.99523</v>
      </c>
      <c r="BC151" s="1100">
        <f t="shared" ref="BC151" si="63">BB151</f>
        <v>1469.99523</v>
      </c>
      <c r="BD151" s="1100">
        <f t="shared" ref="BD151" si="64">BC151</f>
        <v>1469.99523</v>
      </c>
      <c r="BE151" s="1100">
        <f t="shared" ref="BE151" si="65">BD151</f>
        <v>1469.99523</v>
      </c>
      <c r="BF151" s="36">
        <f t="shared" ref="BE151:BF153" si="66">BE151</f>
        <v>1469.99523</v>
      </c>
    </row>
    <row r="152" spans="1:66">
      <c r="A152" s="1" t="s">
        <v>2709</v>
      </c>
      <c r="AP152" s="136">
        <v>4.0698309999999998</v>
      </c>
      <c r="AQ152" s="36">
        <f>AP152</f>
        <v>4.0698309999999998</v>
      </c>
      <c r="AR152" s="136">
        <v>4.0227659999999998</v>
      </c>
      <c r="AS152" s="136">
        <v>22.932129</v>
      </c>
      <c r="AT152" s="136">
        <v>28.871931</v>
      </c>
      <c r="AU152" s="136">
        <v>32.398924000000001</v>
      </c>
      <c r="AV152" s="36">
        <f>AU152</f>
        <v>32.398924000000001</v>
      </c>
      <c r="AW152" s="136">
        <v>45.510072999999998</v>
      </c>
      <c r="AX152" s="622">
        <f t="shared" ref="AX152:BA152" si="67">AW152</f>
        <v>45.510072999999998</v>
      </c>
      <c r="AY152" s="622">
        <f t="shared" si="67"/>
        <v>45.510072999999998</v>
      </c>
      <c r="AZ152" s="622">
        <f t="shared" si="67"/>
        <v>45.510072999999998</v>
      </c>
      <c r="BA152" s="36">
        <f t="shared" si="67"/>
        <v>45.510072999999998</v>
      </c>
      <c r="BB152" s="622">
        <f t="shared" ref="BB152:BB153" si="68">BA152</f>
        <v>45.510072999999998</v>
      </c>
      <c r="BC152" s="622">
        <f t="shared" ref="BC152:BC153" si="69">BB152</f>
        <v>45.510072999999998</v>
      </c>
      <c r="BD152" s="622">
        <f t="shared" ref="BD152:BD153" si="70">BC152</f>
        <v>45.510072999999998</v>
      </c>
      <c r="BE152" s="622">
        <f t="shared" si="66"/>
        <v>45.510072999999998</v>
      </c>
      <c r="BF152" s="36">
        <f t="shared" si="66"/>
        <v>45.510072999999998</v>
      </c>
    </row>
    <row r="153" spans="1:66">
      <c r="A153" s="1" t="s">
        <v>2706</v>
      </c>
      <c r="AP153" s="138">
        <f t="shared" ref="AP153:AX153" si="71">AP151-AP152</f>
        <v>1465.925399</v>
      </c>
      <c r="AQ153" s="138">
        <f t="shared" si="71"/>
        <v>1465.925399</v>
      </c>
      <c r="AR153" s="138">
        <f t="shared" si="71"/>
        <v>1465.9724639999999</v>
      </c>
      <c r="AS153" s="138">
        <f t="shared" si="71"/>
        <v>1447.063101</v>
      </c>
      <c r="AT153" s="138">
        <f t="shared" si="71"/>
        <v>1441.1232990000001</v>
      </c>
      <c r="AU153" s="138">
        <f t="shared" si="71"/>
        <v>1437.5963059999999</v>
      </c>
      <c r="AV153" s="138">
        <f t="shared" ref="AV153" si="72">AV151-AV152</f>
        <v>1437.5963059999999</v>
      </c>
      <c r="AW153" s="138">
        <f t="shared" si="71"/>
        <v>1424.4851570000001</v>
      </c>
      <c r="AX153" s="138">
        <f t="shared" si="71"/>
        <v>1424.4851570000001</v>
      </c>
      <c r="AY153" s="1048">
        <v>1427.9620299999999</v>
      </c>
      <c r="AZ153" s="1049">
        <f>AY153</f>
        <v>1427.9620299999999</v>
      </c>
      <c r="BA153" s="138">
        <f>BA151-BA152</f>
        <v>1424.4851570000001</v>
      </c>
      <c r="BB153" s="1049">
        <f t="shared" si="68"/>
        <v>1424.4851570000001</v>
      </c>
      <c r="BC153" s="1049">
        <f t="shared" si="69"/>
        <v>1424.4851570000001</v>
      </c>
      <c r="BD153" s="1049">
        <f t="shared" si="70"/>
        <v>1424.4851570000001</v>
      </c>
      <c r="BE153" s="1049">
        <f t="shared" si="66"/>
        <v>1424.4851570000001</v>
      </c>
      <c r="BF153" s="138">
        <f>BF151-BF152</f>
        <v>1424.4851570000001</v>
      </c>
    </row>
    <row r="154" spans="1:66">
      <c r="AR154" s="678" t="s">
        <v>2707</v>
      </c>
    </row>
    <row r="155" spans="1:66">
      <c r="A155" s="1" t="s">
        <v>2702</v>
      </c>
      <c r="AR155" s="679">
        <v>100</v>
      </c>
      <c r="AS155" s="36">
        <f>AR155-AS159</f>
        <v>81.090637000000001</v>
      </c>
      <c r="AT155" s="36">
        <f>AS155-AT159</f>
        <v>75.150835000000001</v>
      </c>
      <c r="AU155" s="36">
        <f>AT155-AU159</f>
        <v>71.623841999999996</v>
      </c>
      <c r="AV155" s="36">
        <f>AU155</f>
        <v>71.623841999999996</v>
      </c>
      <c r="AW155" s="36">
        <f>AV155-AW159</f>
        <v>58.512692999999999</v>
      </c>
      <c r="AX155" s="36">
        <f>AW155-AX159</f>
        <v>58.512692999999999</v>
      </c>
      <c r="AY155" s="36">
        <f>AX155-AY159</f>
        <v>58.512692999999999</v>
      </c>
      <c r="AZ155" s="36">
        <f>AY155-AZ159</f>
        <v>58.512692999999999</v>
      </c>
      <c r="BA155" s="36">
        <f>AZ155</f>
        <v>58.512692999999999</v>
      </c>
      <c r="BB155" s="36"/>
      <c r="BC155" s="36"/>
      <c r="BD155" s="36"/>
      <c r="BE155" s="36"/>
      <c r="BF155" s="36"/>
    </row>
    <row r="156" spans="1:66">
      <c r="A156" s="1" t="s">
        <v>2708</v>
      </c>
      <c r="AR156" s="16">
        <f t="shared" ref="AR156:BA156" si="73">AR155/AR153</f>
        <v>6.8214105282130316E-2</v>
      </c>
      <c r="AS156" s="16">
        <f t="shared" si="73"/>
        <v>5.6038079434104791E-2</v>
      </c>
      <c r="AT156" s="16">
        <f t="shared" si="73"/>
        <v>5.2147401302960958E-2</v>
      </c>
      <c r="AU156" s="16">
        <f t="shared" si="73"/>
        <v>4.9821943546368576E-2</v>
      </c>
      <c r="AV156" s="16">
        <f t="shared" si="73"/>
        <v>4.9821943546368576E-2</v>
      </c>
      <c r="AW156" s="16">
        <f t="shared" si="73"/>
        <v>4.1076379569464333E-2</v>
      </c>
      <c r="AX156" s="16">
        <f t="shared" si="73"/>
        <v>4.1076379569464333E-2</v>
      </c>
      <c r="AY156" s="16">
        <f t="shared" si="73"/>
        <v>4.097636475670155E-2</v>
      </c>
      <c r="AZ156" s="16">
        <f t="shared" si="73"/>
        <v>4.097636475670155E-2</v>
      </c>
      <c r="BA156" s="16">
        <f t="shared" si="73"/>
        <v>4.1076379569464333E-2</v>
      </c>
      <c r="BB156" s="16"/>
      <c r="BC156" s="16"/>
      <c r="BD156" s="16"/>
      <c r="BE156" s="16"/>
      <c r="BF156" s="16"/>
    </row>
    <row r="157" spans="1:66">
      <c r="A157" s="1" t="s">
        <v>2728</v>
      </c>
      <c r="AR157" s="16"/>
      <c r="AS157" s="16">
        <f t="shared" ref="AS157:BA157" si="74">-(AS155-$AR$155)/$AR$151</f>
        <v>1.2863553985818035E-2</v>
      </c>
      <c r="AT157" s="16">
        <f t="shared" si="74"/>
        <v>1.6904248730113227E-2</v>
      </c>
      <c r="AU157" s="16">
        <f t="shared" si="74"/>
        <v>1.9303571481657122E-2</v>
      </c>
      <c r="AV157" s="16">
        <f t="shared" si="74"/>
        <v>1.9303571481657122E-2</v>
      </c>
      <c r="AW157" s="16">
        <f t="shared" si="74"/>
        <v>2.8222749403071193E-2</v>
      </c>
      <c r="AX157" s="16">
        <f t="shared" si="74"/>
        <v>2.8222749403071193E-2</v>
      </c>
      <c r="AY157" s="16">
        <f t="shared" si="74"/>
        <v>2.8222749403071193E-2</v>
      </c>
      <c r="AZ157" s="16">
        <f t="shared" si="74"/>
        <v>2.8222749403071193E-2</v>
      </c>
      <c r="BA157" s="16">
        <f t="shared" si="74"/>
        <v>2.8222749403071193E-2</v>
      </c>
      <c r="BB157" s="16"/>
      <c r="BC157" s="16"/>
      <c r="BD157" s="16"/>
      <c r="BE157" s="16"/>
      <c r="BF157" s="16"/>
    </row>
    <row r="158" spans="1:66">
      <c r="AX158" s="782" t="s">
        <v>3135</v>
      </c>
      <c r="AY158" s="618"/>
      <c r="AZ158" s="618"/>
      <c r="BA158" s="618"/>
      <c r="BB158" s="618"/>
      <c r="BC158" s="618"/>
      <c r="BD158" s="618"/>
      <c r="BE158" s="618"/>
      <c r="BF158" s="618"/>
      <c r="BG158" s="618"/>
      <c r="BH158" s="618"/>
      <c r="BI158" s="618"/>
      <c r="BJ158" s="618"/>
      <c r="BK158" s="618"/>
      <c r="BL158" s="618"/>
      <c r="BM158" s="618"/>
      <c r="BN158" s="618"/>
    </row>
    <row r="159" spans="1:66">
      <c r="A159" s="1" t="s">
        <v>2710</v>
      </c>
      <c r="AS159" s="726">
        <f>AS152-AR152</f>
        <v>18.909362999999999</v>
      </c>
      <c r="AT159" s="726">
        <f>AT152-AS152</f>
        <v>5.9398020000000002</v>
      </c>
      <c r="AU159" s="726">
        <f>AU152-AT152</f>
        <v>3.5269930000000009</v>
      </c>
      <c r="AW159" s="726">
        <f>AW152-AV152</f>
        <v>13.111148999999997</v>
      </c>
      <c r="AX159" s="902">
        <v>0</v>
      </c>
      <c r="AY159" s="902">
        <v>0</v>
      </c>
      <c r="AZ159" s="902">
        <v>0</v>
      </c>
    </row>
    <row r="160" spans="1:66">
      <c r="A160" s="1" t="s">
        <v>2711</v>
      </c>
      <c r="AS160" s="486">
        <f>MROUND(AS161/AS159, 5)</f>
        <v>8135</v>
      </c>
      <c r="AT160" s="486">
        <f>MROUND(AT161/AT159, 5)</f>
        <v>8940</v>
      </c>
      <c r="AU160" s="486">
        <f>MROUND(AU161/AU159, 5)</f>
        <v>8545</v>
      </c>
      <c r="AW160" s="486">
        <f>MROUND(AW161/AW159, 5)</f>
        <v>7110</v>
      </c>
      <c r="AX160" s="62">
        <f>FP!$D$5</f>
        <v>16185</v>
      </c>
      <c r="AY160" s="62">
        <f>FP!$D$5</f>
        <v>16185</v>
      </c>
      <c r="AZ160" s="62">
        <f>FP!$D$5</f>
        <v>16185</v>
      </c>
    </row>
    <row r="161" spans="1:60">
      <c r="A161" s="1" t="s">
        <v>2714</v>
      </c>
      <c r="AS161" s="679">
        <f>126872.0029+26913.4723</f>
        <v>153785.47520000002</v>
      </c>
      <c r="AT161" s="679">
        <f>20967.3928+24058.8323+8088.1414</f>
        <v>53114.366499999996</v>
      </c>
      <c r="AU161" s="679">
        <f>2970.9485+5514.8527+21659.4677</f>
        <v>30145.268900000003</v>
      </c>
      <c r="AW161" s="679">
        <f>49179.805+21101.8943+22933.6941</f>
        <v>93215.393400000001</v>
      </c>
      <c r="AX161" s="8">
        <f>MROUND(AX159*AX160, 5)</f>
        <v>0</v>
      </c>
      <c r="AY161" s="8">
        <f>MROUND(AY159*AY160, 5)</f>
        <v>0</v>
      </c>
      <c r="AZ161" s="8">
        <f>MROUND(AZ159*AZ160, 5)</f>
        <v>0</v>
      </c>
    </row>
    <row r="162" spans="1:60" s="219" customFormat="1">
      <c r="A162" s="262" t="s">
        <v>2716</v>
      </c>
      <c r="AS162" s="649">
        <f>AR162+AS161</f>
        <v>153785.47520000002</v>
      </c>
      <c r="AT162" s="649">
        <f>AS162+AT161</f>
        <v>206899.84170000002</v>
      </c>
      <c r="AU162" s="649">
        <f>AT162+AU161</f>
        <v>237045.11060000001</v>
      </c>
      <c r="AV162" s="649">
        <f>AU162</f>
        <v>237045.11060000001</v>
      </c>
      <c r="AW162" s="649">
        <f>AV162+AW161</f>
        <v>330260.50400000002</v>
      </c>
      <c r="AX162" s="649">
        <f>AW162+AX161</f>
        <v>330260.50400000002</v>
      </c>
      <c r="AY162" s="649">
        <f>AX162+AY161</f>
        <v>330260.50400000002</v>
      </c>
      <c r="AZ162" s="649">
        <f>AY162+AZ161</f>
        <v>330260.50400000002</v>
      </c>
      <c r="BA162" s="649">
        <f>AZ162</f>
        <v>330260.50400000002</v>
      </c>
      <c r="BB162" s="649"/>
      <c r="BC162" s="649"/>
      <c r="BD162" s="649"/>
      <c r="BE162" s="649"/>
      <c r="BF162" s="649"/>
      <c r="BH162" s="705"/>
    </row>
    <row r="163" spans="1:60" s="706" customFormat="1">
      <c r="A163" s="678" t="s">
        <v>2717</v>
      </c>
      <c r="AR163" s="679">
        <v>500000</v>
      </c>
      <c r="AS163" s="695">
        <f t="shared" ref="AS163:BA163" si="75">$AR$163-AS162</f>
        <v>346214.52480000001</v>
      </c>
      <c r="AT163" s="695">
        <f t="shared" si="75"/>
        <v>293100.15830000001</v>
      </c>
      <c r="AU163" s="695">
        <f t="shared" si="75"/>
        <v>262954.88939999999</v>
      </c>
      <c r="AV163" s="695">
        <f t="shared" si="75"/>
        <v>262954.88939999999</v>
      </c>
      <c r="AW163" s="695">
        <f t="shared" si="75"/>
        <v>169739.49599999998</v>
      </c>
      <c r="AX163" s="695">
        <f t="shared" si="75"/>
        <v>169739.49599999998</v>
      </c>
      <c r="AY163" s="695">
        <f t="shared" si="75"/>
        <v>169739.49599999998</v>
      </c>
      <c r="AZ163" s="695">
        <f t="shared" si="75"/>
        <v>169739.49599999998</v>
      </c>
      <c r="BA163" s="695">
        <f t="shared" si="75"/>
        <v>169739.49599999998</v>
      </c>
      <c r="BB163" s="695"/>
      <c r="BC163" s="695"/>
      <c r="BD163" s="695"/>
      <c r="BE163" s="695"/>
      <c r="BF163" s="695"/>
      <c r="BH163" s="710"/>
    </row>
    <row r="165" spans="1:60">
      <c r="A165" s="1" t="s">
        <v>2526</v>
      </c>
      <c r="AS165" s="24">
        <f>AS143</f>
        <v>150.26</v>
      </c>
      <c r="AT165" s="24">
        <f>AT143</f>
        <v>151.32</v>
      </c>
      <c r="AU165" s="24">
        <f>AU143</f>
        <v>152.94999999999999</v>
      </c>
      <c r="AW165" s="24">
        <f>AW143</f>
        <v>145.19</v>
      </c>
      <c r="AX165" s="24">
        <f>AX143</f>
        <v>147.5</v>
      </c>
      <c r="AY165" s="24">
        <f>AY143</f>
        <v>154.04</v>
      </c>
      <c r="AZ165" s="24">
        <f>AZ143</f>
        <v>155.1</v>
      </c>
    </row>
    <row r="166" spans="1:60">
      <c r="A166" s="1" t="s">
        <v>2712</v>
      </c>
      <c r="AS166" s="410">
        <f>AS160/AS165</f>
        <v>54.139491547983496</v>
      </c>
      <c r="AT166" s="410">
        <f>AT160/AT165</f>
        <v>59.080095162569393</v>
      </c>
      <c r="AU166" s="410">
        <f>AU160/AU165</f>
        <v>55.867930696305983</v>
      </c>
      <c r="AW166" s="410">
        <f>AW160/AW165</f>
        <v>48.970314759969696</v>
      </c>
      <c r="AX166" s="410">
        <f>AX160/AX165</f>
        <v>109.72881355932203</v>
      </c>
      <c r="AY166" s="410">
        <f>AY160/AY165</f>
        <v>105.07011165930928</v>
      </c>
      <c r="AZ166" s="410">
        <f>AZ160/AZ165</f>
        <v>104.35203094777563</v>
      </c>
    </row>
    <row r="167" spans="1:60">
      <c r="A167" s="1" t="s">
        <v>2715</v>
      </c>
      <c r="AS167" s="36">
        <f>MROUND(AS161/AS165, 5)</f>
        <v>1025</v>
      </c>
      <c r="AT167" s="36">
        <f>MROUND(AT161/AT165, 5)</f>
        <v>350</v>
      </c>
      <c r="AU167" s="36">
        <f>MROUND(AU161/AU165, 5)</f>
        <v>195</v>
      </c>
      <c r="AW167" s="36">
        <f>MROUND(AW161/AW165, 5)</f>
        <v>640</v>
      </c>
      <c r="AX167" s="36">
        <f>MROUND(AX161/AX165, 5)</f>
        <v>0</v>
      </c>
      <c r="AY167" s="36">
        <f>MROUND(AY161/AY165, 5)</f>
        <v>0</v>
      </c>
      <c r="AZ167" s="36">
        <f>MROUND(AZ161/AZ165, 5)</f>
        <v>0</v>
      </c>
    </row>
    <row r="169" spans="1:60">
      <c r="A169" s="1" t="s">
        <v>2713</v>
      </c>
      <c r="AS169" s="712">
        <f>'Valuation &amp; SBG NAV'!BH41</f>
        <v>20050</v>
      </c>
      <c r="AT169" s="712">
        <f>'Valuation &amp; SBG NAV'!BI41</f>
        <v>20360</v>
      </c>
      <c r="AU169" s="712">
        <f>'Valuation &amp; SBG NAV'!BJ41</f>
        <v>17880</v>
      </c>
      <c r="AW169" s="712">
        <f>'Valuation &amp; SBG NAV'!BL41</f>
        <v>22750</v>
      </c>
      <c r="AX169" s="712">
        <f>'Valuation &amp; SBG NAV'!BM41</f>
        <v>23380</v>
      </c>
      <c r="AY169" s="712">
        <f>'Valuation &amp; SBG NAV'!BN41</f>
        <v>21670</v>
      </c>
      <c r="AZ169" s="712">
        <f>'Valuation &amp; SBG NAV'!BO41</f>
        <v>23080</v>
      </c>
    </row>
  </sheetData>
  <hyperlinks>
    <hyperlink ref="BB129" r:id="rId1" xr:uid="{650187BC-F9A5-4A49-A882-7DEB90BBE47E}"/>
  </hyperlinks>
  <pageMargins left="0.7" right="0.7" top="0.75" bottom="0.75" header="0.3" footer="0.3"/>
  <pageSetup orientation="portrait"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24833-7D70-4289-B35C-369A3444D71F}">
  <dimension ref="A1:Z52"/>
  <sheetViews>
    <sheetView topLeftCell="A27" zoomScale="90" zoomScaleNormal="90" workbookViewId="0">
      <selection activeCell="G41" sqref="G41:G47"/>
    </sheetView>
  </sheetViews>
  <sheetFormatPr defaultColWidth="9.140625" defaultRowHeight="12"/>
  <cols>
    <col min="1" max="1" width="92.85546875" style="1" customWidth="1"/>
    <col min="2" max="2" width="9.7109375" style="239" customWidth="1"/>
    <col min="3" max="7" width="12.85546875" style="1" customWidth="1"/>
    <col min="8" max="10" width="11.42578125" style="1" customWidth="1"/>
    <col min="11" max="16384" width="9.140625" style="1"/>
  </cols>
  <sheetData>
    <row r="1" spans="1:26" ht="43.5" customHeight="1">
      <c r="A1" s="467" t="s">
        <v>2120</v>
      </c>
      <c r="B1" s="20" t="s">
        <v>2121</v>
      </c>
      <c r="C1" s="20" t="s">
        <v>2070</v>
      </c>
      <c r="D1" s="20" t="s">
        <v>2071</v>
      </c>
      <c r="E1" s="20" t="s">
        <v>2949</v>
      </c>
      <c r="F1" s="20" t="s">
        <v>3397</v>
      </c>
      <c r="G1" s="20" t="s">
        <v>3398</v>
      </c>
      <c r="H1" s="578" t="s">
        <v>3396</v>
      </c>
      <c r="I1" s="578" t="s">
        <v>2431</v>
      </c>
      <c r="Z1" s="239" t="s">
        <v>2430</v>
      </c>
    </row>
    <row r="2" spans="1:26" ht="24" customHeight="1">
      <c r="A2" s="1103" t="s">
        <v>2912</v>
      </c>
      <c r="B2" s="1104" t="s">
        <v>2114</v>
      </c>
      <c r="C2" s="1105" t="s">
        <v>2948</v>
      </c>
      <c r="D2" s="1106">
        <v>2.25</v>
      </c>
      <c r="E2" s="1107">
        <v>141500</v>
      </c>
      <c r="F2" s="1107">
        <v>229500</v>
      </c>
      <c r="G2" s="1108">
        <v>229500</v>
      </c>
      <c r="H2" s="1111">
        <f>MROUND(G2/FP!$G$4, 5)</f>
        <v>1480</v>
      </c>
      <c r="I2" s="1111">
        <f t="shared" ref="I2" si="0">H2*D2/100</f>
        <v>33.299999999999997</v>
      </c>
    </row>
    <row r="3" spans="1:26" ht="24" customHeight="1">
      <c r="A3" s="590" t="s">
        <v>2919</v>
      </c>
      <c r="B3" s="464" t="s">
        <v>2114</v>
      </c>
      <c r="C3" s="591">
        <v>46132</v>
      </c>
      <c r="D3" s="1113">
        <v>2.4799999999999999E-2</v>
      </c>
      <c r="E3" s="1109">
        <v>30000</v>
      </c>
      <c r="F3" s="1109">
        <v>30000</v>
      </c>
      <c r="G3" s="572">
        <v>29996</v>
      </c>
      <c r="H3" s="580">
        <f>MROUND(G3/FP!$G$4, 5)</f>
        <v>195</v>
      </c>
      <c r="I3" s="580">
        <f>H3*D3</f>
        <v>4.8359999999999994</v>
      </c>
      <c r="K3" s="12" t="s">
        <v>1968</v>
      </c>
      <c r="L3" s="223">
        <f>FP!$G$5/FP!$G$4</f>
        <v>1.1814958091553838</v>
      </c>
    </row>
    <row r="4" spans="1:26" ht="24" customHeight="1">
      <c r="A4" s="450" t="s">
        <v>2920</v>
      </c>
      <c r="B4" s="463" t="s">
        <v>2087</v>
      </c>
      <c r="C4" s="448">
        <v>46209</v>
      </c>
      <c r="D4" s="1114">
        <v>0.04</v>
      </c>
      <c r="E4" s="451" t="s">
        <v>3399</v>
      </c>
      <c r="F4" s="451" t="s">
        <v>3399</v>
      </c>
      <c r="G4" s="570">
        <v>104665</v>
      </c>
      <c r="H4" s="579">
        <f>MROUND(G4/FP!$G$4, 5)</f>
        <v>675</v>
      </c>
      <c r="I4" s="579">
        <f t="shared" ref="I4:I47" si="1">H4*D4</f>
        <v>27</v>
      </c>
    </row>
    <row r="5" spans="1:26" ht="24" customHeight="1">
      <c r="A5" s="450" t="s">
        <v>2921</v>
      </c>
      <c r="B5" s="463" t="s">
        <v>2114</v>
      </c>
      <c r="C5" s="448">
        <v>46276</v>
      </c>
      <c r="D5" s="1114">
        <v>1.38E-2</v>
      </c>
      <c r="E5" s="451">
        <v>97900</v>
      </c>
      <c r="F5" s="451">
        <v>97900</v>
      </c>
      <c r="G5" s="570">
        <v>97859</v>
      </c>
      <c r="H5" s="579">
        <f>MROUND(G5/FP!$G$4, 5)</f>
        <v>630</v>
      </c>
      <c r="I5" s="579">
        <f t="shared" si="1"/>
        <v>8.6939999999999991</v>
      </c>
      <c r="K5" s="603" t="s">
        <v>2433</v>
      </c>
      <c r="L5" s="605">
        <f>$H$2</f>
        <v>1480</v>
      </c>
      <c r="M5" s="606">
        <f>L5/1000</f>
        <v>1.48</v>
      </c>
    </row>
    <row r="6" spans="1:26" ht="24" customHeight="1">
      <c r="A6" s="583" t="s">
        <v>2922</v>
      </c>
      <c r="B6" s="584" t="s">
        <v>2114</v>
      </c>
      <c r="C6" s="585">
        <v>46282</v>
      </c>
      <c r="D6" s="1115">
        <v>1.38E-2</v>
      </c>
      <c r="E6" s="896">
        <v>400000</v>
      </c>
      <c r="F6" s="896">
        <v>400000</v>
      </c>
      <c r="G6" s="604">
        <v>399523</v>
      </c>
      <c r="H6" s="589">
        <f>MROUND(G6/FP!$G$4, 5)</f>
        <v>2575</v>
      </c>
      <c r="I6" s="589">
        <f t="shared" si="1"/>
        <v>35.534999999999997</v>
      </c>
      <c r="K6" s="219">
        <v>2026</v>
      </c>
      <c r="L6" s="579"/>
      <c r="M6" s="606"/>
    </row>
    <row r="7" spans="1:26" ht="24" customHeight="1">
      <c r="A7" s="590" t="s">
        <v>2923</v>
      </c>
      <c r="B7" s="464" t="s">
        <v>2084</v>
      </c>
      <c r="C7" s="591">
        <v>46393</v>
      </c>
      <c r="D7" s="1113">
        <v>2.8750000000000001E-2</v>
      </c>
      <c r="E7" s="1109" t="s">
        <v>3400</v>
      </c>
      <c r="F7" s="1109" t="s">
        <v>3400</v>
      </c>
      <c r="G7" s="1110">
        <v>80406</v>
      </c>
      <c r="H7" s="580">
        <f>MROUND(G7/FP!$G$4, 5)</f>
        <v>520</v>
      </c>
      <c r="I7" s="580">
        <f t="shared" si="1"/>
        <v>14.950000000000001</v>
      </c>
      <c r="K7" s="219">
        <f>K6+1</f>
        <v>2027</v>
      </c>
      <c r="L7" s="579"/>
      <c r="M7" s="606"/>
    </row>
    <row r="8" spans="1:26" ht="24" customHeight="1">
      <c r="A8" s="450" t="s">
        <v>2924</v>
      </c>
      <c r="B8" s="463" t="s">
        <v>2114</v>
      </c>
      <c r="C8" s="448">
        <v>46500</v>
      </c>
      <c r="D8" s="1114">
        <v>1.7989999999999999E-2</v>
      </c>
      <c r="E8" s="893">
        <v>30000</v>
      </c>
      <c r="F8" s="893">
        <v>30000</v>
      </c>
      <c r="G8" s="570">
        <v>29951</v>
      </c>
      <c r="H8" s="579">
        <f>MROUND(G8/FP!$G$4, 5)</f>
        <v>195</v>
      </c>
      <c r="I8" s="579">
        <f t="shared" si="1"/>
        <v>3.5080499999999999</v>
      </c>
      <c r="K8" s="219">
        <f>K7+1</f>
        <v>2028</v>
      </c>
      <c r="L8" s="579"/>
      <c r="M8" s="606"/>
    </row>
    <row r="9" spans="1:26" ht="24" customHeight="1">
      <c r="A9" s="450" t="s">
        <v>2925</v>
      </c>
      <c r="B9" s="463" t="s">
        <v>2084</v>
      </c>
      <c r="C9" s="448">
        <v>46598</v>
      </c>
      <c r="D9" s="1114">
        <v>5.2499999999999998E-2</v>
      </c>
      <c r="E9" s="893" t="s">
        <v>3401</v>
      </c>
      <c r="F9" s="893" t="s">
        <v>3401</v>
      </c>
      <c r="G9" s="569">
        <v>38738</v>
      </c>
      <c r="H9" s="579">
        <f>MROUND(G9/FP!$G$4, 5)</f>
        <v>250</v>
      </c>
      <c r="I9" s="579">
        <f t="shared" si="1"/>
        <v>13.125</v>
      </c>
      <c r="K9" s="219">
        <f>K8+1</f>
        <v>2029</v>
      </c>
      <c r="L9" s="579"/>
      <c r="M9" s="606"/>
    </row>
    <row r="10" spans="1:26" ht="24" customHeight="1">
      <c r="A10" s="583" t="s">
        <v>2926</v>
      </c>
      <c r="B10" s="584" t="s">
        <v>2087</v>
      </c>
      <c r="C10" s="585">
        <v>46649</v>
      </c>
      <c r="D10" s="1115">
        <v>5.1249999999999997E-2</v>
      </c>
      <c r="E10" s="895" t="s">
        <v>3402</v>
      </c>
      <c r="F10" s="895" t="s">
        <v>3402</v>
      </c>
      <c r="G10" s="604">
        <v>258886</v>
      </c>
      <c r="H10" s="589">
        <f>MROUND(G10/FP!$G$4, 5)</f>
        <v>1670</v>
      </c>
      <c r="I10" s="589">
        <f t="shared" si="1"/>
        <v>85.587499999999991</v>
      </c>
      <c r="K10" s="603" t="s">
        <v>2432</v>
      </c>
      <c r="L10" s="579"/>
      <c r="M10" s="606"/>
    </row>
    <row r="11" spans="1:26" ht="24" customHeight="1">
      <c r="A11" s="590" t="s">
        <v>2927</v>
      </c>
      <c r="B11" s="464" t="s">
        <v>2087</v>
      </c>
      <c r="C11" s="591">
        <v>46858</v>
      </c>
      <c r="D11" s="1113">
        <v>6.25E-2</v>
      </c>
      <c r="E11" s="1112" t="s">
        <v>3403</v>
      </c>
      <c r="F11" s="1112" t="s">
        <v>3403</v>
      </c>
      <c r="G11" s="1110">
        <v>72749</v>
      </c>
      <c r="H11" s="580">
        <f>MROUND(G11/FP!$G$4, 5)</f>
        <v>470</v>
      </c>
      <c r="I11" s="580">
        <f t="shared" si="1"/>
        <v>29.375</v>
      </c>
      <c r="L11" s="605">
        <f>SUM(L5:L10)</f>
        <v>1480</v>
      </c>
      <c r="M11" s="606">
        <f>L11/1000</f>
        <v>1.48</v>
      </c>
    </row>
    <row r="12" spans="1:26" ht="24" customHeight="1">
      <c r="A12" s="450" t="s">
        <v>2928</v>
      </c>
      <c r="B12" s="463" t="s">
        <v>2084</v>
      </c>
      <c r="C12" s="448">
        <v>46858</v>
      </c>
      <c r="D12" s="1114">
        <v>0.05</v>
      </c>
      <c r="E12" s="451" t="s">
        <v>3404</v>
      </c>
      <c r="F12" s="451" t="s">
        <v>3404</v>
      </c>
      <c r="G12" s="570">
        <v>193785</v>
      </c>
      <c r="H12" s="579">
        <f>MROUND(G12/FP!$G$4, 5)</f>
        <v>1250</v>
      </c>
      <c r="I12" s="579">
        <f t="shared" si="1"/>
        <v>62.5</v>
      </c>
    </row>
    <row r="13" spans="1:26" ht="24" customHeight="1">
      <c r="A13" s="583" t="s">
        <v>2929</v>
      </c>
      <c r="B13" s="584" t="s">
        <v>2087</v>
      </c>
      <c r="C13" s="585">
        <v>46940</v>
      </c>
      <c r="D13" s="1115">
        <v>4.6249999999999999E-2</v>
      </c>
      <c r="E13" s="897" t="s">
        <v>3405</v>
      </c>
      <c r="F13" s="897" t="s">
        <v>3405</v>
      </c>
      <c r="G13" s="604">
        <v>120563</v>
      </c>
      <c r="H13" s="589">
        <f>MROUND(G13/FP!$G$4, 5)</f>
        <v>775</v>
      </c>
      <c r="I13" s="589">
        <f t="shared" si="1"/>
        <v>35.84375</v>
      </c>
      <c r="J13" s="898">
        <f>SUM(H3:H10)</f>
        <v>6710</v>
      </c>
      <c r="K13" s="792">
        <f>SUM(I6:I13)/SUM(H6:H13)</f>
        <v>3.6395107073329012E-2</v>
      </c>
    </row>
    <row r="14" spans="1:26" ht="24" customHeight="1">
      <c r="A14" s="450" t="s">
        <v>2930</v>
      </c>
      <c r="B14" s="463" t="s">
        <v>2084</v>
      </c>
      <c r="C14" s="448">
        <v>47126</v>
      </c>
      <c r="D14" s="1114">
        <v>5.3749999999999999E-2</v>
      </c>
      <c r="E14" s="892" t="s">
        <v>3406</v>
      </c>
      <c r="F14" s="892" t="s">
        <v>3406</v>
      </c>
      <c r="G14" s="569">
        <v>82360</v>
      </c>
      <c r="H14" s="579">
        <f>MROUND(G14/FP!$G$4, 5)</f>
        <v>530</v>
      </c>
      <c r="I14" s="579">
        <f t="shared" si="1"/>
        <v>28.487500000000001</v>
      </c>
    </row>
    <row r="15" spans="1:26" ht="24" customHeight="1">
      <c r="A15" s="450" t="s">
        <v>3179</v>
      </c>
      <c r="B15" s="463" t="s">
        <v>2087</v>
      </c>
      <c r="C15" s="448">
        <v>47218</v>
      </c>
      <c r="D15" s="1114">
        <v>6.5000000000000002E-2</v>
      </c>
      <c r="E15" s="451" t="s">
        <v>3178</v>
      </c>
      <c r="F15" s="451" t="s">
        <v>3407</v>
      </c>
      <c r="G15" s="569">
        <v>77568</v>
      </c>
      <c r="H15" s="579">
        <f>MROUND(G15/FP!$G$4, 5)</f>
        <v>500</v>
      </c>
      <c r="I15" s="579">
        <f t="shared" si="1"/>
        <v>32.5</v>
      </c>
    </row>
    <row r="16" spans="1:26" ht="24" customHeight="1">
      <c r="A16" s="450" t="s">
        <v>2931</v>
      </c>
      <c r="B16" s="463" t="s">
        <v>2114</v>
      </c>
      <c r="C16" s="448">
        <v>47233</v>
      </c>
      <c r="D16" s="1114">
        <v>2.4410000000000001E-2</v>
      </c>
      <c r="E16" s="892">
        <v>50000</v>
      </c>
      <c r="F16" s="892">
        <v>50000</v>
      </c>
      <c r="G16" s="569">
        <v>49856</v>
      </c>
      <c r="H16" s="579">
        <f>MROUND(G16/FP!$G$4, 5)</f>
        <v>320</v>
      </c>
      <c r="I16" s="579">
        <f t="shared" si="1"/>
        <v>7.8112000000000004</v>
      </c>
    </row>
    <row r="17" spans="1:9" ht="24" customHeight="1">
      <c r="A17" s="450" t="s">
        <v>2932</v>
      </c>
      <c r="B17" s="463" t="s">
        <v>2084</v>
      </c>
      <c r="C17" s="448">
        <v>47305</v>
      </c>
      <c r="D17" s="1114">
        <v>3.3750000000000002E-2</v>
      </c>
      <c r="E17" s="451" t="s">
        <v>3408</v>
      </c>
      <c r="F17" s="451" t="s">
        <v>3408</v>
      </c>
      <c r="G17" s="569">
        <v>86685</v>
      </c>
      <c r="H17" s="579">
        <f>MROUND(G17/FP!$G$4, 5)</f>
        <v>560</v>
      </c>
      <c r="I17" s="579">
        <f t="shared" si="1"/>
        <v>18.900000000000002</v>
      </c>
    </row>
    <row r="18" spans="1:9" ht="24" customHeight="1">
      <c r="A18" s="450" t="s">
        <v>2933</v>
      </c>
      <c r="B18" s="463" t="s">
        <v>2087</v>
      </c>
      <c r="C18" s="448">
        <v>47307</v>
      </c>
      <c r="D18" s="1114">
        <v>6.7500000000000004E-2</v>
      </c>
      <c r="E18" s="451" t="s">
        <v>3409</v>
      </c>
      <c r="F18" s="451" t="s">
        <v>3409</v>
      </c>
      <c r="G18" s="569">
        <v>62157</v>
      </c>
      <c r="H18" s="579">
        <f>MROUND(G18/FP!$G$4, 5)</f>
        <v>400</v>
      </c>
      <c r="I18" s="579">
        <f t="shared" si="1"/>
        <v>27</v>
      </c>
    </row>
    <row r="19" spans="1:9" ht="24" customHeight="1">
      <c r="A19" s="450" t="s">
        <v>2934</v>
      </c>
      <c r="B19" s="463" t="s">
        <v>2084</v>
      </c>
      <c r="C19" s="448">
        <v>47380</v>
      </c>
      <c r="D19" s="1114">
        <v>0.04</v>
      </c>
      <c r="E19" s="893" t="s">
        <v>3410</v>
      </c>
      <c r="F19" s="893" t="s">
        <v>3410</v>
      </c>
      <c r="G19" s="570">
        <v>105563</v>
      </c>
      <c r="H19" s="579">
        <f>MROUND(G19/FP!$G$4, 5)</f>
        <v>680</v>
      </c>
      <c r="I19" s="579">
        <f t="shared" si="1"/>
        <v>27.2</v>
      </c>
    </row>
    <row r="20" spans="1:9" ht="24" customHeight="1">
      <c r="A20" s="450" t="s">
        <v>3180</v>
      </c>
      <c r="B20" s="463" t="s">
        <v>2084</v>
      </c>
      <c r="C20" s="448">
        <v>47401</v>
      </c>
      <c r="D20" s="1114">
        <v>5.2499999999999998E-2</v>
      </c>
      <c r="E20" s="451" t="s">
        <v>3178</v>
      </c>
      <c r="F20" s="451" t="s">
        <v>3411</v>
      </c>
      <c r="G20" s="570">
        <v>109574</v>
      </c>
      <c r="H20" s="579">
        <f>MROUND(G20/FP!$G$4, 5)</f>
        <v>705</v>
      </c>
      <c r="I20" s="579">
        <f t="shared" si="1"/>
        <v>37.012499999999996</v>
      </c>
    </row>
    <row r="21" spans="1:9" ht="24" customHeight="1">
      <c r="A21" s="583" t="s">
        <v>2935</v>
      </c>
      <c r="B21" s="584" t="s">
        <v>2114</v>
      </c>
      <c r="C21" s="585">
        <v>47466</v>
      </c>
      <c r="D21" s="1115">
        <v>2.8400000000000002E-2</v>
      </c>
      <c r="E21" s="897">
        <v>385000</v>
      </c>
      <c r="F21" s="897">
        <v>385000</v>
      </c>
      <c r="G21" s="604">
        <v>382296</v>
      </c>
      <c r="H21" s="589">
        <f>MROUND(G21/FP!$G$4, 5)</f>
        <v>2465</v>
      </c>
      <c r="I21" s="589">
        <f t="shared" si="1"/>
        <v>70.006</v>
      </c>
    </row>
    <row r="22" spans="1:9" ht="24" customHeight="1">
      <c r="A22" s="600" t="s">
        <v>3127</v>
      </c>
      <c r="B22" s="463" t="s">
        <v>2114</v>
      </c>
      <c r="C22" s="448">
        <v>47597</v>
      </c>
      <c r="D22" s="1114">
        <v>3.3360000000000001E-2</v>
      </c>
      <c r="E22" s="451" t="s">
        <v>3178</v>
      </c>
      <c r="F22" s="451">
        <v>20000</v>
      </c>
      <c r="G22" s="570">
        <v>19923</v>
      </c>
      <c r="H22" s="579">
        <f>MROUND(G22/FP!$G$4, 5)</f>
        <v>130</v>
      </c>
      <c r="I22" s="579">
        <f t="shared" si="1"/>
        <v>4.3368000000000002</v>
      </c>
    </row>
    <row r="23" spans="1:9" ht="24" customHeight="1">
      <c r="A23" s="602" t="s">
        <v>3128</v>
      </c>
      <c r="B23" s="584" t="s">
        <v>2114</v>
      </c>
      <c r="C23" s="585">
        <v>47605</v>
      </c>
      <c r="D23" s="1115">
        <v>3.3399999999999999E-2</v>
      </c>
      <c r="E23" s="895" t="s">
        <v>3178</v>
      </c>
      <c r="F23" s="895">
        <v>600000</v>
      </c>
      <c r="G23" s="598">
        <v>594263</v>
      </c>
      <c r="H23" s="589">
        <f>MROUND(G23/FP!$G$4, 5)</f>
        <v>3830</v>
      </c>
      <c r="I23" s="589">
        <f t="shared" si="1"/>
        <v>127.922</v>
      </c>
    </row>
    <row r="24" spans="1:9" ht="24" customHeight="1">
      <c r="A24" s="450" t="s">
        <v>3181</v>
      </c>
      <c r="B24" s="463" t="s">
        <v>2087</v>
      </c>
      <c r="C24" s="448">
        <v>47858</v>
      </c>
      <c r="D24" s="1114">
        <v>6.8750000000000006E-2</v>
      </c>
      <c r="E24" s="893" t="s">
        <v>3178</v>
      </c>
      <c r="F24" s="893" t="s">
        <v>3412</v>
      </c>
      <c r="G24" s="569">
        <v>93040</v>
      </c>
      <c r="H24" s="579">
        <f>MROUND(G24/FP!$G$4, 5)</f>
        <v>600</v>
      </c>
      <c r="I24" s="579">
        <f t="shared" si="1"/>
        <v>41.25</v>
      </c>
    </row>
    <row r="25" spans="1:9" ht="24" customHeight="1">
      <c r="A25" s="450" t="s">
        <v>2936</v>
      </c>
      <c r="B25" s="463" t="s">
        <v>2114</v>
      </c>
      <c r="C25" s="448">
        <v>47921</v>
      </c>
      <c r="D25" s="1114">
        <v>3.04E-2</v>
      </c>
      <c r="E25" s="893">
        <v>550000</v>
      </c>
      <c r="F25" s="893">
        <v>550000</v>
      </c>
      <c r="G25" s="569">
        <v>544911</v>
      </c>
      <c r="H25" s="579">
        <f>MROUND(G25/FP!$G$4, 5)</f>
        <v>3515</v>
      </c>
      <c r="I25" s="579">
        <f t="shared" si="1"/>
        <v>106.85599999999999</v>
      </c>
    </row>
    <row r="26" spans="1:9" ht="24" customHeight="1">
      <c r="A26" s="450" t="s">
        <v>2937</v>
      </c>
      <c r="B26" s="463" t="s">
        <v>2114</v>
      </c>
      <c r="C26" s="448">
        <v>47963</v>
      </c>
      <c r="D26" s="1114">
        <v>2.9000000000000001E-2</v>
      </c>
      <c r="E26" s="893">
        <v>20000</v>
      </c>
      <c r="F26" s="893">
        <v>20000</v>
      </c>
      <c r="G26" s="569">
        <v>19931</v>
      </c>
      <c r="H26" s="579">
        <f>MROUND(G26/FP!$G$4, 5)</f>
        <v>130</v>
      </c>
      <c r="I26" s="579">
        <f t="shared" si="1"/>
        <v>3.77</v>
      </c>
    </row>
    <row r="27" spans="1:9" ht="24" customHeight="1">
      <c r="A27" s="450" t="s">
        <v>2938</v>
      </c>
      <c r="B27" s="463" t="s">
        <v>2114</v>
      </c>
      <c r="C27" s="448">
        <v>48012</v>
      </c>
      <c r="D27" s="1114">
        <v>3.0300000000000001E-2</v>
      </c>
      <c r="E27" s="893">
        <v>550000</v>
      </c>
      <c r="F27" s="893">
        <v>550000</v>
      </c>
      <c r="G27" s="569">
        <v>545303</v>
      </c>
      <c r="H27" s="579">
        <f>MROUND(G27/FP!$G$4, 5)</f>
        <v>3515</v>
      </c>
      <c r="I27" s="579">
        <f t="shared" si="1"/>
        <v>106.50450000000001</v>
      </c>
    </row>
    <row r="28" spans="1:9" ht="24" customHeight="1">
      <c r="A28" s="450" t="s">
        <v>2939</v>
      </c>
      <c r="B28" s="463" t="s">
        <v>2087</v>
      </c>
      <c r="C28" s="448">
        <v>48035</v>
      </c>
      <c r="D28" s="1114">
        <v>5.2499999999999998E-2</v>
      </c>
      <c r="E28" s="893" t="s">
        <v>3413</v>
      </c>
      <c r="F28" s="893" t="s">
        <v>3413</v>
      </c>
      <c r="G28" s="570">
        <v>203102</v>
      </c>
      <c r="H28" s="579">
        <f>MROUND(G28/FP!$G$4, 5)</f>
        <v>1310</v>
      </c>
      <c r="I28" s="579">
        <f t="shared" si="1"/>
        <v>68.774999999999991</v>
      </c>
    </row>
    <row r="29" spans="1:9" ht="24" customHeight="1">
      <c r="A29" s="450" t="s">
        <v>2939</v>
      </c>
      <c r="B29" s="463" t="s">
        <v>2087</v>
      </c>
      <c r="C29" s="448">
        <v>48037</v>
      </c>
      <c r="D29" s="1114">
        <v>7.0000000000000007E-2</v>
      </c>
      <c r="E29" s="893" t="s">
        <v>3407</v>
      </c>
      <c r="F29" s="893" t="s">
        <v>3407</v>
      </c>
      <c r="G29" s="569">
        <v>77842</v>
      </c>
      <c r="H29" s="579">
        <f>MROUND(G29/FP!$G$4, 5)</f>
        <v>500</v>
      </c>
      <c r="I29" s="579">
        <f t="shared" si="1"/>
        <v>35</v>
      </c>
    </row>
    <row r="30" spans="1:9" ht="24" customHeight="1">
      <c r="A30" s="600" t="s">
        <v>3182</v>
      </c>
      <c r="B30" s="463" t="s">
        <v>2084</v>
      </c>
      <c r="C30" s="448">
        <v>48039</v>
      </c>
      <c r="D30" s="1114">
        <v>5.8749999999999997E-2</v>
      </c>
      <c r="E30" s="893" t="s">
        <v>3178</v>
      </c>
      <c r="F30" s="893" t="s">
        <v>3411</v>
      </c>
      <c r="G30" s="569">
        <v>109534</v>
      </c>
      <c r="H30" s="579">
        <f>MROUND(G30/FP!$G$4, 5)</f>
        <v>705</v>
      </c>
      <c r="I30" s="579">
        <f t="shared" si="1"/>
        <v>41.418749999999996</v>
      </c>
    </row>
    <row r="31" spans="1:9" ht="24" customHeight="1">
      <c r="A31" s="583" t="s">
        <v>2940</v>
      </c>
      <c r="B31" s="584" t="s">
        <v>2114</v>
      </c>
      <c r="C31" s="585">
        <v>48193</v>
      </c>
      <c r="D31" s="1115">
        <v>3.15E-2</v>
      </c>
      <c r="E31" s="897">
        <v>350000</v>
      </c>
      <c r="F31" s="897">
        <v>350000</v>
      </c>
      <c r="G31" s="604">
        <v>346729</v>
      </c>
      <c r="H31" s="589">
        <f>MROUND(G31/FP!$G$4, 5)</f>
        <v>2235</v>
      </c>
      <c r="I31" s="589">
        <f t="shared" si="1"/>
        <v>70.402500000000003</v>
      </c>
    </row>
    <row r="32" spans="1:9" ht="24" customHeight="1">
      <c r="A32" s="600" t="s">
        <v>2941</v>
      </c>
      <c r="B32" s="463" t="s">
        <v>2084</v>
      </c>
      <c r="C32" s="448">
        <v>48401</v>
      </c>
      <c r="D32" s="1114">
        <v>3.875E-2</v>
      </c>
      <c r="E32" s="892" t="s">
        <v>3414</v>
      </c>
      <c r="F32" s="892" t="s">
        <v>3414</v>
      </c>
      <c r="G32" s="569">
        <v>77742</v>
      </c>
      <c r="H32" s="579">
        <f>MROUND(G32/FP!$G$4, 5)</f>
        <v>500</v>
      </c>
      <c r="I32" s="579">
        <f t="shared" si="1"/>
        <v>19.375</v>
      </c>
    </row>
    <row r="33" spans="1:9" ht="24" customHeight="1">
      <c r="A33" s="600" t="s">
        <v>2941</v>
      </c>
      <c r="B33" s="463" t="s">
        <v>2084</v>
      </c>
      <c r="C33" s="448">
        <v>48403</v>
      </c>
      <c r="D33" s="1114">
        <v>5.7500000000000002E-2</v>
      </c>
      <c r="E33" s="892" t="s">
        <v>3406</v>
      </c>
      <c r="F33" s="892" t="s">
        <v>3406</v>
      </c>
      <c r="G33" s="569">
        <v>82231</v>
      </c>
      <c r="H33" s="579">
        <f>MROUND(G33/FP!$G$4, 5)</f>
        <v>530</v>
      </c>
      <c r="I33" s="579">
        <f t="shared" si="1"/>
        <v>30.475000000000001</v>
      </c>
    </row>
    <row r="34" spans="1:9" ht="24" customHeight="1">
      <c r="A34" s="600" t="s">
        <v>3183</v>
      </c>
      <c r="B34" s="463" t="s">
        <v>2087</v>
      </c>
      <c r="C34" s="448">
        <v>48405</v>
      </c>
      <c r="D34" s="1114">
        <v>7.2499999999999995E-2</v>
      </c>
      <c r="E34" s="893" t="s">
        <v>3178</v>
      </c>
      <c r="F34" s="893" t="s">
        <v>3412</v>
      </c>
      <c r="G34" s="569">
        <v>93020</v>
      </c>
      <c r="H34" s="579">
        <f>MROUND(G34/FP!$G$4, 5)</f>
        <v>600</v>
      </c>
      <c r="I34" s="579">
        <f t="shared" si="1"/>
        <v>43.5</v>
      </c>
    </row>
    <row r="35" spans="1:9" ht="24" customHeight="1">
      <c r="A35" s="1133" t="s">
        <v>3415</v>
      </c>
      <c r="B35" s="584" t="s">
        <v>2114</v>
      </c>
      <c r="C35" s="585">
        <v>48556</v>
      </c>
      <c r="D35" s="1115">
        <v>3.9800000000000002E-2</v>
      </c>
      <c r="E35" s="895" t="s">
        <v>3178</v>
      </c>
      <c r="F35" s="895">
        <v>500000</v>
      </c>
      <c r="G35" s="598">
        <v>494546</v>
      </c>
      <c r="H35" s="589">
        <f>MROUND(G35/FP!$G$4, 5)</f>
        <v>3190</v>
      </c>
      <c r="I35" s="589">
        <f t="shared" si="1"/>
        <v>126.962</v>
      </c>
    </row>
    <row r="36" spans="1:9" ht="24" customHeight="1">
      <c r="A36" s="1102" t="s">
        <v>3184</v>
      </c>
      <c r="B36" s="463" t="s">
        <v>2084</v>
      </c>
      <c r="C36" s="448">
        <v>48770</v>
      </c>
      <c r="D36" s="1114">
        <v>6.3750000000000001E-2</v>
      </c>
      <c r="E36" s="451" t="s">
        <v>3178</v>
      </c>
      <c r="F36" s="451" t="s">
        <v>3416</v>
      </c>
      <c r="G36" s="570">
        <v>91258</v>
      </c>
      <c r="H36" s="579">
        <f>MROUND(G36/FP!$G$4, 5)</f>
        <v>590</v>
      </c>
      <c r="I36" s="579">
        <f t="shared" si="1"/>
        <v>37.612499999999997</v>
      </c>
    </row>
    <row r="37" spans="1:9" ht="24" customHeight="1">
      <c r="A37" s="1133" t="s">
        <v>3185</v>
      </c>
      <c r="B37" s="584" t="s">
        <v>2087</v>
      </c>
      <c r="C37" s="585">
        <v>49500</v>
      </c>
      <c r="D37" s="1115">
        <v>7.4999999999999997E-2</v>
      </c>
      <c r="E37" s="895" t="s">
        <v>3178</v>
      </c>
      <c r="F37" s="895" t="s">
        <v>3407</v>
      </c>
      <c r="G37" s="598">
        <v>77499</v>
      </c>
      <c r="H37" s="589">
        <f>MROUND(G37/FP!$G$4, 5)</f>
        <v>500</v>
      </c>
      <c r="I37" s="589">
        <f t="shared" si="1"/>
        <v>37.5</v>
      </c>
    </row>
    <row r="38" spans="1:9" ht="24" customHeight="1">
      <c r="A38" s="1148" t="s">
        <v>2942</v>
      </c>
      <c r="B38" s="464" t="s">
        <v>2114</v>
      </c>
      <c r="C38" s="591">
        <v>47011</v>
      </c>
      <c r="D38" s="1113">
        <v>2.4E-2</v>
      </c>
      <c r="E38" s="462">
        <v>30100</v>
      </c>
      <c r="F38" s="462">
        <v>30100</v>
      </c>
      <c r="G38" s="572">
        <v>30026</v>
      </c>
      <c r="H38" s="580">
        <f>MROUND(G38/FP!$G$4, 5)</f>
        <v>195</v>
      </c>
      <c r="I38" s="580">
        <f t="shared" si="1"/>
        <v>4.68</v>
      </c>
    </row>
    <row r="39" spans="1:9" ht="24" customHeight="1">
      <c r="A39" s="1102" t="s">
        <v>2943</v>
      </c>
      <c r="B39" s="463" t="s">
        <v>2114</v>
      </c>
      <c r="C39" s="448">
        <v>47025</v>
      </c>
      <c r="D39" s="1114">
        <v>2.4E-2</v>
      </c>
      <c r="E39" s="451">
        <v>450000</v>
      </c>
      <c r="F39" s="451">
        <v>450000</v>
      </c>
      <c r="G39" s="570">
        <v>447421</v>
      </c>
      <c r="H39" s="579">
        <f>MROUND(G39/FP!$G$4, 5)</f>
        <v>2885</v>
      </c>
      <c r="I39" s="579">
        <f t="shared" si="1"/>
        <v>69.239999999999995</v>
      </c>
    </row>
    <row r="40" spans="1:9" ht="24" customHeight="1">
      <c r="A40" s="1133" t="s">
        <v>2944</v>
      </c>
      <c r="B40" s="584" t="s">
        <v>2114</v>
      </c>
      <c r="C40" s="585">
        <v>47151</v>
      </c>
      <c r="D40" s="1115">
        <v>2.4799999999999999E-2</v>
      </c>
      <c r="E40" s="896">
        <v>549000</v>
      </c>
      <c r="F40" s="896">
        <v>549000</v>
      </c>
      <c r="G40" s="604">
        <v>545364</v>
      </c>
      <c r="H40" s="589">
        <f>MROUND(G40/FP!$G$4, 5)</f>
        <v>3515</v>
      </c>
      <c r="I40" s="589">
        <f t="shared" si="1"/>
        <v>87.171999999999997</v>
      </c>
    </row>
    <row r="41" spans="1:9" ht="37.5" customHeight="1">
      <c r="A41" s="450" t="s">
        <v>3417</v>
      </c>
      <c r="B41" s="463" t="s">
        <v>2114</v>
      </c>
      <c r="C41" s="448">
        <v>57014</v>
      </c>
      <c r="D41" s="1114">
        <v>0.03</v>
      </c>
      <c r="E41" s="893">
        <v>177000</v>
      </c>
      <c r="F41" s="893">
        <v>177000</v>
      </c>
      <c r="G41" s="569">
        <v>176354</v>
      </c>
      <c r="H41" s="579">
        <f>MROUND(G41/FP!$G$4, 5)</f>
        <v>1135</v>
      </c>
      <c r="I41" s="579">
        <f t="shared" si="1"/>
        <v>34.049999999999997</v>
      </c>
    </row>
    <row r="42" spans="1:9" ht="37.5" customHeight="1">
      <c r="A42" s="450" t="s">
        <v>3418</v>
      </c>
      <c r="B42" s="463" t="s">
        <v>2114</v>
      </c>
      <c r="C42" s="448">
        <v>57152</v>
      </c>
      <c r="D42" s="1114">
        <v>2.75E-2</v>
      </c>
      <c r="E42" s="893">
        <v>405000</v>
      </c>
      <c r="F42" s="893">
        <v>405000</v>
      </c>
      <c r="G42" s="569">
        <v>398593</v>
      </c>
      <c r="H42" s="579">
        <f>MROUND(G42/FP!$G$4, 5)</f>
        <v>2570</v>
      </c>
      <c r="I42" s="579">
        <f t="shared" si="1"/>
        <v>70.674999999999997</v>
      </c>
    </row>
    <row r="43" spans="1:9" ht="37.5" customHeight="1">
      <c r="A43" s="450" t="s">
        <v>3419</v>
      </c>
      <c r="B43" s="463" t="s">
        <v>2114</v>
      </c>
      <c r="C43" s="448">
        <v>57826</v>
      </c>
      <c r="D43" s="1114">
        <v>4.7500000000000001E-2</v>
      </c>
      <c r="E43" s="891">
        <v>222000</v>
      </c>
      <c r="F43" s="891">
        <v>222000</v>
      </c>
      <c r="G43" s="569">
        <v>218386</v>
      </c>
      <c r="H43" s="579">
        <f>MROUND(G43/FP!$G$4, 5)</f>
        <v>1410</v>
      </c>
      <c r="I43" s="579">
        <f t="shared" si="1"/>
        <v>66.974999999999994</v>
      </c>
    </row>
    <row r="44" spans="1:9" ht="37.5" customHeight="1">
      <c r="A44" s="450" t="s">
        <v>3420</v>
      </c>
      <c r="B44" s="463" t="s">
        <v>2114</v>
      </c>
      <c r="C44" s="448">
        <v>58687</v>
      </c>
      <c r="D44" s="1114">
        <v>4.5560000000000003E-2</v>
      </c>
      <c r="E44" s="891" t="s">
        <v>3178</v>
      </c>
      <c r="F44" s="891">
        <v>200000</v>
      </c>
      <c r="G44" s="569">
        <v>198308</v>
      </c>
      <c r="H44" s="579">
        <f>MROUND(G44/FP!$G$4, 5)</f>
        <v>1280</v>
      </c>
      <c r="I44" s="579">
        <f t="shared" si="1"/>
        <v>58.316800000000001</v>
      </c>
    </row>
    <row r="45" spans="1:9" ht="24" customHeight="1">
      <c r="A45" s="450" t="s">
        <v>3421</v>
      </c>
      <c r="B45" s="463" t="s">
        <v>2087</v>
      </c>
      <c r="C45" s="448">
        <v>58925</v>
      </c>
      <c r="D45" s="1114">
        <v>7.6249999999999998E-2</v>
      </c>
      <c r="E45" s="891" t="s">
        <v>3178</v>
      </c>
      <c r="F45" s="891" t="s">
        <v>3422</v>
      </c>
      <c r="G45" s="569">
        <v>139476</v>
      </c>
      <c r="H45" s="579">
        <f>MROUND(G45/FP!$G$4, 5)</f>
        <v>900</v>
      </c>
      <c r="I45" s="579">
        <f t="shared" si="1"/>
        <v>68.625</v>
      </c>
    </row>
    <row r="46" spans="1:9" ht="24" customHeight="1">
      <c r="A46" s="450" t="s">
        <v>3423</v>
      </c>
      <c r="B46" s="463" t="s">
        <v>2084</v>
      </c>
      <c r="C46" s="448">
        <v>59473</v>
      </c>
      <c r="D46" s="1114">
        <v>6.5000000000000002E-2</v>
      </c>
      <c r="E46" s="891" t="s">
        <v>3178</v>
      </c>
      <c r="F46" s="891" t="s">
        <v>3424</v>
      </c>
      <c r="G46" s="569">
        <v>136832</v>
      </c>
      <c r="H46" s="579">
        <f>MROUND(G46/FP!$G$4, 5)</f>
        <v>880</v>
      </c>
      <c r="I46" s="579">
        <f t="shared" si="1"/>
        <v>57.2</v>
      </c>
    </row>
    <row r="47" spans="1:9" ht="24" customHeight="1">
      <c r="A47" s="450" t="s">
        <v>3425</v>
      </c>
      <c r="B47" s="463" t="s">
        <v>2087</v>
      </c>
      <c r="C47" s="448">
        <v>60569</v>
      </c>
      <c r="D47" s="1116">
        <v>8.2500000000000004E-2</v>
      </c>
      <c r="E47" s="891" t="s">
        <v>3178</v>
      </c>
      <c r="F47" s="891" t="s">
        <v>3426</v>
      </c>
      <c r="G47" s="569">
        <v>170433</v>
      </c>
      <c r="H47" s="579">
        <f>MROUND(G47/FP!$G$4, 5)</f>
        <v>1100</v>
      </c>
      <c r="I47" s="579">
        <f t="shared" si="1"/>
        <v>90.75</v>
      </c>
    </row>
    <row r="48" spans="1:9" ht="24" customHeight="1">
      <c r="A48" s="459" t="s">
        <v>89</v>
      </c>
      <c r="B48" s="464"/>
      <c r="C48" s="460"/>
      <c r="D48" s="461"/>
      <c r="E48" s="462"/>
      <c r="F48" s="462"/>
      <c r="G48" s="572">
        <v>8544747</v>
      </c>
      <c r="H48" s="580">
        <f>MROUND(SUM(H2:H47), 5)</f>
        <v>55095</v>
      </c>
      <c r="I48" s="580">
        <f>MROUND(SUM(I2:I47), 5)</f>
        <v>2115</v>
      </c>
    </row>
    <row r="49" spans="1:10">
      <c r="A49" s="450"/>
      <c r="B49" s="465"/>
      <c r="C49" s="453"/>
      <c r="D49" s="449"/>
      <c r="E49" s="451"/>
      <c r="F49" s="451"/>
      <c r="G49" s="454"/>
      <c r="I49" s="728">
        <f>I48/H48</f>
        <v>3.8388238497141298E-2</v>
      </c>
    </row>
    <row r="50" spans="1:10">
      <c r="A50" s="456" t="s">
        <v>2124</v>
      </c>
      <c r="B50" s="463"/>
      <c r="C50" s="455"/>
      <c r="D50" s="449"/>
      <c r="E50" s="451"/>
      <c r="F50" s="451"/>
      <c r="G50" s="458"/>
    </row>
    <row r="51" spans="1:10">
      <c r="A51" s="456" t="s">
        <v>2950</v>
      </c>
      <c r="B51" s="463" t="s">
        <v>2087</v>
      </c>
      <c r="C51" s="448" t="s">
        <v>2951</v>
      </c>
      <c r="D51" s="449">
        <v>6.875</v>
      </c>
      <c r="E51" s="574">
        <v>1750</v>
      </c>
      <c r="F51" s="574">
        <v>1750</v>
      </c>
      <c r="G51" s="570">
        <v>193199</v>
      </c>
      <c r="H51" s="1117">
        <f>F51</f>
        <v>1750</v>
      </c>
      <c r="I51" s="1117">
        <f>H51*D51/100</f>
        <v>120.3125</v>
      </c>
    </row>
    <row r="52" spans="1:10">
      <c r="J52" s="639">
        <f>(I48+I51)/(H48+H51)</f>
        <v>3.9322939572521767E-2</v>
      </c>
    </row>
  </sheetData>
  <autoFilter ref="A1:Z54" xr:uid="{85221F05-4816-4CA2-A090-93D47EA71804}"/>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09AF8-D7BA-46C6-941A-9CFB973CA24A}">
  <dimension ref="A1:Z51"/>
  <sheetViews>
    <sheetView topLeftCell="A27" zoomScale="90" zoomScaleNormal="90" workbookViewId="0">
      <selection activeCell="A43" sqref="A43"/>
    </sheetView>
  </sheetViews>
  <sheetFormatPr defaultColWidth="9.140625" defaultRowHeight="12"/>
  <cols>
    <col min="1" max="1" width="92.85546875" style="1" customWidth="1"/>
    <col min="2" max="2" width="9.7109375" style="239" customWidth="1"/>
    <col min="3" max="7" width="12.85546875" style="1" customWidth="1"/>
    <col min="8" max="10" width="11.42578125" style="1" customWidth="1"/>
    <col min="11" max="16384" width="9.140625" style="1"/>
  </cols>
  <sheetData>
    <row r="1" spans="1:26" ht="43.5" customHeight="1">
      <c r="A1" s="467" t="s">
        <v>2120</v>
      </c>
      <c r="B1" s="20" t="s">
        <v>2121</v>
      </c>
      <c r="C1" s="20" t="s">
        <v>2070</v>
      </c>
      <c r="D1" s="20" t="s">
        <v>2071</v>
      </c>
      <c r="E1" s="20" t="s">
        <v>2949</v>
      </c>
      <c r="F1" s="20" t="s">
        <v>3187</v>
      </c>
      <c r="G1" s="20" t="s">
        <v>3188</v>
      </c>
      <c r="H1" s="578" t="s">
        <v>3189</v>
      </c>
      <c r="I1" s="578" t="s">
        <v>2431</v>
      </c>
      <c r="Z1" s="239" t="s">
        <v>2430</v>
      </c>
    </row>
    <row r="2" spans="1:26">
      <c r="A2" s="899" t="s">
        <v>2912</v>
      </c>
      <c r="B2" s="584" t="s">
        <v>2114</v>
      </c>
      <c r="C2" s="585" t="s">
        <v>2948</v>
      </c>
      <c r="D2" s="900">
        <v>2.5</v>
      </c>
      <c r="E2" s="894">
        <v>141500</v>
      </c>
      <c r="F2" s="894">
        <v>190500</v>
      </c>
      <c r="G2" s="597">
        <v>190500</v>
      </c>
      <c r="H2" s="589">
        <f>MROUND(G2/FP!$G$4, 5)</f>
        <v>1230</v>
      </c>
      <c r="I2" s="589">
        <f t="shared" ref="I2" si="0">H2*D2/100</f>
        <v>30.75</v>
      </c>
    </row>
    <row r="3" spans="1:26" ht="24">
      <c r="A3" s="450" t="s">
        <v>2916</v>
      </c>
      <c r="B3" s="463" t="s">
        <v>2087</v>
      </c>
      <c r="C3" s="448">
        <v>45868</v>
      </c>
      <c r="D3" s="449">
        <v>6</v>
      </c>
      <c r="E3" s="892">
        <v>574</v>
      </c>
      <c r="F3" s="892" t="s">
        <v>3178</v>
      </c>
      <c r="G3" s="570" t="s">
        <v>3178</v>
      </c>
      <c r="H3" s="579"/>
      <c r="I3" s="579"/>
      <c r="K3" s="12" t="s">
        <v>1968</v>
      </c>
      <c r="L3" s="223">
        <f>FP!$G$5/FP!$G$4</f>
        <v>1.1814958091553838</v>
      </c>
    </row>
    <row r="4" spans="1:26" ht="24">
      <c r="A4" s="450" t="s">
        <v>2917</v>
      </c>
      <c r="B4" s="463" t="s">
        <v>2084</v>
      </c>
      <c r="C4" s="448">
        <v>45868</v>
      </c>
      <c r="D4" s="449">
        <v>4.75</v>
      </c>
      <c r="E4" s="451">
        <v>633</v>
      </c>
      <c r="F4" s="451" t="s">
        <v>3178</v>
      </c>
      <c r="G4" s="570" t="s">
        <v>3178</v>
      </c>
      <c r="H4" s="579"/>
      <c r="I4" s="579"/>
    </row>
    <row r="5" spans="1:26" ht="24">
      <c r="A5" s="583" t="s">
        <v>2918</v>
      </c>
      <c r="B5" s="584" t="s">
        <v>2084</v>
      </c>
      <c r="C5" s="585">
        <v>45919</v>
      </c>
      <c r="D5" s="586">
        <v>3.125</v>
      </c>
      <c r="E5" s="895">
        <v>702</v>
      </c>
      <c r="F5" s="895" t="s">
        <v>3178</v>
      </c>
      <c r="G5" s="598" t="s">
        <v>3178</v>
      </c>
      <c r="H5" s="589"/>
      <c r="I5" s="589"/>
      <c r="K5" s="603" t="s">
        <v>2433</v>
      </c>
      <c r="L5" s="605">
        <f>$H$2</f>
        <v>1230</v>
      </c>
      <c r="M5" s="606">
        <f>L5/1000</f>
        <v>1.23</v>
      </c>
    </row>
    <row r="6" spans="1:26" ht="24">
      <c r="A6" s="450" t="s">
        <v>2919</v>
      </c>
      <c r="B6" s="463" t="s">
        <v>2114</v>
      </c>
      <c r="C6" s="448">
        <v>46132</v>
      </c>
      <c r="D6" s="449">
        <v>2.48</v>
      </c>
      <c r="E6" s="893">
        <v>30000</v>
      </c>
      <c r="F6" s="893">
        <v>30000</v>
      </c>
      <c r="G6" s="569">
        <v>29992</v>
      </c>
      <c r="H6" s="804">
        <f>MROUND(G6/FP!$G$4, 5)</f>
        <v>195</v>
      </c>
      <c r="I6" s="804">
        <f t="shared" ref="I6:I46" si="1">H6*D6/100</f>
        <v>4.8360000000000003</v>
      </c>
      <c r="K6" s="219">
        <v>2025</v>
      </c>
      <c r="L6" s="579">
        <f>SUM(H3:H5)</f>
        <v>0</v>
      </c>
      <c r="M6" s="606">
        <f t="shared" ref="M6:M12" si="2">L6/1000</f>
        <v>0</v>
      </c>
    </row>
    <row r="7" spans="1:26" ht="24">
      <c r="A7" s="450" t="s">
        <v>2920</v>
      </c>
      <c r="B7" s="463" t="s">
        <v>2087</v>
      </c>
      <c r="C7" s="448">
        <v>46209</v>
      </c>
      <c r="D7" s="449">
        <v>4</v>
      </c>
      <c r="E7" s="892">
        <v>669</v>
      </c>
      <c r="F7" s="892">
        <v>669</v>
      </c>
      <c r="G7" s="569">
        <v>99474</v>
      </c>
      <c r="H7" s="804">
        <f>MROUND(G7/FP!$G$4, 5)</f>
        <v>640</v>
      </c>
      <c r="I7" s="804">
        <f t="shared" si="1"/>
        <v>25.6</v>
      </c>
      <c r="K7" s="219">
        <f>K6+1</f>
        <v>2026</v>
      </c>
      <c r="L7" s="579">
        <f>SUM(H6:H9)</f>
        <v>4040</v>
      </c>
      <c r="M7" s="606">
        <f t="shared" si="2"/>
        <v>4.04</v>
      </c>
    </row>
    <row r="8" spans="1:26" ht="24">
      <c r="A8" s="450" t="s">
        <v>2921</v>
      </c>
      <c r="B8" s="463" t="s">
        <v>2114</v>
      </c>
      <c r="C8" s="448">
        <v>46276</v>
      </c>
      <c r="D8" s="449">
        <v>1.38</v>
      </c>
      <c r="E8" s="893">
        <v>97900</v>
      </c>
      <c r="F8" s="893">
        <v>97900</v>
      </c>
      <c r="G8" s="570">
        <v>97844</v>
      </c>
      <c r="H8" s="804">
        <f>MROUND(G8/FP!$G$4, 5)</f>
        <v>630</v>
      </c>
      <c r="I8" s="804">
        <f t="shared" si="1"/>
        <v>8.6939999999999991</v>
      </c>
      <c r="K8" s="219">
        <f>K7+1</f>
        <v>2027</v>
      </c>
      <c r="L8" s="579">
        <f>SUM(H10:H13)</f>
        <v>2505</v>
      </c>
      <c r="M8" s="606">
        <f t="shared" si="2"/>
        <v>2.5049999999999999</v>
      </c>
    </row>
    <row r="9" spans="1:26" ht="24">
      <c r="A9" s="583" t="s">
        <v>2922</v>
      </c>
      <c r="B9" s="584" t="s">
        <v>2114</v>
      </c>
      <c r="C9" s="585">
        <v>46282</v>
      </c>
      <c r="D9" s="586">
        <v>1.38</v>
      </c>
      <c r="E9" s="896">
        <v>400000</v>
      </c>
      <c r="F9" s="896">
        <v>400000</v>
      </c>
      <c r="G9" s="604">
        <v>399344</v>
      </c>
      <c r="H9" s="889">
        <f>MROUND(G9/FP!$G$4, 5)</f>
        <v>2575</v>
      </c>
      <c r="I9" s="889">
        <f t="shared" si="1"/>
        <v>35.534999999999997</v>
      </c>
      <c r="K9" s="219">
        <f>K8+1</f>
        <v>2028</v>
      </c>
      <c r="L9" s="579">
        <f>SUM(H14:H16, H40:H41)</f>
        <v>5445</v>
      </c>
      <c r="M9" s="606">
        <f t="shared" si="2"/>
        <v>5.4450000000000003</v>
      </c>
    </row>
    <row r="10" spans="1:26" ht="24">
      <c r="A10" s="450" t="s">
        <v>2923</v>
      </c>
      <c r="B10" s="463" t="s">
        <v>2084</v>
      </c>
      <c r="C10" s="448">
        <v>46393</v>
      </c>
      <c r="D10" s="449">
        <v>2.875</v>
      </c>
      <c r="E10" s="451">
        <v>437</v>
      </c>
      <c r="F10" s="451">
        <v>437</v>
      </c>
      <c r="G10" s="569">
        <v>76065</v>
      </c>
      <c r="H10" s="804">
        <f>MROUND(G10/FP!$G$4, 5)</f>
        <v>490</v>
      </c>
      <c r="I10" s="804">
        <f t="shared" si="1"/>
        <v>14.0875</v>
      </c>
      <c r="K10" s="219">
        <f>K9+1</f>
        <v>2029</v>
      </c>
      <c r="L10" s="579">
        <f>SUM(H17:H24, H42)</f>
        <v>9500</v>
      </c>
      <c r="M10" s="606">
        <f t="shared" si="2"/>
        <v>9.5</v>
      </c>
    </row>
    <row r="11" spans="1:26" ht="24">
      <c r="A11" s="450" t="s">
        <v>2924</v>
      </c>
      <c r="B11" s="463" t="s">
        <v>2114</v>
      </c>
      <c r="C11" s="448">
        <v>46500</v>
      </c>
      <c r="D11" s="449">
        <v>1.7989999999999999</v>
      </c>
      <c r="E11" s="893">
        <v>30000</v>
      </c>
      <c r="F11" s="893">
        <v>30000</v>
      </c>
      <c r="G11" s="569">
        <v>29941</v>
      </c>
      <c r="H11" s="804">
        <f>MROUND(G11/FP!$G$4, 5)</f>
        <v>195</v>
      </c>
      <c r="I11" s="804">
        <f t="shared" si="1"/>
        <v>3.5080499999999999</v>
      </c>
      <c r="K11" s="603" t="s">
        <v>2432</v>
      </c>
      <c r="L11" s="579">
        <f>SUM(H25:H39, H43:H46)</f>
        <v>25280</v>
      </c>
      <c r="M11" s="606">
        <f t="shared" si="2"/>
        <v>25.28</v>
      </c>
    </row>
    <row r="12" spans="1:26" ht="24">
      <c r="A12" s="450" t="s">
        <v>2925</v>
      </c>
      <c r="B12" s="463" t="s">
        <v>2084</v>
      </c>
      <c r="C12" s="448">
        <v>46598</v>
      </c>
      <c r="D12" s="449">
        <v>5.25</v>
      </c>
      <c r="E12" s="451">
        <v>211</v>
      </c>
      <c r="F12" s="451">
        <v>211</v>
      </c>
      <c r="G12" s="570">
        <v>36653</v>
      </c>
      <c r="H12" s="804">
        <f>MROUND(G12/FP!$G$4, 5)</f>
        <v>235</v>
      </c>
      <c r="I12" s="804">
        <f t="shared" si="1"/>
        <v>12.3375</v>
      </c>
      <c r="L12" s="605">
        <f>SUM(L5:L11)</f>
        <v>48000</v>
      </c>
      <c r="M12" s="606">
        <f t="shared" si="2"/>
        <v>48</v>
      </c>
    </row>
    <row r="13" spans="1:26" ht="24">
      <c r="A13" s="583" t="s">
        <v>2926</v>
      </c>
      <c r="B13" s="584" t="s">
        <v>2087</v>
      </c>
      <c r="C13" s="585">
        <v>46649</v>
      </c>
      <c r="D13" s="586">
        <v>5.125</v>
      </c>
      <c r="E13" s="897">
        <v>1657</v>
      </c>
      <c r="F13" s="897">
        <v>1657</v>
      </c>
      <c r="G13" s="604">
        <v>246105</v>
      </c>
      <c r="H13" s="889">
        <f>MROUND(G13/FP!$G$4, 5)</f>
        <v>1585</v>
      </c>
      <c r="I13" s="889">
        <f>H13*D13/100</f>
        <v>81.231250000000003</v>
      </c>
      <c r="J13" s="898">
        <f>SUM(H6:H13)</f>
        <v>6545</v>
      </c>
      <c r="K13" s="792">
        <f>SUM(I6:I13)/SUM(H6:H13)</f>
        <v>2.8392559205500382E-2</v>
      </c>
    </row>
    <row r="14" spans="1:26" ht="24">
      <c r="A14" s="450" t="s">
        <v>2927</v>
      </c>
      <c r="B14" s="463" t="s">
        <v>2087</v>
      </c>
      <c r="C14" s="448">
        <v>46858</v>
      </c>
      <c r="D14" s="449">
        <v>6.25</v>
      </c>
      <c r="E14" s="892">
        <v>466</v>
      </c>
      <c r="F14" s="892">
        <v>466</v>
      </c>
      <c r="G14" s="569">
        <v>69159</v>
      </c>
      <c r="H14" s="579">
        <f>MROUND(G14/FP!$G$4, 5)</f>
        <v>445</v>
      </c>
      <c r="I14" s="579">
        <f t="shared" si="1"/>
        <v>27.8125</v>
      </c>
    </row>
    <row r="15" spans="1:26" ht="24">
      <c r="A15" s="450" t="s">
        <v>2928</v>
      </c>
      <c r="B15" s="463" t="s">
        <v>2084</v>
      </c>
      <c r="C15" s="448">
        <v>46858</v>
      </c>
      <c r="D15" s="449">
        <v>5</v>
      </c>
      <c r="E15" s="451">
        <v>1054</v>
      </c>
      <c r="F15" s="451">
        <v>1054</v>
      </c>
      <c r="G15" s="569">
        <v>183363</v>
      </c>
      <c r="H15" s="579">
        <f>MROUND(G15/FP!$G$4, 5)</f>
        <v>1180</v>
      </c>
      <c r="I15" s="579">
        <f t="shared" si="1"/>
        <v>59</v>
      </c>
    </row>
    <row r="16" spans="1:26" ht="24">
      <c r="A16" s="583" t="s">
        <v>2929</v>
      </c>
      <c r="B16" s="584" t="s">
        <v>2087</v>
      </c>
      <c r="C16" s="585">
        <v>46940</v>
      </c>
      <c r="D16" s="586">
        <v>4.625</v>
      </c>
      <c r="E16" s="897">
        <v>773</v>
      </c>
      <c r="F16" s="897">
        <v>773</v>
      </c>
      <c r="G16" s="604">
        <v>114602</v>
      </c>
      <c r="H16" s="589">
        <f>MROUND(G16/FP!$G$4, 5)</f>
        <v>740</v>
      </c>
      <c r="I16" s="589">
        <f t="shared" si="1"/>
        <v>34.225000000000001</v>
      </c>
    </row>
    <row r="17" spans="1:9" ht="24">
      <c r="A17" s="450" t="s">
        <v>2930</v>
      </c>
      <c r="B17" s="463" t="s">
        <v>2084</v>
      </c>
      <c r="C17" s="448">
        <v>47126</v>
      </c>
      <c r="D17" s="449">
        <v>5.375</v>
      </c>
      <c r="E17" s="451">
        <v>450</v>
      </c>
      <c r="F17" s="451">
        <v>450</v>
      </c>
      <c r="G17" s="569">
        <v>77908</v>
      </c>
      <c r="H17" s="579">
        <f>MROUND(G17/FP!$G$4, 5)</f>
        <v>500</v>
      </c>
      <c r="I17" s="579">
        <f t="shared" si="1"/>
        <v>26.875</v>
      </c>
    </row>
    <row r="18" spans="1:9" ht="24">
      <c r="A18" s="450" t="s">
        <v>3179</v>
      </c>
      <c r="B18" s="463" t="s">
        <v>2087</v>
      </c>
      <c r="C18" s="448">
        <v>47218</v>
      </c>
      <c r="D18" s="449">
        <v>6.5</v>
      </c>
      <c r="E18" s="451" t="s">
        <v>3178</v>
      </c>
      <c r="F18" s="451">
        <v>500</v>
      </c>
      <c r="G18" s="569">
        <v>73711</v>
      </c>
      <c r="H18" s="579">
        <f>MROUND(G18/FP!$G$4, 5)</f>
        <v>475</v>
      </c>
      <c r="I18" s="579">
        <f t="shared" si="1"/>
        <v>30.875</v>
      </c>
    </row>
    <row r="19" spans="1:9" ht="24">
      <c r="A19" s="450" t="s">
        <v>2931</v>
      </c>
      <c r="B19" s="463" t="s">
        <v>2114</v>
      </c>
      <c r="C19" s="448">
        <v>47233</v>
      </c>
      <c r="D19" s="449">
        <v>2.4409999999999998</v>
      </c>
      <c r="E19" s="893">
        <v>50000</v>
      </c>
      <c r="F19" s="893">
        <v>50000</v>
      </c>
      <c r="G19" s="570">
        <v>49845</v>
      </c>
      <c r="H19" s="579">
        <f>MROUND(G19/FP!$G$4, 5)</f>
        <v>320</v>
      </c>
      <c r="I19" s="579">
        <f t="shared" si="1"/>
        <v>7.8111999999999986</v>
      </c>
    </row>
    <row r="20" spans="1:9" ht="24">
      <c r="A20" s="450" t="s">
        <v>2932</v>
      </c>
      <c r="B20" s="463" t="s">
        <v>2084</v>
      </c>
      <c r="C20" s="448">
        <v>47305</v>
      </c>
      <c r="D20" s="449">
        <v>3.375</v>
      </c>
      <c r="E20" s="451">
        <v>473</v>
      </c>
      <c r="F20" s="451">
        <v>473</v>
      </c>
      <c r="G20" s="570">
        <v>82019</v>
      </c>
      <c r="H20" s="579">
        <f>MROUND(G20/FP!$G$4, 5)</f>
        <v>530</v>
      </c>
      <c r="I20" s="579">
        <f t="shared" si="1"/>
        <v>17.887499999999999</v>
      </c>
    </row>
    <row r="21" spans="1:9" ht="24">
      <c r="A21" s="450" t="s">
        <v>2933</v>
      </c>
      <c r="B21" s="463" t="s">
        <v>2087</v>
      </c>
      <c r="C21" s="448">
        <v>47307</v>
      </c>
      <c r="D21" s="449">
        <v>6.75</v>
      </c>
      <c r="E21" s="892">
        <v>400</v>
      </c>
      <c r="F21" s="892">
        <v>400</v>
      </c>
      <c r="G21" s="569">
        <v>59077</v>
      </c>
      <c r="H21" s="579">
        <f>MROUND(G21/FP!$G$4, 5)</f>
        <v>380</v>
      </c>
      <c r="I21" s="579">
        <f t="shared" si="1"/>
        <v>25.65</v>
      </c>
    </row>
    <row r="22" spans="1:9" ht="24">
      <c r="A22" s="600" t="s">
        <v>2934</v>
      </c>
      <c r="B22" s="463" t="s">
        <v>2084</v>
      </c>
      <c r="C22" s="448">
        <v>47380</v>
      </c>
      <c r="D22" s="449">
        <v>4</v>
      </c>
      <c r="E22" s="451">
        <v>575</v>
      </c>
      <c r="F22" s="451">
        <v>575</v>
      </c>
      <c r="G22" s="570">
        <v>99888</v>
      </c>
      <c r="H22" s="579">
        <f>MROUND(G22/FP!$G$4, 5)</f>
        <v>645</v>
      </c>
      <c r="I22" s="579">
        <f t="shared" si="1"/>
        <v>25.8</v>
      </c>
    </row>
    <row r="23" spans="1:9" ht="24">
      <c r="A23" s="600" t="s">
        <v>3180</v>
      </c>
      <c r="B23" s="463" t="s">
        <v>2084</v>
      </c>
      <c r="C23" s="448">
        <v>47401</v>
      </c>
      <c r="D23" s="449">
        <v>5.25</v>
      </c>
      <c r="E23" s="451" t="s">
        <v>3178</v>
      </c>
      <c r="F23" s="451">
        <v>600</v>
      </c>
      <c r="G23" s="570">
        <v>103648</v>
      </c>
      <c r="H23" s="579">
        <f>MROUND(G23/FP!$G$4, 5)</f>
        <v>670</v>
      </c>
      <c r="I23" s="579">
        <f t="shared" si="1"/>
        <v>35.174999999999997</v>
      </c>
    </row>
    <row r="24" spans="1:9" ht="24">
      <c r="A24" s="583" t="s">
        <v>2935</v>
      </c>
      <c r="B24" s="584" t="s">
        <v>2114</v>
      </c>
      <c r="C24" s="585">
        <v>47466</v>
      </c>
      <c r="D24" s="586">
        <v>2.84</v>
      </c>
      <c r="E24" s="896">
        <v>385000</v>
      </c>
      <c r="F24" s="896">
        <v>385000</v>
      </c>
      <c r="G24" s="604">
        <v>382124</v>
      </c>
      <c r="H24" s="589">
        <f>MROUND(G24/FP!$G$4, 5)</f>
        <v>2465</v>
      </c>
      <c r="I24" s="589">
        <f t="shared" si="1"/>
        <v>70.006</v>
      </c>
    </row>
    <row r="25" spans="1:9" ht="24">
      <c r="A25" s="450" t="s">
        <v>3127</v>
      </c>
      <c r="B25" s="463" t="s">
        <v>2114</v>
      </c>
      <c r="C25" s="448">
        <v>47597</v>
      </c>
      <c r="D25" s="449">
        <v>3.3359999999999999</v>
      </c>
      <c r="E25" s="893">
        <v>0</v>
      </c>
      <c r="F25" s="893">
        <v>20000</v>
      </c>
      <c r="G25" s="569">
        <v>19918</v>
      </c>
      <c r="H25" s="579">
        <f>MROUND(G25/FP!$G$4, 5)</f>
        <v>130</v>
      </c>
      <c r="I25" s="579">
        <f t="shared" si="1"/>
        <v>4.3368000000000002</v>
      </c>
    </row>
    <row r="26" spans="1:9" ht="24">
      <c r="A26" s="583" t="s">
        <v>3128</v>
      </c>
      <c r="B26" s="584" t="s">
        <v>2114</v>
      </c>
      <c r="C26" s="585">
        <v>47605</v>
      </c>
      <c r="D26" s="586">
        <v>3.34</v>
      </c>
      <c r="E26" s="896">
        <v>0</v>
      </c>
      <c r="F26" s="896">
        <v>600000</v>
      </c>
      <c r="G26" s="604">
        <v>593932</v>
      </c>
      <c r="H26" s="589">
        <f>MROUND(G26/FP!$G$4, 5)</f>
        <v>3830</v>
      </c>
      <c r="I26" s="589">
        <f t="shared" si="1"/>
        <v>127.92199999999998</v>
      </c>
    </row>
    <row r="27" spans="1:9" ht="24">
      <c r="A27" s="450" t="s">
        <v>3181</v>
      </c>
      <c r="B27" s="463" t="s">
        <v>2087</v>
      </c>
      <c r="C27" s="448">
        <v>47858</v>
      </c>
      <c r="D27" s="449">
        <v>6.875</v>
      </c>
      <c r="E27" s="893" t="s">
        <v>3178</v>
      </c>
      <c r="F27" s="893">
        <v>600</v>
      </c>
      <c r="G27" s="569">
        <v>88433</v>
      </c>
      <c r="H27" s="579">
        <f>MROUND(G27/FP!$G$4, 5)</f>
        <v>570</v>
      </c>
      <c r="I27" s="579">
        <f t="shared" si="1"/>
        <v>39.1875</v>
      </c>
    </row>
    <row r="28" spans="1:9" ht="24">
      <c r="A28" s="450" t="s">
        <v>2936</v>
      </c>
      <c r="B28" s="463" t="s">
        <v>2114</v>
      </c>
      <c r="C28" s="448">
        <v>47921</v>
      </c>
      <c r="D28" s="449">
        <v>3.04</v>
      </c>
      <c r="E28" s="893">
        <v>550000</v>
      </c>
      <c r="F28" s="893">
        <v>550000</v>
      </c>
      <c r="G28" s="570">
        <v>544665</v>
      </c>
      <c r="H28" s="579">
        <f>MROUND(G28/FP!$G$4, 5)</f>
        <v>3510</v>
      </c>
      <c r="I28" s="579">
        <f t="shared" si="1"/>
        <v>106.70399999999999</v>
      </c>
    </row>
    <row r="29" spans="1:9" ht="24">
      <c r="A29" s="450" t="s">
        <v>2937</v>
      </c>
      <c r="B29" s="463" t="s">
        <v>2114</v>
      </c>
      <c r="C29" s="448">
        <v>47963</v>
      </c>
      <c r="D29" s="449">
        <v>2.9</v>
      </c>
      <c r="E29" s="893">
        <v>20000</v>
      </c>
      <c r="F29" s="893">
        <v>20000</v>
      </c>
      <c r="G29" s="569">
        <v>19928</v>
      </c>
      <c r="H29" s="579">
        <f>MROUND(G29/FP!$G$4, 5)</f>
        <v>130</v>
      </c>
      <c r="I29" s="579">
        <f t="shared" si="1"/>
        <v>3.77</v>
      </c>
    </row>
    <row r="30" spans="1:9" ht="24">
      <c r="A30" s="600" t="s">
        <v>2938</v>
      </c>
      <c r="B30" s="463" t="s">
        <v>2114</v>
      </c>
      <c r="C30" s="448">
        <v>48012</v>
      </c>
      <c r="D30" s="449">
        <v>3.03</v>
      </c>
      <c r="E30" s="893">
        <v>550000</v>
      </c>
      <c r="F30" s="893">
        <v>550000</v>
      </c>
      <c r="G30" s="569">
        <v>545086</v>
      </c>
      <c r="H30" s="579">
        <f>MROUND(G30/FP!$G$4, 5)</f>
        <v>3515</v>
      </c>
      <c r="I30" s="579">
        <f t="shared" si="1"/>
        <v>106.50449999999999</v>
      </c>
    </row>
    <row r="31" spans="1:9" ht="24">
      <c r="A31" s="450" t="s">
        <v>2939</v>
      </c>
      <c r="B31" s="463" t="s">
        <v>2087</v>
      </c>
      <c r="C31" s="448">
        <v>48035</v>
      </c>
      <c r="D31" s="449">
        <v>5.25</v>
      </c>
      <c r="E31" s="892">
        <v>1305</v>
      </c>
      <c r="F31" s="892">
        <v>1305</v>
      </c>
      <c r="G31" s="569">
        <v>193083</v>
      </c>
      <c r="H31" s="579">
        <f>MROUND(G31/FP!$G$4, 5)</f>
        <v>1245</v>
      </c>
      <c r="I31" s="579">
        <f t="shared" si="1"/>
        <v>65.362499999999997</v>
      </c>
    </row>
    <row r="32" spans="1:9" ht="24">
      <c r="A32" s="600" t="s">
        <v>2939</v>
      </c>
      <c r="B32" s="463" t="s">
        <v>2087</v>
      </c>
      <c r="C32" s="448">
        <v>48037</v>
      </c>
      <c r="D32" s="449">
        <v>7</v>
      </c>
      <c r="E32" s="892">
        <v>500</v>
      </c>
      <c r="F32" s="892">
        <v>500</v>
      </c>
      <c r="G32" s="569">
        <v>73993</v>
      </c>
      <c r="H32" s="579">
        <f>MROUND(G32/FP!$G$4, 5)</f>
        <v>475</v>
      </c>
      <c r="I32" s="579">
        <f t="shared" si="1"/>
        <v>33.25</v>
      </c>
    </row>
    <row r="33" spans="1:9" ht="24">
      <c r="A33" s="600" t="s">
        <v>3182</v>
      </c>
      <c r="B33" s="463" t="s">
        <v>2084</v>
      </c>
      <c r="C33" s="448">
        <v>48039</v>
      </c>
      <c r="D33" s="449">
        <v>5.875</v>
      </c>
      <c r="E33" s="892" t="s">
        <v>3178</v>
      </c>
      <c r="F33" s="892">
        <v>600</v>
      </c>
      <c r="G33" s="569">
        <v>103629</v>
      </c>
      <c r="H33" s="579">
        <f>MROUND(G33/FP!$G$4, 5)</f>
        <v>670</v>
      </c>
      <c r="I33" s="579">
        <f t="shared" si="1"/>
        <v>39.362499999999997</v>
      </c>
    </row>
    <row r="34" spans="1:9" ht="24">
      <c r="A34" s="602" t="s">
        <v>2940</v>
      </c>
      <c r="B34" s="584" t="s">
        <v>2114</v>
      </c>
      <c r="C34" s="585">
        <v>48193</v>
      </c>
      <c r="D34" s="586">
        <v>3.15</v>
      </c>
      <c r="E34" s="896">
        <v>350000</v>
      </c>
      <c r="F34" s="896">
        <v>350000</v>
      </c>
      <c r="G34" s="604">
        <v>346591</v>
      </c>
      <c r="H34" s="589">
        <f>MROUND(G34/FP!$G$4, 5)</f>
        <v>2235</v>
      </c>
      <c r="I34" s="589">
        <f t="shared" si="1"/>
        <v>70.402500000000003</v>
      </c>
    </row>
    <row r="35" spans="1:9">
      <c r="A35" s="452" t="s">
        <v>2941</v>
      </c>
      <c r="B35" s="463" t="s">
        <v>2084</v>
      </c>
      <c r="C35" s="448">
        <v>48401</v>
      </c>
      <c r="D35" s="449">
        <v>3.875</v>
      </c>
      <c r="E35" s="451">
        <v>425</v>
      </c>
      <c r="F35" s="451">
        <v>425</v>
      </c>
      <c r="G35" s="570">
        <v>73565</v>
      </c>
      <c r="H35" s="579">
        <f>MROUND(G35/FP!$G$4, 5)</f>
        <v>475</v>
      </c>
      <c r="I35" s="579">
        <f t="shared" si="1"/>
        <v>18.40625</v>
      </c>
    </row>
    <row r="36" spans="1:9">
      <c r="A36" s="452" t="s">
        <v>2941</v>
      </c>
      <c r="B36" s="463" t="s">
        <v>2084</v>
      </c>
      <c r="C36" s="448">
        <v>48403</v>
      </c>
      <c r="D36" s="449">
        <v>5.75</v>
      </c>
      <c r="E36" s="451">
        <v>450</v>
      </c>
      <c r="F36" s="451">
        <v>450</v>
      </c>
      <c r="G36" s="570">
        <v>77806</v>
      </c>
      <c r="H36" s="579">
        <f>MROUND(G36/FP!$G$4, 5)</f>
        <v>500</v>
      </c>
      <c r="I36" s="579">
        <f t="shared" si="1"/>
        <v>28.75</v>
      </c>
    </row>
    <row r="37" spans="1:9">
      <c r="A37" s="890" t="s">
        <v>3183</v>
      </c>
      <c r="B37" s="584" t="s">
        <v>2087</v>
      </c>
      <c r="C37" s="585">
        <v>48405</v>
      </c>
      <c r="D37" s="586">
        <v>7.25</v>
      </c>
      <c r="E37" s="895" t="s">
        <v>3178</v>
      </c>
      <c r="F37" s="895">
        <v>600</v>
      </c>
      <c r="G37" s="598">
        <v>88424</v>
      </c>
      <c r="H37" s="589">
        <f>MROUND(G37/FP!$G$4, 5)</f>
        <v>570</v>
      </c>
      <c r="I37" s="589">
        <f t="shared" si="1"/>
        <v>41.325000000000003</v>
      </c>
    </row>
    <row r="38" spans="1:9">
      <c r="A38" s="452" t="s">
        <v>3184</v>
      </c>
      <c r="B38" s="463" t="s">
        <v>2084</v>
      </c>
      <c r="C38" s="448">
        <v>48770</v>
      </c>
      <c r="D38" s="449">
        <v>6.375</v>
      </c>
      <c r="E38" s="451" t="s">
        <v>3178</v>
      </c>
      <c r="F38" s="451">
        <v>500</v>
      </c>
      <c r="G38" s="570">
        <v>86348</v>
      </c>
      <c r="H38" s="579">
        <f>MROUND(G38/FP!$G$4, 5)</f>
        <v>555</v>
      </c>
      <c r="I38" s="579">
        <f t="shared" si="1"/>
        <v>35.381250000000001</v>
      </c>
    </row>
    <row r="39" spans="1:9">
      <c r="A39" s="452" t="s">
        <v>3185</v>
      </c>
      <c r="B39" s="463" t="s">
        <v>2087</v>
      </c>
      <c r="C39" s="448">
        <v>49500</v>
      </c>
      <c r="D39" s="449">
        <v>7.5</v>
      </c>
      <c r="E39" s="451" t="s">
        <v>3178</v>
      </c>
      <c r="F39" s="451">
        <v>500</v>
      </c>
      <c r="G39" s="570">
        <v>73678</v>
      </c>
      <c r="H39" s="579">
        <f>MROUND(G39/FP!$G$4, 5)</f>
        <v>475</v>
      </c>
      <c r="I39" s="579">
        <f t="shared" si="1"/>
        <v>35.625</v>
      </c>
    </row>
    <row r="40" spans="1:9">
      <c r="A40" s="452" t="s">
        <v>2942</v>
      </c>
      <c r="B40" s="463" t="s">
        <v>2114</v>
      </c>
      <c r="C40" s="448">
        <v>47011</v>
      </c>
      <c r="D40" s="449">
        <v>2.4</v>
      </c>
      <c r="E40" s="893">
        <v>30100</v>
      </c>
      <c r="F40" s="893">
        <v>30100</v>
      </c>
      <c r="G40" s="569">
        <v>30019</v>
      </c>
      <c r="H40" s="579">
        <f>MROUND(G40/FP!$G$4, 5)</f>
        <v>195</v>
      </c>
      <c r="I40" s="579">
        <f t="shared" si="1"/>
        <v>4.68</v>
      </c>
    </row>
    <row r="41" spans="1:9" ht="24">
      <c r="A41" s="450" t="s">
        <v>2943</v>
      </c>
      <c r="B41" s="463" t="s">
        <v>2114</v>
      </c>
      <c r="C41" s="448">
        <v>47025</v>
      </c>
      <c r="D41" s="449">
        <v>2.4</v>
      </c>
      <c r="E41" s="893">
        <v>450000</v>
      </c>
      <c r="F41" s="893">
        <v>450000</v>
      </c>
      <c r="G41" s="569">
        <v>447179</v>
      </c>
      <c r="H41" s="579">
        <f>MROUND(G41/FP!$G$4, 5)</f>
        <v>2885</v>
      </c>
      <c r="I41" s="579">
        <f t="shared" si="1"/>
        <v>69.239999999999995</v>
      </c>
    </row>
    <row r="42" spans="1:9" ht="24">
      <c r="A42" s="583" t="s">
        <v>2944</v>
      </c>
      <c r="B42" s="584" t="s">
        <v>2114</v>
      </c>
      <c r="C42" s="585">
        <v>47151</v>
      </c>
      <c r="D42" s="586">
        <v>2.48</v>
      </c>
      <c r="E42" s="896">
        <v>549000</v>
      </c>
      <c r="F42" s="896">
        <v>549000</v>
      </c>
      <c r="G42" s="604">
        <v>545069</v>
      </c>
      <c r="H42" s="589">
        <f>MROUND(G42/FP!$G$4, 5)</f>
        <v>3515</v>
      </c>
      <c r="I42" s="589">
        <f t="shared" si="1"/>
        <v>87.172000000000011</v>
      </c>
    </row>
    <row r="43" spans="1:9" ht="36">
      <c r="A43" s="450" t="s">
        <v>2945</v>
      </c>
      <c r="B43" s="463" t="s">
        <v>2114</v>
      </c>
      <c r="C43" s="448">
        <v>57014</v>
      </c>
      <c r="D43" s="449">
        <v>3</v>
      </c>
      <c r="E43" s="891">
        <v>177000</v>
      </c>
      <c r="F43" s="891">
        <v>177000</v>
      </c>
      <c r="G43" s="569">
        <v>175704</v>
      </c>
      <c r="H43" s="579">
        <f>MROUND(G43/FP!$G$4, 5)</f>
        <v>1135</v>
      </c>
      <c r="I43" s="579">
        <f t="shared" si="1"/>
        <v>34.049999999999997</v>
      </c>
    </row>
    <row r="44" spans="1:9" ht="36">
      <c r="A44" s="450" t="s">
        <v>2946</v>
      </c>
      <c r="B44" s="463" t="s">
        <v>2114</v>
      </c>
      <c r="C44" s="448">
        <v>57152</v>
      </c>
      <c r="D44" s="449">
        <v>2.75</v>
      </c>
      <c r="E44" s="891">
        <v>405000</v>
      </c>
      <c r="F44" s="891">
        <v>405000</v>
      </c>
      <c r="G44" s="569">
        <v>398540</v>
      </c>
      <c r="H44" s="579">
        <f>MROUND(G44/FP!$G$4, 5)</f>
        <v>2570</v>
      </c>
      <c r="I44" s="579">
        <f t="shared" si="1"/>
        <v>70.674999999999997</v>
      </c>
    </row>
    <row r="45" spans="1:9" ht="36">
      <c r="A45" s="450" t="s">
        <v>2947</v>
      </c>
      <c r="B45" s="463" t="s">
        <v>2114</v>
      </c>
      <c r="C45" s="448">
        <v>57826</v>
      </c>
      <c r="D45" s="449">
        <v>4.75</v>
      </c>
      <c r="E45" s="891">
        <v>222000</v>
      </c>
      <c r="F45" s="891">
        <v>222000</v>
      </c>
      <c r="G45" s="569">
        <v>218358</v>
      </c>
      <c r="H45" s="579">
        <f>MROUND(G45/FP!$G$4, 5)</f>
        <v>1410</v>
      </c>
      <c r="I45" s="579">
        <f t="shared" si="1"/>
        <v>66.974999999999994</v>
      </c>
    </row>
    <row r="46" spans="1:9" ht="36">
      <c r="A46" s="450" t="s">
        <v>3186</v>
      </c>
      <c r="B46" s="463" t="s">
        <v>2114</v>
      </c>
      <c r="C46" s="448">
        <v>58687</v>
      </c>
      <c r="D46" s="449">
        <v>4.556</v>
      </c>
      <c r="E46" s="891" t="s">
        <v>3178</v>
      </c>
      <c r="F46" s="891">
        <v>200000</v>
      </c>
      <c r="G46" s="569">
        <v>198295</v>
      </c>
      <c r="H46" s="579">
        <f>MROUND(G46/FP!$G$4, 5)</f>
        <v>1280</v>
      </c>
      <c r="I46" s="579">
        <f t="shared" si="1"/>
        <v>58.316800000000001</v>
      </c>
    </row>
    <row r="47" spans="1:9">
      <c r="A47" s="459" t="s">
        <v>89</v>
      </c>
      <c r="B47" s="464"/>
      <c r="C47" s="460"/>
      <c r="D47" s="461"/>
      <c r="E47" s="462"/>
      <c r="F47" s="462"/>
      <c r="G47" s="572">
        <v>7443507</v>
      </c>
      <c r="H47" s="580">
        <f>MROUND(SUM(H2:H46), 5)</f>
        <v>48000</v>
      </c>
      <c r="I47" s="580">
        <f t="shared" ref="I47" si="3">MROUND(SUM(I2:I46), 5)</f>
        <v>1725</v>
      </c>
    </row>
    <row r="48" spans="1:9">
      <c r="A48" s="450"/>
      <c r="B48" s="465"/>
      <c r="C48" s="453"/>
      <c r="D48" s="449"/>
      <c r="E48" s="451"/>
      <c r="F48" s="451"/>
      <c r="G48" s="454"/>
      <c r="I48" s="728">
        <f>I47/H47</f>
        <v>3.5937499999999997E-2</v>
      </c>
    </row>
    <row r="49" spans="1:10">
      <c r="A49" s="456" t="s">
        <v>2124</v>
      </c>
      <c r="B49" s="463"/>
      <c r="C49" s="455"/>
      <c r="D49" s="449"/>
      <c r="E49" s="451"/>
      <c r="F49" s="451"/>
      <c r="G49" s="458"/>
    </row>
    <row r="50" spans="1:10">
      <c r="A50" s="456" t="s">
        <v>2950</v>
      </c>
      <c r="B50" s="463" t="s">
        <v>2087</v>
      </c>
      <c r="C50" s="448" t="s">
        <v>2951</v>
      </c>
      <c r="D50" s="449">
        <v>6.875</v>
      </c>
      <c r="E50" s="574">
        <v>1750</v>
      </c>
      <c r="F50" s="574">
        <v>1750</v>
      </c>
      <c r="G50" s="570">
        <v>193199</v>
      </c>
      <c r="H50" s="579">
        <f>F50</f>
        <v>1750</v>
      </c>
      <c r="I50" s="579">
        <f>H50*D50/100</f>
        <v>120.3125</v>
      </c>
    </row>
    <row r="51" spans="1:10">
      <c r="J51" s="639">
        <f>(I47+I50)/(H47+H50)</f>
        <v>3.709170854271357E-2</v>
      </c>
    </row>
  </sheetData>
  <autoFilter ref="A1:Z53" xr:uid="{85221F05-4816-4CA2-A090-93D47EA71804}"/>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E1D75-711B-4132-8880-16A2410C097A}">
  <dimension ref="A1:Z45"/>
  <sheetViews>
    <sheetView topLeftCell="A25" zoomScale="90" zoomScaleNormal="90" workbookViewId="0">
      <selection activeCell="A39" sqref="A39:A41"/>
    </sheetView>
  </sheetViews>
  <sheetFormatPr defaultColWidth="9.140625" defaultRowHeight="12"/>
  <cols>
    <col min="1" max="1" width="92.85546875" style="1" customWidth="1"/>
    <col min="2" max="2" width="9.7109375" style="239" customWidth="1"/>
    <col min="3" max="7" width="12.85546875" style="1" customWidth="1"/>
    <col min="8" max="10" width="11.42578125" style="1" customWidth="1"/>
    <col min="11" max="16384" width="9.140625" style="1"/>
  </cols>
  <sheetData>
    <row r="1" spans="1:26" ht="43.5" customHeight="1">
      <c r="A1" s="467" t="s">
        <v>2120</v>
      </c>
      <c r="B1" s="20" t="s">
        <v>2121</v>
      </c>
      <c r="C1" s="20" t="s">
        <v>2070</v>
      </c>
      <c r="D1" s="20" t="s">
        <v>2071</v>
      </c>
      <c r="E1" s="20" t="s">
        <v>2949</v>
      </c>
      <c r="F1" s="20" t="s">
        <v>3129</v>
      </c>
      <c r="G1" s="20" t="s">
        <v>3130</v>
      </c>
      <c r="H1" s="578" t="s">
        <v>3131</v>
      </c>
      <c r="I1" s="578" t="s">
        <v>2431</v>
      </c>
      <c r="Z1" s="239" t="s">
        <v>2430</v>
      </c>
    </row>
    <row r="2" spans="1:26">
      <c r="A2" s="899" t="s">
        <v>2912</v>
      </c>
      <c r="B2" s="584" t="s">
        <v>2114</v>
      </c>
      <c r="C2" s="585" t="s">
        <v>2948</v>
      </c>
      <c r="D2" s="900">
        <v>2.5</v>
      </c>
      <c r="E2" s="894">
        <v>141500</v>
      </c>
      <c r="F2" s="894">
        <v>167500</v>
      </c>
      <c r="G2" s="597">
        <v>167500</v>
      </c>
      <c r="H2" s="589">
        <f>MROUND(G2/FP!$G$4, 5)</f>
        <v>1080</v>
      </c>
      <c r="I2" s="589">
        <f t="shared" ref="I2:I41" si="0">H2*D2/100</f>
        <v>27</v>
      </c>
    </row>
    <row r="3" spans="1:26" ht="24">
      <c r="A3" s="450" t="s">
        <v>2913</v>
      </c>
      <c r="B3" s="463" t="s">
        <v>2087</v>
      </c>
      <c r="C3" s="448">
        <v>45767</v>
      </c>
      <c r="D3" s="449">
        <v>6.125</v>
      </c>
      <c r="E3" s="892">
        <v>337</v>
      </c>
      <c r="F3" s="893">
        <v>0</v>
      </c>
      <c r="G3" s="569">
        <v>0</v>
      </c>
      <c r="H3" s="579">
        <f>MROUND(G3/FP!$G$4, 5)</f>
        <v>0</v>
      </c>
      <c r="I3" s="579">
        <f t="shared" si="0"/>
        <v>0</v>
      </c>
      <c r="K3" s="12" t="s">
        <v>1968</v>
      </c>
      <c r="L3" s="223">
        <f>FP!$G$5/FP!$G$4</f>
        <v>1.1814958091553838</v>
      </c>
    </row>
    <row r="4" spans="1:26" ht="24">
      <c r="A4" s="450" t="s">
        <v>2914</v>
      </c>
      <c r="B4" s="463" t="s">
        <v>2084</v>
      </c>
      <c r="C4" s="448">
        <v>45767</v>
      </c>
      <c r="D4" s="449">
        <v>4.5</v>
      </c>
      <c r="E4" s="451">
        <v>272</v>
      </c>
      <c r="F4" s="893">
        <v>0</v>
      </c>
      <c r="G4" s="569">
        <v>0</v>
      </c>
      <c r="H4" s="579">
        <f>MROUND(G4/FP!$G$4, 5)</f>
        <v>0</v>
      </c>
      <c r="I4" s="579">
        <f t="shared" si="0"/>
        <v>0</v>
      </c>
    </row>
    <row r="5" spans="1:26" ht="24">
      <c r="A5" s="450" t="s">
        <v>2915</v>
      </c>
      <c r="B5" s="463" t="s">
        <v>2114</v>
      </c>
      <c r="C5" s="448">
        <v>45772</v>
      </c>
      <c r="D5" s="449">
        <v>1.64</v>
      </c>
      <c r="E5" s="893">
        <v>500000</v>
      </c>
      <c r="F5" s="893">
        <v>0</v>
      </c>
      <c r="G5" s="569">
        <v>0</v>
      </c>
      <c r="H5" s="579">
        <f>MROUND(G5/FP!$G$4, 5)</f>
        <v>0</v>
      </c>
      <c r="I5" s="579">
        <f t="shared" si="0"/>
        <v>0</v>
      </c>
      <c r="K5" s="603" t="s">
        <v>2433</v>
      </c>
      <c r="L5" s="605">
        <f>$H$2</f>
        <v>1080</v>
      </c>
      <c r="M5" s="606">
        <f>L5/1000</f>
        <v>1.08</v>
      </c>
    </row>
    <row r="6" spans="1:26" ht="24">
      <c r="A6" s="450" t="s">
        <v>2916</v>
      </c>
      <c r="B6" s="463" t="s">
        <v>2087</v>
      </c>
      <c r="C6" s="448">
        <v>45868</v>
      </c>
      <c r="D6" s="449">
        <v>6</v>
      </c>
      <c r="E6" s="892">
        <v>574</v>
      </c>
      <c r="F6" s="892">
        <v>574</v>
      </c>
      <c r="G6" s="570">
        <v>83131</v>
      </c>
      <c r="H6" s="579">
        <f>MROUND(G6/FP!$G$4, 5)</f>
        <v>535</v>
      </c>
      <c r="I6" s="579">
        <f t="shared" si="0"/>
        <v>32.1</v>
      </c>
      <c r="K6" s="219">
        <v>2025</v>
      </c>
      <c r="L6" s="579">
        <f>SUM(H3:H8)</f>
        <v>1995</v>
      </c>
      <c r="M6" s="606">
        <f t="shared" ref="M6:M11" si="1">L6/1000</f>
        <v>1.9950000000000001</v>
      </c>
    </row>
    <row r="7" spans="1:26" ht="24">
      <c r="A7" s="450" t="s">
        <v>2917</v>
      </c>
      <c r="B7" s="463" t="s">
        <v>2084</v>
      </c>
      <c r="C7" s="448">
        <v>45868</v>
      </c>
      <c r="D7" s="449">
        <v>4.75</v>
      </c>
      <c r="E7" s="451">
        <v>633</v>
      </c>
      <c r="F7" s="451">
        <v>633</v>
      </c>
      <c r="G7" s="570">
        <v>107369</v>
      </c>
      <c r="H7" s="579">
        <f>MROUND(G7/FP!$G$4, 5)</f>
        <v>690</v>
      </c>
      <c r="I7" s="579">
        <f t="shared" si="0"/>
        <v>32.774999999999999</v>
      </c>
      <c r="K7" s="219">
        <f>K6+1</f>
        <v>2026</v>
      </c>
      <c r="L7" s="579">
        <f>SUM(H9:H12)</f>
        <v>4025</v>
      </c>
      <c r="M7" s="606">
        <f t="shared" si="1"/>
        <v>4.0250000000000004</v>
      </c>
    </row>
    <row r="8" spans="1:26" ht="24">
      <c r="A8" s="583" t="s">
        <v>2918</v>
      </c>
      <c r="B8" s="584" t="s">
        <v>2084</v>
      </c>
      <c r="C8" s="585">
        <v>45919</v>
      </c>
      <c r="D8" s="586">
        <v>3.125</v>
      </c>
      <c r="E8" s="895">
        <v>702</v>
      </c>
      <c r="F8" s="895">
        <v>702</v>
      </c>
      <c r="G8" s="598">
        <v>119085</v>
      </c>
      <c r="H8" s="589">
        <f>MROUND(G8/FP!$G$4, 5)</f>
        <v>770</v>
      </c>
      <c r="I8" s="589">
        <f t="shared" si="0"/>
        <v>24.0625</v>
      </c>
      <c r="K8" s="219">
        <f>K7+1</f>
        <v>2027</v>
      </c>
      <c r="L8" s="579">
        <f>SUM(H13:H16)</f>
        <v>2445</v>
      </c>
      <c r="M8" s="606">
        <f t="shared" si="1"/>
        <v>2.4449999999999998</v>
      </c>
    </row>
    <row r="9" spans="1:26" ht="24">
      <c r="A9" s="450" t="s">
        <v>2919</v>
      </c>
      <c r="B9" s="463" t="s">
        <v>2114</v>
      </c>
      <c r="C9" s="448">
        <v>46132</v>
      </c>
      <c r="D9" s="449">
        <v>2.48</v>
      </c>
      <c r="E9" s="893">
        <v>30000</v>
      </c>
      <c r="F9" s="893">
        <v>30000</v>
      </c>
      <c r="G9" s="569">
        <v>29988</v>
      </c>
      <c r="H9" s="804">
        <f>MROUND(G9/FP!$G$4, 5)</f>
        <v>195</v>
      </c>
      <c r="I9" s="804">
        <f t="shared" si="0"/>
        <v>4.8360000000000003</v>
      </c>
      <c r="K9" s="219">
        <f>K8+1</f>
        <v>2028</v>
      </c>
      <c r="L9" s="579">
        <f>SUM(H17:H19, H36:H37)</f>
        <v>5380</v>
      </c>
      <c r="M9" s="606">
        <f t="shared" si="1"/>
        <v>5.38</v>
      </c>
    </row>
    <row r="10" spans="1:26" ht="24">
      <c r="A10" s="450" t="s">
        <v>2920</v>
      </c>
      <c r="B10" s="463" t="s">
        <v>2087</v>
      </c>
      <c r="C10" s="448">
        <v>46209</v>
      </c>
      <c r="D10" s="449">
        <v>4</v>
      </c>
      <c r="E10" s="892">
        <v>669</v>
      </c>
      <c r="F10" s="892">
        <v>669</v>
      </c>
      <c r="G10" s="569">
        <v>96699</v>
      </c>
      <c r="H10" s="804">
        <f>MROUND(G10/FP!$G$4, 5)</f>
        <v>625</v>
      </c>
      <c r="I10" s="804">
        <f t="shared" si="0"/>
        <v>25</v>
      </c>
      <c r="K10" s="219">
        <f>K9+1</f>
        <v>2029</v>
      </c>
      <c r="L10" s="579">
        <f>SUM(H20:H25, H38)</f>
        <v>8295</v>
      </c>
      <c r="M10" s="606">
        <f t="shared" si="1"/>
        <v>8.2949999999999999</v>
      </c>
    </row>
    <row r="11" spans="1:26" ht="24">
      <c r="A11" s="450" t="s">
        <v>2921</v>
      </c>
      <c r="B11" s="463" t="s">
        <v>2114</v>
      </c>
      <c r="C11" s="448">
        <v>46276</v>
      </c>
      <c r="D11" s="449">
        <v>1.38</v>
      </c>
      <c r="E11" s="893">
        <v>97900</v>
      </c>
      <c r="F11" s="893">
        <v>97900</v>
      </c>
      <c r="G11" s="570">
        <v>97829</v>
      </c>
      <c r="H11" s="804">
        <f>MROUND(G11/FP!$G$4, 5)</f>
        <v>630</v>
      </c>
      <c r="I11" s="804">
        <f t="shared" si="0"/>
        <v>8.6939999999999991</v>
      </c>
      <c r="K11" s="603" t="s">
        <v>2432</v>
      </c>
      <c r="L11" s="579">
        <f>SUM(H26:H35, H39:H41)</f>
        <v>21085</v>
      </c>
      <c r="M11" s="606">
        <f t="shared" si="1"/>
        <v>21.085000000000001</v>
      </c>
    </row>
    <row r="12" spans="1:26" ht="24">
      <c r="A12" s="583" t="s">
        <v>2922</v>
      </c>
      <c r="B12" s="584" t="s">
        <v>2114</v>
      </c>
      <c r="C12" s="585">
        <v>46282</v>
      </c>
      <c r="D12" s="586">
        <v>1.38</v>
      </c>
      <c r="E12" s="896">
        <v>400000</v>
      </c>
      <c r="F12" s="896">
        <v>400000</v>
      </c>
      <c r="G12" s="604">
        <v>399165</v>
      </c>
      <c r="H12" s="889">
        <f>MROUND(G12/FP!$G$4, 5)</f>
        <v>2575</v>
      </c>
      <c r="I12" s="889">
        <f t="shared" si="0"/>
        <v>35.534999999999997</v>
      </c>
      <c r="L12" s="605">
        <f>SUM(L5:L11)</f>
        <v>44305</v>
      </c>
      <c r="M12" s="606">
        <f t="shared" ref="M12" si="2">L12/1000</f>
        <v>44.305</v>
      </c>
    </row>
    <row r="13" spans="1:26" ht="24">
      <c r="A13" s="450" t="s">
        <v>2923</v>
      </c>
      <c r="B13" s="463" t="s">
        <v>2084</v>
      </c>
      <c r="C13" s="448">
        <v>46393</v>
      </c>
      <c r="D13" s="449">
        <v>2.875</v>
      </c>
      <c r="E13" s="451">
        <v>437</v>
      </c>
      <c r="F13" s="451">
        <v>437</v>
      </c>
      <c r="G13" s="569">
        <v>73930</v>
      </c>
      <c r="H13" s="804">
        <f>MROUND(G13/FP!$G$4, 5)</f>
        <v>475</v>
      </c>
      <c r="I13" s="804">
        <f t="shared" si="0"/>
        <v>13.65625</v>
      </c>
    </row>
    <row r="14" spans="1:26" ht="24">
      <c r="A14" s="450" t="s">
        <v>2924</v>
      </c>
      <c r="B14" s="463" t="s">
        <v>2114</v>
      </c>
      <c r="C14" s="448">
        <v>46500</v>
      </c>
      <c r="D14" s="449">
        <v>1.7989999999999999</v>
      </c>
      <c r="E14" s="893">
        <v>30000</v>
      </c>
      <c r="F14" s="893">
        <v>30000</v>
      </c>
      <c r="G14" s="569">
        <v>29931</v>
      </c>
      <c r="H14" s="804">
        <f>MROUND(G14/FP!$G$4, 5)</f>
        <v>195</v>
      </c>
      <c r="I14" s="804">
        <f t="shared" si="0"/>
        <v>3.5080499999999999</v>
      </c>
    </row>
    <row r="15" spans="1:26" ht="24">
      <c r="A15" s="450" t="s">
        <v>2925</v>
      </c>
      <c r="B15" s="463" t="s">
        <v>2084</v>
      </c>
      <c r="C15" s="448">
        <v>46598</v>
      </c>
      <c r="D15" s="449">
        <v>5.25</v>
      </c>
      <c r="E15" s="451">
        <v>211</v>
      </c>
      <c r="F15" s="451">
        <v>211</v>
      </c>
      <c r="G15" s="570">
        <v>35629</v>
      </c>
      <c r="H15" s="804">
        <f>MROUND(G15/FP!$G$4, 5)</f>
        <v>230</v>
      </c>
      <c r="I15" s="804">
        <f t="shared" si="0"/>
        <v>12.074999999999999</v>
      </c>
    </row>
    <row r="16" spans="1:26" ht="24">
      <c r="A16" s="583" t="s">
        <v>2926</v>
      </c>
      <c r="B16" s="584" t="s">
        <v>2087</v>
      </c>
      <c r="C16" s="585">
        <v>46649</v>
      </c>
      <c r="D16" s="586">
        <v>5.125</v>
      </c>
      <c r="E16" s="897">
        <v>1657</v>
      </c>
      <c r="F16" s="897">
        <v>1657</v>
      </c>
      <c r="G16" s="604">
        <v>239299</v>
      </c>
      <c r="H16" s="889">
        <f>MROUND(G16/FP!$G$4, 5)</f>
        <v>1545</v>
      </c>
      <c r="I16" s="889">
        <f t="shared" si="0"/>
        <v>79.181250000000006</v>
      </c>
      <c r="J16" s="898">
        <f>SUM(H9:H16)</f>
        <v>6470</v>
      </c>
      <c r="K16" s="792">
        <f>SUM(I9:I16)/SUM(H9:H16)</f>
        <v>2.8204876352395672E-2</v>
      </c>
    </row>
    <row r="17" spans="1:11" ht="24">
      <c r="A17" s="450" t="s">
        <v>2927</v>
      </c>
      <c r="B17" s="463" t="s">
        <v>2087</v>
      </c>
      <c r="C17" s="448">
        <v>46858</v>
      </c>
      <c r="D17" s="449">
        <v>6.25</v>
      </c>
      <c r="E17" s="892">
        <v>466</v>
      </c>
      <c r="F17" s="892">
        <v>466</v>
      </c>
      <c r="G17" s="569">
        <v>67248</v>
      </c>
      <c r="H17" s="579">
        <f>MROUND(G17/FP!$G$4, 5)</f>
        <v>435</v>
      </c>
      <c r="I17" s="579">
        <f t="shared" si="0"/>
        <v>27.1875</v>
      </c>
    </row>
    <row r="18" spans="1:11" ht="24">
      <c r="A18" s="450" t="s">
        <v>2928</v>
      </c>
      <c r="B18" s="463" t="s">
        <v>2084</v>
      </c>
      <c r="C18" s="448">
        <v>46858</v>
      </c>
      <c r="D18" s="449">
        <v>5</v>
      </c>
      <c r="E18" s="451">
        <v>1054</v>
      </c>
      <c r="F18" s="451">
        <v>1054</v>
      </c>
      <c r="G18" s="569">
        <v>178253</v>
      </c>
      <c r="H18" s="579">
        <f>MROUND(G18/FP!$G$4, 5)</f>
        <v>1150</v>
      </c>
      <c r="I18" s="579">
        <f t="shared" si="0"/>
        <v>57.5</v>
      </c>
    </row>
    <row r="19" spans="1:11" ht="24">
      <c r="A19" s="583" t="s">
        <v>2929</v>
      </c>
      <c r="B19" s="584" t="s">
        <v>2087</v>
      </c>
      <c r="C19" s="585">
        <v>46940</v>
      </c>
      <c r="D19" s="586">
        <v>4.625</v>
      </c>
      <c r="E19" s="897">
        <v>773</v>
      </c>
      <c r="F19" s="897">
        <v>773</v>
      </c>
      <c r="G19" s="604">
        <v>111423</v>
      </c>
      <c r="H19" s="589">
        <f>MROUND(G19/FP!$G$4, 5)</f>
        <v>720</v>
      </c>
      <c r="I19" s="589">
        <f t="shared" si="0"/>
        <v>33.299999999999997</v>
      </c>
      <c r="J19" s="898">
        <f>SUM(H17:H19)</f>
        <v>2305</v>
      </c>
      <c r="K19" s="792">
        <f>SUM(I17:I19)/SUM(H17:H19)</f>
        <v>5.1187635574837312E-2</v>
      </c>
    </row>
    <row r="20" spans="1:11" ht="24">
      <c r="A20" s="450" t="s">
        <v>2930</v>
      </c>
      <c r="B20" s="463" t="s">
        <v>2084</v>
      </c>
      <c r="C20" s="448">
        <v>47126</v>
      </c>
      <c r="D20" s="449">
        <v>5.375</v>
      </c>
      <c r="E20" s="451">
        <v>450</v>
      </c>
      <c r="F20" s="451">
        <v>450</v>
      </c>
      <c r="G20" s="569">
        <v>75715</v>
      </c>
      <c r="H20" s="579">
        <f>MROUND(G20/FP!$G$4, 5)</f>
        <v>490</v>
      </c>
      <c r="I20" s="579">
        <f t="shared" si="0"/>
        <v>26.337499999999999</v>
      </c>
    </row>
    <row r="21" spans="1:11" ht="24">
      <c r="A21" s="450" t="s">
        <v>2931</v>
      </c>
      <c r="B21" s="463" t="s">
        <v>2114</v>
      </c>
      <c r="C21" s="448">
        <v>47233</v>
      </c>
      <c r="D21" s="449">
        <v>2.4409999999999998</v>
      </c>
      <c r="E21" s="893">
        <v>50000</v>
      </c>
      <c r="F21" s="893">
        <v>50000</v>
      </c>
      <c r="G21" s="570">
        <v>49834</v>
      </c>
      <c r="H21" s="579">
        <f>MROUND(G21/FP!$G$4, 5)</f>
        <v>320</v>
      </c>
      <c r="I21" s="579">
        <f t="shared" si="0"/>
        <v>7.8111999999999986</v>
      </c>
    </row>
    <row r="22" spans="1:11" ht="24">
      <c r="A22" s="450" t="s">
        <v>2932</v>
      </c>
      <c r="B22" s="463" t="s">
        <v>2084</v>
      </c>
      <c r="C22" s="448">
        <v>47305</v>
      </c>
      <c r="D22" s="449">
        <v>3.375</v>
      </c>
      <c r="E22" s="451">
        <v>473</v>
      </c>
      <c r="F22" s="451">
        <v>473</v>
      </c>
      <c r="G22" s="570">
        <v>79729</v>
      </c>
      <c r="H22" s="579">
        <f>MROUND(G22/FP!$G$4, 5)</f>
        <v>515</v>
      </c>
      <c r="I22" s="579">
        <f t="shared" si="0"/>
        <v>17.381250000000001</v>
      </c>
    </row>
    <row r="23" spans="1:11" ht="24">
      <c r="A23" s="450" t="s">
        <v>2933</v>
      </c>
      <c r="B23" s="463" t="s">
        <v>2087</v>
      </c>
      <c r="C23" s="448">
        <v>47307</v>
      </c>
      <c r="D23" s="449">
        <v>6.75</v>
      </c>
      <c r="E23" s="892">
        <v>400</v>
      </c>
      <c r="F23" s="892">
        <v>400</v>
      </c>
      <c r="G23" s="569">
        <v>57431</v>
      </c>
      <c r="H23" s="579">
        <f>MROUND(G23/FP!$G$4, 5)</f>
        <v>370</v>
      </c>
      <c r="I23" s="579">
        <f t="shared" si="0"/>
        <v>24.975000000000001</v>
      </c>
    </row>
    <row r="24" spans="1:11" ht="24">
      <c r="A24" s="600" t="s">
        <v>2934</v>
      </c>
      <c r="B24" s="463" t="s">
        <v>2084</v>
      </c>
      <c r="C24" s="448">
        <v>47380</v>
      </c>
      <c r="D24" s="449">
        <v>4</v>
      </c>
      <c r="E24" s="451">
        <v>575</v>
      </c>
      <c r="F24" s="451">
        <v>575</v>
      </c>
      <c r="G24" s="570">
        <v>97107</v>
      </c>
      <c r="H24" s="579">
        <f>MROUND(G24/FP!$G$4, 5)</f>
        <v>625</v>
      </c>
      <c r="I24" s="579">
        <f t="shared" si="0"/>
        <v>25</v>
      </c>
    </row>
    <row r="25" spans="1:11" ht="24">
      <c r="A25" s="583" t="s">
        <v>2935</v>
      </c>
      <c r="B25" s="584" t="s">
        <v>2114</v>
      </c>
      <c r="C25" s="585">
        <v>47466</v>
      </c>
      <c r="D25" s="586">
        <v>2.84</v>
      </c>
      <c r="E25" s="896">
        <v>385000</v>
      </c>
      <c r="F25" s="896">
        <v>385000</v>
      </c>
      <c r="G25" s="604">
        <v>381951</v>
      </c>
      <c r="H25" s="589">
        <f>MROUND(G25/FP!$G$4, 5)</f>
        <v>2465</v>
      </c>
      <c r="I25" s="589">
        <f t="shared" si="0"/>
        <v>70.006</v>
      </c>
      <c r="J25" s="898">
        <f>SUM(H20:H25)</f>
        <v>4785</v>
      </c>
      <c r="K25" s="792">
        <f>SUM(I20:I25)/SUM(H20:H25)</f>
        <v>3.5843458725182867E-2</v>
      </c>
    </row>
    <row r="26" spans="1:11" ht="24">
      <c r="A26" s="450" t="s">
        <v>3127</v>
      </c>
      <c r="B26" s="463" t="s">
        <v>2114</v>
      </c>
      <c r="C26" s="448">
        <v>47597</v>
      </c>
      <c r="D26" s="449">
        <v>3.3359999999999999</v>
      </c>
      <c r="E26" s="893">
        <v>0</v>
      </c>
      <c r="F26" s="893">
        <v>20000</v>
      </c>
      <c r="G26" s="569">
        <v>19914</v>
      </c>
      <c r="H26" s="579">
        <f>MROUND(G26/FP!$G$4, 5)</f>
        <v>130</v>
      </c>
      <c r="I26" s="579">
        <f t="shared" si="0"/>
        <v>4.3368000000000002</v>
      </c>
    </row>
    <row r="27" spans="1:11" ht="24">
      <c r="A27" s="450" t="s">
        <v>3128</v>
      </c>
      <c r="B27" s="463" t="s">
        <v>2114</v>
      </c>
      <c r="C27" s="448">
        <v>47605</v>
      </c>
      <c r="D27" s="449">
        <v>3.34</v>
      </c>
      <c r="E27" s="893">
        <v>0</v>
      </c>
      <c r="F27" s="893">
        <v>600000</v>
      </c>
      <c r="G27" s="569">
        <v>593601</v>
      </c>
      <c r="H27" s="579">
        <f>MROUND(G27/FP!$G$4, 5)</f>
        <v>3825</v>
      </c>
      <c r="I27" s="579">
        <f t="shared" si="0"/>
        <v>127.755</v>
      </c>
    </row>
    <row r="28" spans="1:11" ht="24">
      <c r="A28" s="450" t="s">
        <v>2936</v>
      </c>
      <c r="B28" s="463" t="s">
        <v>2114</v>
      </c>
      <c r="C28" s="448">
        <v>47921</v>
      </c>
      <c r="D28" s="449">
        <v>3.04</v>
      </c>
      <c r="E28" s="893">
        <v>550000</v>
      </c>
      <c r="F28" s="893">
        <v>550000</v>
      </c>
      <c r="G28" s="570">
        <v>544418</v>
      </c>
      <c r="H28" s="579">
        <f>MROUND(G28/FP!$G$4, 5)</f>
        <v>3510</v>
      </c>
      <c r="I28" s="579">
        <f t="shared" si="0"/>
        <v>106.70399999999999</v>
      </c>
    </row>
    <row r="29" spans="1:11" ht="24">
      <c r="A29" s="450" t="s">
        <v>2937</v>
      </c>
      <c r="B29" s="463" t="s">
        <v>2114</v>
      </c>
      <c r="C29" s="448">
        <v>47963</v>
      </c>
      <c r="D29" s="449">
        <v>2.9</v>
      </c>
      <c r="E29" s="893">
        <v>20000</v>
      </c>
      <c r="F29" s="893">
        <v>20000</v>
      </c>
      <c r="G29" s="569">
        <v>19925</v>
      </c>
      <c r="H29" s="579">
        <f>MROUND(G29/FP!$G$4, 5)</f>
        <v>130</v>
      </c>
      <c r="I29" s="579">
        <f t="shared" si="0"/>
        <v>3.77</v>
      </c>
    </row>
    <row r="30" spans="1:11" ht="24">
      <c r="A30" s="600" t="s">
        <v>2938</v>
      </c>
      <c r="B30" s="463" t="s">
        <v>2114</v>
      </c>
      <c r="C30" s="448">
        <v>48012</v>
      </c>
      <c r="D30" s="449">
        <v>3.03</v>
      </c>
      <c r="E30" s="893">
        <v>550000</v>
      </c>
      <c r="F30" s="893">
        <v>550000</v>
      </c>
      <c r="G30" s="569">
        <v>544869</v>
      </c>
      <c r="H30" s="579">
        <f>MROUND(G30/FP!$G$4, 5)</f>
        <v>3515</v>
      </c>
      <c r="I30" s="579">
        <f t="shared" si="0"/>
        <v>106.50449999999999</v>
      </c>
    </row>
    <row r="31" spans="1:11" ht="24">
      <c r="A31" s="450" t="s">
        <v>2939</v>
      </c>
      <c r="B31" s="463" t="s">
        <v>2087</v>
      </c>
      <c r="C31" s="448">
        <v>48035</v>
      </c>
      <c r="D31" s="449">
        <v>5.25</v>
      </c>
      <c r="E31" s="892">
        <v>1305</v>
      </c>
      <c r="F31" s="892">
        <v>1305</v>
      </c>
      <c r="G31" s="569">
        <v>187680</v>
      </c>
      <c r="H31" s="579">
        <f>MROUND(G31/FP!$G$4, 5)</f>
        <v>1210</v>
      </c>
      <c r="I31" s="579">
        <f t="shared" si="0"/>
        <v>63.524999999999999</v>
      </c>
    </row>
    <row r="32" spans="1:11" ht="24">
      <c r="A32" s="600" t="s">
        <v>2939</v>
      </c>
      <c r="B32" s="463" t="s">
        <v>2087</v>
      </c>
      <c r="C32" s="448">
        <v>48037</v>
      </c>
      <c r="D32" s="449">
        <v>7</v>
      </c>
      <c r="E32" s="892">
        <v>500</v>
      </c>
      <c r="F32" s="892">
        <v>500</v>
      </c>
      <c r="G32" s="569">
        <v>71942</v>
      </c>
      <c r="H32" s="579">
        <f>MROUND(G32/FP!$G$4, 5)</f>
        <v>465</v>
      </c>
      <c r="I32" s="579">
        <f t="shared" si="0"/>
        <v>32.549999999999997</v>
      </c>
    </row>
    <row r="33" spans="1:11" ht="24">
      <c r="A33" s="600" t="s">
        <v>2940</v>
      </c>
      <c r="B33" s="463" t="s">
        <v>2114</v>
      </c>
      <c r="C33" s="448">
        <v>48193</v>
      </c>
      <c r="D33" s="449">
        <v>3.15</v>
      </c>
      <c r="E33" s="893">
        <v>350000</v>
      </c>
      <c r="F33" s="893">
        <v>350000</v>
      </c>
      <c r="G33" s="569">
        <v>346453</v>
      </c>
      <c r="H33" s="579">
        <f>MROUND(G33/FP!$G$4, 5)</f>
        <v>2235</v>
      </c>
      <c r="I33" s="579">
        <f t="shared" si="0"/>
        <v>70.402500000000003</v>
      </c>
    </row>
    <row r="34" spans="1:11">
      <c r="A34" s="452" t="s">
        <v>2941</v>
      </c>
      <c r="B34" s="463" t="s">
        <v>2084</v>
      </c>
      <c r="C34" s="448">
        <v>48401</v>
      </c>
      <c r="D34" s="449">
        <v>3.875</v>
      </c>
      <c r="E34" s="451">
        <v>425</v>
      </c>
      <c r="F34" s="451">
        <v>425</v>
      </c>
      <c r="G34" s="570">
        <v>71518</v>
      </c>
      <c r="H34" s="579">
        <f>MROUND(G34/FP!$G$4, 5)</f>
        <v>460</v>
      </c>
      <c r="I34" s="579">
        <f t="shared" si="0"/>
        <v>17.824999999999999</v>
      </c>
    </row>
    <row r="35" spans="1:11">
      <c r="A35" s="890" t="s">
        <v>2941</v>
      </c>
      <c r="B35" s="584" t="s">
        <v>2084</v>
      </c>
      <c r="C35" s="585">
        <v>48403</v>
      </c>
      <c r="D35" s="586">
        <v>5.75</v>
      </c>
      <c r="E35" s="895">
        <v>450</v>
      </c>
      <c r="F35" s="895">
        <v>450</v>
      </c>
      <c r="G35" s="598">
        <v>75636</v>
      </c>
      <c r="H35" s="589">
        <f>MROUND(G35/FP!$G$4, 5)</f>
        <v>490</v>
      </c>
      <c r="I35" s="589">
        <f t="shared" si="0"/>
        <v>28.175000000000001</v>
      </c>
      <c r="J35" s="898">
        <f>SUM(H26:H35)</f>
        <v>15970</v>
      </c>
      <c r="K35" s="792">
        <f>SUM(I26:I35)/SUM(H26:H35)</f>
        <v>3.516266750156543E-2</v>
      </c>
    </row>
    <row r="36" spans="1:11">
      <c r="A36" s="452" t="s">
        <v>2942</v>
      </c>
      <c r="B36" s="463" t="s">
        <v>2114</v>
      </c>
      <c r="C36" s="448">
        <v>47011</v>
      </c>
      <c r="D36" s="449">
        <v>2.4</v>
      </c>
      <c r="E36" s="893">
        <v>30100</v>
      </c>
      <c r="F36" s="893">
        <v>30100</v>
      </c>
      <c r="G36" s="569">
        <v>30012</v>
      </c>
      <c r="H36" s="579">
        <f>MROUND(G36/FP!$G$4, 5)</f>
        <v>195</v>
      </c>
      <c r="I36" s="579">
        <f t="shared" si="0"/>
        <v>4.68</v>
      </c>
    </row>
    <row r="37" spans="1:11" ht="24">
      <c r="A37" s="450" t="s">
        <v>2943</v>
      </c>
      <c r="B37" s="463" t="s">
        <v>2114</v>
      </c>
      <c r="C37" s="448">
        <v>47025</v>
      </c>
      <c r="D37" s="449">
        <v>2.4</v>
      </c>
      <c r="E37" s="893">
        <v>450000</v>
      </c>
      <c r="F37" s="893">
        <v>450000</v>
      </c>
      <c r="G37" s="569">
        <v>446937</v>
      </c>
      <c r="H37" s="579">
        <f>MROUND(G37/FP!$G$4, 5)</f>
        <v>2880</v>
      </c>
      <c r="I37" s="579">
        <f t="shared" si="0"/>
        <v>69.12</v>
      </c>
    </row>
    <row r="38" spans="1:11" ht="24">
      <c r="A38" s="450" t="s">
        <v>2944</v>
      </c>
      <c r="B38" s="463" t="s">
        <v>2114</v>
      </c>
      <c r="C38" s="448">
        <v>47151</v>
      </c>
      <c r="D38" s="449">
        <v>2.48</v>
      </c>
      <c r="E38" s="893">
        <v>549000</v>
      </c>
      <c r="F38" s="893">
        <v>549000</v>
      </c>
      <c r="G38" s="569">
        <v>544774</v>
      </c>
      <c r="H38" s="579">
        <f>MROUND(G38/FP!$G$4, 5)</f>
        <v>3510</v>
      </c>
      <c r="I38" s="579">
        <f t="shared" si="0"/>
        <v>87.047999999999988</v>
      </c>
    </row>
    <row r="39" spans="1:11" ht="36">
      <c r="A39" s="450" t="s">
        <v>2945</v>
      </c>
      <c r="B39" s="463" t="s">
        <v>2114</v>
      </c>
      <c r="C39" s="448">
        <v>57014</v>
      </c>
      <c r="D39" s="449">
        <v>3</v>
      </c>
      <c r="E39" s="891">
        <v>177000</v>
      </c>
      <c r="F39" s="891">
        <v>177000</v>
      </c>
      <c r="G39" s="569">
        <v>175694</v>
      </c>
      <c r="H39" s="579">
        <f>MROUND(G39/FP!$G$4, 5)</f>
        <v>1135</v>
      </c>
      <c r="I39" s="579">
        <f t="shared" si="0"/>
        <v>34.049999999999997</v>
      </c>
    </row>
    <row r="40" spans="1:11" ht="36">
      <c r="A40" s="450" t="s">
        <v>2946</v>
      </c>
      <c r="B40" s="463" t="s">
        <v>2114</v>
      </c>
      <c r="C40" s="448">
        <v>57152</v>
      </c>
      <c r="D40" s="449">
        <v>2.75</v>
      </c>
      <c r="E40" s="891">
        <v>405000</v>
      </c>
      <c r="F40" s="891">
        <v>405000</v>
      </c>
      <c r="G40" s="569">
        <v>398488</v>
      </c>
      <c r="H40" s="579">
        <f>MROUND(G40/FP!$G$4, 5)</f>
        <v>2570</v>
      </c>
      <c r="I40" s="579">
        <f t="shared" si="0"/>
        <v>70.674999999999997</v>
      </c>
    </row>
    <row r="41" spans="1:11" ht="36">
      <c r="A41" s="583" t="s">
        <v>2947</v>
      </c>
      <c r="B41" s="584" t="s">
        <v>2114</v>
      </c>
      <c r="C41" s="585">
        <v>57826</v>
      </c>
      <c r="D41" s="586">
        <v>4.75</v>
      </c>
      <c r="E41" s="894">
        <v>222000</v>
      </c>
      <c r="F41" s="894">
        <v>222000</v>
      </c>
      <c r="G41" s="604">
        <v>218330</v>
      </c>
      <c r="H41" s="589">
        <f>MROUND(G41/FP!$G$4, 5)</f>
        <v>1410</v>
      </c>
      <c r="I41" s="589">
        <f t="shared" si="0"/>
        <v>66.974999999999994</v>
      </c>
    </row>
    <row r="42" spans="1:11">
      <c r="A42" s="459" t="s">
        <v>89</v>
      </c>
      <c r="B42" s="463"/>
      <c r="C42" s="453"/>
      <c r="D42" s="449"/>
      <c r="E42" s="451"/>
      <c r="F42" s="451"/>
      <c r="G42" s="570">
        <v>6868437</v>
      </c>
      <c r="H42" s="579">
        <f>MROUND(SUM(H2:H41), 5)</f>
        <v>44305</v>
      </c>
      <c r="I42" s="579">
        <f>MROUND(SUM(I2:I41), 5)</f>
        <v>1480</v>
      </c>
    </row>
    <row r="43" spans="1:11">
      <c r="A43" s="450"/>
      <c r="B43" s="465"/>
      <c r="C43" s="453"/>
      <c r="D43" s="449"/>
      <c r="E43" s="451"/>
      <c r="F43" s="451"/>
      <c r="G43" s="454"/>
      <c r="I43" s="728">
        <f>I42/H42</f>
        <v>3.3404807583794154E-2</v>
      </c>
      <c r="J43" s="639">
        <f>(I42+I45)/(H42+H45)</f>
        <v>3.4747855824557597E-2</v>
      </c>
    </row>
    <row r="44" spans="1:11">
      <c r="A44" s="456" t="s">
        <v>2124</v>
      </c>
      <c r="B44" s="463"/>
      <c r="C44" s="455"/>
      <c r="D44" s="449"/>
      <c r="E44" s="451"/>
      <c r="F44" s="451"/>
      <c r="G44" s="458"/>
    </row>
    <row r="45" spans="1:11">
      <c r="A45" s="456" t="s">
        <v>2950</v>
      </c>
      <c r="B45" s="463" t="s">
        <v>2087</v>
      </c>
      <c r="C45" s="448" t="s">
        <v>2951</v>
      </c>
      <c r="D45" s="449">
        <v>6.875</v>
      </c>
      <c r="E45" s="574">
        <v>1750</v>
      </c>
      <c r="F45" s="574">
        <v>1750</v>
      </c>
      <c r="G45" s="570">
        <v>193199</v>
      </c>
      <c r="H45" s="579">
        <f>F45</f>
        <v>1750</v>
      </c>
      <c r="I45" s="579">
        <f>H45*D45/100</f>
        <v>120.3125</v>
      </c>
    </row>
  </sheetData>
  <autoFilter ref="A1:Z45" xr:uid="{85221F05-4816-4CA2-A090-93D47EA71804}"/>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21F05-4816-4CA2-A090-93D47EA71804}">
  <sheetPr codeName="Sheet15"/>
  <dimension ref="A1:Z59"/>
  <sheetViews>
    <sheetView zoomScale="90" zoomScaleNormal="90" workbookViewId="0"/>
  </sheetViews>
  <sheetFormatPr defaultColWidth="9.140625" defaultRowHeight="12"/>
  <cols>
    <col min="1" max="1" width="92.85546875" style="1" customWidth="1"/>
    <col min="2" max="2" width="9.7109375" style="239" customWidth="1"/>
    <col min="3" max="7" width="12.85546875" style="1" customWidth="1"/>
    <col min="8" max="10" width="11.42578125" style="1" customWidth="1"/>
    <col min="11" max="16384" width="9.140625" style="1"/>
  </cols>
  <sheetData>
    <row r="1" spans="1:26" ht="43.5" customHeight="1">
      <c r="A1" s="467" t="s">
        <v>2120</v>
      </c>
      <c r="B1" s="20" t="s">
        <v>2121</v>
      </c>
      <c r="C1" s="20" t="s">
        <v>2070</v>
      </c>
      <c r="D1" s="20" t="s">
        <v>2071</v>
      </c>
      <c r="E1" s="20" t="s">
        <v>2122</v>
      </c>
      <c r="F1" s="20" t="s">
        <v>2123</v>
      </c>
      <c r="G1" s="20" t="s">
        <v>2428</v>
      </c>
      <c r="H1" s="578" t="s">
        <v>2429</v>
      </c>
      <c r="I1" s="578" t="s">
        <v>2431</v>
      </c>
      <c r="Z1" s="239" t="s">
        <v>2430</v>
      </c>
    </row>
    <row r="2" spans="1:26">
      <c r="A2" s="447" t="s">
        <v>238</v>
      </c>
      <c r="B2" s="463" t="s">
        <v>2072</v>
      </c>
      <c r="C2" s="448" t="s">
        <v>2073</v>
      </c>
      <c r="D2" s="581">
        <v>2.5</v>
      </c>
      <c r="E2" s="571">
        <v>161000</v>
      </c>
      <c r="F2" s="568">
        <v>183000</v>
      </c>
      <c r="G2" s="568">
        <v>183000</v>
      </c>
      <c r="H2" s="579">
        <f>MROUND(G2/FP!$G$4, 5)</f>
        <v>1180</v>
      </c>
      <c r="I2" s="579">
        <f t="shared" ref="I2:I40" si="0">H2*D2/100</f>
        <v>29.5</v>
      </c>
    </row>
    <row r="3" spans="1:26">
      <c r="A3" s="450" t="s">
        <v>2074</v>
      </c>
      <c r="B3" s="463" t="s">
        <v>2072</v>
      </c>
      <c r="C3" s="448">
        <v>45036</v>
      </c>
      <c r="D3" s="449">
        <v>1.94</v>
      </c>
      <c r="E3" s="571">
        <v>19500</v>
      </c>
      <c r="F3" s="569">
        <v>0</v>
      </c>
      <c r="G3" s="569">
        <v>0</v>
      </c>
      <c r="H3" s="579">
        <f>MROUND(G3/FP!$G$4, 5)</f>
        <v>0</v>
      </c>
      <c r="I3" s="579">
        <f t="shared" si="0"/>
        <v>0</v>
      </c>
      <c r="K3" s="12" t="s">
        <v>1968</v>
      </c>
      <c r="L3" s="223">
        <f>FP!$G$5/FP!$G$4</f>
        <v>1.1814958091553838</v>
      </c>
    </row>
    <row r="4" spans="1:26">
      <c r="A4" s="450" t="s">
        <v>2075</v>
      </c>
      <c r="B4" s="463" t="s">
        <v>2076</v>
      </c>
      <c r="C4" s="448">
        <v>45036</v>
      </c>
      <c r="D4" s="449">
        <v>5.5</v>
      </c>
      <c r="E4" s="574">
        <v>164</v>
      </c>
      <c r="F4" s="575">
        <v>0</v>
      </c>
      <c r="G4" s="569">
        <v>0</v>
      </c>
      <c r="H4" s="579">
        <f>MROUND(G4/FP!$G$4, 5)</f>
        <v>0</v>
      </c>
      <c r="I4" s="579">
        <f t="shared" si="0"/>
        <v>0</v>
      </c>
    </row>
    <row r="5" spans="1:26">
      <c r="A5" s="583" t="s">
        <v>2077</v>
      </c>
      <c r="B5" s="584" t="s">
        <v>2078</v>
      </c>
      <c r="C5" s="585">
        <v>45036</v>
      </c>
      <c r="D5" s="586">
        <v>4</v>
      </c>
      <c r="E5" s="587">
        <v>635</v>
      </c>
      <c r="F5" s="588">
        <v>0</v>
      </c>
      <c r="G5" s="604">
        <v>0</v>
      </c>
      <c r="H5" s="589">
        <f>MROUND(G5/FP!$G$4, 5)</f>
        <v>0</v>
      </c>
      <c r="I5" s="589">
        <f t="shared" si="0"/>
        <v>0</v>
      </c>
      <c r="K5" s="603" t="s">
        <v>2433</v>
      </c>
      <c r="L5" s="605">
        <f>$H$2</f>
        <v>1180</v>
      </c>
      <c r="M5" s="606">
        <f>L5/1000</f>
        <v>1.18</v>
      </c>
    </row>
    <row r="6" spans="1:26">
      <c r="A6" s="590" t="s">
        <v>2079</v>
      </c>
      <c r="B6" s="464" t="s">
        <v>2072</v>
      </c>
      <c r="C6" s="591">
        <v>45359</v>
      </c>
      <c r="D6" s="461">
        <v>2.0299999999999998</v>
      </c>
      <c r="E6" s="592">
        <v>47300</v>
      </c>
      <c r="F6" s="593">
        <v>47300</v>
      </c>
      <c r="G6" s="593">
        <v>47295</v>
      </c>
      <c r="H6" s="580">
        <f>MROUND(G6/FP!$G$4, 5)</f>
        <v>305</v>
      </c>
      <c r="I6" s="580">
        <f t="shared" si="0"/>
        <v>6.1914999999999996</v>
      </c>
      <c r="K6" s="219">
        <v>2024</v>
      </c>
      <c r="L6" s="579">
        <f>MROUND(SUM(H6:H11), 5)</f>
        <v>6840</v>
      </c>
      <c r="M6" s="606">
        <f t="shared" ref="M6:M13" si="1">L6/1000</f>
        <v>6.84</v>
      </c>
    </row>
    <row r="7" spans="1:26">
      <c r="A7" s="450" t="s">
        <v>2080</v>
      </c>
      <c r="B7" s="463" t="s">
        <v>2072</v>
      </c>
      <c r="C7" s="448">
        <v>45366</v>
      </c>
      <c r="D7" s="449">
        <v>2.0299999999999998</v>
      </c>
      <c r="E7" s="571">
        <v>352612</v>
      </c>
      <c r="F7" s="568">
        <v>352612</v>
      </c>
      <c r="G7" s="570">
        <v>352506</v>
      </c>
      <c r="H7" s="579">
        <f>MROUND(G7/FP!$G$4, 5)</f>
        <v>2275</v>
      </c>
      <c r="I7" s="579">
        <f t="shared" si="0"/>
        <v>46.182499999999997</v>
      </c>
      <c r="K7" s="219">
        <f>K6+1</f>
        <v>2025</v>
      </c>
      <c r="L7" s="579">
        <f>MROUND(SUM(H12:H18), 5)</f>
        <v>6080</v>
      </c>
      <c r="M7" s="606">
        <f t="shared" si="1"/>
        <v>6.08</v>
      </c>
    </row>
    <row r="8" spans="1:26">
      <c r="A8" s="450" t="s">
        <v>2081</v>
      </c>
      <c r="B8" s="463" t="s">
        <v>2072</v>
      </c>
      <c r="C8" s="448">
        <v>45455</v>
      </c>
      <c r="D8" s="449">
        <v>1.569</v>
      </c>
      <c r="E8" s="571">
        <v>40000</v>
      </c>
      <c r="F8" s="568">
        <v>40000</v>
      </c>
      <c r="G8" s="570">
        <v>39988</v>
      </c>
      <c r="H8" s="579">
        <f>MROUND(G8/FP!$G$4, 5)</f>
        <v>260</v>
      </c>
      <c r="I8" s="579">
        <f t="shared" si="0"/>
        <v>4.0793999999999997</v>
      </c>
      <c r="K8" s="219">
        <f>K7+1</f>
        <v>2026</v>
      </c>
      <c r="L8" s="579">
        <f>MROUND(SUM(H19:H22), 5)</f>
        <v>4000</v>
      </c>
      <c r="M8" s="606">
        <f t="shared" si="1"/>
        <v>4</v>
      </c>
    </row>
    <row r="9" spans="1:26">
      <c r="A9" s="450" t="s">
        <v>2082</v>
      </c>
      <c r="B9" s="463" t="s">
        <v>2072</v>
      </c>
      <c r="C9" s="448">
        <v>45457</v>
      </c>
      <c r="D9" s="449">
        <v>1.57</v>
      </c>
      <c r="E9" s="571">
        <v>410000</v>
      </c>
      <c r="F9" s="568">
        <v>410000</v>
      </c>
      <c r="G9" s="570">
        <v>409643</v>
      </c>
      <c r="H9" s="579">
        <f>MROUND(G9/FP!$G$4, 5)</f>
        <v>2640</v>
      </c>
      <c r="I9" s="579">
        <f t="shared" si="0"/>
        <v>41.448</v>
      </c>
      <c r="K9" s="219">
        <f>K8+1</f>
        <v>2027</v>
      </c>
      <c r="L9" s="579">
        <f>MROUND(SUM(H23:H25), 5)</f>
        <v>2160</v>
      </c>
      <c r="M9" s="606">
        <f t="shared" si="1"/>
        <v>2.16</v>
      </c>
    </row>
    <row r="10" spans="1:26">
      <c r="A10" s="450" t="s">
        <v>2083</v>
      </c>
      <c r="B10" s="463" t="s">
        <v>2084</v>
      </c>
      <c r="C10" s="448">
        <v>45479</v>
      </c>
      <c r="D10" s="449">
        <v>2.125</v>
      </c>
      <c r="E10" s="594">
        <v>640</v>
      </c>
      <c r="F10" s="594">
        <v>638</v>
      </c>
      <c r="G10" s="570">
        <v>100047</v>
      </c>
      <c r="H10" s="579">
        <f>MROUND(G10/FP!$G$4, 5)</f>
        <v>645</v>
      </c>
      <c r="I10" s="579">
        <f t="shared" si="0"/>
        <v>13.706250000000001</v>
      </c>
      <c r="K10" s="219">
        <f>K9+1</f>
        <v>2028</v>
      </c>
      <c r="L10" s="579">
        <f>MROUND(SUM(H26:H28, H34:H35), 5)</f>
        <v>5250</v>
      </c>
      <c r="M10" s="606">
        <f t="shared" si="1"/>
        <v>5.25</v>
      </c>
    </row>
    <row r="11" spans="1:26">
      <c r="A11" s="583" t="s">
        <v>2085</v>
      </c>
      <c r="B11" s="584" t="s">
        <v>2076</v>
      </c>
      <c r="C11" s="585">
        <v>45554</v>
      </c>
      <c r="D11" s="586">
        <v>4.75</v>
      </c>
      <c r="E11" s="595">
        <v>783</v>
      </c>
      <c r="F11" s="595">
        <v>781</v>
      </c>
      <c r="G11" s="598">
        <v>110604</v>
      </c>
      <c r="H11" s="589">
        <f>MROUND(G11/FP!$G$4, 5)</f>
        <v>715</v>
      </c>
      <c r="I11" s="589">
        <f t="shared" si="0"/>
        <v>33.962499999999999</v>
      </c>
      <c r="K11" s="219">
        <f>K10+1</f>
        <v>2029</v>
      </c>
      <c r="L11" s="579">
        <f>MROUND(SUM(H29:H31, H36), 5)</f>
        <v>7010</v>
      </c>
      <c r="M11" s="606">
        <f t="shared" si="1"/>
        <v>7.01</v>
      </c>
    </row>
    <row r="12" spans="1:26">
      <c r="A12" s="590" t="s">
        <v>2086</v>
      </c>
      <c r="B12" s="464" t="s">
        <v>2087</v>
      </c>
      <c r="C12" s="591">
        <v>45663</v>
      </c>
      <c r="D12" s="461">
        <v>3.125</v>
      </c>
      <c r="E12" s="576">
        <v>450</v>
      </c>
      <c r="F12" s="576">
        <v>449</v>
      </c>
      <c r="G12" s="572">
        <v>63434</v>
      </c>
      <c r="H12" s="580">
        <f>MROUND(G12/FP!$G$4, 5)</f>
        <v>410</v>
      </c>
      <c r="I12" s="580">
        <f t="shared" si="0"/>
        <v>12.8125</v>
      </c>
      <c r="K12" s="603" t="s">
        <v>2432</v>
      </c>
      <c r="L12" s="579">
        <f>MROUND(SUM(H32:H33, H37:H40), 5)</f>
        <v>6710</v>
      </c>
      <c r="M12" s="606">
        <f t="shared" si="1"/>
        <v>6.71</v>
      </c>
    </row>
    <row r="13" spans="1:26">
      <c r="A13" s="450" t="s">
        <v>2088</v>
      </c>
      <c r="B13" s="463" t="s">
        <v>2076</v>
      </c>
      <c r="C13" s="448">
        <v>45767</v>
      </c>
      <c r="D13" s="449">
        <v>6.125</v>
      </c>
      <c r="E13" s="574">
        <v>340</v>
      </c>
      <c r="F13" s="574">
        <v>337</v>
      </c>
      <c r="G13" s="570">
        <v>47644</v>
      </c>
      <c r="H13" s="579">
        <f>MROUND(G13/FP!$G$4, 5)</f>
        <v>305</v>
      </c>
      <c r="I13" s="579">
        <f t="shared" si="0"/>
        <v>18.681249999999999</v>
      </c>
      <c r="L13" s="605">
        <f>SUM(L5:L12)</f>
        <v>39230</v>
      </c>
      <c r="M13" s="606">
        <f t="shared" si="1"/>
        <v>39.229999999999997</v>
      </c>
    </row>
    <row r="14" spans="1:26">
      <c r="A14" s="450" t="s">
        <v>2089</v>
      </c>
      <c r="B14" s="463" t="s">
        <v>2078</v>
      </c>
      <c r="C14" s="448">
        <v>45767</v>
      </c>
      <c r="D14" s="449">
        <v>4.5</v>
      </c>
      <c r="E14" s="594">
        <v>272</v>
      </c>
      <c r="F14" s="594">
        <v>272</v>
      </c>
      <c r="G14" s="570">
        <v>42649</v>
      </c>
      <c r="H14" s="579">
        <f>MROUND(G14/FP!$G$4, 5)</f>
        <v>275</v>
      </c>
      <c r="I14" s="579">
        <f t="shared" si="0"/>
        <v>12.375</v>
      </c>
    </row>
    <row r="15" spans="1:26">
      <c r="A15" s="450" t="s">
        <v>2090</v>
      </c>
      <c r="B15" s="463" t="s">
        <v>2072</v>
      </c>
      <c r="C15" s="448">
        <v>45772</v>
      </c>
      <c r="D15" s="449">
        <v>1.64</v>
      </c>
      <c r="E15" s="571">
        <v>500000</v>
      </c>
      <c r="F15" s="568">
        <v>500000</v>
      </c>
      <c r="G15" s="570">
        <v>498696</v>
      </c>
      <c r="H15" s="579">
        <f>MROUND(G15/FP!$G$4, 5)</f>
        <v>3215</v>
      </c>
      <c r="I15" s="579">
        <f t="shared" si="0"/>
        <v>52.725999999999992</v>
      </c>
    </row>
    <row r="16" spans="1:26">
      <c r="A16" s="450" t="s">
        <v>2091</v>
      </c>
      <c r="B16" s="463" t="s">
        <v>2076</v>
      </c>
      <c r="C16" s="448">
        <v>45868</v>
      </c>
      <c r="D16" s="449">
        <v>6</v>
      </c>
      <c r="E16" s="574">
        <v>575</v>
      </c>
      <c r="F16" s="574">
        <v>574</v>
      </c>
      <c r="G16" s="570">
        <v>81214</v>
      </c>
      <c r="H16" s="579">
        <f>MROUND(G16/FP!$G$4, 5)</f>
        <v>525</v>
      </c>
      <c r="I16" s="579">
        <f t="shared" si="0"/>
        <v>31.5</v>
      </c>
    </row>
    <row r="17" spans="1:9">
      <c r="A17" s="450" t="s">
        <v>2092</v>
      </c>
      <c r="B17" s="463" t="s">
        <v>2078</v>
      </c>
      <c r="C17" s="448">
        <v>45868</v>
      </c>
      <c r="D17" s="449">
        <v>4.75</v>
      </c>
      <c r="E17" s="594">
        <v>633</v>
      </c>
      <c r="F17" s="594">
        <v>633</v>
      </c>
      <c r="G17" s="570">
        <v>99184</v>
      </c>
      <c r="H17" s="579">
        <f>MROUND(G17/FP!$G$4, 5)</f>
        <v>640</v>
      </c>
      <c r="I17" s="579">
        <f t="shared" si="0"/>
        <v>30.4</v>
      </c>
    </row>
    <row r="18" spans="1:9">
      <c r="A18" s="583" t="s">
        <v>2093</v>
      </c>
      <c r="B18" s="584" t="s">
        <v>2078</v>
      </c>
      <c r="C18" s="585">
        <v>45919</v>
      </c>
      <c r="D18" s="586">
        <v>3.125</v>
      </c>
      <c r="E18" s="587">
        <v>702</v>
      </c>
      <c r="F18" s="587">
        <v>702</v>
      </c>
      <c r="G18" s="598">
        <v>110012</v>
      </c>
      <c r="H18" s="589">
        <f>MROUND(G18/FP!$G$4, 5)</f>
        <v>710</v>
      </c>
      <c r="I18" s="589">
        <f t="shared" si="0"/>
        <v>22.1875</v>
      </c>
    </row>
    <row r="19" spans="1:9">
      <c r="A19" s="590" t="s">
        <v>2094</v>
      </c>
      <c r="B19" s="464" t="s">
        <v>2072</v>
      </c>
      <c r="C19" s="591">
        <v>46132</v>
      </c>
      <c r="D19" s="461">
        <v>2.48</v>
      </c>
      <c r="E19" s="592">
        <v>30000</v>
      </c>
      <c r="F19" s="593">
        <v>30000</v>
      </c>
      <c r="G19" s="572">
        <v>29965</v>
      </c>
      <c r="H19" s="580">
        <f>MROUND(G19/FP!$G$4, 5)</f>
        <v>195</v>
      </c>
      <c r="I19" s="580">
        <f t="shared" si="0"/>
        <v>4.8360000000000003</v>
      </c>
    </row>
    <row r="20" spans="1:9">
      <c r="A20" s="450" t="s">
        <v>2095</v>
      </c>
      <c r="B20" s="463" t="s">
        <v>2087</v>
      </c>
      <c r="C20" s="448">
        <v>46209</v>
      </c>
      <c r="D20" s="449">
        <v>4</v>
      </c>
      <c r="E20" s="574">
        <v>673</v>
      </c>
      <c r="F20" s="574">
        <v>669</v>
      </c>
      <c r="G20" s="570">
        <v>94383</v>
      </c>
      <c r="H20" s="579">
        <f>MROUND(G20/FP!$G$4, 5)</f>
        <v>610</v>
      </c>
      <c r="I20" s="579">
        <f t="shared" si="0"/>
        <v>24.4</v>
      </c>
    </row>
    <row r="21" spans="1:9">
      <c r="A21" s="450" t="s">
        <v>2096</v>
      </c>
      <c r="B21" s="463" t="s">
        <v>2072</v>
      </c>
      <c r="C21" s="448">
        <v>46276</v>
      </c>
      <c r="D21" s="449">
        <v>1.38</v>
      </c>
      <c r="E21" s="571">
        <v>100000</v>
      </c>
      <c r="F21" s="568">
        <v>97900</v>
      </c>
      <c r="G21" s="570">
        <v>97737</v>
      </c>
      <c r="H21" s="579">
        <f>MROUND(G21/FP!$G$4, 5)</f>
        <v>630</v>
      </c>
      <c r="I21" s="579">
        <f t="shared" si="0"/>
        <v>8.6939999999999991</v>
      </c>
    </row>
    <row r="22" spans="1:9">
      <c r="A22" s="583" t="s">
        <v>2097</v>
      </c>
      <c r="B22" s="584" t="s">
        <v>2072</v>
      </c>
      <c r="C22" s="585">
        <v>46282</v>
      </c>
      <c r="D22" s="586">
        <v>1.38</v>
      </c>
      <c r="E22" s="596">
        <v>400000</v>
      </c>
      <c r="F22" s="597">
        <v>400000</v>
      </c>
      <c r="G22" s="598">
        <v>398091</v>
      </c>
      <c r="H22" s="589">
        <f>MROUND(G22/FP!$G$4, 5)</f>
        <v>2565</v>
      </c>
      <c r="I22" s="589">
        <f t="shared" si="0"/>
        <v>35.396999999999998</v>
      </c>
    </row>
    <row r="23" spans="1:9">
      <c r="A23" s="590" t="s">
        <v>2098</v>
      </c>
      <c r="B23" s="464" t="s">
        <v>2084</v>
      </c>
      <c r="C23" s="591">
        <v>46393</v>
      </c>
      <c r="D23" s="461">
        <v>2.875</v>
      </c>
      <c r="E23" s="599">
        <v>445</v>
      </c>
      <c r="F23" s="599">
        <v>437</v>
      </c>
      <c r="G23" s="572">
        <v>68254</v>
      </c>
      <c r="H23" s="580">
        <f>MROUND(G23/FP!$G$4, 5)</f>
        <v>440</v>
      </c>
      <c r="I23" s="580">
        <f t="shared" si="0"/>
        <v>12.65</v>
      </c>
    </row>
    <row r="24" spans="1:9">
      <c r="A24" s="600" t="s">
        <v>2099</v>
      </c>
      <c r="B24" s="463" t="s">
        <v>2078</v>
      </c>
      <c r="C24" s="448">
        <v>46598</v>
      </c>
      <c r="D24" s="449">
        <v>5.25</v>
      </c>
      <c r="E24" s="594">
        <v>211</v>
      </c>
      <c r="F24" s="594">
        <v>211</v>
      </c>
      <c r="G24" s="570">
        <v>32923</v>
      </c>
      <c r="H24" s="579">
        <f>MROUND(G24/FP!$G$4, 5)</f>
        <v>210</v>
      </c>
      <c r="I24" s="579">
        <f t="shared" si="0"/>
        <v>11.025</v>
      </c>
    </row>
    <row r="25" spans="1:9">
      <c r="A25" s="583" t="s">
        <v>2100</v>
      </c>
      <c r="B25" s="584" t="s">
        <v>2076</v>
      </c>
      <c r="C25" s="585">
        <v>46649</v>
      </c>
      <c r="D25" s="586">
        <v>5.125</v>
      </c>
      <c r="E25" s="595">
        <v>1666</v>
      </c>
      <c r="F25" s="595">
        <v>1657</v>
      </c>
      <c r="G25" s="598">
        <v>233913</v>
      </c>
      <c r="H25" s="589">
        <f>MROUND(G25/FP!$G$4, 5)</f>
        <v>1510</v>
      </c>
      <c r="I25" s="589">
        <f t="shared" si="0"/>
        <v>77.387500000000003</v>
      </c>
    </row>
    <row r="26" spans="1:9">
      <c r="A26" s="590" t="s">
        <v>2101</v>
      </c>
      <c r="B26" s="464" t="s">
        <v>2076</v>
      </c>
      <c r="C26" s="591">
        <v>46858</v>
      </c>
      <c r="D26" s="461">
        <v>6.25</v>
      </c>
      <c r="E26" s="576">
        <v>467</v>
      </c>
      <c r="F26" s="576">
        <v>466</v>
      </c>
      <c r="G26" s="572">
        <v>65741</v>
      </c>
      <c r="H26" s="580">
        <f>MROUND(G26/FP!$G$4, 5)</f>
        <v>425</v>
      </c>
      <c r="I26" s="580">
        <f t="shared" si="0"/>
        <v>26.5625</v>
      </c>
    </row>
    <row r="27" spans="1:9">
      <c r="A27" s="450" t="s">
        <v>2102</v>
      </c>
      <c r="B27" s="463" t="s">
        <v>2078</v>
      </c>
      <c r="C27" s="448">
        <v>46858</v>
      </c>
      <c r="D27" s="449">
        <v>5</v>
      </c>
      <c r="E27" s="594">
        <v>1058</v>
      </c>
      <c r="F27" s="594">
        <v>1054</v>
      </c>
      <c r="G27" s="570">
        <v>164775</v>
      </c>
      <c r="H27" s="579">
        <f>MROUND(G27/FP!$G$4, 5)</f>
        <v>1060</v>
      </c>
      <c r="I27" s="579">
        <f t="shared" si="0"/>
        <v>53</v>
      </c>
    </row>
    <row r="28" spans="1:9">
      <c r="A28" s="583" t="s">
        <v>2103</v>
      </c>
      <c r="B28" s="584" t="s">
        <v>2087</v>
      </c>
      <c r="C28" s="585">
        <v>46940</v>
      </c>
      <c r="D28" s="586">
        <v>4.625</v>
      </c>
      <c r="E28" s="595">
        <v>803</v>
      </c>
      <c r="F28" s="595">
        <v>773</v>
      </c>
      <c r="G28" s="598">
        <v>108861</v>
      </c>
      <c r="H28" s="589">
        <f>MROUND(G28/FP!$G$4, 5)</f>
        <v>700</v>
      </c>
      <c r="I28" s="589">
        <f t="shared" si="0"/>
        <v>32.375</v>
      </c>
    </row>
    <row r="29" spans="1:9">
      <c r="A29" s="590" t="s">
        <v>2104</v>
      </c>
      <c r="B29" s="464" t="s">
        <v>2084</v>
      </c>
      <c r="C29" s="591">
        <v>47305</v>
      </c>
      <c r="D29" s="461">
        <v>3.375</v>
      </c>
      <c r="E29" s="599">
        <v>504</v>
      </c>
      <c r="F29" s="599">
        <v>473</v>
      </c>
      <c r="G29" s="572">
        <v>73677</v>
      </c>
      <c r="H29" s="580">
        <f>MROUND(G29/FP!$G$4, 5)</f>
        <v>475</v>
      </c>
      <c r="I29" s="580">
        <f t="shared" si="0"/>
        <v>16.03125</v>
      </c>
    </row>
    <row r="30" spans="1:9">
      <c r="A30" s="600" t="s">
        <v>2105</v>
      </c>
      <c r="B30" s="463" t="s">
        <v>2078</v>
      </c>
      <c r="C30" s="448">
        <v>47380</v>
      </c>
      <c r="D30" s="449">
        <v>4</v>
      </c>
      <c r="E30" s="594">
        <v>584</v>
      </c>
      <c r="F30" s="594">
        <v>575</v>
      </c>
      <c r="G30" s="570">
        <v>89778</v>
      </c>
      <c r="H30" s="579">
        <f>MROUND(G30/FP!$G$4, 5)</f>
        <v>580</v>
      </c>
      <c r="I30" s="579">
        <f t="shared" si="0"/>
        <v>23.2</v>
      </c>
    </row>
    <row r="31" spans="1:9">
      <c r="A31" s="583" t="s">
        <v>2106</v>
      </c>
      <c r="B31" s="584" t="s">
        <v>2072</v>
      </c>
      <c r="C31" s="585">
        <v>47466</v>
      </c>
      <c r="D31" s="586">
        <v>2.84</v>
      </c>
      <c r="E31" s="596">
        <v>385000</v>
      </c>
      <c r="F31" s="597">
        <v>385000</v>
      </c>
      <c r="G31" s="596">
        <v>380916</v>
      </c>
      <c r="H31" s="589">
        <f>MROUND(G31/FP!$G$4, 5)</f>
        <v>2455</v>
      </c>
      <c r="I31" s="589">
        <f t="shared" si="0"/>
        <v>69.721999999999994</v>
      </c>
    </row>
    <row r="32" spans="1:9">
      <c r="A32" s="601" t="s">
        <v>2107</v>
      </c>
      <c r="B32" s="464" t="s">
        <v>2087</v>
      </c>
      <c r="C32" s="591">
        <v>48035</v>
      </c>
      <c r="D32" s="461">
        <v>5.25</v>
      </c>
      <c r="E32" s="576">
        <v>1350</v>
      </c>
      <c r="F32" s="576">
        <v>1305</v>
      </c>
      <c r="G32" s="572">
        <v>183563</v>
      </c>
      <c r="H32" s="580">
        <f>MROUND(G32/FP!$G$4, 5)</f>
        <v>1185</v>
      </c>
      <c r="I32" s="580">
        <f t="shared" si="0"/>
        <v>62.212499999999999</v>
      </c>
    </row>
    <row r="33" spans="1:10">
      <c r="A33" s="602" t="s">
        <v>2108</v>
      </c>
      <c r="B33" s="584" t="s">
        <v>2084</v>
      </c>
      <c r="C33" s="585">
        <v>48401</v>
      </c>
      <c r="D33" s="586">
        <v>3.875</v>
      </c>
      <c r="E33" s="587">
        <v>446</v>
      </c>
      <c r="F33" s="587">
        <v>425</v>
      </c>
      <c r="G33" s="598">
        <v>66128</v>
      </c>
      <c r="H33" s="589">
        <f>MROUND(G33/FP!$G$4, 5)</f>
        <v>425</v>
      </c>
      <c r="I33" s="589">
        <f t="shared" si="0"/>
        <v>16.46875</v>
      </c>
    </row>
    <row r="34" spans="1:10">
      <c r="A34" s="452" t="s">
        <v>2109</v>
      </c>
      <c r="B34" s="463" t="s">
        <v>2072</v>
      </c>
      <c r="C34" s="448">
        <v>47011</v>
      </c>
      <c r="D34" s="449">
        <v>2.4</v>
      </c>
      <c r="E34" s="571">
        <v>50000</v>
      </c>
      <c r="F34" s="568">
        <v>30100</v>
      </c>
      <c r="G34" s="568">
        <v>29971</v>
      </c>
      <c r="H34" s="579">
        <f>MROUND(G34/FP!$G$4, 5)</f>
        <v>195</v>
      </c>
      <c r="I34" s="579">
        <f t="shared" si="0"/>
        <v>4.68</v>
      </c>
    </row>
    <row r="35" spans="1:10">
      <c r="A35" s="452" t="s">
        <v>2110</v>
      </c>
      <c r="B35" s="463" t="s">
        <v>2072</v>
      </c>
      <c r="C35" s="448">
        <v>47025</v>
      </c>
      <c r="D35" s="449">
        <v>2.4</v>
      </c>
      <c r="E35" s="573">
        <v>450000</v>
      </c>
      <c r="F35" s="571">
        <v>450000</v>
      </c>
      <c r="G35" s="568">
        <v>445487</v>
      </c>
      <c r="H35" s="579">
        <f>MROUND(G35/FP!$G$4, 5)</f>
        <v>2870</v>
      </c>
      <c r="I35" s="579">
        <f t="shared" si="0"/>
        <v>68.88</v>
      </c>
    </row>
    <row r="36" spans="1:10">
      <c r="A36" s="452" t="s">
        <v>2111</v>
      </c>
      <c r="B36" s="463" t="s">
        <v>2072</v>
      </c>
      <c r="C36" s="448">
        <v>47151</v>
      </c>
      <c r="D36" s="449">
        <v>2.48</v>
      </c>
      <c r="E36" s="573">
        <v>550000</v>
      </c>
      <c r="F36" s="571">
        <v>549000</v>
      </c>
      <c r="G36" s="568">
        <v>543005</v>
      </c>
      <c r="H36" s="579">
        <f>MROUND(G36/FP!$G$4, 5)</f>
        <v>3500</v>
      </c>
      <c r="I36" s="579">
        <f t="shared" si="0"/>
        <v>86.8</v>
      </c>
    </row>
    <row r="37" spans="1:10" ht="24">
      <c r="A37" s="450" t="s">
        <v>2112</v>
      </c>
      <c r="B37" s="463" t="s">
        <v>2072</v>
      </c>
      <c r="C37" s="448">
        <v>52490</v>
      </c>
      <c r="D37" s="449">
        <v>3.5</v>
      </c>
      <c r="E37" s="571">
        <v>15400</v>
      </c>
      <c r="F37" s="571">
        <v>0</v>
      </c>
      <c r="G37" s="570">
        <v>0</v>
      </c>
      <c r="H37" s="579">
        <f>MROUND(G37/FP!$G$4, 5)</f>
        <v>0</v>
      </c>
      <c r="I37" s="579">
        <f t="shared" si="0"/>
        <v>0</v>
      </c>
    </row>
    <row r="38" spans="1:10" ht="24">
      <c r="A38" s="450" t="s">
        <v>2113</v>
      </c>
      <c r="B38" s="463" t="s">
        <v>2114</v>
      </c>
      <c r="C38" s="448">
        <v>57014</v>
      </c>
      <c r="D38" s="449">
        <v>3</v>
      </c>
      <c r="E38" s="571">
        <v>177000</v>
      </c>
      <c r="F38" s="571">
        <v>177000</v>
      </c>
      <c r="G38" s="570">
        <v>175630</v>
      </c>
      <c r="H38" s="579">
        <f>MROUND(G38/FP!$G$4, 5)</f>
        <v>1130</v>
      </c>
      <c r="I38" s="579">
        <f t="shared" si="0"/>
        <v>33.9</v>
      </c>
    </row>
    <row r="39" spans="1:10" ht="24">
      <c r="A39" s="450" t="s">
        <v>2115</v>
      </c>
      <c r="B39" s="463" t="s">
        <v>2114</v>
      </c>
      <c r="C39" s="448">
        <v>57152</v>
      </c>
      <c r="D39" s="449">
        <v>2.75</v>
      </c>
      <c r="E39" s="571">
        <v>405000</v>
      </c>
      <c r="F39" s="571">
        <v>405000</v>
      </c>
      <c r="G39" s="570">
        <v>398172</v>
      </c>
      <c r="H39" s="579">
        <f>MROUND(G39/FP!$G$4, 5)</f>
        <v>2565</v>
      </c>
      <c r="I39" s="579">
        <f t="shared" si="0"/>
        <v>70.537499999999994</v>
      </c>
    </row>
    <row r="40" spans="1:10" ht="24">
      <c r="A40" s="450" t="s">
        <v>2116</v>
      </c>
      <c r="B40" s="463" t="s">
        <v>2114</v>
      </c>
      <c r="C40" s="448">
        <v>57826</v>
      </c>
      <c r="D40" s="449">
        <v>4.75</v>
      </c>
      <c r="E40" s="569">
        <v>0</v>
      </c>
      <c r="F40" s="571">
        <v>222000</v>
      </c>
      <c r="G40" s="570">
        <v>218162</v>
      </c>
      <c r="H40" s="579">
        <f>MROUND(G40/FP!$G$4, 5)</f>
        <v>1405</v>
      </c>
      <c r="I40" s="579">
        <f t="shared" si="0"/>
        <v>66.737499999999997</v>
      </c>
    </row>
    <row r="41" spans="1:10">
      <c r="A41" s="459" t="s">
        <v>89</v>
      </c>
      <c r="B41" s="464"/>
      <c r="C41" s="460"/>
      <c r="D41" s="461"/>
      <c r="E41" s="462"/>
      <c r="F41" s="462"/>
      <c r="G41" s="572">
        <v>6085048</v>
      </c>
      <c r="H41" s="580">
        <f>SUM(H2:H40)</f>
        <v>39230</v>
      </c>
      <c r="I41" s="580">
        <f>SUM(I2:I40)</f>
        <v>1161.2488999999998</v>
      </c>
    </row>
    <row r="42" spans="1:10">
      <c r="A42" s="450"/>
      <c r="B42" s="465"/>
      <c r="C42" s="453"/>
      <c r="D42" s="449"/>
      <c r="E42" s="451"/>
      <c r="F42" s="451"/>
      <c r="G42" s="454"/>
      <c r="I42" s="582">
        <f>I41/H41</f>
        <v>2.9601042569462142E-2</v>
      </c>
      <c r="J42" s="639">
        <f>(I41+I45)/(H41+H45)</f>
        <v>3.1272850170815027E-2</v>
      </c>
    </row>
    <row r="43" spans="1:10">
      <c r="A43" s="456" t="s">
        <v>2124</v>
      </c>
      <c r="B43" s="463"/>
      <c r="C43" s="455"/>
      <c r="D43" s="449"/>
      <c r="E43" s="451"/>
      <c r="F43" s="451"/>
      <c r="G43" s="458"/>
    </row>
    <row r="44" spans="1:10" ht="14.25">
      <c r="A44" s="456" t="s">
        <v>2118</v>
      </c>
      <c r="B44" s="463" t="s">
        <v>2076</v>
      </c>
      <c r="C44" s="457" t="s">
        <v>2117</v>
      </c>
      <c r="D44" s="449">
        <v>6</v>
      </c>
      <c r="E44" s="574">
        <v>2000</v>
      </c>
      <c r="F44" s="574">
        <v>0</v>
      </c>
      <c r="G44" s="574">
        <v>0</v>
      </c>
      <c r="H44" s="579">
        <f>F44</f>
        <v>0</v>
      </c>
      <c r="I44" s="579">
        <f>H44*D44/100</f>
        <v>0</v>
      </c>
    </row>
    <row r="45" spans="1:10" ht="14.25">
      <c r="A45" s="456" t="s">
        <v>2119</v>
      </c>
      <c r="B45" s="463" t="s">
        <v>2076</v>
      </c>
      <c r="C45" s="457" t="s">
        <v>2117</v>
      </c>
      <c r="D45" s="449">
        <v>6.875</v>
      </c>
      <c r="E45" s="574">
        <v>1750</v>
      </c>
      <c r="F45" s="574">
        <v>1750</v>
      </c>
      <c r="G45" s="574">
        <v>193199</v>
      </c>
      <c r="H45" s="579">
        <f>F45</f>
        <v>1750</v>
      </c>
      <c r="I45" s="579">
        <f>H45*D45/100</f>
        <v>120.3125</v>
      </c>
    </row>
    <row r="47" spans="1:10" s="466" customFormat="1" ht="24">
      <c r="B47" s="528" t="s">
        <v>2132</v>
      </c>
      <c r="C47" s="529"/>
      <c r="D47" s="529"/>
      <c r="E47" s="529"/>
      <c r="F47" s="530" t="s">
        <v>2131</v>
      </c>
      <c r="G47" s="531" t="s">
        <v>235</v>
      </c>
      <c r="H47" s="530" t="s">
        <v>2127</v>
      </c>
      <c r="I47" s="530" t="s">
        <v>2129</v>
      </c>
    </row>
    <row r="48" spans="1:10">
      <c r="B48" s="532" t="s">
        <v>2125</v>
      </c>
      <c r="C48" s="2"/>
      <c r="D48" s="2"/>
      <c r="E48" s="2"/>
      <c r="F48" s="533">
        <f>MROUND(SUM(F2, F3, F6, F7, F8, F9, F15, F19, F21, F22, F31, F34, F35, F36, F37, F38, F39, F40), 100)</f>
        <v>4278900</v>
      </c>
      <c r="G48" s="533">
        <f>MROUND(SUM(G2, G3, G6, G7, G8, G9, G15, G19, G21, G22, G31, G34, G35, G36, G37, G38, G39, G40), 100)</f>
        <v>4248300</v>
      </c>
      <c r="H48" s="253">
        <f>MROUND(G48/F48, 1)</f>
        <v>1</v>
      </c>
      <c r="I48" s="534">
        <f>G48/$G$51</f>
        <v>0.69814793512021167</v>
      </c>
    </row>
    <row r="49" spans="2:9">
      <c r="B49" s="532" t="s">
        <v>2126</v>
      </c>
      <c r="C49" s="2"/>
      <c r="D49" s="2"/>
      <c r="E49" s="2"/>
      <c r="F49" s="533">
        <f>MROUND(SUM(F4, F11, F12, F13, F16, F20, F25, F26, F28, F32), 100)</f>
        <v>7000</v>
      </c>
      <c r="G49" s="533">
        <f>MROUND(SUM(G4, G11, G12, G13, G16, G20, G25, G26, G28, G32), 100)</f>
        <v>989400</v>
      </c>
      <c r="H49" s="253">
        <f>MROUND(G49/F49, 1)</f>
        <v>141</v>
      </c>
      <c r="I49" s="534">
        <f>G49/$G$51</f>
        <v>0.16259387684672397</v>
      </c>
    </row>
    <row r="50" spans="2:9">
      <c r="B50" s="532" t="s">
        <v>2128</v>
      </c>
      <c r="C50" s="2"/>
      <c r="D50" s="2"/>
      <c r="E50" s="2"/>
      <c r="F50" s="533">
        <f>MROUND(SUM(F5, F10, F14, F17, F18, F23, , F24, F27, F29, F30, F33), 100)</f>
        <v>5400</v>
      </c>
      <c r="G50" s="533">
        <f>MROUND(SUM(G5, G10, G14, G17, G18, G23, , G24, G27, G29, G30, G33), 100)</f>
        <v>847400</v>
      </c>
      <c r="H50" s="253">
        <f>MROUND(G50/F50, 1)</f>
        <v>157</v>
      </c>
      <c r="I50" s="534">
        <f>G50/$G$51</f>
        <v>0.13925818803306436</v>
      </c>
    </row>
    <row r="51" spans="2:9">
      <c r="B51" s="535" t="s">
        <v>2130</v>
      </c>
      <c r="C51" s="481"/>
      <c r="D51" s="481"/>
      <c r="E51" s="481"/>
      <c r="F51" s="536"/>
      <c r="G51" s="536">
        <f>SUM(G48:G50)</f>
        <v>6085100</v>
      </c>
      <c r="H51" s="481"/>
      <c r="I51" s="481"/>
    </row>
    <row r="52" spans="2:9">
      <c r="B52" s="567" t="s">
        <v>2427</v>
      </c>
      <c r="C52" s="12"/>
      <c r="D52" s="12"/>
      <c r="E52" s="12"/>
      <c r="F52" s="12"/>
      <c r="G52" s="577">
        <f>MROUND(G51/FP!$G$4, 5)</f>
        <v>39235</v>
      </c>
      <c r="H52" s="12"/>
      <c r="I52" s="12"/>
    </row>
    <row r="54" spans="2:9" ht="24">
      <c r="B54" s="528" t="s">
        <v>2133</v>
      </c>
      <c r="C54" s="529"/>
      <c r="D54" s="529"/>
      <c r="E54" s="529"/>
      <c r="F54" s="530" t="s">
        <v>2131</v>
      </c>
      <c r="G54" s="531" t="s">
        <v>235</v>
      </c>
      <c r="H54" s="530" t="s">
        <v>2127</v>
      </c>
      <c r="I54" s="530" t="s">
        <v>2129</v>
      </c>
    </row>
    <row r="55" spans="2:9">
      <c r="B55" s="532" t="s">
        <v>2125</v>
      </c>
      <c r="C55" s="2"/>
      <c r="D55" s="2"/>
      <c r="E55" s="2"/>
      <c r="F55" s="533">
        <f>F48</f>
        <v>4278900</v>
      </c>
      <c r="G55" s="533">
        <f>G48</f>
        <v>4248300</v>
      </c>
      <c r="H55" s="253">
        <f>MROUND(G55/F55, 1)</f>
        <v>1</v>
      </c>
      <c r="I55" s="534">
        <f>G55/$G$58</f>
        <v>0.67666406511316757</v>
      </c>
    </row>
    <row r="56" spans="2:9">
      <c r="B56" s="537" t="s">
        <v>2126</v>
      </c>
      <c r="C56" s="538"/>
      <c r="D56" s="538"/>
      <c r="E56" s="538"/>
      <c r="F56" s="539">
        <f>F49+SUM($F$44:$F$45)</f>
        <v>8750</v>
      </c>
      <c r="G56" s="539">
        <f>MROUND(G49+$G$45, 100)</f>
        <v>1182600</v>
      </c>
      <c r="H56" s="253">
        <f>MROUND(G56/F56, 1)</f>
        <v>135</v>
      </c>
      <c r="I56" s="534">
        <f>G56/$G$58</f>
        <v>0.1883630919197872</v>
      </c>
    </row>
    <row r="57" spans="2:9">
      <c r="B57" s="532" t="s">
        <v>2128</v>
      </c>
      <c r="C57" s="2"/>
      <c r="D57" s="2"/>
      <c r="E57" s="2"/>
      <c r="F57" s="533">
        <f>F50</f>
        <v>5400</v>
      </c>
      <c r="G57" s="533">
        <f>G50</f>
        <v>847400</v>
      </c>
      <c r="H57" s="253">
        <f>MROUND(G57/F57, 1)</f>
        <v>157</v>
      </c>
      <c r="I57" s="534">
        <f>G57/$G$58</f>
        <v>0.13497284296704523</v>
      </c>
    </row>
    <row r="58" spans="2:9">
      <c r="B58" s="535" t="s">
        <v>2130</v>
      </c>
      <c r="C58" s="481"/>
      <c r="D58" s="481"/>
      <c r="E58" s="481"/>
      <c r="F58" s="536"/>
      <c r="G58" s="536">
        <f>SUM(G55:G57)</f>
        <v>6278300</v>
      </c>
      <c r="H58" s="481"/>
      <c r="I58" s="481"/>
    </row>
    <row r="59" spans="2:9">
      <c r="B59" s="567" t="s">
        <v>2427</v>
      </c>
      <c r="C59" s="12"/>
      <c r="D59" s="12"/>
      <c r="E59" s="12"/>
      <c r="F59" s="12"/>
      <c r="G59" s="577">
        <f>MROUND(G58/FP!$G$4, 5)</f>
        <v>40480</v>
      </c>
      <c r="H59" s="12"/>
      <c r="I59" s="12"/>
    </row>
  </sheetData>
  <autoFilter ref="A1:Z45" xr:uid="{85221F05-4816-4CA2-A090-93D47EA71804}"/>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4B7DB-A28B-4F35-9160-C4AFFD446786}">
  <sheetPr codeName="Sheet5"/>
  <dimension ref="A1:BX206"/>
  <sheetViews>
    <sheetView zoomScale="90" zoomScaleNormal="90" workbookViewId="0">
      <pane xSplit="8" ySplit="2" topLeftCell="V3" activePane="bottomRight" state="frozen"/>
      <selection pane="topRight" activeCell="I1" sqref="I1"/>
      <selection pane="bottomLeft" activeCell="A3" sqref="A3"/>
      <selection pane="bottomRight"/>
    </sheetView>
  </sheetViews>
  <sheetFormatPr defaultColWidth="9.140625" defaultRowHeight="12" outlineLevelCol="1"/>
  <cols>
    <col min="1" max="1" width="9.140625" style="1"/>
    <col min="2" max="2" width="18.42578125" style="1" customWidth="1"/>
    <col min="3" max="8" width="9.140625" style="1"/>
    <col min="9" max="12" width="11.42578125" style="1" customWidth="1" outlineLevel="1"/>
    <col min="13" max="13" width="11.42578125" style="1" customWidth="1"/>
    <col min="14" max="17" width="11.42578125" style="1" customWidth="1" outlineLevel="1"/>
    <col min="18" max="18" width="11.42578125" style="1" customWidth="1"/>
    <col min="19" max="22" width="11.42578125" style="1" customWidth="1" outlineLevel="1"/>
    <col min="23" max="23" width="11.42578125" style="1" customWidth="1"/>
    <col min="24" max="27" width="11.42578125" style="1" customWidth="1" outlineLevel="1"/>
    <col min="28" max="28" width="11.42578125" style="1" customWidth="1"/>
    <col min="29" max="32" width="11.42578125" style="1" customWidth="1" outlineLevel="1"/>
    <col min="33" max="33" width="11.42578125" style="1" customWidth="1"/>
    <col min="34" max="37" width="11.42578125" style="1" customWidth="1" outlineLevel="1"/>
    <col min="38" max="38" width="11.42578125" style="1" customWidth="1"/>
    <col min="39" max="42" width="11.42578125" style="1" customWidth="1" outlineLevel="1"/>
    <col min="43" max="43" width="11.42578125" style="1" customWidth="1"/>
    <col min="44" max="47" width="11.42578125" style="1" customWidth="1" outlineLevel="1"/>
    <col min="48" max="48" width="11.42578125" style="1" customWidth="1"/>
    <col min="49" max="52" width="11.42578125" style="1" customWidth="1" outlineLevel="1"/>
    <col min="53" max="53" width="11.42578125" style="1" customWidth="1"/>
    <col min="54" max="57" width="11.42578125" style="1" customWidth="1" outlineLevel="1"/>
    <col min="58" max="58" width="11.42578125" style="1" customWidth="1"/>
    <col min="59" max="62" width="11.42578125" style="1" customWidth="1" outlineLevel="1"/>
    <col min="63" max="63" width="11.42578125" style="1" customWidth="1"/>
    <col min="64" max="64" width="9.140625" style="1"/>
    <col min="65" max="65" width="9.140625" style="46"/>
    <col min="66" max="66" width="9.140625" style="1"/>
    <col min="67" max="76" width="11.42578125" style="1" customWidth="1"/>
    <col min="77" max="16384" width="9.140625" style="1"/>
  </cols>
  <sheetData>
    <row r="1" spans="1:76" s="2" customFormat="1">
      <c r="A1" s="2" t="s">
        <v>0</v>
      </c>
      <c r="I1" s="43" t="s">
        <v>138</v>
      </c>
      <c r="J1" s="43" t="s">
        <v>139</v>
      </c>
      <c r="K1" s="43" t="s">
        <v>140</v>
      </c>
      <c r="M1" s="18" t="s">
        <v>145</v>
      </c>
      <c r="N1" s="43" t="s">
        <v>138</v>
      </c>
      <c r="O1" s="43" t="s">
        <v>139</v>
      </c>
      <c r="P1" s="43" t="s">
        <v>140</v>
      </c>
      <c r="R1" s="18" t="s">
        <v>141</v>
      </c>
      <c r="S1" s="43" t="s">
        <v>126</v>
      </c>
      <c r="T1" s="43" t="s">
        <v>127</v>
      </c>
      <c r="U1" s="43" t="s">
        <v>128</v>
      </c>
      <c r="W1" s="18" t="s">
        <v>79</v>
      </c>
      <c r="X1" s="43" t="s">
        <v>129</v>
      </c>
      <c r="Y1" s="43" t="s">
        <v>130</v>
      </c>
      <c r="Z1" s="43" t="s">
        <v>131</v>
      </c>
      <c r="AB1" s="18" t="s">
        <v>90</v>
      </c>
      <c r="AC1" s="43" t="s">
        <v>700</v>
      </c>
      <c r="AD1" s="43" t="s">
        <v>701</v>
      </c>
      <c r="AE1" s="43" t="s">
        <v>702</v>
      </c>
      <c r="AG1" s="18" t="s">
        <v>699</v>
      </c>
      <c r="AH1" s="43" t="s">
        <v>1177</v>
      </c>
      <c r="AI1" s="43" t="s">
        <v>1178</v>
      </c>
      <c r="AJ1" s="43" t="s">
        <v>1179</v>
      </c>
      <c r="AL1" s="18" t="s">
        <v>1180</v>
      </c>
      <c r="AM1" s="43" t="s">
        <v>1189</v>
      </c>
      <c r="AN1" s="43" t="s">
        <v>1190</v>
      </c>
      <c r="AO1" s="43" t="s">
        <v>1191</v>
      </c>
      <c r="AQ1" s="18" t="s">
        <v>1198</v>
      </c>
      <c r="AR1" s="43" t="s">
        <v>1192</v>
      </c>
      <c r="AS1" s="43" t="s">
        <v>1199</v>
      </c>
      <c r="AT1" s="43" t="s">
        <v>1200</v>
      </c>
      <c r="AV1" s="18" t="s">
        <v>1209</v>
      </c>
      <c r="AW1" s="43" t="s">
        <v>1201</v>
      </c>
      <c r="AX1" s="43" t="s">
        <v>1203</v>
      </c>
      <c r="AY1" s="43" t="s">
        <v>1205</v>
      </c>
      <c r="BA1" s="18" t="s">
        <v>1210</v>
      </c>
      <c r="BB1" s="43" t="s">
        <v>1211</v>
      </c>
      <c r="BC1" s="43" t="s">
        <v>1213</v>
      </c>
      <c r="BD1" s="43" t="s">
        <v>1215</v>
      </c>
      <c r="BF1" s="18" t="s">
        <v>1219</v>
      </c>
      <c r="BG1" s="43" t="s">
        <v>1211</v>
      </c>
      <c r="BH1" s="43" t="s">
        <v>1213</v>
      </c>
      <c r="BI1" s="43" t="s">
        <v>1215</v>
      </c>
      <c r="BK1" s="18" t="s">
        <v>1220</v>
      </c>
      <c r="BM1" s="46"/>
      <c r="BO1" s="18" t="s">
        <v>141</v>
      </c>
      <c r="BR1" s="18" t="s">
        <v>699</v>
      </c>
      <c r="BW1" s="18" t="s">
        <v>1219</v>
      </c>
    </row>
    <row r="2" spans="1:76" s="2" customFormat="1">
      <c r="A2" s="2" t="s">
        <v>2</v>
      </c>
      <c r="I2" s="6" t="s">
        <v>133</v>
      </c>
      <c r="J2" s="6" t="s">
        <v>134</v>
      </c>
      <c r="K2" s="6" t="s">
        <v>135</v>
      </c>
      <c r="L2" s="6" t="s">
        <v>136</v>
      </c>
      <c r="M2" s="6" t="s">
        <v>137</v>
      </c>
      <c r="N2" s="6" t="s">
        <v>74</v>
      </c>
      <c r="O2" s="6" t="s">
        <v>75</v>
      </c>
      <c r="P2" s="6" t="s">
        <v>76</v>
      </c>
      <c r="Q2" s="6" t="s">
        <v>77</v>
      </c>
      <c r="R2" s="6" t="s">
        <v>78</v>
      </c>
      <c r="S2" s="6" t="s">
        <v>10</v>
      </c>
      <c r="T2" s="6" t="s">
        <v>11</v>
      </c>
      <c r="U2" s="6" t="s">
        <v>12</v>
      </c>
      <c r="V2" s="6" t="s">
        <v>13</v>
      </c>
      <c r="W2" s="6" t="s">
        <v>14</v>
      </c>
      <c r="X2" s="6" t="s">
        <v>91</v>
      </c>
      <c r="Y2" s="6" t="s">
        <v>92</v>
      </c>
      <c r="Z2" s="6" t="s">
        <v>93</v>
      </c>
      <c r="AA2" s="6" t="s">
        <v>94</v>
      </c>
      <c r="AB2" s="6" t="s">
        <v>95</v>
      </c>
      <c r="AC2" s="6" t="s">
        <v>686</v>
      </c>
      <c r="AD2" s="6" t="s">
        <v>695</v>
      </c>
      <c r="AE2" s="6" t="s">
        <v>696</v>
      </c>
      <c r="AF2" s="6" t="s">
        <v>697</v>
      </c>
      <c r="AG2" s="6" t="s">
        <v>698</v>
      </c>
      <c r="AH2" s="6" t="s">
        <v>1172</v>
      </c>
      <c r="AI2" s="6" t="s">
        <v>1173</v>
      </c>
      <c r="AJ2" s="6" t="s">
        <v>1174</v>
      </c>
      <c r="AK2" s="6" t="s">
        <v>1175</v>
      </c>
      <c r="AL2" s="6" t="s">
        <v>1176</v>
      </c>
      <c r="AM2" s="6" t="s">
        <v>1184</v>
      </c>
      <c r="AN2" s="6" t="s">
        <v>1185</v>
      </c>
      <c r="AO2" s="6" t="s">
        <v>1186</v>
      </c>
      <c r="AP2" s="6" t="s">
        <v>1187</v>
      </c>
      <c r="AQ2" s="6" t="s">
        <v>1188</v>
      </c>
      <c r="AR2" s="6" t="s">
        <v>1193</v>
      </c>
      <c r="AS2" s="6" t="s">
        <v>1194</v>
      </c>
      <c r="AT2" s="6" t="s">
        <v>1195</v>
      </c>
      <c r="AU2" s="6" t="s">
        <v>1196</v>
      </c>
      <c r="AV2" s="6" t="s">
        <v>1197</v>
      </c>
      <c r="AW2" s="6" t="s">
        <v>1202</v>
      </c>
      <c r="AX2" s="6" t="s">
        <v>1204</v>
      </c>
      <c r="AY2" s="6" t="s">
        <v>1206</v>
      </c>
      <c r="AZ2" s="6" t="s">
        <v>1207</v>
      </c>
      <c r="BA2" s="6" t="s">
        <v>1208</v>
      </c>
      <c r="BB2" s="6" t="s">
        <v>1212</v>
      </c>
      <c r="BC2" s="6" t="s">
        <v>1214</v>
      </c>
      <c r="BD2" s="6" t="s">
        <v>1216</v>
      </c>
      <c r="BE2" s="6" t="s">
        <v>1217</v>
      </c>
      <c r="BF2" s="6" t="s">
        <v>1218</v>
      </c>
      <c r="BG2" s="6" t="s">
        <v>1221</v>
      </c>
      <c r="BH2" s="6" t="s">
        <v>1222</v>
      </c>
      <c r="BI2" s="6" t="s">
        <v>1223</v>
      </c>
      <c r="BJ2" s="6" t="s">
        <v>1224</v>
      </c>
      <c r="BK2" s="6" t="s">
        <v>1225</v>
      </c>
      <c r="BM2" s="241" t="s">
        <v>1477</v>
      </c>
      <c r="BO2" s="6" t="s">
        <v>78</v>
      </c>
      <c r="BP2" s="6" t="s">
        <v>14</v>
      </c>
      <c r="BQ2" s="6" t="s">
        <v>95</v>
      </c>
      <c r="BR2" s="6" t="s">
        <v>698</v>
      </c>
      <c r="BS2" s="6" t="s">
        <v>1176</v>
      </c>
      <c r="BT2" s="6" t="s">
        <v>1188</v>
      </c>
      <c r="BU2" s="6" t="s">
        <v>1197</v>
      </c>
      <c r="BV2" s="6" t="s">
        <v>1208</v>
      </c>
      <c r="BW2" s="6" t="s">
        <v>1218</v>
      </c>
      <c r="BX2" s="6" t="s">
        <v>1225</v>
      </c>
    </row>
    <row r="4" spans="1:76" s="2" customFormat="1">
      <c r="A4" s="4" t="s">
        <v>54</v>
      </c>
      <c r="BM4" s="46"/>
    </row>
    <row r="6" spans="1:76">
      <c r="A6" s="1" t="s">
        <v>55</v>
      </c>
      <c r="M6" s="38"/>
      <c r="N6" s="36">
        <f>'Consolidated (OLD)'!I11</f>
        <v>1479134</v>
      </c>
      <c r="O6" s="36">
        <f>'Consolidated (OLD)'!J11</f>
        <v>1504370</v>
      </c>
      <c r="P6" s="36">
        <f>'Consolidated (OLD)'!K11</f>
        <v>1597336</v>
      </c>
      <c r="Q6" s="36">
        <f>'Consolidated (OLD)'!L11</f>
        <v>1640694</v>
      </c>
      <c r="R6" s="38">
        <f>SUM(N6:Q6)</f>
        <v>6221534</v>
      </c>
      <c r="S6" s="36">
        <f>'Consolidated (OLD)'!N11</f>
        <v>1572030</v>
      </c>
      <c r="T6" s="36">
        <f>'Consolidated (OLD)'!O11</f>
        <v>1610447</v>
      </c>
      <c r="U6" s="36">
        <f>'Consolidated (OLD)'!P11</f>
        <v>1693296</v>
      </c>
      <c r="V6" s="36">
        <f>'Consolidated (OLD)'!Q11</f>
        <v>1694666</v>
      </c>
      <c r="W6" s="38">
        <f>SUM(S6:V6)</f>
        <v>6570439</v>
      </c>
      <c r="X6" s="36">
        <f>'Consolidated (OLD)'!S11</f>
        <v>1557507</v>
      </c>
      <c r="Y6" s="36">
        <f>'Consolidated (OLD)'!T11</f>
        <v>1669553</v>
      </c>
      <c r="Z6" s="36">
        <f>'Consolidated (OLD)'!U11</f>
        <v>1774841</v>
      </c>
      <c r="AA6" s="36">
        <f>'Consolidated (OLD)'!V11</f>
        <v>1778387.04101731</v>
      </c>
      <c r="AB6" s="38">
        <f>SUM(X6:AA6)</f>
        <v>6780288.0410173098</v>
      </c>
      <c r="AC6" s="36">
        <f>'Consolidated (OLD)'!X11</f>
        <v>1655647.2724661399</v>
      </c>
      <c r="AD6" s="36">
        <f>'Consolidated (OLD)'!Y11</f>
        <v>1736253.9004396112</v>
      </c>
      <c r="AE6" s="36">
        <f>'Consolidated (OLD)'!Z11</f>
        <v>1851621.5187916318</v>
      </c>
      <c r="AF6" s="36">
        <f>'Consolidated (OLD)'!AA11</f>
        <v>1837292.5322600233</v>
      </c>
      <c r="AG6" s="38">
        <f>SUM(AC6:AF6)</f>
        <v>7080815.2239574064</v>
      </c>
      <c r="AH6" s="36">
        <f>'Consolidated (OLD)'!AC11</f>
        <v>1706169.1841075297</v>
      </c>
      <c r="AI6" s="36">
        <f>'Consolidated (OLD)'!AD11</f>
        <v>1801370.8354204823</v>
      </c>
      <c r="AJ6" s="36">
        <f>'Consolidated (OLD)'!AE11</f>
        <v>1924431.7890453737</v>
      </c>
      <c r="AK6" s="36">
        <f>'Consolidated (OLD)'!AF11</f>
        <v>1905787.9495431036</v>
      </c>
      <c r="AL6" s="38">
        <f>SUM(AH6:AK6)</f>
        <v>7337759.7581164893</v>
      </c>
      <c r="AM6" s="36">
        <f>'Consolidated (OLD)'!AH11</f>
        <v>1780861.2959608359</v>
      </c>
      <c r="AN6" s="36">
        <f>'Consolidated (OLD)'!AI11</f>
        <v>1875021.4271390461</v>
      </c>
      <c r="AO6" s="36">
        <f>'Consolidated (OLD)'!AJ11</f>
        <v>2000208.7083775694</v>
      </c>
      <c r="AP6" s="36">
        <f>'Consolidated (OLD)'!AK11</f>
        <v>1975856.392252529</v>
      </c>
      <c r="AQ6" s="38">
        <f>SUM(AM6:AP6)</f>
        <v>7631947.8237299807</v>
      </c>
      <c r="AR6" s="36">
        <f>'Consolidated (OLD)'!AM11</f>
        <v>1851467.9419223713</v>
      </c>
      <c r="AS6" s="36">
        <f>'Consolidated (OLD)'!AN11</f>
        <v>1949613.1378221335</v>
      </c>
      <c r="AT6" s="36">
        <f>'Consolidated (OLD)'!AO11</f>
        <v>2073032.2749632634</v>
      </c>
      <c r="AU6" s="36">
        <f>'Consolidated (OLD)'!AP11</f>
        <v>2045154.6695392686</v>
      </c>
      <c r="AV6" s="38">
        <f>SUM(AR6:AU6)</f>
        <v>7919268.0242470372</v>
      </c>
      <c r="AW6" s="36">
        <f>'Consolidated (OLD)'!AR11</f>
        <v>1915375.8662373039</v>
      </c>
      <c r="AX6" s="36">
        <f>'Consolidated (OLD)'!AS11</f>
        <v>2017625.6710912399</v>
      </c>
      <c r="AY6" s="36">
        <f>'Consolidated (OLD)'!AT11</f>
        <v>2145300.0897491239</v>
      </c>
      <c r="AZ6" s="36">
        <f>'Consolidated (OLD)'!AU11</f>
        <v>2116454.2220916264</v>
      </c>
      <c r="BA6" s="38">
        <f>SUM(AW6:AZ6)</f>
        <v>8194755.8491692943</v>
      </c>
      <c r="BB6" s="36">
        <f>'Consolidated (OLD)'!AW11</f>
        <v>1939945.981338369</v>
      </c>
      <c r="BC6" s="36">
        <f>'Consolidated (OLD)'!AX11</f>
        <v>2043117.1344266783</v>
      </c>
      <c r="BD6" s="36">
        <f>'Consolidated (OLD)'!AY11</f>
        <v>2170874.6876767916</v>
      </c>
      <c r="BE6" s="36">
        <f>'Consolidated (OLD)'!AZ11</f>
        <v>2137134.7052036007</v>
      </c>
      <c r="BF6" s="38">
        <f>SUM(BB6:BE6)</f>
        <v>8291072.5086454395</v>
      </c>
      <c r="BG6" s="36">
        <f>'Consolidated (OLD)'!BB11</f>
        <v>1956018.8487989656</v>
      </c>
      <c r="BH6" s="36">
        <f>'Consolidated (OLD)'!BC11</f>
        <v>2060153.7128086155</v>
      </c>
      <c r="BI6" s="36">
        <f>'Consolidated (OLD)'!BD11</f>
        <v>2188835.4645341779</v>
      </c>
      <c r="BJ6" s="36">
        <f>'Consolidated (OLD)'!BE11</f>
        <v>2153419.5289675966</v>
      </c>
      <c r="BK6" s="38">
        <f>SUM(BG6:BJ6)</f>
        <v>8358427.5551093556</v>
      </c>
      <c r="BO6" s="38">
        <f>INDEX($N6:$BK6, MATCH(BO$2, $N$2:$BK$2, 0))</f>
        <v>6221534</v>
      </c>
      <c r="BP6" s="38">
        <f t="shared" ref="BP6:BX8" si="0">INDEX($N6:$BK6, MATCH(BP$2, $N$2:$BK$2, 0))</f>
        <v>6570439</v>
      </c>
      <c r="BQ6" s="38">
        <f t="shared" si="0"/>
        <v>6780288.0410173098</v>
      </c>
      <c r="BR6" s="38">
        <f t="shared" si="0"/>
        <v>7080815.2239574064</v>
      </c>
      <c r="BS6" s="38">
        <f t="shared" si="0"/>
        <v>7337759.7581164893</v>
      </c>
      <c r="BT6" s="38">
        <f t="shared" si="0"/>
        <v>7631947.8237299807</v>
      </c>
      <c r="BU6" s="38">
        <f t="shared" si="0"/>
        <v>7919268.0242470372</v>
      </c>
      <c r="BV6" s="38">
        <f t="shared" si="0"/>
        <v>8194755.8491692943</v>
      </c>
      <c r="BW6" s="38">
        <f t="shared" si="0"/>
        <v>8291072.5086454395</v>
      </c>
      <c r="BX6" s="38">
        <f t="shared" si="0"/>
        <v>8358427.5551093556</v>
      </c>
    </row>
    <row r="7" spans="1:76">
      <c r="A7" s="5" t="s">
        <v>56</v>
      </c>
      <c r="M7" s="38"/>
      <c r="N7" s="36">
        <f>'Consolidated (OLD)'!I30</f>
        <v>-667163</v>
      </c>
      <c r="O7" s="36">
        <f>'Consolidated (OLD)'!J30</f>
        <v>-681308</v>
      </c>
      <c r="P7" s="36">
        <f>'Consolidated (OLD)'!K30</f>
        <v>-755400</v>
      </c>
      <c r="Q7" s="36">
        <f>'Consolidated (OLD)'!L30</f>
        <v>-852089</v>
      </c>
      <c r="R7" s="36">
        <f>'Consolidated (OLD)'!M30</f>
        <v>-2955960</v>
      </c>
      <c r="S7" s="36">
        <f>'Consolidated (OLD)'!N30</f>
        <v>-688239</v>
      </c>
      <c r="T7" s="36">
        <f>'Consolidated (OLD)'!O30</f>
        <v>-772909</v>
      </c>
      <c r="U7" s="36">
        <f>'Consolidated (OLD)'!P30</f>
        <v>-835502</v>
      </c>
      <c r="V7" s="36">
        <f>'Consolidated (OLD)'!Q30</f>
        <v>-945747</v>
      </c>
      <c r="W7" s="36">
        <f>'Consolidated (OLD)'!R30</f>
        <v>-3242397</v>
      </c>
      <c r="X7" s="36">
        <f>'Consolidated (OLD)'!S30</f>
        <v>-725432</v>
      </c>
      <c r="Y7" s="36">
        <f>'Consolidated (OLD)'!T30</f>
        <v>-769311</v>
      </c>
      <c r="Z7" s="36">
        <f>'Consolidated (OLD)'!U30</f>
        <v>-841977</v>
      </c>
      <c r="AA7" s="36">
        <f>'Consolidated (OLD)'!V30</f>
        <v>-950003.69629264355</v>
      </c>
      <c r="AB7" s="36">
        <f>'Consolidated (OLD)'!W30</f>
        <v>-3286723.6962926434</v>
      </c>
      <c r="AC7" s="36">
        <f>'Consolidated (OLD)'!X30</f>
        <v>-731467.21081328008</v>
      </c>
      <c r="AD7" s="36">
        <f>'Consolidated (OLD)'!Y30</f>
        <v>-781640.94279550342</v>
      </c>
      <c r="AE7" s="36">
        <f>'Consolidated (OLD)'!Z30</f>
        <v>-859403.66797334421</v>
      </c>
      <c r="AF7" s="36">
        <f>'Consolidated (OLD)'!AA30</f>
        <v>-956821.61214518733</v>
      </c>
      <c r="AG7" s="36">
        <f>'Consolidated (OLD)'!AB30</f>
        <v>-3329333.4337273147</v>
      </c>
      <c r="AH7" s="36">
        <f>'Consolidated (OLD)'!AC30</f>
        <v>-746186.80340614228</v>
      </c>
      <c r="AI7" s="36">
        <f>'Consolidated (OLD)'!AD30</f>
        <v>-798758.96866146056</v>
      </c>
      <c r="AJ7" s="36">
        <f>'Consolidated (OLD)'!AE30</f>
        <v>-878523.74688460445</v>
      </c>
      <c r="AK7" s="36">
        <f>'Consolidated (OLD)'!AF30</f>
        <v>-978918.1892333118</v>
      </c>
      <c r="AL7" s="36">
        <f>'Consolidated (OLD)'!AG30</f>
        <v>-3402387.7081855196</v>
      </c>
      <c r="AM7" s="36">
        <f>'Consolidated (OLD)'!AH30</f>
        <v>-767508.27103904798</v>
      </c>
      <c r="AN7" s="36">
        <f>'Consolidated (OLD)'!AI30</f>
        <v>-820372.52804037696</v>
      </c>
      <c r="AO7" s="36">
        <f>'Consolidated (OLD)'!AJ30</f>
        <v>-903994.08241856634</v>
      </c>
      <c r="AP7" s="36">
        <f>'Consolidated (OLD)'!AK30</f>
        <v>-1005840.534503862</v>
      </c>
      <c r="AQ7" s="36">
        <f>'Consolidated (OLD)'!AL30</f>
        <v>-3497715.4160018526</v>
      </c>
      <c r="AR7" s="36">
        <f>'Consolidated (OLD)'!AM30</f>
        <v>-790747.72762537445</v>
      </c>
      <c r="AS7" s="36">
        <f>'Consolidated (OLD)'!AN30</f>
        <v>-845707.39474065718</v>
      </c>
      <c r="AT7" s="36">
        <f>'Consolidated (OLD)'!AO30</f>
        <v>-931463.12853145064</v>
      </c>
      <c r="AU7" s="36">
        <f>'Consolidated (OLD)'!AP30</f>
        <v>-1037179.1875727766</v>
      </c>
      <c r="AV7" s="36">
        <f>'Consolidated (OLD)'!AQ30</f>
        <v>-3605097.4384702574</v>
      </c>
      <c r="AW7" s="36">
        <f>'Consolidated (OLD)'!AR30</f>
        <v>-814925.6038560234</v>
      </c>
      <c r="AX7" s="36">
        <f>'Consolidated (OLD)'!AS30</f>
        <v>-871589.31213054364</v>
      </c>
      <c r="AY7" s="36">
        <f>'Consolidated (OLD)'!AT30</f>
        <v>-960469.29792859661</v>
      </c>
      <c r="AZ7" s="36">
        <f>'Consolidated (OLD)'!AU30</f>
        <v>-1070082.6592469122</v>
      </c>
      <c r="BA7" s="36">
        <f>'Consolidated (OLD)'!AV30</f>
        <v>-3717066.8731620768</v>
      </c>
      <c r="BB7" s="36">
        <f>'Consolidated (OLD)'!AW30</f>
        <v>-821625.55730910553</v>
      </c>
      <c r="BC7" s="36">
        <f>'Consolidated (OLD)'!AX30</f>
        <v>-878684.12449933821</v>
      </c>
      <c r="BD7" s="36">
        <f>'Consolidated (OLD)'!AY30</f>
        <v>-968454.46870381408</v>
      </c>
      <c r="BE7" s="36">
        <f>'Consolidated (OLD)'!AZ30</f>
        <v>-1077405.4505996418</v>
      </c>
      <c r="BF7" s="36">
        <f>'Consolidated (OLD)'!BA30</f>
        <v>-3746169.6011118991</v>
      </c>
      <c r="BG7" s="36">
        <f>'Consolidated (OLD)'!BB30</f>
        <v>-827783.85239612241</v>
      </c>
      <c r="BH7" s="36">
        <f>'Consolidated (OLD)'!BC30</f>
        <v>-885210.08011819096</v>
      </c>
      <c r="BI7" s="36">
        <f>'Consolidated (OLD)'!BD30</f>
        <v>-975743.69077609526</v>
      </c>
      <c r="BJ7" s="36">
        <f>'Consolidated (OLD)'!BE30</f>
        <v>-1084311.8483643949</v>
      </c>
      <c r="BK7" s="36">
        <f>'Consolidated (OLD)'!BF30</f>
        <v>-3773049.4716548035</v>
      </c>
      <c r="BO7" s="38">
        <f>INDEX($N7:$BK7, MATCH(BO$2, $N$2:$BK$2, 0))</f>
        <v>-2955960</v>
      </c>
      <c r="BP7" s="38">
        <f t="shared" si="0"/>
        <v>-3242397</v>
      </c>
      <c r="BQ7" s="38">
        <f t="shared" si="0"/>
        <v>-3286723.6962926434</v>
      </c>
      <c r="BR7" s="38">
        <f t="shared" si="0"/>
        <v>-3329333.4337273147</v>
      </c>
      <c r="BS7" s="38">
        <f t="shared" si="0"/>
        <v>-3402387.7081855196</v>
      </c>
      <c r="BT7" s="38">
        <f t="shared" si="0"/>
        <v>-3497715.4160018526</v>
      </c>
      <c r="BU7" s="38">
        <f t="shared" si="0"/>
        <v>-3605097.4384702574</v>
      </c>
      <c r="BV7" s="38">
        <f t="shared" si="0"/>
        <v>-3717066.8731620768</v>
      </c>
      <c r="BW7" s="38">
        <f t="shared" si="0"/>
        <v>-3746169.6011118991</v>
      </c>
      <c r="BX7" s="38">
        <f t="shared" si="0"/>
        <v>-3773049.4716548035</v>
      </c>
    </row>
    <row r="8" spans="1:76">
      <c r="A8" s="9" t="s">
        <v>57</v>
      </c>
      <c r="B8" s="9"/>
      <c r="C8" s="9"/>
      <c r="D8" s="9"/>
      <c r="E8" s="9"/>
      <c r="F8" s="9"/>
      <c r="G8" s="9"/>
      <c r="H8" s="9"/>
      <c r="I8" s="9"/>
      <c r="J8" s="9"/>
      <c r="K8" s="9"/>
      <c r="L8" s="9"/>
      <c r="M8" s="39"/>
      <c r="N8" s="39">
        <f t="shared" ref="N8:AS8" si="1">SUM(N6:N7)</f>
        <v>811971</v>
      </c>
      <c r="O8" s="39">
        <f t="shared" si="1"/>
        <v>823062</v>
      </c>
      <c r="P8" s="39">
        <f t="shared" si="1"/>
        <v>841936</v>
      </c>
      <c r="Q8" s="39">
        <f t="shared" si="1"/>
        <v>788605</v>
      </c>
      <c r="R8" s="39">
        <f t="shared" si="1"/>
        <v>3265574</v>
      </c>
      <c r="S8" s="39">
        <f t="shared" si="1"/>
        <v>883791</v>
      </c>
      <c r="T8" s="39">
        <f t="shared" si="1"/>
        <v>837538</v>
      </c>
      <c r="U8" s="39">
        <f t="shared" si="1"/>
        <v>857794</v>
      </c>
      <c r="V8" s="39">
        <f t="shared" si="1"/>
        <v>748919</v>
      </c>
      <c r="W8" s="39">
        <f t="shared" si="1"/>
        <v>3328042</v>
      </c>
      <c r="X8" s="39">
        <f t="shared" si="1"/>
        <v>832075</v>
      </c>
      <c r="Y8" s="39">
        <f t="shared" si="1"/>
        <v>900242</v>
      </c>
      <c r="Z8" s="39">
        <f t="shared" si="1"/>
        <v>932864</v>
      </c>
      <c r="AA8" s="39">
        <f t="shared" si="1"/>
        <v>828383.34472466644</v>
      </c>
      <c r="AB8" s="39">
        <f t="shared" si="1"/>
        <v>3493564.3447246663</v>
      </c>
      <c r="AC8" s="39">
        <f t="shared" si="1"/>
        <v>924180.06165285979</v>
      </c>
      <c r="AD8" s="39">
        <f t="shared" si="1"/>
        <v>954612.95764410775</v>
      </c>
      <c r="AE8" s="39">
        <f t="shared" si="1"/>
        <v>992217.85081828758</v>
      </c>
      <c r="AF8" s="39">
        <f t="shared" si="1"/>
        <v>880470.92011483596</v>
      </c>
      <c r="AG8" s="39">
        <f t="shared" si="1"/>
        <v>3751481.7902300917</v>
      </c>
      <c r="AH8" s="39">
        <f t="shared" si="1"/>
        <v>959982.38070138742</v>
      </c>
      <c r="AI8" s="39">
        <f t="shared" si="1"/>
        <v>1002611.8667590218</v>
      </c>
      <c r="AJ8" s="39">
        <f t="shared" si="1"/>
        <v>1045908.0421607692</v>
      </c>
      <c r="AK8" s="39">
        <f t="shared" si="1"/>
        <v>926869.76030979177</v>
      </c>
      <c r="AL8" s="39">
        <f t="shared" si="1"/>
        <v>3935372.0499309697</v>
      </c>
      <c r="AM8" s="39">
        <f t="shared" si="1"/>
        <v>1013353.0249217879</v>
      </c>
      <c r="AN8" s="39">
        <f t="shared" si="1"/>
        <v>1054648.8990986692</v>
      </c>
      <c r="AO8" s="39">
        <f t="shared" si="1"/>
        <v>1096214.6259590031</v>
      </c>
      <c r="AP8" s="39">
        <f t="shared" si="1"/>
        <v>970015.85774866701</v>
      </c>
      <c r="AQ8" s="39">
        <f t="shared" si="1"/>
        <v>4134232.4077281281</v>
      </c>
      <c r="AR8" s="39">
        <f t="shared" si="1"/>
        <v>1060720.2142969968</v>
      </c>
      <c r="AS8" s="39">
        <f t="shared" si="1"/>
        <v>1103905.7430814763</v>
      </c>
      <c r="AT8" s="39">
        <f t="shared" ref="AT8:BK8" si="2">SUM(AT6:AT7)</f>
        <v>1141569.1464318128</v>
      </c>
      <c r="AU8" s="39">
        <f t="shared" si="2"/>
        <v>1007975.481966492</v>
      </c>
      <c r="AV8" s="39">
        <f t="shared" si="2"/>
        <v>4314170.5857767798</v>
      </c>
      <c r="AW8" s="39">
        <f t="shared" si="2"/>
        <v>1100450.2623812805</v>
      </c>
      <c r="AX8" s="39">
        <f t="shared" si="2"/>
        <v>1146036.3589606963</v>
      </c>
      <c r="AY8" s="39">
        <f t="shared" si="2"/>
        <v>1184830.7918205273</v>
      </c>
      <c r="AZ8" s="39">
        <f t="shared" si="2"/>
        <v>1046371.5628447141</v>
      </c>
      <c r="BA8" s="39">
        <f t="shared" si="2"/>
        <v>4477688.9760072175</v>
      </c>
      <c r="BB8" s="39">
        <f t="shared" si="2"/>
        <v>1118320.4240292634</v>
      </c>
      <c r="BC8" s="39">
        <f t="shared" si="2"/>
        <v>1164433.0099273401</v>
      </c>
      <c r="BD8" s="39">
        <f t="shared" si="2"/>
        <v>1202420.2189729775</v>
      </c>
      <c r="BE8" s="39">
        <f t="shared" si="2"/>
        <v>1059729.2546039589</v>
      </c>
      <c r="BF8" s="39">
        <f t="shared" si="2"/>
        <v>4544902.9075335404</v>
      </c>
      <c r="BG8" s="39">
        <f t="shared" si="2"/>
        <v>1128234.9964028432</v>
      </c>
      <c r="BH8" s="39">
        <f t="shared" si="2"/>
        <v>1174943.6326904246</v>
      </c>
      <c r="BI8" s="39">
        <f t="shared" si="2"/>
        <v>1213091.7737580827</v>
      </c>
      <c r="BJ8" s="39">
        <f t="shared" si="2"/>
        <v>1069107.6806032017</v>
      </c>
      <c r="BK8" s="39">
        <f t="shared" si="2"/>
        <v>4585378.0834545521</v>
      </c>
      <c r="BO8" s="48">
        <f>INDEX($N8:$BK8, MATCH(BO$2, $N$2:$BK$2, 0))</f>
        <v>3265574</v>
      </c>
      <c r="BP8" s="48">
        <f t="shared" si="0"/>
        <v>3328042</v>
      </c>
      <c r="BQ8" s="48">
        <f t="shared" si="0"/>
        <v>3493564.3447246663</v>
      </c>
      <c r="BR8" s="48">
        <f t="shared" si="0"/>
        <v>3751481.7902300917</v>
      </c>
      <c r="BS8" s="48">
        <f t="shared" si="0"/>
        <v>3935372.0499309697</v>
      </c>
      <c r="BT8" s="48">
        <f t="shared" si="0"/>
        <v>4134232.4077281281</v>
      </c>
      <c r="BU8" s="48">
        <f t="shared" si="0"/>
        <v>4314170.5857767798</v>
      </c>
      <c r="BV8" s="48">
        <f t="shared" si="0"/>
        <v>4477688.9760072175</v>
      </c>
      <c r="BW8" s="48">
        <f t="shared" si="0"/>
        <v>4544902.9075335404</v>
      </c>
      <c r="BX8" s="48">
        <f t="shared" si="0"/>
        <v>4585378.0834545521</v>
      </c>
    </row>
    <row r="9" spans="1:76">
      <c r="A9" s="1" t="s">
        <v>709</v>
      </c>
      <c r="M9" s="16"/>
      <c r="N9" s="16">
        <f t="shared" ref="N9:AS9" si="3">N8/N6</f>
        <v>0.54895026414104464</v>
      </c>
      <c r="O9" s="16">
        <f t="shared" si="3"/>
        <v>0.54711407433011827</v>
      </c>
      <c r="P9" s="16">
        <f t="shared" si="3"/>
        <v>0.52708760085542428</v>
      </c>
      <c r="Q9" s="16">
        <f t="shared" si="3"/>
        <v>0.48065330890464647</v>
      </c>
      <c r="R9" s="16">
        <f t="shared" si="3"/>
        <v>0.5248824486051189</v>
      </c>
      <c r="S9" s="16">
        <f t="shared" si="3"/>
        <v>0.56219728631132992</v>
      </c>
      <c r="T9" s="16">
        <f t="shared" si="3"/>
        <v>0.52006554701893326</v>
      </c>
      <c r="U9" s="16">
        <f t="shared" si="3"/>
        <v>0.50658242858897673</v>
      </c>
      <c r="V9" s="16">
        <f t="shared" si="3"/>
        <v>0.44192719981400463</v>
      </c>
      <c r="W9" s="16">
        <f t="shared" si="3"/>
        <v>0.50651744883408856</v>
      </c>
      <c r="X9" s="16">
        <f t="shared" si="3"/>
        <v>0.53423515913572139</v>
      </c>
      <c r="Y9" s="16">
        <f t="shared" si="3"/>
        <v>0.53921139370837579</v>
      </c>
      <c r="Z9" s="16">
        <f t="shared" si="3"/>
        <v>0.52560426539616789</v>
      </c>
      <c r="AA9" s="16">
        <f t="shared" si="3"/>
        <v>0.46580599476860635</v>
      </c>
      <c r="AB9" s="16">
        <f t="shared" si="3"/>
        <v>0.51525308712408247</v>
      </c>
      <c r="AC9" s="16">
        <f t="shared" si="3"/>
        <v>0.55819864352886217</v>
      </c>
      <c r="AD9" s="16">
        <f t="shared" si="3"/>
        <v>0.54981184341898637</v>
      </c>
      <c r="AE9" s="16">
        <f t="shared" si="3"/>
        <v>0.53586429016325587</v>
      </c>
      <c r="AF9" s="16">
        <f t="shared" si="3"/>
        <v>0.47922195548891888</v>
      </c>
      <c r="AG9" s="16">
        <f t="shared" si="3"/>
        <v>0.52980930465989773</v>
      </c>
      <c r="AH9" s="16">
        <f t="shared" si="3"/>
        <v>0.56265368618970757</v>
      </c>
      <c r="AI9" s="16">
        <f t="shared" si="3"/>
        <v>0.55658271303420348</v>
      </c>
      <c r="AJ9" s="16">
        <f t="shared" si="3"/>
        <v>0.54348927725809315</v>
      </c>
      <c r="AK9" s="16">
        <f t="shared" si="3"/>
        <v>0.48634464318656273</v>
      </c>
      <c r="AL9" s="16">
        <f t="shared" si="3"/>
        <v>0.53631791986347754</v>
      </c>
      <c r="AM9" s="16">
        <f t="shared" si="3"/>
        <v>0.56902411615108361</v>
      </c>
      <c r="AN9" s="16">
        <f t="shared" si="3"/>
        <v>0.56247298501963172</v>
      </c>
      <c r="AO9" s="16">
        <f t="shared" si="3"/>
        <v>0.54805012165364297</v>
      </c>
      <c r="AP9" s="16">
        <f t="shared" si="3"/>
        <v>0.4909343925763871</v>
      </c>
      <c r="AQ9" s="16">
        <f t="shared" si="3"/>
        <v>0.54170082175792367</v>
      </c>
      <c r="AR9" s="16">
        <f t="shared" si="3"/>
        <v>0.57290768599301567</v>
      </c>
      <c r="AS9" s="16">
        <f t="shared" si="3"/>
        <v>0.56621784171736922</v>
      </c>
      <c r="AT9" s="16">
        <f t="shared" ref="AT9:BK9" si="4">AT8/AT6</f>
        <v>0.55067601224493368</v>
      </c>
      <c r="AU9" s="16">
        <f t="shared" si="4"/>
        <v>0.49286026968002777</v>
      </c>
      <c r="AV9" s="16">
        <f t="shared" si="4"/>
        <v>0.5447688564861991</v>
      </c>
      <c r="AW9" s="16">
        <f t="shared" si="4"/>
        <v>0.57453488987677426</v>
      </c>
      <c r="AX9" s="16">
        <f t="shared" si="4"/>
        <v>0.56801237978938801</v>
      </c>
      <c r="AY9" s="16">
        <f t="shared" si="4"/>
        <v>0.55229140085435968</v>
      </c>
      <c r="AZ9" s="16">
        <f t="shared" si="4"/>
        <v>0.49439839138623914</v>
      </c>
      <c r="BA9" s="16">
        <f t="shared" si="4"/>
        <v>0.54640907653900672</v>
      </c>
      <c r="BB9" s="16">
        <f t="shared" si="4"/>
        <v>0.57646987843328201</v>
      </c>
      <c r="BC9" s="16">
        <f t="shared" si="4"/>
        <v>0.56992963854423995</v>
      </c>
      <c r="BD9" s="16">
        <f t="shared" si="4"/>
        <v>0.55388743799844731</v>
      </c>
      <c r="BE9" s="16">
        <f t="shared" si="4"/>
        <v>0.49586451056345582</v>
      </c>
      <c r="BF9" s="16">
        <f t="shared" si="4"/>
        <v>0.54816827410378877</v>
      </c>
      <c r="BG9" s="16">
        <f t="shared" si="4"/>
        <v>0.57680169958259953</v>
      </c>
      <c r="BH9" s="16">
        <f t="shared" si="4"/>
        <v>0.57031843079738909</v>
      </c>
      <c r="BI9" s="16">
        <f t="shared" si="4"/>
        <v>0.55421789047823633</v>
      </c>
      <c r="BJ9" s="16">
        <f t="shared" si="4"/>
        <v>0.49646976180055302</v>
      </c>
      <c r="BK9" s="16">
        <f t="shared" si="4"/>
        <v>0.54859338711999639</v>
      </c>
    </row>
    <row r="10" spans="1:76">
      <c r="A10" s="1" t="s">
        <v>28</v>
      </c>
      <c r="R10" s="16"/>
      <c r="S10" s="16">
        <f t="shared" ref="S10:BK10" si="5">S8/N8-1</f>
        <v>8.845143484188478E-2</v>
      </c>
      <c r="T10" s="16">
        <f t="shared" si="5"/>
        <v>1.7587982436316985E-2</v>
      </c>
      <c r="U10" s="16">
        <f t="shared" si="5"/>
        <v>1.8835160867334277E-2</v>
      </c>
      <c r="V10" s="16">
        <f t="shared" si="5"/>
        <v>-5.0324306845632494E-2</v>
      </c>
      <c r="W10" s="16">
        <f t="shared" si="5"/>
        <v>1.9129255683686841E-2</v>
      </c>
      <c r="X10" s="16">
        <f t="shared" si="5"/>
        <v>-5.8516097131561695E-2</v>
      </c>
      <c r="Y10" s="16">
        <f t="shared" si="5"/>
        <v>7.4867050808441027E-2</v>
      </c>
      <c r="Z10" s="16">
        <f t="shared" si="5"/>
        <v>8.7515184298327942E-2</v>
      </c>
      <c r="AA10" s="16">
        <f t="shared" si="5"/>
        <v>0.10610539287248222</v>
      </c>
      <c r="AB10" s="16">
        <f t="shared" si="5"/>
        <v>4.9735653794232837E-2</v>
      </c>
      <c r="AC10" s="16">
        <f t="shared" si="5"/>
        <v>0.11069322074675925</v>
      </c>
      <c r="AD10" s="16">
        <f t="shared" si="5"/>
        <v>6.039593536416632E-2</v>
      </c>
      <c r="AE10" s="16">
        <f t="shared" si="5"/>
        <v>6.3625406080937363E-2</v>
      </c>
      <c r="AF10" s="16">
        <f t="shared" si="5"/>
        <v>6.2878588423916248E-2</v>
      </c>
      <c r="AG10" s="16">
        <f t="shared" si="5"/>
        <v>7.3826447735214851E-2</v>
      </c>
      <c r="AH10" s="16">
        <f t="shared" si="5"/>
        <v>3.8739549287069242E-2</v>
      </c>
      <c r="AI10" s="16">
        <f t="shared" si="5"/>
        <v>5.0281015704386256E-2</v>
      </c>
      <c r="AJ10" s="16">
        <f t="shared" si="5"/>
        <v>5.4111293500921143E-2</v>
      </c>
      <c r="AK10" s="16">
        <f t="shared" si="5"/>
        <v>5.2697754275523589E-2</v>
      </c>
      <c r="AL10" s="16">
        <f t="shared" si="5"/>
        <v>4.9018033402102645E-2</v>
      </c>
      <c r="AM10" s="16">
        <f t="shared" si="5"/>
        <v>5.5595441430296377E-2</v>
      </c>
      <c r="AN10" s="16">
        <f t="shared" si="5"/>
        <v>5.1901472608596677E-2</v>
      </c>
      <c r="AO10" s="16">
        <f t="shared" si="5"/>
        <v>4.8098476893154274E-2</v>
      </c>
      <c r="AP10" s="16">
        <f t="shared" si="5"/>
        <v>4.6550334563136841E-2</v>
      </c>
      <c r="AQ10" s="16">
        <f t="shared" si="5"/>
        <v>5.0531526695334117E-2</v>
      </c>
      <c r="AR10" s="16">
        <f t="shared" si="5"/>
        <v>4.6743028550060073E-2</v>
      </c>
      <c r="AS10" s="16">
        <f t="shared" si="5"/>
        <v>4.6704494761150572E-2</v>
      </c>
      <c r="AT10" s="16">
        <f t="shared" si="5"/>
        <v>4.1373759662376441E-2</v>
      </c>
      <c r="AU10" s="16">
        <f t="shared" si="5"/>
        <v>3.9132993460464061E-2</v>
      </c>
      <c r="AV10" s="16">
        <f t="shared" si="5"/>
        <v>4.3523962927747517E-2</v>
      </c>
      <c r="AW10" s="16">
        <f t="shared" si="5"/>
        <v>3.7455728238963815E-2</v>
      </c>
      <c r="AX10" s="16">
        <f t="shared" si="5"/>
        <v>3.8165048187551953E-2</v>
      </c>
      <c r="AY10" s="16">
        <f t="shared" si="5"/>
        <v>3.7896649120149117E-2</v>
      </c>
      <c r="AZ10" s="16">
        <f t="shared" si="5"/>
        <v>3.8092276613032272E-2</v>
      </c>
      <c r="BA10" s="16">
        <f t="shared" si="5"/>
        <v>3.7902625076888574E-2</v>
      </c>
      <c r="BB10" s="16">
        <f t="shared" si="5"/>
        <v>1.6238954416089024E-2</v>
      </c>
      <c r="BC10" s="16">
        <f t="shared" si="5"/>
        <v>1.6052414762239398E-2</v>
      </c>
      <c r="BD10" s="16">
        <f t="shared" si="5"/>
        <v>1.4845518257863288E-2</v>
      </c>
      <c r="BE10" s="16">
        <f t="shared" si="5"/>
        <v>1.2765725133937922E-2</v>
      </c>
      <c r="BF10" s="16">
        <f t="shared" si="5"/>
        <v>1.5010853117863876E-2</v>
      </c>
      <c r="BG10" s="16">
        <f t="shared" si="5"/>
        <v>8.8655917933233575E-3</v>
      </c>
      <c r="BH10" s="16">
        <f t="shared" si="5"/>
        <v>9.0263868109856649E-3</v>
      </c>
      <c r="BI10" s="16">
        <f t="shared" si="5"/>
        <v>8.8750626583942172E-3</v>
      </c>
      <c r="BJ10" s="16">
        <f t="shared" si="5"/>
        <v>8.8498321231564869E-3</v>
      </c>
      <c r="BK10" s="16">
        <f t="shared" si="5"/>
        <v>8.9056194916552478E-3</v>
      </c>
    </row>
    <row r="12" spans="1:76">
      <c r="A12" s="1" t="s">
        <v>58</v>
      </c>
      <c r="AA12" s="90" t="s">
        <v>1996</v>
      </c>
    </row>
    <row r="13" spans="1:76" s="26" customFormat="1">
      <c r="A13" s="29" t="s">
        <v>2007</v>
      </c>
      <c r="N13" s="61">
        <f>'Investment Business Of HoldCo'!AC18</f>
        <v>741381</v>
      </c>
      <c r="O13" s="61">
        <f>'Investment Business Of HoldCo'!AD18</f>
        <v>-461692</v>
      </c>
      <c r="P13" s="61">
        <f>'Investment Business Of HoldCo'!AE18</f>
        <v>-263841</v>
      </c>
      <c r="Q13" s="61">
        <f>'Investment Business Of HoldCo'!AF18</f>
        <v>88287</v>
      </c>
      <c r="R13" s="61">
        <f>'Investment Business Of HoldCo'!AG18</f>
        <v>104135</v>
      </c>
      <c r="S13" s="61">
        <f>'Investment Business Of HoldCo'!AH18</f>
        <v>111233</v>
      </c>
      <c r="T13" s="61">
        <f>'Investment Business Of HoldCo'!AI18</f>
        <v>3413475</v>
      </c>
      <c r="U13" s="61">
        <f>'Investment Business Of HoldCo'!AJ18</f>
        <v>175008</v>
      </c>
      <c r="V13" s="61">
        <f>'Investment Business Of HoldCo'!AK18</f>
        <v>860852</v>
      </c>
      <c r="W13" s="61">
        <f>'Investment Business Of HoldCo'!AL18</f>
        <v>4560568</v>
      </c>
      <c r="X13" s="61">
        <f>'Investment Business Of HoldCo'!AM18</f>
        <v>-689697</v>
      </c>
      <c r="Y13" s="61">
        <f>'Investment Business Of HoldCo'!AN18</f>
        <v>276167</v>
      </c>
      <c r="Z13" s="61">
        <f>'Investment Business Of HoldCo'!AO18</f>
        <v>-169898</v>
      </c>
      <c r="AA13" s="61">
        <f>'Investment Business Of HoldCo'!AP18</f>
        <v>124383</v>
      </c>
      <c r="AB13" s="61">
        <f>'Investment Business Of HoldCo'!AQ18</f>
        <v>-459045</v>
      </c>
      <c r="AC13" s="61">
        <f>'Investment Business Of HoldCo'!AR18</f>
        <v>567933</v>
      </c>
      <c r="AD13" s="61">
        <f>'Investment Business Of HoldCo'!AS18</f>
        <v>1548826</v>
      </c>
      <c r="AE13" s="61">
        <f>'Investment Business Of HoldCo'!AT18</f>
        <v>-108309</v>
      </c>
      <c r="AF13" s="61">
        <f>'Investment Business Of HoldCo'!AU18</f>
        <v>1405371</v>
      </c>
      <c r="AG13" s="61">
        <f>'Investment Business Of HoldCo'!AV18</f>
        <v>3413821</v>
      </c>
      <c r="AH13" s="61">
        <f>'Investment Business Of HoldCo'!AW18</f>
        <v>-256548</v>
      </c>
      <c r="AI13" s="61">
        <f>'Investment Business Of HoldCo'!AX18</f>
        <v>620546</v>
      </c>
      <c r="AJ13" s="61">
        <f>'Investment Business Of HoldCo'!AY18</f>
        <v>-200620</v>
      </c>
      <c r="AK13" s="61">
        <f>'Investment Business Of HoldCo'!AZ18</f>
        <v>0</v>
      </c>
      <c r="AL13" s="61">
        <f>'Investment Business Of HoldCo'!BA18</f>
        <v>-1505592</v>
      </c>
      <c r="AM13" s="61">
        <f>'Investment Business Of HoldCo'!BB18</f>
        <v>0</v>
      </c>
      <c r="AN13" s="61">
        <f>'Investment Business Of HoldCo'!BC18</f>
        <v>0</v>
      </c>
      <c r="AO13" s="61">
        <f>'Investment Business Of HoldCo'!BD18</f>
        <v>0</v>
      </c>
      <c r="AP13" s="61">
        <f>'Investment Business Of HoldCo'!BE18</f>
        <v>0</v>
      </c>
      <c r="AQ13" s="61">
        <f>'Investment Business Of HoldCo'!BF18</f>
        <v>0</v>
      </c>
      <c r="AR13" s="61">
        <f>'Investment Business Of HoldCo'!BG18</f>
        <v>0</v>
      </c>
      <c r="AS13" s="61">
        <f>'Investment Business Of HoldCo'!BH18</f>
        <v>0</v>
      </c>
      <c r="AT13" s="61">
        <f>'Investment Business Of HoldCo'!BI18</f>
        <v>0</v>
      </c>
      <c r="AU13" s="61">
        <f>'Investment Business Of HoldCo'!BJ18</f>
        <v>0</v>
      </c>
      <c r="AV13" s="61">
        <f>'Investment Business Of HoldCo'!BK18</f>
        <v>0</v>
      </c>
      <c r="AW13" s="61">
        <f>'Investment Business Of HoldCo'!BL18</f>
        <v>0</v>
      </c>
      <c r="AX13" s="61">
        <f>'Investment Business Of HoldCo'!BM18</f>
        <v>0</v>
      </c>
      <c r="AY13" s="61">
        <f>'Investment Business Of HoldCo'!BN18</f>
        <v>0</v>
      </c>
      <c r="AZ13" s="61">
        <f>'Investment Business Of HoldCo'!BO18</f>
        <v>0</v>
      </c>
      <c r="BA13" s="61">
        <f>'Investment Business Of HoldCo'!BP18</f>
        <v>0</v>
      </c>
      <c r="BB13" s="61">
        <f>'Investment Business Of HoldCo'!BQ18</f>
        <v>0</v>
      </c>
      <c r="BC13" s="61">
        <f>'Investment Business Of HoldCo'!BR18</f>
        <v>0</v>
      </c>
      <c r="BD13" s="61">
        <f>'Investment Business Of HoldCo'!BS18</f>
        <v>0</v>
      </c>
      <c r="BE13" s="61">
        <f>'Investment Business Of HoldCo'!BT18</f>
        <v>0</v>
      </c>
      <c r="BF13" s="61">
        <f>'Investment Business Of HoldCo'!BU18</f>
        <v>0</v>
      </c>
      <c r="BG13" s="61">
        <f>'Investment Business Of HoldCo'!BV18</f>
        <v>0</v>
      </c>
      <c r="BH13" s="61">
        <f>'Investment Business Of HoldCo'!BW18</f>
        <v>0</v>
      </c>
      <c r="BI13" s="61">
        <f>'Investment Business Of HoldCo'!BX18</f>
        <v>0</v>
      </c>
      <c r="BJ13" s="61">
        <f>'Investment Business Of HoldCo'!BY18</f>
        <v>0</v>
      </c>
      <c r="BK13" s="61">
        <f>'Investment Business Of HoldCo'!BZ18</f>
        <v>0</v>
      </c>
      <c r="BM13" s="328"/>
    </row>
    <row r="14" spans="1:76">
      <c r="A14" s="5" t="s">
        <v>60</v>
      </c>
      <c r="N14" s="36">
        <f>'SVF Segment'!AC77</f>
        <v>287881</v>
      </c>
      <c r="O14" s="36">
        <f>'SVF Segment'!AD77</f>
        <v>-1167067</v>
      </c>
      <c r="P14" s="36">
        <f>'SVF Segment'!AE77</f>
        <v>111450</v>
      </c>
      <c r="Q14" s="36">
        <f>'SVF Segment'!AF77</f>
        <v>-2971089</v>
      </c>
      <c r="R14" s="36">
        <f>'SVF Segment'!AG77</f>
        <v>-3738825</v>
      </c>
      <c r="S14" s="36">
        <f>'SVF Segment'!AH77</f>
        <v>-2919130</v>
      </c>
      <c r="T14" s="36">
        <f>'SVF Segment'!AI77</f>
        <v>-1434412</v>
      </c>
      <c r="U14" s="36">
        <f>'SVF Segment'!AJ77</f>
        <v>-653213</v>
      </c>
      <c r="V14" s="36">
        <f>'SVF Segment'!AK77</f>
        <v>-315510</v>
      </c>
      <c r="W14" s="36">
        <f>'SVF Segment'!AL77</f>
        <v>-5322265</v>
      </c>
      <c r="X14" s="36">
        <f>'SVF Segment'!AM77</f>
        <v>-13043</v>
      </c>
      <c r="Y14" s="36">
        <f>'SVF Segment'!AN77</f>
        <v>-570239</v>
      </c>
      <c r="Z14" s="36">
        <f>'SVF Segment'!AO77</f>
        <v>531288</v>
      </c>
      <c r="AA14" s="36">
        <f>'SVF Segment'!AP77</f>
        <v>-115296</v>
      </c>
      <c r="AB14" s="36">
        <f>'SVF Segment'!AQ77</f>
        <v>-167290</v>
      </c>
      <c r="AC14" s="36">
        <f>'SVF Segment'!AR77</f>
        <v>32386</v>
      </c>
      <c r="AD14" s="36">
        <f>'SVF Segment'!AS77</f>
        <v>567392</v>
      </c>
      <c r="AE14" s="36">
        <f>'SVF Segment'!AT77</f>
        <v>-339024</v>
      </c>
      <c r="AF14" s="36">
        <f>'SVF Segment'!AU77</f>
        <v>126830</v>
      </c>
      <c r="AG14" s="36">
        <f>'SVF Segment'!AV77</f>
        <v>387584</v>
      </c>
      <c r="AH14" s="36">
        <f>'SVF Segment'!AW77</f>
        <v>660175</v>
      </c>
      <c r="AI14" s="36">
        <f>'SVF Segment'!AX77</f>
        <v>2755307</v>
      </c>
      <c r="AJ14" s="36">
        <f>'SVF Segment'!AY77</f>
        <v>179737</v>
      </c>
      <c r="AK14" s="36">
        <f>'SVF Segment'!AZ77</f>
        <v>-384648</v>
      </c>
      <c r="AL14" s="36">
        <f>'SVF Segment'!BA77</f>
        <v>3210571</v>
      </c>
      <c r="AM14" s="36">
        <f>'SVF Segment'!BB77</f>
        <v>4875370.5000000009</v>
      </c>
      <c r="AN14" s="36">
        <f>'SVF Segment'!BC77</f>
        <v>1904062.0000000002</v>
      </c>
      <c r="AO14" s="36">
        <f>'SVF Segment'!BD77</f>
        <v>1896817.5</v>
      </c>
      <c r="AP14" s="36">
        <f>'SVF Segment'!BE77</f>
        <v>47585</v>
      </c>
      <c r="AQ14" s="36">
        <f>'SVF Segment'!BF77</f>
        <v>8723835</v>
      </c>
      <c r="AR14" s="36">
        <f>'SVF Segment'!BG77</f>
        <v>307731</v>
      </c>
      <c r="AS14" s="36">
        <f>'SVF Segment'!BH77</f>
        <v>300819.00000000006</v>
      </c>
      <c r="AT14" s="36">
        <f>'SVF Segment'!BI77</f>
        <v>293939</v>
      </c>
      <c r="AU14" s="36">
        <f>'SVF Segment'!BJ77</f>
        <v>286331.5</v>
      </c>
      <c r="AV14" s="36">
        <f>'SVF Segment'!BK77</f>
        <v>1188820.5</v>
      </c>
      <c r="AW14" s="36">
        <f>'SVF Segment'!BL77</f>
        <v>278002.5</v>
      </c>
      <c r="AX14" s="36">
        <f>'SVF Segment'!BM77</f>
        <v>265936</v>
      </c>
      <c r="AY14" s="36">
        <f>'SVF Segment'!BN77</f>
        <v>253929.50000000006</v>
      </c>
      <c r="AZ14" s="36">
        <f>'SVF Segment'!BO77</f>
        <v>241983.00000000003</v>
      </c>
      <c r="BA14" s="36">
        <f>'SVF Segment'!BP77</f>
        <v>1039851</v>
      </c>
      <c r="BB14" s="36">
        <f>'SVF Segment'!BQ77</f>
        <v>229347</v>
      </c>
      <c r="BC14" s="36">
        <f>'SVF Segment'!BR77</f>
        <v>211542.5</v>
      </c>
      <c r="BD14" s="36">
        <f>'SVF Segment'!BS77</f>
        <v>194575.5</v>
      </c>
      <c r="BE14" s="36">
        <f>'SVF Segment'!BT77</f>
        <v>176209.50000000003</v>
      </c>
      <c r="BF14" s="36">
        <f>'SVF Segment'!BU77</f>
        <v>811674.5</v>
      </c>
      <c r="BG14" s="36">
        <f>'SVF Segment'!BV77</f>
        <v>162388.5</v>
      </c>
      <c r="BH14" s="36">
        <f>'SVF Segment'!BW77</f>
        <v>148639.5</v>
      </c>
      <c r="BI14" s="36">
        <f>'SVF Segment'!BX77</f>
        <v>133487.5</v>
      </c>
      <c r="BJ14" s="36">
        <f>'SVF Segment'!BY77</f>
        <v>118415.5</v>
      </c>
      <c r="BK14" s="36">
        <f>'SVF Segment'!BZ77</f>
        <v>562931</v>
      </c>
    </row>
    <row r="15" spans="1:76" s="26" customFormat="1">
      <c r="A15" s="29" t="s">
        <v>2011</v>
      </c>
      <c r="N15" s="446">
        <v>219368</v>
      </c>
      <c r="O15" s="446">
        <v>-25670</v>
      </c>
      <c r="P15" s="446">
        <v>-56964</v>
      </c>
      <c r="Q15" s="446">
        <v>-25664</v>
      </c>
      <c r="R15" s="61">
        <f>SUM(N15:Q15)</f>
        <v>111070</v>
      </c>
      <c r="S15" s="61"/>
      <c r="T15" s="61"/>
      <c r="U15" s="61"/>
      <c r="V15" s="61"/>
      <c r="W15" s="61"/>
      <c r="BM15" s="328"/>
    </row>
    <row r="16" spans="1:76">
      <c r="A16" s="5" t="s">
        <v>61</v>
      </c>
      <c r="N16" s="136">
        <v>14293</v>
      </c>
      <c r="O16" s="136">
        <v>-3968</v>
      </c>
      <c r="P16" s="136">
        <v>52955</v>
      </c>
      <c r="Q16" s="136">
        <v>25371</v>
      </c>
      <c r="R16" s="36">
        <f>SUM(N16:Q16)</f>
        <v>88651</v>
      </c>
      <c r="S16" s="136">
        <v>-26533</v>
      </c>
      <c r="T16" s="136">
        <v>5822</v>
      </c>
      <c r="U16" s="136">
        <v>-33300</v>
      </c>
      <c r="V16" s="136">
        <v>-19283</v>
      </c>
      <c r="W16" s="36">
        <f>SUM(S16:V16)</f>
        <v>-73294</v>
      </c>
      <c r="X16" s="136">
        <v>3783</v>
      </c>
      <c r="Y16" s="136">
        <v>29474</v>
      </c>
      <c r="Z16" s="136">
        <v>63216</v>
      </c>
      <c r="AB16" s="36">
        <f>SUM(X16:AA16)</f>
        <v>96473</v>
      </c>
    </row>
    <row r="18" spans="1:76">
      <c r="A18" s="5" t="s">
        <v>62</v>
      </c>
      <c r="N18" s="36">
        <f>'Consolidated (OLD)'!I58</f>
        <v>-593430</v>
      </c>
      <c r="O18" s="36">
        <f>'Consolidated (OLD)'!J58</f>
        <v>-593242</v>
      </c>
      <c r="P18" s="36">
        <f>'Consolidated (OLD)'!K58</f>
        <v>-662713</v>
      </c>
      <c r="Q18" s="36">
        <f>'Consolidated (OLD)'!L58</f>
        <v>-702337</v>
      </c>
      <c r="R18" s="36">
        <f>'Consolidated (OLD)'!M58</f>
        <v>-2551722</v>
      </c>
      <c r="S18" s="36">
        <f>'Consolidated (OLD)'!N58</f>
        <v>-626513</v>
      </c>
      <c r="T18" s="36">
        <f>'Consolidated (OLD)'!O58</f>
        <v>-627827</v>
      </c>
      <c r="U18" s="36">
        <f>'Consolidated (OLD)'!P58</f>
        <v>-666775</v>
      </c>
      <c r="V18" s="36">
        <f>'Consolidated (OLD)'!Q58</f>
        <v>-774213</v>
      </c>
      <c r="W18" s="36">
        <f>'Consolidated (OLD)'!R58</f>
        <v>-2695328</v>
      </c>
      <c r="X18" s="36">
        <f>'Consolidated (OLD)'!S58</f>
        <v>-648080</v>
      </c>
      <c r="Y18" s="36">
        <f>'Consolidated (OLD)'!T58</f>
        <v>-705992</v>
      </c>
      <c r="Z18" s="36">
        <f>'Consolidated (OLD)'!U58</f>
        <v>-769519</v>
      </c>
      <c r="AA18" s="36">
        <f>'Consolidated (OLD)'!V58</f>
        <v>-831330.11378372554</v>
      </c>
      <c r="AB18" s="36">
        <f>'Consolidated (OLD)'!W58</f>
        <v>-2954921.1137837255</v>
      </c>
      <c r="AC18" s="36">
        <f>'Consolidated (OLD)'!X58</f>
        <v>-726468.30548602308</v>
      </c>
      <c r="AD18" s="36">
        <f>'Consolidated (OLD)'!Y58</f>
        <v>-699509.55276109418</v>
      </c>
      <c r="AE18" s="36">
        <f>'Consolidated (OLD)'!Z58</f>
        <v>-799212.17341082671</v>
      </c>
      <c r="AF18" s="36">
        <f>'Consolidated (OLD)'!AA58</f>
        <v>-837365.90463463019</v>
      </c>
      <c r="AG18" s="36">
        <f>'Consolidated (OLD)'!AB58</f>
        <v>-3062555.9362925743</v>
      </c>
      <c r="AH18" s="36">
        <f>'Consolidated (OLD)'!AC58</f>
        <v>-717606.63900109776</v>
      </c>
      <c r="AI18" s="36">
        <f>'Consolidated (OLD)'!AD58</f>
        <v>-728303.45787264395</v>
      </c>
      <c r="AJ18" s="36">
        <f>'Consolidated (OLD)'!AE58</f>
        <v>-816017.95088687609</v>
      </c>
      <c r="AK18" s="36">
        <f>'Consolidated (OLD)'!AF58</f>
        <v>-848728.79393752059</v>
      </c>
      <c r="AL18" s="36">
        <f>'Consolidated (OLD)'!AG58</f>
        <v>-3110656.8416981385</v>
      </c>
      <c r="AM18" s="36">
        <f>'Consolidated (OLD)'!AH58</f>
        <v>-748547.48702619632</v>
      </c>
      <c r="AN18" s="36">
        <f>'Consolidated (OLD)'!AI58</f>
        <v>-746529.05048510828</v>
      </c>
      <c r="AO18" s="36">
        <f>'Consolidated (OLD)'!AJ58</f>
        <v>-835112.45145570603</v>
      </c>
      <c r="AP18" s="36">
        <f>'Consolidated (OLD)'!AK58</f>
        <v>-860106.82274090522</v>
      </c>
      <c r="AQ18" s="36">
        <f>'Consolidated (OLD)'!AL58</f>
        <v>-3190295.8117079157</v>
      </c>
      <c r="AR18" s="36">
        <f>'Consolidated (OLD)'!AM58</f>
        <v>-757787.07313408947</v>
      </c>
      <c r="AS18" s="36">
        <f>'Consolidated (OLD)'!AN58</f>
        <v>-754645.18473571783</v>
      </c>
      <c r="AT18" s="36">
        <f>'Consolidated (OLD)'!AO58</f>
        <v>-840913.65432676347</v>
      </c>
      <c r="AU18" s="36">
        <f>'Consolidated (OLD)'!AP58</f>
        <v>-864346.55568801425</v>
      </c>
      <c r="AV18" s="36">
        <f>'Consolidated (OLD)'!AQ58</f>
        <v>-3217692.4678845853</v>
      </c>
      <c r="AW18" s="36">
        <f>'Consolidated (OLD)'!AR58</f>
        <v>-760093.28169411409</v>
      </c>
      <c r="AX18" s="36">
        <f>'Consolidated (OLD)'!AS58</f>
        <v>-756556.62290813797</v>
      </c>
      <c r="AY18" s="36">
        <f>'Consolidated (OLD)'!AT58</f>
        <v>-842935.50788519089</v>
      </c>
      <c r="AZ18" s="36">
        <f>'Consolidated (OLD)'!AU58</f>
        <v>-865597.76669466705</v>
      </c>
      <c r="BA18" s="36">
        <f>'Consolidated (OLD)'!AV58</f>
        <v>-3225183.1791821104</v>
      </c>
      <c r="BB18" s="36">
        <f>'Consolidated (OLD)'!AW58</f>
        <v>-763360.78483284556</v>
      </c>
      <c r="BC18" s="36">
        <f>'Consolidated (OLD)'!AX58</f>
        <v>-759038.96538766578</v>
      </c>
      <c r="BD18" s="36">
        <f>'Consolidated (OLD)'!AY58</f>
        <v>-850599.0729868398</v>
      </c>
      <c r="BE18" s="36">
        <f>'Consolidated (OLD)'!AZ58</f>
        <v>-873384.8243785064</v>
      </c>
      <c r="BF18" s="36">
        <f>'Consolidated (OLD)'!BA58</f>
        <v>-3246383.6475858572</v>
      </c>
      <c r="BG18" s="36">
        <f>'Consolidated (OLD)'!BB58</f>
        <v>-765662.63568795158</v>
      </c>
      <c r="BH18" s="36">
        <f>'Consolidated (OLD)'!BC58</f>
        <v>-760862.01238568744</v>
      </c>
      <c r="BI18" s="36">
        <f>'Consolidated (OLD)'!BD58</f>
        <v>-844937.85192860593</v>
      </c>
      <c r="BJ18" s="36">
        <f>'Consolidated (OLD)'!BE58</f>
        <v>-867885.1845584641</v>
      </c>
      <c r="BK18" s="36">
        <f>'Consolidated (OLD)'!BF58</f>
        <v>-3239347.6845607092</v>
      </c>
    </row>
    <row r="19" spans="1:76">
      <c r="A19" s="9" t="s">
        <v>2258</v>
      </c>
      <c r="B19" s="9"/>
      <c r="C19" s="9"/>
      <c r="D19" s="9"/>
      <c r="E19" s="9"/>
      <c r="F19" s="9"/>
      <c r="G19" s="9"/>
      <c r="H19" s="9"/>
      <c r="I19" s="9"/>
      <c r="J19" s="9"/>
      <c r="K19" s="9"/>
      <c r="L19" s="9"/>
      <c r="M19" s="39"/>
      <c r="N19" s="39">
        <f t="shared" ref="N19:AS19" si="6">N8+SUM(N13:N16)+N18</f>
        <v>1481464</v>
      </c>
      <c r="O19" s="39">
        <f t="shared" si="6"/>
        <v>-1428577</v>
      </c>
      <c r="P19" s="39">
        <f t="shared" si="6"/>
        <v>22823</v>
      </c>
      <c r="Q19" s="39">
        <f t="shared" si="6"/>
        <v>-2796827</v>
      </c>
      <c r="R19" s="39">
        <f t="shared" si="6"/>
        <v>-2721117</v>
      </c>
      <c r="S19" s="39">
        <f t="shared" si="6"/>
        <v>-2577152</v>
      </c>
      <c r="T19" s="39">
        <f t="shared" si="6"/>
        <v>2194596</v>
      </c>
      <c r="U19" s="39">
        <f t="shared" si="6"/>
        <v>-320486</v>
      </c>
      <c r="V19" s="39">
        <f t="shared" si="6"/>
        <v>500765</v>
      </c>
      <c r="W19" s="39">
        <f t="shared" si="6"/>
        <v>-202277</v>
      </c>
      <c r="X19" s="39">
        <f t="shared" si="6"/>
        <v>-514962</v>
      </c>
      <c r="Y19" s="39">
        <f t="shared" si="6"/>
        <v>-70348</v>
      </c>
      <c r="Z19" s="39">
        <f t="shared" si="6"/>
        <v>587951</v>
      </c>
      <c r="AA19" s="39">
        <f t="shared" si="6"/>
        <v>6140.2309409409063</v>
      </c>
      <c r="AB19" s="39">
        <f t="shared" si="6"/>
        <v>8781.2309409407899</v>
      </c>
      <c r="AC19" s="39">
        <f t="shared" si="6"/>
        <v>798030.7561668366</v>
      </c>
      <c r="AD19" s="39">
        <f t="shared" si="6"/>
        <v>2371321.4048830136</v>
      </c>
      <c r="AE19" s="39">
        <f t="shared" si="6"/>
        <v>-254327.32259253913</v>
      </c>
      <c r="AF19" s="39">
        <f t="shared" si="6"/>
        <v>1575306.0154802054</v>
      </c>
      <c r="AG19" s="39">
        <f t="shared" si="6"/>
        <v>4490330.8539375179</v>
      </c>
      <c r="AH19" s="39">
        <f t="shared" si="6"/>
        <v>646002.74170028954</v>
      </c>
      <c r="AI19" s="39">
        <f t="shared" si="6"/>
        <v>3650161.4088863777</v>
      </c>
      <c r="AJ19" s="39">
        <f t="shared" si="6"/>
        <v>209007.09127389314</v>
      </c>
      <c r="AK19" s="39">
        <f t="shared" si="6"/>
        <v>-306507.03362772882</v>
      </c>
      <c r="AL19" s="39">
        <f t="shared" si="6"/>
        <v>2529694.2082328307</v>
      </c>
      <c r="AM19" s="39">
        <f t="shared" si="6"/>
        <v>5140176.0378955929</v>
      </c>
      <c r="AN19" s="39">
        <f t="shared" si="6"/>
        <v>2212181.8486135611</v>
      </c>
      <c r="AO19" s="39">
        <f t="shared" si="6"/>
        <v>2157919.6745032975</v>
      </c>
      <c r="AP19" s="39">
        <f t="shared" si="6"/>
        <v>157494.03500776179</v>
      </c>
      <c r="AQ19" s="39">
        <f t="shared" si="6"/>
        <v>9667771.5960202124</v>
      </c>
      <c r="AR19" s="39">
        <f t="shared" si="6"/>
        <v>610664.14116290736</v>
      </c>
      <c r="AS19" s="39">
        <f t="shared" si="6"/>
        <v>650079.55834575847</v>
      </c>
      <c r="AT19" s="39">
        <f t="shared" ref="AT19:BK19" si="7">AT8+SUM(AT13:AT16)+AT18</f>
        <v>594594.49210504931</v>
      </c>
      <c r="AU19" s="39">
        <f t="shared" si="7"/>
        <v>429960.42627847777</v>
      </c>
      <c r="AV19" s="39">
        <f t="shared" si="7"/>
        <v>2285298.6178921945</v>
      </c>
      <c r="AW19" s="39">
        <f t="shared" si="7"/>
        <v>618359.48068716645</v>
      </c>
      <c r="AX19" s="39">
        <f t="shared" si="7"/>
        <v>655415.73605255829</v>
      </c>
      <c r="AY19" s="39">
        <f t="shared" si="7"/>
        <v>595824.7839353364</v>
      </c>
      <c r="AZ19" s="39">
        <f t="shared" si="7"/>
        <v>422756.7961500471</v>
      </c>
      <c r="BA19" s="39">
        <f t="shared" si="7"/>
        <v>2292356.7968251072</v>
      </c>
      <c r="BB19" s="39">
        <f t="shared" si="7"/>
        <v>584306.63919641788</v>
      </c>
      <c r="BC19" s="39">
        <f t="shared" si="7"/>
        <v>616936.5445396743</v>
      </c>
      <c r="BD19" s="39">
        <f t="shared" si="7"/>
        <v>546396.64598613768</v>
      </c>
      <c r="BE19" s="39">
        <f t="shared" si="7"/>
        <v>362553.93022545252</v>
      </c>
      <c r="BF19" s="39">
        <f t="shared" si="7"/>
        <v>2110193.7599476832</v>
      </c>
      <c r="BG19" s="39">
        <f t="shared" si="7"/>
        <v>524960.86071489158</v>
      </c>
      <c r="BH19" s="39">
        <f t="shared" si="7"/>
        <v>562721.12030473712</v>
      </c>
      <c r="BI19" s="39">
        <f t="shared" si="7"/>
        <v>501641.42182947672</v>
      </c>
      <c r="BJ19" s="39">
        <f t="shared" si="7"/>
        <v>319637.99604473764</v>
      </c>
      <c r="BK19" s="39">
        <f t="shared" si="7"/>
        <v>1908961.3988938429</v>
      </c>
      <c r="BO19" s="48">
        <f>INDEX($N19:$BK19, MATCH(BO$2, $N$2:$BK$2, 0))</f>
        <v>-2721117</v>
      </c>
      <c r="BP19" s="48">
        <f t="shared" ref="BP19:BX19" si="8">INDEX($N19:$BK19, MATCH(BP$2, $N$2:$BK$2, 0))</f>
        <v>-202277</v>
      </c>
      <c r="BQ19" s="48">
        <f t="shared" si="8"/>
        <v>8781.2309409407899</v>
      </c>
      <c r="BR19" s="48">
        <f t="shared" si="8"/>
        <v>4490330.8539375179</v>
      </c>
      <c r="BS19" s="48">
        <f t="shared" si="8"/>
        <v>2529694.2082328307</v>
      </c>
      <c r="BT19" s="48">
        <f t="shared" si="8"/>
        <v>9667771.5960202124</v>
      </c>
      <c r="BU19" s="48">
        <f t="shared" si="8"/>
        <v>2285298.6178921945</v>
      </c>
      <c r="BV19" s="48">
        <f t="shared" si="8"/>
        <v>2292356.7968251072</v>
      </c>
      <c r="BW19" s="48">
        <f t="shared" si="8"/>
        <v>2110193.7599476832</v>
      </c>
      <c r="BX19" s="48">
        <f t="shared" si="8"/>
        <v>1908961.3988938429</v>
      </c>
    </row>
    <row r="20" spans="1:76">
      <c r="A20" s="5"/>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row>
    <row r="21" spans="1:76">
      <c r="A21" s="5" t="s">
        <v>63</v>
      </c>
      <c r="N21" s="36">
        <f>'Consolidated (OLD)'!I82</f>
        <v>-82799</v>
      </c>
      <c r="O21" s="36">
        <f>'Consolidated (OLD)'!J82</f>
        <v>-102800</v>
      </c>
      <c r="P21" s="36">
        <f>'Consolidated (OLD)'!K82</f>
        <v>-97165</v>
      </c>
      <c r="Q21" s="36">
        <f>'Consolidated (OLD)'!L82</f>
        <v>-99748</v>
      </c>
      <c r="R21" s="36">
        <f>'Consolidated (OLD)'!M82</f>
        <v>-382512</v>
      </c>
      <c r="S21" s="36">
        <f>'Consolidated (OLD)'!N82</f>
        <v>-114139</v>
      </c>
      <c r="T21" s="36">
        <f>'Consolidated (OLD)'!O82</f>
        <v>-200078</v>
      </c>
      <c r="U21" s="36">
        <f>'Consolidated (OLD)'!P82</f>
        <v>-119291</v>
      </c>
      <c r="V21" s="36">
        <f>'Consolidated (OLD)'!Q82</f>
        <v>-122394</v>
      </c>
      <c r="W21" s="36">
        <f>'Consolidated (OLD)'!R82</f>
        <v>-555902</v>
      </c>
      <c r="X21" s="36">
        <f>'Consolidated (OLD)'!S82</f>
        <v>-139601</v>
      </c>
      <c r="Y21" s="36">
        <f>'Consolidated (OLD)'!T82</f>
        <v>-155583</v>
      </c>
      <c r="Z21" s="36">
        <f>'Consolidated (OLD)'!U82</f>
        <v>-131612</v>
      </c>
      <c r="AA21" s="36">
        <f>'Consolidated (OLD)'!V82</f>
        <v>-147020.9375</v>
      </c>
      <c r="AB21" s="36">
        <f>'Consolidated (OLD)'!W82</f>
        <v>-573816.9375</v>
      </c>
      <c r="AC21" s="36">
        <f>'Consolidated (OLD)'!X82</f>
        <v>-167093.61495378922</v>
      </c>
      <c r="AD21" s="36">
        <f>'Consolidated (OLD)'!Y82</f>
        <v>-163965.68176981594</v>
      </c>
      <c r="AE21" s="36">
        <f>'Consolidated (OLD)'!Z82</f>
        <v>-136788.73743054282</v>
      </c>
      <c r="AF21" s="36">
        <f>'Consolidated (OLD)'!AA82</f>
        <v>-148222.31515205139</v>
      </c>
      <c r="AG21" s="36">
        <f>'Consolidated (OLD)'!AB82</f>
        <v>-616070.34930619935</v>
      </c>
      <c r="AH21" s="36">
        <f>'Consolidated (OLD)'!AC82</f>
        <v>-208202.58061702378</v>
      </c>
      <c r="AI21" s="36">
        <f>'Consolidated (OLD)'!AD82</f>
        <v>-213505.46136466786</v>
      </c>
      <c r="AJ21" s="36">
        <f>'Consolidated (OLD)'!AE82</f>
        <v>-218851.9428394229</v>
      </c>
      <c r="AK21" s="36">
        <f>'Consolidated (OLD)'!AF82</f>
        <v>-282818.08887659671</v>
      </c>
      <c r="AL21" s="36">
        <f>'Consolidated (OLD)'!AG82</f>
        <v>-923378.07369771134</v>
      </c>
      <c r="AM21" s="36">
        <f>'Consolidated (OLD)'!AH82</f>
        <v>-295701.7827018174</v>
      </c>
      <c r="AN21" s="36">
        <f>'Consolidated (OLD)'!AI82</f>
        <v>-244478.80337821585</v>
      </c>
      <c r="AO21" s="36">
        <f>'Consolidated (OLD)'!AJ82</f>
        <v>-235762.41673853237</v>
      </c>
      <c r="AP21" s="36">
        <f>'Consolidated (OLD)'!AK82</f>
        <v>-241755.91626424651</v>
      </c>
      <c r="AQ21" s="36">
        <f>'Consolidated (OLD)'!AL82</f>
        <v>-1017698.919082812</v>
      </c>
      <c r="AR21" s="36">
        <f>'Consolidated (OLD)'!AM82</f>
        <v>-255346.24405949257</v>
      </c>
      <c r="AS21" s="36">
        <f>'Consolidated (OLD)'!AN82</f>
        <v>-253809.74099834368</v>
      </c>
      <c r="AT21" s="36">
        <f>'Consolidated (OLD)'!AO82</f>
        <v>-243897.72887929642</v>
      </c>
      <c r="AU21" s="36">
        <f>'Consolidated (OLD)'!AP82</f>
        <v>-243913.08980721439</v>
      </c>
      <c r="AV21" s="36">
        <f>'Consolidated (OLD)'!AQ82</f>
        <v>-996966.80374434707</v>
      </c>
      <c r="AW21" s="36">
        <f>'Consolidated (OLD)'!AR82</f>
        <v>-255378.59937361549</v>
      </c>
      <c r="AX21" s="36">
        <f>'Consolidated (OLD)'!AS82</f>
        <v>-253650.63097983555</v>
      </c>
      <c r="AY21" s="36">
        <f>'Consolidated (OLD)'!AT82</f>
        <v>-244890.48723083513</v>
      </c>
      <c r="AZ21" s="36">
        <f>'Consolidated (OLD)'!AU82</f>
        <v>-243546.66500660143</v>
      </c>
      <c r="BA21" s="36">
        <f>'Consolidated (OLD)'!AV82</f>
        <v>-997466.3825908876</v>
      </c>
      <c r="BB21" s="36">
        <f>'Consolidated (OLD)'!AW82</f>
        <v>-254674.1993736155</v>
      </c>
      <c r="BC21" s="36">
        <f>'Consolidated (OLD)'!AX82</f>
        <v>-252946.23097983556</v>
      </c>
      <c r="BD21" s="36">
        <f>'Consolidated (OLD)'!AY82</f>
        <v>-244736.08723083514</v>
      </c>
      <c r="BE21" s="36">
        <f>'Consolidated (OLD)'!AZ82</f>
        <v>-242832.2650066014</v>
      </c>
      <c r="BF21" s="36">
        <f>'Consolidated (OLD)'!BA82</f>
        <v>-995188.78259088763</v>
      </c>
      <c r="BG21" s="36">
        <f>'Consolidated (OLD)'!BB82</f>
        <v>-253911.7993736155</v>
      </c>
      <c r="BH21" s="36">
        <f>'Consolidated (OLD)'!BC82</f>
        <v>-252183.83097983556</v>
      </c>
      <c r="BI21" s="36">
        <f>'Consolidated (OLD)'!BD82</f>
        <v>-244248.68723083514</v>
      </c>
      <c r="BJ21" s="36">
        <f>'Consolidated (OLD)'!BE82</f>
        <v>-242074.86500660141</v>
      </c>
      <c r="BK21" s="36">
        <f>'Consolidated (OLD)'!BF82</f>
        <v>-992419.18259088753</v>
      </c>
    </row>
    <row r="22" spans="1:76">
      <c r="A22" s="5" t="s">
        <v>64</v>
      </c>
      <c r="N22" s="36">
        <f>'Consolidated (OLD)'!I87</f>
        <v>-14874</v>
      </c>
      <c r="O22" s="36">
        <f>'Consolidated (OLD)'!J87</f>
        <v>-77323</v>
      </c>
      <c r="P22" s="36">
        <f>'Consolidated (OLD)'!K87</f>
        <v>-185175</v>
      </c>
      <c r="Q22" s="36">
        <f>'Consolidated (OLD)'!L87</f>
        <v>-428739</v>
      </c>
      <c r="R22" s="36">
        <f>'Consolidated (OLD)'!M87</f>
        <v>-706111</v>
      </c>
      <c r="S22" s="36">
        <f>'Consolidated (OLD)'!N87</f>
        <v>-819969</v>
      </c>
      <c r="T22" s="36">
        <f>'Consolidated (OLD)'!O87</f>
        <v>-275457</v>
      </c>
      <c r="U22" s="36">
        <f>'Consolidated (OLD)'!P87</f>
        <v>367442</v>
      </c>
      <c r="V22" s="36">
        <f>'Consolidated (OLD)'!Q87</f>
        <v>-44286</v>
      </c>
      <c r="W22" s="36">
        <f>'Consolidated (OLD)'!R87</f>
        <v>-772270</v>
      </c>
      <c r="X22" s="36">
        <f>'Consolidated (OLD)'!S87</f>
        <v>-464642</v>
      </c>
      <c r="Y22" s="36">
        <f>'Consolidated (OLD)'!T87</f>
        <v>-183444</v>
      </c>
      <c r="Z22" s="36">
        <f>'Consolidated (OLD)'!U87</f>
        <v>339884</v>
      </c>
      <c r="AA22" s="36">
        <f>'Consolidated (OLD)'!V87</f>
        <v>-396763</v>
      </c>
      <c r="AB22" s="36">
        <f>'Consolidated (OLD)'!W87</f>
        <v>-704965</v>
      </c>
      <c r="AC22" s="36">
        <f>'Consolidated (OLD)'!X87</f>
        <v>-442568</v>
      </c>
      <c r="AD22" s="36">
        <f>'Consolidated (OLD)'!Y87</f>
        <v>732107</v>
      </c>
      <c r="AE22" s="36">
        <f>'Consolidated (OLD)'!Z87</f>
        <v>-545568</v>
      </c>
      <c r="AF22" s="36">
        <f>'Consolidated (OLD)'!AA87</f>
        <v>275286</v>
      </c>
      <c r="AG22" s="36">
        <f>'Consolidated (OLD)'!AB87</f>
        <v>19257</v>
      </c>
      <c r="AH22" s="36">
        <f>'Consolidated (OLD)'!AC87</f>
        <v>131780</v>
      </c>
      <c r="AI22" s="36">
        <f>'Consolidated (OLD)'!AD87</f>
        <v>-123155</v>
      </c>
      <c r="AJ22" s="36">
        <f>'Consolidated (OLD)'!AE87</f>
        <v>-116087</v>
      </c>
      <c r="AK22" s="36">
        <f>'Consolidated (OLD)'!AF87</f>
        <v>51157.623104119673</v>
      </c>
      <c r="AL22" s="36">
        <f>'Consolidated (OLD)'!AG87</f>
        <v>-56304.376895880327</v>
      </c>
      <c r="AM22" s="36">
        <f>'Consolidated (OLD)'!AH87</f>
        <v>3078119.8682531826</v>
      </c>
      <c r="AN22" s="36">
        <f>'Consolidated (OLD)'!AI87</f>
        <v>6149.5051529761404</v>
      </c>
      <c r="AO22" s="36">
        <f>'Consolidated (OLD)'!AJ87</f>
        <v>6161.7598261963576</v>
      </c>
      <c r="AP22" s="36">
        <f>'Consolidated (OLD)'!AK87</f>
        <v>6174.0700697656721</v>
      </c>
      <c r="AQ22" s="36">
        <f>'Consolidated (OLD)'!AL87</f>
        <v>3096605.2033021208</v>
      </c>
      <c r="AR22" s="36">
        <f>'Consolidated (OLD)'!AM87</f>
        <v>6186.4362802300602</v>
      </c>
      <c r="AS22" s="36">
        <f>'Consolidated (OLD)'!AN87</f>
        <v>6198.8588580098003</v>
      </c>
      <c r="AT22" s="36">
        <f>'Consolidated (OLD)'!AO87</f>
        <v>6211.3382074367255</v>
      </c>
      <c r="AU22" s="36">
        <f>'Consolidated (OLD)'!AP87</f>
        <v>6223.874736815691</v>
      </c>
      <c r="AV22" s="36">
        <f>'Consolidated (OLD)'!AQ87</f>
        <v>24820.508082492277</v>
      </c>
      <c r="AW22" s="36">
        <f>'Consolidated (OLD)'!AR87</f>
        <v>6236.4688584655523</v>
      </c>
      <c r="AX22" s="36">
        <f>'Consolidated (OLD)'!AS87</f>
        <v>6249.1209887675941</v>
      </c>
      <c r="AY22" s="36">
        <f>'Consolidated (OLD)'!AT87</f>
        <v>6261.8315482251346</v>
      </c>
      <c r="AZ22" s="36">
        <f>'Consolidated (OLD)'!AU87</f>
        <v>6274.6009615063667</v>
      </c>
      <c r="BA22" s="36">
        <f>'Consolidated (OLD)'!AV87</f>
        <v>25022.022356964648</v>
      </c>
      <c r="BB22" s="36">
        <f>'Consolidated (OLD)'!AW87</f>
        <v>6287.4296575020999</v>
      </c>
      <c r="BC22" s="36">
        <f>'Consolidated (OLD)'!AX87</f>
        <v>6300.3180693816394</v>
      </c>
      <c r="BD22" s="36">
        <f>'Consolidated (OLD)'!AY87</f>
        <v>6313.266634631902</v>
      </c>
      <c r="BE22" s="36">
        <f>'Consolidated (OLD)'!AZ87</f>
        <v>6326.2757951356471</v>
      </c>
      <c r="BF22" s="36">
        <f>'Consolidated (OLD)'!BA87</f>
        <v>25227.290156651288</v>
      </c>
      <c r="BG22" s="36">
        <f>'Consolidated (OLD)'!BB87</f>
        <v>6339.3459972050041</v>
      </c>
      <c r="BH22" s="36">
        <f>'Consolidated (OLD)'!BC87</f>
        <v>6352.4776916615665</v>
      </c>
      <c r="BI22" s="36">
        <f>'Consolidated (OLD)'!BD87</f>
        <v>6365.6713338643312</v>
      </c>
      <c r="BJ22" s="36">
        <f>'Consolidated (OLD)'!BE87</f>
        <v>6378.9273837935179</v>
      </c>
      <c r="BK22" s="36">
        <f>'Consolidated (OLD)'!BF87</f>
        <v>25436.42240652442</v>
      </c>
    </row>
    <row r="23" spans="1:76">
      <c r="A23" s="5" t="s">
        <v>2161</v>
      </c>
      <c r="N23" s="136">
        <v>50380</v>
      </c>
      <c r="O23" s="136">
        <v>214951</v>
      </c>
      <c r="P23" s="136">
        <v>-61589</v>
      </c>
      <c r="Q23" s="136">
        <v>137643</v>
      </c>
      <c r="R23" s="36">
        <f>SUM(N23:Q23)</f>
        <v>341385</v>
      </c>
      <c r="S23" s="136">
        <v>-158370</v>
      </c>
      <c r="T23" s="136">
        <v>103500</v>
      </c>
      <c r="U23" s="136">
        <v>-15741</v>
      </c>
      <c r="V23" s="136">
        <v>-26066</v>
      </c>
      <c r="W23" s="36">
        <f>SUM(S23:V23)</f>
        <v>-96677</v>
      </c>
      <c r="X23" s="136">
        <v>-18319</v>
      </c>
      <c r="Y23" s="136">
        <v>-16301</v>
      </c>
      <c r="Z23" s="136">
        <v>-2491</v>
      </c>
      <c r="AB23" s="36">
        <f>SUM(X23:AA23)</f>
        <v>-37111</v>
      </c>
    </row>
    <row r="24" spans="1:76">
      <c r="A24" s="5" t="s">
        <v>66</v>
      </c>
      <c r="N24" s="36">
        <f>'Consolidated (OLD)'!I98</f>
        <v>-111536</v>
      </c>
      <c r="O24" s="36">
        <f>'Consolidated (OLD)'!J98</f>
        <v>732495</v>
      </c>
      <c r="P24" s="36">
        <f>'Consolidated (OLD)'!K98</f>
        <v>483262</v>
      </c>
      <c r="Q24" s="36">
        <f>'Consolidated (OLD)'!L98</f>
        <v>130487</v>
      </c>
      <c r="R24" s="36">
        <f>'Consolidated (OLD)'!M98</f>
        <v>1234708</v>
      </c>
      <c r="S24" s="36">
        <f>'Consolidated (OLD)'!N98</f>
        <v>-259250</v>
      </c>
      <c r="T24" s="36">
        <f>'Consolidated (OLD)'!O98</f>
        <v>1289030</v>
      </c>
      <c r="U24" s="36">
        <f>'Consolidated (OLD)'!P98</f>
        <v>-410193</v>
      </c>
      <c r="V24" s="36">
        <f>'Consolidated (OLD)'!Q98</f>
        <v>-565331</v>
      </c>
      <c r="W24" s="36">
        <f>'Consolidated (OLD)'!R98</f>
        <v>54256</v>
      </c>
      <c r="X24" s="36">
        <f>'Consolidated (OLD)'!S98</f>
        <v>849629</v>
      </c>
      <c r="Y24" s="36">
        <f>'Consolidated (OLD)'!T98</f>
        <v>-147911</v>
      </c>
      <c r="Z24" s="36">
        <f>'Consolidated (OLD)'!U98</f>
        <v>478548</v>
      </c>
      <c r="AA24" s="36">
        <f>'Consolidated (OLD)'!V98</f>
        <v>321184</v>
      </c>
      <c r="AB24" s="36">
        <f>'Consolidated (OLD)'!W98</f>
        <v>1501450</v>
      </c>
      <c r="AC24" s="36">
        <f>'Consolidated (OLD)'!X98</f>
        <v>58778</v>
      </c>
      <c r="AD24" s="36">
        <f>'Consolidated (OLD)'!Y98</f>
        <v>-1531112</v>
      </c>
      <c r="AE24" s="36">
        <f>'Consolidated (OLD)'!Z98</f>
        <v>669848</v>
      </c>
      <c r="AF24" s="36">
        <f>'Consolidated (OLD)'!AA98</f>
        <v>-1239344</v>
      </c>
      <c r="AG24" s="36">
        <f>'Consolidated (OLD)'!AB98</f>
        <v>-2041830</v>
      </c>
      <c r="AH24" s="36">
        <f>'Consolidated (OLD)'!AC98</f>
        <v>228468</v>
      </c>
      <c r="AI24" s="36">
        <f>'Consolidated (OLD)'!AD98</f>
        <v>-20550</v>
      </c>
      <c r="AJ24" s="36">
        <f>'Consolidated (OLD)'!AE98</f>
        <v>8907</v>
      </c>
      <c r="AK24" s="36">
        <f>'Consolidated (OLD)'!AF98</f>
        <v>-86762.34731035294</v>
      </c>
      <c r="AL24" s="36">
        <f>'Consolidated (OLD)'!AG98</f>
        <v>130062.65268964706</v>
      </c>
      <c r="AM24" s="36">
        <f>'Consolidated (OLD)'!AH98</f>
        <v>-88219.734794342119</v>
      </c>
      <c r="AN24" s="36">
        <f>'Consolidated (OLD)'!AI98</f>
        <v>-89701.002985838786</v>
      </c>
      <c r="AO24" s="36">
        <f>'Consolidated (OLD)'!AJ98</f>
        <v>-91206.529719694794</v>
      </c>
      <c r="AP24" s="36">
        <f>'Consolidated (OLD)'!AK98</f>
        <v>-92736.698498454003</v>
      </c>
      <c r="AQ24" s="36">
        <f>'Consolidated (OLD)'!AL98</f>
        <v>-361863.96599832969</v>
      </c>
      <c r="AR24" s="36">
        <f>'Consolidated (OLD)'!AM98</f>
        <v>-94291.898569972254</v>
      </c>
      <c r="AS24" s="36">
        <f>'Consolidated (OLD)'!AN98</f>
        <v>-95872.525005915901</v>
      </c>
      <c r="AT24" s="36">
        <f>'Consolidated (OLD)'!AO98</f>
        <v>-97478.978781118582</v>
      </c>
      <c r="AU24" s="36">
        <f>'Consolidated (OLD)'!AP98</f>
        <v>-99111.666853864881</v>
      </c>
      <c r="AV24" s="36">
        <f>'Consolidated (OLD)'!AQ98</f>
        <v>-386755.06921087159</v>
      </c>
      <c r="AW24" s="36">
        <f>'Consolidated (OLD)'!AR98</f>
        <v>-100771.00224702108</v>
      </c>
      <c r="AX24" s="36">
        <f>'Consolidated (OLD)'!AS98</f>
        <v>-102457.40413009413</v>
      </c>
      <c r="AY24" s="36">
        <f>'Consolidated (OLD)'!AT98</f>
        <v>-104171.29790216575</v>
      </c>
      <c r="AZ24" s="36">
        <f>'Consolidated (OLD)'!AU98</f>
        <v>-105913.11527575228</v>
      </c>
      <c r="BA24" s="36">
        <f>'Consolidated (OLD)'!AV98</f>
        <v>-413312.81955503323</v>
      </c>
      <c r="BB24" s="36">
        <f>'Consolidated (OLD)'!AW98</f>
        <v>-107683.29436155051</v>
      </c>
      <c r="BC24" s="36">
        <f>'Consolidated (OLD)'!AX98</f>
        <v>-109482.27975410242</v>
      </c>
      <c r="BD24" s="36">
        <f>'Consolidated (OLD)'!AY98</f>
        <v>-111310.52261838056</v>
      </c>
      <c r="BE24" s="36">
        <f>'Consolidated (OLD)'!AZ98</f>
        <v>-113168.4807772783</v>
      </c>
      <c r="BF24" s="36">
        <f>'Consolidated (OLD)'!BA98</f>
        <v>-441644.5775113118</v>
      </c>
      <c r="BG24" s="36">
        <f>'Consolidated (OLD)'!BB98</f>
        <v>-115056.61880002145</v>
      </c>
      <c r="BH24" s="36">
        <f>'Consolidated (OLD)'!BC98</f>
        <v>-116975.40809152045</v>
      </c>
      <c r="BI24" s="36">
        <f>'Consolidated (OLD)'!BD98</f>
        <v>-118925.32698261624</v>
      </c>
      <c r="BJ24" s="36">
        <f>'Consolidated (OLD)'!BE98</f>
        <v>-120906.86082128072</v>
      </c>
      <c r="BK24" s="36">
        <f>'Consolidated (OLD)'!BF98</f>
        <v>-471864.21469543886</v>
      </c>
    </row>
    <row r="25" spans="1:76">
      <c r="A25" s="5" t="s">
        <v>67</v>
      </c>
      <c r="N25" s="36">
        <f>'SVF Segment'!AC32</f>
        <v>-134093</v>
      </c>
      <c r="O25" s="36">
        <f>'SVF Segment'!AD32</f>
        <v>329272</v>
      </c>
      <c r="P25" s="36">
        <f>'SVF Segment'!AE32</f>
        <v>-22728</v>
      </c>
      <c r="Q25" s="36">
        <f>'SVF Segment'!AF32</f>
        <v>800223</v>
      </c>
      <c r="R25" s="36">
        <f>'SVF Segment'!AG32</f>
        <v>972674</v>
      </c>
      <c r="S25" s="36">
        <f>'SVF Segment'!AH32</f>
        <v>631367</v>
      </c>
      <c r="T25" s="36">
        <f>'SVF Segment'!AI32</f>
        <v>387374</v>
      </c>
      <c r="U25" s="36">
        <f>'SVF Segment'!AJ32</f>
        <v>127038</v>
      </c>
      <c r="V25" s="36">
        <f>'SVF Segment'!AK32</f>
        <v>-17830</v>
      </c>
      <c r="W25" s="36">
        <f>'SVF Segment'!AL32</f>
        <v>1127949</v>
      </c>
      <c r="X25" s="36">
        <f>'SVF Segment'!AM32</f>
        <v>-58081</v>
      </c>
      <c r="Y25" s="36">
        <f>'SVF Segment'!AN32</f>
        <v>-168184</v>
      </c>
      <c r="Z25" s="36">
        <f>'SVF Segment'!AO32</f>
        <v>-152132</v>
      </c>
      <c r="AA25" s="36">
        <f>'SVF Segment'!AP32</f>
        <v>-11740</v>
      </c>
      <c r="AB25" s="36">
        <f>'SVF Segment'!AQ32</f>
        <v>-390137</v>
      </c>
      <c r="AC25" s="36">
        <f>'SVF Segment'!AR32</f>
        <v>-205254</v>
      </c>
      <c r="AD25" s="36">
        <f>'SVF Segment'!AS32</f>
        <v>-215963</v>
      </c>
      <c r="AE25" s="36">
        <f>'SVF Segment'!AT32</f>
        <v>61307</v>
      </c>
      <c r="AF25" s="36">
        <f>'SVF Segment'!AU32</f>
        <v>-131988</v>
      </c>
      <c r="AG25" s="36">
        <f>'SVF Segment'!AV32</f>
        <v>-491898</v>
      </c>
      <c r="AH25" s="36">
        <f>'SVF Segment'!AW32</f>
        <v>-234079</v>
      </c>
      <c r="AI25" s="36">
        <f>'SVF Segment'!AX32</f>
        <v>-384614</v>
      </c>
      <c r="AJ25" s="36">
        <f>'SVF Segment'!AY32</f>
        <v>267447</v>
      </c>
      <c r="AK25" s="36">
        <f>'SVF Segment'!AZ32</f>
        <v>133531.56772994378</v>
      </c>
      <c r="AL25" s="36">
        <f>'SVF Segment'!BA32</f>
        <v>-217714.43227005622</v>
      </c>
      <c r="AM25" s="36" t="e">
        <f>'SVF Segment'!BB32</f>
        <v>#VALUE!</v>
      </c>
      <c r="AN25" s="36" t="e">
        <f>'SVF Segment'!BC32</f>
        <v>#VALUE!</v>
      </c>
      <c r="AO25" s="36" t="e">
        <f>'SVF Segment'!BD32</f>
        <v>#VALUE!</v>
      </c>
      <c r="AP25" s="36" t="e">
        <f>'SVF Segment'!BE32</f>
        <v>#VALUE!</v>
      </c>
      <c r="AQ25" s="36" t="e">
        <f>'SVF Segment'!BF32</f>
        <v>#VALUE!</v>
      </c>
      <c r="AR25" s="36" t="e">
        <f>'SVF Segment'!BG32</f>
        <v>#VALUE!</v>
      </c>
      <c r="AS25" s="36" t="e">
        <f>'SVF Segment'!BH32</f>
        <v>#VALUE!</v>
      </c>
      <c r="AT25" s="36" t="e">
        <f>'SVF Segment'!BI32</f>
        <v>#VALUE!</v>
      </c>
      <c r="AU25" s="36" t="e">
        <f>'SVF Segment'!BJ32</f>
        <v>#VALUE!</v>
      </c>
      <c r="AV25" s="36" t="e">
        <f>'SVF Segment'!BK32</f>
        <v>#VALUE!</v>
      </c>
      <c r="AW25" s="36" t="e">
        <f>'SVF Segment'!BL32</f>
        <v>#VALUE!</v>
      </c>
      <c r="AX25" s="36" t="e">
        <f>'SVF Segment'!BM32</f>
        <v>#VALUE!</v>
      </c>
      <c r="AY25" s="36" t="e">
        <f>'SVF Segment'!BN32</f>
        <v>#VALUE!</v>
      </c>
      <c r="AZ25" s="36" t="e">
        <f>'SVF Segment'!BO32</f>
        <v>#VALUE!</v>
      </c>
      <c r="BA25" s="36" t="e">
        <f>'SVF Segment'!BP32</f>
        <v>#VALUE!</v>
      </c>
      <c r="BB25" s="36" t="e">
        <f>'SVF Segment'!BQ32</f>
        <v>#VALUE!</v>
      </c>
      <c r="BC25" s="36" t="e">
        <f>'SVF Segment'!BR32</f>
        <v>#VALUE!</v>
      </c>
      <c r="BD25" s="36" t="e">
        <f>'SVF Segment'!BS32</f>
        <v>#VALUE!</v>
      </c>
      <c r="BE25" s="36" t="e">
        <f>'SVF Segment'!BT32</f>
        <v>#VALUE!</v>
      </c>
      <c r="BF25" s="36" t="e">
        <f>'SVF Segment'!BU32</f>
        <v>#VALUE!</v>
      </c>
      <c r="BG25" s="36" t="e">
        <f>'SVF Segment'!BV32</f>
        <v>#VALUE!</v>
      </c>
      <c r="BH25" s="36" t="e">
        <f>'SVF Segment'!BW32</f>
        <v>#VALUE!</v>
      </c>
      <c r="BI25" s="36" t="e">
        <f>'SVF Segment'!BX32</f>
        <v>#VALUE!</v>
      </c>
      <c r="BJ25" s="36" t="e">
        <f>'SVF Segment'!BY32</f>
        <v>#VALUE!</v>
      </c>
      <c r="BK25" s="36" t="e">
        <f>'SVF Segment'!BZ32</f>
        <v>#VALUE!</v>
      </c>
    </row>
    <row r="26" spans="1:76">
      <c r="A26" s="5" t="s">
        <v>68</v>
      </c>
      <c r="N26" s="136">
        <v>103791</v>
      </c>
      <c r="O26" s="136">
        <v>86381</v>
      </c>
      <c r="P26" s="136">
        <v>48458</v>
      </c>
      <c r="Q26" s="136">
        <v>152554</v>
      </c>
      <c r="R26" s="36">
        <f>SUM(N26:Q26)</f>
        <v>391184</v>
      </c>
      <c r="S26" s="136">
        <v>5068</v>
      </c>
      <c r="T26" s="136">
        <v>86169</v>
      </c>
      <c r="U26" s="136">
        <v>-211379</v>
      </c>
      <c r="V26" s="136">
        <v>96004</v>
      </c>
      <c r="W26" s="36">
        <f>SUM(S26:V26)</f>
        <v>-24138</v>
      </c>
      <c r="X26" s="136">
        <v>169782</v>
      </c>
      <c r="Y26" s="136">
        <v>10540</v>
      </c>
      <c r="Z26" s="136">
        <v>51352</v>
      </c>
      <c r="AB26" s="36">
        <f>SUM(X26:AA26)</f>
        <v>231674</v>
      </c>
    </row>
    <row r="27" spans="1:76">
      <c r="A27" s="9" t="s">
        <v>69</v>
      </c>
      <c r="B27" s="9"/>
      <c r="C27" s="9"/>
      <c r="D27" s="9"/>
      <c r="E27" s="9"/>
      <c r="F27" s="9"/>
      <c r="G27" s="9"/>
      <c r="H27" s="9"/>
      <c r="I27" s="9"/>
      <c r="J27" s="9"/>
      <c r="K27" s="9"/>
      <c r="L27" s="9"/>
      <c r="M27" s="9"/>
      <c r="N27" s="39">
        <f>N19+SUM(N21:N26)</f>
        <v>1292333</v>
      </c>
      <c r="O27" s="39">
        <f t="shared" ref="O27:R27" si="9">O19+SUM(O21:O26)</f>
        <v>-245601</v>
      </c>
      <c r="P27" s="39">
        <f t="shared" si="9"/>
        <v>187886</v>
      </c>
      <c r="Q27" s="39">
        <f t="shared" si="9"/>
        <v>-2104407</v>
      </c>
      <c r="R27" s="39">
        <f t="shared" si="9"/>
        <v>-869789</v>
      </c>
      <c r="S27" s="39">
        <f t="shared" ref="S27:W27" si="10">S8+SUM(S13:S16)+SUM(S18:S26)</f>
        <v>-5869597</v>
      </c>
      <c r="T27" s="39">
        <f t="shared" si="10"/>
        <v>5779730</v>
      </c>
      <c r="U27" s="39">
        <f t="shared" si="10"/>
        <v>-903096</v>
      </c>
      <c r="V27" s="39">
        <f t="shared" si="10"/>
        <v>321627</v>
      </c>
      <c r="W27" s="39">
        <f t="shared" si="10"/>
        <v>-671336</v>
      </c>
      <c r="X27" s="39">
        <f>X19+SUM(X21:X26)</f>
        <v>-176194</v>
      </c>
      <c r="Y27" s="39">
        <f t="shared" ref="Y27" si="11">Y19+SUM(Y21:Y26)</f>
        <v>-731231</v>
      </c>
      <c r="Z27" s="39">
        <f t="shared" ref="Z27" si="12">Z19+SUM(Z21:Z26)</f>
        <v>1171500</v>
      </c>
      <c r="AA27" s="39">
        <f t="shared" ref="AA27" si="13">AA19+SUM(AA21:AA26)</f>
        <v>-228199.70655905909</v>
      </c>
      <c r="AB27" s="39">
        <f t="shared" ref="AB27" si="14">AB19+SUM(AB21:AB26)</f>
        <v>35875.29344094079</v>
      </c>
      <c r="AC27" s="39">
        <f>AC19+SUM(AC21:AC26)</f>
        <v>41893.141213047435</v>
      </c>
      <c r="AD27" s="39">
        <f t="shared" ref="AD27" si="15">AD19+SUM(AD21:AD26)</f>
        <v>1192387.7231131976</v>
      </c>
      <c r="AE27" s="39">
        <f t="shared" ref="AE27" si="16">AE19+SUM(AE21:AE26)</f>
        <v>-205529.06002308195</v>
      </c>
      <c r="AF27" s="39">
        <f t="shared" ref="AF27" si="17">AF19+SUM(AF21:AF26)</f>
        <v>331037.70032815402</v>
      </c>
      <c r="AG27" s="39">
        <f t="shared" ref="AG27" si="18">AG19+SUM(AG21:AG26)</f>
        <v>1359789.5046313186</v>
      </c>
      <c r="AH27" s="39">
        <f>AH19+SUM(AH21:AH26)</f>
        <v>563969.16108326579</v>
      </c>
      <c r="AI27" s="39">
        <f t="shared" ref="AI27" si="19">AI19+SUM(AI21:AI26)</f>
        <v>2908336.9475217098</v>
      </c>
      <c r="AJ27" s="39">
        <f t="shared" ref="AJ27" si="20">AJ19+SUM(AJ21:AJ26)</f>
        <v>150422.14843447023</v>
      </c>
      <c r="AK27" s="39">
        <f t="shared" ref="AK27" si="21">AK19+SUM(AK21:AK26)</f>
        <v>-491398.27898061502</v>
      </c>
      <c r="AL27" s="39">
        <f t="shared" ref="AL27" si="22">AL19+SUM(AL21:AL26)</f>
        <v>1462359.9780588299</v>
      </c>
      <c r="AM27" s="39" t="e">
        <f>AM19+SUM(AM21:AM26)</f>
        <v>#VALUE!</v>
      </c>
      <c r="AN27" s="39" t="e">
        <f t="shared" ref="AN27" si="23">AN19+SUM(AN21:AN26)</f>
        <v>#VALUE!</v>
      </c>
      <c r="AO27" s="39" t="e">
        <f t="shared" ref="AO27" si="24">AO19+SUM(AO21:AO26)</f>
        <v>#VALUE!</v>
      </c>
      <c r="AP27" s="39" t="e">
        <f t="shared" ref="AP27" si="25">AP19+SUM(AP21:AP26)</f>
        <v>#VALUE!</v>
      </c>
      <c r="AQ27" s="39" t="e">
        <f t="shared" ref="AQ27" si="26">AQ19+SUM(AQ21:AQ26)</f>
        <v>#VALUE!</v>
      </c>
      <c r="AR27" s="39" t="e">
        <f>AR19+SUM(AR21:AR26)</f>
        <v>#VALUE!</v>
      </c>
      <c r="AS27" s="39" t="e">
        <f t="shared" ref="AS27" si="27">AS19+SUM(AS21:AS26)</f>
        <v>#VALUE!</v>
      </c>
      <c r="AT27" s="39" t="e">
        <f t="shared" ref="AT27" si="28">AT19+SUM(AT21:AT26)</f>
        <v>#VALUE!</v>
      </c>
      <c r="AU27" s="39" t="e">
        <f t="shared" ref="AU27" si="29">AU19+SUM(AU21:AU26)</f>
        <v>#VALUE!</v>
      </c>
      <c r="AV27" s="39" t="e">
        <f t="shared" ref="AV27" si="30">AV19+SUM(AV21:AV26)</f>
        <v>#VALUE!</v>
      </c>
      <c r="AW27" s="39" t="e">
        <f>AW19+SUM(AW21:AW26)</f>
        <v>#VALUE!</v>
      </c>
      <c r="AX27" s="39" t="e">
        <f t="shared" ref="AX27" si="31">AX19+SUM(AX21:AX26)</f>
        <v>#VALUE!</v>
      </c>
      <c r="AY27" s="39" t="e">
        <f t="shared" ref="AY27" si="32">AY19+SUM(AY21:AY26)</f>
        <v>#VALUE!</v>
      </c>
      <c r="AZ27" s="39" t="e">
        <f t="shared" ref="AZ27" si="33">AZ19+SUM(AZ21:AZ26)</f>
        <v>#VALUE!</v>
      </c>
      <c r="BA27" s="39" t="e">
        <f t="shared" ref="BA27" si="34">BA19+SUM(BA21:BA26)</f>
        <v>#VALUE!</v>
      </c>
      <c r="BB27" s="39" t="e">
        <f>BB19+SUM(BB21:BB26)</f>
        <v>#VALUE!</v>
      </c>
      <c r="BC27" s="39" t="e">
        <f t="shared" ref="BC27" si="35">BC19+SUM(BC21:BC26)</f>
        <v>#VALUE!</v>
      </c>
      <c r="BD27" s="39" t="e">
        <f t="shared" ref="BD27" si="36">BD19+SUM(BD21:BD26)</f>
        <v>#VALUE!</v>
      </c>
      <c r="BE27" s="39" t="e">
        <f t="shared" ref="BE27" si="37">BE19+SUM(BE21:BE26)</f>
        <v>#VALUE!</v>
      </c>
      <c r="BF27" s="39" t="e">
        <f t="shared" ref="BF27" si="38">BF19+SUM(BF21:BF26)</f>
        <v>#VALUE!</v>
      </c>
      <c r="BG27" s="39" t="e">
        <f>BG19+SUM(BG21:BG26)</f>
        <v>#VALUE!</v>
      </c>
      <c r="BH27" s="39" t="e">
        <f t="shared" ref="BH27" si="39">BH19+SUM(BH21:BH26)</f>
        <v>#VALUE!</v>
      </c>
      <c r="BI27" s="39" t="e">
        <f t="shared" ref="BI27" si="40">BI19+SUM(BI21:BI26)</f>
        <v>#VALUE!</v>
      </c>
      <c r="BJ27" s="39" t="e">
        <f t="shared" ref="BJ27" si="41">BJ19+SUM(BJ21:BJ26)</f>
        <v>#VALUE!</v>
      </c>
      <c r="BK27" s="39" t="e">
        <f t="shared" ref="BK27" si="42">BK19+SUM(BK21:BK26)</f>
        <v>#VALUE!</v>
      </c>
    </row>
    <row r="28" spans="1:76">
      <c r="A28" s="1" t="s">
        <v>706</v>
      </c>
      <c r="N28" s="36">
        <f>N27-'Consolidated (OLD)'!I106</f>
        <v>-145</v>
      </c>
      <c r="O28" s="36">
        <f>O27-'Consolidated (OLD)'!J106</f>
        <v>-94</v>
      </c>
      <c r="P28" s="36">
        <f>P27-'Consolidated (OLD)'!K106</f>
        <v>133</v>
      </c>
      <c r="Q28" s="36">
        <f>Q27-'Consolidated (OLD)'!L106</f>
        <v>-121</v>
      </c>
      <c r="R28" s="36">
        <f>R27-'Consolidated (OLD)'!M106</f>
        <v>-227</v>
      </c>
      <c r="S28" s="36">
        <f>S27-'Consolidated (OLD)'!N106</f>
        <v>-2577142</v>
      </c>
      <c r="T28" s="36">
        <f>T27-'Consolidated (OLD)'!O106</f>
        <v>2194639</v>
      </c>
      <c r="U28" s="36">
        <f>U27-'Consolidated (OLD)'!P106</f>
        <v>-320423</v>
      </c>
      <c r="V28" s="36">
        <f>V27-'Consolidated (OLD)'!Q106</f>
        <v>500717</v>
      </c>
      <c r="W28" s="36">
        <f>W27-'Consolidated (OLD)'!R106</f>
        <v>-202209</v>
      </c>
      <c r="X28" s="36">
        <f>X27-'Consolidated (OLD)'!S106</f>
        <v>0</v>
      </c>
      <c r="Y28" s="36">
        <f>Y27-'Consolidated (OLD)'!T106</f>
        <v>0</v>
      </c>
      <c r="Z28" s="36">
        <f>Z27-'Consolidated (OLD)'!U106</f>
        <v>0</v>
      </c>
    </row>
    <row r="30" spans="1:76">
      <c r="A30" s="5" t="s">
        <v>70</v>
      </c>
      <c r="N30" s="36">
        <f t="shared" ref="N30:Z30" si="43">N31-N27</f>
        <v>-359844</v>
      </c>
      <c r="O30" s="36">
        <f t="shared" si="43"/>
        <v>-96763</v>
      </c>
      <c r="P30" s="36">
        <f t="shared" si="43"/>
        <v>-128717</v>
      </c>
      <c r="Q30" s="36">
        <f t="shared" si="43"/>
        <v>-7086</v>
      </c>
      <c r="R30" s="36">
        <f t="shared" si="43"/>
        <v>-592410</v>
      </c>
      <c r="S30" s="36">
        <f t="shared" si="43"/>
        <v>2773276</v>
      </c>
      <c r="T30" s="36">
        <f t="shared" si="43"/>
        <v>-2696971</v>
      </c>
      <c r="U30" s="36">
        <f t="shared" si="43"/>
        <v>158418</v>
      </c>
      <c r="V30" s="36">
        <f t="shared" si="43"/>
        <v>-353188</v>
      </c>
      <c r="W30" s="36">
        <f t="shared" si="43"/>
        <v>-118465</v>
      </c>
      <c r="X30" s="36">
        <f t="shared" si="43"/>
        <v>-140000</v>
      </c>
      <c r="Y30" s="36">
        <f t="shared" si="43"/>
        <v>-57728</v>
      </c>
      <c r="Z30" s="36">
        <f t="shared" si="43"/>
        <v>-186025</v>
      </c>
      <c r="AA30" s="36">
        <f>'Consolidated (OLD)'!V120</f>
        <v>-9786.4220585190742</v>
      </c>
      <c r="AB30" s="36">
        <f>SUM(X30:AA30)</f>
        <v>-393539.42205851909</v>
      </c>
      <c r="AC30" s="36">
        <f>'Consolidated (OLD)'!X120</f>
        <v>-66799.392032733187</v>
      </c>
      <c r="AD30" s="36">
        <f>'Consolidated (OLD)'!Y120</f>
        <v>-183888.76060598949</v>
      </c>
      <c r="AE30" s="36">
        <f>'Consolidated (OLD)'!Z120</f>
        <v>-30384.353847242521</v>
      </c>
      <c r="AF30" s="36">
        <f>'Consolidated (OLD)'!AA120</f>
        <v>-67579.536082987222</v>
      </c>
      <c r="AG30" s="36">
        <f>SUM(AC30:AF30)</f>
        <v>-348652.04256895243</v>
      </c>
      <c r="AH30" s="36">
        <f>'Consolidated (OLD)'!AC120</f>
        <v>-130260.7097119289</v>
      </c>
      <c r="AI30" s="36">
        <f>'Consolidated (OLD)'!AD120</f>
        <v>-362701.16539815639</v>
      </c>
      <c r="AJ30" s="36">
        <f>'Consolidated (OLD)'!AE120</f>
        <v>-108031.76842082897</v>
      </c>
      <c r="AK30" s="36">
        <f>'Consolidated (OLD)'!AF120</f>
        <v>1473.1281585914694</v>
      </c>
      <c r="AL30" s="36">
        <f>SUM(AH30:AK30)</f>
        <v>-599520.51537232287</v>
      </c>
      <c r="AM30" s="36" t="e">
        <f>'Consolidated (OLD)'!AH120</f>
        <v>#VALUE!</v>
      </c>
      <c r="AN30" s="36" t="e">
        <f>'Consolidated (OLD)'!AI120</f>
        <v>#VALUE!</v>
      </c>
      <c r="AO30" s="36" t="e">
        <f>'Consolidated (OLD)'!AJ120</f>
        <v>#VALUE!</v>
      </c>
      <c r="AP30" s="36" t="e">
        <f>'Consolidated (OLD)'!AK120</f>
        <v>#VALUE!</v>
      </c>
      <c r="AQ30" s="36" t="e">
        <f>SUM(AM30:AP30)</f>
        <v>#VALUE!</v>
      </c>
      <c r="AR30" s="36" t="e">
        <f>'Consolidated (OLD)'!AM120</f>
        <v>#VALUE!</v>
      </c>
      <c r="AS30" s="36" t="e">
        <f>'Consolidated (OLD)'!AN120</f>
        <v>#VALUE!</v>
      </c>
      <c r="AT30" s="36" t="e">
        <f>'Consolidated (OLD)'!AO120</f>
        <v>#VALUE!</v>
      </c>
      <c r="AU30" s="36" t="e">
        <f>'Consolidated (OLD)'!AP120</f>
        <v>#VALUE!</v>
      </c>
      <c r="AV30" s="36" t="e">
        <f>SUM(AR30:AU30)</f>
        <v>#VALUE!</v>
      </c>
      <c r="AW30" s="36" t="e">
        <f>'Consolidated (OLD)'!AR120</f>
        <v>#VALUE!</v>
      </c>
      <c r="AX30" s="36" t="e">
        <f>'Consolidated (OLD)'!AS120</f>
        <v>#VALUE!</v>
      </c>
      <c r="AY30" s="36" t="e">
        <f>'Consolidated (OLD)'!AT120</f>
        <v>#VALUE!</v>
      </c>
      <c r="AZ30" s="36" t="e">
        <f>'Consolidated (OLD)'!AU120</f>
        <v>#VALUE!</v>
      </c>
      <c r="BA30" s="36" t="e">
        <f>SUM(AW30:AZ30)</f>
        <v>#VALUE!</v>
      </c>
      <c r="BB30" s="36" t="e">
        <f>'Consolidated (OLD)'!AW120</f>
        <v>#VALUE!</v>
      </c>
      <c r="BC30" s="36" t="e">
        <f>'Consolidated (OLD)'!AX120</f>
        <v>#VALUE!</v>
      </c>
      <c r="BD30" s="36" t="e">
        <f>'Consolidated (OLD)'!AY120</f>
        <v>#VALUE!</v>
      </c>
      <c r="BE30" s="36" t="e">
        <f>'Consolidated (OLD)'!AZ120</f>
        <v>#VALUE!</v>
      </c>
      <c r="BF30" s="36" t="e">
        <f>SUM(BB30:BE30)</f>
        <v>#VALUE!</v>
      </c>
      <c r="BG30" s="36" t="e">
        <f>'Consolidated (OLD)'!BB120</f>
        <v>#VALUE!</v>
      </c>
      <c r="BH30" s="36" t="e">
        <f>'Consolidated (OLD)'!BC120</f>
        <v>#VALUE!</v>
      </c>
      <c r="BI30" s="36" t="e">
        <f>'Consolidated (OLD)'!BD120</f>
        <v>#VALUE!</v>
      </c>
      <c r="BJ30" s="36" t="e">
        <f>'Consolidated (OLD)'!BE120</f>
        <v>#VALUE!</v>
      </c>
      <c r="BK30" s="36" t="e">
        <f>SUM(BG30:BJ30)</f>
        <v>#VALUE!</v>
      </c>
    </row>
    <row r="31" spans="1:76">
      <c r="A31" s="9" t="s">
        <v>71</v>
      </c>
      <c r="B31" s="9"/>
      <c r="C31" s="9"/>
      <c r="D31" s="9"/>
      <c r="E31" s="9"/>
      <c r="F31" s="9"/>
      <c r="G31" s="9"/>
      <c r="H31" s="9"/>
      <c r="I31" s="9"/>
      <c r="J31" s="9"/>
      <c r="K31" s="9"/>
      <c r="L31" s="9"/>
      <c r="M31" s="9"/>
      <c r="N31" s="67">
        <v>932489</v>
      </c>
      <c r="O31" s="67">
        <v>-342364</v>
      </c>
      <c r="P31" s="67">
        <v>59169</v>
      </c>
      <c r="Q31" s="67">
        <v>-2111493</v>
      </c>
      <c r="R31" s="39">
        <f>SUM(N31:Q31)</f>
        <v>-1462199</v>
      </c>
      <c r="S31" s="67">
        <v>-3096321</v>
      </c>
      <c r="T31" s="67">
        <v>3082759</v>
      </c>
      <c r="U31" s="67">
        <v>-744678</v>
      </c>
      <c r="V31" s="67">
        <v>-31561</v>
      </c>
      <c r="W31" s="39">
        <f>SUM(S31:V31)</f>
        <v>-789801</v>
      </c>
      <c r="X31" s="67">
        <v>-316194</v>
      </c>
      <c r="Y31" s="67">
        <v>-788959</v>
      </c>
      <c r="Z31" s="67">
        <v>985475</v>
      </c>
      <c r="AA31" s="39">
        <f>AA27+AA30</f>
        <v>-237986.12861757816</v>
      </c>
      <c r="AB31" s="39">
        <f t="shared" ref="AB31:AG31" si="44">AB27+AB30</f>
        <v>-357664.1286175783</v>
      </c>
      <c r="AC31" s="39">
        <f t="shared" si="44"/>
        <v>-24906.250819685753</v>
      </c>
      <c r="AD31" s="39">
        <f t="shared" si="44"/>
        <v>1008498.9625072081</v>
      </c>
      <c r="AE31" s="39">
        <f t="shared" si="44"/>
        <v>-235913.41387032447</v>
      </c>
      <c r="AF31" s="39">
        <f t="shared" si="44"/>
        <v>263458.16424516682</v>
      </c>
      <c r="AG31" s="39">
        <f t="shared" si="44"/>
        <v>1011137.4620623662</v>
      </c>
      <c r="AH31" s="39">
        <f t="shared" ref="AH31" si="45">AH27+AH30</f>
        <v>433708.45137133688</v>
      </c>
      <c r="AI31" s="39">
        <f t="shared" ref="AI31" si="46">AI27+AI30</f>
        <v>2545635.7821235536</v>
      </c>
      <c r="AJ31" s="39">
        <f t="shared" ref="AJ31" si="47">AJ27+AJ30</f>
        <v>42390.380013641261</v>
      </c>
      <c r="AK31" s="39">
        <f t="shared" ref="AK31" si="48">AK27+AK30</f>
        <v>-489925.15082202357</v>
      </c>
      <c r="AL31" s="39">
        <f t="shared" ref="AL31" si="49">AL27+AL30</f>
        <v>862839.46268650703</v>
      </c>
      <c r="AM31" s="39" t="e">
        <f t="shared" ref="AM31" si="50">AM27+AM30</f>
        <v>#VALUE!</v>
      </c>
      <c r="AN31" s="39" t="e">
        <f t="shared" ref="AN31" si="51">AN27+AN30</f>
        <v>#VALUE!</v>
      </c>
      <c r="AO31" s="39" t="e">
        <f t="shared" ref="AO31" si="52">AO27+AO30</f>
        <v>#VALUE!</v>
      </c>
      <c r="AP31" s="39" t="e">
        <f t="shared" ref="AP31" si="53">AP27+AP30</f>
        <v>#VALUE!</v>
      </c>
      <c r="AQ31" s="39" t="e">
        <f t="shared" ref="AQ31" si="54">AQ27+AQ30</f>
        <v>#VALUE!</v>
      </c>
      <c r="AR31" s="39" t="e">
        <f t="shared" ref="AR31" si="55">AR27+AR30</f>
        <v>#VALUE!</v>
      </c>
      <c r="AS31" s="39" t="e">
        <f t="shared" ref="AS31" si="56">AS27+AS30</f>
        <v>#VALUE!</v>
      </c>
      <c r="AT31" s="39" t="e">
        <f t="shared" ref="AT31" si="57">AT27+AT30</f>
        <v>#VALUE!</v>
      </c>
      <c r="AU31" s="39" t="e">
        <f t="shared" ref="AU31" si="58">AU27+AU30</f>
        <v>#VALUE!</v>
      </c>
      <c r="AV31" s="39" t="e">
        <f t="shared" ref="AV31" si="59">AV27+AV30</f>
        <v>#VALUE!</v>
      </c>
      <c r="AW31" s="39" t="e">
        <f t="shared" ref="AW31" si="60">AW27+AW30</f>
        <v>#VALUE!</v>
      </c>
      <c r="AX31" s="39" t="e">
        <f t="shared" ref="AX31" si="61">AX27+AX30</f>
        <v>#VALUE!</v>
      </c>
      <c r="AY31" s="39" t="e">
        <f t="shared" ref="AY31" si="62">AY27+AY30</f>
        <v>#VALUE!</v>
      </c>
      <c r="AZ31" s="39" t="e">
        <f t="shared" ref="AZ31" si="63">AZ27+AZ30</f>
        <v>#VALUE!</v>
      </c>
      <c r="BA31" s="39" t="e">
        <f t="shared" ref="BA31" si="64">BA27+BA30</f>
        <v>#VALUE!</v>
      </c>
      <c r="BB31" s="39" t="e">
        <f t="shared" ref="BB31" si="65">BB27+BB30</f>
        <v>#VALUE!</v>
      </c>
      <c r="BC31" s="39" t="e">
        <f t="shared" ref="BC31" si="66">BC27+BC30</f>
        <v>#VALUE!</v>
      </c>
      <c r="BD31" s="39" t="e">
        <f t="shared" ref="BD31" si="67">BD27+BD30</f>
        <v>#VALUE!</v>
      </c>
      <c r="BE31" s="39" t="e">
        <f t="shared" ref="BE31" si="68">BE27+BE30</f>
        <v>#VALUE!</v>
      </c>
      <c r="BF31" s="39" t="e">
        <f t="shared" ref="BF31" si="69">BF27+BF30</f>
        <v>#VALUE!</v>
      </c>
      <c r="BG31" s="39" t="e">
        <f t="shared" ref="BG31" si="70">BG27+BG30</f>
        <v>#VALUE!</v>
      </c>
      <c r="BH31" s="39" t="e">
        <f t="shared" ref="BH31" si="71">BH27+BH30</f>
        <v>#VALUE!</v>
      </c>
      <c r="BI31" s="39" t="e">
        <f t="shared" ref="BI31" si="72">BI27+BI30</f>
        <v>#VALUE!</v>
      </c>
      <c r="BJ31" s="39" t="e">
        <f t="shared" ref="BJ31" si="73">BJ27+BJ30</f>
        <v>#VALUE!</v>
      </c>
      <c r="BK31" s="39" t="e">
        <f t="shared" ref="BK31" si="74">BK27+BK30</f>
        <v>#VALUE!</v>
      </c>
    </row>
    <row r="33" spans="1:65">
      <c r="A33" s="1" t="s">
        <v>72</v>
      </c>
    </row>
    <row r="34" spans="1:65">
      <c r="A34" s="5" t="s">
        <v>73</v>
      </c>
      <c r="N34" s="136">
        <v>761509</v>
      </c>
      <c r="O34" s="136">
        <v>-397940</v>
      </c>
      <c r="P34" s="136">
        <v>29048</v>
      </c>
      <c r="Q34" s="136">
        <v>-2100646</v>
      </c>
      <c r="R34" s="36">
        <f>SUM(N34:Q34)</f>
        <v>-1708029</v>
      </c>
      <c r="S34" s="136">
        <v>-3162700</v>
      </c>
      <c r="T34" s="136">
        <v>3033602</v>
      </c>
      <c r="U34" s="136">
        <v>-783415</v>
      </c>
      <c r="V34" s="136">
        <v>-57631</v>
      </c>
      <c r="W34" s="36">
        <f>SUM(S34:V34)</f>
        <v>-970144</v>
      </c>
      <c r="X34" s="136">
        <v>-477616</v>
      </c>
      <c r="Y34" s="136">
        <v>-931111</v>
      </c>
      <c r="Z34" s="136">
        <v>950004</v>
      </c>
      <c r="AA34" s="36">
        <f>AA36-AA35</f>
        <v>-265134.98699850414</v>
      </c>
      <c r="AB34" s="36">
        <f>SUM(X34:AA34)</f>
        <v>-723857.98699850414</v>
      </c>
      <c r="AC34" s="36">
        <f t="shared" ref="AC34:AF34" si="75">AC36-AC35</f>
        <v>-112877.30534617616</v>
      </c>
      <c r="AD34" s="36">
        <f t="shared" si="75"/>
        <v>928030.56973100815</v>
      </c>
      <c r="AE34" s="36">
        <f t="shared" si="75"/>
        <v>-309433.22686067817</v>
      </c>
      <c r="AF34" s="36">
        <f t="shared" si="75"/>
        <v>227260.58849894535</v>
      </c>
      <c r="AG34" s="36">
        <f>SUM(AC34:AF34)</f>
        <v>732980.62602309918</v>
      </c>
      <c r="AH34" s="36">
        <f t="shared" ref="AH34" si="76">AH36-AH35</f>
        <v>343108.51469644054</v>
      </c>
      <c r="AI34" s="36">
        <f t="shared" ref="AI34" si="77">AI36-AI35</f>
        <v>2463467.416045811</v>
      </c>
      <c r="AJ34" s="36">
        <f t="shared" ref="AJ34" si="78">AJ36-AJ35</f>
        <v>-33815.349967389906</v>
      </c>
      <c r="AK34" s="36">
        <f t="shared" ref="AK34" si="79">AK36-AK35</f>
        <v>-533875.75971945771</v>
      </c>
      <c r="AL34" s="36">
        <f>SUM(AH34:AK34)</f>
        <v>2238884.8210554039</v>
      </c>
      <c r="AM34" s="36" t="e">
        <f t="shared" ref="AM34" si="80">AM36-AM35</f>
        <v>#VALUE!</v>
      </c>
      <c r="AN34" s="36" t="e">
        <f t="shared" ref="AN34" si="81">AN36-AN35</f>
        <v>#VALUE!</v>
      </c>
      <c r="AO34" s="36" t="e">
        <f t="shared" ref="AO34" si="82">AO36-AO35</f>
        <v>#VALUE!</v>
      </c>
      <c r="AP34" s="36" t="e">
        <f t="shared" ref="AP34" si="83">AP36-AP35</f>
        <v>#VALUE!</v>
      </c>
      <c r="AQ34" s="36" t="e">
        <f>SUM(AM34:AP34)</f>
        <v>#VALUE!</v>
      </c>
      <c r="AR34" s="36" t="e">
        <f t="shared" ref="AR34" si="84">AR36-AR35</f>
        <v>#VALUE!</v>
      </c>
      <c r="AS34" s="36" t="e">
        <f t="shared" ref="AS34" si="85">AS36-AS35</f>
        <v>#VALUE!</v>
      </c>
      <c r="AT34" s="36" t="e">
        <f t="shared" ref="AT34" si="86">AT36-AT35</f>
        <v>#VALUE!</v>
      </c>
      <c r="AU34" s="36" t="e">
        <f t="shared" ref="AU34" si="87">AU36-AU35</f>
        <v>#VALUE!</v>
      </c>
      <c r="AV34" s="36" t="e">
        <f>SUM(AR34:AU34)</f>
        <v>#VALUE!</v>
      </c>
      <c r="AW34" s="36" t="e">
        <f t="shared" ref="AW34" si="88">AW36-AW35</f>
        <v>#VALUE!</v>
      </c>
      <c r="AX34" s="36" t="e">
        <f t="shared" ref="AX34" si="89">AX36-AX35</f>
        <v>#VALUE!</v>
      </c>
      <c r="AY34" s="36" t="e">
        <f t="shared" ref="AY34" si="90">AY36-AY35</f>
        <v>#VALUE!</v>
      </c>
      <c r="AZ34" s="36" t="e">
        <f t="shared" ref="AZ34" si="91">AZ36-AZ35</f>
        <v>#VALUE!</v>
      </c>
      <c r="BA34" s="36" t="e">
        <f>SUM(AW34:AZ34)</f>
        <v>#VALUE!</v>
      </c>
      <c r="BB34" s="36" t="e">
        <f>BB39*BB36</f>
        <v>#VALUE!</v>
      </c>
      <c r="BC34" s="36" t="e">
        <f>BC39*BC36</f>
        <v>#VALUE!</v>
      </c>
      <c r="BD34" s="36" t="e">
        <f>BD39*BD36</f>
        <v>#VALUE!</v>
      </c>
      <c r="BE34" s="36" t="e">
        <f>BE39*BE36</f>
        <v>#VALUE!</v>
      </c>
      <c r="BF34" s="36" t="e">
        <f>SUM(BB34:BE34)</f>
        <v>#VALUE!</v>
      </c>
      <c r="BG34" s="36" t="e">
        <f>BG39*BG36</f>
        <v>#VALUE!</v>
      </c>
      <c r="BH34" s="36" t="e">
        <f>BH39*BH36</f>
        <v>#VALUE!</v>
      </c>
      <c r="BI34" s="36" t="e">
        <f>BI39*BI36</f>
        <v>#VALUE!</v>
      </c>
      <c r="BJ34" s="36" t="e">
        <f>BJ39*BJ36</f>
        <v>#VALUE!</v>
      </c>
      <c r="BK34" s="36" t="e">
        <f>SUM(BG34:BJ34)</f>
        <v>#VALUE!</v>
      </c>
    </row>
    <row r="35" spans="1:65">
      <c r="A35" s="5" t="s">
        <v>50</v>
      </c>
      <c r="N35" s="36">
        <f t="shared" ref="N35:Z35" si="92">N36-N34</f>
        <v>170980</v>
      </c>
      <c r="O35" s="36">
        <f t="shared" si="92"/>
        <v>55576</v>
      </c>
      <c r="P35" s="36">
        <f t="shared" si="92"/>
        <v>30121</v>
      </c>
      <c r="Q35" s="36">
        <f t="shared" si="92"/>
        <v>-10847</v>
      </c>
      <c r="R35" s="36">
        <f t="shared" si="92"/>
        <v>245830</v>
      </c>
      <c r="S35" s="36">
        <f t="shared" si="92"/>
        <v>66379</v>
      </c>
      <c r="T35" s="36">
        <f t="shared" si="92"/>
        <v>49157</v>
      </c>
      <c r="U35" s="36">
        <f t="shared" si="92"/>
        <v>38737</v>
      </c>
      <c r="V35" s="36">
        <f t="shared" si="92"/>
        <v>26070</v>
      </c>
      <c r="W35" s="36">
        <f t="shared" si="92"/>
        <v>180343</v>
      </c>
      <c r="X35" s="36">
        <f t="shared" si="92"/>
        <v>161422</v>
      </c>
      <c r="Y35" s="36">
        <f t="shared" si="92"/>
        <v>142152</v>
      </c>
      <c r="Z35" s="36">
        <f t="shared" si="92"/>
        <v>35471</v>
      </c>
      <c r="AA35" s="36">
        <f>AA45+AA48</f>
        <v>27148.858380926009</v>
      </c>
      <c r="AB35" s="36">
        <f>AB36-AB34</f>
        <v>366193.85838092584</v>
      </c>
      <c r="AC35" s="36">
        <f t="shared" ref="AC35:AF35" si="93">AC45+AC48</f>
        <v>87971.054526490407</v>
      </c>
      <c r="AD35" s="36">
        <f t="shared" si="93"/>
        <v>80468.392776200009</v>
      </c>
      <c r="AE35" s="36">
        <f t="shared" si="93"/>
        <v>73519.812990353734</v>
      </c>
      <c r="AF35" s="36">
        <f t="shared" si="93"/>
        <v>36197.575746221461</v>
      </c>
      <c r="AG35" s="36">
        <f>AG36-AG34</f>
        <v>278156.83603926701</v>
      </c>
      <c r="AH35" s="36">
        <f t="shared" ref="AH35:AK35" si="94">AH45+AH48</f>
        <v>90599.936674896366</v>
      </c>
      <c r="AI35" s="36">
        <f t="shared" si="94"/>
        <v>82168.366077742423</v>
      </c>
      <c r="AJ35" s="36">
        <f t="shared" si="94"/>
        <v>76205.729981031167</v>
      </c>
      <c r="AK35" s="36">
        <f t="shared" si="94"/>
        <v>43950.608897434111</v>
      </c>
      <c r="AL35" s="36">
        <f>AL36-AL34</f>
        <v>-1376045.3583688969</v>
      </c>
      <c r="AM35" s="36">
        <f t="shared" ref="AM35:AP35" si="95">AM45+AM48</f>
        <v>95072.251404091541</v>
      </c>
      <c r="AN35" s="36">
        <f t="shared" si="95"/>
        <v>88643.800282859767</v>
      </c>
      <c r="AO35" s="36">
        <f t="shared" si="95"/>
        <v>81994.926254495251</v>
      </c>
      <c r="AP35" s="36">
        <f t="shared" si="95"/>
        <v>50819.270330671323</v>
      </c>
      <c r="AQ35" s="36" t="e">
        <f>AQ36-AQ34</f>
        <v>#VALUE!</v>
      </c>
      <c r="AR35" s="36">
        <f t="shared" ref="AR35:AU35" si="96">AR45+AR48</f>
        <v>102159.91483401357</v>
      </c>
      <c r="AS35" s="36">
        <f t="shared" si="96"/>
        <v>95253.762064447656</v>
      </c>
      <c r="AT35" s="36">
        <f t="shared" si="96"/>
        <v>89692.458009397393</v>
      </c>
      <c r="AU35" s="36">
        <f t="shared" si="96"/>
        <v>59697.321006529579</v>
      </c>
      <c r="AV35" s="36" t="e">
        <f>AV36-AV34</f>
        <v>#VALUE!</v>
      </c>
      <c r="AW35" s="36">
        <f t="shared" ref="AW35:AZ35" si="97">AW45+AW48</f>
        <v>110377.98637752776</v>
      </c>
      <c r="AX35" s="36">
        <f t="shared" si="97"/>
        <v>103036.94333546099</v>
      </c>
      <c r="AY35" s="36">
        <f t="shared" si="97"/>
        <v>98456.939929731845</v>
      </c>
      <c r="AZ35" s="36">
        <f t="shared" si="97"/>
        <v>69674.674448761783</v>
      </c>
      <c r="BA35" s="36" t="e">
        <f>BA36-BA34</f>
        <v>#VALUE!</v>
      </c>
      <c r="BB35" s="36" t="e">
        <f>BB36-BB34</f>
        <v>#VALUE!</v>
      </c>
      <c r="BC35" s="36" t="e">
        <f>BC36-BC34</f>
        <v>#VALUE!</v>
      </c>
      <c r="BD35" s="36" t="e">
        <f>BD36-BD34</f>
        <v>#VALUE!</v>
      </c>
      <c r="BE35" s="36" t="e">
        <f>BE36-BE34</f>
        <v>#VALUE!</v>
      </c>
      <c r="BF35" s="36" t="e">
        <f>SUM(BB35:BE35)</f>
        <v>#VALUE!</v>
      </c>
      <c r="BG35" s="36" t="e">
        <f>BG36-BG34</f>
        <v>#VALUE!</v>
      </c>
      <c r="BH35" s="36" t="e">
        <f>BH36-BH34</f>
        <v>#VALUE!</v>
      </c>
      <c r="BI35" s="36" t="e">
        <f>BI36-BI34</f>
        <v>#VALUE!</v>
      </c>
      <c r="BJ35" s="36" t="e">
        <f>BJ36-BJ34</f>
        <v>#VALUE!</v>
      </c>
      <c r="BK35" s="36" t="e">
        <f>SUM(BG35:BJ35)</f>
        <v>#VALUE!</v>
      </c>
    </row>
    <row r="36" spans="1:65">
      <c r="A36" s="9" t="s">
        <v>71</v>
      </c>
      <c r="B36" s="9"/>
      <c r="C36" s="9"/>
      <c r="D36" s="9"/>
      <c r="E36" s="9"/>
      <c r="F36" s="9"/>
      <c r="G36" s="9"/>
      <c r="H36" s="9"/>
      <c r="I36" s="9"/>
      <c r="J36" s="9"/>
      <c r="K36" s="9"/>
      <c r="L36" s="9"/>
      <c r="M36" s="9"/>
      <c r="N36" s="39">
        <f t="shared" ref="N36:AB36" si="98">N31</f>
        <v>932489</v>
      </c>
      <c r="O36" s="39">
        <f t="shared" si="98"/>
        <v>-342364</v>
      </c>
      <c r="P36" s="39">
        <f t="shared" si="98"/>
        <v>59169</v>
      </c>
      <c r="Q36" s="39">
        <f t="shared" si="98"/>
        <v>-2111493</v>
      </c>
      <c r="R36" s="39">
        <f t="shared" si="98"/>
        <v>-1462199</v>
      </c>
      <c r="S36" s="39">
        <f t="shared" si="98"/>
        <v>-3096321</v>
      </c>
      <c r="T36" s="39">
        <f t="shared" si="98"/>
        <v>3082759</v>
      </c>
      <c r="U36" s="39">
        <f t="shared" si="98"/>
        <v>-744678</v>
      </c>
      <c r="V36" s="39">
        <f t="shared" si="98"/>
        <v>-31561</v>
      </c>
      <c r="W36" s="39">
        <f t="shared" si="98"/>
        <v>-789801</v>
      </c>
      <c r="X36" s="39">
        <f t="shared" si="98"/>
        <v>-316194</v>
      </c>
      <c r="Y36" s="39">
        <f t="shared" si="98"/>
        <v>-788959</v>
      </c>
      <c r="Z36" s="39">
        <f t="shared" si="98"/>
        <v>985475</v>
      </c>
      <c r="AA36" s="39">
        <f t="shared" si="98"/>
        <v>-237986.12861757816</v>
      </c>
      <c r="AB36" s="39">
        <f t="shared" si="98"/>
        <v>-357664.1286175783</v>
      </c>
      <c r="AC36" s="39">
        <f t="shared" ref="AC36:AF36" si="99">AC31</f>
        <v>-24906.250819685753</v>
      </c>
      <c r="AD36" s="39">
        <f t="shared" si="99"/>
        <v>1008498.9625072081</v>
      </c>
      <c r="AE36" s="39">
        <f t="shared" si="99"/>
        <v>-235913.41387032447</v>
      </c>
      <c r="AF36" s="39">
        <f t="shared" si="99"/>
        <v>263458.16424516682</v>
      </c>
      <c r="AG36" s="39">
        <f>AG31</f>
        <v>1011137.4620623662</v>
      </c>
      <c r="AH36" s="39">
        <f t="shared" ref="AH36:AK36" si="100">AH31</f>
        <v>433708.45137133688</v>
      </c>
      <c r="AI36" s="39">
        <f t="shared" si="100"/>
        <v>2545635.7821235536</v>
      </c>
      <c r="AJ36" s="39">
        <f t="shared" si="100"/>
        <v>42390.380013641261</v>
      </c>
      <c r="AK36" s="39">
        <f t="shared" si="100"/>
        <v>-489925.15082202357</v>
      </c>
      <c r="AL36" s="39">
        <f>AL31</f>
        <v>862839.46268650703</v>
      </c>
      <c r="AM36" s="39" t="e">
        <f t="shared" ref="AM36:AP36" si="101">AM31</f>
        <v>#VALUE!</v>
      </c>
      <c r="AN36" s="39" t="e">
        <f t="shared" si="101"/>
        <v>#VALUE!</v>
      </c>
      <c r="AO36" s="39" t="e">
        <f t="shared" si="101"/>
        <v>#VALUE!</v>
      </c>
      <c r="AP36" s="39" t="e">
        <f t="shared" si="101"/>
        <v>#VALUE!</v>
      </c>
      <c r="AQ36" s="39" t="e">
        <f>AQ31</f>
        <v>#VALUE!</v>
      </c>
      <c r="AR36" s="39" t="e">
        <f t="shared" ref="AR36:AU36" si="102">AR31</f>
        <v>#VALUE!</v>
      </c>
      <c r="AS36" s="39" t="e">
        <f t="shared" si="102"/>
        <v>#VALUE!</v>
      </c>
      <c r="AT36" s="39" t="e">
        <f t="shared" si="102"/>
        <v>#VALUE!</v>
      </c>
      <c r="AU36" s="39" t="e">
        <f t="shared" si="102"/>
        <v>#VALUE!</v>
      </c>
      <c r="AV36" s="39" t="e">
        <f>AV31</f>
        <v>#VALUE!</v>
      </c>
      <c r="AW36" s="39" t="e">
        <f t="shared" ref="AW36:BE36" si="103">AW31</f>
        <v>#VALUE!</v>
      </c>
      <c r="AX36" s="39" t="e">
        <f t="shared" si="103"/>
        <v>#VALUE!</v>
      </c>
      <c r="AY36" s="39" t="e">
        <f t="shared" si="103"/>
        <v>#VALUE!</v>
      </c>
      <c r="AZ36" s="39" t="e">
        <f t="shared" si="103"/>
        <v>#VALUE!</v>
      </c>
      <c r="BA36" s="39" t="e">
        <f>BA31</f>
        <v>#VALUE!</v>
      </c>
      <c r="BB36" s="39" t="e">
        <f t="shared" si="103"/>
        <v>#VALUE!</v>
      </c>
      <c r="BC36" s="39" t="e">
        <f t="shared" si="103"/>
        <v>#VALUE!</v>
      </c>
      <c r="BD36" s="39" t="e">
        <f t="shared" si="103"/>
        <v>#VALUE!</v>
      </c>
      <c r="BE36" s="39" t="e">
        <f t="shared" si="103"/>
        <v>#VALUE!</v>
      </c>
      <c r="BF36" s="39" t="e">
        <f>BF31</f>
        <v>#VALUE!</v>
      </c>
      <c r="BG36" s="39" t="e">
        <f t="shared" ref="BG36:BJ36" si="104">BG31</f>
        <v>#VALUE!</v>
      </c>
      <c r="BH36" s="39" t="e">
        <f t="shared" si="104"/>
        <v>#VALUE!</v>
      </c>
      <c r="BI36" s="39" t="e">
        <f t="shared" si="104"/>
        <v>#VALUE!</v>
      </c>
      <c r="BJ36" s="39" t="e">
        <f t="shared" si="104"/>
        <v>#VALUE!</v>
      </c>
      <c r="BK36" s="39" t="e">
        <f>BK31</f>
        <v>#VALUE!</v>
      </c>
    </row>
    <row r="38" spans="1:65">
      <c r="A38" s="1" t="s">
        <v>2177</v>
      </c>
    </row>
    <row r="39" spans="1:65">
      <c r="A39" s="5" t="s">
        <v>73</v>
      </c>
      <c r="N39" s="21">
        <f t="shared" ref="N39:BA39" si="105">N34/N36</f>
        <v>0.81664126869056897</v>
      </c>
      <c r="O39" s="21">
        <f t="shared" si="105"/>
        <v>1.162330151534624</v>
      </c>
      <c r="P39" s="21">
        <f t="shared" si="105"/>
        <v>0.4909327519478105</v>
      </c>
      <c r="Q39" s="21">
        <f t="shared" si="105"/>
        <v>0.99486287664699813</v>
      </c>
      <c r="R39" s="21">
        <f t="shared" si="105"/>
        <v>1.1681234907150122</v>
      </c>
      <c r="S39" s="21">
        <f t="shared" si="105"/>
        <v>1.0214380227373066</v>
      </c>
      <c r="T39" s="21">
        <f t="shared" si="105"/>
        <v>0.98405421896424594</v>
      </c>
      <c r="U39" s="21">
        <f t="shared" si="105"/>
        <v>1.0520184562992327</v>
      </c>
      <c r="V39" s="21">
        <f t="shared" si="105"/>
        <v>1.8260194543899115</v>
      </c>
      <c r="W39" s="21">
        <f t="shared" si="105"/>
        <v>1.2283397969868359</v>
      </c>
      <c r="X39" s="21">
        <f t="shared" si="105"/>
        <v>1.5105156960600137</v>
      </c>
      <c r="Y39" s="21">
        <f t="shared" si="105"/>
        <v>1.1801766631726109</v>
      </c>
      <c r="Z39" s="21">
        <f t="shared" si="105"/>
        <v>0.9640061899084198</v>
      </c>
      <c r="AA39" s="21">
        <f t="shared" si="105"/>
        <v>1.1140774823248278</v>
      </c>
      <c r="AB39" s="21">
        <f t="shared" si="105"/>
        <v>2.0238484351123387</v>
      </c>
      <c r="AC39" s="21">
        <f t="shared" si="105"/>
        <v>4.532087392975205</v>
      </c>
      <c r="AD39" s="21">
        <f t="shared" si="105"/>
        <v>0.92020974163805858</v>
      </c>
      <c r="AE39" s="21">
        <f t="shared" si="105"/>
        <v>1.3116389686546848</v>
      </c>
      <c r="AF39" s="21">
        <f t="shared" si="105"/>
        <v>0.86260598205437655</v>
      </c>
      <c r="AG39" s="21">
        <f t="shared" si="105"/>
        <v>0.72490700179189826</v>
      </c>
      <c r="AH39" s="21">
        <f t="shared" si="105"/>
        <v>0.79110405529698669</v>
      </c>
      <c r="AI39" s="21">
        <f t="shared" si="105"/>
        <v>0.96772186867628085</v>
      </c>
      <c r="AJ39" s="21">
        <f t="shared" si="105"/>
        <v>-0.79771282910198249</v>
      </c>
      <c r="AK39" s="21">
        <f t="shared" si="105"/>
        <v>1.0897088235288419</v>
      </c>
      <c r="AL39" s="21">
        <f t="shared" si="105"/>
        <v>2.5947872320124183</v>
      </c>
      <c r="AM39" s="21" t="e">
        <f t="shared" si="105"/>
        <v>#VALUE!</v>
      </c>
      <c r="AN39" s="21" t="e">
        <f t="shared" si="105"/>
        <v>#VALUE!</v>
      </c>
      <c r="AO39" s="21" t="e">
        <f t="shared" si="105"/>
        <v>#VALUE!</v>
      </c>
      <c r="AP39" s="21" t="e">
        <f t="shared" si="105"/>
        <v>#VALUE!</v>
      </c>
      <c r="AQ39" s="21" t="e">
        <f t="shared" si="105"/>
        <v>#VALUE!</v>
      </c>
      <c r="AR39" s="21" t="e">
        <f t="shared" si="105"/>
        <v>#VALUE!</v>
      </c>
      <c r="AS39" s="21" t="e">
        <f t="shared" si="105"/>
        <v>#VALUE!</v>
      </c>
      <c r="AT39" s="21" t="e">
        <f t="shared" si="105"/>
        <v>#VALUE!</v>
      </c>
      <c r="AU39" s="21" t="e">
        <f t="shared" si="105"/>
        <v>#VALUE!</v>
      </c>
      <c r="AV39" s="21" t="e">
        <f t="shared" si="105"/>
        <v>#VALUE!</v>
      </c>
      <c r="AW39" s="21" t="e">
        <f t="shared" si="105"/>
        <v>#VALUE!</v>
      </c>
      <c r="AX39" s="21" t="e">
        <f t="shared" si="105"/>
        <v>#VALUE!</v>
      </c>
      <c r="AY39" s="21" t="e">
        <f t="shared" si="105"/>
        <v>#VALUE!</v>
      </c>
      <c r="AZ39" s="21" t="e">
        <f t="shared" si="105"/>
        <v>#VALUE!</v>
      </c>
      <c r="BA39" s="21" t="e">
        <f t="shared" si="105"/>
        <v>#VALUE!</v>
      </c>
      <c r="BB39" s="117" t="e">
        <f t="shared" ref="BB39:BE40" si="106">AW39</f>
        <v>#VALUE!</v>
      </c>
      <c r="BC39" s="117" t="e">
        <f t="shared" si="106"/>
        <v>#VALUE!</v>
      </c>
      <c r="BD39" s="117" t="e">
        <f t="shared" si="106"/>
        <v>#VALUE!</v>
      </c>
      <c r="BE39" s="117" t="e">
        <f t="shared" si="106"/>
        <v>#VALUE!</v>
      </c>
      <c r="BF39" s="21" t="e">
        <f>BF34/BF36</f>
        <v>#VALUE!</v>
      </c>
      <c r="BG39" s="117" t="e">
        <f t="shared" ref="BG39:BJ40" si="107">BB39</f>
        <v>#VALUE!</v>
      </c>
      <c r="BH39" s="117" t="e">
        <f t="shared" si="107"/>
        <v>#VALUE!</v>
      </c>
      <c r="BI39" s="117" t="e">
        <f t="shared" si="107"/>
        <v>#VALUE!</v>
      </c>
      <c r="BJ39" s="117" t="e">
        <f t="shared" si="107"/>
        <v>#VALUE!</v>
      </c>
      <c r="BK39" s="21" t="e">
        <f>BK34/BK36</f>
        <v>#VALUE!</v>
      </c>
    </row>
    <row r="40" spans="1:65">
      <c r="A40" s="5" t="s">
        <v>50</v>
      </c>
      <c r="N40" s="104">
        <f t="shared" ref="N40:BA40" si="108">1-N39</f>
        <v>0.18335873130943103</v>
      </c>
      <c r="O40" s="104">
        <f t="shared" si="108"/>
        <v>-0.16233015153462405</v>
      </c>
      <c r="P40" s="104">
        <f t="shared" si="108"/>
        <v>0.5090672480521895</v>
      </c>
      <c r="Q40" s="104">
        <f t="shared" si="108"/>
        <v>5.1371233530018712E-3</v>
      </c>
      <c r="R40" s="104">
        <f t="shared" si="108"/>
        <v>-0.1681234907150122</v>
      </c>
      <c r="S40" s="104">
        <f t="shared" si="108"/>
        <v>-2.143802273730655E-2</v>
      </c>
      <c r="T40" s="104">
        <f t="shared" si="108"/>
        <v>1.5945781035754059E-2</v>
      </c>
      <c r="U40" s="104">
        <f t="shared" si="108"/>
        <v>-5.201845629923274E-2</v>
      </c>
      <c r="V40" s="104">
        <f t="shared" si="108"/>
        <v>-0.82601945438991153</v>
      </c>
      <c r="W40" s="104">
        <f t="shared" si="108"/>
        <v>-0.22833979698683593</v>
      </c>
      <c r="X40" s="104">
        <f t="shared" si="108"/>
        <v>-0.51051569606001368</v>
      </c>
      <c r="Y40" s="104">
        <f t="shared" si="108"/>
        <v>-0.18017666317261094</v>
      </c>
      <c r="Z40" s="104">
        <f t="shared" si="108"/>
        <v>3.5993810091580203E-2</v>
      </c>
      <c r="AA40" s="104">
        <f t="shared" si="108"/>
        <v>-0.11407748232482784</v>
      </c>
      <c r="AB40" s="104">
        <f t="shared" si="108"/>
        <v>-1.0238484351123387</v>
      </c>
      <c r="AC40" s="104">
        <f t="shared" si="108"/>
        <v>-3.532087392975205</v>
      </c>
      <c r="AD40" s="104">
        <f t="shared" si="108"/>
        <v>7.9790258361941424E-2</v>
      </c>
      <c r="AE40" s="104">
        <f t="shared" si="108"/>
        <v>-0.31163896865468477</v>
      </c>
      <c r="AF40" s="104">
        <f t="shared" si="108"/>
        <v>0.13739401794562345</v>
      </c>
      <c r="AG40" s="104">
        <f t="shared" si="108"/>
        <v>0.27509299820810174</v>
      </c>
      <c r="AH40" s="104">
        <f t="shared" si="108"/>
        <v>0.20889594470301331</v>
      </c>
      <c r="AI40" s="104">
        <f t="shared" si="108"/>
        <v>3.227813132371915E-2</v>
      </c>
      <c r="AJ40" s="104">
        <f t="shared" si="108"/>
        <v>1.7977128291019824</v>
      </c>
      <c r="AK40" s="104">
        <f t="shared" si="108"/>
        <v>-8.9708823528841908E-2</v>
      </c>
      <c r="AL40" s="104">
        <f t="shared" si="108"/>
        <v>-1.5947872320124183</v>
      </c>
      <c r="AM40" s="104" t="e">
        <f t="shared" si="108"/>
        <v>#VALUE!</v>
      </c>
      <c r="AN40" s="104" t="e">
        <f t="shared" si="108"/>
        <v>#VALUE!</v>
      </c>
      <c r="AO40" s="104" t="e">
        <f t="shared" si="108"/>
        <v>#VALUE!</v>
      </c>
      <c r="AP40" s="104" t="e">
        <f t="shared" si="108"/>
        <v>#VALUE!</v>
      </c>
      <c r="AQ40" s="104" t="e">
        <f t="shared" si="108"/>
        <v>#VALUE!</v>
      </c>
      <c r="AR40" s="104" t="e">
        <f t="shared" si="108"/>
        <v>#VALUE!</v>
      </c>
      <c r="AS40" s="104" t="e">
        <f t="shared" si="108"/>
        <v>#VALUE!</v>
      </c>
      <c r="AT40" s="104" t="e">
        <f t="shared" si="108"/>
        <v>#VALUE!</v>
      </c>
      <c r="AU40" s="104" t="e">
        <f t="shared" si="108"/>
        <v>#VALUE!</v>
      </c>
      <c r="AV40" s="104" t="e">
        <f t="shared" si="108"/>
        <v>#VALUE!</v>
      </c>
      <c r="AW40" s="104" t="e">
        <f t="shared" si="108"/>
        <v>#VALUE!</v>
      </c>
      <c r="AX40" s="104" t="e">
        <f t="shared" si="108"/>
        <v>#VALUE!</v>
      </c>
      <c r="AY40" s="104" t="e">
        <f t="shared" si="108"/>
        <v>#VALUE!</v>
      </c>
      <c r="AZ40" s="104" t="e">
        <f t="shared" si="108"/>
        <v>#VALUE!</v>
      </c>
      <c r="BA40" s="104" t="e">
        <f t="shared" si="108"/>
        <v>#VALUE!</v>
      </c>
      <c r="BB40" s="117" t="e">
        <f t="shared" si="106"/>
        <v>#VALUE!</v>
      </c>
      <c r="BC40" s="117" t="e">
        <f t="shared" si="106"/>
        <v>#VALUE!</v>
      </c>
      <c r="BD40" s="117" t="e">
        <f t="shared" si="106"/>
        <v>#VALUE!</v>
      </c>
      <c r="BE40" s="117" t="e">
        <f t="shared" si="106"/>
        <v>#VALUE!</v>
      </c>
      <c r="BF40" s="104" t="e">
        <f>1-BF39</f>
        <v>#VALUE!</v>
      </c>
      <c r="BG40" s="117" t="e">
        <f t="shared" si="107"/>
        <v>#VALUE!</v>
      </c>
      <c r="BH40" s="117" t="e">
        <f t="shared" si="107"/>
        <v>#VALUE!</v>
      </c>
      <c r="BI40" s="117" t="e">
        <f t="shared" si="107"/>
        <v>#VALUE!</v>
      </c>
      <c r="BJ40" s="117" t="e">
        <f t="shared" si="107"/>
        <v>#VALUE!</v>
      </c>
      <c r="BK40" s="104" t="e">
        <f>1-BK39</f>
        <v>#VALUE!</v>
      </c>
    </row>
    <row r="42" spans="1:65" s="26" customFormat="1">
      <c r="A42" s="189" t="s">
        <v>2175</v>
      </c>
      <c r="U42" s="26" t="s">
        <v>2171</v>
      </c>
      <c r="V42" s="475"/>
      <c r="W42" s="405">
        <f>1-40.5%</f>
        <v>0.59499999999999997</v>
      </c>
      <c r="Y42" s="26" t="s">
        <v>2172</v>
      </c>
      <c r="Z42" s="475"/>
      <c r="AA42" s="392">
        <f>1-90%</f>
        <v>9.9999999999999978E-2</v>
      </c>
      <c r="BM42" s="328"/>
    </row>
    <row r="43" spans="1:65" s="26" customFormat="1">
      <c r="BM43" s="328"/>
    </row>
    <row r="44" spans="1:65" s="26" customFormat="1">
      <c r="A44" s="26" t="s">
        <v>2170</v>
      </c>
      <c r="S44" s="61">
        <f>1000*'Financial statements KK'!AD53</f>
        <v>127111</v>
      </c>
      <c r="T44" s="61">
        <f>1000*'Financial statements KK'!AE53</f>
        <v>107122</v>
      </c>
      <c r="U44" s="61">
        <f>1000*'Financial statements KK'!AF53</f>
        <v>274373</v>
      </c>
      <c r="V44" s="61">
        <f>1000*'Financial statements KK'!AG53</f>
        <v>22759.999999999993</v>
      </c>
      <c r="W44" s="61">
        <f>1000*'Financial statements KK'!AH53</f>
        <v>531366</v>
      </c>
      <c r="X44" s="61">
        <f>1000*'Financial statements KK'!AI53</f>
        <v>146719</v>
      </c>
      <c r="Y44" s="61">
        <f>1000*'Financial statements KK'!AJ53</f>
        <v>155422.00000000003</v>
      </c>
      <c r="Z44" s="61">
        <f>1000*'Financial statements KK'!AK53</f>
        <v>104541</v>
      </c>
      <c r="AA44" s="61">
        <f>1000*'Financial statements KK'!AL53</f>
        <v>42582.892416801275</v>
      </c>
      <c r="AB44" s="61">
        <f>1000*'Financial statements KK'!AM53</f>
        <v>449300.89241680142</v>
      </c>
      <c r="AC44" s="61">
        <f>1000*'Financial statements KK'!AN53</f>
        <v>143595.22576633428</v>
      </c>
      <c r="AD44" s="61">
        <f>1000*'Financial statements KK'!AO53</f>
        <v>130260.18576599898</v>
      </c>
      <c r="AE44" s="61">
        <f>1000*'Financial statements KK'!AP53</f>
        <v>117076.07319819274</v>
      </c>
      <c r="AF44" s="61">
        <f>1000*'Financial statements KK'!AQ53</f>
        <v>54932.268409274213</v>
      </c>
      <c r="AG44" s="61">
        <f>1000*'Financial statements KK'!AR53</f>
        <v>445863.7531398001</v>
      </c>
      <c r="AH44" s="61">
        <f>1000*'Financial statements KK'!AS53</f>
        <v>145221.75834311295</v>
      </c>
      <c r="AI44" s="61">
        <f>1000*'Financial statements KK'!AT53</f>
        <v>129823.82268467711</v>
      </c>
      <c r="AJ44" s="61">
        <f>1000*'Financial statements KK'!AU53</f>
        <v>118659.18422242175</v>
      </c>
      <c r="AK44" s="61">
        <f>1000*'Financial statements KK'!AV53</f>
        <v>65737.218605679722</v>
      </c>
      <c r="AL44" s="61">
        <f>1000*'Financial statements KK'!AW53</f>
        <v>459441.98385589151</v>
      </c>
      <c r="AM44" s="61">
        <f>1000*'Financial statements KK'!AX53</f>
        <v>150408.1129455069</v>
      </c>
      <c r="AN44" s="61">
        <f>1000*'Financial statements KK'!AY53</f>
        <v>138116.63331917708</v>
      </c>
      <c r="AO44" s="61">
        <f>1000*'Financial statements KK'!AZ53</f>
        <v>125612.48557661915</v>
      </c>
      <c r="AP44" s="61">
        <f>1000*'Financial statements KK'!BA53</f>
        <v>74670.497804813611</v>
      </c>
      <c r="AQ44" s="61">
        <f>1000*'Financial statements KK'!BB53</f>
        <v>488807.72964611696</v>
      </c>
      <c r="AR44" s="61">
        <f>1000*'Financial statements KK'!BC53</f>
        <v>159104.19300576832</v>
      </c>
      <c r="AS44" s="61">
        <f>1000*'Financial statements KK'!BD53</f>
        <v>145780.16884045227</v>
      </c>
      <c r="AT44" s="61">
        <f>1000*'Financial statements KK'!BE53</f>
        <v>135722.99486424992</v>
      </c>
      <c r="AU44" s="61">
        <f>1000*'Financial statements KK'!BF53</f>
        <v>87396.769355809796</v>
      </c>
      <c r="AV44" s="61">
        <f>1000*'Financial statements KK'!BG53</f>
        <v>528004.12606628041</v>
      </c>
      <c r="AW44" s="61">
        <f>1000*'Financial statements KK'!BH53</f>
        <v>170522.72895759603</v>
      </c>
      <c r="AX44" s="61">
        <f>1000*'Financial statements KK'!BI53</f>
        <v>156268.51329456802</v>
      </c>
      <c r="AY44" s="61">
        <f>1000*'Financial statements KK'!BJ53</f>
        <v>147887.90590638175</v>
      </c>
      <c r="AZ44" s="61">
        <f>1000*'Financial statements KK'!BK53</f>
        <v>101970.78570237933</v>
      </c>
      <c r="BA44" s="61">
        <f>1000*'Financial statements KK'!BL53</f>
        <v>576649.93386092526</v>
      </c>
      <c r="BM44" s="328"/>
    </row>
    <row r="45" spans="1:65" s="26" customFormat="1">
      <c r="A45" s="26" t="s">
        <v>2173</v>
      </c>
      <c r="S45" s="61">
        <f t="shared" ref="S45:BA45" si="109">$W$42*S44</f>
        <v>75631.044999999998</v>
      </c>
      <c r="T45" s="61">
        <f t="shared" si="109"/>
        <v>63737.59</v>
      </c>
      <c r="U45" s="61">
        <f t="shared" si="109"/>
        <v>163251.935</v>
      </c>
      <c r="V45" s="61">
        <f t="shared" si="109"/>
        <v>13542.199999999995</v>
      </c>
      <c r="W45" s="61">
        <f t="shared" si="109"/>
        <v>316162.76999999996</v>
      </c>
      <c r="X45" s="61">
        <f t="shared" si="109"/>
        <v>87297.804999999993</v>
      </c>
      <c r="Y45" s="61">
        <f t="shared" si="109"/>
        <v>92476.090000000011</v>
      </c>
      <c r="Z45" s="61">
        <f t="shared" si="109"/>
        <v>62201.894999999997</v>
      </c>
      <c r="AA45" s="61">
        <f t="shared" si="109"/>
        <v>25336.820987996758</v>
      </c>
      <c r="AB45" s="61">
        <f t="shared" si="109"/>
        <v>267334.03098799684</v>
      </c>
      <c r="AC45" s="61">
        <f t="shared" si="109"/>
        <v>85439.159330968891</v>
      </c>
      <c r="AD45" s="61">
        <f t="shared" si="109"/>
        <v>77504.810530769391</v>
      </c>
      <c r="AE45" s="61">
        <f t="shared" si="109"/>
        <v>69660.263552924676</v>
      </c>
      <c r="AF45" s="61">
        <f t="shared" si="109"/>
        <v>32684.699703518156</v>
      </c>
      <c r="AG45" s="61">
        <f t="shared" si="109"/>
        <v>265288.93311818107</v>
      </c>
      <c r="AH45" s="61">
        <f t="shared" si="109"/>
        <v>86406.946214152194</v>
      </c>
      <c r="AI45" s="61">
        <f t="shared" si="109"/>
        <v>77245.174497382875</v>
      </c>
      <c r="AJ45" s="61">
        <f t="shared" si="109"/>
        <v>70602.214612340947</v>
      </c>
      <c r="AK45" s="61">
        <f t="shared" si="109"/>
        <v>39113.645070379433</v>
      </c>
      <c r="AL45" s="61">
        <f t="shared" si="109"/>
        <v>273367.98039425543</v>
      </c>
      <c r="AM45" s="61">
        <f t="shared" si="109"/>
        <v>89492.827202576605</v>
      </c>
      <c r="AN45" s="61">
        <f t="shared" si="109"/>
        <v>82179.396824910364</v>
      </c>
      <c r="AO45" s="61">
        <f t="shared" si="109"/>
        <v>74739.428918088393</v>
      </c>
      <c r="AP45" s="61">
        <f t="shared" si="109"/>
        <v>44428.946193864096</v>
      </c>
      <c r="AQ45" s="61">
        <f t="shared" si="109"/>
        <v>290840.59913943958</v>
      </c>
      <c r="AR45" s="61">
        <f t="shared" si="109"/>
        <v>94666.994838432147</v>
      </c>
      <c r="AS45" s="61">
        <f t="shared" si="109"/>
        <v>86739.2004600691</v>
      </c>
      <c r="AT45" s="61">
        <f t="shared" si="109"/>
        <v>80755.181944228694</v>
      </c>
      <c r="AU45" s="61">
        <f t="shared" si="109"/>
        <v>52001.077766706825</v>
      </c>
      <c r="AV45" s="61">
        <f t="shared" si="109"/>
        <v>314162.45500943682</v>
      </c>
      <c r="AW45" s="61">
        <f t="shared" si="109"/>
        <v>101461.02372976963</v>
      </c>
      <c r="AX45" s="61">
        <f t="shared" si="109"/>
        <v>92979.765410267966</v>
      </c>
      <c r="AY45" s="61">
        <f t="shared" si="109"/>
        <v>87993.304014297144</v>
      </c>
      <c r="AZ45" s="61">
        <f t="shared" si="109"/>
        <v>60672.617492915699</v>
      </c>
      <c r="BA45" s="61">
        <f t="shared" si="109"/>
        <v>343106.71064725053</v>
      </c>
      <c r="BM45" s="328"/>
    </row>
    <row r="46" spans="1:65" s="26" customFormat="1">
      <c r="BM46" s="328"/>
    </row>
    <row r="47" spans="1:65" s="26" customFormat="1">
      <c r="A47" s="26" t="s">
        <v>2174</v>
      </c>
      <c r="S47" s="61">
        <f>'Arm (OLD)'!AH42</f>
        <v>29033.999999999996</v>
      </c>
      <c r="T47" s="61">
        <f>'Arm (OLD)'!AI42</f>
        <v>15809.52</v>
      </c>
      <c r="U47" s="61">
        <f>'Arm (OLD)'!AJ42</f>
        <v>25691.119999999999</v>
      </c>
      <c r="V47" s="61">
        <f>'Arm (OLD)'!AK42</f>
        <v>399.78000000001384</v>
      </c>
      <c r="W47" s="61">
        <f>'Arm (OLD)'!AL42</f>
        <v>70934.420000000042</v>
      </c>
      <c r="X47" s="61">
        <f>'Arm (OLD)'!AM42</f>
        <v>14501.550000000008</v>
      </c>
      <c r="Y47" s="61">
        <f>'Arm (OLD)'!AN42</f>
        <v>-15998.400000000016</v>
      </c>
      <c r="Z47" s="61">
        <f>'Arm (OLD)'!AO42</f>
        <v>12789</v>
      </c>
      <c r="AA47" s="61">
        <f>'Arm (OLD)'!AP42</f>
        <v>18120.373929292509</v>
      </c>
      <c r="AB47" s="61">
        <f>'Arm (OLD)'!AQ42</f>
        <v>29412.523929292511</v>
      </c>
      <c r="AC47" s="61">
        <f>'Arm (OLD)'!AR42</f>
        <v>25318.951955215194</v>
      </c>
      <c r="AD47" s="61">
        <f>'Arm (OLD)'!AS42</f>
        <v>29635.822454306199</v>
      </c>
      <c r="AE47" s="61">
        <f>'Arm (OLD)'!AT42</f>
        <v>38595.494374290538</v>
      </c>
      <c r="AF47" s="61">
        <f>'Arm (OLD)'!AU42</f>
        <v>35128.76042703307</v>
      </c>
      <c r="AG47" s="61">
        <f>'Arm (OLD)'!AV42</f>
        <v>128679.02921084486</v>
      </c>
      <c r="AH47" s="61">
        <f>'Arm (OLD)'!AW42</f>
        <v>41929.904607441742</v>
      </c>
      <c r="AI47" s="61">
        <f>'Arm (OLD)'!AX42</f>
        <v>49231.915803595475</v>
      </c>
      <c r="AJ47" s="61">
        <f>'Arm (OLD)'!AY42</f>
        <v>56035.153686902231</v>
      </c>
      <c r="AK47" s="61">
        <f>'Arm (OLD)'!AZ42</f>
        <v>48369.638270546762</v>
      </c>
      <c r="AL47" s="61">
        <f>'Arm (OLD)'!BA42</f>
        <v>195566.61236848624</v>
      </c>
      <c r="AM47" s="61">
        <f>'Arm (OLD)'!BB42</f>
        <v>55794.242015149313</v>
      </c>
      <c r="AN47" s="61">
        <f>'Arm (OLD)'!BC42</f>
        <v>64644.034579493993</v>
      </c>
      <c r="AO47" s="61">
        <f>'Arm (OLD)'!BD42</f>
        <v>72554.973364068588</v>
      </c>
      <c r="AP47" s="61">
        <f>'Arm (OLD)'!BE42</f>
        <v>63903.241368072311</v>
      </c>
      <c r="AQ47" s="61">
        <f>'Arm (OLD)'!BF42</f>
        <v>256896.49132678425</v>
      </c>
      <c r="AR47" s="61">
        <f>'Arm (OLD)'!BG42</f>
        <v>74929.199955814227</v>
      </c>
      <c r="AS47" s="61">
        <f>'Arm (OLD)'!BH42</f>
        <v>85145.616043785631</v>
      </c>
      <c r="AT47" s="61">
        <f>'Arm (OLD)'!BI42</f>
        <v>89372.760651687044</v>
      </c>
      <c r="AU47" s="61">
        <f>'Arm (OLD)'!BJ42</f>
        <v>76962.432398227524</v>
      </c>
      <c r="AV47" s="61">
        <f>'Arm (OLD)'!BK42</f>
        <v>326410.00904951437</v>
      </c>
      <c r="AW47" s="61">
        <f>'Arm (OLD)'!BL42</f>
        <v>89169.626477581318</v>
      </c>
      <c r="AX47" s="61">
        <f>'Arm (OLD)'!BM42</f>
        <v>100571.77925193035</v>
      </c>
      <c r="AY47" s="61">
        <f>'Arm (OLD)'!BN42</f>
        <v>104636.35915434702</v>
      </c>
      <c r="AZ47" s="61">
        <f>'Arm (OLD)'!BO42</f>
        <v>90020.569558460906</v>
      </c>
      <c r="BA47" s="61">
        <f>'Arm (OLD)'!BP42</f>
        <v>384398.3344423197</v>
      </c>
      <c r="BM47" s="328"/>
    </row>
    <row r="48" spans="1:65" s="26" customFormat="1">
      <c r="A48" s="26" t="s">
        <v>2173</v>
      </c>
      <c r="S48" s="61">
        <f t="shared" ref="S48:BA48" si="110">$AA$42*S47</f>
        <v>2903.3999999999992</v>
      </c>
      <c r="T48" s="61">
        <f t="shared" si="110"/>
        <v>1580.9519999999998</v>
      </c>
      <c r="U48" s="61">
        <f t="shared" si="110"/>
        <v>2569.1119999999992</v>
      </c>
      <c r="V48" s="61">
        <f t="shared" si="110"/>
        <v>39.978000000001373</v>
      </c>
      <c r="W48" s="61">
        <f t="shared" si="110"/>
        <v>7093.4420000000027</v>
      </c>
      <c r="X48" s="61">
        <f t="shared" si="110"/>
        <v>1450.1550000000004</v>
      </c>
      <c r="Y48" s="61">
        <f t="shared" si="110"/>
        <v>-1599.8400000000013</v>
      </c>
      <c r="Z48" s="61">
        <f t="shared" si="110"/>
        <v>1278.8999999999996</v>
      </c>
      <c r="AA48" s="61">
        <f t="shared" si="110"/>
        <v>1812.0373929292505</v>
      </c>
      <c r="AB48" s="61">
        <f t="shared" si="110"/>
        <v>2941.2523929292506</v>
      </c>
      <c r="AC48" s="61">
        <f t="shared" si="110"/>
        <v>2531.8951955215189</v>
      </c>
      <c r="AD48" s="61">
        <f t="shared" si="110"/>
        <v>2963.5822454306194</v>
      </c>
      <c r="AE48" s="61">
        <f t="shared" si="110"/>
        <v>3859.5494374290529</v>
      </c>
      <c r="AF48" s="61">
        <f t="shared" si="110"/>
        <v>3512.8760427033062</v>
      </c>
      <c r="AG48" s="61">
        <f t="shared" si="110"/>
        <v>12867.902921084484</v>
      </c>
      <c r="AH48" s="61">
        <f t="shared" si="110"/>
        <v>4192.9904607441731</v>
      </c>
      <c r="AI48" s="61">
        <f t="shared" si="110"/>
        <v>4923.1915803595466</v>
      </c>
      <c r="AJ48" s="61">
        <f t="shared" si="110"/>
        <v>5603.5153686902222</v>
      </c>
      <c r="AK48" s="61">
        <f t="shared" si="110"/>
        <v>4836.9638270546748</v>
      </c>
      <c r="AL48" s="61">
        <f t="shared" si="110"/>
        <v>19556.66123684862</v>
      </c>
      <c r="AM48" s="61">
        <f t="shared" si="110"/>
        <v>5579.4242015149302</v>
      </c>
      <c r="AN48" s="61">
        <f t="shared" si="110"/>
        <v>6464.4034579493982</v>
      </c>
      <c r="AO48" s="61">
        <f t="shared" si="110"/>
        <v>7255.4973364068574</v>
      </c>
      <c r="AP48" s="61">
        <f t="shared" si="110"/>
        <v>6390.3241368072295</v>
      </c>
      <c r="AQ48" s="61">
        <f t="shared" si="110"/>
        <v>25689.64913267842</v>
      </c>
      <c r="AR48" s="61">
        <f t="shared" si="110"/>
        <v>7492.9199955814211</v>
      </c>
      <c r="AS48" s="61">
        <f t="shared" si="110"/>
        <v>8514.5616043785612</v>
      </c>
      <c r="AT48" s="61">
        <f t="shared" si="110"/>
        <v>8937.2760651687022</v>
      </c>
      <c r="AU48" s="61">
        <f t="shared" si="110"/>
        <v>7696.2432398227511</v>
      </c>
      <c r="AV48" s="61">
        <f t="shared" si="110"/>
        <v>32641.00090495143</v>
      </c>
      <c r="AW48" s="61">
        <f t="shared" si="110"/>
        <v>8916.9626477581296</v>
      </c>
      <c r="AX48" s="61">
        <f t="shared" si="110"/>
        <v>10057.177925193033</v>
      </c>
      <c r="AY48" s="61">
        <f t="shared" si="110"/>
        <v>10463.635915434701</v>
      </c>
      <c r="AZ48" s="61">
        <f t="shared" si="110"/>
        <v>9002.0569558460884</v>
      </c>
      <c r="BA48" s="61">
        <f t="shared" si="110"/>
        <v>38439.833444231961</v>
      </c>
      <c r="BM48" s="328"/>
    </row>
    <row r="49" spans="1:65" s="26" customFormat="1">
      <c r="BM49" s="328"/>
    </row>
    <row r="50" spans="1:65" s="26" customFormat="1">
      <c r="A50" s="26" t="s">
        <v>276</v>
      </c>
      <c r="S50" s="61">
        <f t="shared" ref="S50:Z50" si="111">S51-(S45+S48)</f>
        <v>-12155.444999999992</v>
      </c>
      <c r="T50" s="61">
        <f t="shared" si="111"/>
        <v>-16161.541999999994</v>
      </c>
      <c r="U50" s="61">
        <f t="shared" si="111"/>
        <v>-127084.04699999999</v>
      </c>
      <c r="V50" s="61">
        <f t="shared" si="111"/>
        <v>12487.822000000004</v>
      </c>
      <c r="W50" s="61">
        <f t="shared" si="111"/>
        <v>-142913.21199999994</v>
      </c>
      <c r="X50" s="61">
        <f t="shared" si="111"/>
        <v>72674.040000000008</v>
      </c>
      <c r="Y50" s="61">
        <f t="shared" si="111"/>
        <v>51275.749999999985</v>
      </c>
      <c r="Z50" s="61">
        <f t="shared" si="111"/>
        <v>-28009.794999999998</v>
      </c>
      <c r="AB50" s="25" t="s">
        <v>2178</v>
      </c>
      <c r="BM50" s="328"/>
    </row>
    <row r="51" spans="1:65" s="26" customFormat="1">
      <c r="A51" s="174" t="s">
        <v>2176</v>
      </c>
      <c r="B51" s="174"/>
      <c r="C51" s="174"/>
      <c r="D51" s="174"/>
      <c r="E51" s="174"/>
      <c r="F51" s="174"/>
      <c r="G51" s="174"/>
      <c r="H51" s="174"/>
      <c r="I51" s="174"/>
      <c r="J51" s="174"/>
      <c r="K51" s="174"/>
      <c r="L51" s="174"/>
      <c r="M51" s="174"/>
      <c r="N51" s="173"/>
      <c r="O51" s="173"/>
      <c r="P51" s="173"/>
      <c r="Q51" s="173"/>
      <c r="R51" s="173"/>
      <c r="S51" s="173">
        <f t="shared" ref="S51:Z51" si="112">S35</f>
        <v>66379</v>
      </c>
      <c r="T51" s="173">
        <f t="shared" si="112"/>
        <v>49157</v>
      </c>
      <c r="U51" s="173">
        <f t="shared" si="112"/>
        <v>38737</v>
      </c>
      <c r="V51" s="173">
        <f t="shared" si="112"/>
        <v>26070</v>
      </c>
      <c r="W51" s="173">
        <f t="shared" si="112"/>
        <v>180343</v>
      </c>
      <c r="X51" s="173">
        <f t="shared" si="112"/>
        <v>161422</v>
      </c>
      <c r="Y51" s="173">
        <f t="shared" si="112"/>
        <v>142152</v>
      </c>
      <c r="Z51" s="173">
        <f t="shared" si="112"/>
        <v>35471</v>
      </c>
      <c r="BM51" s="328"/>
    </row>
    <row r="52" spans="1:65" s="26" customFormat="1">
      <c r="BM52" s="328"/>
    </row>
    <row r="53" spans="1:65" s="2" customFormat="1">
      <c r="A53" s="4" t="s">
        <v>1</v>
      </c>
      <c r="BM53" s="46"/>
    </row>
    <row r="55" spans="1:65">
      <c r="A55" s="5" t="s">
        <v>3</v>
      </c>
      <c r="I55" s="36"/>
      <c r="J55" s="36"/>
      <c r="K55" s="36"/>
      <c r="L55" s="38"/>
      <c r="M55" s="38"/>
      <c r="N55" s="36"/>
      <c r="O55" s="36"/>
      <c r="P55" s="36"/>
      <c r="Q55" s="37">
        <v>5169001</v>
      </c>
      <c r="R55" s="38">
        <f>Q55</f>
        <v>5169001</v>
      </c>
      <c r="S55" s="36"/>
      <c r="T55" s="36"/>
      <c r="U55" s="36"/>
      <c r="V55" s="37">
        <v>6925153</v>
      </c>
      <c r="W55" s="38">
        <f t="shared" ref="W55:W60" si="113">V55</f>
        <v>6925153</v>
      </c>
      <c r="X55" s="37">
        <v>7316147</v>
      </c>
      <c r="Y55" s="37">
        <v>6707813</v>
      </c>
      <c r="Z55" s="37">
        <v>6163703</v>
      </c>
    </row>
    <row r="56" spans="1:65">
      <c r="A56" s="5" t="s">
        <v>4</v>
      </c>
      <c r="I56" s="36"/>
      <c r="J56" s="36"/>
      <c r="K56" s="36"/>
      <c r="L56" s="38"/>
      <c r="M56" s="38"/>
      <c r="N56" s="36"/>
      <c r="O56" s="36"/>
      <c r="P56" s="36"/>
      <c r="Q56" s="37">
        <v>2361149</v>
      </c>
      <c r="R56" s="38">
        <f t="shared" ref="R56:R60" si="114">Q56</f>
        <v>2361149</v>
      </c>
      <c r="S56" s="36"/>
      <c r="T56" s="36"/>
      <c r="U56" s="36"/>
      <c r="V56" s="37">
        <v>2594736</v>
      </c>
      <c r="W56" s="38">
        <f t="shared" si="113"/>
        <v>2594736</v>
      </c>
      <c r="X56" s="37">
        <v>2450124</v>
      </c>
      <c r="Y56" s="37">
        <v>2664550</v>
      </c>
      <c r="Z56" s="37">
        <v>2805284</v>
      </c>
    </row>
    <row r="57" spans="1:65">
      <c r="A57" s="5" t="s">
        <v>5</v>
      </c>
      <c r="I57" s="36"/>
      <c r="J57" s="36"/>
      <c r="K57" s="36"/>
      <c r="L57" s="38"/>
      <c r="M57" s="38"/>
      <c r="N57" s="36"/>
      <c r="O57" s="36"/>
      <c r="P57" s="36"/>
      <c r="Q57" s="37">
        <v>1050446</v>
      </c>
      <c r="R57" s="38">
        <f t="shared" si="114"/>
        <v>1050446</v>
      </c>
      <c r="S57" s="36"/>
      <c r="T57" s="36"/>
      <c r="U57" s="36"/>
      <c r="V57" s="37">
        <v>249414</v>
      </c>
      <c r="W57" s="38">
        <f t="shared" si="113"/>
        <v>249414</v>
      </c>
      <c r="X57" s="37">
        <v>279144</v>
      </c>
      <c r="Y57" s="37">
        <v>387945</v>
      </c>
      <c r="Z57" s="37">
        <v>609340</v>
      </c>
    </row>
    <row r="58" spans="1:65">
      <c r="A58" s="5" t="s">
        <v>6</v>
      </c>
      <c r="I58" s="36"/>
      <c r="J58" s="36"/>
      <c r="K58" s="36"/>
      <c r="L58" s="38"/>
      <c r="M58" s="38"/>
      <c r="N58" s="36"/>
      <c r="O58" s="36"/>
      <c r="P58" s="36"/>
      <c r="Q58" s="37">
        <v>971125</v>
      </c>
      <c r="R58" s="38">
        <f t="shared" si="114"/>
        <v>971125</v>
      </c>
      <c r="S58" s="36"/>
      <c r="T58" s="36"/>
      <c r="U58" s="36"/>
      <c r="V58" s="37">
        <v>371313</v>
      </c>
      <c r="W58" s="38">
        <f t="shared" si="113"/>
        <v>371313</v>
      </c>
      <c r="X58" s="37">
        <v>424637</v>
      </c>
      <c r="Y58" s="37">
        <v>447731</v>
      </c>
      <c r="Z58" s="37">
        <v>615649</v>
      </c>
    </row>
    <row r="59" spans="1:65">
      <c r="A59" s="5" t="s">
        <v>7</v>
      </c>
      <c r="I59" s="36"/>
      <c r="J59" s="36"/>
      <c r="K59" s="36"/>
      <c r="L59" s="38"/>
      <c r="M59" s="38"/>
      <c r="N59" s="36"/>
      <c r="O59" s="36"/>
      <c r="P59" s="36"/>
      <c r="Q59" s="37">
        <v>142767</v>
      </c>
      <c r="R59" s="38">
        <f t="shared" si="114"/>
        <v>142767</v>
      </c>
      <c r="S59" s="36"/>
      <c r="T59" s="36"/>
      <c r="U59" s="36"/>
      <c r="V59" s="37">
        <v>163781</v>
      </c>
      <c r="W59" s="38">
        <f t="shared" si="113"/>
        <v>163781</v>
      </c>
      <c r="X59" s="37">
        <v>162184</v>
      </c>
      <c r="Y59" s="37">
        <v>169519</v>
      </c>
      <c r="Z59" s="37">
        <v>181157</v>
      </c>
    </row>
    <row r="60" spans="1:65">
      <c r="A60" s="5" t="s">
        <v>8</v>
      </c>
      <c r="I60" s="36"/>
      <c r="J60" s="36"/>
      <c r="K60" s="36"/>
      <c r="L60" s="38"/>
      <c r="M60" s="38"/>
      <c r="N60" s="36"/>
      <c r="O60" s="36"/>
      <c r="P60" s="36"/>
      <c r="Q60" s="37">
        <v>334101</v>
      </c>
      <c r="R60" s="38">
        <f t="shared" si="114"/>
        <v>334101</v>
      </c>
      <c r="S60" s="36"/>
      <c r="T60" s="36"/>
      <c r="U60" s="36"/>
      <c r="V60" s="37">
        <v>282085</v>
      </c>
      <c r="W60" s="38">
        <f t="shared" si="113"/>
        <v>282085</v>
      </c>
      <c r="X60" s="37">
        <v>345170</v>
      </c>
      <c r="Y60" s="37">
        <v>425706</v>
      </c>
      <c r="Z60" s="37">
        <v>551966</v>
      </c>
    </row>
    <row r="61" spans="1:65">
      <c r="A61" s="9" t="s">
        <v>9</v>
      </c>
      <c r="B61" s="9"/>
      <c r="C61" s="9"/>
      <c r="D61" s="9"/>
      <c r="E61" s="9"/>
      <c r="F61" s="9"/>
      <c r="G61" s="9"/>
      <c r="H61" s="9"/>
      <c r="I61" s="39"/>
      <c r="J61" s="39"/>
      <c r="K61" s="39"/>
      <c r="L61" s="39"/>
      <c r="M61" s="39"/>
      <c r="N61" s="39"/>
      <c r="O61" s="39"/>
      <c r="P61" s="39"/>
      <c r="Q61" s="39">
        <f>SUM(Q55:Q60)</f>
        <v>10028589</v>
      </c>
      <c r="R61" s="39">
        <f>SUM(R55:R60)</f>
        <v>10028589</v>
      </c>
      <c r="S61" s="39"/>
      <c r="T61" s="39"/>
      <c r="U61" s="39"/>
      <c r="V61" s="39">
        <f>SUM(V55:V60)</f>
        <v>10586482</v>
      </c>
      <c r="W61" s="39">
        <f>SUM(W55:W60)</f>
        <v>10586482</v>
      </c>
      <c r="X61" s="39">
        <f>SUM(X55:X60)</f>
        <v>10977406</v>
      </c>
      <c r="Y61" s="39">
        <f>SUM(Y55:Y60)</f>
        <v>10803264</v>
      </c>
      <c r="Z61" s="39">
        <f>SUM(Z55:Z60)</f>
        <v>10927099</v>
      </c>
    </row>
    <row r="62" spans="1:65">
      <c r="I62" s="36"/>
      <c r="J62" s="36"/>
      <c r="K62" s="36"/>
      <c r="L62" s="36"/>
      <c r="M62" s="36"/>
      <c r="N62" s="36"/>
      <c r="O62" s="36"/>
      <c r="P62" s="36"/>
      <c r="Q62" s="36"/>
      <c r="R62" s="36"/>
      <c r="S62" s="36"/>
      <c r="T62" s="36"/>
      <c r="U62" s="36"/>
      <c r="V62" s="36"/>
      <c r="W62" s="36"/>
    </row>
    <row r="63" spans="1:65">
      <c r="A63" s="5" t="s">
        <v>16</v>
      </c>
      <c r="I63" s="36"/>
      <c r="J63" s="36"/>
      <c r="K63" s="36"/>
      <c r="L63" s="38"/>
      <c r="M63" s="38"/>
      <c r="N63" s="36"/>
      <c r="O63" s="36"/>
      <c r="P63" s="36"/>
      <c r="Q63" s="37">
        <v>1842749</v>
      </c>
      <c r="R63" s="38">
        <f t="shared" ref="R63:R74" si="115">Q63</f>
        <v>1842749</v>
      </c>
      <c r="S63" s="36"/>
      <c r="T63" s="36"/>
      <c r="U63" s="36"/>
      <c r="V63" s="37">
        <v>1781142</v>
      </c>
      <c r="W63" s="38">
        <f t="shared" ref="W63:W74" si="116">V63</f>
        <v>1781142</v>
      </c>
      <c r="X63" s="37">
        <v>1785699</v>
      </c>
      <c r="Y63" s="37">
        <v>1829310</v>
      </c>
      <c r="Z63" s="37">
        <v>1851821</v>
      </c>
    </row>
    <row r="64" spans="1:65">
      <c r="A64" s="5" t="s">
        <v>17</v>
      </c>
      <c r="I64" s="36"/>
      <c r="J64" s="36"/>
      <c r="K64" s="36"/>
      <c r="L64" s="38"/>
      <c r="M64" s="38"/>
      <c r="N64" s="36"/>
      <c r="O64" s="36"/>
      <c r="P64" s="36"/>
      <c r="Q64" s="37">
        <v>914743</v>
      </c>
      <c r="R64" s="38">
        <f t="shared" si="115"/>
        <v>914743</v>
      </c>
      <c r="S64" s="36"/>
      <c r="T64" s="36"/>
      <c r="U64" s="36"/>
      <c r="V64" s="37">
        <v>858577</v>
      </c>
      <c r="W64" s="38">
        <f t="shared" si="116"/>
        <v>858577</v>
      </c>
      <c r="X64" s="37">
        <v>835201</v>
      </c>
      <c r="Y64" s="37">
        <v>824107</v>
      </c>
      <c r="Z64" s="37">
        <v>787536</v>
      </c>
    </row>
    <row r="65" spans="1:26">
      <c r="A65" s="5" t="s">
        <v>18</v>
      </c>
      <c r="I65" s="36"/>
      <c r="J65" s="36"/>
      <c r="K65" s="36"/>
      <c r="L65" s="38"/>
      <c r="M65" s="38"/>
      <c r="N65" s="36"/>
      <c r="O65" s="36"/>
      <c r="P65" s="36"/>
      <c r="Q65" s="37">
        <v>4897913</v>
      </c>
      <c r="R65" s="38">
        <f t="shared" si="115"/>
        <v>4897913</v>
      </c>
      <c r="S65" s="36"/>
      <c r="T65" s="36"/>
      <c r="U65" s="36"/>
      <c r="V65" s="37">
        <v>5199480</v>
      </c>
      <c r="W65" s="38">
        <f t="shared" si="116"/>
        <v>5199480</v>
      </c>
      <c r="X65" s="37">
        <v>5467430</v>
      </c>
      <c r="Y65" s="37">
        <v>5601576</v>
      </c>
      <c r="Z65" s="37">
        <v>5419501</v>
      </c>
    </row>
    <row r="66" spans="1:26">
      <c r="A66" s="5" t="s">
        <v>19</v>
      </c>
      <c r="I66" s="36"/>
      <c r="J66" s="36"/>
      <c r="K66" s="36"/>
      <c r="L66" s="38"/>
      <c r="M66" s="38"/>
      <c r="N66" s="36"/>
      <c r="O66" s="36"/>
      <c r="P66" s="36"/>
      <c r="Q66" s="37">
        <v>2427580</v>
      </c>
      <c r="R66" s="38">
        <f t="shared" si="115"/>
        <v>2427580</v>
      </c>
      <c r="S66" s="36"/>
      <c r="T66" s="36"/>
      <c r="U66" s="36"/>
      <c r="V66" s="37">
        <v>2409641</v>
      </c>
      <c r="W66" s="38">
        <f t="shared" si="116"/>
        <v>2409641</v>
      </c>
      <c r="X66" s="37">
        <v>2435397</v>
      </c>
      <c r="Y66" s="37">
        <v>2460450</v>
      </c>
      <c r="Z66" s="37">
        <v>2420489</v>
      </c>
    </row>
    <row r="67" spans="1:26">
      <c r="A67" s="5" t="s">
        <v>20</v>
      </c>
      <c r="I67" s="36"/>
      <c r="J67" s="36"/>
      <c r="K67" s="36"/>
      <c r="L67" s="38"/>
      <c r="M67" s="38"/>
      <c r="N67" s="36"/>
      <c r="O67" s="36"/>
      <c r="P67" s="36"/>
      <c r="Q67" s="37">
        <v>330899</v>
      </c>
      <c r="R67" s="38">
        <f t="shared" si="115"/>
        <v>330899</v>
      </c>
      <c r="S67" s="36"/>
      <c r="T67" s="36"/>
      <c r="U67" s="36"/>
      <c r="V67" s="37">
        <v>332856</v>
      </c>
      <c r="W67" s="38">
        <f t="shared" si="116"/>
        <v>332856</v>
      </c>
      <c r="X67" s="37">
        <v>333076</v>
      </c>
      <c r="Y67" s="37">
        <v>333525</v>
      </c>
      <c r="Z67" s="37">
        <v>320802</v>
      </c>
    </row>
    <row r="68" spans="1:26">
      <c r="A68" s="5" t="s">
        <v>21</v>
      </c>
      <c r="I68" s="36"/>
      <c r="J68" s="36"/>
      <c r="K68" s="36"/>
      <c r="L68" s="38"/>
      <c r="M68" s="38"/>
      <c r="N68" s="36"/>
      <c r="O68" s="36"/>
      <c r="P68" s="36"/>
      <c r="Q68" s="37">
        <v>5234519</v>
      </c>
      <c r="R68" s="38">
        <f t="shared" si="115"/>
        <v>5234519</v>
      </c>
      <c r="S68" s="36"/>
      <c r="T68" s="36"/>
      <c r="U68" s="36"/>
      <c r="V68" s="37">
        <v>730440</v>
      </c>
      <c r="W68" s="38">
        <f t="shared" si="116"/>
        <v>730440</v>
      </c>
      <c r="X68" s="37">
        <v>826508</v>
      </c>
      <c r="Y68" s="37">
        <v>879331</v>
      </c>
      <c r="Z68" s="37">
        <v>840304</v>
      </c>
    </row>
    <row r="69" spans="1:26">
      <c r="A69" s="5" t="s">
        <v>22</v>
      </c>
      <c r="I69" s="36"/>
      <c r="J69" s="36"/>
      <c r="K69" s="36"/>
      <c r="L69" s="38"/>
      <c r="M69" s="38"/>
      <c r="N69" s="36"/>
      <c r="O69" s="36"/>
      <c r="P69" s="36"/>
      <c r="Q69" s="37">
        <v>14909614</v>
      </c>
      <c r="R69" s="38">
        <f t="shared" si="115"/>
        <v>14909614</v>
      </c>
      <c r="S69" s="36"/>
      <c r="T69" s="36"/>
      <c r="U69" s="36"/>
      <c r="V69" s="37">
        <v>10489722</v>
      </c>
      <c r="W69" s="38">
        <f t="shared" si="116"/>
        <v>10489722</v>
      </c>
      <c r="X69" s="37">
        <v>11477480</v>
      </c>
      <c r="Y69" s="37">
        <v>11082392</v>
      </c>
      <c r="Z69" s="37">
        <v>10727854</v>
      </c>
    </row>
    <row r="70" spans="1:26">
      <c r="A70" s="5" t="s">
        <v>23</v>
      </c>
      <c r="I70" s="36"/>
      <c r="J70" s="36"/>
      <c r="K70" s="36"/>
      <c r="L70" s="38"/>
      <c r="M70" s="38"/>
      <c r="N70" s="36"/>
      <c r="O70" s="36"/>
      <c r="P70" s="36"/>
      <c r="Q70" s="37">
        <v>3085369</v>
      </c>
      <c r="R70" s="38">
        <f t="shared" si="115"/>
        <v>3085369</v>
      </c>
      <c r="S70" s="36"/>
      <c r="T70" s="36"/>
      <c r="U70" s="36"/>
      <c r="V70" s="37">
        <v>7706501</v>
      </c>
      <c r="W70" s="38">
        <f t="shared" si="116"/>
        <v>7706501</v>
      </c>
      <c r="X70" s="37">
        <v>7491060</v>
      </c>
      <c r="Y70" s="37">
        <v>8139078</v>
      </c>
      <c r="Z70" s="37">
        <v>8619868</v>
      </c>
    </row>
    <row r="71" spans="1:26">
      <c r="A71" s="5" t="s">
        <v>5</v>
      </c>
      <c r="I71" s="36"/>
      <c r="J71" s="36"/>
      <c r="K71" s="36"/>
      <c r="L71" s="38"/>
      <c r="M71" s="38"/>
      <c r="N71" s="36"/>
      <c r="O71" s="36"/>
      <c r="P71" s="36"/>
      <c r="Q71" s="37">
        <v>1333787</v>
      </c>
      <c r="R71" s="38">
        <f t="shared" si="115"/>
        <v>1333787</v>
      </c>
      <c r="S71" s="36"/>
      <c r="T71" s="36"/>
      <c r="U71" s="36"/>
      <c r="V71" s="37">
        <v>1170845</v>
      </c>
      <c r="W71" s="38">
        <f t="shared" si="116"/>
        <v>1170845</v>
      </c>
      <c r="X71" s="37">
        <v>1368033</v>
      </c>
      <c r="Y71" s="37">
        <v>1313674</v>
      </c>
      <c r="Z71" s="37">
        <v>383299</v>
      </c>
    </row>
    <row r="72" spans="1:26">
      <c r="A72" s="5" t="s">
        <v>6</v>
      </c>
      <c r="I72" s="36"/>
      <c r="J72" s="36"/>
      <c r="K72" s="36"/>
      <c r="L72" s="38"/>
      <c r="M72" s="38"/>
      <c r="N72" s="36"/>
      <c r="O72" s="36"/>
      <c r="P72" s="36"/>
      <c r="Q72" s="37">
        <v>2230615</v>
      </c>
      <c r="R72" s="38">
        <f t="shared" si="115"/>
        <v>2230615</v>
      </c>
      <c r="S72" s="36"/>
      <c r="T72" s="36"/>
      <c r="U72" s="36"/>
      <c r="V72" s="37">
        <v>2303620</v>
      </c>
      <c r="W72" s="38">
        <f t="shared" si="116"/>
        <v>2303620</v>
      </c>
      <c r="X72" s="37">
        <v>2312737</v>
      </c>
      <c r="Y72" s="37">
        <v>2336439</v>
      </c>
      <c r="Z72" s="37">
        <v>2316355</v>
      </c>
    </row>
    <row r="73" spans="1:26">
      <c r="A73" s="5" t="s">
        <v>24</v>
      </c>
      <c r="I73" s="36"/>
      <c r="J73" s="36"/>
      <c r="K73" s="36"/>
      <c r="L73" s="38"/>
      <c r="M73" s="38"/>
      <c r="N73" s="36"/>
      <c r="O73" s="36"/>
      <c r="P73" s="36"/>
      <c r="Q73" s="37">
        <v>163255</v>
      </c>
      <c r="R73" s="38">
        <f t="shared" si="115"/>
        <v>163255</v>
      </c>
      <c r="S73" s="36"/>
      <c r="T73" s="36"/>
      <c r="U73" s="36"/>
      <c r="V73" s="37">
        <v>210823</v>
      </c>
      <c r="W73" s="38">
        <f t="shared" si="116"/>
        <v>210823</v>
      </c>
      <c r="X73" s="37">
        <v>204696</v>
      </c>
      <c r="Y73" s="37">
        <v>234495</v>
      </c>
      <c r="Z73" s="37">
        <v>200156</v>
      </c>
    </row>
    <row r="74" spans="1:26">
      <c r="A74" s="5" t="s">
        <v>25</v>
      </c>
      <c r="I74" s="36"/>
      <c r="J74" s="36"/>
      <c r="K74" s="36"/>
      <c r="L74" s="38"/>
      <c r="M74" s="38"/>
      <c r="N74" s="36"/>
      <c r="O74" s="36"/>
      <c r="P74" s="36"/>
      <c r="Q74" s="37">
        <v>145038</v>
      </c>
      <c r="R74" s="38">
        <f t="shared" si="115"/>
        <v>145038</v>
      </c>
      <c r="S74" s="36"/>
      <c r="T74" s="36"/>
      <c r="U74" s="36"/>
      <c r="V74" s="37">
        <v>156239</v>
      </c>
      <c r="W74" s="38">
        <f t="shared" si="116"/>
        <v>156239</v>
      </c>
      <c r="X74" s="37">
        <v>166244</v>
      </c>
      <c r="Y74" s="37">
        <v>172401</v>
      </c>
      <c r="Z74" s="37">
        <v>168666</v>
      </c>
    </row>
    <row r="75" spans="1:26">
      <c r="A75" s="9" t="s">
        <v>26</v>
      </c>
      <c r="B75" s="9"/>
      <c r="C75" s="9"/>
      <c r="D75" s="9"/>
      <c r="E75" s="9"/>
      <c r="F75" s="9"/>
      <c r="G75" s="9"/>
      <c r="H75" s="9"/>
      <c r="I75" s="39"/>
      <c r="J75" s="39"/>
      <c r="K75" s="39"/>
      <c r="L75" s="39"/>
      <c r="M75" s="39"/>
      <c r="N75" s="39"/>
      <c r="O75" s="39"/>
      <c r="P75" s="39"/>
      <c r="Q75" s="39">
        <f>SUM(Q63:Q74)</f>
        <v>37516081</v>
      </c>
      <c r="R75" s="39">
        <f>SUM(R63:R74)</f>
        <v>37516081</v>
      </c>
      <c r="S75" s="39"/>
      <c r="T75" s="39"/>
      <c r="U75" s="39"/>
      <c r="V75" s="39">
        <f>SUM(V63:V74)</f>
        <v>33349886</v>
      </c>
      <c r="W75" s="39">
        <f>SUM(W63:W74)</f>
        <v>33349886</v>
      </c>
      <c r="X75" s="39">
        <f>SUM(X63:X74)</f>
        <v>34703561</v>
      </c>
      <c r="Y75" s="39">
        <f>SUM(Y63:Y74)</f>
        <v>35206778</v>
      </c>
      <c r="Z75" s="39">
        <f>SUM(Z63:Z74)</f>
        <v>34056651</v>
      </c>
    </row>
    <row r="76" spans="1:26">
      <c r="I76" s="36"/>
      <c r="J76" s="36"/>
      <c r="K76" s="36"/>
      <c r="L76" s="36"/>
      <c r="M76" s="36"/>
      <c r="N76" s="36"/>
      <c r="O76" s="36"/>
      <c r="P76" s="36"/>
      <c r="Q76" s="36"/>
      <c r="R76" s="36"/>
      <c r="S76" s="36"/>
      <c r="T76" s="36"/>
      <c r="U76" s="36"/>
      <c r="V76" s="36"/>
      <c r="W76" s="36"/>
    </row>
    <row r="77" spans="1:26">
      <c r="A77" s="9" t="s">
        <v>27</v>
      </c>
      <c r="B77" s="9"/>
      <c r="C77" s="9"/>
      <c r="D77" s="9"/>
      <c r="E77" s="9"/>
      <c r="F77" s="9"/>
      <c r="G77" s="9"/>
      <c r="H77" s="9"/>
      <c r="I77" s="39"/>
      <c r="J77" s="39"/>
      <c r="K77" s="39"/>
      <c r="L77" s="39"/>
      <c r="M77" s="39"/>
      <c r="N77" s="39"/>
      <c r="O77" s="39"/>
      <c r="P77" s="39"/>
      <c r="Q77" s="39">
        <f>Q61+Q75</f>
        <v>47544670</v>
      </c>
      <c r="R77" s="39">
        <f>R61+R75</f>
        <v>47544670</v>
      </c>
      <c r="S77" s="39"/>
      <c r="T77" s="39"/>
      <c r="U77" s="39"/>
      <c r="V77" s="39">
        <f>V61+V75</f>
        <v>43936368</v>
      </c>
      <c r="W77" s="39">
        <f>W61+W75</f>
        <v>43936368</v>
      </c>
      <c r="X77" s="39">
        <f>X61+X75</f>
        <v>45680967</v>
      </c>
      <c r="Y77" s="39">
        <f>Y61+Y75</f>
        <v>46010042</v>
      </c>
      <c r="Z77" s="39">
        <f>Z61+Z75</f>
        <v>44983750</v>
      </c>
    </row>
    <row r="78" spans="1:26">
      <c r="I78" s="36"/>
      <c r="J78" s="36"/>
      <c r="K78" s="36"/>
      <c r="L78" s="36"/>
      <c r="M78" s="36"/>
      <c r="N78" s="36"/>
      <c r="O78" s="36"/>
      <c r="P78" s="36"/>
      <c r="Q78" s="36"/>
      <c r="R78" s="36"/>
      <c r="S78" s="36"/>
      <c r="T78" s="36"/>
      <c r="U78" s="36"/>
      <c r="V78" s="36"/>
      <c r="W78" s="36"/>
    </row>
    <row r="79" spans="1:26">
      <c r="A79" s="5" t="s">
        <v>29</v>
      </c>
      <c r="I79" s="36"/>
      <c r="J79" s="36"/>
      <c r="K79" s="36"/>
      <c r="L79" s="38"/>
      <c r="M79" s="38"/>
      <c r="N79" s="36"/>
      <c r="O79" s="36"/>
      <c r="P79" s="36"/>
      <c r="Q79" s="37">
        <v>7328862</v>
      </c>
      <c r="R79" s="38">
        <f>Q79</f>
        <v>7328862</v>
      </c>
      <c r="S79" s="36"/>
      <c r="T79" s="36"/>
      <c r="U79" s="36"/>
      <c r="V79" s="37">
        <v>5129047</v>
      </c>
      <c r="W79" s="38">
        <f>V79</f>
        <v>5129047</v>
      </c>
      <c r="X79" s="37">
        <v>6413717</v>
      </c>
      <c r="Y79" s="37">
        <v>5751350</v>
      </c>
      <c r="Z79" s="37">
        <v>6624005</v>
      </c>
    </row>
    <row r="80" spans="1:26">
      <c r="A80" s="5" t="s">
        <v>30</v>
      </c>
      <c r="I80" s="36"/>
      <c r="J80" s="36"/>
      <c r="K80" s="36"/>
      <c r="L80" s="38"/>
      <c r="M80" s="38"/>
      <c r="N80" s="36"/>
      <c r="O80" s="36"/>
      <c r="P80" s="36"/>
      <c r="Q80" s="37">
        <v>240241</v>
      </c>
      <c r="R80" s="38">
        <f t="shared" ref="R80:R87" si="117">Q80</f>
        <v>240241</v>
      </c>
      <c r="S80" s="36"/>
      <c r="T80" s="36"/>
      <c r="U80" s="36"/>
      <c r="V80" s="37">
        <v>184105</v>
      </c>
      <c r="W80" s="38">
        <f t="shared" ref="W80:W87" si="118">V80</f>
        <v>184105</v>
      </c>
      <c r="X80" s="37">
        <v>170567</v>
      </c>
      <c r="Y80" s="37">
        <v>161152</v>
      </c>
      <c r="Z80" s="37">
        <v>152722</v>
      </c>
    </row>
    <row r="81" spans="1:26">
      <c r="A81" s="5" t="s">
        <v>31</v>
      </c>
      <c r="I81" s="36"/>
      <c r="J81" s="36"/>
      <c r="K81" s="36"/>
      <c r="L81" s="38"/>
      <c r="M81" s="38"/>
      <c r="N81" s="36"/>
      <c r="O81" s="36"/>
      <c r="P81" s="36"/>
      <c r="Q81" s="37">
        <v>1331385</v>
      </c>
      <c r="R81" s="38">
        <f t="shared" si="117"/>
        <v>1331385</v>
      </c>
      <c r="S81" s="36"/>
      <c r="T81" s="36"/>
      <c r="U81" s="36"/>
      <c r="V81" s="37">
        <v>1472260</v>
      </c>
      <c r="W81" s="38">
        <f t="shared" si="118"/>
        <v>1472260</v>
      </c>
      <c r="X81" s="37">
        <v>1533675</v>
      </c>
      <c r="Y81" s="37">
        <v>1552052</v>
      </c>
      <c r="Z81" s="37">
        <v>1625530</v>
      </c>
    </row>
    <row r="82" spans="1:26">
      <c r="A82" s="5" t="s">
        <v>32</v>
      </c>
      <c r="I82" s="36"/>
      <c r="J82" s="36"/>
      <c r="K82" s="36"/>
      <c r="L82" s="38"/>
      <c r="M82" s="38"/>
      <c r="N82" s="36"/>
      <c r="O82" s="36"/>
      <c r="P82" s="36"/>
      <c r="Q82" s="37">
        <v>1968864</v>
      </c>
      <c r="R82" s="38">
        <f t="shared" si="117"/>
        <v>1968864</v>
      </c>
      <c r="S82" s="36"/>
      <c r="T82" s="36"/>
      <c r="U82" s="36"/>
      <c r="V82" s="37">
        <v>2416872</v>
      </c>
      <c r="W82" s="38">
        <f t="shared" si="118"/>
        <v>2416872</v>
      </c>
      <c r="X82" s="37">
        <v>2166056</v>
      </c>
      <c r="Y82" s="37">
        <v>2343456</v>
      </c>
      <c r="Z82" s="37">
        <v>2587647</v>
      </c>
    </row>
    <row r="83" spans="1:26">
      <c r="A83" s="5" t="s">
        <v>33</v>
      </c>
      <c r="I83" s="36"/>
      <c r="J83" s="36"/>
      <c r="K83" s="36"/>
      <c r="L83" s="38"/>
      <c r="M83" s="38"/>
      <c r="N83" s="36"/>
      <c r="O83" s="36"/>
      <c r="P83" s="36"/>
      <c r="Q83" s="37">
        <v>119592</v>
      </c>
      <c r="R83" s="38">
        <f t="shared" si="117"/>
        <v>119592</v>
      </c>
      <c r="S83" s="36"/>
      <c r="T83" s="36"/>
      <c r="U83" s="36"/>
      <c r="V83" s="37">
        <v>82612</v>
      </c>
      <c r="W83" s="38">
        <f t="shared" si="118"/>
        <v>82612</v>
      </c>
      <c r="X83" s="37">
        <v>89113</v>
      </c>
      <c r="Y83" s="37">
        <v>90810</v>
      </c>
      <c r="Z83" s="37">
        <v>228367</v>
      </c>
    </row>
    <row r="84" spans="1:26">
      <c r="A84" s="5" t="s">
        <v>34</v>
      </c>
      <c r="I84" s="36"/>
      <c r="J84" s="36"/>
      <c r="K84" s="36"/>
      <c r="L84" s="38"/>
      <c r="M84" s="38"/>
      <c r="N84" s="36"/>
      <c r="O84" s="36"/>
      <c r="P84" s="36"/>
      <c r="Q84" s="37">
        <v>554814</v>
      </c>
      <c r="R84" s="38">
        <f t="shared" si="117"/>
        <v>554814</v>
      </c>
      <c r="S84" s="36"/>
      <c r="T84" s="36"/>
      <c r="U84" s="36"/>
      <c r="V84" s="37">
        <v>180191</v>
      </c>
      <c r="W84" s="38">
        <f t="shared" si="118"/>
        <v>180191</v>
      </c>
      <c r="X84" s="37">
        <v>241044</v>
      </c>
      <c r="Y84" s="37">
        <v>271040</v>
      </c>
      <c r="Z84" s="37">
        <v>56610</v>
      </c>
    </row>
    <row r="85" spans="1:26">
      <c r="A85" s="5" t="s">
        <v>35</v>
      </c>
      <c r="I85" s="36"/>
      <c r="J85" s="36"/>
      <c r="K85" s="36"/>
      <c r="L85" s="38"/>
      <c r="M85" s="38"/>
      <c r="N85" s="36"/>
      <c r="O85" s="36"/>
      <c r="P85" s="36"/>
      <c r="Q85" s="37">
        <v>183388</v>
      </c>
      <c r="R85" s="38">
        <f t="shared" si="117"/>
        <v>183388</v>
      </c>
      <c r="S85" s="36"/>
      <c r="T85" s="36"/>
      <c r="U85" s="36"/>
      <c r="V85" s="37">
        <v>367367</v>
      </c>
      <c r="W85" s="38">
        <f t="shared" si="118"/>
        <v>367367</v>
      </c>
      <c r="X85" s="37">
        <v>100698</v>
      </c>
      <c r="Y85" s="37">
        <v>192669</v>
      </c>
      <c r="Z85" s="37">
        <v>121383</v>
      </c>
    </row>
    <row r="86" spans="1:26">
      <c r="A86" s="5" t="s">
        <v>36</v>
      </c>
      <c r="I86" s="36"/>
      <c r="J86" s="36"/>
      <c r="K86" s="36"/>
      <c r="L86" s="38"/>
      <c r="M86" s="38"/>
      <c r="N86" s="36"/>
      <c r="O86" s="36"/>
      <c r="P86" s="36"/>
      <c r="Q86" s="37">
        <v>34056</v>
      </c>
      <c r="R86" s="38">
        <f t="shared" si="117"/>
        <v>34056</v>
      </c>
      <c r="S86" s="36"/>
      <c r="T86" s="36"/>
      <c r="U86" s="36"/>
      <c r="V86" s="37">
        <v>72350</v>
      </c>
      <c r="W86" s="38">
        <f t="shared" si="118"/>
        <v>72350</v>
      </c>
      <c r="X86" s="37">
        <v>76983</v>
      </c>
      <c r="Y86" s="37">
        <v>62251</v>
      </c>
      <c r="Z86" s="37">
        <v>62191</v>
      </c>
    </row>
    <row r="87" spans="1:26">
      <c r="A87" s="5" t="s">
        <v>37</v>
      </c>
      <c r="I87" s="36"/>
      <c r="J87" s="36"/>
      <c r="K87" s="36"/>
      <c r="L87" s="38"/>
      <c r="M87" s="38"/>
      <c r="N87" s="36"/>
      <c r="O87" s="36"/>
      <c r="P87" s="36"/>
      <c r="Q87" s="37">
        <v>620260</v>
      </c>
      <c r="R87" s="38">
        <f t="shared" si="117"/>
        <v>620260</v>
      </c>
      <c r="S87" s="36"/>
      <c r="T87" s="36"/>
      <c r="U87" s="36"/>
      <c r="V87" s="37">
        <v>675920</v>
      </c>
      <c r="W87" s="38">
        <f t="shared" si="118"/>
        <v>675920</v>
      </c>
      <c r="X87" s="37">
        <v>572624</v>
      </c>
      <c r="Y87" s="37">
        <v>614779</v>
      </c>
      <c r="Z87" s="37">
        <v>630384</v>
      </c>
    </row>
    <row r="88" spans="1:26">
      <c r="A88" s="9" t="s">
        <v>38</v>
      </c>
      <c r="B88" s="9"/>
      <c r="C88" s="9"/>
      <c r="D88" s="9"/>
      <c r="E88" s="9"/>
      <c r="F88" s="9"/>
      <c r="G88" s="9"/>
      <c r="H88" s="9"/>
      <c r="I88" s="39"/>
      <c r="J88" s="39"/>
      <c r="K88" s="39"/>
      <c r="L88" s="39"/>
      <c r="M88" s="39"/>
      <c r="N88" s="39"/>
      <c r="O88" s="39"/>
      <c r="P88" s="39"/>
      <c r="Q88" s="39">
        <f>SUM(Q79:Q87)</f>
        <v>12381462</v>
      </c>
      <c r="R88" s="39">
        <f>SUM(R79:R87)</f>
        <v>12381462</v>
      </c>
      <c r="S88" s="39"/>
      <c r="T88" s="39"/>
      <c r="U88" s="39"/>
      <c r="V88" s="39">
        <f>SUM(V79:V87)</f>
        <v>10580724</v>
      </c>
      <c r="W88" s="39">
        <f>SUM(W79:W87)</f>
        <v>10580724</v>
      </c>
      <c r="X88" s="39">
        <f>SUM(X79:X87)</f>
        <v>11364477</v>
      </c>
      <c r="Y88" s="39">
        <f>SUM(Y79:Y87)</f>
        <v>11039559</v>
      </c>
      <c r="Z88" s="39">
        <f>SUM(Z79:Z87)</f>
        <v>12088839</v>
      </c>
    </row>
    <row r="89" spans="1:26">
      <c r="I89" s="36"/>
      <c r="J89" s="36"/>
      <c r="K89" s="36"/>
      <c r="L89" s="36"/>
      <c r="M89" s="36"/>
      <c r="N89" s="36"/>
      <c r="O89" s="36"/>
      <c r="P89" s="36"/>
      <c r="Q89" s="36"/>
      <c r="R89" s="36"/>
      <c r="S89" s="36"/>
      <c r="T89" s="36"/>
      <c r="U89" s="36"/>
      <c r="V89" s="36"/>
      <c r="W89" s="36"/>
      <c r="X89" s="36"/>
    </row>
    <row r="90" spans="1:26">
      <c r="A90" s="5" t="s">
        <v>29</v>
      </c>
      <c r="I90" s="36"/>
      <c r="J90" s="36"/>
      <c r="K90" s="36"/>
      <c r="L90" s="38"/>
      <c r="M90" s="36"/>
      <c r="N90" s="36"/>
      <c r="O90" s="36"/>
      <c r="P90" s="36"/>
      <c r="Q90" s="37">
        <v>14128570</v>
      </c>
      <c r="R90" s="36">
        <f>Q90</f>
        <v>14128570</v>
      </c>
      <c r="S90" s="36"/>
      <c r="T90" s="36"/>
      <c r="U90" s="36"/>
      <c r="V90" s="37">
        <v>14349147</v>
      </c>
      <c r="W90" s="36">
        <f>V90</f>
        <v>14349147</v>
      </c>
      <c r="X90" s="37">
        <v>14674390</v>
      </c>
      <c r="Y90" s="37">
        <v>14817780</v>
      </c>
      <c r="Z90" s="37">
        <v>13501053</v>
      </c>
    </row>
    <row r="91" spans="1:26">
      <c r="A91" s="5" t="s">
        <v>30</v>
      </c>
      <c r="I91" s="36"/>
      <c r="J91" s="36"/>
      <c r="K91" s="36"/>
      <c r="L91" s="38"/>
      <c r="M91" s="36"/>
      <c r="N91" s="36"/>
      <c r="O91" s="36"/>
      <c r="P91" s="36"/>
      <c r="Q91" s="37">
        <v>625907</v>
      </c>
      <c r="R91" s="36">
        <f t="shared" ref="R91:R97" si="119">Q91</f>
        <v>625907</v>
      </c>
      <c r="S91" s="36"/>
      <c r="T91" s="36"/>
      <c r="U91" s="36"/>
      <c r="V91" s="37">
        <v>652892</v>
      </c>
      <c r="W91" s="36">
        <f t="shared" ref="W91:W97" si="120">V91</f>
        <v>652892</v>
      </c>
      <c r="X91" s="37">
        <v>649792</v>
      </c>
      <c r="Y91" s="37">
        <v>663444</v>
      </c>
      <c r="Z91" s="37">
        <v>656921</v>
      </c>
    </row>
    <row r="92" spans="1:26">
      <c r="A92" s="5" t="s">
        <v>39</v>
      </c>
      <c r="I92" s="36"/>
      <c r="J92" s="36"/>
      <c r="K92" s="36"/>
      <c r="L92" s="38"/>
      <c r="M92" s="36"/>
      <c r="N92" s="36"/>
      <c r="O92" s="36"/>
      <c r="P92" s="36"/>
      <c r="Q92" s="37">
        <v>5640498</v>
      </c>
      <c r="R92" s="36">
        <f t="shared" si="119"/>
        <v>5640498</v>
      </c>
      <c r="S92" s="36"/>
      <c r="T92" s="36"/>
      <c r="U92" s="36"/>
      <c r="V92" s="37">
        <v>4499369</v>
      </c>
      <c r="W92" s="36">
        <f t="shared" si="120"/>
        <v>4499369</v>
      </c>
      <c r="X92" s="37">
        <v>4822520</v>
      </c>
      <c r="Y92" s="37">
        <v>5022811</v>
      </c>
      <c r="Z92" s="37">
        <v>4666903</v>
      </c>
    </row>
    <row r="93" spans="1:26">
      <c r="A93" s="5" t="s">
        <v>33</v>
      </c>
      <c r="I93" s="36"/>
      <c r="J93" s="36"/>
      <c r="K93" s="36"/>
      <c r="L93" s="38"/>
      <c r="M93" s="36"/>
      <c r="N93" s="36"/>
      <c r="O93" s="36"/>
      <c r="P93" s="36"/>
      <c r="Q93" s="37">
        <v>174003</v>
      </c>
      <c r="R93" s="36">
        <f t="shared" si="119"/>
        <v>174003</v>
      </c>
      <c r="S93" s="36"/>
      <c r="T93" s="36"/>
      <c r="U93" s="36"/>
      <c r="V93" s="37">
        <v>899351</v>
      </c>
      <c r="W93" s="36">
        <f t="shared" si="120"/>
        <v>899351</v>
      </c>
      <c r="X93" s="37">
        <v>343389</v>
      </c>
      <c r="Y93" s="37">
        <v>426493</v>
      </c>
      <c r="Z93" s="37">
        <v>71738</v>
      </c>
    </row>
    <row r="94" spans="1:26">
      <c r="A94" s="5" t="s">
        <v>34</v>
      </c>
      <c r="I94" s="36"/>
      <c r="J94" s="36"/>
      <c r="K94" s="36"/>
      <c r="L94" s="38"/>
      <c r="M94" s="36"/>
      <c r="N94" s="36"/>
      <c r="O94" s="36"/>
      <c r="P94" s="36"/>
      <c r="Q94" s="37">
        <v>129849</v>
      </c>
      <c r="R94" s="36">
        <f t="shared" si="119"/>
        <v>129849</v>
      </c>
      <c r="S94" s="36"/>
      <c r="T94" s="36"/>
      <c r="U94" s="36"/>
      <c r="V94" s="37">
        <v>58545</v>
      </c>
      <c r="W94" s="36">
        <f t="shared" si="120"/>
        <v>58545</v>
      </c>
      <c r="X94" s="37">
        <v>46819</v>
      </c>
      <c r="Y94" s="37">
        <v>44125</v>
      </c>
      <c r="Z94" s="37">
        <v>39612</v>
      </c>
    </row>
    <row r="95" spans="1:26">
      <c r="A95" s="5" t="s">
        <v>36</v>
      </c>
      <c r="I95" s="36"/>
      <c r="J95" s="36"/>
      <c r="K95" s="36"/>
      <c r="L95" s="38"/>
      <c r="M95" s="36"/>
      <c r="N95" s="36"/>
      <c r="O95" s="36"/>
      <c r="P95" s="36"/>
      <c r="Q95" s="37">
        <v>107961</v>
      </c>
      <c r="R95" s="36">
        <f t="shared" si="119"/>
        <v>107961</v>
      </c>
      <c r="S95" s="36"/>
      <c r="T95" s="36"/>
      <c r="U95" s="36"/>
      <c r="V95" s="37">
        <v>163627</v>
      </c>
      <c r="W95" s="36">
        <f t="shared" si="120"/>
        <v>163627</v>
      </c>
      <c r="X95" s="37">
        <v>170037</v>
      </c>
      <c r="Y95" s="37">
        <v>169349</v>
      </c>
      <c r="Z95" s="37">
        <v>168956</v>
      </c>
    </row>
    <row r="96" spans="1:26">
      <c r="A96" s="5" t="s">
        <v>40</v>
      </c>
      <c r="I96" s="36"/>
      <c r="J96" s="36"/>
      <c r="K96" s="36"/>
      <c r="L96" s="38"/>
      <c r="M96" s="36"/>
      <c r="N96" s="36"/>
      <c r="O96" s="36"/>
      <c r="P96" s="36"/>
      <c r="Q96" s="37">
        <v>2436034</v>
      </c>
      <c r="R96" s="36">
        <f t="shared" si="119"/>
        <v>2436034</v>
      </c>
      <c r="S96" s="36"/>
      <c r="T96" s="36"/>
      <c r="U96" s="36"/>
      <c r="V96" s="37">
        <v>1828557</v>
      </c>
      <c r="W96" s="36">
        <f t="shared" si="120"/>
        <v>1828557</v>
      </c>
      <c r="X96" s="37">
        <v>1878615</v>
      </c>
      <c r="Y96" s="37">
        <v>1849468</v>
      </c>
      <c r="Z96" s="37">
        <v>1787259</v>
      </c>
    </row>
    <row r="97" spans="1:26">
      <c r="A97" s="5" t="s">
        <v>41</v>
      </c>
      <c r="I97" s="36"/>
      <c r="J97" s="36"/>
      <c r="K97" s="36"/>
      <c r="L97" s="38"/>
      <c r="M97" s="36"/>
      <c r="N97" s="36"/>
      <c r="O97" s="36"/>
      <c r="P97" s="36"/>
      <c r="Q97" s="37">
        <v>212624</v>
      </c>
      <c r="R97" s="36">
        <f t="shared" si="119"/>
        <v>212624</v>
      </c>
      <c r="S97" s="36"/>
      <c r="T97" s="36"/>
      <c r="U97" s="36"/>
      <c r="V97" s="37">
        <v>254941</v>
      </c>
      <c r="W97" s="36">
        <f t="shared" si="120"/>
        <v>254941</v>
      </c>
      <c r="X97" s="37">
        <v>281170</v>
      </c>
      <c r="Y97" s="37">
        <v>305744</v>
      </c>
      <c r="Z97" s="37">
        <v>289859</v>
      </c>
    </row>
    <row r="98" spans="1:26">
      <c r="A98" s="9" t="s">
        <v>42</v>
      </c>
      <c r="B98" s="9"/>
      <c r="C98" s="9"/>
      <c r="D98" s="9"/>
      <c r="E98" s="9"/>
      <c r="F98" s="9"/>
      <c r="G98" s="9"/>
      <c r="H98" s="9"/>
      <c r="I98" s="39"/>
      <c r="J98" s="39"/>
      <c r="K98" s="39"/>
      <c r="L98" s="39"/>
      <c r="M98" s="39"/>
      <c r="N98" s="39"/>
      <c r="O98" s="39"/>
      <c r="P98" s="39"/>
      <c r="Q98" s="39">
        <f>SUM(Q90:Q97)</f>
        <v>23455446</v>
      </c>
      <c r="R98" s="39">
        <f>SUM(R90:R97)</f>
        <v>23455446</v>
      </c>
      <c r="S98" s="39"/>
      <c r="T98" s="39"/>
      <c r="U98" s="39"/>
      <c r="V98" s="39">
        <f>SUM(V90:V97)</f>
        <v>22706429</v>
      </c>
      <c r="W98" s="39">
        <f>SUM(W90:W97)</f>
        <v>22706429</v>
      </c>
      <c r="X98" s="39">
        <f>SUM(X90:X97)</f>
        <v>22866732</v>
      </c>
      <c r="Y98" s="39">
        <f>SUM(Y90:Y97)</f>
        <v>23299214</v>
      </c>
      <c r="Z98" s="39">
        <f>SUM(Z90:Z97)</f>
        <v>21182301</v>
      </c>
    </row>
    <row r="99" spans="1:26">
      <c r="I99" s="36"/>
      <c r="J99" s="36"/>
      <c r="K99" s="36"/>
      <c r="L99" s="36"/>
      <c r="M99" s="36"/>
      <c r="N99" s="36"/>
      <c r="O99" s="36"/>
      <c r="P99" s="36"/>
      <c r="Q99" s="36"/>
      <c r="R99" s="36"/>
      <c r="S99" s="36"/>
      <c r="T99" s="36"/>
      <c r="U99" s="36"/>
      <c r="V99" s="36"/>
      <c r="W99" s="36"/>
      <c r="X99" s="36"/>
      <c r="Y99" s="36"/>
      <c r="Z99" s="36"/>
    </row>
    <row r="100" spans="1:26">
      <c r="A100" s="9" t="s">
        <v>53</v>
      </c>
      <c r="B100" s="9"/>
      <c r="C100" s="9"/>
      <c r="D100" s="9"/>
      <c r="E100" s="9"/>
      <c r="F100" s="9"/>
      <c r="G100" s="9"/>
      <c r="H100" s="9"/>
      <c r="I100" s="39"/>
      <c r="J100" s="39"/>
      <c r="K100" s="39"/>
      <c r="L100" s="39"/>
      <c r="M100" s="39"/>
      <c r="N100" s="39"/>
      <c r="O100" s="39"/>
      <c r="P100" s="39"/>
      <c r="Q100" s="39">
        <f>Q88+Q98</f>
        <v>35836908</v>
      </c>
      <c r="R100" s="39">
        <f>R88+R98</f>
        <v>35836908</v>
      </c>
      <c r="S100" s="39"/>
      <c r="T100" s="39"/>
      <c r="U100" s="39"/>
      <c r="V100" s="39">
        <f>V88+V98</f>
        <v>33287153</v>
      </c>
      <c r="W100" s="39">
        <f>W88+W98</f>
        <v>33287153</v>
      </c>
      <c r="X100" s="39">
        <f>X88+X98</f>
        <v>34231209</v>
      </c>
      <c r="Y100" s="39">
        <f>Y88+Y98</f>
        <v>34338773</v>
      </c>
      <c r="Z100" s="39">
        <f>Z88+Z98</f>
        <v>33271140</v>
      </c>
    </row>
    <row r="101" spans="1:26">
      <c r="I101" s="36"/>
      <c r="J101" s="36"/>
      <c r="K101" s="36"/>
      <c r="L101" s="36"/>
      <c r="M101" s="36"/>
      <c r="N101" s="36"/>
      <c r="O101" s="36"/>
      <c r="P101" s="36"/>
      <c r="Q101" s="36"/>
      <c r="R101" s="36"/>
      <c r="S101" s="36"/>
      <c r="T101" s="36"/>
      <c r="U101" s="36"/>
      <c r="V101" s="36"/>
      <c r="W101" s="36"/>
      <c r="X101" s="36"/>
      <c r="Y101" s="36"/>
      <c r="Z101" s="36"/>
    </row>
    <row r="102" spans="1:26">
      <c r="A102" s="5" t="s">
        <v>43</v>
      </c>
      <c r="I102" s="36"/>
      <c r="J102" s="36"/>
      <c r="K102" s="36"/>
      <c r="L102" s="38"/>
      <c r="M102" s="36"/>
      <c r="N102" s="36"/>
      <c r="O102" s="36"/>
      <c r="P102" s="36"/>
      <c r="Q102" s="37">
        <v>238772</v>
      </c>
      <c r="R102" s="36">
        <f>Q102</f>
        <v>238772</v>
      </c>
      <c r="S102" s="36"/>
      <c r="T102" s="36"/>
      <c r="U102" s="36"/>
      <c r="V102" s="37">
        <v>238772</v>
      </c>
      <c r="W102" s="36">
        <f>V102</f>
        <v>238772</v>
      </c>
      <c r="X102" s="37">
        <v>238772</v>
      </c>
      <c r="Y102" s="37">
        <v>238772</v>
      </c>
      <c r="Z102" s="37">
        <v>238772</v>
      </c>
    </row>
    <row r="103" spans="1:26">
      <c r="A103" s="5" t="s">
        <v>44</v>
      </c>
      <c r="I103" s="36"/>
      <c r="J103" s="36"/>
      <c r="K103" s="36"/>
      <c r="L103" s="38"/>
      <c r="M103" s="36"/>
      <c r="N103" s="36"/>
      <c r="O103" s="36"/>
      <c r="P103" s="36"/>
      <c r="Q103" s="37">
        <v>2634574</v>
      </c>
      <c r="R103" s="36">
        <f t="shared" ref="R103:R107" si="121">Q103</f>
        <v>2634574</v>
      </c>
      <c r="S103" s="36"/>
      <c r="T103" s="36"/>
      <c r="U103" s="36"/>
      <c r="V103" s="37">
        <v>2652790</v>
      </c>
      <c r="W103" s="36">
        <f t="shared" ref="W103:W107" si="122">V103</f>
        <v>2652790</v>
      </c>
      <c r="X103" s="37">
        <v>2655326</v>
      </c>
      <c r="Y103" s="37">
        <v>3319486</v>
      </c>
      <c r="Z103" s="37">
        <v>3322555</v>
      </c>
    </row>
    <row r="104" spans="1:26">
      <c r="A104" s="5" t="s">
        <v>45</v>
      </c>
      <c r="I104" s="36"/>
      <c r="J104" s="36"/>
      <c r="K104" s="36"/>
      <c r="L104" s="38"/>
      <c r="M104" s="36"/>
      <c r="N104" s="36"/>
      <c r="O104" s="36"/>
      <c r="P104" s="36"/>
      <c r="Q104" s="37">
        <v>496876</v>
      </c>
      <c r="R104" s="36">
        <f t="shared" si="121"/>
        <v>496876</v>
      </c>
      <c r="S104" s="36"/>
      <c r="T104" s="36"/>
      <c r="U104" s="36"/>
      <c r="V104" s="37">
        <v>414055</v>
      </c>
      <c r="W104" s="36">
        <f t="shared" si="122"/>
        <v>414055</v>
      </c>
      <c r="X104" s="37">
        <v>414055</v>
      </c>
      <c r="Y104" s="37">
        <v>193199</v>
      </c>
      <c r="Z104" s="37">
        <v>193199</v>
      </c>
    </row>
    <row r="105" spans="1:26">
      <c r="A105" s="5" t="s">
        <v>46</v>
      </c>
      <c r="I105" s="36"/>
      <c r="J105" s="36"/>
      <c r="K105" s="36"/>
      <c r="L105" s="38"/>
      <c r="M105" s="36"/>
      <c r="N105" s="36"/>
      <c r="O105" s="36"/>
      <c r="P105" s="36"/>
      <c r="Q105" s="37">
        <v>4515704</v>
      </c>
      <c r="R105" s="36">
        <f t="shared" si="121"/>
        <v>4515704</v>
      </c>
      <c r="S105" s="36"/>
      <c r="T105" s="36"/>
      <c r="U105" s="36"/>
      <c r="V105" s="37">
        <v>2006238</v>
      </c>
      <c r="W105" s="36">
        <f t="shared" si="122"/>
        <v>2006238</v>
      </c>
      <c r="X105" s="37">
        <v>1495376</v>
      </c>
      <c r="Y105" s="37">
        <v>491609</v>
      </c>
      <c r="Z105" s="37">
        <v>1410766</v>
      </c>
    </row>
    <row r="106" spans="1:26">
      <c r="A106" s="5" t="s">
        <v>47</v>
      </c>
      <c r="I106" s="36"/>
      <c r="J106" s="36"/>
      <c r="K106" s="36"/>
      <c r="L106" s="38"/>
      <c r="M106" s="36"/>
      <c r="N106" s="36"/>
      <c r="O106" s="36"/>
      <c r="P106" s="36"/>
      <c r="Q106" s="37">
        <v>-406410</v>
      </c>
      <c r="R106" s="36">
        <f t="shared" si="121"/>
        <v>-406410</v>
      </c>
      <c r="S106" s="36"/>
      <c r="T106" s="36"/>
      <c r="U106" s="36"/>
      <c r="V106" s="37">
        <v>-38791</v>
      </c>
      <c r="W106" s="36">
        <f t="shared" si="122"/>
        <v>-38791</v>
      </c>
      <c r="X106" s="37">
        <v>-33255</v>
      </c>
      <c r="Y106" s="37">
        <v>-23895</v>
      </c>
      <c r="Z106" s="37">
        <v>-23449</v>
      </c>
    </row>
    <row r="107" spans="1:26">
      <c r="A107" s="5" t="s">
        <v>48</v>
      </c>
      <c r="I107" s="36"/>
      <c r="J107" s="36"/>
      <c r="K107" s="36"/>
      <c r="L107" s="38"/>
      <c r="M107" s="36"/>
      <c r="N107" s="36"/>
      <c r="O107" s="36"/>
      <c r="P107" s="36"/>
      <c r="Q107" s="37">
        <v>2496158</v>
      </c>
      <c r="R107" s="36">
        <f t="shared" si="121"/>
        <v>2496158</v>
      </c>
      <c r="S107" s="36"/>
      <c r="T107" s="36"/>
      <c r="U107" s="36"/>
      <c r="V107" s="37">
        <v>3756785</v>
      </c>
      <c r="W107" s="36">
        <f t="shared" si="122"/>
        <v>3756785</v>
      </c>
      <c r="X107" s="37">
        <v>5015214</v>
      </c>
      <c r="Y107" s="37">
        <v>5543616</v>
      </c>
      <c r="Z107" s="37">
        <v>4633139</v>
      </c>
    </row>
    <row r="108" spans="1:26">
      <c r="A108" s="9" t="s">
        <v>49</v>
      </c>
      <c r="B108" s="9"/>
      <c r="C108" s="9"/>
      <c r="D108" s="9"/>
      <c r="E108" s="9"/>
      <c r="F108" s="9"/>
      <c r="G108" s="9"/>
      <c r="H108" s="9"/>
      <c r="I108" s="39"/>
      <c r="J108" s="39"/>
      <c r="K108" s="39"/>
      <c r="L108" s="39"/>
      <c r="M108" s="39"/>
      <c r="N108" s="39"/>
      <c r="O108" s="39"/>
      <c r="P108" s="39"/>
      <c r="Q108" s="39">
        <f>SUM(Q102:Q107)</f>
        <v>9975674</v>
      </c>
      <c r="R108" s="39">
        <f>SUM(R102:R107)</f>
        <v>9975674</v>
      </c>
      <c r="S108" s="39"/>
      <c r="T108" s="39"/>
      <c r="U108" s="39"/>
      <c r="V108" s="39">
        <f>SUM(V102:V107)</f>
        <v>9029849</v>
      </c>
      <c r="W108" s="39">
        <f>SUM(W102:W107)</f>
        <v>9029849</v>
      </c>
      <c r="X108" s="39">
        <f>SUM(X102:X107)</f>
        <v>9785488</v>
      </c>
      <c r="Y108" s="39">
        <f>SUM(Y102:Y107)</f>
        <v>9762787</v>
      </c>
      <c r="Z108" s="39">
        <f>SUM(Z102:Z107)</f>
        <v>9774982</v>
      </c>
    </row>
    <row r="109" spans="1:26">
      <c r="I109" s="36"/>
      <c r="J109" s="36"/>
      <c r="K109" s="36"/>
      <c r="L109" s="36"/>
      <c r="M109" s="36"/>
      <c r="N109" s="36"/>
      <c r="O109" s="36"/>
      <c r="P109" s="36"/>
      <c r="Q109" s="36"/>
      <c r="R109" s="36"/>
      <c r="S109" s="36"/>
      <c r="T109" s="36"/>
      <c r="U109" s="36"/>
      <c r="V109" s="36"/>
      <c r="W109" s="36"/>
      <c r="X109" s="36"/>
      <c r="Y109" s="36"/>
      <c r="Z109" s="36"/>
    </row>
    <row r="110" spans="1:26">
      <c r="A110" s="5" t="s">
        <v>50</v>
      </c>
      <c r="I110" s="36"/>
      <c r="J110" s="36"/>
      <c r="K110" s="36"/>
      <c r="L110" s="38"/>
      <c r="M110" s="36"/>
      <c r="N110" s="36"/>
      <c r="O110" s="36"/>
      <c r="P110" s="36"/>
      <c r="Q110" s="37">
        <v>1732088</v>
      </c>
      <c r="R110" s="36">
        <f t="shared" ref="R110" si="123">Q110</f>
        <v>1732088</v>
      </c>
      <c r="S110" s="36"/>
      <c r="T110" s="36"/>
      <c r="U110" s="36"/>
      <c r="V110" s="37">
        <v>1619366</v>
      </c>
      <c r="W110" s="36">
        <f t="shared" ref="W110" si="124">V110</f>
        <v>1619366</v>
      </c>
      <c r="X110" s="37">
        <v>1664270</v>
      </c>
      <c r="Y110" s="37">
        <v>1908482</v>
      </c>
      <c r="Z110" s="37">
        <v>1937628</v>
      </c>
    </row>
    <row r="111" spans="1:26">
      <c r="A111" s="9" t="s">
        <v>51</v>
      </c>
      <c r="B111" s="9"/>
      <c r="C111" s="9"/>
      <c r="D111" s="9"/>
      <c r="E111" s="9"/>
      <c r="F111" s="9"/>
      <c r="G111" s="9"/>
      <c r="H111" s="9"/>
      <c r="I111" s="39"/>
      <c r="J111" s="39"/>
      <c r="K111" s="39"/>
      <c r="L111" s="39"/>
      <c r="M111" s="39"/>
      <c r="N111" s="39"/>
      <c r="O111" s="39"/>
      <c r="P111" s="39"/>
      <c r="Q111" s="39">
        <f>Q108+Q110</f>
        <v>11707762</v>
      </c>
      <c r="R111" s="39">
        <f>R108+R110</f>
        <v>11707762</v>
      </c>
      <c r="S111" s="39"/>
      <c r="T111" s="39"/>
      <c r="U111" s="39"/>
      <c r="V111" s="39">
        <f>V108+V110</f>
        <v>10649215</v>
      </c>
      <c r="W111" s="39">
        <f>W108+W110</f>
        <v>10649215</v>
      </c>
      <c r="X111" s="39">
        <f>X108+X110</f>
        <v>11449758</v>
      </c>
      <c r="Y111" s="39">
        <f>Y108+Y110</f>
        <v>11671269</v>
      </c>
      <c r="Z111" s="39">
        <f>Z108+Z110</f>
        <v>11712610</v>
      </c>
    </row>
    <row r="112" spans="1:26">
      <c r="I112" s="36"/>
      <c r="J112" s="36"/>
      <c r="K112" s="36"/>
      <c r="L112" s="36"/>
      <c r="M112" s="36"/>
      <c r="N112" s="36"/>
      <c r="O112" s="36"/>
      <c r="P112" s="36"/>
      <c r="Q112" s="36"/>
      <c r="R112" s="36"/>
      <c r="S112" s="36"/>
      <c r="T112" s="36"/>
      <c r="U112" s="36"/>
      <c r="V112" s="36"/>
      <c r="W112" s="36"/>
      <c r="X112" s="36"/>
      <c r="Y112" s="36"/>
      <c r="Z112" s="36"/>
    </row>
    <row r="113" spans="1:65">
      <c r="A113" s="9" t="s">
        <v>52</v>
      </c>
      <c r="B113" s="9"/>
      <c r="C113" s="9"/>
      <c r="D113" s="9"/>
      <c r="E113" s="9"/>
      <c r="F113" s="9"/>
      <c r="G113" s="9"/>
      <c r="H113" s="9"/>
      <c r="I113" s="39"/>
      <c r="J113" s="39"/>
      <c r="K113" s="39"/>
      <c r="L113" s="39"/>
      <c r="M113" s="39"/>
      <c r="N113" s="39"/>
      <c r="O113" s="39"/>
      <c r="P113" s="39"/>
      <c r="Q113" s="39">
        <f>Q100+Q111</f>
        <v>47544670</v>
      </c>
      <c r="R113" s="39">
        <f>R100+R111</f>
        <v>47544670</v>
      </c>
      <c r="S113" s="39"/>
      <c r="T113" s="39"/>
      <c r="U113" s="39"/>
      <c r="V113" s="39">
        <f>V100+V111</f>
        <v>43936368</v>
      </c>
      <c r="W113" s="39">
        <f>W100+W111</f>
        <v>43936368</v>
      </c>
      <c r="X113" s="39">
        <f>X100+X111</f>
        <v>45680967</v>
      </c>
      <c r="Y113" s="39">
        <f>Y100+Y111</f>
        <v>46010042</v>
      </c>
      <c r="Z113" s="39">
        <f>Z100+Z111</f>
        <v>44983750</v>
      </c>
    </row>
    <row r="114" spans="1:65">
      <c r="A114" s="1" t="s">
        <v>706</v>
      </c>
      <c r="L114" s="36"/>
      <c r="M114" s="36"/>
      <c r="Q114" s="36">
        <f>Q77-Q113</f>
        <v>0</v>
      </c>
      <c r="R114" s="36">
        <f>R77-R113</f>
        <v>0</v>
      </c>
      <c r="V114" s="36">
        <f>V77-V113</f>
        <v>0</v>
      </c>
      <c r="W114" s="36">
        <f>W77-W113</f>
        <v>0</v>
      </c>
      <c r="X114" s="36">
        <f>X77-X113</f>
        <v>0</v>
      </c>
      <c r="Y114" s="36">
        <f>Y77-Y113</f>
        <v>0</v>
      </c>
      <c r="Z114" s="36">
        <f>Z77-Z113</f>
        <v>0</v>
      </c>
    </row>
    <row r="116" spans="1:65" s="12" customFormat="1">
      <c r="A116" s="13" t="s">
        <v>2029</v>
      </c>
      <c r="L116" s="1"/>
      <c r="BM116" s="46"/>
    </row>
    <row r="118" spans="1:65">
      <c r="A118" s="5" t="s">
        <v>3</v>
      </c>
      <c r="I118" s="36"/>
      <c r="J118" s="36"/>
      <c r="K118" s="36"/>
      <c r="L118" s="38"/>
      <c r="M118" s="38"/>
      <c r="N118" s="36"/>
      <c r="O118" s="36"/>
      <c r="P118" s="36"/>
      <c r="Q118" s="38">
        <f t="shared" ref="Q118:Q124" si="125">Q55/Q$179</f>
        <v>42233.850804804315</v>
      </c>
      <c r="R118" s="38">
        <f>Q118</f>
        <v>42233.850804804315</v>
      </c>
      <c r="S118" s="36"/>
      <c r="T118" s="36"/>
      <c r="U118" s="36"/>
      <c r="V118" s="38">
        <f t="shared" ref="V118:V124" si="126">V55/V$179</f>
        <v>51862.150827529396</v>
      </c>
      <c r="W118" s="38">
        <f>V118</f>
        <v>51862.150827529396</v>
      </c>
      <c r="X118" s="38">
        <f t="shared" ref="X118:Z124" si="127">X55/X$179</f>
        <v>50459.666183874746</v>
      </c>
      <c r="Y118" s="38">
        <f t="shared" si="127"/>
        <v>44844.317422115251</v>
      </c>
      <c r="Z118" s="38">
        <f t="shared" si="127"/>
        <v>43458.386801099907</v>
      </c>
    </row>
    <row r="119" spans="1:65">
      <c r="A119" s="5" t="s">
        <v>4</v>
      </c>
      <c r="I119" s="36"/>
      <c r="J119" s="36"/>
      <c r="K119" s="36"/>
      <c r="L119" s="38"/>
      <c r="M119" s="38"/>
      <c r="N119" s="36"/>
      <c r="O119" s="36"/>
      <c r="P119" s="36"/>
      <c r="Q119" s="38">
        <f t="shared" si="125"/>
        <v>19292.009151074435</v>
      </c>
      <c r="R119" s="38">
        <f t="shared" ref="R119:R124" si="128">Q119</f>
        <v>19292.009151074435</v>
      </c>
      <c r="S119" s="36"/>
      <c r="T119" s="36"/>
      <c r="U119" s="36"/>
      <c r="V119" s="38">
        <f t="shared" si="126"/>
        <v>19431.85800943608</v>
      </c>
      <c r="W119" s="38">
        <f t="shared" ref="W119:W124" si="129">V119</f>
        <v>19431.85800943608</v>
      </c>
      <c r="X119" s="38">
        <f t="shared" si="127"/>
        <v>16898.572315332091</v>
      </c>
      <c r="Y119" s="38">
        <f t="shared" si="127"/>
        <v>17813.544591522928</v>
      </c>
      <c r="Z119" s="38">
        <f t="shared" si="127"/>
        <v>19779.200451244447</v>
      </c>
    </row>
    <row r="120" spans="1:65">
      <c r="A120" s="5" t="s">
        <v>5</v>
      </c>
      <c r="I120" s="36"/>
      <c r="J120" s="36"/>
      <c r="K120" s="36"/>
      <c r="L120" s="38"/>
      <c r="M120" s="38"/>
      <c r="N120" s="36"/>
      <c r="O120" s="36"/>
      <c r="P120" s="36"/>
      <c r="Q120" s="38">
        <f t="shared" si="125"/>
        <v>8582.7763706185142</v>
      </c>
      <c r="R120" s="38">
        <f t="shared" si="128"/>
        <v>8582.7763706185142</v>
      </c>
      <c r="S120" s="36"/>
      <c r="T120" s="36"/>
      <c r="U120" s="36"/>
      <c r="V120" s="38">
        <f t="shared" si="126"/>
        <v>1867.8499213659852</v>
      </c>
      <c r="W120" s="38">
        <f t="shared" si="129"/>
        <v>1867.8499213659852</v>
      </c>
      <c r="X120" s="38">
        <f t="shared" si="127"/>
        <v>1925.2638112973307</v>
      </c>
      <c r="Y120" s="38">
        <f t="shared" si="127"/>
        <v>2593.5619735258724</v>
      </c>
      <c r="Z120" s="38">
        <f t="shared" si="127"/>
        <v>4296.2701826129869</v>
      </c>
    </row>
    <row r="121" spans="1:65">
      <c r="A121" s="5" t="s">
        <v>6</v>
      </c>
      <c r="I121" s="36"/>
      <c r="J121" s="36"/>
      <c r="K121" s="36"/>
      <c r="L121" s="38"/>
      <c r="M121" s="38"/>
      <c r="N121" s="36"/>
      <c r="O121" s="36"/>
      <c r="P121" s="36"/>
      <c r="Q121" s="38">
        <f t="shared" si="125"/>
        <v>7934.6760356238256</v>
      </c>
      <c r="R121" s="38">
        <f t="shared" si="128"/>
        <v>7934.6760356238256</v>
      </c>
      <c r="S121" s="36"/>
      <c r="T121" s="36"/>
      <c r="U121" s="36"/>
      <c r="V121" s="38">
        <f t="shared" si="126"/>
        <v>2780.7458997977983</v>
      </c>
      <c r="W121" s="38">
        <f t="shared" si="129"/>
        <v>2780.7458997977983</v>
      </c>
      <c r="X121" s="38">
        <f t="shared" si="127"/>
        <v>2928.7330160700735</v>
      </c>
      <c r="Y121" s="38">
        <f t="shared" si="127"/>
        <v>2993.2544457815216</v>
      </c>
      <c r="Z121" s="38">
        <f t="shared" si="127"/>
        <v>4340.7530141718953</v>
      </c>
    </row>
    <row r="122" spans="1:65">
      <c r="A122" s="5" t="s">
        <v>7</v>
      </c>
      <c r="I122" s="36"/>
      <c r="J122" s="36"/>
      <c r="K122" s="36"/>
      <c r="L122" s="38"/>
      <c r="M122" s="38"/>
      <c r="N122" s="36"/>
      <c r="O122" s="36"/>
      <c r="P122" s="36"/>
      <c r="Q122" s="38">
        <f t="shared" si="125"/>
        <v>1166.492360486968</v>
      </c>
      <c r="R122" s="38">
        <f t="shared" si="128"/>
        <v>1166.492360486968</v>
      </c>
      <c r="S122" s="36"/>
      <c r="T122" s="36"/>
      <c r="U122" s="36"/>
      <c r="V122" s="38">
        <f t="shared" si="126"/>
        <v>1226.5483411967348</v>
      </c>
      <c r="W122" s="38">
        <f t="shared" si="129"/>
        <v>1226.5483411967348</v>
      </c>
      <c r="X122" s="38">
        <f t="shared" si="127"/>
        <v>1118.5874887923305</v>
      </c>
      <c r="Y122" s="38">
        <f t="shared" si="127"/>
        <v>1133.2999064045994</v>
      </c>
      <c r="Z122" s="38">
        <f t="shared" si="127"/>
        <v>1277.2826623422407</v>
      </c>
    </row>
    <row r="123" spans="1:65">
      <c r="A123" s="5" t="s">
        <v>8</v>
      </c>
      <c r="I123" s="36"/>
      <c r="J123" s="36"/>
      <c r="K123" s="36"/>
      <c r="L123" s="38"/>
      <c r="M123" s="38"/>
      <c r="N123" s="36"/>
      <c r="O123" s="36"/>
      <c r="P123" s="36"/>
      <c r="Q123" s="38">
        <f t="shared" si="125"/>
        <v>2729.8063567284908</v>
      </c>
      <c r="R123" s="38">
        <f t="shared" si="128"/>
        <v>2729.8063567284908</v>
      </c>
      <c r="S123" s="36"/>
      <c r="T123" s="36"/>
      <c r="U123" s="36"/>
      <c r="V123" s="38">
        <f t="shared" si="126"/>
        <v>2112.5215307421554</v>
      </c>
      <c r="W123" s="38">
        <f t="shared" si="129"/>
        <v>2112.5215307421554</v>
      </c>
      <c r="X123" s="38">
        <f t="shared" si="127"/>
        <v>2380.6469411683561</v>
      </c>
      <c r="Y123" s="38">
        <f t="shared" si="127"/>
        <v>2846.0088247091853</v>
      </c>
      <c r="Z123" s="38">
        <f t="shared" si="127"/>
        <v>3891.7436367482192</v>
      </c>
    </row>
    <row r="124" spans="1:65">
      <c r="A124" s="9" t="s">
        <v>9</v>
      </c>
      <c r="B124" s="9"/>
      <c r="C124" s="9"/>
      <c r="D124" s="9"/>
      <c r="E124" s="9"/>
      <c r="F124" s="9"/>
      <c r="G124" s="9"/>
      <c r="H124" s="9"/>
      <c r="I124" s="39"/>
      <c r="J124" s="39"/>
      <c r="K124" s="39"/>
      <c r="L124" s="39"/>
      <c r="M124" s="39"/>
      <c r="N124" s="39"/>
      <c r="O124" s="39"/>
      <c r="P124" s="39"/>
      <c r="Q124" s="48">
        <f t="shared" si="125"/>
        <v>81939.611079336551</v>
      </c>
      <c r="R124" s="48">
        <f t="shared" si="128"/>
        <v>81939.611079336551</v>
      </c>
      <c r="S124" s="39"/>
      <c r="T124" s="39"/>
      <c r="U124" s="39"/>
      <c r="V124" s="48">
        <f t="shared" si="126"/>
        <v>79281.67453006815</v>
      </c>
      <c r="W124" s="48">
        <f t="shared" si="129"/>
        <v>79281.67453006815</v>
      </c>
      <c r="X124" s="48">
        <f t="shared" si="127"/>
        <v>75711.469756534934</v>
      </c>
      <c r="Y124" s="48">
        <f t="shared" si="127"/>
        <v>72223.987164059363</v>
      </c>
      <c r="Z124" s="48">
        <f t="shared" si="127"/>
        <v>77043.636748219695</v>
      </c>
    </row>
    <row r="125" spans="1:65">
      <c r="I125" s="36"/>
      <c r="J125" s="36"/>
      <c r="K125" s="36"/>
      <c r="L125" s="36"/>
      <c r="M125" s="36"/>
      <c r="N125" s="36"/>
      <c r="O125" s="36"/>
      <c r="P125" s="36"/>
      <c r="Q125" s="36"/>
      <c r="R125" s="36"/>
      <c r="S125" s="36"/>
      <c r="T125" s="36"/>
      <c r="U125" s="36"/>
      <c r="V125" s="36"/>
      <c r="W125" s="36"/>
      <c r="X125" s="36"/>
      <c r="Y125" s="36"/>
      <c r="Z125" s="36"/>
    </row>
    <row r="126" spans="1:65">
      <c r="A126" s="5" t="s">
        <v>16</v>
      </c>
      <c r="I126" s="36"/>
      <c r="J126" s="36"/>
      <c r="K126" s="36"/>
      <c r="L126" s="38"/>
      <c r="M126" s="38"/>
      <c r="N126" s="36"/>
      <c r="O126" s="36"/>
      <c r="P126" s="36"/>
      <c r="Q126" s="38">
        <f t="shared" ref="Q126:Q176" si="130">Q63/Q$179</f>
        <v>15056.36898439415</v>
      </c>
      <c r="R126" s="38">
        <f t="shared" ref="R126:R140" si="131">Q126</f>
        <v>15056.36898439415</v>
      </c>
      <c r="S126" s="36"/>
      <c r="T126" s="36"/>
      <c r="U126" s="36"/>
      <c r="V126" s="38">
        <f t="shared" ref="V126:X176" si="132">V63/V$179</f>
        <v>13338.890137047854</v>
      </c>
      <c r="W126" s="38">
        <f t="shared" ref="W126:W140" si="133">V126</f>
        <v>13338.890137047854</v>
      </c>
      <c r="X126" s="38">
        <f t="shared" si="132"/>
        <v>12316.014897579144</v>
      </c>
      <c r="Y126" s="38">
        <f t="shared" ref="Y126:Z126" si="134">Y63/Y$179</f>
        <v>12229.643000401122</v>
      </c>
      <c r="Z126" s="38">
        <f t="shared" si="134"/>
        <v>13056.624127476556</v>
      </c>
    </row>
    <row r="127" spans="1:65">
      <c r="A127" s="5" t="s">
        <v>17</v>
      </c>
      <c r="I127" s="36"/>
      <c r="J127" s="36"/>
      <c r="K127" s="36"/>
      <c r="L127" s="38"/>
      <c r="M127" s="38"/>
      <c r="N127" s="36"/>
      <c r="O127" s="36"/>
      <c r="P127" s="36"/>
      <c r="Q127" s="38">
        <f t="shared" si="130"/>
        <v>7474.0011438843039</v>
      </c>
      <c r="R127" s="38">
        <f t="shared" si="131"/>
        <v>7474.0011438843039</v>
      </c>
      <c r="S127" s="36"/>
      <c r="T127" s="36"/>
      <c r="U127" s="36"/>
      <c r="V127" s="38">
        <f t="shared" si="132"/>
        <v>6429.843480865723</v>
      </c>
      <c r="W127" s="38">
        <f t="shared" si="133"/>
        <v>6429.843480865723</v>
      </c>
      <c r="X127" s="38">
        <f t="shared" si="132"/>
        <v>5760.404165804538</v>
      </c>
      <c r="Y127" s="38">
        <f t="shared" ref="Y127:Z127" si="135">Y64/Y$179</f>
        <v>5509.4731916031551</v>
      </c>
      <c r="Z127" s="38">
        <f t="shared" si="135"/>
        <v>5552.6757385602477</v>
      </c>
    </row>
    <row r="128" spans="1:65">
      <c r="A128" s="5" t="s">
        <v>18</v>
      </c>
      <c r="I128" s="36"/>
      <c r="J128" s="36"/>
      <c r="K128" s="36"/>
      <c r="L128" s="38"/>
      <c r="M128" s="38"/>
      <c r="N128" s="36"/>
      <c r="O128" s="36"/>
      <c r="P128" s="36"/>
      <c r="Q128" s="38">
        <f t="shared" si="130"/>
        <v>40018.89860282703</v>
      </c>
      <c r="R128" s="38">
        <f t="shared" si="131"/>
        <v>40018.89860282703</v>
      </c>
      <c r="S128" s="36"/>
      <c r="T128" s="36"/>
      <c r="U128" s="36"/>
      <c r="V128" s="38">
        <f t="shared" si="132"/>
        <v>38938.665468434061</v>
      </c>
      <c r="W128" s="38">
        <f t="shared" si="133"/>
        <v>38938.665468434061</v>
      </c>
      <c r="X128" s="38">
        <f t="shared" si="132"/>
        <v>37709.014414787227</v>
      </c>
      <c r="Y128" s="38">
        <f t="shared" ref="Y128:Z128" si="136">Y65/Y$179</f>
        <v>37448.696349779377</v>
      </c>
      <c r="Z128" s="38">
        <f t="shared" si="136"/>
        <v>38211.245857716982</v>
      </c>
    </row>
    <row r="129" spans="1:26">
      <c r="A129" s="5" t="s">
        <v>19</v>
      </c>
      <c r="I129" s="36"/>
      <c r="J129" s="36"/>
      <c r="K129" s="36"/>
      <c r="L129" s="38"/>
      <c r="M129" s="38"/>
      <c r="N129" s="36"/>
      <c r="O129" s="36"/>
      <c r="P129" s="36"/>
      <c r="Q129" s="38">
        <f t="shared" si="130"/>
        <v>19834.790424054252</v>
      </c>
      <c r="R129" s="38">
        <f t="shared" si="131"/>
        <v>19834.790424054252</v>
      </c>
      <c r="S129" s="36"/>
      <c r="T129" s="36"/>
      <c r="U129" s="36"/>
      <c r="V129" s="38">
        <f t="shared" si="132"/>
        <v>18045.690107092039</v>
      </c>
      <c r="W129" s="38">
        <f t="shared" si="133"/>
        <v>18045.690107092039</v>
      </c>
      <c r="X129" s="38">
        <f t="shared" si="132"/>
        <v>16796.999793089177</v>
      </c>
      <c r="Y129" s="38">
        <f t="shared" ref="Y129:Z129" si="137">Y66/Y$179</f>
        <v>16449.057360609706</v>
      </c>
      <c r="Z129" s="38">
        <f t="shared" si="137"/>
        <v>17066.128463653669</v>
      </c>
    </row>
    <row r="130" spans="1:26">
      <c r="A130" s="5" t="s">
        <v>20</v>
      </c>
      <c r="I130" s="36"/>
      <c r="J130" s="36"/>
      <c r="K130" s="36"/>
      <c r="L130" s="38"/>
      <c r="M130" s="38"/>
      <c r="N130" s="36"/>
      <c r="O130" s="36"/>
      <c r="P130" s="36"/>
      <c r="Q130" s="38">
        <f t="shared" si="130"/>
        <v>2703.6440885693273</v>
      </c>
      <c r="R130" s="38">
        <f t="shared" si="131"/>
        <v>2703.6440885693273</v>
      </c>
      <c r="S130" s="36"/>
      <c r="T130" s="36"/>
      <c r="U130" s="36"/>
      <c r="V130" s="38">
        <f t="shared" si="132"/>
        <v>2492.7432037744329</v>
      </c>
      <c r="W130" s="38">
        <f t="shared" si="133"/>
        <v>2492.7432037744329</v>
      </c>
      <c r="X130" s="38">
        <f t="shared" si="132"/>
        <v>2297.234292020139</v>
      </c>
      <c r="Y130" s="38">
        <f t="shared" ref="Y130:Z130" si="138">Y67/Y$179</f>
        <v>2229.7432811873241</v>
      </c>
      <c r="Z130" s="38">
        <f t="shared" si="138"/>
        <v>2261.8768948741449</v>
      </c>
    </row>
    <row r="131" spans="1:26">
      <c r="A131" s="5" t="s">
        <v>21</v>
      </c>
      <c r="I131" s="36"/>
      <c r="J131" s="36"/>
      <c r="K131" s="36"/>
      <c r="L131" s="38"/>
      <c r="M131" s="38"/>
      <c r="N131" s="36"/>
      <c r="O131" s="36"/>
      <c r="P131" s="36"/>
      <c r="Q131" s="38">
        <f t="shared" si="130"/>
        <v>42769.172317999837</v>
      </c>
      <c r="R131" s="38">
        <f t="shared" si="131"/>
        <v>42769.172317999837</v>
      </c>
      <c r="S131" s="36"/>
      <c r="T131" s="36"/>
      <c r="U131" s="36"/>
      <c r="V131" s="38">
        <f t="shared" si="132"/>
        <v>5470.2314086722081</v>
      </c>
      <c r="W131" s="38">
        <f t="shared" si="133"/>
        <v>5470.2314086722081</v>
      </c>
      <c r="X131" s="38">
        <f t="shared" si="132"/>
        <v>5700.4483067797773</v>
      </c>
      <c r="Y131" s="38">
        <f t="shared" ref="Y131:Z131" si="139">Y68/Y$179</f>
        <v>5878.6669340820963</v>
      </c>
      <c r="Z131" s="38">
        <f t="shared" si="139"/>
        <v>5924.7267855883802</v>
      </c>
    </row>
    <row r="132" spans="1:26">
      <c r="A132" s="5" t="s">
        <v>22</v>
      </c>
      <c r="I132" s="36"/>
      <c r="J132" s="36"/>
      <c r="K132" s="36"/>
      <c r="L132" s="38"/>
      <c r="M132" s="38"/>
      <c r="N132" s="36"/>
      <c r="O132" s="36"/>
      <c r="P132" s="36"/>
      <c r="Q132" s="38">
        <f t="shared" si="130"/>
        <v>121820.52455265952</v>
      </c>
      <c r="R132" s="38">
        <f t="shared" si="131"/>
        <v>121820.52455265952</v>
      </c>
      <c r="S132" s="36"/>
      <c r="T132" s="36"/>
      <c r="U132" s="36"/>
      <c r="V132" s="38">
        <f t="shared" si="132"/>
        <v>78557.043361042466</v>
      </c>
      <c r="W132" s="38">
        <f t="shared" si="133"/>
        <v>78557.043361042466</v>
      </c>
      <c r="X132" s="38">
        <f t="shared" si="132"/>
        <v>79160.493827160491</v>
      </c>
      <c r="Y132" s="38">
        <f t="shared" ref="Y132:Z132" si="140">Y69/Y$179</f>
        <v>74090.065516780305</v>
      </c>
      <c r="Z132" s="38">
        <f t="shared" si="140"/>
        <v>75638.821123880698</v>
      </c>
    </row>
    <row r="133" spans="1:26">
      <c r="A133" s="5" t="s">
        <v>23</v>
      </c>
      <c r="I133" s="36"/>
      <c r="J133" s="36"/>
      <c r="K133" s="36"/>
      <c r="L133" s="38"/>
      <c r="M133" s="38"/>
      <c r="N133" s="36"/>
      <c r="O133" s="36"/>
      <c r="P133" s="36"/>
      <c r="Q133" s="38">
        <f t="shared" si="130"/>
        <v>25209.322657079825</v>
      </c>
      <c r="R133" s="38">
        <f t="shared" si="131"/>
        <v>25209.322657079825</v>
      </c>
      <c r="S133" s="36"/>
      <c r="T133" s="36"/>
      <c r="U133" s="36"/>
      <c r="V133" s="38">
        <f t="shared" si="132"/>
        <v>57713.629895903541</v>
      </c>
      <c r="W133" s="38">
        <f t="shared" si="133"/>
        <v>57713.629895903541</v>
      </c>
      <c r="X133" s="38">
        <f t="shared" si="132"/>
        <v>51666.045934202353</v>
      </c>
      <c r="Y133" s="38">
        <f t="shared" ref="Y133:Z133" si="141">Y70/Y$179</f>
        <v>54412.876052948253</v>
      </c>
      <c r="Z133" s="38">
        <f t="shared" si="141"/>
        <v>60776.055841500383</v>
      </c>
    </row>
    <row r="134" spans="1:26">
      <c r="A134" s="5" t="s">
        <v>5</v>
      </c>
      <c r="I134" s="36"/>
      <c r="J134" s="36"/>
      <c r="K134" s="36"/>
      <c r="L134" s="38"/>
      <c r="M134" s="38"/>
      <c r="N134" s="36"/>
      <c r="O134" s="36"/>
      <c r="P134" s="36"/>
      <c r="Q134" s="38">
        <f t="shared" si="130"/>
        <v>10897.842961026228</v>
      </c>
      <c r="R134" s="38">
        <f t="shared" si="131"/>
        <v>10897.842961026228</v>
      </c>
      <c r="S134" s="36"/>
      <c r="T134" s="36"/>
      <c r="U134" s="36"/>
      <c r="V134" s="38">
        <f t="shared" si="132"/>
        <v>8768.4041039466792</v>
      </c>
      <c r="W134" s="38">
        <f t="shared" si="133"/>
        <v>8768.4041039466792</v>
      </c>
      <c r="X134" s="38">
        <f t="shared" si="132"/>
        <v>9435.3610593834055</v>
      </c>
      <c r="Y134" s="38">
        <f t="shared" ref="Y134:Z134" si="142">Y71/Y$179</f>
        <v>8782.4174354860261</v>
      </c>
      <c r="Z134" s="38">
        <f t="shared" si="142"/>
        <v>2702.5241486286395</v>
      </c>
    </row>
    <row r="135" spans="1:26">
      <c r="A135" s="5" t="s">
        <v>6</v>
      </c>
      <c r="I135" s="36"/>
      <c r="J135" s="36"/>
      <c r="K135" s="36"/>
      <c r="L135" s="38"/>
      <c r="M135" s="38"/>
      <c r="N135" s="36"/>
      <c r="O135" s="36"/>
      <c r="P135" s="36"/>
      <c r="Q135" s="38">
        <f t="shared" si="130"/>
        <v>18225.467766974427</v>
      </c>
      <c r="R135" s="38">
        <f t="shared" si="131"/>
        <v>18225.467766974427</v>
      </c>
      <c r="S135" s="36"/>
      <c r="T135" s="36"/>
      <c r="U135" s="36"/>
      <c r="V135" s="38">
        <f t="shared" si="132"/>
        <v>17251.703736987944</v>
      </c>
      <c r="W135" s="38">
        <f t="shared" si="133"/>
        <v>17251.703736987944</v>
      </c>
      <c r="X135" s="38">
        <f t="shared" si="132"/>
        <v>15951.010414511346</v>
      </c>
      <c r="Y135" s="38">
        <f t="shared" ref="Y135:Z135" si="143">Y72/Y$179</f>
        <v>15619.995988768551</v>
      </c>
      <c r="Z135" s="38">
        <f t="shared" si="143"/>
        <v>16331.911443277162</v>
      </c>
    </row>
    <row r="136" spans="1:26">
      <c r="A136" s="5" t="s">
        <v>24</v>
      </c>
      <c r="I136" s="36"/>
      <c r="J136" s="36"/>
      <c r="K136" s="36"/>
      <c r="L136" s="38"/>
      <c r="M136" s="38"/>
      <c r="N136" s="36"/>
      <c r="O136" s="36"/>
      <c r="P136" s="36"/>
      <c r="Q136" s="38">
        <f t="shared" si="130"/>
        <v>1333.8916578151809</v>
      </c>
      <c r="R136" s="38">
        <f t="shared" si="131"/>
        <v>1333.8916578151809</v>
      </c>
      <c r="S136" s="36"/>
      <c r="T136" s="36"/>
      <c r="U136" s="36"/>
      <c r="V136" s="38">
        <f t="shared" si="132"/>
        <v>1578.8437055343368</v>
      </c>
      <c r="W136" s="38">
        <f t="shared" si="133"/>
        <v>1578.8437055343368</v>
      </c>
      <c r="X136" s="38">
        <f t="shared" si="132"/>
        <v>1411.7939168218497</v>
      </c>
      <c r="Y136" s="38">
        <f t="shared" ref="Y136:Z136" si="144">Y73/Y$179</f>
        <v>1567.6895306859205</v>
      </c>
      <c r="Z136" s="38">
        <f t="shared" si="144"/>
        <v>1411.2388070224915</v>
      </c>
    </row>
    <row r="137" spans="1:26">
      <c r="A137" s="5" t="s">
        <v>25</v>
      </c>
      <c r="I137" s="36"/>
      <c r="J137" s="36"/>
      <c r="K137" s="36"/>
      <c r="L137" s="38"/>
      <c r="M137" s="38"/>
      <c r="N137" s="36"/>
      <c r="O137" s="36"/>
      <c r="P137" s="36"/>
      <c r="Q137" s="38">
        <f t="shared" si="130"/>
        <v>1185.0477980227142</v>
      </c>
      <c r="R137" s="38">
        <f t="shared" si="131"/>
        <v>1185.0477980227142</v>
      </c>
      <c r="S137" s="36"/>
      <c r="T137" s="36"/>
      <c r="U137" s="36"/>
      <c r="V137" s="38">
        <f t="shared" si="132"/>
        <v>1170.0666516887591</v>
      </c>
      <c r="W137" s="38">
        <f t="shared" si="133"/>
        <v>1170.0666516887591</v>
      </c>
      <c r="X137" s="38">
        <f t="shared" si="132"/>
        <v>1146.5894199599973</v>
      </c>
      <c r="Y137" s="38">
        <f t="shared" ref="Y137:Z137" si="145">Y74/Y$179</f>
        <v>1152.5671881267549</v>
      </c>
      <c r="Z137" s="38">
        <f t="shared" si="145"/>
        <v>1189.2124374250864</v>
      </c>
    </row>
    <row r="138" spans="1:26">
      <c r="A138" s="9" t="s">
        <v>26</v>
      </c>
      <c r="B138" s="9"/>
      <c r="C138" s="9"/>
      <c r="D138" s="9"/>
      <c r="E138" s="9"/>
      <c r="F138" s="9"/>
      <c r="G138" s="9"/>
      <c r="H138" s="9"/>
      <c r="I138" s="39"/>
      <c r="J138" s="39"/>
      <c r="K138" s="39"/>
      <c r="L138" s="39"/>
      <c r="M138" s="39"/>
      <c r="N138" s="39"/>
      <c r="O138" s="39"/>
      <c r="P138" s="39"/>
      <c r="Q138" s="48">
        <f t="shared" si="130"/>
        <v>306528.97295530682</v>
      </c>
      <c r="R138" s="48">
        <f t="shared" si="131"/>
        <v>306528.97295530682</v>
      </c>
      <c r="S138" s="39"/>
      <c r="T138" s="39"/>
      <c r="U138" s="39"/>
      <c r="V138" s="48">
        <f t="shared" si="132"/>
        <v>249755.75526099003</v>
      </c>
      <c r="W138" s="48">
        <f t="shared" si="133"/>
        <v>249755.75526099003</v>
      </c>
      <c r="X138" s="48">
        <f t="shared" si="132"/>
        <v>239351.41044209944</v>
      </c>
      <c r="Y138" s="48">
        <f t="shared" ref="Y138:Z138" si="146">Y75/Y$179</f>
        <v>235370.8918304586</v>
      </c>
      <c r="Z138" s="48">
        <f t="shared" si="146"/>
        <v>240123.04166960443</v>
      </c>
    </row>
    <row r="139" spans="1:26">
      <c r="I139" s="36"/>
      <c r="J139" s="36"/>
      <c r="K139" s="36"/>
      <c r="L139" s="36"/>
      <c r="M139" s="36"/>
      <c r="N139" s="36"/>
      <c r="O139" s="36"/>
      <c r="P139" s="36"/>
      <c r="Q139" s="36"/>
      <c r="R139" s="36"/>
      <c r="S139" s="36"/>
      <c r="T139" s="36"/>
      <c r="U139" s="36"/>
      <c r="V139" s="36"/>
      <c r="W139" s="36"/>
      <c r="X139" s="36"/>
      <c r="Y139" s="36"/>
      <c r="Z139" s="36"/>
    </row>
    <row r="140" spans="1:26">
      <c r="A140" s="9" t="s">
        <v>27</v>
      </c>
      <c r="B140" s="9"/>
      <c r="C140" s="9"/>
      <c r="D140" s="9"/>
      <c r="E140" s="9"/>
      <c r="F140" s="9"/>
      <c r="G140" s="9"/>
      <c r="H140" s="9"/>
      <c r="I140" s="39"/>
      <c r="J140" s="39"/>
      <c r="K140" s="39"/>
      <c r="L140" s="39"/>
      <c r="M140" s="39"/>
      <c r="N140" s="39"/>
      <c r="O140" s="39"/>
      <c r="P140" s="39"/>
      <c r="Q140" s="48">
        <f t="shared" si="130"/>
        <v>388468.58403464337</v>
      </c>
      <c r="R140" s="48">
        <f t="shared" si="131"/>
        <v>388468.58403464337</v>
      </c>
      <c r="S140" s="39"/>
      <c r="T140" s="39"/>
      <c r="U140" s="39"/>
      <c r="V140" s="48">
        <f t="shared" si="132"/>
        <v>329037.42979105818</v>
      </c>
      <c r="W140" s="48">
        <f t="shared" si="133"/>
        <v>329037.42979105818</v>
      </c>
      <c r="X140" s="48">
        <f t="shared" si="132"/>
        <v>315062.88019863435</v>
      </c>
      <c r="Y140" s="48">
        <f t="shared" ref="Y140:Z140" si="147">Y77/Y$179</f>
        <v>307594.87899451796</v>
      </c>
      <c r="Z140" s="48">
        <f t="shared" si="147"/>
        <v>317166.67841782415</v>
      </c>
    </row>
    <row r="142" spans="1:26">
      <c r="A142" s="5" t="s">
        <v>29</v>
      </c>
      <c r="I142" s="36"/>
      <c r="J142" s="36"/>
      <c r="K142" s="36"/>
      <c r="L142" s="38"/>
      <c r="M142" s="38"/>
      <c r="N142" s="36"/>
      <c r="O142" s="36"/>
      <c r="P142" s="36"/>
      <c r="Q142" s="38">
        <f t="shared" si="130"/>
        <v>59881.215785603395</v>
      </c>
      <c r="R142" s="38">
        <f>Q142</f>
        <v>59881.215785603395</v>
      </c>
      <c r="S142" s="36"/>
      <c r="T142" s="36"/>
      <c r="U142" s="36"/>
      <c r="V142" s="38">
        <f t="shared" si="132"/>
        <v>38411.195985920764</v>
      </c>
      <c r="W142" s="38">
        <f>V142</f>
        <v>38411.195985920764</v>
      </c>
      <c r="X142" s="38">
        <f t="shared" si="132"/>
        <v>44235.581764259601</v>
      </c>
      <c r="Y142" s="38">
        <f t="shared" ref="Y142:Z142" si="148">Y79/Y$179</f>
        <v>38449.99331461425</v>
      </c>
      <c r="Z142" s="38">
        <f t="shared" si="148"/>
        <v>46703.835577804406</v>
      </c>
    </row>
    <row r="143" spans="1:26">
      <c r="A143" s="5" t="s">
        <v>30</v>
      </c>
      <c r="I143" s="36"/>
      <c r="J143" s="36"/>
      <c r="K143" s="36"/>
      <c r="L143" s="38"/>
      <c r="M143" s="38"/>
      <c r="N143" s="36"/>
      <c r="O143" s="36"/>
      <c r="P143" s="36"/>
      <c r="Q143" s="38">
        <f t="shared" si="130"/>
        <v>1962.9136367350275</v>
      </c>
      <c r="R143" s="38">
        <f t="shared" ref="R143:R151" si="149">Q143</f>
        <v>1962.9136367350275</v>
      </c>
      <c r="S143" s="36"/>
      <c r="T143" s="36"/>
      <c r="U143" s="36"/>
      <c r="V143" s="38">
        <f t="shared" si="132"/>
        <v>1378.7538380888191</v>
      </c>
      <c r="W143" s="38">
        <f t="shared" ref="W143:W151" si="150">V143</f>
        <v>1378.7538380888191</v>
      </c>
      <c r="X143" s="38">
        <f t="shared" si="132"/>
        <v>1176.4052693289191</v>
      </c>
      <c r="Y143" s="38">
        <f t="shared" ref="Y143:Z143" si="151">Y80/Y$179</f>
        <v>1077.3632838614787</v>
      </c>
      <c r="Z143" s="38">
        <f t="shared" si="151"/>
        <v>1076.7961644221955</v>
      </c>
    </row>
    <row r="144" spans="1:26">
      <c r="A144" s="5" t="s">
        <v>31</v>
      </c>
      <c r="I144" s="36"/>
      <c r="J144" s="36"/>
      <c r="K144" s="36"/>
      <c r="L144" s="38"/>
      <c r="M144" s="38"/>
      <c r="N144" s="36"/>
      <c r="O144" s="36"/>
      <c r="P144" s="36"/>
      <c r="Q144" s="38">
        <f t="shared" si="130"/>
        <v>10878.217174605768</v>
      </c>
      <c r="R144" s="38">
        <f t="shared" si="149"/>
        <v>10878.217174605768</v>
      </c>
      <c r="S144" s="36"/>
      <c r="T144" s="36"/>
      <c r="U144" s="36"/>
      <c r="V144" s="38">
        <f t="shared" si="132"/>
        <v>11025.687111510522</v>
      </c>
      <c r="W144" s="38">
        <f t="shared" si="150"/>
        <v>11025.687111510522</v>
      </c>
      <c r="X144" s="38">
        <f t="shared" si="132"/>
        <v>10577.798468859921</v>
      </c>
      <c r="Y144" s="38">
        <f t="shared" ref="Y144:Z144" si="152">Y81/Y$179</f>
        <v>10376.066319026608</v>
      </c>
      <c r="Z144" s="38">
        <f t="shared" si="152"/>
        <v>11461.115419868856</v>
      </c>
    </row>
    <row r="145" spans="1:26">
      <c r="A145" s="5" t="s">
        <v>32</v>
      </c>
      <c r="I145" s="36"/>
      <c r="J145" s="36"/>
      <c r="K145" s="36"/>
      <c r="L145" s="38"/>
      <c r="M145" s="38"/>
      <c r="N145" s="36"/>
      <c r="O145" s="36"/>
      <c r="P145" s="36"/>
      <c r="Q145" s="38">
        <f t="shared" si="130"/>
        <v>16086.804477489992</v>
      </c>
      <c r="R145" s="38">
        <f t="shared" si="149"/>
        <v>16086.804477489992</v>
      </c>
      <c r="S145" s="36"/>
      <c r="T145" s="36"/>
      <c r="U145" s="36"/>
      <c r="V145" s="38">
        <f t="shared" si="132"/>
        <v>18099.842731970344</v>
      </c>
      <c r="W145" s="38">
        <f t="shared" si="150"/>
        <v>18099.842731970344</v>
      </c>
      <c r="X145" s="38">
        <f t="shared" si="132"/>
        <v>14939.347541209738</v>
      </c>
      <c r="Y145" s="38">
        <f t="shared" ref="Y145:Z145" si="153">Y82/Y$179</f>
        <v>15666.907340553549</v>
      </c>
      <c r="Z145" s="38">
        <f t="shared" si="153"/>
        <v>18244.708453782696</v>
      </c>
    </row>
    <row r="146" spans="1:26">
      <c r="A146" s="5" t="s">
        <v>33</v>
      </c>
      <c r="I146" s="36"/>
      <c r="J146" s="36"/>
      <c r="K146" s="36"/>
      <c r="L146" s="38"/>
      <c r="M146" s="38"/>
      <c r="N146" s="36"/>
      <c r="O146" s="36"/>
      <c r="P146" s="36"/>
      <c r="Q146" s="38">
        <f t="shared" si="130"/>
        <v>977.1386551188823</v>
      </c>
      <c r="R146" s="38">
        <f t="shared" si="149"/>
        <v>977.1386551188823</v>
      </c>
      <c r="S146" s="36"/>
      <c r="T146" s="36"/>
      <c r="U146" s="36"/>
      <c r="V146" s="38">
        <f t="shared" si="132"/>
        <v>618.67745076012875</v>
      </c>
      <c r="W146" s="38">
        <f t="shared" si="150"/>
        <v>618.67745076012875</v>
      </c>
      <c r="X146" s="38">
        <f t="shared" si="132"/>
        <v>614.61480102076007</v>
      </c>
      <c r="Y146" s="38">
        <f t="shared" ref="Y146:Z146" si="154">Y83/Y$179</f>
        <v>607.09987966305653</v>
      </c>
      <c r="Z146" s="38">
        <f t="shared" si="154"/>
        <v>1610.1459493760135</v>
      </c>
    </row>
    <row r="147" spans="1:26">
      <c r="A147" s="5" t="s">
        <v>34</v>
      </c>
      <c r="I147" s="36"/>
      <c r="J147" s="36"/>
      <c r="K147" s="36"/>
      <c r="L147" s="38"/>
      <c r="M147" s="38"/>
      <c r="N147" s="36"/>
      <c r="O147" s="36"/>
      <c r="P147" s="36"/>
      <c r="Q147" s="38">
        <f t="shared" si="130"/>
        <v>4533.1644742217504</v>
      </c>
      <c r="R147" s="38">
        <f t="shared" si="149"/>
        <v>4533.1644742217504</v>
      </c>
      <c r="S147" s="36"/>
      <c r="T147" s="36"/>
      <c r="U147" s="36"/>
      <c r="V147" s="38">
        <f t="shared" si="132"/>
        <v>1349.4420729424098</v>
      </c>
      <c r="W147" s="38">
        <f t="shared" si="150"/>
        <v>1349.4420729424098</v>
      </c>
      <c r="X147" s="38">
        <f t="shared" si="132"/>
        <v>1662.4870680736601</v>
      </c>
      <c r="Y147" s="38">
        <f t="shared" ref="Y147:Z147" si="155">Y84/Y$179</f>
        <v>1812.0069528011766</v>
      </c>
      <c r="Z147" s="38">
        <f t="shared" si="155"/>
        <v>399.13981527180425</v>
      </c>
    </row>
    <row r="148" spans="1:26">
      <c r="A148" s="5" t="s">
        <v>35</v>
      </c>
      <c r="I148" s="36"/>
      <c r="J148" s="36"/>
      <c r="K148" s="36"/>
      <c r="L148" s="38"/>
      <c r="M148" s="38"/>
      <c r="N148" s="36"/>
      <c r="O148" s="36"/>
      <c r="P148" s="36"/>
      <c r="Q148" s="38">
        <f t="shared" si="130"/>
        <v>1498.3903913718441</v>
      </c>
      <c r="R148" s="38">
        <f t="shared" si="149"/>
        <v>1498.3903913718441</v>
      </c>
      <c r="S148" s="36"/>
      <c r="T148" s="36"/>
      <c r="U148" s="36"/>
      <c r="V148" s="38">
        <f t="shared" si="132"/>
        <v>2751.1944881300083</v>
      </c>
      <c r="W148" s="38">
        <f t="shared" si="150"/>
        <v>2751.1944881300083</v>
      </c>
      <c r="X148" s="38">
        <f t="shared" si="132"/>
        <v>694.51686323194701</v>
      </c>
      <c r="Y148" s="38">
        <f t="shared" ref="Y148:Z148" si="156">Y85/Y$179</f>
        <v>1288.0665864420375</v>
      </c>
      <c r="Z148" s="38">
        <f t="shared" si="156"/>
        <v>855.83444969329469</v>
      </c>
    </row>
    <row r="149" spans="1:26">
      <c r="A149" s="5" t="s">
        <v>36</v>
      </c>
      <c r="I149" s="36"/>
      <c r="J149" s="36"/>
      <c r="K149" s="36"/>
      <c r="L149" s="38"/>
      <c r="M149" s="38"/>
      <c r="N149" s="36"/>
      <c r="O149" s="36"/>
      <c r="P149" s="36"/>
      <c r="Q149" s="38">
        <f t="shared" si="130"/>
        <v>278.25802761663533</v>
      </c>
      <c r="R149" s="38">
        <f t="shared" si="149"/>
        <v>278.25802761663533</v>
      </c>
      <c r="S149" s="36"/>
      <c r="T149" s="36"/>
      <c r="U149" s="36"/>
      <c r="V149" s="38">
        <f t="shared" si="132"/>
        <v>541.82580693477121</v>
      </c>
      <c r="W149" s="38">
        <f t="shared" si="150"/>
        <v>541.82580693477121</v>
      </c>
      <c r="X149" s="38">
        <f t="shared" si="132"/>
        <v>530.95385888681972</v>
      </c>
      <c r="Y149" s="38">
        <f t="shared" ref="Y149:Z149" si="157">Y86/Y$179</f>
        <v>416.17194812140656</v>
      </c>
      <c r="Z149" s="38">
        <f t="shared" si="157"/>
        <v>438.48974123951206</v>
      </c>
    </row>
    <row r="150" spans="1:26">
      <c r="A150" s="5" t="s">
        <v>37</v>
      </c>
      <c r="I150" s="36"/>
      <c r="J150" s="36"/>
      <c r="K150" s="36"/>
      <c r="L150" s="38"/>
      <c r="M150" s="38"/>
      <c r="N150" s="36"/>
      <c r="O150" s="36"/>
      <c r="P150" s="36"/>
      <c r="Q150" s="38">
        <f t="shared" si="130"/>
        <v>5067.8977040607897</v>
      </c>
      <c r="R150" s="38">
        <f t="shared" si="149"/>
        <v>5067.8977040607897</v>
      </c>
      <c r="S150" s="36"/>
      <c r="T150" s="36"/>
      <c r="U150" s="36"/>
      <c r="V150" s="38">
        <f t="shared" si="132"/>
        <v>5061.9336478693922</v>
      </c>
      <c r="W150" s="38">
        <f t="shared" si="150"/>
        <v>5061.9336478693922</v>
      </c>
      <c r="X150" s="38">
        <f t="shared" si="132"/>
        <v>3949.4034071315259</v>
      </c>
      <c r="Y150" s="38">
        <f t="shared" ref="Y150:Z150" si="158">Y87/Y$179</f>
        <v>4110.0347640058826</v>
      </c>
      <c r="Z150" s="38">
        <f t="shared" si="158"/>
        <v>4444.6449975322566</v>
      </c>
    </row>
    <row r="151" spans="1:26">
      <c r="A151" s="9" t="s">
        <v>38</v>
      </c>
      <c r="B151" s="9"/>
      <c r="C151" s="9"/>
      <c r="D151" s="9"/>
      <c r="E151" s="9"/>
      <c r="F151" s="9"/>
      <c r="G151" s="9"/>
      <c r="H151" s="9"/>
      <c r="I151" s="39"/>
      <c r="J151" s="39"/>
      <c r="K151" s="39"/>
      <c r="L151" s="39"/>
      <c r="M151" s="39"/>
      <c r="N151" s="39"/>
      <c r="O151" s="39"/>
      <c r="P151" s="39"/>
      <c r="Q151" s="48">
        <f t="shared" si="130"/>
        <v>101164.00032682408</v>
      </c>
      <c r="R151" s="48">
        <f t="shared" si="149"/>
        <v>101164.00032682408</v>
      </c>
      <c r="S151" s="39"/>
      <c r="T151" s="39"/>
      <c r="U151" s="39"/>
      <c r="V151" s="48">
        <f t="shared" si="132"/>
        <v>79238.553134127156</v>
      </c>
      <c r="W151" s="48">
        <f t="shared" si="150"/>
        <v>79238.553134127156</v>
      </c>
      <c r="X151" s="48">
        <f t="shared" si="132"/>
        <v>78381.109042002892</v>
      </c>
      <c r="Y151" s="48">
        <f t="shared" ref="Y151:Z151" si="159">Y88/Y$179</f>
        <v>73803.71038908945</v>
      </c>
      <c r="Z151" s="48">
        <f t="shared" si="159"/>
        <v>85234.710568991039</v>
      </c>
    </row>
    <row r="152" spans="1:26">
      <c r="I152" s="36"/>
      <c r="J152" s="36"/>
      <c r="K152" s="36"/>
      <c r="L152" s="36"/>
      <c r="M152" s="36"/>
      <c r="N152" s="36"/>
      <c r="O152" s="36"/>
      <c r="P152" s="36"/>
      <c r="Q152" s="36"/>
      <c r="R152" s="36"/>
      <c r="S152" s="36"/>
      <c r="T152" s="36"/>
      <c r="U152" s="36"/>
      <c r="V152" s="36"/>
      <c r="W152" s="36"/>
      <c r="X152" s="36"/>
      <c r="Y152" s="36"/>
      <c r="Z152" s="36"/>
    </row>
    <row r="153" spans="1:26">
      <c r="A153" s="5" t="s">
        <v>29</v>
      </c>
      <c r="I153" s="36"/>
      <c r="J153" s="36"/>
      <c r="K153" s="36"/>
      <c r="L153" s="38"/>
      <c r="M153" s="36"/>
      <c r="N153" s="36"/>
      <c r="O153" s="36"/>
      <c r="P153" s="36"/>
      <c r="Q153" s="38">
        <f t="shared" si="130"/>
        <v>115438.92474875398</v>
      </c>
      <c r="R153" s="38">
        <f>Q153</f>
        <v>115438.92474875398</v>
      </c>
      <c r="S153" s="36"/>
      <c r="T153" s="36"/>
      <c r="U153" s="36"/>
      <c r="V153" s="38">
        <f t="shared" si="132"/>
        <v>107460.09885419007</v>
      </c>
      <c r="W153" s="38">
        <f>V153</f>
        <v>107460.09885419007</v>
      </c>
      <c r="X153" s="38">
        <f t="shared" si="132"/>
        <v>101209.66963238844</v>
      </c>
      <c r="Y153" s="38">
        <f t="shared" ref="Y153:Z153" si="160">Y90/Y$179</f>
        <v>99062.575210589639</v>
      </c>
      <c r="Z153" s="38">
        <f t="shared" si="160"/>
        <v>95191.800042304152</v>
      </c>
    </row>
    <row r="154" spans="1:26">
      <c r="A154" s="5" t="s">
        <v>30</v>
      </c>
      <c r="I154" s="36"/>
      <c r="J154" s="36"/>
      <c r="K154" s="36"/>
      <c r="L154" s="38"/>
      <c r="M154" s="36"/>
      <c r="N154" s="36"/>
      <c r="O154" s="36"/>
      <c r="P154" s="36"/>
      <c r="Q154" s="38">
        <f t="shared" si="130"/>
        <v>5114.0370945338673</v>
      </c>
      <c r="R154" s="38">
        <f t="shared" ref="R154:R161" si="161">Q154</f>
        <v>5114.0370945338673</v>
      </c>
      <c r="S154" s="36"/>
      <c r="T154" s="36"/>
      <c r="U154" s="36"/>
      <c r="V154" s="38">
        <f t="shared" si="132"/>
        <v>4889.478019920617</v>
      </c>
      <c r="W154" s="38">
        <f t="shared" ref="W154:W161" si="162">V154</f>
        <v>4889.478019920617</v>
      </c>
      <c r="X154" s="38">
        <f t="shared" si="132"/>
        <v>4481.6332160838674</v>
      </c>
      <c r="Y154" s="38">
        <f t="shared" ref="Y154:Z154" si="163">Y91/Y$179</f>
        <v>4435.3790613718411</v>
      </c>
      <c r="Z154" s="38">
        <f t="shared" si="163"/>
        <v>4631.7492773038139</v>
      </c>
    </row>
    <row r="155" spans="1:26">
      <c r="A155" s="5" t="s">
        <v>39</v>
      </c>
      <c r="I155" s="36"/>
      <c r="J155" s="36"/>
      <c r="K155" s="36"/>
      <c r="L155" s="38"/>
      <c r="M155" s="36"/>
      <c r="N155" s="36"/>
      <c r="O155" s="36"/>
      <c r="P155" s="36"/>
      <c r="Q155" s="38">
        <f t="shared" si="130"/>
        <v>46086.26521774655</v>
      </c>
      <c r="R155" s="38">
        <f t="shared" si="161"/>
        <v>46086.26521774655</v>
      </c>
      <c r="S155" s="36"/>
      <c r="T155" s="36"/>
      <c r="U155" s="36"/>
      <c r="V155" s="38">
        <f t="shared" si="132"/>
        <v>33695.566539354455</v>
      </c>
      <c r="W155" s="38">
        <f t="shared" si="162"/>
        <v>33695.566539354455</v>
      </c>
      <c r="X155" s="38">
        <f t="shared" si="132"/>
        <v>33261.052486378372</v>
      </c>
      <c r="Y155" s="38">
        <f t="shared" ref="Y155:Z155" si="164">Y92/Y$179</f>
        <v>33579.429068057223</v>
      </c>
      <c r="Z155" s="38">
        <f t="shared" si="164"/>
        <v>32904.907283367407</v>
      </c>
    </row>
    <row r="156" spans="1:26">
      <c r="A156" s="5" t="s">
        <v>33</v>
      </c>
      <c r="I156" s="36"/>
      <c r="J156" s="36"/>
      <c r="K156" s="36"/>
      <c r="L156" s="38"/>
      <c r="M156" s="36"/>
      <c r="N156" s="36"/>
      <c r="O156" s="36"/>
      <c r="P156" s="36"/>
      <c r="Q156" s="38">
        <f t="shared" si="130"/>
        <v>1421.709289974671</v>
      </c>
      <c r="R156" s="38">
        <f t="shared" si="161"/>
        <v>1421.709289974671</v>
      </c>
      <c r="S156" s="36"/>
      <c r="T156" s="36"/>
      <c r="U156" s="36"/>
      <c r="V156" s="38">
        <f t="shared" si="132"/>
        <v>6735.1980828278292</v>
      </c>
      <c r="W156" s="38">
        <f t="shared" si="162"/>
        <v>6735.1980828278292</v>
      </c>
      <c r="X156" s="38">
        <f t="shared" si="132"/>
        <v>2368.3633354024414</v>
      </c>
      <c r="Y156" s="38">
        <f t="shared" ref="Y156:Z156" si="165">Y93/Y$179</f>
        <v>2851.2702232918837</v>
      </c>
      <c r="Z156" s="38">
        <f t="shared" si="165"/>
        <v>505.80272156807439</v>
      </c>
    </row>
    <row r="157" spans="1:26">
      <c r="A157" s="5" t="s">
        <v>34</v>
      </c>
      <c r="I157" s="36"/>
      <c r="J157" s="36"/>
      <c r="K157" s="36"/>
      <c r="L157" s="38"/>
      <c r="M157" s="36"/>
      <c r="N157" s="36"/>
      <c r="O157" s="36"/>
      <c r="P157" s="36"/>
      <c r="Q157" s="38">
        <f t="shared" si="130"/>
        <v>1060.9445216112426</v>
      </c>
      <c r="R157" s="38">
        <f t="shared" si="161"/>
        <v>1060.9445216112426</v>
      </c>
      <c r="S157" s="36"/>
      <c r="T157" s="36"/>
      <c r="U157" s="36"/>
      <c r="V157" s="38">
        <f t="shared" si="132"/>
        <v>438.44079982026511</v>
      </c>
      <c r="W157" s="38">
        <f t="shared" si="162"/>
        <v>438.44079982026511</v>
      </c>
      <c r="X157" s="38">
        <f t="shared" si="132"/>
        <v>322.91192496034205</v>
      </c>
      <c r="Y157" s="38">
        <f t="shared" ref="Y157:Z157" si="166">Y94/Y$179</f>
        <v>294.99264607567852</v>
      </c>
      <c r="Z157" s="38">
        <f t="shared" si="166"/>
        <v>279.29211027286186</v>
      </c>
    </row>
    <row r="158" spans="1:26">
      <c r="A158" s="5" t="s">
        <v>36</v>
      </c>
      <c r="I158" s="36"/>
      <c r="J158" s="36"/>
      <c r="K158" s="36"/>
      <c r="L158" s="38"/>
      <c r="M158" s="36"/>
      <c r="N158" s="36"/>
      <c r="O158" s="36"/>
      <c r="P158" s="36"/>
      <c r="Q158" s="38">
        <f t="shared" si="130"/>
        <v>882.10638124029742</v>
      </c>
      <c r="R158" s="38">
        <f t="shared" si="161"/>
        <v>882.10638124029742</v>
      </c>
      <c r="S158" s="36"/>
      <c r="T158" s="36"/>
      <c r="U158" s="36"/>
      <c r="V158" s="38">
        <f t="shared" si="132"/>
        <v>1225.3950423125889</v>
      </c>
      <c r="W158" s="38">
        <f t="shared" si="162"/>
        <v>1225.3950423125889</v>
      </c>
      <c r="X158" s="38">
        <f t="shared" si="132"/>
        <v>1172.7498448168838</v>
      </c>
      <c r="Y158" s="38">
        <f t="shared" ref="Y158:Z158" si="167">Y95/Y$179</f>
        <v>1132.1633908276506</v>
      </c>
      <c r="Z158" s="38">
        <f t="shared" si="167"/>
        <v>1191.2571388281744</v>
      </c>
    </row>
    <row r="159" spans="1:26">
      <c r="A159" s="5" t="s">
        <v>40</v>
      </c>
      <c r="I159" s="36"/>
      <c r="J159" s="36"/>
      <c r="K159" s="36"/>
      <c r="L159" s="38"/>
      <c r="M159" s="36"/>
      <c r="N159" s="36"/>
      <c r="O159" s="36"/>
      <c r="P159" s="36"/>
      <c r="Q159" s="38">
        <f t="shared" si="130"/>
        <v>19903.864694828007</v>
      </c>
      <c r="R159" s="38">
        <f t="shared" si="161"/>
        <v>19903.864694828007</v>
      </c>
      <c r="S159" s="36"/>
      <c r="T159" s="36"/>
      <c r="U159" s="36"/>
      <c r="V159" s="38">
        <f t="shared" si="132"/>
        <v>13693.978881150304</v>
      </c>
      <c r="W159" s="38">
        <f t="shared" si="162"/>
        <v>13693.978881150304</v>
      </c>
      <c r="X159" s="38">
        <f t="shared" si="132"/>
        <v>12956.859093730602</v>
      </c>
      <c r="Y159" s="38">
        <f t="shared" ref="Y159:Z159" si="168">Y96/Y$179</f>
        <v>12364.407006284262</v>
      </c>
      <c r="Z159" s="38">
        <f t="shared" si="168"/>
        <v>12601.417189593174</v>
      </c>
    </row>
    <row r="160" spans="1:26">
      <c r="A160" s="5" t="s">
        <v>41</v>
      </c>
      <c r="I160" s="36"/>
      <c r="J160" s="36"/>
      <c r="K160" s="36"/>
      <c r="L160" s="38"/>
      <c r="M160" s="36"/>
      <c r="N160" s="36"/>
      <c r="O160" s="36"/>
      <c r="P160" s="36"/>
      <c r="Q160" s="38">
        <f t="shared" si="130"/>
        <v>1737.266116512787</v>
      </c>
      <c r="R160" s="38">
        <f t="shared" si="161"/>
        <v>1737.266116512787</v>
      </c>
      <c r="S160" s="36"/>
      <c r="T160" s="36"/>
      <c r="U160" s="36"/>
      <c r="V160" s="38">
        <f t="shared" si="132"/>
        <v>1909.2413689807534</v>
      </c>
      <c r="W160" s="38">
        <f t="shared" si="162"/>
        <v>1909.2413689807534</v>
      </c>
      <c r="X160" s="38">
        <f t="shared" si="132"/>
        <v>1939.2371887716392</v>
      </c>
      <c r="Y160" s="38">
        <f t="shared" ref="Y160:Z160" si="169">Y97/Y$179</f>
        <v>2044.0165797566517</v>
      </c>
      <c r="Z160" s="38">
        <f t="shared" si="169"/>
        <v>2043.7072551646336</v>
      </c>
    </row>
    <row r="161" spans="1:26">
      <c r="A161" s="9" t="s">
        <v>42</v>
      </c>
      <c r="B161" s="9"/>
      <c r="C161" s="9"/>
      <c r="D161" s="9"/>
      <c r="E161" s="9"/>
      <c r="F161" s="9"/>
      <c r="G161" s="9"/>
      <c r="H161" s="9"/>
      <c r="I161" s="39"/>
      <c r="J161" s="39"/>
      <c r="K161" s="39"/>
      <c r="L161" s="39"/>
      <c r="M161" s="39"/>
      <c r="N161" s="39"/>
      <c r="O161" s="39"/>
      <c r="P161" s="39"/>
      <c r="Q161" s="48">
        <f t="shared" si="130"/>
        <v>191645.11806520142</v>
      </c>
      <c r="R161" s="48">
        <f t="shared" si="161"/>
        <v>191645.11806520142</v>
      </c>
      <c r="S161" s="39"/>
      <c r="T161" s="39"/>
      <c r="U161" s="39"/>
      <c r="V161" s="48">
        <f t="shared" si="132"/>
        <v>170047.39758855687</v>
      </c>
      <c r="W161" s="48">
        <f t="shared" si="162"/>
        <v>170047.39758855687</v>
      </c>
      <c r="X161" s="48">
        <f t="shared" si="132"/>
        <v>157712.47672253259</v>
      </c>
      <c r="Y161" s="48">
        <f t="shared" ref="Y161:Z161" si="170">Y98/Y$179</f>
        <v>155764.23318625483</v>
      </c>
      <c r="Z161" s="48">
        <f t="shared" si="170"/>
        <v>149349.93301840231</v>
      </c>
    </row>
    <row r="162" spans="1:26">
      <c r="I162" s="36"/>
      <c r="J162" s="36"/>
      <c r="K162" s="36"/>
      <c r="L162" s="36"/>
      <c r="M162" s="36"/>
      <c r="N162" s="36"/>
      <c r="O162" s="36"/>
      <c r="P162" s="36"/>
      <c r="Q162" s="36"/>
      <c r="R162" s="36"/>
      <c r="S162" s="36"/>
      <c r="T162" s="36"/>
      <c r="U162" s="36"/>
      <c r="V162" s="36"/>
      <c r="W162" s="36"/>
      <c r="X162" s="36"/>
      <c r="Y162" s="36"/>
      <c r="Z162" s="36"/>
    </row>
    <row r="163" spans="1:26">
      <c r="A163" s="9" t="s">
        <v>53</v>
      </c>
      <c r="B163" s="9"/>
      <c r="C163" s="9"/>
      <c r="D163" s="9"/>
      <c r="E163" s="9"/>
      <c r="F163" s="9"/>
      <c r="G163" s="9"/>
      <c r="H163" s="9"/>
      <c r="I163" s="39"/>
      <c r="J163" s="39"/>
      <c r="K163" s="39"/>
      <c r="L163" s="39"/>
      <c r="M163" s="39"/>
      <c r="N163" s="39"/>
      <c r="O163" s="39"/>
      <c r="P163" s="39"/>
      <c r="Q163" s="48">
        <f t="shared" si="130"/>
        <v>292809.11839202547</v>
      </c>
      <c r="R163" s="48">
        <f t="shared" ref="R163" si="171">Q163</f>
        <v>292809.11839202547</v>
      </c>
      <c r="S163" s="39"/>
      <c r="T163" s="39"/>
      <c r="U163" s="39"/>
      <c r="V163" s="48">
        <f t="shared" si="132"/>
        <v>249285.95072268404</v>
      </c>
      <c r="W163" s="48">
        <f t="shared" ref="W163" si="172">V163</f>
        <v>249285.95072268404</v>
      </c>
      <c r="X163" s="48">
        <f t="shared" si="132"/>
        <v>236093.58576453547</v>
      </c>
      <c r="Y163" s="48">
        <f t="shared" ref="Y163:Z163" si="173">Y100/Y$179</f>
        <v>229567.94357534428</v>
      </c>
      <c r="Z163" s="48">
        <f t="shared" si="173"/>
        <v>234584.64358739334</v>
      </c>
    </row>
    <row r="164" spans="1:26">
      <c r="I164" s="36"/>
      <c r="J164" s="36"/>
      <c r="K164" s="36"/>
      <c r="L164" s="36"/>
      <c r="M164" s="36"/>
      <c r="N164" s="36"/>
      <c r="O164" s="36"/>
      <c r="P164" s="36"/>
      <c r="Q164" s="36"/>
      <c r="R164" s="36"/>
      <c r="S164" s="36"/>
      <c r="T164" s="36"/>
      <c r="U164" s="36"/>
      <c r="V164" s="36"/>
      <c r="W164" s="36"/>
      <c r="X164" s="36"/>
      <c r="Y164" s="36"/>
      <c r="Z164" s="36"/>
    </row>
    <row r="165" spans="1:26">
      <c r="A165" s="5" t="s">
        <v>43</v>
      </c>
      <c r="I165" s="36"/>
      <c r="J165" s="36"/>
      <c r="K165" s="36"/>
      <c r="L165" s="38"/>
      <c r="M165" s="36"/>
      <c r="N165" s="36"/>
      <c r="O165" s="36"/>
      <c r="P165" s="36"/>
      <c r="Q165" s="38">
        <f t="shared" si="130"/>
        <v>1950.9110221423318</v>
      </c>
      <c r="R165" s="38">
        <f t="shared" ref="R165:R176" si="174">Q165</f>
        <v>1950.9110221423318</v>
      </c>
      <c r="S165" s="36"/>
      <c r="T165" s="36"/>
      <c r="U165" s="36"/>
      <c r="V165" s="38">
        <f t="shared" si="132"/>
        <v>1788.1524750992287</v>
      </c>
      <c r="W165" s="38">
        <f t="shared" ref="W165:W176" si="175">V165</f>
        <v>1788.1524750992287</v>
      </c>
      <c r="X165" s="38">
        <f t="shared" si="132"/>
        <v>1646.8170218635767</v>
      </c>
      <c r="Y165" s="38">
        <f t="shared" ref="Y165:Z165" si="176">Y102/Y$179</f>
        <v>1596.2829255248027</v>
      </c>
      <c r="Z165" s="38">
        <f t="shared" si="176"/>
        <v>1683.5084255799195</v>
      </c>
    </row>
    <row r="166" spans="1:26">
      <c r="A166" s="5" t="s">
        <v>44</v>
      </c>
      <c r="I166" s="36"/>
      <c r="J166" s="36"/>
      <c r="K166" s="36"/>
      <c r="L166" s="38"/>
      <c r="M166" s="36"/>
      <c r="N166" s="36"/>
      <c r="O166" s="36"/>
      <c r="P166" s="36"/>
      <c r="Q166" s="38">
        <f t="shared" si="130"/>
        <v>21526.05605033091</v>
      </c>
      <c r="R166" s="38">
        <f t="shared" si="174"/>
        <v>21526.05605033091</v>
      </c>
      <c r="S166" s="36"/>
      <c r="T166" s="36"/>
      <c r="U166" s="36"/>
      <c r="V166" s="38">
        <f t="shared" si="132"/>
        <v>19866.621732943906</v>
      </c>
      <c r="W166" s="38">
        <f t="shared" si="175"/>
        <v>19866.621732943906</v>
      </c>
      <c r="X166" s="38">
        <f t="shared" si="132"/>
        <v>18313.856128008829</v>
      </c>
      <c r="Y166" s="38">
        <f t="shared" ref="Y166:Z166" si="177">Y103/Y$179</f>
        <v>22192.044390961357</v>
      </c>
      <c r="Z166" s="38">
        <f t="shared" si="177"/>
        <v>23426.320242543887</v>
      </c>
    </row>
    <row r="167" spans="1:26">
      <c r="A167" s="5" t="s">
        <v>45</v>
      </c>
      <c r="I167" s="36"/>
      <c r="J167" s="36"/>
      <c r="K167" s="36"/>
      <c r="L167" s="38"/>
      <c r="M167" s="36"/>
      <c r="N167" s="36"/>
      <c r="O167" s="36"/>
      <c r="P167" s="36"/>
      <c r="Q167" s="38">
        <f t="shared" si="130"/>
        <v>4059.7761255004493</v>
      </c>
      <c r="R167" s="38">
        <f t="shared" si="174"/>
        <v>4059.7761255004493</v>
      </c>
      <c r="S167" s="36"/>
      <c r="T167" s="36"/>
      <c r="U167" s="36"/>
      <c r="V167" s="38">
        <f t="shared" si="132"/>
        <v>3100.8387628248333</v>
      </c>
      <c r="W167" s="38">
        <f t="shared" si="175"/>
        <v>3100.8387628248333</v>
      </c>
      <c r="X167" s="38">
        <f t="shared" si="132"/>
        <v>2855.7486723222291</v>
      </c>
      <c r="Y167" s="38">
        <f t="shared" ref="Y167:Z167" si="178">Y104/Y$179</f>
        <v>1291.609840887819</v>
      </c>
      <c r="Z167" s="38">
        <f t="shared" si="178"/>
        <v>1362.1871254318548</v>
      </c>
    </row>
    <row r="168" spans="1:26">
      <c r="A168" s="5" t="s">
        <v>46</v>
      </c>
      <c r="I168" s="36"/>
      <c r="J168" s="36"/>
      <c r="K168" s="36"/>
      <c r="L168" s="38"/>
      <c r="M168" s="36"/>
      <c r="N168" s="36"/>
      <c r="O168" s="36"/>
      <c r="P168" s="36"/>
      <c r="Q168" s="38">
        <f t="shared" si="130"/>
        <v>36896.020916741567</v>
      </c>
      <c r="R168" s="38">
        <f t="shared" si="174"/>
        <v>36896.020916741567</v>
      </c>
      <c r="S168" s="36"/>
      <c r="T168" s="36"/>
      <c r="U168" s="36"/>
      <c r="V168" s="38">
        <f t="shared" si="132"/>
        <v>15024.623680071894</v>
      </c>
      <c r="W168" s="38">
        <f t="shared" si="175"/>
        <v>15024.623680071894</v>
      </c>
      <c r="X168" s="38">
        <f t="shared" si="132"/>
        <v>10313.649217187392</v>
      </c>
      <c r="Y168" s="38">
        <f t="shared" ref="Y168:Z168" si="179">Y105/Y$179</f>
        <v>3286.5958015777505</v>
      </c>
      <c r="Z168" s="38">
        <f t="shared" si="179"/>
        <v>9946.8800676866667</v>
      </c>
    </row>
    <row r="169" spans="1:26">
      <c r="A169" s="5" t="s">
        <v>47</v>
      </c>
      <c r="I169" s="36"/>
      <c r="J169" s="36"/>
      <c r="K169" s="36"/>
      <c r="L169" s="38"/>
      <c r="M169" s="36"/>
      <c r="N169" s="36"/>
      <c r="O169" s="36"/>
      <c r="P169" s="36"/>
      <c r="Q169" s="38">
        <f t="shared" si="130"/>
        <v>-3320.6144292834383</v>
      </c>
      <c r="R169" s="38">
        <f t="shared" si="174"/>
        <v>-3320.6144292834383</v>
      </c>
      <c r="S169" s="36"/>
      <c r="T169" s="36"/>
      <c r="U169" s="36"/>
      <c r="V169" s="38">
        <f t="shared" si="132"/>
        <v>-290.50400659027935</v>
      </c>
      <c r="W169" s="38">
        <f t="shared" si="175"/>
        <v>-290.50400659027935</v>
      </c>
      <c r="X169" s="38">
        <f t="shared" si="132"/>
        <v>-229.36064556176288</v>
      </c>
      <c r="Y169" s="38">
        <f t="shared" ref="Y169:Z169" si="180">Y106/Y$179</f>
        <v>-159.74729241877256</v>
      </c>
      <c r="Z169" s="38">
        <f t="shared" si="180"/>
        <v>-165.33173517591482</v>
      </c>
    </row>
    <row r="170" spans="1:26">
      <c r="A170" s="5" t="s">
        <v>48</v>
      </c>
      <c r="I170" s="36"/>
      <c r="J170" s="36"/>
      <c r="K170" s="36"/>
      <c r="L170" s="38"/>
      <c r="M170" s="36"/>
      <c r="N170" s="36"/>
      <c r="O170" s="36"/>
      <c r="P170" s="36"/>
      <c r="Q170" s="38">
        <f t="shared" si="130"/>
        <v>20395.113979900318</v>
      </c>
      <c r="R170" s="38">
        <f t="shared" si="174"/>
        <v>20395.113979900318</v>
      </c>
      <c r="S170" s="36"/>
      <c r="T170" s="36"/>
      <c r="U170" s="36"/>
      <c r="V170" s="38">
        <f t="shared" si="132"/>
        <v>28134.389275818168</v>
      </c>
      <c r="W170" s="38">
        <f t="shared" si="175"/>
        <v>28134.389275818168</v>
      </c>
      <c r="X170" s="38">
        <f t="shared" si="132"/>
        <v>34590.068280571075</v>
      </c>
      <c r="Y170" s="38">
        <f t="shared" ref="Y170:Z170" si="181">Y107/Y$179</f>
        <v>37061.211391897312</v>
      </c>
      <c r="Z170" s="38">
        <f t="shared" si="181"/>
        <v>32666.847634491995</v>
      </c>
    </row>
    <row r="171" spans="1:26">
      <c r="A171" s="9" t="s">
        <v>49</v>
      </c>
      <c r="B171" s="9"/>
      <c r="C171" s="9"/>
      <c r="D171" s="9"/>
      <c r="E171" s="9"/>
      <c r="F171" s="9"/>
      <c r="G171" s="9"/>
      <c r="H171" s="9"/>
      <c r="I171" s="39"/>
      <c r="J171" s="39"/>
      <c r="K171" s="39"/>
      <c r="L171" s="39"/>
      <c r="M171" s="39"/>
      <c r="N171" s="39"/>
      <c r="O171" s="39"/>
      <c r="P171" s="39"/>
      <c r="Q171" s="48">
        <f t="shared" si="130"/>
        <v>81507.263665332139</v>
      </c>
      <c r="R171" s="48">
        <f t="shared" si="174"/>
        <v>81507.263665332139</v>
      </c>
      <c r="S171" s="39"/>
      <c r="T171" s="39"/>
      <c r="U171" s="39"/>
      <c r="V171" s="48">
        <f t="shared" si="132"/>
        <v>67624.121920167745</v>
      </c>
      <c r="W171" s="48">
        <f t="shared" si="175"/>
        <v>67624.121920167745</v>
      </c>
      <c r="X171" s="48">
        <f t="shared" si="132"/>
        <v>67490.778674391331</v>
      </c>
      <c r="Y171" s="48">
        <f t="shared" ref="Y171:Z171" si="182">Y108/Y$179</f>
        <v>65267.997058430265</v>
      </c>
      <c r="Z171" s="48">
        <f t="shared" si="182"/>
        <v>68920.411760558403</v>
      </c>
    </row>
    <row r="172" spans="1:26">
      <c r="I172" s="36"/>
      <c r="J172" s="36"/>
      <c r="K172" s="36"/>
      <c r="L172" s="36"/>
      <c r="M172" s="36"/>
      <c r="N172" s="36"/>
      <c r="O172" s="36"/>
      <c r="P172" s="36"/>
      <c r="Q172" s="36"/>
      <c r="R172" s="36"/>
      <c r="S172" s="36"/>
      <c r="T172" s="36"/>
      <c r="U172" s="36"/>
      <c r="V172" s="36"/>
      <c r="W172" s="36"/>
      <c r="X172" s="36"/>
      <c r="Y172" s="36"/>
      <c r="Z172" s="36"/>
    </row>
    <row r="173" spans="1:26">
      <c r="A173" s="5" t="s">
        <v>50</v>
      </c>
      <c r="I173" s="36"/>
      <c r="J173" s="36"/>
      <c r="K173" s="36"/>
      <c r="L173" s="38"/>
      <c r="M173" s="36"/>
      <c r="N173" s="36"/>
      <c r="O173" s="36"/>
      <c r="P173" s="36"/>
      <c r="Q173" s="38">
        <f t="shared" si="130"/>
        <v>14152.201977285726</v>
      </c>
      <c r="R173" s="38">
        <f t="shared" si="174"/>
        <v>14152.201977285726</v>
      </c>
      <c r="S173" s="36"/>
      <c r="T173" s="36"/>
      <c r="U173" s="36"/>
      <c r="V173" s="38">
        <f t="shared" si="132"/>
        <v>12127.357148206396</v>
      </c>
      <c r="W173" s="38">
        <f t="shared" si="175"/>
        <v>12127.357148206396</v>
      </c>
      <c r="X173" s="38">
        <f t="shared" si="132"/>
        <v>11478.515759707565</v>
      </c>
      <c r="Y173" s="38">
        <f t="shared" ref="Y173:Z173" si="183">Y110/Y$179</f>
        <v>12758.938360743414</v>
      </c>
      <c r="Z173" s="38">
        <f t="shared" si="183"/>
        <v>13661.623069872381</v>
      </c>
    </row>
    <row r="174" spans="1:26">
      <c r="A174" s="9" t="s">
        <v>51</v>
      </c>
      <c r="B174" s="9"/>
      <c r="C174" s="9"/>
      <c r="D174" s="9"/>
      <c r="E174" s="9"/>
      <c r="F174" s="9"/>
      <c r="G174" s="9"/>
      <c r="H174" s="9"/>
      <c r="I174" s="39"/>
      <c r="J174" s="39"/>
      <c r="K174" s="39"/>
      <c r="L174" s="39"/>
      <c r="M174" s="39"/>
      <c r="N174" s="39"/>
      <c r="O174" s="39"/>
      <c r="P174" s="39"/>
      <c r="Q174" s="48">
        <f t="shared" si="130"/>
        <v>95659.465642617855</v>
      </c>
      <c r="R174" s="48">
        <f t="shared" si="174"/>
        <v>95659.465642617855</v>
      </c>
      <c r="S174" s="39"/>
      <c r="T174" s="39"/>
      <c r="U174" s="39"/>
      <c r="V174" s="48">
        <f t="shared" si="132"/>
        <v>79751.479068374145</v>
      </c>
      <c r="W174" s="48">
        <f t="shared" si="175"/>
        <v>79751.479068374145</v>
      </c>
      <c r="X174" s="48">
        <f t="shared" si="132"/>
        <v>78969.294434098905</v>
      </c>
      <c r="Y174" s="48">
        <f t="shared" ref="Y174:Z174" si="184">Y111/Y$179</f>
        <v>78026.935419173678</v>
      </c>
      <c r="Z174" s="48">
        <f t="shared" si="184"/>
        <v>82582.034830430784</v>
      </c>
    </row>
    <row r="175" spans="1:26">
      <c r="I175" s="36"/>
      <c r="J175" s="36"/>
      <c r="K175" s="36"/>
      <c r="L175" s="36"/>
      <c r="M175" s="36"/>
      <c r="N175" s="36"/>
      <c r="O175" s="36"/>
      <c r="P175" s="36"/>
      <c r="Q175" s="36"/>
      <c r="R175" s="36"/>
      <c r="S175" s="36"/>
      <c r="T175" s="36"/>
      <c r="U175" s="36"/>
      <c r="V175" s="36"/>
      <c r="W175" s="36"/>
      <c r="X175" s="36"/>
      <c r="Y175" s="36"/>
      <c r="Z175" s="36"/>
    </row>
    <row r="176" spans="1:26">
      <c r="A176" s="9" t="s">
        <v>52</v>
      </c>
      <c r="B176" s="9"/>
      <c r="C176" s="9"/>
      <c r="D176" s="9"/>
      <c r="E176" s="9"/>
      <c r="F176" s="9"/>
      <c r="G176" s="9"/>
      <c r="H176" s="9"/>
      <c r="I176" s="39"/>
      <c r="J176" s="39"/>
      <c r="K176" s="39"/>
      <c r="L176" s="39"/>
      <c r="M176" s="39"/>
      <c r="N176" s="39"/>
      <c r="O176" s="39"/>
      <c r="P176" s="39"/>
      <c r="Q176" s="48">
        <f t="shared" si="130"/>
        <v>388468.58403464337</v>
      </c>
      <c r="R176" s="48">
        <f t="shared" si="174"/>
        <v>388468.58403464337</v>
      </c>
      <c r="S176" s="39"/>
      <c r="T176" s="39"/>
      <c r="U176" s="39"/>
      <c r="V176" s="48">
        <f t="shared" si="132"/>
        <v>329037.42979105818</v>
      </c>
      <c r="W176" s="48">
        <f t="shared" si="175"/>
        <v>329037.42979105818</v>
      </c>
      <c r="X176" s="48">
        <f t="shared" si="132"/>
        <v>315062.88019863435</v>
      </c>
      <c r="Y176" s="48">
        <f t="shared" ref="Y176:Z176" si="185">Y113/Y$179</f>
        <v>307594.87899451796</v>
      </c>
      <c r="Z176" s="48">
        <f t="shared" si="185"/>
        <v>317166.67841782415</v>
      </c>
    </row>
    <row r="177" spans="1:65">
      <c r="A177" s="1" t="s">
        <v>706</v>
      </c>
      <c r="L177" s="36"/>
      <c r="M177" s="36"/>
      <c r="Q177" s="36">
        <f>Q140-Q176</f>
        <v>0</v>
      </c>
      <c r="R177" s="36">
        <f>R140-R176</f>
        <v>0</v>
      </c>
      <c r="V177" s="36">
        <f>V140-V176</f>
        <v>0</v>
      </c>
      <c r="W177" s="36">
        <f>W140-W176</f>
        <v>0</v>
      </c>
      <c r="X177" s="36">
        <f>X140-X176</f>
        <v>0</v>
      </c>
      <c r="Y177" s="36">
        <f>Y140-Y176</f>
        <v>0</v>
      </c>
      <c r="Z177" s="36">
        <f>Z140-Z176</f>
        <v>0</v>
      </c>
    </row>
    <row r="179" spans="1:65">
      <c r="A179" s="1" t="s">
        <v>1007</v>
      </c>
      <c r="N179" s="45">
        <f>FX!AC6</f>
        <v>110.58</v>
      </c>
      <c r="O179" s="45">
        <f>FX!AD6</f>
        <v>111.92</v>
      </c>
      <c r="P179" s="45">
        <f>FX!AE6</f>
        <v>115.02</v>
      </c>
      <c r="Q179" s="45">
        <f>FX!AF6</f>
        <v>122.39</v>
      </c>
      <c r="S179" s="45">
        <f>FX!AH6</f>
        <v>136.68</v>
      </c>
      <c r="T179" s="45">
        <f>FX!AI6</f>
        <v>144.81</v>
      </c>
      <c r="U179" s="45">
        <f>FX!AJ6</f>
        <v>132.69999999999999</v>
      </c>
      <c r="V179" s="45">
        <f>FX!AK6</f>
        <v>133.53</v>
      </c>
      <c r="X179" s="45">
        <f>FX!AM6</f>
        <v>144.99</v>
      </c>
      <c r="Y179" s="45">
        <f>FX!AN6</f>
        <v>149.58000000000001</v>
      </c>
      <c r="Z179" s="45">
        <f>FX!AO6</f>
        <v>141.83000000000001</v>
      </c>
      <c r="AA179" s="45">
        <f>FX!AP6</f>
        <v>151.41</v>
      </c>
      <c r="AC179" s="45">
        <f>FX!AR6</f>
        <v>161.07</v>
      </c>
      <c r="AD179" s="45">
        <f>FX!AS6</f>
        <v>142.72999999999999</v>
      </c>
      <c r="AE179" s="45">
        <f>FX!AT6</f>
        <v>158.18</v>
      </c>
      <c r="AF179" s="45">
        <f>FX!AU6</f>
        <v>149.52000000000001</v>
      </c>
      <c r="AH179" s="45">
        <f>FX!AW6</f>
        <v>144.81</v>
      </c>
      <c r="AI179" s="45">
        <f>FX!AX6</f>
        <v>148.88</v>
      </c>
      <c r="AJ179" s="45">
        <f>FX!AY6</f>
        <v>156.56</v>
      </c>
      <c r="AK179" s="45">
        <f>FX!AZ6</f>
        <v>155.1</v>
      </c>
    </row>
    <row r="181" spans="1:65" s="2" customFormat="1">
      <c r="A181" s="4" t="s">
        <v>712</v>
      </c>
      <c r="BM181" s="46"/>
    </row>
    <row r="183" spans="1:65">
      <c r="A183" s="1" t="s">
        <v>71</v>
      </c>
    </row>
    <row r="184" spans="1:65">
      <c r="A184" s="5" t="s">
        <v>713</v>
      </c>
      <c r="X184" s="38"/>
    </row>
    <row r="185" spans="1:65">
      <c r="A185" s="5" t="s">
        <v>714</v>
      </c>
      <c r="X185" s="38"/>
    </row>
    <row r="186" spans="1:65">
      <c r="A186" s="5" t="s">
        <v>715</v>
      </c>
      <c r="X186" s="38"/>
    </row>
    <row r="187" spans="1:65">
      <c r="A187" s="5" t="s">
        <v>106</v>
      </c>
      <c r="X187" s="38"/>
    </row>
    <row r="188" spans="1:65">
      <c r="A188" s="5" t="s">
        <v>716</v>
      </c>
      <c r="X188" s="38"/>
    </row>
    <row r="189" spans="1:65">
      <c r="A189" s="5" t="s">
        <v>717</v>
      </c>
      <c r="X189" s="38"/>
    </row>
    <row r="190" spans="1:65">
      <c r="A190" s="5" t="s">
        <v>718</v>
      </c>
      <c r="X190" s="38"/>
    </row>
    <row r="191" spans="1:65">
      <c r="A191" s="5" t="s">
        <v>67</v>
      </c>
      <c r="X191" s="38"/>
    </row>
    <row r="192" spans="1:65">
      <c r="A192" s="5" t="s">
        <v>719</v>
      </c>
      <c r="X192" s="38"/>
    </row>
    <row r="193" spans="1:24">
      <c r="A193" s="5" t="s">
        <v>720</v>
      </c>
      <c r="X193" s="38"/>
    </row>
    <row r="194" spans="1:24">
      <c r="A194" s="5" t="s">
        <v>721</v>
      </c>
      <c r="X194" s="38"/>
    </row>
    <row r="195" spans="1:24">
      <c r="A195" s="5" t="s">
        <v>722</v>
      </c>
      <c r="X195" s="38"/>
    </row>
    <row r="196" spans="1:24">
      <c r="A196" s="5" t="s">
        <v>723</v>
      </c>
      <c r="X196" s="38"/>
    </row>
    <row r="197" spans="1:24">
      <c r="A197" s="5" t="s">
        <v>724</v>
      </c>
      <c r="X197" s="38"/>
    </row>
    <row r="198" spans="1:24">
      <c r="A198" s="5" t="s">
        <v>725</v>
      </c>
      <c r="X198" s="38"/>
    </row>
    <row r="199" spans="1:24">
      <c r="A199" s="5" t="s">
        <v>726</v>
      </c>
      <c r="X199" s="38"/>
    </row>
    <row r="200" spans="1:24">
      <c r="A200" s="5" t="s">
        <v>192</v>
      </c>
    </row>
    <row r="201" spans="1:24">
      <c r="A201" s="9" t="s">
        <v>727</v>
      </c>
      <c r="B201" s="9"/>
      <c r="C201" s="9"/>
      <c r="D201" s="9"/>
      <c r="E201" s="9"/>
      <c r="F201" s="9"/>
      <c r="G201" s="9"/>
      <c r="H201" s="9"/>
      <c r="I201" s="9"/>
      <c r="J201" s="9"/>
      <c r="K201" s="9"/>
      <c r="L201" s="9"/>
      <c r="M201" s="9"/>
      <c r="N201" s="9"/>
      <c r="O201" s="9"/>
      <c r="P201" s="9"/>
      <c r="Q201" s="9"/>
      <c r="R201" s="9"/>
      <c r="S201" s="9"/>
      <c r="T201" s="9"/>
      <c r="U201" s="9"/>
      <c r="V201" s="9"/>
      <c r="W201" s="9"/>
      <c r="X201" s="9"/>
    </row>
    <row r="202" spans="1:24">
      <c r="A202" s="5" t="s">
        <v>728</v>
      </c>
    </row>
    <row r="203" spans="1:24">
      <c r="A203" s="5" t="s">
        <v>729</v>
      </c>
    </row>
    <row r="204" spans="1:24">
      <c r="A204" s="5" t="s">
        <v>730</v>
      </c>
    </row>
    <row r="205" spans="1:24">
      <c r="A205" s="5" t="s">
        <v>731</v>
      </c>
    </row>
    <row r="206" spans="1:24">
      <c r="A206" s="9" t="s">
        <v>732</v>
      </c>
      <c r="B206" s="9"/>
      <c r="C206" s="9"/>
      <c r="D206" s="9"/>
      <c r="E206" s="9"/>
      <c r="F206" s="9"/>
      <c r="G206" s="9"/>
      <c r="H206" s="9"/>
      <c r="I206" s="9"/>
      <c r="J206" s="9"/>
      <c r="K206" s="9"/>
      <c r="L206" s="9"/>
      <c r="M206" s="9"/>
      <c r="N206" s="9"/>
      <c r="O206" s="9"/>
      <c r="P206" s="9"/>
      <c r="Q206" s="9"/>
      <c r="R206" s="9"/>
      <c r="S206" s="9"/>
      <c r="T206" s="9"/>
      <c r="U206" s="9"/>
      <c r="V206" s="9"/>
      <c r="W206" s="9"/>
      <c r="X206" s="9"/>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94246-0BCA-4A16-AE2E-92CF6B6FB3A2}">
  <sheetPr codeName="Sheet6"/>
  <dimension ref="A1:BS126"/>
  <sheetViews>
    <sheetView zoomScale="90" zoomScaleNormal="90" workbookViewId="0">
      <pane xSplit="8" ySplit="2" topLeftCell="Q3" activePane="bottomRight" state="frozen"/>
      <selection pane="topRight" activeCell="I1" sqref="I1"/>
      <selection pane="bottomLeft" activeCell="A3" sqref="A3"/>
      <selection pane="bottomRight"/>
    </sheetView>
  </sheetViews>
  <sheetFormatPr defaultColWidth="9.140625" defaultRowHeight="12" outlineLevelCol="1"/>
  <cols>
    <col min="1" max="8" width="9.140625" style="1"/>
    <col min="9" max="12" width="11.42578125" style="1" customWidth="1" outlineLevel="1"/>
    <col min="13" max="13" width="11.42578125" style="1" customWidth="1"/>
    <col min="14" max="17" width="11.42578125" style="1" customWidth="1" outlineLevel="1"/>
    <col min="18" max="18" width="11.42578125" style="1" customWidth="1"/>
    <col min="19" max="22" width="11.42578125" style="1" customWidth="1" outlineLevel="1"/>
    <col min="23" max="23" width="11.42578125" style="1" customWidth="1"/>
    <col min="24" max="27" width="11.42578125" style="1" customWidth="1" outlineLevel="1"/>
    <col min="28" max="28" width="11.42578125" style="1" customWidth="1"/>
    <col min="29" max="32" width="11.42578125" style="1" customWidth="1" outlineLevel="1"/>
    <col min="33" max="33" width="11.42578125" style="1" customWidth="1"/>
    <col min="34" max="37" width="11.42578125" style="1" customWidth="1" outlineLevel="1"/>
    <col min="38" max="38" width="11.42578125" style="1" customWidth="1"/>
    <col min="39" max="42" width="11.42578125" style="1" customWidth="1" outlineLevel="1"/>
    <col min="43" max="43" width="11.42578125" style="1" customWidth="1"/>
    <col min="44" max="47" width="11.42578125" style="1" customWidth="1" outlineLevel="1"/>
    <col min="48" max="48" width="11.42578125" style="1" customWidth="1"/>
    <col min="49" max="52" width="11.42578125" style="1" customWidth="1" outlineLevel="1"/>
    <col min="53" max="53" width="11.42578125" style="1" customWidth="1"/>
    <col min="54" max="57" width="11.42578125" style="1" customWidth="1" outlineLevel="1"/>
    <col min="58" max="58" width="11.42578125" style="1" customWidth="1"/>
    <col min="59" max="59" width="9.140625" style="1"/>
    <col min="60" max="60" width="9.140625" style="46"/>
    <col min="61" max="61" width="9.140625" style="1"/>
    <col min="62" max="71" width="11.42578125" style="1" customWidth="1"/>
    <col min="72" max="16384" width="9.140625" style="1"/>
  </cols>
  <sheetData>
    <row r="1" spans="1:71" s="2" customFormat="1">
      <c r="A1" s="2" t="s">
        <v>0</v>
      </c>
      <c r="I1" s="43" t="s">
        <v>138</v>
      </c>
      <c r="J1" s="43" t="s">
        <v>139</v>
      </c>
      <c r="K1" s="43" t="s">
        <v>140</v>
      </c>
      <c r="M1" s="18" t="s">
        <v>141</v>
      </c>
      <c r="N1" s="43" t="s">
        <v>126</v>
      </c>
      <c r="O1" s="43" t="s">
        <v>127</v>
      </c>
      <c r="P1" s="43" t="s">
        <v>128</v>
      </c>
      <c r="R1" s="18" t="s">
        <v>79</v>
      </c>
      <c r="S1" s="43" t="s">
        <v>129</v>
      </c>
      <c r="T1" s="43" t="s">
        <v>130</v>
      </c>
      <c r="U1" s="43" t="s">
        <v>131</v>
      </c>
      <c r="W1" s="18" t="s">
        <v>90</v>
      </c>
      <c r="X1" s="43" t="s">
        <v>700</v>
      </c>
      <c r="Y1" s="43" t="s">
        <v>701</v>
      </c>
      <c r="Z1" s="43" t="s">
        <v>702</v>
      </c>
      <c r="AB1" s="18" t="s">
        <v>699</v>
      </c>
      <c r="AC1" s="43" t="s">
        <v>1177</v>
      </c>
      <c r="AD1" s="43" t="s">
        <v>1178</v>
      </c>
      <c r="AE1" s="43" t="s">
        <v>1179</v>
      </c>
      <c r="AG1" s="18" t="s">
        <v>1180</v>
      </c>
      <c r="AH1" s="43" t="s">
        <v>1189</v>
      </c>
      <c r="AI1" s="43" t="s">
        <v>1190</v>
      </c>
      <c r="AJ1" s="43" t="s">
        <v>1191</v>
      </c>
      <c r="AL1" s="18" t="s">
        <v>1198</v>
      </c>
      <c r="AM1" s="43" t="s">
        <v>1192</v>
      </c>
      <c r="AN1" s="43" t="s">
        <v>1199</v>
      </c>
      <c r="AO1" s="43" t="s">
        <v>1200</v>
      </c>
      <c r="AQ1" s="18" t="s">
        <v>1209</v>
      </c>
      <c r="AR1" s="43" t="s">
        <v>1201</v>
      </c>
      <c r="AS1" s="43" t="s">
        <v>1203</v>
      </c>
      <c r="AT1" s="43" t="s">
        <v>1205</v>
      </c>
      <c r="AV1" s="18" t="s">
        <v>1210</v>
      </c>
      <c r="AW1" s="43" t="s">
        <v>1211</v>
      </c>
      <c r="AX1" s="43" t="s">
        <v>1213</v>
      </c>
      <c r="AY1" s="43" t="s">
        <v>1215</v>
      </c>
      <c r="BA1" s="18" t="s">
        <v>1219</v>
      </c>
      <c r="BB1" s="43" t="s">
        <v>1211</v>
      </c>
      <c r="BC1" s="43" t="s">
        <v>1213</v>
      </c>
      <c r="BD1" s="43" t="s">
        <v>1215</v>
      </c>
      <c r="BF1" s="18" t="s">
        <v>1220</v>
      </c>
      <c r="BH1" s="46"/>
      <c r="BJ1" s="18" t="s">
        <v>141</v>
      </c>
      <c r="BM1" s="18" t="s">
        <v>699</v>
      </c>
      <c r="BR1" s="18" t="s">
        <v>1219</v>
      </c>
    </row>
    <row r="2" spans="1:71" s="2" customFormat="1">
      <c r="A2" s="2" t="s">
        <v>2</v>
      </c>
      <c r="I2" s="6" t="s">
        <v>74</v>
      </c>
      <c r="J2" s="6" t="s">
        <v>75</v>
      </c>
      <c r="K2" s="6" t="s">
        <v>76</v>
      </c>
      <c r="L2" s="6" t="s">
        <v>77</v>
      </c>
      <c r="M2" s="6" t="s">
        <v>78</v>
      </c>
      <c r="N2" s="6" t="s">
        <v>10</v>
      </c>
      <c r="O2" s="6" t="s">
        <v>11</v>
      </c>
      <c r="P2" s="6" t="s">
        <v>12</v>
      </c>
      <c r="Q2" s="6" t="s">
        <v>13</v>
      </c>
      <c r="R2" s="6" t="s">
        <v>14</v>
      </c>
      <c r="S2" s="6" t="s">
        <v>91</v>
      </c>
      <c r="T2" s="6" t="s">
        <v>92</v>
      </c>
      <c r="U2" s="6" t="s">
        <v>93</v>
      </c>
      <c r="V2" s="6" t="s">
        <v>94</v>
      </c>
      <c r="W2" s="6" t="s">
        <v>95</v>
      </c>
      <c r="X2" s="6" t="s">
        <v>686</v>
      </c>
      <c r="Y2" s="6" t="s">
        <v>695</v>
      </c>
      <c r="Z2" s="6" t="s">
        <v>696</v>
      </c>
      <c r="AA2" s="6" t="s">
        <v>697</v>
      </c>
      <c r="AB2" s="6" t="s">
        <v>698</v>
      </c>
      <c r="AC2" s="6" t="s">
        <v>1172</v>
      </c>
      <c r="AD2" s="6" t="s">
        <v>1173</v>
      </c>
      <c r="AE2" s="6" t="s">
        <v>1174</v>
      </c>
      <c r="AF2" s="6" t="s">
        <v>1175</v>
      </c>
      <c r="AG2" s="6" t="s">
        <v>1176</v>
      </c>
      <c r="AH2" s="6" t="s">
        <v>1184</v>
      </c>
      <c r="AI2" s="6" t="s">
        <v>1185</v>
      </c>
      <c r="AJ2" s="6" t="s">
        <v>1186</v>
      </c>
      <c r="AK2" s="6" t="s">
        <v>1187</v>
      </c>
      <c r="AL2" s="6" t="s">
        <v>1188</v>
      </c>
      <c r="AM2" s="6" t="s">
        <v>1193</v>
      </c>
      <c r="AN2" s="6" t="s">
        <v>1194</v>
      </c>
      <c r="AO2" s="6" t="s">
        <v>1195</v>
      </c>
      <c r="AP2" s="6" t="s">
        <v>1196</v>
      </c>
      <c r="AQ2" s="6" t="s">
        <v>1197</v>
      </c>
      <c r="AR2" s="6" t="s">
        <v>1202</v>
      </c>
      <c r="AS2" s="6" t="s">
        <v>1204</v>
      </c>
      <c r="AT2" s="6" t="s">
        <v>1206</v>
      </c>
      <c r="AU2" s="6" t="s">
        <v>1207</v>
      </c>
      <c r="AV2" s="6" t="s">
        <v>1208</v>
      </c>
      <c r="AW2" s="6" t="s">
        <v>1212</v>
      </c>
      <c r="AX2" s="6" t="s">
        <v>1214</v>
      </c>
      <c r="AY2" s="6" t="s">
        <v>1216</v>
      </c>
      <c r="AZ2" s="6" t="s">
        <v>1217</v>
      </c>
      <c r="BA2" s="6" t="s">
        <v>1218</v>
      </c>
      <c r="BB2" s="6" t="s">
        <v>1221</v>
      </c>
      <c r="BC2" s="6" t="s">
        <v>1222</v>
      </c>
      <c r="BD2" s="6" t="s">
        <v>1223</v>
      </c>
      <c r="BE2" s="6" t="s">
        <v>1224</v>
      </c>
      <c r="BF2" s="6" t="s">
        <v>1225</v>
      </c>
      <c r="BH2" s="241" t="s">
        <v>1477</v>
      </c>
      <c r="BJ2" s="6" t="s">
        <v>78</v>
      </c>
      <c r="BK2" s="6" t="s">
        <v>14</v>
      </c>
      <c r="BL2" s="6" t="s">
        <v>95</v>
      </c>
      <c r="BM2" s="6" t="s">
        <v>698</v>
      </c>
      <c r="BN2" s="6" t="s">
        <v>1176</v>
      </c>
      <c r="BO2" s="6" t="s">
        <v>1188</v>
      </c>
      <c r="BP2" s="6" t="s">
        <v>1197</v>
      </c>
      <c r="BQ2" s="6" t="s">
        <v>1208</v>
      </c>
      <c r="BR2" s="6" t="s">
        <v>1218</v>
      </c>
      <c r="BS2" s="6" t="s">
        <v>1225</v>
      </c>
    </row>
    <row r="4" spans="1:71" s="2" customFormat="1">
      <c r="A4" s="4" t="s">
        <v>54</v>
      </c>
      <c r="C4" s="113" t="s">
        <v>2167</v>
      </c>
      <c r="BH4" s="46"/>
    </row>
    <row r="6" spans="1:71">
      <c r="A6" s="3" t="s">
        <v>1648</v>
      </c>
    </row>
    <row r="8" spans="1:71">
      <c r="A8" s="5" t="s">
        <v>707</v>
      </c>
      <c r="I8" s="36">
        <f>'Financial statements KK'!Y6*1000</f>
        <v>1356600</v>
      </c>
      <c r="J8" s="36">
        <f>'Financial statements KK'!Z6*1000</f>
        <v>1367700</v>
      </c>
      <c r="K8" s="36">
        <f>'Financial statements KK'!AA6*1000</f>
        <v>1449600</v>
      </c>
      <c r="L8" s="36">
        <f>'Financial statements KK'!AB6*1000</f>
        <v>1516800</v>
      </c>
      <c r="M8" s="36">
        <f>'Financial statements KK'!AC6*1000</f>
        <v>5690700</v>
      </c>
      <c r="N8" s="36">
        <f>'Financial statements KK'!AD6*1000</f>
        <v>1362000</v>
      </c>
      <c r="O8" s="36">
        <f>'Financial statements KK'!AE6*1000</f>
        <v>1446600</v>
      </c>
      <c r="P8" s="36">
        <f>'Financial statements KK'!AF6*1000</f>
        <v>1536900</v>
      </c>
      <c r="Q8" s="36">
        <f>'Financial statements KK'!AG6*1000</f>
        <v>1566500</v>
      </c>
      <c r="R8" s="36">
        <f>'Financial statements KK'!AH6*1000</f>
        <v>5912000</v>
      </c>
      <c r="S8" s="36">
        <f>'Financial statements KK'!AI6*1000</f>
        <v>1429700</v>
      </c>
      <c r="T8" s="36">
        <f>'Financial statements KK'!AJ6*1000</f>
        <v>1504100</v>
      </c>
      <c r="U8" s="36">
        <f>'Financial statements KK'!AK6*1000</f>
        <v>1577800</v>
      </c>
      <c r="V8" s="36">
        <f>'Financial statements KK'!AL6*1000</f>
        <v>1602867.2906365599</v>
      </c>
      <c r="W8" s="36">
        <f>'Financial statements KK'!AM6*1000</f>
        <v>6114467.2906365599</v>
      </c>
      <c r="X8" s="36">
        <f>'Financial statements KK'!AN6*1000</f>
        <v>1457151.9594052648</v>
      </c>
      <c r="Y8" s="36">
        <f>'Financial statements KK'!AO6*1000</f>
        <v>1529524.1316600111</v>
      </c>
      <c r="Z8" s="36">
        <f>'Financial statements KK'!AP6*1000</f>
        <v>1604776.2029339718</v>
      </c>
      <c r="AA8" s="36">
        <f>'Financial statements KK'!AQ6*1000</f>
        <v>1623844.0301450386</v>
      </c>
      <c r="AB8" s="36">
        <f>'Financial statements KK'!AR6*1000</f>
        <v>6215296.324144287</v>
      </c>
      <c r="AC8" s="36">
        <f>'Financial statements KK'!AS6*1000</f>
        <v>1481605.3731742352</v>
      </c>
      <c r="AD8" s="36">
        <f>'Financial statements KK'!AT6*1000</f>
        <v>1557258.9610231887</v>
      </c>
      <c r="AE8" s="36">
        <f>'Financial statements KK'!AU6*1000</f>
        <v>1632942.2435543227</v>
      </c>
      <c r="AF8" s="36">
        <f>'Financial statements KK'!AV6*1000</f>
        <v>1656778.3839405226</v>
      </c>
      <c r="AG8" s="36">
        <f>'Financial statements KK'!AW6*1000</f>
        <v>6328584.9616922699</v>
      </c>
      <c r="AH8" s="36">
        <f>'Financial statements KK'!AX6*1000</f>
        <v>1516359.4919844414</v>
      </c>
      <c r="AI8" s="36">
        <f>'Financial statements KK'!AY6*1000</f>
        <v>1591566.0946679458</v>
      </c>
      <c r="AJ8" s="36">
        <f>'Financial statements KK'!AZ6*1000</f>
        <v>1671549.0616347028</v>
      </c>
      <c r="AK8" s="36">
        <f>'Financial statements KK'!BA6*1000</f>
        <v>1696251.2128281954</v>
      </c>
      <c r="AL8" s="36">
        <f>'Financial statements KK'!BB6*1000</f>
        <v>6475725.8611152852</v>
      </c>
      <c r="AM8" s="36">
        <f>'Financial statements KK'!BC6*1000</f>
        <v>1553371.5100386906</v>
      </c>
      <c r="AN8" s="36">
        <f>'Financial statements KK'!BD6*1000</f>
        <v>1631509.4543671897</v>
      </c>
      <c r="AO8" s="36">
        <f>'Financial statements KK'!BE6*1000</f>
        <v>1712271.2519320196</v>
      </c>
      <c r="AP8" s="36">
        <f>'Financial statements KK'!BF6*1000</f>
        <v>1741660.0178121012</v>
      </c>
      <c r="AQ8" s="36">
        <f>'Financial statements KK'!BG6*1000</f>
        <v>6638812.2341499999</v>
      </c>
      <c r="AR8" s="36">
        <f>'Financial statements KK'!BH6*1000</f>
        <v>1593239.1180954673</v>
      </c>
      <c r="AS8" s="36">
        <f>'Financial statements KK'!BI6*1000</f>
        <v>1673441.5865110974</v>
      </c>
      <c r="AT8" s="36">
        <f>'Financial statements KK'!BJ6*1000</f>
        <v>1756810.4944560206</v>
      </c>
      <c r="AU8" s="36">
        <f>'Financial statements KK'!BK6*1000</f>
        <v>1790045.0039989289</v>
      </c>
      <c r="AV8" s="36">
        <f>'Financial statements KK'!BL6*1000</f>
        <v>6813536.2030615145</v>
      </c>
      <c r="AW8" s="36">
        <f t="shared" ref="AW8:AZ10" si="0">AR8*(1+AW14)</f>
        <v>1594832.3572135626</v>
      </c>
      <c r="AX8" s="36">
        <f t="shared" si="0"/>
        <v>1675115.0280976084</v>
      </c>
      <c r="AY8" s="36">
        <f t="shared" si="0"/>
        <v>1758567.3049504764</v>
      </c>
      <c r="AZ8" s="36">
        <f t="shared" si="0"/>
        <v>1791835.0490029277</v>
      </c>
      <c r="BA8" s="36">
        <f>SUM(AW8:AZ8)</f>
        <v>6820349.7392645748</v>
      </c>
      <c r="BB8" s="36">
        <f t="shared" ref="BB8" si="1">AW8*(1+BB14)</f>
        <v>1596427.189570776</v>
      </c>
      <c r="BC8" s="36">
        <f t="shared" ref="BC8" si="2">AX8*(1+BC14)</f>
        <v>1676790.1431257059</v>
      </c>
      <c r="BD8" s="36">
        <f t="shared" ref="BD8" si="3">AY8*(1+BD14)</f>
        <v>1760325.8722554266</v>
      </c>
      <c r="BE8" s="36">
        <f t="shared" ref="BE8" si="4">AZ8*(1+BE14)</f>
        <v>1793626.8840519304</v>
      </c>
      <c r="BF8" s="36">
        <f>SUM(BB8:BE8)</f>
        <v>6827170.0890038386</v>
      </c>
      <c r="BK8" s="36">
        <f>INDEX($I8:$BF8, MATCH(BK$2, $I$2:$BF$2, 0))</f>
        <v>5912000</v>
      </c>
      <c r="BL8" s="36">
        <f t="shared" ref="BL8:BS11" si="5">INDEX($I8:$BF8, MATCH(BL$2, $I$2:$BF$2, 0))</f>
        <v>6114467.2906365599</v>
      </c>
      <c r="BM8" s="36">
        <f t="shared" si="5"/>
        <v>6215296.324144287</v>
      </c>
      <c r="BN8" s="36">
        <f t="shared" si="5"/>
        <v>6328584.9616922699</v>
      </c>
      <c r="BO8" s="36">
        <f t="shared" si="5"/>
        <v>6475725.8611152852</v>
      </c>
      <c r="BP8" s="36">
        <f t="shared" si="5"/>
        <v>6638812.2341499999</v>
      </c>
      <c r="BQ8" s="36">
        <f t="shared" si="5"/>
        <v>6813536.2030615145</v>
      </c>
      <c r="BR8" s="36">
        <f t="shared" si="5"/>
        <v>6820349.7392645748</v>
      </c>
      <c r="BS8" s="36">
        <f t="shared" si="5"/>
        <v>6827170.0890038386</v>
      </c>
    </row>
    <row r="9" spans="1:71">
      <c r="A9" s="5" t="s">
        <v>708</v>
      </c>
      <c r="I9" s="36">
        <f>'Arm (OLD)'!AC10</f>
        <v>74278</v>
      </c>
      <c r="J9" s="36">
        <f>'Arm (OLD)'!AD10</f>
        <v>87077</v>
      </c>
      <c r="K9" s="36">
        <f>'Arm (OLD)'!AE10</f>
        <v>66015</v>
      </c>
      <c r="L9" s="36">
        <f>'Arm (OLD)'!AF10</f>
        <v>72643</v>
      </c>
      <c r="M9" s="36">
        <f>'Arm (OLD)'!AG10</f>
        <v>300013</v>
      </c>
      <c r="N9" s="36">
        <f>'Arm (OLD)'!AH10</f>
        <v>92751</v>
      </c>
      <c r="O9" s="36">
        <f>'Arm (OLD)'!AI10</f>
        <v>90954</v>
      </c>
      <c r="P9" s="36">
        <f>'Arm (OLD)'!AJ10</f>
        <v>105247</v>
      </c>
      <c r="Q9" s="36">
        <f>'Arm (OLD)'!AK10</f>
        <v>92794</v>
      </c>
      <c r="R9" s="36">
        <f>'Arm (OLD)'!AL10</f>
        <v>381746</v>
      </c>
      <c r="S9" s="36">
        <f>'Arm (OLD)'!AM10</f>
        <v>88502</v>
      </c>
      <c r="T9" s="36">
        <f>'Arm (OLD)'!AN10</f>
        <v>117295</v>
      </c>
      <c r="U9" s="36">
        <f>'Arm (OLD)'!AO10</f>
        <v>121017</v>
      </c>
      <c r="V9" s="36">
        <f>'Arm (OLD)'!AP10</f>
        <v>127767.55038075001</v>
      </c>
      <c r="W9" s="36">
        <f>'Arm (OLD)'!AQ10</f>
        <v>454581.55038074998</v>
      </c>
      <c r="X9" s="36">
        <f>'Arm (OLD)'!AR10</f>
        <v>143468.31306087499</v>
      </c>
      <c r="Y9" s="36">
        <f>'Arm (OLD)'!AS10</f>
        <v>146532.26877959998</v>
      </c>
      <c r="Z9" s="36">
        <f>'Arm (OLD)'!AT10</f>
        <v>159417.71585765999</v>
      </c>
      <c r="AA9" s="36">
        <f>'Arm (OLD)'!AU10</f>
        <v>158533.47211498476</v>
      </c>
      <c r="AB9" s="36">
        <f>'Arm (OLD)'!AV10</f>
        <v>607951.76981311967</v>
      </c>
      <c r="AC9" s="36">
        <f>'Arm (OLD)'!AW10</f>
        <v>162658.43593329442</v>
      </c>
      <c r="AD9" s="36">
        <f>'Arm (OLD)'!AX10</f>
        <v>176389.68689729361</v>
      </c>
      <c r="AE9" s="36">
        <f>'Arm (OLD)'!AY10</f>
        <v>193133.49549105088</v>
      </c>
      <c r="AF9" s="36">
        <f>'Arm (OLD)'!AZ10</f>
        <v>187230.15685258116</v>
      </c>
      <c r="AG9" s="36">
        <f>'Arm (OLD)'!BA10</f>
        <v>719411.77517422009</v>
      </c>
      <c r="AH9" s="36">
        <f>'Arm (OLD)'!BB10</f>
        <v>196405.89147639429</v>
      </c>
      <c r="AI9" s="36">
        <f>'Arm (OLD)'!BC10</f>
        <v>208960.92622110029</v>
      </c>
      <c r="AJ9" s="36">
        <f>'Arm (OLD)'!BD10</f>
        <v>220467.99174286652</v>
      </c>
      <c r="AK9" s="36">
        <f>'Arm (OLD)'!BE10</f>
        <v>211647.8297993335</v>
      </c>
      <c r="AL9" s="36">
        <f>'Arm (OLD)'!BF10</f>
        <v>837482.63923969457</v>
      </c>
      <c r="AM9" s="36">
        <f>'Arm (OLD)'!BG10</f>
        <v>224893.32594618053</v>
      </c>
      <c r="AN9" s="36">
        <f>'Arm (OLD)'!BH10</f>
        <v>238022.19673619373</v>
      </c>
      <c r="AO9" s="36">
        <f>'Arm (OLD)'!BI10</f>
        <v>244454.99390624405</v>
      </c>
      <c r="AP9" s="36">
        <f>'Arm (OLD)'!BJ10</f>
        <v>230440.50088029244</v>
      </c>
      <c r="AQ9" s="36">
        <f>'Arm (OLD)'!BK10</f>
        <v>937811.01746891066</v>
      </c>
      <c r="AR9" s="36">
        <f>'Arm (OLD)'!BL10</f>
        <v>245273.4869074616</v>
      </c>
      <c r="AS9" s="36">
        <f>'Arm (OLD)'!BM10</f>
        <v>260098.52352545495</v>
      </c>
      <c r="AT9" s="36">
        <f>'Arm (OLD)'!BN10</f>
        <v>266368.26471185323</v>
      </c>
      <c r="AU9" s="36">
        <f>'Arm (OLD)'!BO10</f>
        <v>249702.3597034789</v>
      </c>
      <c r="AV9" s="36">
        <f>'Arm (OLD)'!BP10</f>
        <v>1021442.6348482487</v>
      </c>
      <c r="AW9" s="36">
        <f>'Arm (OLD)'!BQ10</f>
        <v>265752.30690031435</v>
      </c>
      <c r="AX9" s="36">
        <f>'Arm (OLD)'!BR10</f>
        <v>281183.76454010507</v>
      </c>
      <c r="AY9" s="36">
        <f>'Arm (OLD)'!BS10</f>
        <v>286217.10890117468</v>
      </c>
      <c r="AZ9" s="36">
        <f>'Arm (OLD)'!BT10</f>
        <v>266099.82491380448</v>
      </c>
      <c r="BA9" s="36">
        <f>'Arm (OLD)'!BU10</f>
        <v>1099253.0052553986</v>
      </c>
      <c r="BB9" s="36">
        <f t="shared" ref="BB9:BB10" si="6">AW9*(1+BB15)</f>
        <v>279039.92224533006</v>
      </c>
      <c r="BC9" s="36">
        <f t="shared" ref="BC9:BC10" si="7">AX9*(1+BC15)</f>
        <v>295242.95276711031</v>
      </c>
      <c r="BD9" s="36">
        <f t="shared" ref="BD9:BD10" si="8">AY9*(1+BD15)</f>
        <v>300527.96434623341</v>
      </c>
      <c r="BE9" s="36">
        <f t="shared" ref="BE9:BE10" si="9">AZ9*(1+BE15)</f>
        <v>279404.81615949469</v>
      </c>
      <c r="BF9" s="36">
        <f>SUM(BB9:BE9)</f>
        <v>1154215.6555181686</v>
      </c>
      <c r="BK9" s="36">
        <f>INDEX($I9:$BF9, MATCH(BK$2, $I$2:$BF$2, 0))</f>
        <v>381746</v>
      </c>
      <c r="BL9" s="36">
        <f t="shared" si="5"/>
        <v>454581.55038074998</v>
      </c>
      <c r="BM9" s="36">
        <f t="shared" si="5"/>
        <v>607951.76981311967</v>
      </c>
      <c r="BN9" s="36">
        <f t="shared" si="5"/>
        <v>719411.77517422009</v>
      </c>
      <c r="BO9" s="36">
        <f t="shared" si="5"/>
        <v>837482.63923969457</v>
      </c>
      <c r="BP9" s="36">
        <f t="shared" si="5"/>
        <v>937811.01746891066</v>
      </c>
      <c r="BQ9" s="36">
        <f t="shared" si="5"/>
        <v>1021442.6348482487</v>
      </c>
      <c r="BR9" s="36">
        <f t="shared" si="5"/>
        <v>1099253.0052553986</v>
      </c>
      <c r="BS9" s="36">
        <f t="shared" si="5"/>
        <v>1154215.6555181686</v>
      </c>
    </row>
    <row r="10" spans="1:71">
      <c r="A10" s="5" t="s">
        <v>711</v>
      </c>
      <c r="I10" s="36">
        <f t="shared" ref="I10:U10" si="10">I11-SUM(I8:I9)</f>
        <v>48256</v>
      </c>
      <c r="J10" s="36">
        <f t="shared" si="10"/>
        <v>49593</v>
      </c>
      <c r="K10" s="36">
        <f t="shared" si="10"/>
        <v>81721</v>
      </c>
      <c r="L10" s="36">
        <f t="shared" si="10"/>
        <v>51251</v>
      </c>
      <c r="M10" s="36">
        <f t="shared" si="10"/>
        <v>230821</v>
      </c>
      <c r="N10" s="36">
        <f t="shared" si="10"/>
        <v>117279</v>
      </c>
      <c r="O10" s="36">
        <f t="shared" si="10"/>
        <v>72893</v>
      </c>
      <c r="P10" s="36">
        <f t="shared" si="10"/>
        <v>51149</v>
      </c>
      <c r="Q10" s="36">
        <f t="shared" si="10"/>
        <v>35372</v>
      </c>
      <c r="R10" s="36">
        <f t="shared" si="10"/>
        <v>276693</v>
      </c>
      <c r="S10" s="36">
        <f t="shared" si="10"/>
        <v>39305</v>
      </c>
      <c r="T10" s="36">
        <f t="shared" si="10"/>
        <v>48158</v>
      </c>
      <c r="U10" s="36">
        <f t="shared" si="10"/>
        <v>76024</v>
      </c>
      <c r="V10" s="36">
        <f>Q10*(1+V16)</f>
        <v>47752.200000000004</v>
      </c>
      <c r="W10" s="36">
        <f>SUM(S10:V10)</f>
        <v>211239.2</v>
      </c>
      <c r="X10" s="36">
        <f t="shared" ref="X10:AA10" si="11">S10*(1+X16)</f>
        <v>55027</v>
      </c>
      <c r="Y10" s="36">
        <f t="shared" si="11"/>
        <v>60197.5</v>
      </c>
      <c r="Z10" s="36">
        <f t="shared" si="11"/>
        <v>87427.599999999991</v>
      </c>
      <c r="AA10" s="36">
        <f t="shared" si="11"/>
        <v>54915.03</v>
      </c>
      <c r="AB10" s="36">
        <f>SUM(X10:AA10)</f>
        <v>257567.12999999998</v>
      </c>
      <c r="AC10" s="36">
        <f t="shared" ref="AC10" si="12">X10*(1+AC16)</f>
        <v>61905.375</v>
      </c>
      <c r="AD10" s="36">
        <f t="shared" ref="AD10" si="13">Y10*(1+AD16)</f>
        <v>67722.1875</v>
      </c>
      <c r="AE10" s="36">
        <f t="shared" ref="AE10" si="14">Z10*(1+AE16)</f>
        <v>98356.049999999988</v>
      </c>
      <c r="AF10" s="36">
        <f t="shared" ref="AF10" si="15">AA10*(1+AF16)</f>
        <v>61779.408750000002</v>
      </c>
      <c r="AG10" s="36">
        <f>SUM(AC10:AF10)</f>
        <v>289763.02124999999</v>
      </c>
      <c r="AH10" s="36">
        <f t="shared" ref="AH10" si="16">AC10*(1+AH16)</f>
        <v>68095.912500000006</v>
      </c>
      <c r="AI10" s="36">
        <f t="shared" ref="AI10" si="17">AD10*(1+AI16)</f>
        <v>74494.40625</v>
      </c>
      <c r="AJ10" s="36">
        <f t="shared" ref="AJ10" si="18">AE10*(1+AJ16)</f>
        <v>108191.655</v>
      </c>
      <c r="AK10" s="36">
        <f t="shared" ref="AK10" si="19">AF10*(1+AK16)</f>
        <v>67957.349625000003</v>
      </c>
      <c r="AL10" s="36">
        <f>SUM(AH10:AK10)</f>
        <v>318739.32337500004</v>
      </c>
      <c r="AM10" s="36">
        <f t="shared" ref="AM10" si="20">AH10*(1+AM16)</f>
        <v>73203.105937500004</v>
      </c>
      <c r="AN10" s="36">
        <f t="shared" ref="AN10" si="21">AI10*(1+AN16)</f>
        <v>80081.486718749991</v>
      </c>
      <c r="AO10" s="36">
        <f t="shared" ref="AO10" si="22">AJ10*(1+AO16)</f>
        <v>116306.029125</v>
      </c>
      <c r="AP10" s="36">
        <f t="shared" ref="AP10" si="23">AK10*(1+AP16)</f>
        <v>73054.150846874996</v>
      </c>
      <c r="AQ10" s="36">
        <f>SUM(AM10:AP10)</f>
        <v>342644.77262812498</v>
      </c>
      <c r="AR10" s="36">
        <f t="shared" ref="AR10" si="24">AM10*(1+AR16)</f>
        <v>76863.261234375008</v>
      </c>
      <c r="AS10" s="36">
        <f t="shared" ref="AS10" si="25">AN10*(1+AS16)</f>
        <v>84085.561054687496</v>
      </c>
      <c r="AT10" s="36">
        <f t="shared" ref="AT10" si="26">AO10*(1+AT16)</f>
        <v>122121.33058125</v>
      </c>
      <c r="AU10" s="36">
        <f t="shared" ref="AU10" si="27">AP10*(1+AU16)</f>
        <v>76706.858389218745</v>
      </c>
      <c r="AV10" s="36">
        <f>SUM(AR10:AU10)</f>
        <v>359777.01125953125</v>
      </c>
      <c r="AW10" s="36">
        <f t="shared" si="0"/>
        <v>79361.317224492188</v>
      </c>
      <c r="AX10" s="36">
        <f t="shared" ref="AX10" si="28">AS10*(1+AX16)</f>
        <v>86818.341788964841</v>
      </c>
      <c r="AY10" s="36">
        <f t="shared" ref="AY10" si="29">AT10*(1+AY16)</f>
        <v>126090.27382514063</v>
      </c>
      <c r="AZ10" s="36">
        <f t="shared" ref="AZ10" si="30">AU10*(1+AZ16)</f>
        <v>79199.831286868357</v>
      </c>
      <c r="BA10" s="36">
        <f>SUM(AW10:AZ10)</f>
        <v>371469.764125466</v>
      </c>
      <c r="BB10" s="36">
        <f t="shared" si="6"/>
        <v>80551.736982859569</v>
      </c>
      <c r="BC10" s="36">
        <f t="shared" si="7"/>
        <v>88120.616915799299</v>
      </c>
      <c r="BD10" s="36">
        <f t="shared" si="8"/>
        <v>127981.62793251772</v>
      </c>
      <c r="BE10" s="36">
        <f t="shared" si="9"/>
        <v>80387.828756171381</v>
      </c>
      <c r="BF10" s="36">
        <f>SUM(BB10:BE10)</f>
        <v>377041.81058734801</v>
      </c>
      <c r="BK10" s="36">
        <f>INDEX($I10:$BF10, MATCH(BK$2, $I$2:$BF$2, 0))</f>
        <v>276693</v>
      </c>
      <c r="BL10" s="36">
        <f t="shared" si="5"/>
        <v>211239.2</v>
      </c>
      <c r="BM10" s="36">
        <f t="shared" si="5"/>
        <v>257567.12999999998</v>
      </c>
      <c r="BN10" s="36">
        <f t="shared" si="5"/>
        <v>289763.02124999999</v>
      </c>
      <c r="BO10" s="36">
        <f t="shared" si="5"/>
        <v>318739.32337500004</v>
      </c>
      <c r="BP10" s="36">
        <f t="shared" si="5"/>
        <v>342644.77262812498</v>
      </c>
      <c r="BQ10" s="36">
        <f t="shared" si="5"/>
        <v>359777.01125953125</v>
      </c>
      <c r="BR10" s="36">
        <f t="shared" si="5"/>
        <v>371469.764125466</v>
      </c>
      <c r="BS10" s="36">
        <f t="shared" si="5"/>
        <v>377041.81058734801</v>
      </c>
    </row>
    <row r="11" spans="1:71">
      <c r="A11" s="9" t="s">
        <v>710</v>
      </c>
      <c r="B11" s="9"/>
      <c r="C11" s="9"/>
      <c r="D11" s="9"/>
      <c r="E11" s="9"/>
      <c r="F11" s="9"/>
      <c r="G11" s="9"/>
      <c r="H11" s="9"/>
      <c r="I11" s="67">
        <v>1479134</v>
      </c>
      <c r="J11" s="67">
        <v>1504370</v>
      </c>
      <c r="K11" s="67">
        <v>1597336</v>
      </c>
      <c r="L11" s="67">
        <v>1640694</v>
      </c>
      <c r="M11" s="39">
        <f>SUM(I11:L11)</f>
        <v>6221534</v>
      </c>
      <c r="N11" s="67">
        <v>1572030</v>
      </c>
      <c r="O11" s="67">
        <v>1610447</v>
      </c>
      <c r="P11" s="67">
        <v>1693296</v>
      </c>
      <c r="Q11" s="67">
        <v>1694666</v>
      </c>
      <c r="R11" s="39">
        <f>SUM(N11:Q11)</f>
        <v>6570439</v>
      </c>
      <c r="S11" s="67">
        <v>1557507</v>
      </c>
      <c r="T11" s="67">
        <v>1669553</v>
      </c>
      <c r="U11" s="67">
        <v>1774841</v>
      </c>
      <c r="V11" s="39">
        <f>SUM(V8:V10)</f>
        <v>1778387.04101731</v>
      </c>
      <c r="W11" s="39">
        <f>SUM(W8:W10)</f>
        <v>6780288.0410173098</v>
      </c>
      <c r="X11" s="39">
        <f t="shared" ref="X11:AA11" si="31">SUM(X8:X10)</f>
        <v>1655647.2724661399</v>
      </c>
      <c r="Y11" s="39">
        <f t="shared" si="31"/>
        <v>1736253.9004396112</v>
      </c>
      <c r="Z11" s="39">
        <f t="shared" si="31"/>
        <v>1851621.5187916318</v>
      </c>
      <c r="AA11" s="39">
        <f t="shared" si="31"/>
        <v>1837292.5322600233</v>
      </c>
      <c r="AB11" s="39">
        <f>SUM(AB8:AB10)</f>
        <v>7080815.2239574064</v>
      </c>
      <c r="AC11" s="39">
        <f t="shared" ref="AC11" si="32">SUM(AC8:AC10)</f>
        <v>1706169.1841075297</v>
      </c>
      <c r="AD11" s="39">
        <f t="shared" ref="AD11" si="33">SUM(AD8:AD10)</f>
        <v>1801370.8354204823</v>
      </c>
      <c r="AE11" s="39">
        <f t="shared" ref="AE11" si="34">SUM(AE8:AE10)</f>
        <v>1924431.7890453737</v>
      </c>
      <c r="AF11" s="39">
        <f t="shared" ref="AF11" si="35">SUM(AF8:AF10)</f>
        <v>1905787.9495431036</v>
      </c>
      <c r="AG11" s="39">
        <f>SUM(AG8:AG10)</f>
        <v>7337759.7581164902</v>
      </c>
      <c r="AH11" s="39">
        <f t="shared" ref="AH11" si="36">SUM(AH8:AH10)</f>
        <v>1780861.2959608359</v>
      </c>
      <c r="AI11" s="39">
        <f t="shared" ref="AI11" si="37">SUM(AI8:AI10)</f>
        <v>1875021.4271390461</v>
      </c>
      <c r="AJ11" s="39">
        <f t="shared" ref="AJ11" si="38">SUM(AJ8:AJ10)</f>
        <v>2000208.7083775694</v>
      </c>
      <c r="AK11" s="39">
        <f t="shared" ref="AK11" si="39">SUM(AK8:AK10)</f>
        <v>1975856.392252529</v>
      </c>
      <c r="AL11" s="39">
        <f>SUM(AL8:AL10)</f>
        <v>7631947.8237299798</v>
      </c>
      <c r="AM11" s="39">
        <f t="shared" ref="AM11" si="40">SUM(AM8:AM10)</f>
        <v>1851467.9419223713</v>
      </c>
      <c r="AN11" s="39">
        <f t="shared" ref="AN11" si="41">SUM(AN8:AN10)</f>
        <v>1949613.1378221335</v>
      </c>
      <c r="AO11" s="39">
        <f t="shared" ref="AO11" si="42">SUM(AO8:AO10)</f>
        <v>2073032.2749632634</v>
      </c>
      <c r="AP11" s="39">
        <f t="shared" ref="AP11" si="43">SUM(AP8:AP10)</f>
        <v>2045154.6695392686</v>
      </c>
      <c r="AQ11" s="39">
        <f>SUM(AQ8:AQ10)</f>
        <v>7919268.0242470354</v>
      </c>
      <c r="AR11" s="39">
        <f t="shared" ref="AR11" si="44">SUM(AR8:AR10)</f>
        <v>1915375.8662373039</v>
      </c>
      <c r="AS11" s="39">
        <f t="shared" ref="AS11" si="45">SUM(AS8:AS10)</f>
        <v>2017625.6710912399</v>
      </c>
      <c r="AT11" s="39">
        <f t="shared" ref="AT11" si="46">SUM(AT8:AT10)</f>
        <v>2145300.0897491239</v>
      </c>
      <c r="AU11" s="39">
        <f t="shared" ref="AU11" si="47">SUM(AU8:AU10)</f>
        <v>2116454.2220916264</v>
      </c>
      <c r="AV11" s="39">
        <f>SUM(AV8:AV10)</f>
        <v>8194755.8491692953</v>
      </c>
      <c r="AW11" s="39">
        <f t="shared" ref="AW11" si="48">SUM(AW8:AW10)</f>
        <v>1939945.981338369</v>
      </c>
      <c r="AX11" s="39">
        <f t="shared" ref="AX11" si="49">SUM(AX8:AX10)</f>
        <v>2043117.1344266783</v>
      </c>
      <c r="AY11" s="39">
        <f t="shared" ref="AY11" si="50">SUM(AY8:AY10)</f>
        <v>2170874.6876767916</v>
      </c>
      <c r="AZ11" s="39">
        <f t="shared" ref="AZ11" si="51">SUM(AZ8:AZ10)</f>
        <v>2137134.7052036007</v>
      </c>
      <c r="BA11" s="39">
        <f>SUM(BA8:BA10)</f>
        <v>8291072.5086454395</v>
      </c>
      <c r="BB11" s="39">
        <f t="shared" ref="BB11" si="52">SUM(BB8:BB10)</f>
        <v>1956018.8487989656</v>
      </c>
      <c r="BC11" s="39">
        <f t="shared" ref="BC11" si="53">SUM(BC8:BC10)</f>
        <v>2060153.7128086155</v>
      </c>
      <c r="BD11" s="39">
        <f t="shared" ref="BD11" si="54">SUM(BD8:BD10)</f>
        <v>2188835.4645341779</v>
      </c>
      <c r="BE11" s="39">
        <f t="shared" ref="BE11" si="55">SUM(BE8:BE10)</f>
        <v>2153419.5289675966</v>
      </c>
      <c r="BF11" s="39">
        <f>SUM(BF8:BF10)</f>
        <v>8358427.5551093556</v>
      </c>
      <c r="BK11" s="39">
        <f>INDEX($I11:$BF11, MATCH(BK$2, $I$2:$BF$2, 0))</f>
        <v>6570439</v>
      </c>
      <c r="BL11" s="39">
        <f t="shared" si="5"/>
        <v>6780288.0410173098</v>
      </c>
      <c r="BM11" s="39">
        <f t="shared" si="5"/>
        <v>7080815.2239574064</v>
      </c>
      <c r="BN11" s="39">
        <f t="shared" si="5"/>
        <v>7337759.7581164902</v>
      </c>
      <c r="BO11" s="39">
        <f t="shared" si="5"/>
        <v>7631947.8237299798</v>
      </c>
      <c r="BP11" s="39">
        <f t="shared" si="5"/>
        <v>7919268.0242470354</v>
      </c>
      <c r="BQ11" s="39">
        <f t="shared" si="5"/>
        <v>8194755.8491692953</v>
      </c>
      <c r="BR11" s="39">
        <f t="shared" si="5"/>
        <v>8291072.5086454395</v>
      </c>
      <c r="BS11" s="39">
        <f t="shared" si="5"/>
        <v>8358427.5551093556</v>
      </c>
    </row>
    <row r="13" spans="1:71">
      <c r="A13" s="1" t="s">
        <v>28</v>
      </c>
    </row>
    <row r="14" spans="1:71">
      <c r="A14" s="5" t="s">
        <v>707</v>
      </c>
      <c r="N14" s="16">
        <f t="shared" ref="N14:W15" si="56">N8/I8-1</f>
        <v>3.9805395842547053E-3</v>
      </c>
      <c r="O14" s="16">
        <f t="shared" si="56"/>
        <v>5.7688089493309835E-2</v>
      </c>
      <c r="P14" s="16">
        <f t="shared" si="56"/>
        <v>6.0223509933774899E-2</v>
      </c>
      <c r="Q14" s="16">
        <f t="shared" si="56"/>
        <v>3.2766350210970518E-2</v>
      </c>
      <c r="R14" s="16">
        <f t="shared" si="56"/>
        <v>3.8888010262357886E-2</v>
      </c>
      <c r="S14" s="16">
        <f t="shared" si="56"/>
        <v>4.9706314243759264E-2</v>
      </c>
      <c r="T14" s="16">
        <f t="shared" si="56"/>
        <v>3.9748375501175159E-2</v>
      </c>
      <c r="U14" s="16">
        <f t="shared" si="56"/>
        <v>2.6612011191359253E-2</v>
      </c>
      <c r="V14" s="16">
        <f t="shared" si="56"/>
        <v>2.3215633984398298E-2</v>
      </c>
      <c r="W14" s="16">
        <f t="shared" si="56"/>
        <v>3.4246835358010763E-2</v>
      </c>
      <c r="X14" s="16">
        <f t="shared" ref="X14:AG15" si="57">X8/S8-1</f>
        <v>1.9201202633604808E-2</v>
      </c>
      <c r="Y14" s="16">
        <f t="shared" si="57"/>
        <v>1.6903218974809509E-2</v>
      </c>
      <c r="Z14" s="16">
        <f t="shared" si="57"/>
        <v>1.7097352601072258E-2</v>
      </c>
      <c r="AA14" s="16">
        <f t="shared" si="57"/>
        <v>1.3087009530369897E-2</v>
      </c>
      <c r="AB14" s="16">
        <f t="shared" si="57"/>
        <v>1.6490240067541517E-2</v>
      </c>
      <c r="AC14" s="16">
        <f t="shared" si="57"/>
        <v>1.6781649718229152E-2</v>
      </c>
      <c r="AD14" s="16">
        <f t="shared" si="57"/>
        <v>1.813297926399926E-2</v>
      </c>
      <c r="AE14" s="16">
        <f t="shared" si="57"/>
        <v>1.7551382285489803E-2</v>
      </c>
      <c r="AF14" s="16">
        <f t="shared" si="57"/>
        <v>2.0281722372401889E-2</v>
      </c>
      <c r="AG14" s="16">
        <f t="shared" si="57"/>
        <v>1.8227391203842647E-2</v>
      </c>
      <c r="AH14" s="16">
        <f t="shared" ref="AH14:AQ15" si="58">AH8/AC8-1</f>
        <v>2.3457068555136296E-2</v>
      </c>
      <c r="AI14" s="16">
        <f t="shared" si="58"/>
        <v>2.2030461537505541E-2</v>
      </c>
      <c r="AJ14" s="16">
        <f t="shared" si="58"/>
        <v>2.3642488417928931E-2</v>
      </c>
      <c r="AK14" s="16">
        <f t="shared" si="58"/>
        <v>2.3825050634587397E-2</v>
      </c>
      <c r="AL14" s="16">
        <f t="shared" si="58"/>
        <v>2.3250205269215396E-2</v>
      </c>
      <c r="AM14" s="16">
        <f t="shared" si="58"/>
        <v>2.4408471902538142E-2</v>
      </c>
      <c r="AN14" s="16">
        <f t="shared" si="58"/>
        <v>2.5096890310155384E-2</v>
      </c>
      <c r="AO14" s="16">
        <f t="shared" si="58"/>
        <v>2.4361947388784611E-2</v>
      </c>
      <c r="AP14" s="16">
        <f t="shared" si="58"/>
        <v>2.6770094335375472E-2</v>
      </c>
      <c r="AQ14" s="16">
        <f t="shared" si="58"/>
        <v>2.5184261429903598E-2</v>
      </c>
      <c r="AR14" s="16">
        <f t="shared" ref="AR14:AV15" si="59">AR8/AM8-1</f>
        <v>2.5665211315600622E-2</v>
      </c>
      <c r="AS14" s="16">
        <f t="shared" si="59"/>
        <v>2.5701433743865021E-2</v>
      </c>
      <c r="AT14" s="16">
        <f t="shared" si="59"/>
        <v>2.6011791340738721E-2</v>
      </c>
      <c r="AU14" s="16">
        <f t="shared" si="59"/>
        <v>2.7780959367494473E-2</v>
      </c>
      <c r="AV14" s="16">
        <f t="shared" si="59"/>
        <v>2.631855861395449E-2</v>
      </c>
      <c r="AW14" s="209">
        <v>1E-3</v>
      </c>
      <c r="AX14" s="209">
        <v>1E-3</v>
      </c>
      <c r="AY14" s="209">
        <v>1E-3</v>
      </c>
      <c r="AZ14" s="209">
        <v>1E-3</v>
      </c>
      <c r="BA14" s="16">
        <f>BA8/AV8-1</f>
        <v>9.9999999999988987E-4</v>
      </c>
      <c r="BB14" s="209">
        <v>1E-3</v>
      </c>
      <c r="BC14" s="209">
        <v>1E-3</v>
      </c>
      <c r="BD14" s="209">
        <v>1E-3</v>
      </c>
      <c r="BE14" s="209">
        <v>1E-3</v>
      </c>
      <c r="BF14" s="16">
        <f>BF8/BA8-1</f>
        <v>9.9999999999988987E-4</v>
      </c>
    </row>
    <row r="15" spans="1:71">
      <c r="A15" s="5" t="s">
        <v>708</v>
      </c>
      <c r="N15" s="16">
        <f t="shared" si="56"/>
        <v>0.24870082662430337</v>
      </c>
      <c r="O15" s="16">
        <f t="shared" si="56"/>
        <v>4.4523812258116413E-2</v>
      </c>
      <c r="P15" s="16">
        <f t="shared" si="56"/>
        <v>0.59428917670226467</v>
      </c>
      <c r="Q15" s="16">
        <f t="shared" si="56"/>
        <v>0.2773976845669921</v>
      </c>
      <c r="R15" s="16">
        <f t="shared" si="56"/>
        <v>0.27243152796712145</v>
      </c>
      <c r="S15" s="16">
        <f t="shared" si="56"/>
        <v>-4.5810826837446528E-2</v>
      </c>
      <c r="T15" s="16">
        <f t="shared" si="56"/>
        <v>0.28960793368076176</v>
      </c>
      <c r="U15" s="16">
        <f t="shared" si="56"/>
        <v>0.1498380001330204</v>
      </c>
      <c r="V15" s="16">
        <f t="shared" si="56"/>
        <v>0.37689452314535421</v>
      </c>
      <c r="W15" s="16">
        <f t="shared" si="56"/>
        <v>0.19079584430681651</v>
      </c>
      <c r="X15" s="16">
        <f t="shared" si="57"/>
        <v>0.62107424759751173</v>
      </c>
      <c r="Y15" s="16">
        <f t="shared" si="57"/>
        <v>0.24926270326612365</v>
      </c>
      <c r="Z15" s="16">
        <f t="shared" si="57"/>
        <v>0.31731670639381226</v>
      </c>
      <c r="AA15" s="16">
        <f t="shared" si="57"/>
        <v>0.2407960522257151</v>
      </c>
      <c r="AB15" s="16">
        <f t="shared" si="57"/>
        <v>0.33738769051209694</v>
      </c>
      <c r="AC15" s="16">
        <f t="shared" si="57"/>
        <v>0.13375861514644605</v>
      </c>
      <c r="AD15" s="16">
        <f t="shared" si="57"/>
        <v>0.20376002068597154</v>
      </c>
      <c r="AE15" s="16">
        <f t="shared" si="57"/>
        <v>0.21149330519510667</v>
      </c>
      <c r="AF15" s="16">
        <f t="shared" si="57"/>
        <v>0.18101341221355827</v>
      </c>
      <c r="AG15" s="16">
        <f t="shared" si="57"/>
        <v>0.18333692061684848</v>
      </c>
      <c r="AH15" s="16">
        <f t="shared" si="58"/>
        <v>0.20747436399142294</v>
      </c>
      <c r="AI15" s="16">
        <f t="shared" si="58"/>
        <v>0.18465500957985115</v>
      </c>
      <c r="AJ15" s="16">
        <f t="shared" si="58"/>
        <v>0.14153161875062858</v>
      </c>
      <c r="AK15" s="16">
        <f t="shared" si="58"/>
        <v>0.13041527795107277</v>
      </c>
      <c r="AL15" s="16">
        <f t="shared" si="58"/>
        <v>0.16412139492279132</v>
      </c>
      <c r="AM15" s="16">
        <f t="shared" si="58"/>
        <v>0.14504368609131113</v>
      </c>
      <c r="AN15" s="16">
        <f t="shared" si="58"/>
        <v>0.13907514213611338</v>
      </c>
      <c r="AO15" s="16">
        <f t="shared" si="58"/>
        <v>0.10880038400927483</v>
      </c>
      <c r="AP15" s="16">
        <f t="shared" si="58"/>
        <v>8.8792174712004179E-2</v>
      </c>
      <c r="AQ15" s="16">
        <f t="shared" si="58"/>
        <v>0.11979756179817502</v>
      </c>
      <c r="AR15" s="16">
        <f t="shared" si="59"/>
        <v>9.062145742003147E-2</v>
      </c>
      <c r="AS15" s="16">
        <f t="shared" si="59"/>
        <v>9.2749025477354863E-2</v>
      </c>
      <c r="AT15" s="16">
        <f t="shared" si="59"/>
        <v>8.9641330109269779E-2</v>
      </c>
      <c r="AU15" s="16">
        <f t="shared" si="59"/>
        <v>8.3587124440388516E-2</v>
      </c>
      <c r="AV15" s="16">
        <f t="shared" si="59"/>
        <v>8.9177473735650992E-2</v>
      </c>
      <c r="AW15" s="16">
        <f>AW9/AR9-1</f>
        <v>8.3493818476104265E-2</v>
      </c>
      <c r="AX15" s="16">
        <f>AX9/AS9-1</f>
        <v>8.1066361811110266E-2</v>
      </c>
      <c r="AY15" s="16">
        <f>AY9/AT9-1</f>
        <v>7.4516550275961491E-2</v>
      </c>
      <c r="AZ15" s="16">
        <f>AZ9/AU9-1</f>
        <v>6.5668042664064341E-2</v>
      </c>
      <c r="BA15" s="16">
        <f>BA9/AV9-1</f>
        <v>7.6176936180767374E-2</v>
      </c>
      <c r="BB15" s="209">
        <v>0.05</v>
      </c>
      <c r="BC15" s="209">
        <v>0.05</v>
      </c>
      <c r="BD15" s="209">
        <v>0.05</v>
      </c>
      <c r="BE15" s="209">
        <v>0.05</v>
      </c>
      <c r="BF15" s="16">
        <f>BF9/BA9-1</f>
        <v>5.0000000000000044E-2</v>
      </c>
    </row>
    <row r="16" spans="1:71">
      <c r="A16" s="5" t="s">
        <v>711</v>
      </c>
      <c r="N16" s="16">
        <f t="shared" ref="N16:U17" si="60">N10/I10-1</f>
        <v>1.430350629973475</v>
      </c>
      <c r="O16" s="16">
        <f t="shared" si="60"/>
        <v>0.46982437037485125</v>
      </c>
      <c r="P16" s="16">
        <f t="shared" si="60"/>
        <v>-0.37410212797200226</v>
      </c>
      <c r="Q16" s="16">
        <f t="shared" si="60"/>
        <v>-0.30982810091510404</v>
      </c>
      <c r="R16" s="16">
        <f t="shared" si="60"/>
        <v>0.19873408398715897</v>
      </c>
      <c r="S16" s="16">
        <f t="shared" si="60"/>
        <v>-0.66485901141721881</v>
      </c>
      <c r="T16" s="16">
        <f t="shared" si="60"/>
        <v>-0.33933299493778557</v>
      </c>
      <c r="U16" s="16">
        <f t="shared" si="60"/>
        <v>0.48632426831414111</v>
      </c>
      <c r="V16" s="209">
        <v>0.35</v>
      </c>
      <c r="W16" s="16">
        <f>W10/R10-1</f>
        <v>-0.23655748428764001</v>
      </c>
      <c r="X16" s="209">
        <v>0.4</v>
      </c>
      <c r="Y16" s="209">
        <v>0.25</v>
      </c>
      <c r="Z16" s="209">
        <v>0.15</v>
      </c>
      <c r="AA16" s="209">
        <v>0.15</v>
      </c>
      <c r="AB16" s="16">
        <f>AB10/W10-1</f>
        <v>0.21931502296922134</v>
      </c>
      <c r="AC16" s="209">
        <v>0.125</v>
      </c>
      <c r="AD16" s="209">
        <v>0.125</v>
      </c>
      <c r="AE16" s="209">
        <v>0.125</v>
      </c>
      <c r="AF16" s="209">
        <v>0.125</v>
      </c>
      <c r="AG16" s="16">
        <f>AG10/AB10-1</f>
        <v>0.125</v>
      </c>
      <c r="AH16" s="209">
        <f>AC16-2.5%</f>
        <v>0.1</v>
      </c>
      <c r="AI16" s="209">
        <f>AD16-2.5%</f>
        <v>0.1</v>
      </c>
      <c r="AJ16" s="209">
        <f>AE16-2.5%</f>
        <v>0.1</v>
      </c>
      <c r="AK16" s="209">
        <f>AF16-2.5%</f>
        <v>0.1</v>
      </c>
      <c r="AL16" s="16">
        <f>AL10/AG10-1</f>
        <v>0.10000000000000009</v>
      </c>
      <c r="AM16" s="209">
        <f>AH16-2.5%</f>
        <v>7.5000000000000011E-2</v>
      </c>
      <c r="AN16" s="209">
        <f>AI16-2.5%</f>
        <v>7.5000000000000011E-2</v>
      </c>
      <c r="AO16" s="209">
        <f>AJ16-2.5%</f>
        <v>7.5000000000000011E-2</v>
      </c>
      <c r="AP16" s="209">
        <f>AK16-2.5%</f>
        <v>7.5000000000000011E-2</v>
      </c>
      <c r="AQ16" s="16">
        <f>AQ10/AL10-1</f>
        <v>7.4999999999999734E-2</v>
      </c>
      <c r="AR16" s="209">
        <f>AM16-2.5%</f>
        <v>5.000000000000001E-2</v>
      </c>
      <c r="AS16" s="209">
        <f>AN16-2.5%</f>
        <v>5.000000000000001E-2</v>
      </c>
      <c r="AT16" s="209">
        <f>AO16-2.5%</f>
        <v>5.000000000000001E-2</v>
      </c>
      <c r="AU16" s="209">
        <f>AP16-2.5%</f>
        <v>5.000000000000001E-2</v>
      </c>
      <c r="AV16" s="16">
        <f>AV10/AQ10-1</f>
        <v>5.0000000000000044E-2</v>
      </c>
      <c r="AW16" s="209">
        <f>AR16-1.75%</f>
        <v>3.2500000000000008E-2</v>
      </c>
      <c r="AX16" s="209">
        <f>AS16-1.75%</f>
        <v>3.2500000000000008E-2</v>
      </c>
      <c r="AY16" s="209">
        <f>AT16-1.75%</f>
        <v>3.2500000000000008E-2</v>
      </c>
      <c r="AZ16" s="209">
        <f>AU16-1.75%</f>
        <v>3.2500000000000008E-2</v>
      </c>
      <c r="BA16" s="16">
        <f>BA10/AV10-1</f>
        <v>3.2499999999999973E-2</v>
      </c>
      <c r="BB16" s="209">
        <f>AW16-1.75%</f>
        <v>1.5000000000000006E-2</v>
      </c>
      <c r="BC16" s="209">
        <f>AX16-1.75%</f>
        <v>1.5000000000000006E-2</v>
      </c>
      <c r="BD16" s="209">
        <f>AY16-1.75%</f>
        <v>1.5000000000000006E-2</v>
      </c>
      <c r="BE16" s="209">
        <f>AZ16-1.75%</f>
        <v>1.5000000000000006E-2</v>
      </c>
      <c r="BF16" s="16">
        <f>BF10/BA10-1</f>
        <v>1.5000000000000124E-2</v>
      </c>
    </row>
    <row r="17" spans="1:58">
      <c r="A17" s="9" t="s">
        <v>710</v>
      </c>
      <c r="B17" s="9"/>
      <c r="C17" s="9"/>
      <c r="D17" s="9"/>
      <c r="E17" s="9"/>
      <c r="F17" s="9"/>
      <c r="G17" s="9"/>
      <c r="H17" s="9"/>
      <c r="I17" s="9"/>
      <c r="J17" s="9"/>
      <c r="K17" s="9"/>
      <c r="L17" s="9"/>
      <c r="M17" s="9"/>
      <c r="N17" s="17">
        <f t="shared" si="60"/>
        <v>6.280431657983665E-2</v>
      </c>
      <c r="O17" s="17">
        <f t="shared" si="60"/>
        <v>7.0512573369583276E-2</v>
      </c>
      <c r="P17" s="17">
        <f t="shared" si="60"/>
        <v>6.0075024916485864E-2</v>
      </c>
      <c r="Q17" s="17">
        <f t="shared" si="60"/>
        <v>3.2895835542764207E-2</v>
      </c>
      <c r="R17" s="17">
        <f t="shared" si="60"/>
        <v>5.6080220730128527E-2</v>
      </c>
      <c r="S17" s="17">
        <f t="shared" si="60"/>
        <v>-9.2383733134864254E-3</v>
      </c>
      <c r="T17" s="17">
        <f t="shared" si="60"/>
        <v>3.6701611415960844E-2</v>
      </c>
      <c r="U17" s="17">
        <f t="shared" si="60"/>
        <v>4.8157557804423989E-2</v>
      </c>
      <c r="V17" s="17">
        <f>V11/Q11-1</f>
        <v>4.9402679358239387E-2</v>
      </c>
      <c r="W17" s="17">
        <f>W11/R11-1</f>
        <v>3.193835922033661E-2</v>
      </c>
      <c r="X17" s="17">
        <f>X11/S11-1</f>
        <v>6.3011127697108149E-2</v>
      </c>
      <c r="Y17" s="17">
        <f>Y11/T11-1</f>
        <v>3.9951352511487404E-2</v>
      </c>
      <c r="Z17" s="17">
        <f>Z11/U11-1</f>
        <v>4.3260505471550248E-2</v>
      </c>
      <c r="AA17" s="17">
        <f>AA11/V11-1</f>
        <v>3.3122987226119838E-2</v>
      </c>
      <c r="AB17" s="17">
        <f>AB11/W11-1</f>
        <v>4.4323660163411827E-2</v>
      </c>
      <c r="AC17" s="17">
        <f>AC11/X11-1</f>
        <v>3.0514900414830404E-2</v>
      </c>
      <c r="AD17" s="17">
        <f>AD11/Y11-1</f>
        <v>3.7504269948297253E-2</v>
      </c>
      <c r="AE17" s="17">
        <f>AE11/Z11-1</f>
        <v>3.932243685591752E-2</v>
      </c>
      <c r="AF17" s="17">
        <f>AF11/AA11-1</f>
        <v>3.7280626835632491E-2</v>
      </c>
      <c r="AG17" s="17">
        <f>AG11/AB11-1</f>
        <v>3.6287422568199723E-2</v>
      </c>
      <c r="AH17" s="17">
        <f>AH11/AC11-1</f>
        <v>4.3777670203542174E-2</v>
      </c>
      <c r="AI17" s="17">
        <f>AI11/AD11-1</f>
        <v>4.0885857742540832E-2</v>
      </c>
      <c r="AJ17" s="17">
        <f>AJ11/AE11-1</f>
        <v>3.9376256286945521E-2</v>
      </c>
      <c r="AK17" s="17">
        <f>AK11/AF11-1</f>
        <v>3.6766127483502942E-2</v>
      </c>
      <c r="AL17" s="17">
        <f>AL11/AG11-1</f>
        <v>4.0092354521157558E-2</v>
      </c>
      <c r="AM17" s="17">
        <f>AM11/AH11-1</f>
        <v>3.9647470648993322E-2</v>
      </c>
      <c r="AN17" s="17">
        <f>AN11/AI11-1</f>
        <v>3.9781791078996376E-2</v>
      </c>
      <c r="AO17" s="17">
        <f>AO11/AJ11-1</f>
        <v>3.6407983967214896E-2</v>
      </c>
      <c r="AP17" s="17">
        <f>AP11/AK11-1</f>
        <v>3.5072527314466306E-2</v>
      </c>
      <c r="AQ17" s="17">
        <f>AQ11/AL11-1</f>
        <v>3.7647034171760518E-2</v>
      </c>
      <c r="AR17" s="17">
        <f>AR11/AM11-1</f>
        <v>3.4517434986520712E-2</v>
      </c>
      <c r="AS17" s="17">
        <f>AS11/AN11-1</f>
        <v>3.4885143082838299E-2</v>
      </c>
      <c r="AT17" s="17">
        <f>AT11/AO11-1</f>
        <v>3.4860921201596451E-2</v>
      </c>
      <c r="AU17" s="17">
        <f>AU11/AP11-1</f>
        <v>3.4862670102315585E-2</v>
      </c>
      <c r="AV17" s="17">
        <f>AV11/AQ11-1</f>
        <v>3.4787031336580343E-2</v>
      </c>
      <c r="AW17" s="17">
        <f>AW11/AR11-1</f>
        <v>1.2827829531616874E-2</v>
      </c>
      <c r="AX17" s="17">
        <f>AX11/AS11-1</f>
        <v>1.2634386893804361E-2</v>
      </c>
      <c r="AY17" s="17">
        <f>AY11/AT11-1</f>
        <v>1.192122167424059E-2</v>
      </c>
      <c r="AZ17" s="17">
        <f>AZ11/AU11-1</f>
        <v>9.771287701907605E-3</v>
      </c>
      <c r="BA17" s="17">
        <f>BA11/AV11-1</f>
        <v>1.1753450773754004E-2</v>
      </c>
      <c r="BB17" s="17">
        <f>BB11/AW11-1</f>
        <v>8.285213926167101E-3</v>
      </c>
      <c r="BC17" s="17">
        <f>BC11/AX11-1</f>
        <v>8.3385225912258054E-3</v>
      </c>
      <c r="BD17" s="17">
        <f>BD11/AY11-1</f>
        <v>8.2735207883453121E-3</v>
      </c>
      <c r="BE17" s="17">
        <f>BE11/AZ11-1</f>
        <v>7.6199332331952085E-3</v>
      </c>
      <c r="BF17" s="17">
        <f>BF11/BA11-1</f>
        <v>8.1238038135214019E-3</v>
      </c>
    </row>
    <row r="19" spans="1:58">
      <c r="A19" s="1" t="s">
        <v>1917</v>
      </c>
    </row>
    <row r="20" spans="1:58">
      <c r="A20" s="5" t="s">
        <v>707</v>
      </c>
      <c r="N20" s="114">
        <f>N8/N$11</f>
        <v>0.86639567947176577</v>
      </c>
      <c r="O20" s="114">
        <f t="shared" ref="O20:R20" si="61">O8/O$11</f>
        <v>0.89825992410802713</v>
      </c>
      <c r="P20" s="114">
        <f t="shared" si="61"/>
        <v>0.90763812115542708</v>
      </c>
      <c r="Q20" s="114">
        <f t="shared" si="61"/>
        <v>0.92437093799014081</v>
      </c>
      <c r="R20" s="114">
        <f t="shared" si="61"/>
        <v>0.89978767019981465</v>
      </c>
      <c r="S20" s="114">
        <f>S8/S$11</f>
        <v>0.91794129978228023</v>
      </c>
      <c r="T20" s="114">
        <f t="shared" ref="T20:W20" si="62">T8/T$11</f>
        <v>0.90089982168879934</v>
      </c>
      <c r="U20" s="114">
        <f t="shared" si="62"/>
        <v>0.88898104111861287</v>
      </c>
      <c r="V20" s="114">
        <f t="shared" si="62"/>
        <v>0.90130396458560247</v>
      </c>
      <c r="W20" s="114">
        <f t="shared" si="62"/>
        <v>0.9018005214007323</v>
      </c>
      <c r="X20" s="114">
        <f>X8/X$11</f>
        <v>0.8801101440132173</v>
      </c>
      <c r="Y20" s="114">
        <f t="shared" ref="Y20:AB20" si="63">Y8/Y$11</f>
        <v>0.88093344600852619</v>
      </c>
      <c r="Z20" s="114">
        <f t="shared" si="63"/>
        <v>0.86668694797911439</v>
      </c>
      <c r="AA20" s="114">
        <f t="shared" si="63"/>
        <v>0.88382443276334166</v>
      </c>
      <c r="AB20" s="114">
        <f t="shared" si="63"/>
        <v>0.8777656424524819</v>
      </c>
      <c r="AC20" s="114">
        <f>AC8/AC$11</f>
        <v>0.86838127600413773</v>
      </c>
      <c r="AD20" s="114">
        <f t="shared" ref="AD20:AG20" si="64">AD8/AD$11</f>
        <v>0.86448549649116957</v>
      </c>
      <c r="AE20" s="114">
        <f t="shared" si="64"/>
        <v>0.84853215003497418</v>
      </c>
      <c r="AF20" s="114">
        <f t="shared" si="64"/>
        <v>0.86934036094504696</v>
      </c>
      <c r="AG20" s="114">
        <f t="shared" si="64"/>
        <v>0.86246826965029133</v>
      </c>
      <c r="AH20" s="114">
        <f>AH8/AH$11</f>
        <v>0.85147534814962289</v>
      </c>
      <c r="AI20" s="114">
        <f t="shared" ref="AI20:AL20" si="65">AI8/AI$11</f>
        <v>0.84882555027458884</v>
      </c>
      <c r="AJ20" s="114">
        <f t="shared" si="65"/>
        <v>0.83568732334464613</v>
      </c>
      <c r="AK20" s="114">
        <f t="shared" si="65"/>
        <v>0.85848911868256972</v>
      </c>
      <c r="AL20" s="114">
        <f t="shared" si="65"/>
        <v>0.84850237589155697</v>
      </c>
      <c r="AM20" s="114">
        <f>AM8/AM$11</f>
        <v>0.83899454852339039</v>
      </c>
      <c r="AN20" s="114">
        <f t="shared" ref="AN20:AQ20" si="66">AN8/AN$11</f>
        <v>0.83683753597891231</v>
      </c>
      <c r="AO20" s="114">
        <f t="shared" si="66"/>
        <v>0.82597423716539242</v>
      </c>
      <c r="AP20" s="114">
        <f t="shared" si="66"/>
        <v>0.8516030810542371</v>
      </c>
      <c r="AQ20" s="114">
        <f t="shared" si="66"/>
        <v>0.83831134567278631</v>
      </c>
      <c r="AR20" s="114">
        <f>AR8/AR$11</f>
        <v>0.83181538735023108</v>
      </c>
      <c r="AS20" s="114">
        <f t="shared" ref="AS20:AV20" si="67">AS8/AS$11</f>
        <v>0.82941132762551073</v>
      </c>
      <c r="AT20" s="114">
        <f t="shared" si="67"/>
        <v>0.81891130422758984</v>
      </c>
      <c r="AU20" s="114">
        <f t="shared" si="67"/>
        <v>0.84577544145031525</v>
      </c>
      <c r="AV20" s="114">
        <f t="shared" si="67"/>
        <v>0.83145078736570344</v>
      </c>
      <c r="AW20" s="114">
        <f>AW8/AW$11</f>
        <v>0.8221014257898499</v>
      </c>
      <c r="AX20" s="114">
        <f t="shared" ref="AX20:BA20" si="68">AX8/AX$11</f>
        <v>0.81988203215165367</v>
      </c>
      <c r="AY20" s="114">
        <f t="shared" si="68"/>
        <v>0.81007315389192047</v>
      </c>
      <c r="AZ20" s="114">
        <f t="shared" si="68"/>
        <v>0.83842868895445832</v>
      </c>
      <c r="BA20" s="114">
        <f t="shared" si="68"/>
        <v>0.82261368865761553</v>
      </c>
      <c r="BB20" s="114">
        <f>BB8/BB$11</f>
        <v>0.81616145496297954</v>
      </c>
      <c r="BC20" s="114">
        <f t="shared" ref="BC20:BF20" si="69">BC8/BC$11</f>
        <v>0.81391506502674082</v>
      </c>
      <c r="BD20" s="114">
        <f t="shared" si="69"/>
        <v>0.80422941823544258</v>
      </c>
      <c r="BE20" s="114">
        <f t="shared" si="69"/>
        <v>0.83292032041329178</v>
      </c>
      <c r="BF20" s="114">
        <f t="shared" si="69"/>
        <v>0.81680077311078836</v>
      </c>
    </row>
    <row r="21" spans="1:58">
      <c r="A21" s="5" t="s">
        <v>708</v>
      </c>
      <c r="N21" s="114">
        <f>N9/N$11</f>
        <v>5.9000782427816263E-2</v>
      </c>
      <c r="O21" s="114">
        <f t="shared" ref="O21:R21" si="70">O9/O$11</f>
        <v>5.6477487306319303E-2</v>
      </c>
      <c r="P21" s="114">
        <f t="shared" si="70"/>
        <v>6.2155110506373366E-2</v>
      </c>
      <c r="Q21" s="114">
        <f t="shared" si="70"/>
        <v>5.4756512492727179E-2</v>
      </c>
      <c r="R21" s="114">
        <f t="shared" si="70"/>
        <v>5.8100531790950344E-2</v>
      </c>
      <c r="S21" s="114">
        <f>S9/S$11</f>
        <v>5.6822858581052925E-2</v>
      </c>
      <c r="T21" s="114">
        <f t="shared" ref="T21:W21" si="71">T9/T$11</f>
        <v>7.0255331816360428E-2</v>
      </c>
      <c r="U21" s="114">
        <f t="shared" si="71"/>
        <v>6.8184699361801993E-2</v>
      </c>
      <c r="V21" s="114">
        <f t="shared" si="71"/>
        <v>7.184462517656548E-2</v>
      </c>
      <c r="W21" s="114">
        <f t="shared" si="71"/>
        <v>6.7044577992964566E-2</v>
      </c>
      <c r="X21" s="114">
        <f>X9/X$11</f>
        <v>8.6653912005770606E-2</v>
      </c>
      <c r="Y21" s="114">
        <f t="shared" ref="Y21:AB21" si="72">Y9/Y$11</f>
        <v>8.4395645557656468E-2</v>
      </c>
      <c r="Z21" s="114">
        <f t="shared" si="72"/>
        <v>8.6096275205148828E-2</v>
      </c>
      <c r="AA21" s="114">
        <f t="shared" si="72"/>
        <v>8.6286461916859444E-2</v>
      </c>
      <c r="AB21" s="114">
        <f t="shared" si="72"/>
        <v>8.5859007837990248E-2</v>
      </c>
      <c r="AC21" s="114">
        <f>AC9/AC$11</f>
        <v>9.5335466991439355E-2</v>
      </c>
      <c r="AD21" s="114">
        <f t="shared" ref="AD21:AG21" si="73">AD9/AD$11</f>
        <v>9.7919697282164611E-2</v>
      </c>
      <c r="AE21" s="114">
        <f t="shared" si="73"/>
        <v>0.1003587119015821</v>
      </c>
      <c r="AF21" s="114">
        <f t="shared" si="73"/>
        <v>9.8242911493625504E-2</v>
      </c>
      <c r="AG21" s="114">
        <f t="shared" si="73"/>
        <v>9.8042426965322713E-2</v>
      </c>
      <c r="AH21" s="114">
        <f>AH9/AH$11</f>
        <v>0.11028702343178645</v>
      </c>
      <c r="AI21" s="114">
        <f t="shared" ref="AI21:AL21" si="74">AI9/AI$11</f>
        <v>0.11144455375101393</v>
      </c>
      <c r="AJ21" s="114">
        <f t="shared" si="74"/>
        <v>0.11022249369251814</v>
      </c>
      <c r="AK21" s="114">
        <f t="shared" si="74"/>
        <v>0.10711701044125445</v>
      </c>
      <c r="AL21" s="114">
        <f t="shared" si="74"/>
        <v>0.10973380041143804</v>
      </c>
      <c r="AM21" s="114">
        <f>AM9/AM$11</f>
        <v>0.12146757761988293</v>
      </c>
      <c r="AN21" s="114">
        <f t="shared" ref="AN21:AQ21" si="75">AN9/AN$11</f>
        <v>0.12208688591526556</v>
      </c>
      <c r="AO21" s="114">
        <f t="shared" si="75"/>
        <v>0.11792146068279429</v>
      </c>
      <c r="AP21" s="114">
        <f t="shared" si="75"/>
        <v>0.112676319455196</v>
      </c>
      <c r="AQ21" s="114">
        <f t="shared" si="75"/>
        <v>0.11842142665174889</v>
      </c>
      <c r="AR21" s="114">
        <f>AR9/AR$11</f>
        <v>0.12805501584881807</v>
      </c>
      <c r="AS21" s="114">
        <f t="shared" ref="AS21:AV21" si="76">AS9/AS$11</f>
        <v>0.12891317118540613</v>
      </c>
      <c r="AT21" s="114">
        <f t="shared" si="76"/>
        <v>0.12416363845069475</v>
      </c>
      <c r="AU21" s="114">
        <f t="shared" si="76"/>
        <v>0.11798146026362231</v>
      </c>
      <c r="AV21" s="114">
        <f t="shared" si="76"/>
        <v>0.12464588984085384</v>
      </c>
      <c r="AW21" s="114">
        <f>AW9/AW$11</f>
        <v>0.13698953963500149</v>
      </c>
      <c r="AX21" s="114">
        <f t="shared" ref="AX21:BA21" si="77">AX9/AX$11</f>
        <v>0.13762488689568375</v>
      </c>
      <c r="AY21" s="114">
        <f t="shared" si="77"/>
        <v>0.13184414122377378</v>
      </c>
      <c r="AZ21" s="114">
        <f t="shared" si="77"/>
        <v>0.124512425101652</v>
      </c>
      <c r="BA21" s="114">
        <f t="shared" si="77"/>
        <v>0.13258272727794415</v>
      </c>
      <c r="BB21" s="114">
        <f>BB9/BB$11</f>
        <v>0.14265707225503788</v>
      </c>
      <c r="BC21" s="114">
        <f t="shared" ref="BC21:BF21" si="78">BC9/BC$11</f>
        <v>0.14331112816072566</v>
      </c>
      <c r="BD21" s="114">
        <f t="shared" si="78"/>
        <v>0.13730039064868266</v>
      </c>
      <c r="BE21" s="114">
        <f t="shared" si="78"/>
        <v>0.12974936485945607</v>
      </c>
      <c r="BF21" s="114">
        <f t="shared" si="78"/>
        <v>0.13809004718987095</v>
      </c>
    </row>
    <row r="22" spans="1:58">
      <c r="A22" s="5" t="s">
        <v>711</v>
      </c>
      <c r="N22" s="114">
        <f>N10/N$11</f>
        <v>7.4603538100417935E-2</v>
      </c>
      <c r="O22" s="114">
        <f t="shared" ref="O22:R22" si="79">O10/O$11</f>
        <v>4.5262588585653546E-2</v>
      </c>
      <c r="P22" s="114">
        <f t="shared" si="79"/>
        <v>3.0206768338199581E-2</v>
      </c>
      <c r="Q22" s="114">
        <f t="shared" si="79"/>
        <v>2.0872549517131991E-2</v>
      </c>
      <c r="R22" s="114">
        <f t="shared" si="79"/>
        <v>4.2111798009235001E-2</v>
      </c>
      <c r="S22" s="114">
        <f>S10/S$11</f>
        <v>2.5235841636666801E-2</v>
      </c>
      <c r="T22" s="114">
        <f t="shared" ref="T22:W22" si="80">T10/T$11</f>
        <v>2.8844846494840235E-2</v>
      </c>
      <c r="U22" s="114">
        <f t="shared" si="80"/>
        <v>4.2834259519585131E-2</v>
      </c>
      <c r="V22" s="114">
        <f t="shared" si="80"/>
        <v>2.6851410237832028E-2</v>
      </c>
      <c r="W22" s="114">
        <f t="shared" si="80"/>
        <v>3.1154900606303125E-2</v>
      </c>
      <c r="X22" s="114">
        <f>X10/X$11</f>
        <v>3.3235943981012039E-2</v>
      </c>
      <c r="Y22" s="114">
        <f t="shared" ref="Y22:AB22" si="81">Y10/Y$11</f>
        <v>3.4670908433817357E-2</v>
      </c>
      <c r="Z22" s="114">
        <f t="shared" si="81"/>
        <v>4.7216776815736751E-2</v>
      </c>
      <c r="AA22" s="114">
        <f t="shared" si="81"/>
        <v>2.9889105319798978E-2</v>
      </c>
      <c r="AB22" s="114">
        <f t="shared" si="81"/>
        <v>3.6375349709527931E-2</v>
      </c>
      <c r="AC22" s="114">
        <f>AC10/AC$11</f>
        <v>3.6283257004422885E-2</v>
      </c>
      <c r="AD22" s="114">
        <f t="shared" ref="AD22:AG22" si="82">AD10/AD$11</f>
        <v>3.7594806226665729E-2</v>
      </c>
      <c r="AE22" s="114">
        <f t="shared" si="82"/>
        <v>5.1109138063443714E-2</v>
      </c>
      <c r="AF22" s="114">
        <f t="shared" si="82"/>
        <v>3.2416727561327636E-2</v>
      </c>
      <c r="AG22" s="114">
        <f t="shared" si="82"/>
        <v>3.9489303384385874E-2</v>
      </c>
      <c r="AH22" s="114">
        <f>AH10/AH$11</f>
        <v>3.8237628418590526E-2</v>
      </c>
      <c r="AI22" s="114">
        <f t="shared" ref="AI22:AL22" si="83">AI10/AI$11</f>
        <v>3.9729895974397154E-2</v>
      </c>
      <c r="AJ22" s="114">
        <f t="shared" si="83"/>
        <v>5.4090182962835694E-2</v>
      </c>
      <c r="AK22" s="114">
        <f t="shared" si="83"/>
        <v>3.4393870876175778E-2</v>
      </c>
      <c r="AL22" s="114">
        <f t="shared" si="83"/>
        <v>4.1763823697005022E-2</v>
      </c>
      <c r="AM22" s="114">
        <f>AM10/AM$11</f>
        <v>3.9537873856726642E-2</v>
      </c>
      <c r="AN22" s="114">
        <f t="shared" ref="AN22:AQ22" si="84">AN10/AN$11</f>
        <v>4.1075578105822123E-2</v>
      </c>
      <c r="AO22" s="114">
        <f t="shared" si="84"/>
        <v>5.6104302151813376E-2</v>
      </c>
      <c r="AP22" s="114">
        <f t="shared" si="84"/>
        <v>3.572059949056694E-2</v>
      </c>
      <c r="AQ22" s="114">
        <f t="shared" si="84"/>
        <v>4.3267227675464828E-2</v>
      </c>
      <c r="AR22" s="114">
        <f>AR10/AR$11</f>
        <v>4.0129596800950865E-2</v>
      </c>
      <c r="AS22" s="114">
        <f t="shared" ref="AS22:AV22" si="85">AS10/AS$11</f>
        <v>4.1675501189083072E-2</v>
      </c>
      <c r="AT22" s="114">
        <f t="shared" si="85"/>
        <v>5.6925057321715371E-2</v>
      </c>
      <c r="AU22" s="114">
        <f t="shared" si="85"/>
        <v>3.6243098286062488E-2</v>
      </c>
      <c r="AV22" s="114">
        <f t="shared" si="85"/>
        <v>4.3903322793442584E-2</v>
      </c>
      <c r="AW22" s="114">
        <f>AW10/AW$11</f>
        <v>4.0909034575148738E-2</v>
      </c>
      <c r="AX22" s="114">
        <f t="shared" ref="AX22:BA22" si="86">AX10/AX$11</f>
        <v>4.2493080952662583E-2</v>
      </c>
      <c r="AY22" s="114">
        <f t="shared" si="86"/>
        <v>5.8082704884305808E-2</v>
      </c>
      <c r="AZ22" s="114">
        <f t="shared" si="86"/>
        <v>3.7058885943889598E-2</v>
      </c>
      <c r="BA22" s="114">
        <f t="shared" si="86"/>
        <v>4.4803584064440315E-2</v>
      </c>
      <c r="BB22" s="114">
        <f>BB10/BB$11</f>
        <v>4.1181472781982614E-2</v>
      </c>
      <c r="BC22" s="114">
        <f t="shared" ref="BC22:BF22" si="87">BC10/BC$11</f>
        <v>4.2773806812533476E-2</v>
      </c>
      <c r="BD22" s="114">
        <f t="shared" si="87"/>
        <v>5.8470191115874683E-2</v>
      </c>
      <c r="BE22" s="114">
        <f t="shared" si="87"/>
        <v>3.7330314727252116E-2</v>
      </c>
      <c r="BF22" s="114">
        <f t="shared" si="87"/>
        <v>4.5109179699340599E-2</v>
      </c>
    </row>
    <row r="23" spans="1:58">
      <c r="A23" s="9" t="s">
        <v>710</v>
      </c>
      <c r="B23" s="9"/>
      <c r="C23" s="9"/>
      <c r="D23" s="9"/>
      <c r="E23" s="9"/>
      <c r="F23" s="9"/>
      <c r="G23" s="9"/>
      <c r="H23" s="9"/>
      <c r="I23" s="9"/>
      <c r="J23" s="9"/>
      <c r="K23" s="9"/>
      <c r="L23" s="9"/>
      <c r="M23" s="9"/>
      <c r="N23" s="435">
        <f>N11/N$11</f>
        <v>1</v>
      </c>
      <c r="O23" s="435">
        <f t="shared" ref="O23:R23" si="88">O11/O$11</f>
        <v>1</v>
      </c>
      <c r="P23" s="435">
        <f t="shared" si="88"/>
        <v>1</v>
      </c>
      <c r="Q23" s="435">
        <f t="shared" si="88"/>
        <v>1</v>
      </c>
      <c r="R23" s="435">
        <f t="shared" si="88"/>
        <v>1</v>
      </c>
      <c r="S23" s="435">
        <f>S11/S$11</f>
        <v>1</v>
      </c>
      <c r="T23" s="435">
        <f t="shared" ref="T23:W23" si="89">T11/T$11</f>
        <v>1</v>
      </c>
      <c r="U23" s="435">
        <f t="shared" si="89"/>
        <v>1</v>
      </c>
      <c r="V23" s="435">
        <f t="shared" si="89"/>
        <v>1</v>
      </c>
      <c r="W23" s="435">
        <f t="shared" si="89"/>
        <v>1</v>
      </c>
      <c r="X23" s="435">
        <f>X11/X$11</f>
        <v>1</v>
      </c>
      <c r="Y23" s="435">
        <f t="shared" ref="Y23:AB23" si="90">Y11/Y$11</f>
        <v>1</v>
      </c>
      <c r="Z23" s="435">
        <f t="shared" si="90"/>
        <v>1</v>
      </c>
      <c r="AA23" s="435">
        <f t="shared" si="90"/>
        <v>1</v>
      </c>
      <c r="AB23" s="435">
        <f t="shared" si="90"/>
        <v>1</v>
      </c>
      <c r="AC23" s="435">
        <f>AC11/AC$11</f>
        <v>1</v>
      </c>
      <c r="AD23" s="435">
        <f t="shared" ref="AD23:AG23" si="91">AD11/AD$11</f>
        <v>1</v>
      </c>
      <c r="AE23" s="435">
        <f t="shared" si="91"/>
        <v>1</v>
      </c>
      <c r="AF23" s="435">
        <f t="shared" si="91"/>
        <v>1</v>
      </c>
      <c r="AG23" s="435">
        <f t="shared" si="91"/>
        <v>1</v>
      </c>
      <c r="AH23" s="435">
        <f>AH11/AH$11</f>
        <v>1</v>
      </c>
      <c r="AI23" s="435">
        <f t="shared" ref="AI23:AL23" si="92">AI11/AI$11</f>
        <v>1</v>
      </c>
      <c r="AJ23" s="435">
        <f t="shared" si="92"/>
        <v>1</v>
      </c>
      <c r="AK23" s="435">
        <f t="shared" si="92"/>
        <v>1</v>
      </c>
      <c r="AL23" s="435">
        <f t="shared" si="92"/>
        <v>1</v>
      </c>
      <c r="AM23" s="435">
        <f>AM11/AM$11</f>
        <v>1</v>
      </c>
      <c r="AN23" s="435">
        <f t="shared" ref="AN23:AQ23" si="93">AN11/AN$11</f>
        <v>1</v>
      </c>
      <c r="AO23" s="435">
        <f t="shared" si="93"/>
        <v>1</v>
      </c>
      <c r="AP23" s="435">
        <f t="shared" si="93"/>
        <v>1</v>
      </c>
      <c r="AQ23" s="435">
        <f t="shared" si="93"/>
        <v>1</v>
      </c>
      <c r="AR23" s="435">
        <f>AR11/AR$11</f>
        <v>1</v>
      </c>
      <c r="AS23" s="435">
        <f t="shared" ref="AS23:AV23" si="94">AS11/AS$11</f>
        <v>1</v>
      </c>
      <c r="AT23" s="435">
        <f t="shared" si="94"/>
        <v>1</v>
      </c>
      <c r="AU23" s="435">
        <f t="shared" si="94"/>
        <v>1</v>
      </c>
      <c r="AV23" s="435">
        <f t="shared" si="94"/>
        <v>1</v>
      </c>
      <c r="AW23" s="435">
        <f>AW11/AW$11</f>
        <v>1</v>
      </c>
      <c r="AX23" s="435">
        <f t="shared" ref="AX23:BA23" si="95">AX11/AX$11</f>
        <v>1</v>
      </c>
      <c r="AY23" s="435">
        <f t="shared" si="95"/>
        <v>1</v>
      </c>
      <c r="AZ23" s="435">
        <f t="shared" si="95"/>
        <v>1</v>
      </c>
      <c r="BA23" s="435">
        <f t="shared" si="95"/>
        <v>1</v>
      </c>
      <c r="BB23" s="435">
        <f>BB11/BB$11</f>
        <v>1</v>
      </c>
      <c r="BC23" s="435">
        <f t="shared" ref="BC23:BF23" si="96">BC11/BC$11</f>
        <v>1</v>
      </c>
      <c r="BD23" s="435">
        <f t="shared" si="96"/>
        <v>1</v>
      </c>
      <c r="BE23" s="435">
        <f t="shared" si="96"/>
        <v>1</v>
      </c>
      <c r="BF23" s="435">
        <f t="shared" si="96"/>
        <v>1</v>
      </c>
    </row>
    <row r="25" spans="1:58">
      <c r="A25" s="3" t="s">
        <v>1924</v>
      </c>
    </row>
    <row r="26" spans="1:58">
      <c r="R26" s="179"/>
      <c r="S26" s="179"/>
      <c r="T26" s="179"/>
      <c r="U26" s="440" t="s">
        <v>1929</v>
      </c>
    </row>
    <row r="27" spans="1:58">
      <c r="A27" s="5" t="s">
        <v>707</v>
      </c>
      <c r="I27" s="36">
        <f t="shared" ref="I27:AJ27" si="97">I34-I8</f>
        <v>-654414.00000000012</v>
      </c>
      <c r="J27" s="36">
        <f t="shared" si="97"/>
        <v>-668445.99999999988</v>
      </c>
      <c r="K27" s="36">
        <f t="shared" si="97"/>
        <v>-743396</v>
      </c>
      <c r="L27" s="36">
        <f t="shared" si="97"/>
        <v>-822860.00000000012</v>
      </c>
      <c r="M27" s="36">
        <f t="shared" si="97"/>
        <v>-2889116</v>
      </c>
      <c r="N27" s="36">
        <f t="shared" si="97"/>
        <v>-676619</v>
      </c>
      <c r="O27" s="36">
        <f t="shared" si="97"/>
        <v>-754889.00000000012</v>
      </c>
      <c r="P27" s="36">
        <f t="shared" si="97"/>
        <v>-830496.99999999988</v>
      </c>
      <c r="Q27" s="36">
        <f t="shared" si="97"/>
        <v>-932079.99999999988</v>
      </c>
      <c r="R27" s="36">
        <f t="shared" si="97"/>
        <v>-3194085</v>
      </c>
      <c r="S27" s="36">
        <f t="shared" si="97"/>
        <v>-713739</v>
      </c>
      <c r="T27" s="36">
        <f t="shared" si="97"/>
        <v>-752772</v>
      </c>
      <c r="U27" s="36">
        <f t="shared" si="97"/>
        <v>-826121.00000000012</v>
      </c>
      <c r="V27" s="36">
        <f t="shared" si="97"/>
        <v>-933682.98699122097</v>
      </c>
      <c r="W27" s="36">
        <f t="shared" si="97"/>
        <v>-3226314.9869912211</v>
      </c>
      <c r="X27" s="36">
        <f t="shared" si="97"/>
        <v>-712872.12757245381</v>
      </c>
      <c r="Y27" s="36">
        <f t="shared" si="97"/>
        <v>-761672.45962495531</v>
      </c>
      <c r="Z27" s="36">
        <f t="shared" si="97"/>
        <v>-832221.60101348069</v>
      </c>
      <c r="AA27" s="36">
        <f t="shared" si="97"/>
        <v>-937782.88498959388</v>
      </c>
      <c r="AB27" s="36">
        <f t="shared" si="97"/>
        <v>-3244549.0732004843</v>
      </c>
      <c r="AC27" s="36">
        <f t="shared" si="97"/>
        <v>-724835.29791126342</v>
      </c>
      <c r="AD27" s="36">
        <f t="shared" si="97"/>
        <v>-775483.85054129397</v>
      </c>
      <c r="AE27" s="36">
        <f t="shared" si="97"/>
        <v>-846828.24047911074</v>
      </c>
      <c r="AF27" s="36">
        <f t="shared" si="97"/>
        <v>-956802.73710854293</v>
      </c>
      <c r="AG27" s="36">
        <f t="shared" si="97"/>
        <v>-3303950.1260402114</v>
      </c>
      <c r="AH27" s="36">
        <f t="shared" si="97"/>
        <v>-742975.07880453893</v>
      </c>
      <c r="AI27" s="36">
        <f t="shared" si="97"/>
        <v>-793761.79225460172</v>
      </c>
      <c r="AJ27" s="36">
        <f t="shared" si="97"/>
        <v>-868103.02914283914</v>
      </c>
      <c r="AK27" s="36">
        <f t="shared" ref="AK27:AV27" si="98">AK34-AK8</f>
        <v>-980870.79917708703</v>
      </c>
      <c r="AL27" s="36">
        <f t="shared" si="98"/>
        <v>-3385710.6993790669</v>
      </c>
      <c r="AM27" s="36">
        <f t="shared" si="98"/>
        <v>-763440.02240488352</v>
      </c>
      <c r="AN27" s="36">
        <f t="shared" si="98"/>
        <v>-816130.00906875846</v>
      </c>
      <c r="AO27" s="36">
        <f t="shared" si="98"/>
        <v>-891820.11634475947</v>
      </c>
      <c r="AP27" s="36">
        <f t="shared" si="98"/>
        <v>-1009741.2930285909</v>
      </c>
      <c r="AQ27" s="36">
        <f t="shared" si="98"/>
        <v>-3481131.4408469913</v>
      </c>
      <c r="AR27" s="36">
        <f t="shared" si="98"/>
        <v>-785423.73058383481</v>
      </c>
      <c r="AS27" s="36">
        <f t="shared" si="98"/>
        <v>-839615.88280298584</v>
      </c>
      <c r="AT27" s="36">
        <f t="shared" si="98"/>
        <v>-917653.17086627672</v>
      </c>
      <c r="AU27" s="36">
        <f t="shared" si="98"/>
        <v>-1040477.942367898</v>
      </c>
      <c r="AV27" s="36">
        <f t="shared" si="98"/>
        <v>-3583170.7266209954</v>
      </c>
      <c r="AW27" s="36">
        <f t="shared" ref="AW27:BF27" si="99">AW34-AW8</f>
        <v>-790196.23520745244</v>
      </c>
      <c r="AX27" s="36">
        <f t="shared" si="99"/>
        <v>-844643.28625603276</v>
      </c>
      <c r="AY27" s="36">
        <f t="shared" si="99"/>
        <v>-922967.24229951901</v>
      </c>
      <c r="AZ27" s="36">
        <f t="shared" si="99"/>
        <v>-1045998.0079327731</v>
      </c>
      <c r="BA27" s="36">
        <f t="shared" si="99"/>
        <v>-3603804.7716957768</v>
      </c>
      <c r="BB27" s="36">
        <f t="shared" si="99"/>
        <v>-794977.49941658659</v>
      </c>
      <c r="BC27" s="36">
        <f t="shared" si="99"/>
        <v>-849679.90490010299</v>
      </c>
      <c r="BD27" s="36">
        <f t="shared" si="99"/>
        <v>-928291.02422245697</v>
      </c>
      <c r="BE27" s="36">
        <f t="shared" si="99"/>
        <v>-1051528.0731508355</v>
      </c>
      <c r="BF27" s="36">
        <f t="shared" si="99"/>
        <v>-3624476.5016899817</v>
      </c>
    </row>
    <row r="28" spans="1:58">
      <c r="A28" s="5" t="s">
        <v>708</v>
      </c>
      <c r="I28" s="360">
        <f>'Arm (OLD)'!AC18</f>
        <v>-3146.9285787504632</v>
      </c>
      <c r="J28" s="360">
        <f>'Arm (OLD)'!AD18</f>
        <v>-3994.5241594849358</v>
      </c>
      <c r="K28" s="360">
        <f>'Arm (OLD)'!AE18</f>
        <v>-3052.897321161443</v>
      </c>
      <c r="L28" s="360">
        <f>'Arm (OLD)'!AF18</f>
        <v>-4332.6999999999971</v>
      </c>
      <c r="M28" s="360">
        <f>'Arm (OLD)'!AG18</f>
        <v>-14527.050059396832</v>
      </c>
      <c r="N28" s="360">
        <f>'Arm (OLD)'!AH18</f>
        <v>-3226</v>
      </c>
      <c r="O28" s="360">
        <f>'Arm (OLD)'!AI18</f>
        <v>-3467</v>
      </c>
      <c r="P28" s="360">
        <f>'Arm (OLD)'!AJ18</f>
        <v>-4093.6399999999994</v>
      </c>
      <c r="Q28" s="360">
        <f>'Arm (OLD)'!AK18</f>
        <v>-3598.0199999999895</v>
      </c>
      <c r="R28" s="360">
        <f>'Arm (OLD)'!AL18</f>
        <v>-14384.659999999974</v>
      </c>
      <c r="S28" s="360">
        <f>'Arm (OLD)'!AM18</f>
        <v>-4281.4100000000035</v>
      </c>
      <c r="T28" s="360">
        <f>'Arm (OLD)'!AN18</f>
        <v>-6690.2400000000052</v>
      </c>
      <c r="U28" s="360">
        <f>'Arm (OLD)'!AO18</f>
        <v>-5292</v>
      </c>
      <c r="V28" s="36">
        <f t="shared" ref="V28:W30" si="100">V35-V9</f>
        <v>-4382.6593014225073</v>
      </c>
      <c r="W28" s="36">
        <f t="shared" si="100"/>
        <v>-15883.419301422487</v>
      </c>
      <c r="X28" s="36">
        <f t="shared" ref="X28:AJ28" si="101">X35-X9</f>
        <v>-4838.3332408262359</v>
      </c>
      <c r="Y28" s="36">
        <f t="shared" si="101"/>
        <v>-4919.1081705479883</v>
      </c>
      <c r="Z28" s="36">
        <f t="shared" si="101"/>
        <v>-5325.166959863418</v>
      </c>
      <c r="AA28" s="36">
        <f t="shared" si="101"/>
        <v>-5309.9696555934497</v>
      </c>
      <c r="AB28" s="36">
        <f t="shared" si="101"/>
        <v>-20392.57802683115</v>
      </c>
      <c r="AC28" s="36">
        <f t="shared" si="101"/>
        <v>-5410.871432378859</v>
      </c>
      <c r="AD28" s="36">
        <f t="shared" si="101"/>
        <v>-5836.6548389165837</v>
      </c>
      <c r="AE28" s="36">
        <f t="shared" si="101"/>
        <v>-6368.8235304936243</v>
      </c>
      <c r="AF28" s="36">
        <f t="shared" si="101"/>
        <v>-6207.2543716439977</v>
      </c>
      <c r="AG28" s="36">
        <f t="shared" si="101"/>
        <v>-23823.604173433036</v>
      </c>
      <c r="AH28" s="36">
        <f t="shared" si="101"/>
        <v>-6487.7754220088827</v>
      </c>
      <c r="AI28" s="36">
        <f t="shared" si="101"/>
        <v>-6869.7181295251648</v>
      </c>
      <c r="AJ28" s="36">
        <f t="shared" si="101"/>
        <v>-7220.2647007271298</v>
      </c>
      <c r="AK28" s="36">
        <f t="shared" ref="AK28:AV28" si="102">AK35-AK9</f>
        <v>-6961.037676149921</v>
      </c>
      <c r="AL28" s="36">
        <f t="shared" si="102"/>
        <v>-27538.795928411069</v>
      </c>
      <c r="AM28" s="36">
        <f t="shared" si="102"/>
        <v>-7359.8588525220111</v>
      </c>
      <c r="AN28" s="36">
        <f t="shared" si="102"/>
        <v>-7755.1805410391826</v>
      </c>
      <c r="AO28" s="36">
        <f t="shared" si="102"/>
        <v>-7949.6192501287733</v>
      </c>
      <c r="AP28" s="36">
        <f t="shared" si="102"/>
        <v>-7530.6384384122503</v>
      </c>
      <c r="AQ28" s="36">
        <f t="shared" si="102"/>
        <v>-30595.297082102159</v>
      </c>
      <c r="AR28" s="36">
        <f t="shared" si="102"/>
        <v>-7980.1601265636273</v>
      </c>
      <c r="AS28" s="36">
        <f t="shared" si="102"/>
        <v>-8429.4722322452581</v>
      </c>
      <c r="AT28" s="36">
        <f t="shared" si="102"/>
        <v>-8622.1544995699078</v>
      </c>
      <c r="AU28" s="36">
        <f t="shared" si="102"/>
        <v>-8126.7965300334326</v>
      </c>
      <c r="AV28" s="36">
        <f t="shared" si="102"/>
        <v>-33158.583388412138</v>
      </c>
      <c r="AW28" s="36">
        <f t="shared" ref="AW28:BF28" si="103">AW35-AW9</f>
        <v>-8612.9433996116859</v>
      </c>
      <c r="AX28" s="36">
        <f t="shared" si="103"/>
        <v>-9080.5649789781892</v>
      </c>
      <c r="AY28" s="36">
        <f t="shared" si="103"/>
        <v>-9236.2726795672206</v>
      </c>
      <c r="AZ28" s="36">
        <f t="shared" si="103"/>
        <v>-8637.4911718939838</v>
      </c>
      <c r="BA28" s="36">
        <f t="shared" si="103"/>
        <v>-35567.272230050992</v>
      </c>
      <c r="BB28" s="36">
        <f t="shared" si="103"/>
        <v>-9043.5905695922556</v>
      </c>
      <c r="BC28" s="36">
        <f t="shared" si="103"/>
        <v>-9534.5932279271074</v>
      </c>
      <c r="BD28" s="36">
        <f t="shared" si="103"/>
        <v>-9698.0863135455875</v>
      </c>
      <c r="BE28" s="36">
        <f t="shared" si="103"/>
        <v>-9069.3657304886729</v>
      </c>
      <c r="BF28" s="36">
        <f t="shared" si="103"/>
        <v>-37345.635841553798</v>
      </c>
    </row>
    <row r="29" spans="1:58">
      <c r="A29" s="5" t="s">
        <v>711</v>
      </c>
      <c r="I29" s="36">
        <f t="shared" ref="I29:J30" si="104">I36-I10</f>
        <v>-9574.0714212494204</v>
      </c>
      <c r="J29" s="36">
        <f t="shared" si="104"/>
        <v>-8840.8358405152103</v>
      </c>
      <c r="K29" s="36">
        <f t="shared" ref="K29:O29" si="105">K36-K10</f>
        <v>-8937.7026788385119</v>
      </c>
      <c r="L29" s="36">
        <f t="shared" si="105"/>
        <v>-29187.999999999884</v>
      </c>
      <c r="M29" s="36">
        <f t="shared" si="105"/>
        <v>-56540.609940603375</v>
      </c>
      <c r="N29" s="36">
        <f t="shared" si="105"/>
        <v>-4938.6799999999348</v>
      </c>
      <c r="O29" s="36">
        <f t="shared" si="105"/>
        <v>-10967.399999999907</v>
      </c>
      <c r="P29" s="36">
        <f t="shared" ref="P29:T29" si="106">P36-P10</f>
        <v>2135.7999999999302</v>
      </c>
      <c r="Q29" s="36">
        <f t="shared" si="106"/>
        <v>-1628.5600000000559</v>
      </c>
      <c r="R29" s="36">
        <f t="shared" si="106"/>
        <v>-15398.839999999851</v>
      </c>
      <c r="S29" s="36">
        <f t="shared" si="106"/>
        <v>-12133.839999999967</v>
      </c>
      <c r="T29" s="36">
        <f t="shared" si="106"/>
        <v>-9778.4000000000233</v>
      </c>
      <c r="U29" s="36">
        <f t="shared" ref="U29" si="107">U36-U10</f>
        <v>-10674.999999999884</v>
      </c>
      <c r="V29" s="36">
        <f t="shared" si="100"/>
        <v>-11938.050000000003</v>
      </c>
      <c r="W29" s="36">
        <f t="shared" si="100"/>
        <v>-44525.289999999892</v>
      </c>
      <c r="X29" s="36">
        <f t="shared" ref="X29:AJ29" si="108">X36-X10</f>
        <v>-13756.75</v>
      </c>
      <c r="Y29" s="36">
        <f t="shared" si="108"/>
        <v>-15049.375</v>
      </c>
      <c r="Z29" s="36">
        <f t="shared" si="108"/>
        <v>-21856.899999999994</v>
      </c>
      <c r="AA29" s="36">
        <f t="shared" si="108"/>
        <v>-13728.7575</v>
      </c>
      <c r="AB29" s="36">
        <f t="shared" si="108"/>
        <v>-64391.782499999972</v>
      </c>
      <c r="AC29" s="36">
        <f t="shared" si="108"/>
        <v>-15940.634062499994</v>
      </c>
      <c r="AD29" s="36">
        <f t="shared" si="108"/>
        <v>-17438.463281249999</v>
      </c>
      <c r="AE29" s="36">
        <f t="shared" si="108"/>
        <v>-25326.682874999999</v>
      </c>
      <c r="AF29" s="36">
        <f t="shared" si="108"/>
        <v>-15908.197753124994</v>
      </c>
      <c r="AG29" s="36">
        <f t="shared" si="108"/>
        <v>-74613.977971874992</v>
      </c>
      <c r="AH29" s="36">
        <f t="shared" si="108"/>
        <v>-18045.416812499992</v>
      </c>
      <c r="AI29" s="36">
        <f t="shared" si="108"/>
        <v>-19741.017656249991</v>
      </c>
      <c r="AJ29" s="36">
        <f t="shared" si="108"/>
        <v>-28670.788574999984</v>
      </c>
      <c r="AK29" s="36">
        <f t="shared" ref="AK29:AV29" si="109">AK36-AK10</f>
        <v>-18008.697650624992</v>
      </c>
      <c r="AL29" s="36">
        <f t="shared" si="109"/>
        <v>-84465.920694375003</v>
      </c>
      <c r="AM29" s="36">
        <f t="shared" si="109"/>
        <v>-19947.846367968741</v>
      </c>
      <c r="AN29" s="36">
        <f t="shared" si="109"/>
        <v>-21822.205130859358</v>
      </c>
      <c r="AO29" s="36">
        <f t="shared" si="109"/>
        <v>-31693.392936562479</v>
      </c>
      <c r="AP29" s="36">
        <f t="shared" si="109"/>
        <v>-19907.256105773427</v>
      </c>
      <c r="AQ29" s="36">
        <f t="shared" si="109"/>
        <v>-93370.700541163998</v>
      </c>
      <c r="AR29" s="36">
        <f t="shared" si="109"/>
        <v>-21521.713145624984</v>
      </c>
      <c r="AS29" s="36">
        <f t="shared" si="109"/>
        <v>-23543.957095312486</v>
      </c>
      <c r="AT29" s="36">
        <f t="shared" si="109"/>
        <v>-34193.972562749972</v>
      </c>
      <c r="AU29" s="36">
        <f t="shared" si="109"/>
        <v>-21477.920348981235</v>
      </c>
      <c r="AV29" s="36">
        <f t="shared" si="109"/>
        <v>-100737.56315266865</v>
      </c>
      <c r="AW29" s="36">
        <f t="shared" ref="AW29:BF29" si="110">AW36-AW10</f>
        <v>-22816.378702041482</v>
      </c>
      <c r="AX29" s="36">
        <f t="shared" si="110"/>
        <v>-24960.27326432737</v>
      </c>
      <c r="AY29" s="36">
        <f t="shared" si="110"/>
        <v>-36250.953724727893</v>
      </c>
      <c r="AZ29" s="36">
        <f t="shared" si="110"/>
        <v>-22769.95149497463</v>
      </c>
      <c r="BA29" s="36">
        <f t="shared" si="110"/>
        <v>-106797.55718607135</v>
      </c>
      <c r="BB29" s="36">
        <f t="shared" si="110"/>
        <v>-23762.762409943549</v>
      </c>
      <c r="BC29" s="36">
        <f t="shared" si="110"/>
        <v>-25995.581990160768</v>
      </c>
      <c r="BD29" s="36">
        <f t="shared" si="110"/>
        <v>-37754.580240092691</v>
      </c>
      <c r="BE29" s="36">
        <f t="shared" si="110"/>
        <v>-23714.409483070536</v>
      </c>
      <c r="BF29" s="36">
        <f t="shared" si="110"/>
        <v>-111227.33412326762</v>
      </c>
    </row>
    <row r="30" spans="1:58">
      <c r="A30" s="9" t="s">
        <v>1925</v>
      </c>
      <c r="B30" s="9"/>
      <c r="C30" s="9"/>
      <c r="D30" s="9"/>
      <c r="E30" s="9"/>
      <c r="F30" s="9"/>
      <c r="G30" s="9"/>
      <c r="H30" s="9"/>
      <c r="I30" s="39">
        <f t="shared" si="104"/>
        <v>-667163</v>
      </c>
      <c r="J30" s="39">
        <f t="shared" si="104"/>
        <v>-681308</v>
      </c>
      <c r="K30" s="39">
        <f t="shared" ref="K30:O30" si="111">K37-K11</f>
        <v>-755400</v>
      </c>
      <c r="L30" s="39">
        <f t="shared" si="111"/>
        <v>-852089</v>
      </c>
      <c r="M30" s="39">
        <f t="shared" si="111"/>
        <v>-2955960</v>
      </c>
      <c r="N30" s="39">
        <f t="shared" si="111"/>
        <v>-688239</v>
      </c>
      <c r="O30" s="39">
        <f t="shared" si="111"/>
        <v>-772909</v>
      </c>
      <c r="P30" s="39">
        <f t="shared" ref="P30:T30" si="112">P37-P11</f>
        <v>-835502</v>
      </c>
      <c r="Q30" s="39">
        <f t="shared" si="112"/>
        <v>-945747</v>
      </c>
      <c r="R30" s="39">
        <f t="shared" si="112"/>
        <v>-3242397</v>
      </c>
      <c r="S30" s="39">
        <f t="shared" si="112"/>
        <v>-725432</v>
      </c>
      <c r="T30" s="39">
        <f t="shared" si="112"/>
        <v>-769311</v>
      </c>
      <c r="U30" s="39">
        <f t="shared" ref="U30" si="113">U37-U11</f>
        <v>-841977</v>
      </c>
      <c r="V30" s="39">
        <f t="shared" si="100"/>
        <v>-950003.69629264355</v>
      </c>
      <c r="W30" s="39">
        <f t="shared" si="100"/>
        <v>-3286723.6962926434</v>
      </c>
      <c r="X30" s="39">
        <f t="shared" ref="X30:AJ30" si="114">X37-X11</f>
        <v>-731467.21081328008</v>
      </c>
      <c r="Y30" s="39">
        <f t="shared" si="114"/>
        <v>-781640.94279550342</v>
      </c>
      <c r="Z30" s="39">
        <f t="shared" si="114"/>
        <v>-859403.66797334421</v>
      </c>
      <c r="AA30" s="39">
        <f t="shared" si="114"/>
        <v>-956821.61214518733</v>
      </c>
      <c r="AB30" s="39">
        <f t="shared" si="114"/>
        <v>-3329333.4337273147</v>
      </c>
      <c r="AC30" s="39">
        <f t="shared" si="114"/>
        <v>-746186.80340614228</v>
      </c>
      <c r="AD30" s="39">
        <f t="shared" si="114"/>
        <v>-798758.96866146056</v>
      </c>
      <c r="AE30" s="39">
        <f t="shared" si="114"/>
        <v>-878523.74688460445</v>
      </c>
      <c r="AF30" s="39">
        <f t="shared" si="114"/>
        <v>-978918.1892333118</v>
      </c>
      <c r="AG30" s="39">
        <f t="shared" si="114"/>
        <v>-3402387.7081855196</v>
      </c>
      <c r="AH30" s="39">
        <f t="shared" si="114"/>
        <v>-767508.27103904798</v>
      </c>
      <c r="AI30" s="39">
        <f t="shared" si="114"/>
        <v>-820372.52804037696</v>
      </c>
      <c r="AJ30" s="39">
        <f t="shared" si="114"/>
        <v>-903994.08241856634</v>
      </c>
      <c r="AK30" s="39">
        <f t="shared" ref="AK30:AV30" si="115">AK37-AK11</f>
        <v>-1005840.534503862</v>
      </c>
      <c r="AL30" s="39">
        <f t="shared" si="115"/>
        <v>-3497715.4160018526</v>
      </c>
      <c r="AM30" s="39">
        <f t="shared" si="115"/>
        <v>-790747.72762537445</v>
      </c>
      <c r="AN30" s="39">
        <f t="shared" si="115"/>
        <v>-845707.39474065718</v>
      </c>
      <c r="AO30" s="39">
        <f t="shared" si="115"/>
        <v>-931463.12853145064</v>
      </c>
      <c r="AP30" s="39">
        <f t="shared" si="115"/>
        <v>-1037179.1875727766</v>
      </c>
      <c r="AQ30" s="39">
        <f t="shared" si="115"/>
        <v>-3605097.4384702574</v>
      </c>
      <c r="AR30" s="39">
        <f t="shared" si="115"/>
        <v>-814925.6038560234</v>
      </c>
      <c r="AS30" s="39">
        <f t="shared" si="115"/>
        <v>-871589.31213054364</v>
      </c>
      <c r="AT30" s="39">
        <f t="shared" si="115"/>
        <v>-960469.29792859661</v>
      </c>
      <c r="AU30" s="39">
        <f t="shared" si="115"/>
        <v>-1070082.6592469122</v>
      </c>
      <c r="AV30" s="39">
        <f t="shared" si="115"/>
        <v>-3717066.8731620768</v>
      </c>
      <c r="AW30" s="39">
        <f t="shared" ref="AW30:BF30" si="116">AW37-AW11</f>
        <v>-821625.55730910553</v>
      </c>
      <c r="AX30" s="39">
        <f t="shared" si="116"/>
        <v>-878684.12449933821</v>
      </c>
      <c r="AY30" s="39">
        <f t="shared" si="116"/>
        <v>-968454.46870381408</v>
      </c>
      <c r="AZ30" s="39">
        <f t="shared" si="116"/>
        <v>-1077405.4505996418</v>
      </c>
      <c r="BA30" s="39">
        <f t="shared" si="116"/>
        <v>-3746169.6011118991</v>
      </c>
      <c r="BB30" s="39">
        <f t="shared" si="116"/>
        <v>-827783.85239612241</v>
      </c>
      <c r="BC30" s="39">
        <f t="shared" si="116"/>
        <v>-885210.08011819096</v>
      </c>
      <c r="BD30" s="39">
        <f t="shared" si="116"/>
        <v>-975743.69077609526</v>
      </c>
      <c r="BE30" s="39">
        <f t="shared" si="116"/>
        <v>-1084311.8483643949</v>
      </c>
      <c r="BF30" s="39">
        <f t="shared" si="116"/>
        <v>-3773049.4716548035</v>
      </c>
    </row>
    <row r="32" spans="1:58">
      <c r="A32" s="3" t="s">
        <v>1926</v>
      </c>
    </row>
    <row r="34" spans="1:58">
      <c r="A34" s="5" t="s">
        <v>707</v>
      </c>
      <c r="I34" s="36">
        <f>'Financial statements KK'!Y13*1000</f>
        <v>702185.99999999988</v>
      </c>
      <c r="J34" s="36">
        <f>'Financial statements KK'!Z13*1000</f>
        <v>699254.00000000012</v>
      </c>
      <c r="K34" s="36">
        <f>'Financial statements KK'!AA13*1000</f>
        <v>706204</v>
      </c>
      <c r="L34" s="36">
        <f>'Financial statements KK'!AB13*1000</f>
        <v>693939.99999999988</v>
      </c>
      <c r="M34" s="36">
        <f>'Financial statements KK'!AC13*1000</f>
        <v>2801584</v>
      </c>
      <c r="N34" s="36">
        <f>'Financial statements KK'!AD13*1000</f>
        <v>685381</v>
      </c>
      <c r="O34" s="36">
        <f>'Financial statements KK'!AE13*1000</f>
        <v>691710.99999999988</v>
      </c>
      <c r="P34" s="36">
        <f>'Financial statements KK'!AF13*1000</f>
        <v>706403.00000000012</v>
      </c>
      <c r="Q34" s="36">
        <f>'Financial statements KK'!AG13*1000</f>
        <v>634420.00000000012</v>
      </c>
      <c r="R34" s="36">
        <f>'Financial statements KK'!AH13*1000</f>
        <v>2717915</v>
      </c>
      <c r="S34" s="36">
        <f>'Financial statements KK'!AI13*1000</f>
        <v>715961</v>
      </c>
      <c r="T34" s="36">
        <f>'Financial statements KK'!AJ13*1000</f>
        <v>751328</v>
      </c>
      <c r="U34" s="36">
        <f>'Financial statements KK'!AK13*1000</f>
        <v>751678.99999999988</v>
      </c>
      <c r="V34" s="36">
        <f>'Financial statements KK'!AL13*1000</f>
        <v>669184.30364533898</v>
      </c>
      <c r="W34" s="36">
        <f>'Financial statements KK'!AM13*1000</f>
        <v>2888152.3036453389</v>
      </c>
      <c r="X34" s="36">
        <f>'Financial statements KK'!AN13*1000</f>
        <v>744279.831832811</v>
      </c>
      <c r="Y34" s="36">
        <f>'Financial statements KK'!AO13*1000</f>
        <v>767851.67203505582</v>
      </c>
      <c r="Z34" s="36">
        <f>'Financial statements KK'!AP13*1000</f>
        <v>772554.60192049108</v>
      </c>
      <c r="AA34" s="36">
        <f>'Financial statements KK'!AQ13*1000</f>
        <v>686061.14515544474</v>
      </c>
      <c r="AB34" s="36">
        <f>'Financial statements KK'!AR13*1000</f>
        <v>2970747.2509438028</v>
      </c>
      <c r="AC34" s="36">
        <f>'Financial statements KK'!AS13*1000</f>
        <v>756770.0752629718</v>
      </c>
      <c r="AD34" s="36">
        <f>'Financial statements KK'!AT13*1000</f>
        <v>781775.11048189469</v>
      </c>
      <c r="AE34" s="36">
        <f>'Financial statements KK'!AU13*1000</f>
        <v>786114.00307521201</v>
      </c>
      <c r="AF34" s="36">
        <f>'Financial statements KK'!AV13*1000</f>
        <v>699975.64683197963</v>
      </c>
      <c r="AG34" s="36">
        <f>'Financial statements KK'!AW13*1000</f>
        <v>3024634.8356520585</v>
      </c>
      <c r="AH34" s="36">
        <f>'Financial statements KK'!AX13*1000</f>
        <v>773384.41317990248</v>
      </c>
      <c r="AI34" s="36">
        <f>'Financial statements KK'!AY13*1000</f>
        <v>797804.30241334403</v>
      </c>
      <c r="AJ34" s="36">
        <f>'Financial statements KK'!AZ13*1000</f>
        <v>803446.03249186371</v>
      </c>
      <c r="AK34" s="36">
        <f>'Financial statements KK'!BA13*1000</f>
        <v>715380.41365110839</v>
      </c>
      <c r="AL34" s="36">
        <f>'Financial statements KK'!BB13*1000</f>
        <v>3090015.1617362183</v>
      </c>
      <c r="AM34" s="36">
        <f>'Financial statements KK'!BC13*1000</f>
        <v>789931.48763380712</v>
      </c>
      <c r="AN34" s="36">
        <f>'Financial statements KK'!BD13*1000</f>
        <v>815379.44529843121</v>
      </c>
      <c r="AO34" s="36">
        <f>'Financial statements KK'!BE13*1000</f>
        <v>820451.13558726013</v>
      </c>
      <c r="AP34" s="36">
        <f>'Financial statements KK'!BF13*1000</f>
        <v>731918.72478351032</v>
      </c>
      <c r="AQ34" s="36">
        <f>'Financial statements KK'!BG13*1000</f>
        <v>3157680.7933030087</v>
      </c>
      <c r="AR34" s="36">
        <f>'Financial statements KK'!BH13*1000</f>
        <v>807815.38751163252</v>
      </c>
      <c r="AS34" s="36">
        <f>'Financial statements KK'!BI13*1000</f>
        <v>833825.70370811154</v>
      </c>
      <c r="AT34" s="36">
        <f>'Financial statements KK'!BJ13*1000</f>
        <v>839157.32358974393</v>
      </c>
      <c r="AU34" s="36">
        <f>'Financial statements KK'!BK13*1000</f>
        <v>749567.06163103099</v>
      </c>
      <c r="AV34" s="36">
        <f>'Financial statements KK'!BL13*1000</f>
        <v>3230365.4764405191</v>
      </c>
      <c r="AW34" s="36">
        <f>AW40*AW8</f>
        <v>804636.12200611015</v>
      </c>
      <c r="AX34" s="36">
        <f>AX40*AX8</f>
        <v>830471.7418415756</v>
      </c>
      <c r="AY34" s="36">
        <f>AY40*AY8</f>
        <v>835600.06265095738</v>
      </c>
      <c r="AZ34" s="36">
        <f>AZ40*AZ8</f>
        <v>745837.04107015464</v>
      </c>
      <c r="BA34" s="36">
        <f>SUM(AW34:AZ34)</f>
        <v>3216544.967568798</v>
      </c>
      <c r="BB34" s="36">
        <f t="shared" ref="BB34:BE36" si="117">BB40*BB8</f>
        <v>801449.69015418936</v>
      </c>
      <c r="BC34" s="36">
        <f t="shared" si="117"/>
        <v>827110.23822560289</v>
      </c>
      <c r="BD34" s="36">
        <f t="shared" si="117"/>
        <v>832034.84803296963</v>
      </c>
      <c r="BE34" s="36">
        <f t="shared" si="117"/>
        <v>742098.81090109493</v>
      </c>
      <c r="BF34" s="36">
        <f>SUM(BB34:BE34)</f>
        <v>3202693.5873138569</v>
      </c>
    </row>
    <row r="35" spans="1:58">
      <c r="A35" s="5" t="s">
        <v>708</v>
      </c>
      <c r="I35" s="36">
        <f>'Arm (OLD)'!AC19</f>
        <v>71103.071421249537</v>
      </c>
      <c r="J35" s="36">
        <f>'Arm (OLD)'!AD19</f>
        <v>83055.835840515065</v>
      </c>
      <c r="K35" s="36">
        <f>'Arm (OLD)'!AE19</f>
        <v>62948.702678838548</v>
      </c>
      <c r="L35" s="36">
        <f>'Arm (OLD)'!AF19</f>
        <v>72602</v>
      </c>
      <c r="M35" s="36">
        <f>'Arm (OLD)'!AG19</f>
        <v>289709.60994060314</v>
      </c>
      <c r="N35" s="36">
        <f>'Arm (OLD)'!AH19</f>
        <v>86069.68</v>
      </c>
      <c r="O35" s="36">
        <f>'Arm (OLD)'!AI19</f>
        <v>83901.400000000009</v>
      </c>
      <c r="P35" s="36">
        <f>'Arm (OLD)'!AJ19</f>
        <v>98106.2</v>
      </c>
      <c r="Q35" s="36">
        <f>'Arm (OLD)'!AK19</f>
        <v>80755.56</v>
      </c>
      <c r="R35" s="36">
        <f>'Arm (OLD)'!AL19</f>
        <v>348832.84</v>
      </c>
      <c r="S35" s="36">
        <f>'Arm (OLD)'!AM19</f>
        <v>88942.840000000011</v>
      </c>
      <c r="T35" s="36">
        <f>'Arm (OLD)'!AN19</f>
        <v>110534.39999999999</v>
      </c>
      <c r="U35" s="36">
        <f>'Arm (OLD)'!AO19</f>
        <v>115836</v>
      </c>
      <c r="V35" s="36">
        <f>'Arm (OLD)'!AP19</f>
        <v>123384.8910793275</v>
      </c>
      <c r="W35" s="36">
        <f>'Arm (OLD)'!AQ19</f>
        <v>438698.13107932749</v>
      </c>
      <c r="X35" s="36">
        <f>'Arm (OLD)'!AR19</f>
        <v>138629.97982004876</v>
      </c>
      <c r="Y35" s="36">
        <f>'Arm (OLD)'!AS19</f>
        <v>141613.16060905199</v>
      </c>
      <c r="Z35" s="36">
        <f>'Arm (OLD)'!AT19</f>
        <v>154092.54889779657</v>
      </c>
      <c r="AA35" s="36">
        <f>'Arm (OLD)'!AU19</f>
        <v>153223.50245939131</v>
      </c>
      <c r="AB35" s="36">
        <f>'Arm (OLD)'!AV19</f>
        <v>587559.19178628852</v>
      </c>
      <c r="AC35" s="36">
        <f>'Arm (OLD)'!AW19</f>
        <v>157247.56450091556</v>
      </c>
      <c r="AD35" s="36">
        <f>'Arm (OLD)'!AX19</f>
        <v>170553.03205837702</v>
      </c>
      <c r="AE35" s="36">
        <f>'Arm (OLD)'!AY19</f>
        <v>186764.67196055726</v>
      </c>
      <c r="AF35" s="36">
        <f>'Arm (OLD)'!AZ19</f>
        <v>181022.90248093716</v>
      </c>
      <c r="AG35" s="36">
        <f>'Arm (OLD)'!BA19</f>
        <v>695588.17100078706</v>
      </c>
      <c r="AH35" s="36">
        <f>'Arm (OLD)'!BB19</f>
        <v>189918.11605438541</v>
      </c>
      <c r="AI35" s="36">
        <f>'Arm (OLD)'!BC19</f>
        <v>202091.20809157513</v>
      </c>
      <c r="AJ35" s="36">
        <f>'Arm (OLD)'!BD19</f>
        <v>213247.72704213939</v>
      </c>
      <c r="AK35" s="36">
        <f>'Arm (OLD)'!BE19</f>
        <v>204686.79212318358</v>
      </c>
      <c r="AL35" s="36">
        <f>'Arm (OLD)'!BF19</f>
        <v>809943.8433112835</v>
      </c>
      <c r="AM35" s="36">
        <f>'Arm (OLD)'!BG19</f>
        <v>217533.46709365852</v>
      </c>
      <c r="AN35" s="36">
        <f>'Arm (OLD)'!BH19</f>
        <v>230267.01619515455</v>
      </c>
      <c r="AO35" s="36">
        <f>'Arm (OLD)'!BI19</f>
        <v>236505.37465611528</v>
      </c>
      <c r="AP35" s="36">
        <f>'Arm (OLD)'!BJ19</f>
        <v>222909.86244188019</v>
      </c>
      <c r="AQ35" s="36">
        <f>'Arm (OLD)'!BK19</f>
        <v>907215.72038680851</v>
      </c>
      <c r="AR35" s="36">
        <f>'Arm (OLD)'!BL19</f>
        <v>237293.32678089797</v>
      </c>
      <c r="AS35" s="36">
        <f>'Arm (OLD)'!BM19</f>
        <v>251669.05129320969</v>
      </c>
      <c r="AT35" s="36">
        <f>'Arm (OLD)'!BN19</f>
        <v>257746.11021228333</v>
      </c>
      <c r="AU35" s="36">
        <f>'Arm (OLD)'!BO19</f>
        <v>241575.56317344547</v>
      </c>
      <c r="AV35" s="36">
        <f>'Arm (OLD)'!BP19</f>
        <v>988284.05145983654</v>
      </c>
      <c r="AW35" s="36">
        <f>'Arm (OLD)'!BQ19</f>
        <v>257139.36350070266</v>
      </c>
      <c r="AX35" s="36">
        <f>'Arm (OLD)'!BR19</f>
        <v>272103.19956112688</v>
      </c>
      <c r="AY35" s="36">
        <f>'Arm (OLD)'!BS19</f>
        <v>276980.83622160746</v>
      </c>
      <c r="AZ35" s="36">
        <f>'Arm (OLD)'!BT19</f>
        <v>257462.33374191049</v>
      </c>
      <c r="BA35" s="36">
        <f>'Arm (OLD)'!BU19</f>
        <v>1063685.7330253476</v>
      </c>
      <c r="BB35" s="36">
        <f t="shared" si="117"/>
        <v>269996.33167573781</v>
      </c>
      <c r="BC35" s="36">
        <f t="shared" si="117"/>
        <v>285708.35953918321</v>
      </c>
      <c r="BD35" s="36">
        <f t="shared" si="117"/>
        <v>290829.87803268782</v>
      </c>
      <c r="BE35" s="36">
        <f t="shared" si="117"/>
        <v>270335.45042900601</v>
      </c>
      <c r="BF35" s="36">
        <f>SUM(BB35:BE35)</f>
        <v>1116870.0196766148</v>
      </c>
    </row>
    <row r="36" spans="1:58">
      <c r="A36" s="5" t="s">
        <v>711</v>
      </c>
      <c r="I36" s="36">
        <f t="shared" ref="I36:U36" si="118">I37-SUM(I34:I35)</f>
        <v>38681.92857875058</v>
      </c>
      <c r="J36" s="36">
        <f t="shared" si="118"/>
        <v>40752.16415948479</v>
      </c>
      <c r="K36" s="36">
        <f t="shared" si="118"/>
        <v>72783.297321161488</v>
      </c>
      <c r="L36" s="36">
        <f t="shared" si="118"/>
        <v>22063.000000000116</v>
      </c>
      <c r="M36" s="36">
        <f t="shared" si="118"/>
        <v>174280.39005939662</v>
      </c>
      <c r="N36" s="36">
        <f t="shared" si="118"/>
        <v>112340.32000000007</v>
      </c>
      <c r="O36" s="36">
        <f t="shared" si="118"/>
        <v>61925.600000000093</v>
      </c>
      <c r="P36" s="36">
        <f t="shared" si="118"/>
        <v>53284.79999999993</v>
      </c>
      <c r="Q36" s="36">
        <f t="shared" si="118"/>
        <v>33743.439999999944</v>
      </c>
      <c r="R36" s="36">
        <f t="shared" si="118"/>
        <v>261294.16000000015</v>
      </c>
      <c r="S36" s="36">
        <f t="shared" si="118"/>
        <v>27171.160000000033</v>
      </c>
      <c r="T36" s="36">
        <f t="shared" si="118"/>
        <v>38379.599999999977</v>
      </c>
      <c r="U36" s="36">
        <f t="shared" si="118"/>
        <v>65349.000000000116</v>
      </c>
      <c r="V36" s="36">
        <f>V42*V10</f>
        <v>35814.15</v>
      </c>
      <c r="W36" s="36">
        <f>SUM(S36:V36)</f>
        <v>166713.91000000012</v>
      </c>
      <c r="X36" s="36">
        <f>X42*X10</f>
        <v>41270.25</v>
      </c>
      <c r="Y36" s="36">
        <f>Y42*Y10</f>
        <v>45148.125</v>
      </c>
      <c r="Z36" s="36">
        <f>Z42*Z10</f>
        <v>65570.7</v>
      </c>
      <c r="AA36" s="36">
        <f>AA42*AA10</f>
        <v>41186.272499999999</v>
      </c>
      <c r="AB36" s="36">
        <f>SUM(X36:AA36)</f>
        <v>193175.3475</v>
      </c>
      <c r="AC36" s="36">
        <f>AC42*AC10</f>
        <v>45964.740937500006</v>
      </c>
      <c r="AD36" s="36">
        <f>AD42*AD10</f>
        <v>50283.724218750001</v>
      </c>
      <c r="AE36" s="36">
        <f>AE42*AE10</f>
        <v>73029.36712499999</v>
      </c>
      <c r="AF36" s="36">
        <f>AF42*AF10</f>
        <v>45871.210996875008</v>
      </c>
      <c r="AG36" s="36">
        <f>SUM(AC36:AF36)</f>
        <v>215149.043278125</v>
      </c>
      <c r="AH36" s="36">
        <f>AH42*AH10</f>
        <v>50050.495687500013</v>
      </c>
      <c r="AI36" s="36">
        <f>AI42*AI10</f>
        <v>54753.388593750009</v>
      </c>
      <c r="AJ36" s="36">
        <f>AJ42*AJ10</f>
        <v>79520.866425000015</v>
      </c>
      <c r="AK36" s="36">
        <f>AK42*AK10</f>
        <v>49948.65197437501</v>
      </c>
      <c r="AL36" s="36">
        <f>SUM(AH36:AK36)</f>
        <v>234273.40268062503</v>
      </c>
      <c r="AM36" s="36">
        <f>AM42*AM10</f>
        <v>53255.259569531263</v>
      </c>
      <c r="AN36" s="36">
        <f>AN42*AN10</f>
        <v>58259.281587890633</v>
      </c>
      <c r="AO36" s="36">
        <f>AO42*AO10</f>
        <v>84612.636188437522</v>
      </c>
      <c r="AP36" s="36">
        <f>AP42*AP10</f>
        <v>53146.894741101569</v>
      </c>
      <c r="AQ36" s="36">
        <f>SUM(AM36:AP36)</f>
        <v>249274.07208696098</v>
      </c>
      <c r="AR36" s="36">
        <f>AR42*AR10</f>
        <v>55341.548088750023</v>
      </c>
      <c r="AS36" s="36">
        <f>AS42*AS10</f>
        <v>60541.60395937501</v>
      </c>
      <c r="AT36" s="36">
        <f>AT42*AT10</f>
        <v>87927.358018500032</v>
      </c>
      <c r="AU36" s="36">
        <f>AU42*AU10</f>
        <v>55228.93804023751</v>
      </c>
      <c r="AV36" s="36">
        <f>SUM(AR36:AU36)</f>
        <v>259039.4481068626</v>
      </c>
      <c r="AW36" s="36">
        <f>AW42*AW10</f>
        <v>56544.938522450706</v>
      </c>
      <c r="AX36" s="36">
        <f>AX42*AX10</f>
        <v>61858.068524637471</v>
      </c>
      <c r="AY36" s="36">
        <f>AY42*AY10</f>
        <v>89839.320100412733</v>
      </c>
      <c r="AZ36" s="36">
        <f>AZ42*AZ10</f>
        <v>56429.879791893727</v>
      </c>
      <c r="BA36" s="36">
        <f>SUM(AW36:AZ36)</f>
        <v>264672.20693939464</v>
      </c>
      <c r="BB36" s="36">
        <f t="shared" si="117"/>
        <v>56788.97457291602</v>
      </c>
      <c r="BC36" s="36">
        <f t="shared" si="117"/>
        <v>62125.034925638531</v>
      </c>
      <c r="BD36" s="36">
        <f t="shared" si="117"/>
        <v>90227.047692425025</v>
      </c>
      <c r="BE36" s="36">
        <f t="shared" si="117"/>
        <v>56673.419273100844</v>
      </c>
      <c r="BF36" s="36">
        <f>SUM(BB36:BE36)</f>
        <v>265814.47646408039</v>
      </c>
    </row>
    <row r="37" spans="1:58">
      <c r="A37" s="9" t="s">
        <v>1927</v>
      </c>
      <c r="B37" s="9"/>
      <c r="C37" s="9"/>
      <c r="D37" s="9"/>
      <c r="E37" s="9"/>
      <c r="F37" s="9"/>
      <c r="G37" s="9"/>
      <c r="H37" s="9"/>
      <c r="I37" s="67">
        <v>811971</v>
      </c>
      <c r="J37" s="67">
        <v>823062</v>
      </c>
      <c r="K37" s="67">
        <v>841936</v>
      </c>
      <c r="L37" s="67">
        <v>788605</v>
      </c>
      <c r="M37" s="39">
        <f>SUM(I37:L37)</f>
        <v>3265574</v>
      </c>
      <c r="N37" s="67">
        <v>883791</v>
      </c>
      <c r="O37" s="67">
        <v>837538</v>
      </c>
      <c r="P37" s="67">
        <v>857794</v>
      </c>
      <c r="Q37" s="67">
        <v>748919</v>
      </c>
      <c r="R37" s="39">
        <f>SUM(N37:Q37)</f>
        <v>3328042</v>
      </c>
      <c r="S37" s="67">
        <v>832075</v>
      </c>
      <c r="T37" s="67">
        <v>900242</v>
      </c>
      <c r="U37" s="67">
        <v>932864</v>
      </c>
      <c r="V37" s="39">
        <f t="shared" ref="V37:BF37" si="119">SUM(V34:V36)</f>
        <v>828383.34472466644</v>
      </c>
      <c r="W37" s="39">
        <f t="shared" si="119"/>
        <v>3493564.3447246663</v>
      </c>
      <c r="X37" s="39">
        <f t="shared" si="119"/>
        <v>924180.06165285979</v>
      </c>
      <c r="Y37" s="39">
        <f t="shared" si="119"/>
        <v>954612.95764410775</v>
      </c>
      <c r="Z37" s="39">
        <f t="shared" si="119"/>
        <v>992217.85081828758</v>
      </c>
      <c r="AA37" s="39">
        <f t="shared" si="119"/>
        <v>880470.92011483596</v>
      </c>
      <c r="AB37" s="39">
        <f t="shared" si="119"/>
        <v>3751481.7902300917</v>
      </c>
      <c r="AC37" s="39">
        <f t="shared" si="119"/>
        <v>959982.38070138742</v>
      </c>
      <c r="AD37" s="39">
        <f t="shared" si="119"/>
        <v>1002611.8667590218</v>
      </c>
      <c r="AE37" s="39">
        <f t="shared" si="119"/>
        <v>1045908.0421607692</v>
      </c>
      <c r="AF37" s="39">
        <f t="shared" si="119"/>
        <v>926869.76030979177</v>
      </c>
      <c r="AG37" s="39">
        <f t="shared" si="119"/>
        <v>3935372.0499309707</v>
      </c>
      <c r="AH37" s="39">
        <f t="shared" si="119"/>
        <v>1013353.0249217879</v>
      </c>
      <c r="AI37" s="39">
        <f t="shared" si="119"/>
        <v>1054648.8990986692</v>
      </c>
      <c r="AJ37" s="39">
        <f t="shared" si="119"/>
        <v>1096214.6259590031</v>
      </c>
      <c r="AK37" s="39">
        <f t="shared" si="119"/>
        <v>970015.85774866701</v>
      </c>
      <c r="AL37" s="39">
        <f t="shared" si="119"/>
        <v>4134232.4077281272</v>
      </c>
      <c r="AM37" s="39">
        <f t="shared" si="119"/>
        <v>1060720.2142969968</v>
      </c>
      <c r="AN37" s="39">
        <f t="shared" si="119"/>
        <v>1103905.7430814763</v>
      </c>
      <c r="AO37" s="39">
        <f t="shared" si="119"/>
        <v>1141569.1464318128</v>
      </c>
      <c r="AP37" s="39">
        <f t="shared" si="119"/>
        <v>1007975.481966492</v>
      </c>
      <c r="AQ37" s="39">
        <f t="shared" si="119"/>
        <v>4314170.5857767779</v>
      </c>
      <c r="AR37" s="39">
        <f t="shared" si="119"/>
        <v>1100450.2623812805</v>
      </c>
      <c r="AS37" s="39">
        <f t="shared" si="119"/>
        <v>1146036.3589606963</v>
      </c>
      <c r="AT37" s="39">
        <f t="shared" si="119"/>
        <v>1184830.7918205273</v>
      </c>
      <c r="AU37" s="39">
        <f t="shared" si="119"/>
        <v>1046371.562844714</v>
      </c>
      <c r="AV37" s="39">
        <f t="shared" si="119"/>
        <v>4477688.9760072185</v>
      </c>
      <c r="AW37" s="39">
        <f t="shared" si="119"/>
        <v>1118320.4240292634</v>
      </c>
      <c r="AX37" s="39">
        <f t="shared" si="119"/>
        <v>1164433.0099273401</v>
      </c>
      <c r="AY37" s="39">
        <f t="shared" si="119"/>
        <v>1202420.2189729775</v>
      </c>
      <c r="AZ37" s="39">
        <f t="shared" si="119"/>
        <v>1059729.2546039589</v>
      </c>
      <c r="BA37" s="39">
        <f t="shared" si="119"/>
        <v>4544902.9075335404</v>
      </c>
      <c r="BB37" s="39">
        <f t="shared" si="119"/>
        <v>1128234.9964028432</v>
      </c>
      <c r="BC37" s="39">
        <f t="shared" si="119"/>
        <v>1174943.6326904246</v>
      </c>
      <c r="BD37" s="39">
        <f t="shared" si="119"/>
        <v>1213091.7737580827</v>
      </c>
      <c r="BE37" s="39">
        <f t="shared" si="119"/>
        <v>1069107.6806032017</v>
      </c>
      <c r="BF37" s="39">
        <f t="shared" si="119"/>
        <v>4585378.0834545521</v>
      </c>
    </row>
    <row r="39" spans="1:58">
      <c r="A39" s="1" t="s">
        <v>709</v>
      </c>
    </row>
    <row r="40" spans="1:58">
      <c r="A40" s="5" t="s">
        <v>707</v>
      </c>
      <c r="I40" s="16">
        <f t="shared" ref="I40:AV40" si="120">I34/I8</f>
        <v>0.51760725342768676</v>
      </c>
      <c r="J40" s="16">
        <f t="shared" si="120"/>
        <v>0.51126270380931504</v>
      </c>
      <c r="K40" s="16">
        <f t="shared" si="120"/>
        <v>0.48717163355408388</v>
      </c>
      <c r="L40" s="16">
        <f t="shared" si="120"/>
        <v>0.45750263713080164</v>
      </c>
      <c r="M40" s="16">
        <f t="shared" si="120"/>
        <v>0.49230920624879188</v>
      </c>
      <c r="N40" s="16">
        <f t="shared" si="120"/>
        <v>0.50321659324522761</v>
      </c>
      <c r="O40" s="16">
        <f t="shared" si="120"/>
        <v>0.47816327941379777</v>
      </c>
      <c r="P40" s="16">
        <f t="shared" si="120"/>
        <v>0.45962847289999359</v>
      </c>
      <c r="Q40" s="16">
        <f t="shared" si="120"/>
        <v>0.40499202042770516</v>
      </c>
      <c r="R40" s="16">
        <f t="shared" si="120"/>
        <v>0.45972851826792965</v>
      </c>
      <c r="S40" s="16">
        <f t="shared" si="120"/>
        <v>0.50077708610197946</v>
      </c>
      <c r="T40" s="16">
        <f t="shared" si="120"/>
        <v>0.49951997872481885</v>
      </c>
      <c r="U40" s="16">
        <f t="shared" si="120"/>
        <v>0.47640955761186454</v>
      </c>
      <c r="V40" s="16">
        <f t="shared" si="120"/>
        <v>0.41749202042770506</v>
      </c>
      <c r="W40" s="16">
        <f t="shared" si="120"/>
        <v>0.47234733074263635</v>
      </c>
      <c r="X40" s="16">
        <f t="shared" si="120"/>
        <v>0.51077708610197947</v>
      </c>
      <c r="Y40" s="16">
        <f t="shared" si="120"/>
        <v>0.50201997872481885</v>
      </c>
      <c r="Z40" s="16">
        <f t="shared" si="120"/>
        <v>0.48140955761186455</v>
      </c>
      <c r="AA40" s="16">
        <f t="shared" si="120"/>
        <v>0.42249202042770517</v>
      </c>
      <c r="AB40" s="16">
        <f t="shared" si="120"/>
        <v>0.47797355041681155</v>
      </c>
      <c r="AC40" s="16">
        <f t="shared" si="120"/>
        <v>0.51077708610197947</v>
      </c>
      <c r="AD40" s="16">
        <f t="shared" si="120"/>
        <v>0.50201997872481885</v>
      </c>
      <c r="AE40" s="16">
        <f t="shared" si="120"/>
        <v>0.48140955761186449</v>
      </c>
      <c r="AF40" s="16">
        <f t="shared" si="120"/>
        <v>0.42249202042770517</v>
      </c>
      <c r="AG40" s="16">
        <f t="shared" si="120"/>
        <v>0.47793224772371046</v>
      </c>
      <c r="AH40" s="16">
        <f t="shared" si="120"/>
        <v>0.51002708610197944</v>
      </c>
      <c r="AI40" s="16">
        <f t="shared" si="120"/>
        <v>0.50126997872481871</v>
      </c>
      <c r="AJ40" s="16">
        <f t="shared" si="120"/>
        <v>0.48065955761186463</v>
      </c>
      <c r="AK40" s="16">
        <f t="shared" si="120"/>
        <v>0.42174202042770514</v>
      </c>
      <c r="AL40" s="16">
        <f t="shared" si="120"/>
        <v>0.47716892716086018</v>
      </c>
      <c r="AM40" s="16">
        <f t="shared" si="120"/>
        <v>0.5085270861019795</v>
      </c>
      <c r="AN40" s="16">
        <f t="shared" si="120"/>
        <v>0.49976997872481888</v>
      </c>
      <c r="AO40" s="16">
        <f t="shared" si="120"/>
        <v>0.47915955761186463</v>
      </c>
      <c r="AP40" s="16">
        <f t="shared" si="120"/>
        <v>0.42024202042770514</v>
      </c>
      <c r="AQ40" s="16">
        <f t="shared" si="120"/>
        <v>0.47563941890989514</v>
      </c>
      <c r="AR40" s="16">
        <f t="shared" si="120"/>
        <v>0.50702708610197955</v>
      </c>
      <c r="AS40" s="16">
        <f t="shared" si="120"/>
        <v>0.49826997872481882</v>
      </c>
      <c r="AT40" s="16">
        <f t="shared" si="120"/>
        <v>0.47765955761186463</v>
      </c>
      <c r="AU40" s="16">
        <f t="shared" si="120"/>
        <v>0.41874202042770514</v>
      </c>
      <c r="AV40" s="16">
        <f t="shared" si="120"/>
        <v>0.47410997463975085</v>
      </c>
      <c r="AW40" s="209">
        <f>AR40-0.25%</f>
        <v>0.5045270861019796</v>
      </c>
      <c r="AX40" s="209">
        <f>AS40-0.25%</f>
        <v>0.49576997872481882</v>
      </c>
      <c r="AY40" s="209">
        <f>AT40-0.25%</f>
        <v>0.47515955761186462</v>
      </c>
      <c r="AZ40" s="209">
        <f>AU40-0.25%</f>
        <v>0.41624202042770514</v>
      </c>
      <c r="BA40" s="16">
        <f>BA34/BA8</f>
        <v>0.47160997463975091</v>
      </c>
      <c r="BB40" s="209">
        <f>AW40-0.25%</f>
        <v>0.50202708610197966</v>
      </c>
      <c r="BC40" s="209">
        <f>AX40-0.25%</f>
        <v>0.49326997872481881</v>
      </c>
      <c r="BD40" s="209">
        <f>AY40-0.25%</f>
        <v>0.47265955761186462</v>
      </c>
      <c r="BE40" s="209">
        <f>AZ40-0.25%</f>
        <v>0.41374202042770514</v>
      </c>
      <c r="BF40" s="16">
        <f>BF34/BF8</f>
        <v>0.46910997463975096</v>
      </c>
    </row>
    <row r="41" spans="1:58">
      <c r="A41" s="5" t="s">
        <v>708</v>
      </c>
      <c r="I41" s="16">
        <f t="shared" ref="I41:J43" si="121">I35/I9</f>
        <v>0.95725613803884779</v>
      </c>
      <c r="J41" s="16">
        <f t="shared" si="121"/>
        <v>0.95382059373330574</v>
      </c>
      <c r="K41" s="16">
        <f t="shared" ref="K41:O41" si="122">K35/K9</f>
        <v>0.95355150615524575</v>
      </c>
      <c r="L41" s="16">
        <f t="shared" si="122"/>
        <v>0.99943559599686138</v>
      </c>
      <c r="M41" s="16">
        <f t="shared" si="122"/>
        <v>0.96565685467164142</v>
      </c>
      <c r="N41" s="16">
        <f t="shared" si="122"/>
        <v>0.92796498150963325</v>
      </c>
      <c r="O41" s="16">
        <f t="shared" si="122"/>
        <v>0.92245970490577667</v>
      </c>
      <c r="P41" s="16">
        <f t="shared" ref="P41:T41" si="123">P35/P9</f>
        <v>0.93215198532974808</v>
      </c>
      <c r="Q41" s="16">
        <f t="shared" si="123"/>
        <v>0.87026704312778846</v>
      </c>
      <c r="R41" s="16">
        <f t="shared" si="123"/>
        <v>0.9137825674663258</v>
      </c>
      <c r="S41" s="16">
        <f t="shared" si="123"/>
        <v>1.0049811303699352</v>
      </c>
      <c r="T41" s="16">
        <f t="shared" si="123"/>
        <v>0.94236241954047484</v>
      </c>
      <c r="U41" s="16">
        <f t="shared" ref="U41:W41" si="124">U35/U9</f>
        <v>0.95718783311435585</v>
      </c>
      <c r="V41" s="16">
        <f t="shared" si="124"/>
        <v>0.96569818167162091</v>
      </c>
      <c r="W41" s="16">
        <f t="shared" si="124"/>
        <v>0.96505925221092059</v>
      </c>
      <c r="X41" s="16">
        <f t="shared" ref="X41:AB42" si="125">X35/X9</f>
        <v>0.96627594527599081</v>
      </c>
      <c r="Y41" s="16">
        <f t="shared" si="125"/>
        <v>0.96642986414175536</v>
      </c>
      <c r="Z41" s="16">
        <f t="shared" si="125"/>
        <v>0.96659614064086752</v>
      </c>
      <c r="AA41" s="16">
        <f t="shared" si="125"/>
        <v>0.96650568750716492</v>
      </c>
      <c r="AB41" s="16">
        <f t="shared" si="125"/>
        <v>0.96645691477615125</v>
      </c>
      <c r="AC41" s="16">
        <f t="shared" ref="AC41:AZ41" si="126">AC35/AC9</f>
        <v>0.9667347629323213</v>
      </c>
      <c r="AD41" s="16">
        <f t="shared" si="126"/>
        <v>0.96691045297724754</v>
      </c>
      <c r="AE41" s="16">
        <f t="shared" si="126"/>
        <v>0.9670237235943947</v>
      </c>
      <c r="AF41" s="16">
        <f t="shared" si="126"/>
        <v>0.96684693066549432</v>
      </c>
      <c r="AG41" s="16">
        <f t="shared" si="126"/>
        <v>0.96688460629148909</v>
      </c>
      <c r="AH41" s="16">
        <f t="shared" si="126"/>
        <v>0.96696751114113788</v>
      </c>
      <c r="AI41" s="16">
        <f t="shared" si="126"/>
        <v>0.96712438897664366</v>
      </c>
      <c r="AJ41" s="16">
        <f t="shared" si="126"/>
        <v>0.9672502813508268</v>
      </c>
      <c r="AK41" s="16">
        <f t="shared" si="126"/>
        <v>0.96711028087200424</v>
      </c>
      <c r="AL41" s="16">
        <f t="shared" si="126"/>
        <v>0.9671171739710186</v>
      </c>
      <c r="AM41" s="16">
        <f t="shared" si="126"/>
        <v>0.96727400058869106</v>
      </c>
      <c r="AN41" s="16">
        <f t="shared" si="126"/>
        <v>0.96741824650230224</v>
      </c>
      <c r="AO41" s="16">
        <f t="shared" si="126"/>
        <v>0.96748023379232873</v>
      </c>
      <c r="AP41" s="16">
        <f t="shared" si="126"/>
        <v>0.96732068186952858</v>
      </c>
      <c r="AQ41" s="16">
        <f t="shared" si="126"/>
        <v>0.96737583957514506</v>
      </c>
      <c r="AR41" s="16">
        <f t="shared" si="126"/>
        <v>0.96746423664790793</v>
      </c>
      <c r="AS41" s="16">
        <f t="shared" si="126"/>
        <v>0.96759123382174717</v>
      </c>
      <c r="AT41" s="16">
        <f t="shared" si="126"/>
        <v>0.96763069914166755</v>
      </c>
      <c r="AU41" s="16">
        <f t="shared" si="126"/>
        <v>0.96745406595402628</v>
      </c>
      <c r="AV41" s="16">
        <f t="shared" si="126"/>
        <v>0.96753749818428292</v>
      </c>
      <c r="AW41" s="16">
        <f t="shared" si="126"/>
        <v>0.96759033439795328</v>
      </c>
      <c r="AX41" s="16">
        <f t="shared" si="126"/>
        <v>0.96770594136603139</v>
      </c>
      <c r="AY41" s="16">
        <f t="shared" si="126"/>
        <v>0.96772983727273854</v>
      </c>
      <c r="AZ41" s="16">
        <f t="shared" si="126"/>
        <v>0.96754041016490011</v>
      </c>
      <c r="BA41" s="16">
        <f t="shared" ref="BA41:BA42" si="127">BA35/BA9</f>
        <v>0.96764414374124241</v>
      </c>
      <c r="BB41" s="209">
        <f>AW41</f>
        <v>0.96759033439795328</v>
      </c>
      <c r="BC41" s="209">
        <f>AX41</f>
        <v>0.96770594136603139</v>
      </c>
      <c r="BD41" s="209">
        <f>AY41</f>
        <v>0.96772983727273854</v>
      </c>
      <c r="BE41" s="209">
        <f>AZ41</f>
        <v>0.96754041016490011</v>
      </c>
      <c r="BF41" s="16">
        <f t="shared" ref="BF41:BF42" si="128">BF35/BF9</f>
        <v>0.96764414374124219</v>
      </c>
    </row>
    <row r="42" spans="1:58">
      <c r="A42" s="5" t="s">
        <v>711</v>
      </c>
      <c r="I42" s="16">
        <f t="shared" si="121"/>
        <v>0.80159832101190687</v>
      </c>
      <c r="J42" s="16">
        <f t="shared" si="121"/>
        <v>0.82173218316062324</v>
      </c>
      <c r="K42" s="16">
        <f t="shared" ref="K42:O42" si="129">K36/K10</f>
        <v>0.8906315062366037</v>
      </c>
      <c r="L42" s="16">
        <f t="shared" si="129"/>
        <v>0.43048916118710107</v>
      </c>
      <c r="M42" s="16">
        <f t="shared" si="129"/>
        <v>0.75504564168510069</v>
      </c>
      <c r="N42" s="16">
        <f t="shared" si="129"/>
        <v>0.95788947722951312</v>
      </c>
      <c r="O42" s="16">
        <f t="shared" si="129"/>
        <v>0.8495411081996912</v>
      </c>
      <c r="P42" s="16">
        <f t="shared" ref="P42:T42" si="130">P36/P10</f>
        <v>1.0417564370759922</v>
      </c>
      <c r="Q42" s="16">
        <f t="shared" si="130"/>
        <v>0.95395906366617511</v>
      </c>
      <c r="R42" s="16">
        <f t="shared" si="130"/>
        <v>0.94434683927674412</v>
      </c>
      <c r="S42" s="16">
        <f t="shared" si="130"/>
        <v>0.69129016664546583</v>
      </c>
      <c r="T42" s="16">
        <f t="shared" si="130"/>
        <v>0.79695170065201992</v>
      </c>
      <c r="U42" s="16">
        <f t="shared" ref="U42" si="131">U36/U10</f>
        <v>0.85958381563716879</v>
      </c>
      <c r="V42" s="209">
        <v>0.75</v>
      </c>
      <c r="W42" s="16">
        <f t="shared" ref="W42" si="132">W36/W10</f>
        <v>0.7892186204075764</v>
      </c>
      <c r="X42" s="209">
        <v>0.75</v>
      </c>
      <c r="Y42" s="209">
        <v>0.75</v>
      </c>
      <c r="Z42" s="209">
        <v>0.75</v>
      </c>
      <c r="AA42" s="209">
        <v>0.75</v>
      </c>
      <c r="AB42" s="16">
        <f t="shared" si="125"/>
        <v>0.75000000000000011</v>
      </c>
      <c r="AC42" s="209">
        <f>X42-0.75%</f>
        <v>0.74250000000000005</v>
      </c>
      <c r="AD42" s="209">
        <f>Y42-0.75%</f>
        <v>0.74250000000000005</v>
      </c>
      <c r="AE42" s="209">
        <f>Z42-0.75%</f>
        <v>0.74250000000000005</v>
      </c>
      <c r="AF42" s="209">
        <f>AA42-0.75%</f>
        <v>0.74250000000000005</v>
      </c>
      <c r="AG42" s="16">
        <f t="shared" ref="AG42" si="133">AG36/AG10</f>
        <v>0.74250000000000005</v>
      </c>
      <c r="AH42" s="209">
        <f>AC42-0.75%</f>
        <v>0.7350000000000001</v>
      </c>
      <c r="AI42" s="209">
        <f>AD42-0.75%</f>
        <v>0.7350000000000001</v>
      </c>
      <c r="AJ42" s="209">
        <f>AE42-0.75%</f>
        <v>0.7350000000000001</v>
      </c>
      <c r="AK42" s="209">
        <f>AF42-0.75%</f>
        <v>0.7350000000000001</v>
      </c>
      <c r="AL42" s="16">
        <f t="shared" ref="AL42" si="134">AL36/AL10</f>
        <v>0.73499999999999999</v>
      </c>
      <c r="AM42" s="209">
        <f>AH42-0.75%</f>
        <v>0.72750000000000015</v>
      </c>
      <c r="AN42" s="209">
        <f>AI42-0.75%</f>
        <v>0.72750000000000015</v>
      </c>
      <c r="AO42" s="209">
        <f>AJ42-0.75%</f>
        <v>0.72750000000000015</v>
      </c>
      <c r="AP42" s="209">
        <f>AK42-0.75%</f>
        <v>0.72750000000000015</v>
      </c>
      <c r="AQ42" s="16">
        <f t="shared" ref="AQ42" si="135">AQ36/AQ10</f>
        <v>0.72750000000000015</v>
      </c>
      <c r="AR42" s="209">
        <f>AM42-0.75%</f>
        <v>0.7200000000000002</v>
      </c>
      <c r="AS42" s="209">
        <f>AN42-0.75%</f>
        <v>0.7200000000000002</v>
      </c>
      <c r="AT42" s="209">
        <f>AO42-0.75%</f>
        <v>0.7200000000000002</v>
      </c>
      <c r="AU42" s="209">
        <f>AP42-0.75%</f>
        <v>0.7200000000000002</v>
      </c>
      <c r="AV42" s="16">
        <f t="shared" ref="AV42" si="136">AV36/AV10</f>
        <v>0.72000000000000031</v>
      </c>
      <c r="AW42" s="209">
        <f>AR42-0.75%</f>
        <v>0.71250000000000024</v>
      </c>
      <c r="AX42" s="209">
        <f>AS42-0.75%</f>
        <v>0.71250000000000024</v>
      </c>
      <c r="AY42" s="209">
        <f>AT42-0.75%</f>
        <v>0.71250000000000024</v>
      </c>
      <c r="AZ42" s="209">
        <f>AU42-0.75%</f>
        <v>0.71250000000000024</v>
      </c>
      <c r="BA42" s="16">
        <f t="shared" si="127"/>
        <v>0.71250000000000036</v>
      </c>
      <c r="BB42" s="209">
        <f>AW42-0.75%</f>
        <v>0.70500000000000029</v>
      </c>
      <c r="BC42" s="209">
        <f>AX42-0.75%</f>
        <v>0.70500000000000029</v>
      </c>
      <c r="BD42" s="209">
        <f>AY42-0.75%</f>
        <v>0.70500000000000029</v>
      </c>
      <c r="BE42" s="209">
        <f>AZ42-0.75%</f>
        <v>0.70500000000000029</v>
      </c>
      <c r="BF42" s="16">
        <f t="shared" si="128"/>
        <v>0.70500000000000007</v>
      </c>
    </row>
    <row r="43" spans="1:58">
      <c r="A43" s="9" t="s">
        <v>1927</v>
      </c>
      <c r="B43" s="9"/>
      <c r="C43" s="9"/>
      <c r="D43" s="9"/>
      <c r="E43" s="9"/>
      <c r="F43" s="9"/>
      <c r="G43" s="9"/>
      <c r="H43" s="9"/>
      <c r="I43" s="17">
        <f t="shared" si="121"/>
        <v>0.54895026414104464</v>
      </c>
      <c r="J43" s="17">
        <f t="shared" si="121"/>
        <v>0.54711407433011827</v>
      </c>
      <c r="K43" s="17">
        <f t="shared" ref="K43:O43" si="137">K37/K11</f>
        <v>0.52708760085542428</v>
      </c>
      <c r="L43" s="17">
        <f t="shared" si="137"/>
        <v>0.48065330890464647</v>
      </c>
      <c r="M43" s="17">
        <f t="shared" si="137"/>
        <v>0.5248824486051189</v>
      </c>
      <c r="N43" s="17">
        <f t="shared" si="137"/>
        <v>0.56219728631132992</v>
      </c>
      <c r="O43" s="17">
        <f t="shared" si="137"/>
        <v>0.52006554701893326</v>
      </c>
      <c r="P43" s="17">
        <f t="shared" ref="P43:T43" si="138">P37/P11</f>
        <v>0.50658242858897673</v>
      </c>
      <c r="Q43" s="17">
        <f t="shared" si="138"/>
        <v>0.44192719981400463</v>
      </c>
      <c r="R43" s="17">
        <f t="shared" si="138"/>
        <v>0.50651744883408856</v>
      </c>
      <c r="S43" s="17">
        <f t="shared" si="138"/>
        <v>0.53423515913572139</v>
      </c>
      <c r="T43" s="17">
        <f t="shared" si="138"/>
        <v>0.53921139370837579</v>
      </c>
      <c r="U43" s="17">
        <f t="shared" ref="U43:V43" si="139">U37/U11</f>
        <v>0.52560426539616789</v>
      </c>
      <c r="V43" s="17">
        <f t="shared" si="139"/>
        <v>0.46580599476860635</v>
      </c>
      <c r="W43" s="17">
        <f t="shared" ref="W43:AA43" si="140">W37/W11</f>
        <v>0.51525308712408247</v>
      </c>
      <c r="X43" s="17">
        <f t="shared" si="140"/>
        <v>0.55819864352886217</v>
      </c>
      <c r="Y43" s="17">
        <f t="shared" si="140"/>
        <v>0.54981184341898637</v>
      </c>
      <c r="Z43" s="17">
        <f t="shared" si="140"/>
        <v>0.53586429016325587</v>
      </c>
      <c r="AA43" s="17">
        <f t="shared" si="140"/>
        <v>0.47922195548891888</v>
      </c>
      <c r="AB43" s="17">
        <f t="shared" ref="AB43:AF43" si="141">AB37/AB11</f>
        <v>0.52980930465989773</v>
      </c>
      <c r="AC43" s="17">
        <f t="shared" si="141"/>
        <v>0.56265368618970757</v>
      </c>
      <c r="AD43" s="17">
        <f t="shared" si="141"/>
        <v>0.55658271303420348</v>
      </c>
      <c r="AE43" s="17">
        <f t="shared" si="141"/>
        <v>0.54348927725809315</v>
      </c>
      <c r="AF43" s="17">
        <f t="shared" si="141"/>
        <v>0.48634464318656273</v>
      </c>
      <c r="AG43" s="17">
        <f t="shared" ref="AG43:BE43" si="142">AG37/AG11</f>
        <v>0.53631791986347765</v>
      </c>
      <c r="AH43" s="17">
        <f t="shared" si="142"/>
        <v>0.56902411615108361</v>
      </c>
      <c r="AI43" s="17">
        <f t="shared" si="142"/>
        <v>0.56247298501963172</v>
      </c>
      <c r="AJ43" s="17">
        <f t="shared" si="142"/>
        <v>0.54805012165364297</v>
      </c>
      <c r="AK43" s="17">
        <f t="shared" si="142"/>
        <v>0.4909343925763871</v>
      </c>
      <c r="AL43" s="17">
        <f t="shared" si="142"/>
        <v>0.54170082175792367</v>
      </c>
      <c r="AM43" s="17">
        <f t="shared" si="142"/>
        <v>0.57290768599301567</v>
      </c>
      <c r="AN43" s="17">
        <f t="shared" si="142"/>
        <v>0.56621784171736922</v>
      </c>
      <c r="AO43" s="17">
        <f t="shared" si="142"/>
        <v>0.55067601224493368</v>
      </c>
      <c r="AP43" s="17">
        <f t="shared" si="142"/>
        <v>0.49286026968002777</v>
      </c>
      <c r="AQ43" s="17">
        <f t="shared" si="142"/>
        <v>0.54476885648619899</v>
      </c>
      <c r="AR43" s="17">
        <f t="shared" si="142"/>
        <v>0.57453488987677426</v>
      </c>
      <c r="AS43" s="17">
        <f t="shared" si="142"/>
        <v>0.56801237978938801</v>
      </c>
      <c r="AT43" s="17">
        <f t="shared" si="142"/>
        <v>0.55229140085435968</v>
      </c>
      <c r="AU43" s="17">
        <f t="shared" si="142"/>
        <v>0.49439839138623909</v>
      </c>
      <c r="AV43" s="17">
        <f t="shared" si="142"/>
        <v>0.54640907653900672</v>
      </c>
      <c r="AW43" s="17">
        <f t="shared" si="142"/>
        <v>0.57646987843328201</v>
      </c>
      <c r="AX43" s="17">
        <f t="shared" si="142"/>
        <v>0.56992963854423995</v>
      </c>
      <c r="AY43" s="17">
        <f t="shared" si="142"/>
        <v>0.55388743799844731</v>
      </c>
      <c r="AZ43" s="17">
        <f t="shared" si="142"/>
        <v>0.49586451056345582</v>
      </c>
      <c r="BA43" s="17">
        <f t="shared" si="142"/>
        <v>0.54816827410378877</v>
      </c>
      <c r="BB43" s="17">
        <f t="shared" si="142"/>
        <v>0.57680169958259953</v>
      </c>
      <c r="BC43" s="17">
        <f t="shared" si="142"/>
        <v>0.57031843079738909</v>
      </c>
      <c r="BD43" s="17">
        <f t="shared" si="142"/>
        <v>0.55421789047823633</v>
      </c>
      <c r="BE43" s="17">
        <f t="shared" si="142"/>
        <v>0.49646976180055302</v>
      </c>
      <c r="BF43" s="17">
        <f t="shared" ref="BF43" si="143">BF37/BF11</f>
        <v>0.54859338711999639</v>
      </c>
    </row>
    <row r="45" spans="1:58">
      <c r="A45" s="1" t="s">
        <v>1930</v>
      </c>
    </row>
    <row r="46" spans="1:58">
      <c r="A46" s="5" t="s">
        <v>707</v>
      </c>
      <c r="I46" s="21">
        <f t="shared" ref="I46:AN46" si="144">I34/I$37</f>
        <v>0.86479196917131262</v>
      </c>
      <c r="J46" s="21">
        <f t="shared" si="144"/>
        <v>0.84957633811304634</v>
      </c>
      <c r="K46" s="21">
        <f t="shared" si="144"/>
        <v>0.83878584595503691</v>
      </c>
      <c r="L46" s="21">
        <f t="shared" si="144"/>
        <v>0.8799589147925766</v>
      </c>
      <c r="M46" s="21">
        <f t="shared" si="144"/>
        <v>0.8579147188212547</v>
      </c>
      <c r="N46" s="21">
        <f t="shared" si="144"/>
        <v>0.77550122144262612</v>
      </c>
      <c r="O46" s="21">
        <f t="shared" si="144"/>
        <v>0.82588610904818638</v>
      </c>
      <c r="P46" s="21">
        <f t="shared" si="144"/>
        <v>0.82351123929521552</v>
      </c>
      <c r="Q46" s="21">
        <f t="shared" si="144"/>
        <v>0.84711430742176408</v>
      </c>
      <c r="R46" s="21">
        <f t="shared" si="144"/>
        <v>0.81667088336024607</v>
      </c>
      <c r="S46" s="21">
        <f t="shared" si="144"/>
        <v>0.86045248324970702</v>
      </c>
      <c r="T46" s="21">
        <f t="shared" si="144"/>
        <v>0.83458447839580918</v>
      </c>
      <c r="U46" s="21">
        <f t="shared" si="144"/>
        <v>0.80577554713227206</v>
      </c>
      <c r="V46" s="21">
        <f t="shared" si="144"/>
        <v>0.80781960176632817</v>
      </c>
      <c r="W46" s="21">
        <f t="shared" si="144"/>
        <v>0.82670648617263665</v>
      </c>
      <c r="X46" s="21">
        <f t="shared" si="144"/>
        <v>0.80534071520834993</v>
      </c>
      <c r="Y46" s="21">
        <f t="shared" si="144"/>
        <v>0.80435915507583233</v>
      </c>
      <c r="Z46" s="21">
        <f t="shared" si="144"/>
        <v>0.77861389137814951</v>
      </c>
      <c r="AA46" s="21">
        <f t="shared" si="144"/>
        <v>0.77919796041187228</v>
      </c>
      <c r="AB46" s="21">
        <f t="shared" si="144"/>
        <v>0.79188635772682137</v>
      </c>
      <c r="AC46" s="21">
        <f t="shared" si="144"/>
        <v>0.78831663005112285</v>
      </c>
      <c r="AD46" s="21">
        <f t="shared" si="144"/>
        <v>0.77973853731555198</v>
      </c>
      <c r="AE46" s="21">
        <f t="shared" si="144"/>
        <v>0.75160910078782661</v>
      </c>
      <c r="AF46" s="21">
        <f t="shared" si="144"/>
        <v>0.75520388819031459</v>
      </c>
      <c r="AG46" s="21">
        <f t="shared" si="144"/>
        <v>0.76857659130478218</v>
      </c>
      <c r="AH46" s="21">
        <f t="shared" si="144"/>
        <v>0.76319347173172292</v>
      </c>
      <c r="AI46" s="21">
        <f t="shared" si="144"/>
        <v>0.75646435803912437</v>
      </c>
      <c r="AJ46" s="21">
        <f t="shared" si="144"/>
        <v>0.73292767079164245</v>
      </c>
      <c r="AK46" s="21">
        <f t="shared" si="144"/>
        <v>0.7374935243960361</v>
      </c>
      <c r="AL46" s="21">
        <f t="shared" si="144"/>
        <v>0.74742173564312642</v>
      </c>
      <c r="AM46" s="21">
        <f t="shared" si="144"/>
        <v>0.7447123916247248</v>
      </c>
      <c r="AN46" s="21">
        <f t="shared" si="144"/>
        <v>0.738631400741114</v>
      </c>
      <c r="AO46" s="21">
        <f t="shared" ref="AO46:BF46" si="145">AO34/AO$37</f>
        <v>0.71870472161211885</v>
      </c>
      <c r="AP46" s="21">
        <f t="shared" si="145"/>
        <v>0.72612750793857239</v>
      </c>
      <c r="AQ46" s="21">
        <f t="shared" si="145"/>
        <v>0.73193229857749353</v>
      </c>
      <c r="AR46" s="21">
        <f t="shared" si="145"/>
        <v>0.73407714562545412</v>
      </c>
      <c r="AS46" s="21">
        <f t="shared" si="145"/>
        <v>0.72757351648448698</v>
      </c>
      <c r="AT46" s="21">
        <f t="shared" si="145"/>
        <v>0.70825077250090207</v>
      </c>
      <c r="AU46" s="21">
        <f t="shared" si="145"/>
        <v>0.71634884609557181</v>
      </c>
      <c r="AV46" s="21">
        <f t="shared" si="145"/>
        <v>0.72143587769266082</v>
      </c>
      <c r="AW46" s="21">
        <f t="shared" si="145"/>
        <v>0.71950409267054127</v>
      </c>
      <c r="AX46" s="21">
        <f t="shared" si="145"/>
        <v>0.71319838476014741</v>
      </c>
      <c r="AY46" s="21">
        <f t="shared" si="145"/>
        <v>0.69493181291035511</v>
      </c>
      <c r="AZ46" s="21">
        <f t="shared" si="145"/>
        <v>0.7037996146939326</v>
      </c>
      <c r="BA46" s="21">
        <f t="shared" si="145"/>
        <v>0.70772578270860687</v>
      </c>
      <c r="BB46" s="21">
        <f t="shared" si="145"/>
        <v>0.71035705567497476</v>
      </c>
      <c r="BC46" s="21">
        <f t="shared" si="145"/>
        <v>0.70395737736937958</v>
      </c>
      <c r="BD46" s="21">
        <f t="shared" si="145"/>
        <v>0.68587955670936385</v>
      </c>
      <c r="BE46" s="21">
        <f t="shared" si="145"/>
        <v>0.69412915496257122</v>
      </c>
      <c r="BF46" s="21">
        <f t="shared" si="145"/>
        <v>0.6984579088189381</v>
      </c>
    </row>
    <row r="47" spans="1:58">
      <c r="A47" s="5" t="s">
        <v>708</v>
      </c>
      <c r="I47" s="21">
        <f t="shared" ref="I47:J49" si="146">I35/I$37</f>
        <v>8.7568486339105134E-2</v>
      </c>
      <c r="J47" s="21">
        <f t="shared" si="146"/>
        <v>0.10091078902988483</v>
      </c>
      <c r="K47" s="21">
        <f t="shared" ref="K47:O47" si="147">K35/K$37</f>
        <v>7.4766612520237349E-2</v>
      </c>
      <c r="L47" s="21">
        <f t="shared" si="147"/>
        <v>9.206383423894092E-2</v>
      </c>
      <c r="M47" s="21">
        <f t="shared" si="147"/>
        <v>8.8716289981670346E-2</v>
      </c>
      <c r="N47" s="21">
        <f t="shared" si="147"/>
        <v>9.7386916137412571E-2</v>
      </c>
      <c r="O47" s="21">
        <f t="shared" si="147"/>
        <v>0.10017623080982595</v>
      </c>
      <c r="P47" s="21">
        <f t="shared" ref="P47:T47" si="148">P35/P$37</f>
        <v>0.11437034999079032</v>
      </c>
      <c r="Q47" s="21">
        <f t="shared" si="148"/>
        <v>0.10782949825014454</v>
      </c>
      <c r="R47" s="21">
        <f t="shared" si="148"/>
        <v>0.10481623729508222</v>
      </c>
      <c r="S47" s="21">
        <f t="shared" si="148"/>
        <v>0.10689281615239012</v>
      </c>
      <c r="T47" s="21">
        <f t="shared" si="148"/>
        <v>0.12278298501958361</v>
      </c>
      <c r="U47" s="21">
        <f t="shared" ref="U47:BF47" si="149">U35/U$37</f>
        <v>0.1241724409989023</v>
      </c>
      <c r="V47" s="21">
        <f t="shared" si="149"/>
        <v>0.14894661012328478</v>
      </c>
      <c r="W47" s="21">
        <f t="shared" si="149"/>
        <v>0.1255732220137202</v>
      </c>
      <c r="X47" s="21">
        <f t="shared" si="149"/>
        <v>0.15000321427851893</v>
      </c>
      <c r="Y47" s="21">
        <f t="shared" si="149"/>
        <v>0.14834615377371321</v>
      </c>
      <c r="Z47" s="21">
        <f t="shared" si="149"/>
        <v>0.15530112542393346</v>
      </c>
      <c r="AA47" s="21">
        <f t="shared" si="149"/>
        <v>0.17402448957588179</v>
      </c>
      <c r="AB47" s="21">
        <f t="shared" si="149"/>
        <v>0.15662056345747355</v>
      </c>
      <c r="AC47" s="21">
        <f t="shared" si="149"/>
        <v>0.16380255269479688</v>
      </c>
      <c r="AD47" s="21">
        <f t="shared" si="149"/>
        <v>0.17010873071919219</v>
      </c>
      <c r="AE47" s="21">
        <f t="shared" si="149"/>
        <v>0.17856701013094339</v>
      </c>
      <c r="AF47" s="21">
        <f t="shared" si="149"/>
        <v>0.19530565159492644</v>
      </c>
      <c r="AG47" s="21">
        <f t="shared" si="149"/>
        <v>0.17675283611697862</v>
      </c>
      <c r="AH47" s="21">
        <f t="shared" si="149"/>
        <v>0.18741555152415276</v>
      </c>
      <c r="AI47" s="21">
        <f t="shared" si="149"/>
        <v>0.19161941785961908</v>
      </c>
      <c r="AJ47" s="21">
        <f t="shared" si="149"/>
        <v>0.19453099967133131</v>
      </c>
      <c r="AK47" s="21">
        <f t="shared" si="149"/>
        <v>0.21101386177154469</v>
      </c>
      <c r="AL47" s="21">
        <f t="shared" si="149"/>
        <v>0.19591154135342131</v>
      </c>
      <c r="AM47" s="21">
        <f t="shared" si="149"/>
        <v>0.20508091027362108</v>
      </c>
      <c r="AN47" s="21">
        <f t="shared" si="149"/>
        <v>0.20859300500818134</v>
      </c>
      <c r="AO47" s="21">
        <f t="shared" si="149"/>
        <v>0.20717568917779264</v>
      </c>
      <c r="AP47" s="21">
        <f t="shared" si="149"/>
        <v>0.22114611558507169</v>
      </c>
      <c r="AQ47" s="21">
        <f t="shared" si="149"/>
        <v>0.21028740110040453</v>
      </c>
      <c r="AR47" s="21">
        <f t="shared" si="149"/>
        <v>0.21563294125389679</v>
      </c>
      <c r="AS47" s="21">
        <f t="shared" si="149"/>
        <v>0.21959953480135683</v>
      </c>
      <c r="AT47" s="21">
        <f t="shared" si="149"/>
        <v>0.2175383286724418</v>
      </c>
      <c r="AU47" s="21">
        <f t="shared" si="149"/>
        <v>0.2308697710750921</v>
      </c>
      <c r="AV47" s="21">
        <f t="shared" si="149"/>
        <v>0.22071297420507649</v>
      </c>
      <c r="AW47" s="21">
        <f t="shared" si="149"/>
        <v>0.22993353065505134</v>
      </c>
      <c r="AX47" s="21">
        <f t="shared" si="149"/>
        <v>0.23367870649605335</v>
      </c>
      <c r="AY47" s="21">
        <f t="shared" si="149"/>
        <v>0.23035277671743157</v>
      </c>
      <c r="AZ47" s="21">
        <f t="shared" si="149"/>
        <v>0.24295104869793285</v>
      </c>
      <c r="BA47" s="21">
        <f t="shared" si="149"/>
        <v>0.23403926435088487</v>
      </c>
      <c r="BB47" s="21">
        <f t="shared" si="149"/>
        <v>0.23930859487302589</v>
      </c>
      <c r="BC47" s="21">
        <f t="shared" si="149"/>
        <v>0.24316771595668704</v>
      </c>
      <c r="BD47" s="21">
        <f t="shared" si="149"/>
        <v>0.23974268420905617</v>
      </c>
      <c r="BE47" s="21">
        <f t="shared" si="149"/>
        <v>0.25286082527859116</v>
      </c>
      <c r="BF47" s="21">
        <f t="shared" si="149"/>
        <v>0.24357206741721554</v>
      </c>
    </row>
    <row r="48" spans="1:58">
      <c r="A48" s="5" t="s">
        <v>711</v>
      </c>
      <c r="I48" s="21">
        <f t="shared" si="146"/>
        <v>4.7639544489582242E-2</v>
      </c>
      <c r="J48" s="21">
        <f t="shared" si="146"/>
        <v>4.9512872857068832E-2</v>
      </c>
      <c r="K48" s="21">
        <f t="shared" ref="K48:O48" si="150">K36/K$37</f>
        <v>8.6447541524725738E-2</v>
      </c>
      <c r="L48" s="21">
        <f t="shared" si="150"/>
        <v>2.7977250968482466E-2</v>
      </c>
      <c r="M48" s="21">
        <f t="shared" si="150"/>
        <v>5.3368991197074889E-2</v>
      </c>
      <c r="N48" s="21">
        <f t="shared" si="150"/>
        <v>0.12711186241996136</v>
      </c>
      <c r="O48" s="21">
        <f t="shared" si="150"/>
        <v>7.3937660141987702E-2</v>
      </c>
      <c r="P48" s="21">
        <f t="shared" ref="P48:T48" si="151">P36/P$37</f>
        <v>6.2118410713994189E-2</v>
      </c>
      <c r="Q48" s="21">
        <f t="shared" si="151"/>
        <v>4.5056194328091478E-2</v>
      </c>
      <c r="R48" s="21">
        <f t="shared" si="151"/>
        <v>7.8512879344671771E-2</v>
      </c>
      <c r="S48" s="21">
        <f t="shared" si="151"/>
        <v>3.2654700597902875E-2</v>
      </c>
      <c r="T48" s="21">
        <f t="shared" si="151"/>
        <v>4.2632536584607222E-2</v>
      </c>
      <c r="U48" s="21">
        <f t="shared" ref="U48:BF48" si="152">U36/U$37</f>
        <v>7.0052011868825592E-2</v>
      </c>
      <c r="V48" s="21">
        <f t="shared" si="152"/>
        <v>4.3233788110387125E-2</v>
      </c>
      <c r="W48" s="21">
        <f t="shared" si="152"/>
        <v>4.7720291813643158E-2</v>
      </c>
      <c r="X48" s="21">
        <f t="shared" si="152"/>
        <v>4.4656070513131148E-2</v>
      </c>
      <c r="Y48" s="21">
        <f t="shared" si="152"/>
        <v>4.7294691150454524E-2</v>
      </c>
      <c r="Z48" s="21">
        <f t="shared" si="152"/>
        <v>6.6084983197917141E-2</v>
      </c>
      <c r="AA48" s="21">
        <f t="shared" si="152"/>
        <v>4.6777550012246011E-2</v>
      </c>
      <c r="AB48" s="21">
        <f t="shared" si="152"/>
        <v>5.1493078815704946E-2</v>
      </c>
      <c r="AC48" s="21">
        <f t="shared" si="152"/>
        <v>4.7880817254080228E-2</v>
      </c>
      <c r="AD48" s="21">
        <f t="shared" si="152"/>
        <v>5.0152731965255819E-2</v>
      </c>
      <c r="AE48" s="21">
        <f t="shared" si="152"/>
        <v>6.9823889081230009E-2</v>
      </c>
      <c r="AF48" s="21">
        <f t="shared" si="152"/>
        <v>4.9490460214759051E-2</v>
      </c>
      <c r="AG48" s="21">
        <f t="shared" si="152"/>
        <v>5.4670572578239172E-2</v>
      </c>
      <c r="AH48" s="21">
        <f t="shared" si="152"/>
        <v>4.9390976744124272E-2</v>
      </c>
      <c r="AI48" s="21">
        <f t="shared" si="152"/>
        <v>5.1916224101256542E-2</v>
      </c>
      <c r="AJ48" s="21">
        <f t="shared" si="152"/>
        <v>7.2541329537026245E-2</v>
      </c>
      <c r="AK48" s="21">
        <f t="shared" si="152"/>
        <v>5.1492613832419223E-2</v>
      </c>
      <c r="AL48" s="21">
        <f t="shared" si="152"/>
        <v>5.6666723003452199E-2</v>
      </c>
      <c r="AM48" s="21">
        <f t="shared" si="152"/>
        <v>5.0206698101654193E-2</v>
      </c>
      <c r="AN48" s="21">
        <f t="shared" si="152"/>
        <v>5.2775594250704674E-2</v>
      </c>
      <c r="AO48" s="21">
        <f t="shared" si="152"/>
        <v>7.4119589210088668E-2</v>
      </c>
      <c r="AP48" s="21">
        <f t="shared" si="152"/>
        <v>5.2726376476355925E-2</v>
      </c>
      <c r="AQ48" s="21">
        <f t="shared" si="152"/>
        <v>5.7780300322102011E-2</v>
      </c>
      <c r="AR48" s="21">
        <f t="shared" si="152"/>
        <v>5.0289913120649024E-2</v>
      </c>
      <c r="AS48" s="21">
        <f t="shared" si="152"/>
        <v>5.2826948714156205E-2</v>
      </c>
      <c r="AT48" s="21">
        <f t="shared" si="152"/>
        <v>7.4210898826656144E-2</v>
      </c>
      <c r="AU48" s="21">
        <f t="shared" si="152"/>
        <v>5.2781382829336046E-2</v>
      </c>
      <c r="AV48" s="21">
        <f t="shared" si="152"/>
        <v>5.7851148102262696E-2</v>
      </c>
      <c r="AW48" s="21">
        <f t="shared" si="152"/>
        <v>5.0562376674407473E-2</v>
      </c>
      <c r="AX48" s="21">
        <f t="shared" si="152"/>
        <v>5.3122908743799165E-2</v>
      </c>
      <c r="AY48" s="21">
        <f t="shared" si="152"/>
        <v>7.4715410372213423E-2</v>
      </c>
      <c r="AZ48" s="21">
        <f t="shared" si="152"/>
        <v>5.3249336608134551E-2</v>
      </c>
      <c r="BA48" s="21">
        <f t="shared" si="152"/>
        <v>5.8234952940508206E-2</v>
      </c>
      <c r="BB48" s="21">
        <f t="shared" si="152"/>
        <v>5.0334349451999424E-2</v>
      </c>
      <c r="BC48" s="21">
        <f t="shared" si="152"/>
        <v>5.2874906673933443E-2</v>
      </c>
      <c r="BD48" s="21">
        <f t="shared" si="152"/>
        <v>7.4377759081579842E-2</v>
      </c>
      <c r="BE48" s="21">
        <f t="shared" si="152"/>
        <v>5.3010019758837679E-2</v>
      </c>
      <c r="BF48" s="21">
        <f t="shared" si="152"/>
        <v>5.7970023763846301E-2</v>
      </c>
    </row>
    <row r="49" spans="1:58">
      <c r="A49" s="9" t="s">
        <v>1931</v>
      </c>
      <c r="B49" s="9"/>
      <c r="C49" s="9"/>
      <c r="D49" s="9"/>
      <c r="E49" s="9"/>
      <c r="F49" s="9"/>
      <c r="G49" s="9"/>
      <c r="H49" s="9"/>
      <c r="I49" s="32">
        <f t="shared" si="146"/>
        <v>1</v>
      </c>
      <c r="J49" s="32">
        <f t="shared" si="146"/>
        <v>1</v>
      </c>
      <c r="K49" s="32">
        <f t="shared" ref="K49:O49" si="153">K37/K$37</f>
        <v>1</v>
      </c>
      <c r="L49" s="32">
        <f t="shared" si="153"/>
        <v>1</v>
      </c>
      <c r="M49" s="32">
        <f t="shared" si="153"/>
        <v>1</v>
      </c>
      <c r="N49" s="32">
        <f t="shared" si="153"/>
        <v>1</v>
      </c>
      <c r="O49" s="32">
        <f t="shared" si="153"/>
        <v>1</v>
      </c>
      <c r="P49" s="32">
        <f t="shared" ref="P49:T49" si="154">P37/P$37</f>
        <v>1</v>
      </c>
      <c r="Q49" s="32">
        <f t="shared" si="154"/>
        <v>1</v>
      </c>
      <c r="R49" s="32">
        <f t="shared" si="154"/>
        <v>1</v>
      </c>
      <c r="S49" s="32">
        <f t="shared" si="154"/>
        <v>1</v>
      </c>
      <c r="T49" s="32">
        <f t="shared" si="154"/>
        <v>1</v>
      </c>
      <c r="U49" s="32">
        <f t="shared" ref="U49:BF49" si="155">U37/U$37</f>
        <v>1</v>
      </c>
      <c r="V49" s="32">
        <f t="shared" si="155"/>
        <v>1</v>
      </c>
      <c r="W49" s="32">
        <f t="shared" si="155"/>
        <v>1</v>
      </c>
      <c r="X49" s="32">
        <f t="shared" si="155"/>
        <v>1</v>
      </c>
      <c r="Y49" s="32">
        <f t="shared" si="155"/>
        <v>1</v>
      </c>
      <c r="Z49" s="32">
        <f t="shared" si="155"/>
        <v>1</v>
      </c>
      <c r="AA49" s="32">
        <f t="shared" si="155"/>
        <v>1</v>
      </c>
      <c r="AB49" s="32">
        <f t="shared" si="155"/>
        <v>1</v>
      </c>
      <c r="AC49" s="32">
        <f t="shared" si="155"/>
        <v>1</v>
      </c>
      <c r="AD49" s="32">
        <f t="shared" si="155"/>
        <v>1</v>
      </c>
      <c r="AE49" s="32">
        <f t="shared" si="155"/>
        <v>1</v>
      </c>
      <c r="AF49" s="32">
        <f t="shared" si="155"/>
        <v>1</v>
      </c>
      <c r="AG49" s="32">
        <f t="shared" si="155"/>
        <v>1</v>
      </c>
      <c r="AH49" s="32">
        <f t="shared" si="155"/>
        <v>1</v>
      </c>
      <c r="AI49" s="32">
        <f t="shared" si="155"/>
        <v>1</v>
      </c>
      <c r="AJ49" s="32">
        <f t="shared" si="155"/>
        <v>1</v>
      </c>
      <c r="AK49" s="32">
        <f t="shared" si="155"/>
        <v>1</v>
      </c>
      <c r="AL49" s="32">
        <f t="shared" si="155"/>
        <v>1</v>
      </c>
      <c r="AM49" s="32">
        <f t="shared" si="155"/>
        <v>1</v>
      </c>
      <c r="AN49" s="32">
        <f t="shared" si="155"/>
        <v>1</v>
      </c>
      <c r="AO49" s="32">
        <f t="shared" si="155"/>
        <v>1</v>
      </c>
      <c r="AP49" s="32">
        <f t="shared" si="155"/>
        <v>1</v>
      </c>
      <c r="AQ49" s="32">
        <f t="shared" si="155"/>
        <v>1</v>
      </c>
      <c r="AR49" s="32">
        <f t="shared" si="155"/>
        <v>1</v>
      </c>
      <c r="AS49" s="32">
        <f t="shared" si="155"/>
        <v>1</v>
      </c>
      <c r="AT49" s="32">
        <f t="shared" si="155"/>
        <v>1</v>
      </c>
      <c r="AU49" s="32">
        <f t="shared" si="155"/>
        <v>1</v>
      </c>
      <c r="AV49" s="32">
        <f t="shared" si="155"/>
        <v>1</v>
      </c>
      <c r="AW49" s="32">
        <f t="shared" si="155"/>
        <v>1</v>
      </c>
      <c r="AX49" s="32">
        <f t="shared" si="155"/>
        <v>1</v>
      </c>
      <c r="AY49" s="32">
        <f t="shared" si="155"/>
        <v>1</v>
      </c>
      <c r="AZ49" s="32">
        <f t="shared" si="155"/>
        <v>1</v>
      </c>
      <c r="BA49" s="32">
        <f t="shared" si="155"/>
        <v>1</v>
      </c>
      <c r="BB49" s="32">
        <f t="shared" si="155"/>
        <v>1</v>
      </c>
      <c r="BC49" s="32">
        <f t="shared" si="155"/>
        <v>1</v>
      </c>
      <c r="BD49" s="32">
        <f t="shared" si="155"/>
        <v>1</v>
      </c>
      <c r="BE49" s="32">
        <f t="shared" si="155"/>
        <v>1</v>
      </c>
      <c r="BF49" s="32">
        <f t="shared" si="155"/>
        <v>1</v>
      </c>
    </row>
    <row r="51" spans="1:58">
      <c r="A51" s="3" t="s">
        <v>1932</v>
      </c>
    </row>
    <row r="53" spans="1:58">
      <c r="A53" s="5" t="s">
        <v>707</v>
      </c>
      <c r="I53" s="36"/>
      <c r="J53" s="36"/>
      <c r="K53" s="36"/>
      <c r="L53" s="36"/>
      <c r="M53" s="36"/>
      <c r="N53" s="36">
        <f>'Financial statements KK'!AD17*1000</f>
        <v>-448596</v>
      </c>
      <c r="O53" s="36">
        <f>'Financial statements KK'!AE17*1000</f>
        <v>-453734.00000000006</v>
      </c>
      <c r="P53" s="36">
        <f>'Financial statements KK'!AF17*1000</f>
        <v>-509109.00000000006</v>
      </c>
      <c r="Q53" s="36">
        <f>'Financial statements KK'!AG17*1000</f>
        <v>-553140.99999999988</v>
      </c>
      <c r="R53" s="36">
        <f>'Financial statements KK'!AH17*1000</f>
        <v>-1964580</v>
      </c>
      <c r="S53" s="36">
        <f>'Financial statements KK'!AI17*1000</f>
        <v>-478516</v>
      </c>
      <c r="T53" s="36">
        <f>'Financial statements KK'!AJ17*1000</f>
        <v>-492276</v>
      </c>
      <c r="U53" s="36">
        <f>'Financial statements KK'!AK17*1000</f>
        <v>-535487.99999999988</v>
      </c>
      <c r="V53" s="36">
        <f>'Financial statements KK'!AL17*1000</f>
        <v>-586891.09978372534</v>
      </c>
      <c r="W53" s="36">
        <f>'Financial statements KK'!AM17*1000</f>
        <v>-2093171.0997837253</v>
      </c>
      <c r="X53" s="36">
        <f>'Financial statements KK'!AN17*1000</f>
        <v>-489890.4529860231</v>
      </c>
      <c r="Y53" s="36">
        <f>'Financial statements KK'!AO17*1000</f>
        <v>-508528.54876109428</v>
      </c>
      <c r="Z53" s="36">
        <f>'Financial statements KK'!AP17*1000</f>
        <v>-556746.73341082665</v>
      </c>
      <c r="AA53" s="36">
        <f>'Financial statements KK'!AQ17*1000</f>
        <v>-582826.59983463003</v>
      </c>
      <c r="AB53" s="36">
        <f>'Financial statements KK'!AR17*1000</f>
        <v>-2137992.3349925741</v>
      </c>
      <c r="AC53" s="36">
        <f>'Financial statements KK'!AS17*1000</f>
        <v>-497873.59525109775</v>
      </c>
      <c r="AD53" s="36">
        <f>'Financial statements KK'!AT17*1000</f>
        <v>-521355.27697264397</v>
      </c>
      <c r="AE53" s="36">
        <f>'Financial statements KK'!AU17*1000</f>
        <v>-566145.07566187601</v>
      </c>
      <c r="AF53" s="36">
        <f>'Financial statements KK'!AV17*1000</f>
        <v>-579788.30128369445</v>
      </c>
      <c r="AG53" s="36">
        <f>'Financial statements KK'!AW17*1000</f>
        <v>-2165162.2491693129</v>
      </c>
      <c r="AH53" s="36">
        <f>'Financial statements KK'!AX17*1000</f>
        <v>-504021.03536173451</v>
      </c>
      <c r="AI53" s="36">
        <f>'Financial statements KK'!AY17*1000</f>
        <v>-520128.44267859234</v>
      </c>
      <c r="AJ53" s="36">
        <f>'Financial statements KK'!AZ17*1000</f>
        <v>-569867.93155735394</v>
      </c>
      <c r="AK53" s="36">
        <f>'Financial statements KK'!BA17*1000</f>
        <v>-581035.76314657356</v>
      </c>
      <c r="AL53" s="36">
        <f>'Financial statements KK'!BB17*1000</f>
        <v>-2175053.1727442546</v>
      </c>
      <c r="AM53" s="36">
        <f>'Financial statements KK'!BC17*1000</f>
        <v>-503957.84449767525</v>
      </c>
      <c r="AN53" s="36">
        <f>'Financial statements KK'!BD17*1000</f>
        <v>-521358.71090933803</v>
      </c>
      <c r="AO53" s="36">
        <f>'Financial statements KK'!BE17*1000</f>
        <v>-567731.59457200475</v>
      </c>
      <c r="AP53" s="36">
        <f>'Financial statements KK'!BF17*1000</f>
        <v>-577538.18947343121</v>
      </c>
      <c r="AQ53" s="36">
        <f>'Financial statements KK'!BG17*1000</f>
        <v>-2170586.3394524492</v>
      </c>
      <c r="AR53" s="36">
        <f>'Financial statements KK'!BH17*1000</f>
        <v>-500485.5327676406</v>
      </c>
      <c r="AS53" s="36">
        <f>'Financial statements KK'!BI17*1000</f>
        <v>-518147.40139401332</v>
      </c>
      <c r="AT53" s="36">
        <f>'Financial statements KK'!BJ17*1000</f>
        <v>-563482.34435507806</v>
      </c>
      <c r="AU53" s="36">
        <f>'Financial statements KK'!BK17*1000</f>
        <v>-572212.38944784645</v>
      </c>
      <c r="AV53" s="36">
        <f>'Financial statements KK'!BL17*1000</f>
        <v>-2154327.6679645786</v>
      </c>
      <c r="AW53" s="36">
        <f>AR53*(1+AW61)</f>
        <v>-499234.31893572153</v>
      </c>
      <c r="AX53" s="36">
        <f>AS53*(1+AX61)</f>
        <v>-516852.03289052832</v>
      </c>
      <c r="AY53" s="36">
        <f>AT53*(1+AY61)</f>
        <v>-562073.63849419041</v>
      </c>
      <c r="AZ53" s="36">
        <f>AU53*(1+AZ61)</f>
        <v>-570781.8584742269</v>
      </c>
      <c r="BA53" s="36">
        <f>SUM(AW53:AZ53)</f>
        <v>-2148941.8487946671</v>
      </c>
      <c r="BB53" s="36">
        <f t="shared" ref="BB53:BE54" si="156">AW53*(1+BB61)</f>
        <v>-497986.23313838226</v>
      </c>
      <c r="BC53" s="36">
        <f t="shared" si="156"/>
        <v>-515559.90280830202</v>
      </c>
      <c r="BD53" s="36">
        <f t="shared" si="156"/>
        <v>-560668.45439795498</v>
      </c>
      <c r="BE53" s="36">
        <f t="shared" si="156"/>
        <v>-569354.9038280414</v>
      </c>
      <c r="BF53" s="36">
        <f>SUM(BB53:BE53)</f>
        <v>-2143569.4941726807</v>
      </c>
    </row>
    <row r="54" spans="1:58">
      <c r="A54" s="5" t="s">
        <v>708</v>
      </c>
      <c r="I54" s="36"/>
      <c r="J54" s="36"/>
      <c r="K54" s="36"/>
      <c r="L54" s="36"/>
      <c r="M54" s="36"/>
      <c r="N54" s="36">
        <f>'Arm (OLD)'!AH26</f>
        <v>-48131.92</v>
      </c>
      <c r="O54" s="36">
        <f>'Arm (OLD)'!AI26</f>
        <v>-58522.960000000006</v>
      </c>
      <c r="P54" s="36">
        <f>'Arm (OLD)'!AJ26</f>
        <v>-63663.159999999996</v>
      </c>
      <c r="Q54" s="36">
        <f>'Arm (OLD)'!AK26</f>
        <v>-87418.559999999983</v>
      </c>
      <c r="R54" s="36">
        <f>'Arm (OLD)'!AL26</f>
        <v>-257736.59999999998</v>
      </c>
      <c r="S54" s="36">
        <f>'Arm (OLD)'!AM26</f>
        <v>-73612.63</v>
      </c>
      <c r="T54" s="36">
        <f>'Arm (OLD)'!AN26</f>
        <v>-133223.04000000001</v>
      </c>
      <c r="U54" s="36">
        <f>'Arm (OLD)'!AO26</f>
        <v>-96138</v>
      </c>
      <c r="V54" s="36">
        <f>'Arm (OLD)'!AP26</f>
        <v>-101882.43</v>
      </c>
      <c r="W54" s="36">
        <f>'Arm (OLD)'!AQ26</f>
        <v>-404856.1</v>
      </c>
      <c r="X54" s="36">
        <f>'Arm (OLD)'!AR26</f>
        <v>-107692.64</v>
      </c>
      <c r="Y54" s="36">
        <f>'Arm (OLD)'!AS26</f>
        <v>-105332.26</v>
      </c>
      <c r="Z54" s="36">
        <f>'Arm (OLD)'!AT26</f>
        <v>-106983.23999999999</v>
      </c>
      <c r="AA54" s="36">
        <f>'Arm (OLD)'!AU26</f>
        <v>-110124</v>
      </c>
      <c r="AB54" s="36">
        <f>'Arm (OLD)'!AV26</f>
        <v>-430132.14</v>
      </c>
      <c r="AC54" s="36">
        <f>'Arm (OLD)'!AW26</f>
        <v>-107295.41</v>
      </c>
      <c r="AD54" s="36">
        <f>'Arm (OLD)'!AX26</f>
        <v>-111727.5625</v>
      </c>
      <c r="AE54" s="36">
        <f>'Arm (OLD)'!AY26</f>
        <v>-119598.48522499998</v>
      </c>
      <c r="AF54" s="36">
        <f>'Arm (OLD)'!AZ26</f>
        <v>-122812.79664843748</v>
      </c>
      <c r="AG54" s="36">
        <f>'Arm (OLD)'!BA26</f>
        <v>-461434.25437343749</v>
      </c>
      <c r="AH54" s="36">
        <f>'Arm (OLD)'!BB26</f>
        <v>-123295.90000000002</v>
      </c>
      <c r="AI54" s="36">
        <f>'Arm (OLD)'!BC26</f>
        <v>-124813.27000000002</v>
      </c>
      <c r="AJ54" s="36">
        <f>'Arm (OLD)'!BD26</f>
        <v>-126354.67019999999</v>
      </c>
      <c r="AK54" s="36">
        <f>'Arm (OLD)'!BE26</f>
        <v>-127920.50826</v>
      </c>
      <c r="AL54" s="36">
        <f>'Arm (OLD)'!BF26</f>
        <v>-502384.34846000001</v>
      </c>
      <c r="AM54" s="36">
        <f>'Arm (OLD)'!BG26</f>
        <v>-128075.80499999999</v>
      </c>
      <c r="AN54" s="36">
        <f>'Arm (OLD)'!BH26</f>
        <v>-128592.56385000001</v>
      </c>
      <c r="AO54" s="36">
        <f>'Arm (OLD)'!BI26</f>
        <v>-129538.27078650001</v>
      </c>
      <c r="AP54" s="36">
        <f>'Arm (OLD)'!BJ26</f>
        <v>-130490.03260534501</v>
      </c>
      <c r="AQ54" s="36">
        <f>'Arm (OLD)'!BK26</f>
        <v>-516696.67224184505</v>
      </c>
      <c r="AR54" s="36">
        <f>'Arm (OLD)'!BL26</f>
        <v>-130745.64576048825</v>
      </c>
      <c r="AS54" s="36">
        <f>'Arm (OLD)'!BM26</f>
        <v>-131560.90216273183</v>
      </c>
      <c r="AT54" s="36">
        <f>'Arm (OLD)'!BN26</f>
        <v>-132524.75337844423</v>
      </c>
      <c r="AU54" s="36">
        <f>'Arm (OLD)'!BO26</f>
        <v>-133494.72552825464</v>
      </c>
      <c r="AV54" s="36">
        <f>'Arm (OLD)'!BP26</f>
        <v>-528326.02682991896</v>
      </c>
      <c r="AW54" s="36">
        <f>'Arm (OLD)'!BQ26</f>
        <v>-133994.07270572335</v>
      </c>
      <c r="AX54" s="36">
        <f>'Arm (OLD)'!BR26</f>
        <v>-134501.95697598864</v>
      </c>
      <c r="AY54" s="36">
        <f>'Arm (OLD)'!BS26</f>
        <v>-134860.26837438866</v>
      </c>
      <c r="AZ54" s="36">
        <f>'Arm (OLD)'!BT26</f>
        <v>-135843.45490505913</v>
      </c>
      <c r="BA54" s="36">
        <f>'Arm (OLD)'!BU26</f>
        <v>-539199.7529611598</v>
      </c>
      <c r="BB54" s="36">
        <f t="shared" si="156"/>
        <v>-136003.98379630918</v>
      </c>
      <c r="BC54" s="36">
        <f t="shared" si="156"/>
        <v>-136519.48633062845</v>
      </c>
      <c r="BD54" s="36">
        <f t="shared" si="156"/>
        <v>-136883.17240000446</v>
      </c>
      <c r="BE54" s="36">
        <f t="shared" si="156"/>
        <v>-137881.106728635</v>
      </c>
      <c r="BF54" s="36">
        <f>SUM(BB54:BE54)</f>
        <v>-547287.7492555771</v>
      </c>
    </row>
    <row r="55" spans="1:58">
      <c r="A55" s="5" t="s">
        <v>2010</v>
      </c>
      <c r="I55" s="36"/>
      <c r="J55" s="36"/>
      <c r="K55" s="36"/>
      <c r="L55" s="36"/>
      <c r="M55" s="36"/>
      <c r="N55" s="36">
        <f>'Investment Business Of HoldCo'!AH22</f>
        <v>-16657</v>
      </c>
      <c r="O55" s="36">
        <f>'Investment Business Of HoldCo'!AI22</f>
        <v>-14005</v>
      </c>
      <c r="P55" s="36">
        <f>'Investment Business Of HoldCo'!AJ22</f>
        <v>-13537</v>
      </c>
      <c r="Q55" s="36">
        <f>'Investment Business Of HoldCo'!AK22</f>
        <v>-29597</v>
      </c>
      <c r="R55" s="36">
        <f>'Investment Business Of HoldCo'!AL22</f>
        <v>-73796</v>
      </c>
      <c r="S55" s="36">
        <f>'Investment Business Of HoldCo'!AM22</f>
        <v>-19633</v>
      </c>
      <c r="T55" s="36">
        <f>'Investment Business Of HoldCo'!AN22</f>
        <v>-21862</v>
      </c>
      <c r="U55" s="36">
        <f>'Investment Business Of HoldCo'!AO22</f>
        <v>-26544</v>
      </c>
      <c r="V55" s="36">
        <f>'Investment Business Of HoldCo'!AP22</f>
        <v>-21246</v>
      </c>
      <c r="W55" s="36">
        <f>'Investment Business Of HoldCo'!AQ22</f>
        <v>-89285</v>
      </c>
      <c r="X55" s="36">
        <f>'Investment Business Of HoldCo'!AR22</f>
        <v>-37171</v>
      </c>
      <c r="Y55" s="36">
        <f>'Investment Business Of HoldCo'!AS22</f>
        <v>-23635</v>
      </c>
      <c r="Z55" s="36">
        <f>'Investment Business Of HoldCo'!AT22</f>
        <v>-32937</v>
      </c>
      <c r="AA55" s="36">
        <f>'Investment Business Of HoldCo'!AU22</f>
        <v>-38113</v>
      </c>
      <c r="AB55" s="36">
        <f>'Investment Business Of HoldCo'!AV22</f>
        <v>-131856</v>
      </c>
      <c r="AC55" s="36">
        <f>'Investment Business Of HoldCo'!AW22</f>
        <v>-19140</v>
      </c>
      <c r="AD55" s="36">
        <f>'Investment Business Of HoldCo'!AX22</f>
        <v>-28487</v>
      </c>
      <c r="AE55" s="36">
        <f>'Investment Business Of HoldCo'!AY22</f>
        <v>-34547</v>
      </c>
      <c r="AF55" s="36">
        <f>'Investment Business Of HoldCo'!AZ22</f>
        <v>-39228.481167048049</v>
      </c>
      <c r="AG55" s="36">
        <f>'Investment Business Of HoldCo'!BA22</f>
        <v>-121402.48116704804</v>
      </c>
      <c r="AH55" s="36">
        <f>'Investment Business Of HoldCo'!BB22</f>
        <v>-20699.582409256833</v>
      </c>
      <c r="AI55" s="36">
        <f>'Investment Business Of HoldCo'!BC22</f>
        <v>-30247.303467796613</v>
      </c>
      <c r="AJ55" s="36">
        <f>'Investment Business Of HoldCo'!BD22</f>
        <v>-35033.335818618543</v>
      </c>
      <c r="AK55" s="36">
        <f>'Investment Business Of HoldCo'!BE22</f>
        <v>-39406.160135583516</v>
      </c>
      <c r="AL55" s="36">
        <f>'Investment Business Of HoldCo'!BF22</f>
        <v>-125386.38183125551</v>
      </c>
      <c r="AM55" s="36">
        <f>'Investment Business Of HoldCo'!BG22</f>
        <v>-20792.777361732893</v>
      </c>
      <c r="AN55" s="36">
        <f>'Investment Business Of HoldCo'!BH22</f>
        <v>-30382.661621033898</v>
      </c>
      <c r="AO55" s="36">
        <f>'Investment Business Of HoldCo'!BI22</f>
        <v>-35189.15335187289</v>
      </c>
      <c r="AP55" s="36">
        <f>'Investment Business Of HoldCo'!BJ22</f>
        <v>-39580.343064912464</v>
      </c>
      <c r="AQ55" s="36">
        <f>'Investment Business Of HoldCo'!BK22</f>
        <v>-125944.93539955215</v>
      </c>
      <c r="AR55" s="36">
        <f>'Investment Business Of HoldCo'!BL22</f>
        <v>-20884.110756741156</v>
      </c>
      <c r="AS55" s="36">
        <f>'Investment Business Of HoldCo'!BM22</f>
        <v>-30515.274875588046</v>
      </c>
      <c r="AT55" s="36">
        <f>'Investment Business Of HoldCo'!BN22</f>
        <v>-35341.762910565674</v>
      </c>
      <c r="AU55" s="36">
        <f>'Investment Business Of HoldCo'!BO22</f>
        <v>-39750.885096090773</v>
      </c>
      <c r="AV55" s="36">
        <f>'Investment Business Of HoldCo'!BP22</f>
        <v>-126492.03363898564</v>
      </c>
      <c r="AW55" s="36">
        <f>'Investment Business Of HoldCo'!BQ22</f>
        <v>-20973.505778693281</v>
      </c>
      <c r="AX55" s="36">
        <f>'Investment Business Of HoldCo'!BR22</f>
        <v>-30645.030428914088</v>
      </c>
      <c r="AY55" s="36">
        <f>'Investment Business Of HoldCo'!BS22</f>
        <v>-35491.033196515069</v>
      </c>
      <c r="AZ55" s="36">
        <f>'Investment Business Of HoldCo'!BT22</f>
        <v>-39917.637811014822</v>
      </c>
      <c r="BA55" s="36">
        <f>'Investment Business Of HoldCo'!BU22</f>
        <v>-127027.20721513726</v>
      </c>
      <c r="BB55" s="36">
        <f>'Investment Business Of HoldCo'!BV22</f>
        <v>-21060.883726383701</v>
      </c>
      <c r="BC55" s="36">
        <f>'Investment Business Of HoldCo'!BW22</f>
        <v>-30771.812711992901</v>
      </c>
      <c r="BD55" s="36">
        <f>'Investment Business Of HoldCo'!BX22</f>
        <v>-35636.829694388078</v>
      </c>
      <c r="BE55" s="36">
        <f>'Investment Business Of HoldCo'!BY22</f>
        <v>-40080.449158239964</v>
      </c>
      <c r="BF55" s="36">
        <f>'Investment Business Of HoldCo'!BZ22</f>
        <v>-127549.97529100464</v>
      </c>
    </row>
    <row r="56" spans="1:58">
      <c r="A56" s="5" t="s">
        <v>1933</v>
      </c>
      <c r="I56" s="36"/>
      <c r="J56" s="36"/>
      <c r="K56" s="36"/>
      <c r="L56" s="36"/>
      <c r="M56" s="36"/>
      <c r="N56" s="36">
        <f>'SVF Segment'!AH24</f>
        <v>-18904</v>
      </c>
      <c r="O56" s="36">
        <f>'SVF Segment'!AI24</f>
        <v>-12079</v>
      </c>
      <c r="P56" s="36">
        <f>'SVF Segment'!AJ24</f>
        <v>-22201</v>
      </c>
      <c r="Q56" s="36">
        <f>'SVF Segment'!AK24</f>
        <v>-12815</v>
      </c>
      <c r="R56" s="36">
        <f>'SVF Segment'!AL24</f>
        <v>-65999</v>
      </c>
      <c r="S56" s="36">
        <f>'SVF Segment'!AM24</f>
        <v>-18299</v>
      </c>
      <c r="T56" s="36">
        <f>'SVF Segment'!AN24</f>
        <v>-26389</v>
      </c>
      <c r="U56" s="36">
        <f>'SVF Segment'!AO24</f>
        <v>-19353</v>
      </c>
      <c r="V56" s="36">
        <f>'SVF Segment'!AP24</f>
        <v>-20945</v>
      </c>
      <c r="W56" s="36">
        <f>'SVF Segment'!AQ24</f>
        <v>-84986</v>
      </c>
      <c r="X56" s="36">
        <f>'SVF Segment'!AR24</f>
        <v>-19190</v>
      </c>
      <c r="Y56" s="36">
        <f>'SVF Segment'!AS24</f>
        <v>-16875</v>
      </c>
      <c r="Z56" s="36">
        <f>'SVF Segment'!AT24</f>
        <v>-15149</v>
      </c>
      <c r="AA56" s="36">
        <f>'SVF Segment'!AU24</f>
        <v>-10955</v>
      </c>
      <c r="AB56" s="36">
        <f>'SVF Segment'!AV24</f>
        <v>-62169</v>
      </c>
      <c r="AC56" s="36">
        <f>'SVF Segment'!AW24</f>
        <v>-13521</v>
      </c>
      <c r="AD56" s="36">
        <f>'SVF Segment'!AX24</f>
        <v>-17081</v>
      </c>
      <c r="AE56" s="36">
        <f>'SVF Segment'!AY24</f>
        <v>-12701</v>
      </c>
      <c r="AF56" s="36">
        <f>'SVF Segment'!AZ24</f>
        <v>-16319.275278340321</v>
      </c>
      <c r="AG56" s="36">
        <f>'SVF Segment'!BA24</f>
        <v>-59622.275278340319</v>
      </c>
      <c r="AH56" s="36">
        <f>'SVF Segment'!BB24</f>
        <v>-16765.50381770487</v>
      </c>
      <c r="AI56" s="36">
        <f>'SVF Segment'!BC24</f>
        <v>-16722.154098719209</v>
      </c>
      <c r="AJ56" s="36">
        <f>'SVF Segment'!BD24</f>
        <v>-16678.804379733545</v>
      </c>
      <c r="AK56" s="36">
        <f>'SVF Segment'!BE24</f>
        <v>-16635.454660747884</v>
      </c>
      <c r="AL56" s="36">
        <f>'SVF Segment'!BF24</f>
        <v>-66801.916956905508</v>
      </c>
      <c r="AM56" s="36">
        <f>'SVF Segment'!BG24</f>
        <v>-17006.907565306276</v>
      </c>
      <c r="AN56" s="36">
        <f>'SVF Segment'!BH24</f>
        <v>-16962.474103345972</v>
      </c>
      <c r="AO56" s="36">
        <f>'SVF Segment'!BI24</f>
        <v>-16918.040641385669</v>
      </c>
      <c r="AP56" s="36">
        <f>'SVF Segment'!BJ24</f>
        <v>-16873.607179425366</v>
      </c>
      <c r="AQ56" s="36">
        <f>'SVF Segment'!BK24</f>
        <v>-67761.029489463283</v>
      </c>
      <c r="AR56" s="36">
        <f>'SVF Segment'!BL24</f>
        <v>-17165.757191814362</v>
      </c>
      <c r="AS56" s="36">
        <f>'SVF Segment'!BM24</f>
        <v>-17120.435060614851</v>
      </c>
      <c r="AT56" s="36">
        <f>'SVF Segment'!BN24</f>
        <v>-17075.112929415343</v>
      </c>
      <c r="AU56" s="36">
        <f>'SVF Segment'!BO24</f>
        <v>-17029.790798215832</v>
      </c>
      <c r="AV56" s="36">
        <f>'SVF Segment'!BP24</f>
        <v>-68391.095980060389</v>
      </c>
      <c r="AW56" s="36">
        <f>'SVF Segment'!BQ24</f>
        <v>-16984.468667016321</v>
      </c>
      <c r="AX56" s="36">
        <f>'SVF Segment'!BR24</f>
        <v>-16939.14653581681</v>
      </c>
      <c r="AY56" s="36">
        <f>'SVF Segment'!BS24</f>
        <v>-22244.925595382698</v>
      </c>
      <c r="AZ56" s="36">
        <f>'SVF Segment'!BT24</f>
        <v>-22185.247726582213</v>
      </c>
      <c r="BA56" s="36">
        <f>'SVF Segment'!BU24</f>
        <v>-78353.78852479803</v>
      </c>
      <c r="BB56" s="36">
        <f>'SVF Segment'!BV24</f>
        <v>-17054.5</v>
      </c>
      <c r="BC56" s="36">
        <f>'SVF Segment'!BW24</f>
        <v>-17008.5</v>
      </c>
      <c r="BD56" s="36">
        <f>'SVF Segment'!BX24</f>
        <v>-14381.25</v>
      </c>
      <c r="BE56" s="36">
        <f>'SVF Segment'!BY24</f>
        <v>-14342.25</v>
      </c>
      <c r="BF56" s="36">
        <f>'SVF Segment'!BZ24</f>
        <v>-62786.5</v>
      </c>
    </row>
    <row r="57" spans="1:58">
      <c r="A57" s="5" t="s">
        <v>1960</v>
      </c>
      <c r="I57" s="36"/>
      <c r="J57" s="36"/>
      <c r="K57" s="36"/>
      <c r="L57" s="36"/>
      <c r="M57" s="36"/>
      <c r="N57" s="36">
        <f t="shared" ref="N57:U57" si="157">N58-SUM(N53:N56)</f>
        <v>-94224.080000000075</v>
      </c>
      <c r="O57" s="36">
        <f t="shared" si="157"/>
        <v>-89486.039999999921</v>
      </c>
      <c r="P57" s="36">
        <f t="shared" si="157"/>
        <v>-58264.839999999967</v>
      </c>
      <c r="Q57" s="36">
        <f t="shared" si="157"/>
        <v>-91241.440000000177</v>
      </c>
      <c r="R57" s="36">
        <f t="shared" si="157"/>
        <v>-333216.39999999991</v>
      </c>
      <c r="S57" s="36">
        <f t="shared" si="157"/>
        <v>-58019.369999999995</v>
      </c>
      <c r="T57" s="36">
        <f t="shared" si="157"/>
        <v>-32241.959999999963</v>
      </c>
      <c r="U57" s="36">
        <f t="shared" si="157"/>
        <v>-91996.000000000116</v>
      </c>
      <c r="V57" s="36">
        <f>Q57*(1+V65)</f>
        <v>-100365.58400000021</v>
      </c>
      <c r="W57" s="36">
        <f>SUM(S57:V57)</f>
        <v>-282622.91400000028</v>
      </c>
      <c r="X57" s="36">
        <f>S57*(1+X65)</f>
        <v>-72524.212499999994</v>
      </c>
      <c r="Y57" s="36">
        <f>T57*(1+Y65)</f>
        <v>-45138.743999999948</v>
      </c>
      <c r="Z57" s="36">
        <f>U57*(1+Z65)</f>
        <v>-87396.200000000114</v>
      </c>
      <c r="AA57" s="36">
        <f>V57*(1+AA65)</f>
        <v>-95347.304800000187</v>
      </c>
      <c r="AB57" s="36">
        <f>SUM(X57:AA57)</f>
        <v>-300406.4613000002</v>
      </c>
      <c r="AC57" s="36">
        <f>X57*(1+AC65)</f>
        <v>-79776.633749999994</v>
      </c>
      <c r="AD57" s="36">
        <f>Y57*(1+AD65)</f>
        <v>-49652.618399999948</v>
      </c>
      <c r="AE57" s="36">
        <f>Z57*(1+AE65)</f>
        <v>-83026.390000000101</v>
      </c>
      <c r="AF57" s="36">
        <f>AA57*(1+AF65)</f>
        <v>-90579.939560000174</v>
      </c>
      <c r="AG57" s="36">
        <f>SUM(AC57:AF57)</f>
        <v>-303035.58171000017</v>
      </c>
      <c r="AH57" s="36">
        <f>AC57*(1+AH65)</f>
        <v>-83765.465437499995</v>
      </c>
      <c r="AI57" s="36">
        <f>AD57*(1+AI65)</f>
        <v>-54617.880239999948</v>
      </c>
      <c r="AJ57" s="36">
        <f>AE57*(1+AJ65)</f>
        <v>-87177.709500000114</v>
      </c>
      <c r="AK57" s="36">
        <f>AF57*(1+AK65)</f>
        <v>-95108.936538000184</v>
      </c>
      <c r="AL57" s="36">
        <f>SUM(AH57:AK57)</f>
        <v>-320669.99171550025</v>
      </c>
      <c r="AM57" s="36">
        <f>AH57*(1+AM65)</f>
        <v>-87953.738709375</v>
      </c>
      <c r="AN57" s="36">
        <f>AI57*(1+AN65)</f>
        <v>-57348.774251999945</v>
      </c>
      <c r="AO57" s="36">
        <f>AJ57*(1+AO65)</f>
        <v>-91536.594975000116</v>
      </c>
      <c r="AP57" s="36">
        <f>AK57*(1+AP65)</f>
        <v>-99864.38336490019</v>
      </c>
      <c r="AQ57" s="36">
        <f>SUM(AM57:AP57)</f>
        <v>-336703.49130127527</v>
      </c>
      <c r="AR57" s="36">
        <f>AM57*(1+AR65)</f>
        <v>-90812.235217429683</v>
      </c>
      <c r="AS57" s="36">
        <f>AN57*(1+AS65)</f>
        <v>-59212.609415189938</v>
      </c>
      <c r="AT57" s="36">
        <f>AO57*(1+AT65)</f>
        <v>-94511.534311687617</v>
      </c>
      <c r="AU57" s="36">
        <f>AP57*(1+AU65)</f>
        <v>-103109.97582425944</v>
      </c>
      <c r="AV57" s="36">
        <f>SUM(AR57:AU57)</f>
        <v>-347646.35476856667</v>
      </c>
      <c r="AW57" s="36">
        <f>AR57*(1+AW65)</f>
        <v>-92174.418745691117</v>
      </c>
      <c r="AX57" s="36">
        <f>AS57*(1+AX65)</f>
        <v>-60100.79855641778</v>
      </c>
      <c r="AY57" s="36">
        <f>AT57*(1+AY65)</f>
        <v>-95929.207326362928</v>
      </c>
      <c r="AZ57" s="36">
        <f>AU57*(1+AZ65)</f>
        <v>-104656.62546162332</v>
      </c>
      <c r="BA57" s="36">
        <f>SUM(AW57:AZ57)</f>
        <v>-352861.05009009514</v>
      </c>
      <c r="BB57" s="36">
        <f>AW57*(1+BB65)</f>
        <v>-93557.035026876474</v>
      </c>
      <c r="BC57" s="36">
        <f>AX57*(1+BC65)</f>
        <v>-61002.310534764038</v>
      </c>
      <c r="BD57" s="36">
        <f>AY57*(1+BD65)</f>
        <v>-97368.145436258361</v>
      </c>
      <c r="BE57" s="36">
        <f>AZ57*(1+BE65)</f>
        <v>-106226.47484354766</v>
      </c>
      <c r="BF57" s="36">
        <f>SUM(BB57:BE57)</f>
        <v>-358153.96584144654</v>
      </c>
    </row>
    <row r="58" spans="1:58">
      <c r="A58" s="9" t="s">
        <v>1961</v>
      </c>
      <c r="B58" s="9"/>
      <c r="C58" s="9"/>
      <c r="D58" s="9"/>
      <c r="E58" s="9"/>
      <c r="F58" s="9"/>
      <c r="G58" s="9"/>
      <c r="H58" s="9"/>
      <c r="I58" s="67">
        <v>-593430</v>
      </c>
      <c r="J58" s="67">
        <v>-593242</v>
      </c>
      <c r="K58" s="67">
        <v>-662713</v>
      </c>
      <c r="L58" s="67">
        <v>-702337</v>
      </c>
      <c r="M58" s="39">
        <f>SUM(I58:L58)</f>
        <v>-2551722</v>
      </c>
      <c r="N58" s="67">
        <v>-626513</v>
      </c>
      <c r="O58" s="67">
        <v>-627827</v>
      </c>
      <c r="P58" s="67">
        <v>-666775</v>
      </c>
      <c r="Q58" s="67">
        <v>-774213</v>
      </c>
      <c r="R58" s="39">
        <f>SUM(N58:Q58)</f>
        <v>-2695328</v>
      </c>
      <c r="S58" s="67">
        <v>-648080</v>
      </c>
      <c r="T58" s="67">
        <v>-705992</v>
      </c>
      <c r="U58" s="67">
        <v>-769519</v>
      </c>
      <c r="V58" s="39">
        <f t="shared" ref="V58:BF58" si="158">SUM(V53:V57)</f>
        <v>-831330.11378372554</v>
      </c>
      <c r="W58" s="39">
        <f t="shared" si="158"/>
        <v>-2954921.1137837255</v>
      </c>
      <c r="X58" s="39">
        <f t="shared" si="158"/>
        <v>-726468.30548602308</v>
      </c>
      <c r="Y58" s="39">
        <f t="shared" si="158"/>
        <v>-699509.55276109418</v>
      </c>
      <c r="Z58" s="39">
        <f t="shared" si="158"/>
        <v>-799212.17341082671</v>
      </c>
      <c r="AA58" s="39">
        <f t="shared" si="158"/>
        <v>-837365.90463463019</v>
      </c>
      <c r="AB58" s="39">
        <f t="shared" si="158"/>
        <v>-3062555.9362925743</v>
      </c>
      <c r="AC58" s="39">
        <f t="shared" si="158"/>
        <v>-717606.63900109776</v>
      </c>
      <c r="AD58" s="39">
        <f t="shared" si="158"/>
        <v>-728303.45787264395</v>
      </c>
      <c r="AE58" s="39">
        <f t="shared" si="158"/>
        <v>-816017.95088687609</v>
      </c>
      <c r="AF58" s="39">
        <f t="shared" si="158"/>
        <v>-848728.79393752059</v>
      </c>
      <c r="AG58" s="39">
        <f t="shared" si="158"/>
        <v>-3110656.8416981385</v>
      </c>
      <c r="AH58" s="39">
        <f t="shared" si="158"/>
        <v>-748547.48702619632</v>
      </c>
      <c r="AI58" s="39">
        <f t="shared" si="158"/>
        <v>-746529.05048510828</v>
      </c>
      <c r="AJ58" s="39">
        <f t="shared" si="158"/>
        <v>-835112.45145570603</v>
      </c>
      <c r="AK58" s="39">
        <f t="shared" si="158"/>
        <v>-860106.82274090522</v>
      </c>
      <c r="AL58" s="39">
        <f t="shared" si="158"/>
        <v>-3190295.8117079157</v>
      </c>
      <c r="AM58" s="39">
        <f t="shared" si="158"/>
        <v>-757787.07313408947</v>
      </c>
      <c r="AN58" s="39">
        <f t="shared" si="158"/>
        <v>-754645.18473571783</v>
      </c>
      <c r="AO58" s="39">
        <f t="shared" si="158"/>
        <v>-840913.65432676347</v>
      </c>
      <c r="AP58" s="39">
        <f t="shared" si="158"/>
        <v>-864346.55568801425</v>
      </c>
      <c r="AQ58" s="39">
        <f t="shared" si="158"/>
        <v>-3217692.4678845853</v>
      </c>
      <c r="AR58" s="39">
        <f t="shared" si="158"/>
        <v>-760093.28169411409</v>
      </c>
      <c r="AS58" s="39">
        <f t="shared" si="158"/>
        <v>-756556.62290813797</v>
      </c>
      <c r="AT58" s="39">
        <f t="shared" si="158"/>
        <v>-842935.50788519089</v>
      </c>
      <c r="AU58" s="39">
        <f t="shared" si="158"/>
        <v>-865597.76669466705</v>
      </c>
      <c r="AV58" s="39">
        <f t="shared" si="158"/>
        <v>-3225183.1791821104</v>
      </c>
      <c r="AW58" s="39">
        <f t="shared" si="158"/>
        <v>-763360.78483284556</v>
      </c>
      <c r="AX58" s="39">
        <f t="shared" si="158"/>
        <v>-759038.96538766578</v>
      </c>
      <c r="AY58" s="39">
        <f t="shared" si="158"/>
        <v>-850599.0729868398</v>
      </c>
      <c r="AZ58" s="39">
        <f t="shared" si="158"/>
        <v>-873384.8243785064</v>
      </c>
      <c r="BA58" s="39">
        <f t="shared" si="158"/>
        <v>-3246383.6475858572</v>
      </c>
      <c r="BB58" s="39">
        <f t="shared" si="158"/>
        <v>-765662.63568795158</v>
      </c>
      <c r="BC58" s="39">
        <f t="shared" si="158"/>
        <v>-760862.01238568744</v>
      </c>
      <c r="BD58" s="39">
        <f t="shared" si="158"/>
        <v>-844937.85192860593</v>
      </c>
      <c r="BE58" s="39">
        <f t="shared" si="158"/>
        <v>-867885.1845584641</v>
      </c>
      <c r="BF58" s="39">
        <f t="shared" si="158"/>
        <v>-3239347.6845607092</v>
      </c>
    </row>
    <row r="60" spans="1:58">
      <c r="A60" s="1" t="s">
        <v>28</v>
      </c>
    </row>
    <row r="61" spans="1:58">
      <c r="A61" s="5" t="s">
        <v>707</v>
      </c>
      <c r="N61" s="16"/>
      <c r="O61" s="16"/>
      <c r="P61" s="16"/>
      <c r="Q61" s="16"/>
      <c r="R61" s="16"/>
      <c r="S61" s="16">
        <f t="shared" ref="S61:AB64" si="159">S53/N53-1</f>
        <v>6.6696983477338101E-2</v>
      </c>
      <c r="T61" s="16">
        <f t="shared" si="159"/>
        <v>8.4944042103963779E-2</v>
      </c>
      <c r="U61" s="16">
        <f t="shared" si="159"/>
        <v>5.1814051607808498E-2</v>
      </c>
      <c r="V61" s="16">
        <f t="shared" si="159"/>
        <v>6.1015364588279386E-2</v>
      </c>
      <c r="W61" s="16">
        <f t="shared" si="159"/>
        <v>6.5454753577724123E-2</v>
      </c>
      <c r="X61" s="16">
        <f t="shared" si="159"/>
        <v>2.3770266795724915E-2</v>
      </c>
      <c r="Y61" s="16">
        <f t="shared" si="159"/>
        <v>3.3015115019002117E-2</v>
      </c>
      <c r="Z61" s="16">
        <f t="shared" si="159"/>
        <v>3.9699738202960244E-2</v>
      </c>
      <c r="AA61" s="16">
        <f t="shared" si="159"/>
        <v>-6.925475527901348E-3</v>
      </c>
      <c r="AB61" s="16">
        <f t="shared" si="159"/>
        <v>2.1413077609126141E-2</v>
      </c>
      <c r="AC61" s="16">
        <f t="shared" ref="AC61:AL64" si="160">AC53/X53-1</f>
        <v>1.6295770240908114E-2</v>
      </c>
      <c r="AD61" s="16">
        <f t="shared" si="160"/>
        <v>2.5223221474583557E-2</v>
      </c>
      <c r="AE61" s="16">
        <f t="shared" si="160"/>
        <v>1.6880821542448521E-2</v>
      </c>
      <c r="AF61" s="16">
        <f t="shared" si="160"/>
        <v>-5.2130402967154321E-3</v>
      </c>
      <c r="AG61" s="16">
        <f t="shared" si="160"/>
        <v>1.2708143865648225E-2</v>
      </c>
      <c r="AH61" s="16">
        <f t="shared" si="160"/>
        <v>1.2347391324371015E-2</v>
      </c>
      <c r="AI61" s="16">
        <f t="shared" si="160"/>
        <v>-2.353163664469804E-3</v>
      </c>
      <c r="AJ61" s="16">
        <f t="shared" si="160"/>
        <v>6.5757984225607302E-3</v>
      </c>
      <c r="AK61" s="16">
        <f t="shared" si="160"/>
        <v>2.1515816378445685E-3</v>
      </c>
      <c r="AL61" s="16">
        <f t="shared" si="160"/>
        <v>4.5682135732489915E-3</v>
      </c>
      <c r="AM61" s="16">
        <f t="shared" ref="AM61:AV64" si="161">AM53/AH53-1</f>
        <v>-1.2537346583940678E-4</v>
      </c>
      <c r="AN61" s="16">
        <f t="shared" si="161"/>
        <v>2.3653161984567017E-3</v>
      </c>
      <c r="AO61" s="16">
        <f t="shared" si="161"/>
        <v>-3.7488282232532866E-3</v>
      </c>
      <c r="AP61" s="16">
        <f t="shared" si="161"/>
        <v>-6.0195497333958015E-3</v>
      </c>
      <c r="AQ61" s="16">
        <f t="shared" si="161"/>
        <v>-2.0536662495334035E-3</v>
      </c>
      <c r="AR61" s="16">
        <f t="shared" si="161"/>
        <v>-6.8900837003453841E-3</v>
      </c>
      <c r="AS61" s="16">
        <f t="shared" si="161"/>
        <v>-6.1595010270829587E-3</v>
      </c>
      <c r="AT61" s="16">
        <f t="shared" si="161"/>
        <v>-7.4846111394065717E-3</v>
      </c>
      <c r="AU61" s="16">
        <f t="shared" si="161"/>
        <v>-9.2215547346583548E-3</v>
      </c>
      <c r="AV61" s="16">
        <f t="shared" si="161"/>
        <v>-7.4904514012430479E-3</v>
      </c>
      <c r="AW61" s="209">
        <v>-2.5000000000000001E-3</v>
      </c>
      <c r="AX61" s="209">
        <v>-2.5000000000000001E-3</v>
      </c>
      <c r="AY61" s="209">
        <v>-2.5000000000000001E-3</v>
      </c>
      <c r="AZ61" s="209">
        <v>-2.5000000000000001E-3</v>
      </c>
      <c r="BA61" s="16">
        <f t="shared" ref="BA61:BA66" si="162">BA53/AV53-1</f>
        <v>-2.5000000000000577E-3</v>
      </c>
      <c r="BB61" s="209">
        <v>-2.5000000000000001E-3</v>
      </c>
      <c r="BC61" s="209">
        <v>-2.5000000000000001E-3</v>
      </c>
      <c r="BD61" s="209">
        <v>-2.5000000000000001E-3</v>
      </c>
      <c r="BE61" s="209">
        <v>-2.5000000000000001E-3</v>
      </c>
      <c r="BF61" s="16">
        <f t="shared" ref="BF61:BF66" si="163">BF53/BA53-1</f>
        <v>-2.4999999999998357E-3</v>
      </c>
    </row>
    <row r="62" spans="1:58">
      <c r="A62" s="5" t="s">
        <v>708</v>
      </c>
      <c r="N62" s="16"/>
      <c r="O62" s="16"/>
      <c r="P62" s="16"/>
      <c r="Q62" s="16"/>
      <c r="R62" s="16"/>
      <c r="S62" s="16">
        <f t="shared" si="159"/>
        <v>0.52939317608771908</v>
      </c>
      <c r="T62" s="16">
        <f t="shared" si="159"/>
        <v>1.2764234755043149</v>
      </c>
      <c r="U62" s="16">
        <f t="shared" si="159"/>
        <v>0.5101041167293614</v>
      </c>
      <c r="V62" s="16">
        <f t="shared" si="159"/>
        <v>0.16545536783035564</v>
      </c>
      <c r="W62" s="16">
        <f t="shared" si="159"/>
        <v>0.57081338079263877</v>
      </c>
      <c r="X62" s="16">
        <f t="shared" si="159"/>
        <v>0.46296416796954531</v>
      </c>
      <c r="Y62" s="16">
        <f t="shared" si="159"/>
        <v>-0.20935402765167355</v>
      </c>
      <c r="Z62" s="16">
        <f t="shared" si="159"/>
        <v>0.11280908693752711</v>
      </c>
      <c r="AA62" s="16">
        <f t="shared" si="159"/>
        <v>8.089294689967641E-2</v>
      </c>
      <c r="AB62" s="16">
        <f t="shared" si="159"/>
        <v>6.2432157993914439E-2</v>
      </c>
      <c r="AC62" s="16">
        <f t="shared" si="160"/>
        <v>-3.6885529038938047E-3</v>
      </c>
      <c r="AD62" s="16">
        <f t="shared" si="160"/>
        <v>6.0715515835319644E-2</v>
      </c>
      <c r="AE62" s="16">
        <f t="shared" si="160"/>
        <v>0.11791795822411055</v>
      </c>
      <c r="AF62" s="16">
        <f t="shared" si="160"/>
        <v>0.11522280927352324</v>
      </c>
      <c r="AG62" s="16">
        <f t="shared" si="160"/>
        <v>7.2773251432542319E-2</v>
      </c>
      <c r="AH62" s="16">
        <f t="shared" si="160"/>
        <v>0.14912557769246626</v>
      </c>
      <c r="AI62" s="16">
        <f t="shared" si="160"/>
        <v>0.11712156971114474</v>
      </c>
      <c r="AJ62" s="16">
        <f t="shared" si="160"/>
        <v>5.649055640035594E-2</v>
      </c>
      <c r="AK62" s="16">
        <f t="shared" si="160"/>
        <v>4.1589408847872766E-2</v>
      </c>
      <c r="AL62" s="16">
        <f t="shared" si="160"/>
        <v>8.8745240949150928E-2</v>
      </c>
      <c r="AM62" s="16">
        <f t="shared" si="161"/>
        <v>3.8767753023417395E-2</v>
      </c>
      <c r="AN62" s="16">
        <f t="shared" si="161"/>
        <v>3.0279583653244346E-2</v>
      </c>
      <c r="AO62" s="16">
        <f t="shared" si="161"/>
        <v>2.5195749246631483E-2</v>
      </c>
      <c r="AP62" s="16">
        <f t="shared" si="161"/>
        <v>2.0086883489568441E-2</v>
      </c>
      <c r="AQ62" s="16">
        <f t="shared" si="161"/>
        <v>2.8488793143571778E-2</v>
      </c>
      <c r="AR62" s="16">
        <f t="shared" si="161"/>
        <v>2.0845785513417203E-2</v>
      </c>
      <c r="AS62" s="16">
        <f t="shared" si="161"/>
        <v>2.3083281208968742E-2</v>
      </c>
      <c r="AT62" s="16">
        <f t="shared" si="161"/>
        <v>2.305482830526917E-2</v>
      </c>
      <c r="AU62" s="16">
        <f t="shared" si="161"/>
        <v>2.3026225550859092E-2</v>
      </c>
      <c r="AV62" s="16">
        <f t="shared" si="161"/>
        <v>2.2507121127017138E-2</v>
      </c>
      <c r="AW62" s="16">
        <f t="shared" ref="AW62:AZ64" si="164">AW54/AR54-1</f>
        <v>2.4845392948579459E-2</v>
      </c>
      <c r="AX62" s="16">
        <f t="shared" si="164"/>
        <v>2.2355082436413598E-2</v>
      </c>
      <c r="AY62" s="16">
        <f t="shared" si="164"/>
        <v>1.7623235934459913E-2</v>
      </c>
      <c r="AZ62" s="16">
        <f t="shared" si="164"/>
        <v>1.7594173608809438E-2</v>
      </c>
      <c r="BA62" s="16">
        <f t="shared" si="162"/>
        <v>2.0581469734674451E-2</v>
      </c>
      <c r="BB62" s="209">
        <v>1.4999999999999999E-2</v>
      </c>
      <c r="BC62" s="209">
        <v>1.4999999999999999E-2</v>
      </c>
      <c r="BD62" s="209">
        <v>1.4999999999999999E-2</v>
      </c>
      <c r="BE62" s="209">
        <v>1.4999999999999999E-2</v>
      </c>
      <c r="BF62" s="16">
        <f t="shared" si="163"/>
        <v>1.4999999999999902E-2</v>
      </c>
    </row>
    <row r="63" spans="1:58">
      <c r="A63" s="5" t="s">
        <v>2010</v>
      </c>
      <c r="N63" s="16"/>
      <c r="O63" s="16"/>
      <c r="P63" s="16"/>
      <c r="Q63" s="16"/>
      <c r="R63" s="16"/>
      <c r="S63" s="16">
        <f t="shared" si="159"/>
        <v>0.17866362490244336</v>
      </c>
      <c r="T63" s="16">
        <f t="shared" si="159"/>
        <v>0.56101392359871483</v>
      </c>
      <c r="U63" s="16">
        <f t="shared" si="159"/>
        <v>0.96084804609588526</v>
      </c>
      <c r="V63" s="16">
        <f t="shared" si="159"/>
        <v>-0.28215697536912521</v>
      </c>
      <c r="W63" s="16">
        <f t="shared" si="159"/>
        <v>0.20988942490107876</v>
      </c>
      <c r="X63" s="16">
        <f t="shared" si="159"/>
        <v>0.89329190648398105</v>
      </c>
      <c r="Y63" s="16">
        <f t="shared" si="159"/>
        <v>8.1099624919952484E-2</v>
      </c>
      <c r="Z63" s="16">
        <f t="shared" si="159"/>
        <v>0.24084538878842676</v>
      </c>
      <c r="AA63" s="16">
        <f t="shared" si="159"/>
        <v>0.79389061470394418</v>
      </c>
      <c r="AB63" s="16">
        <f t="shared" si="159"/>
        <v>0.47679901439211503</v>
      </c>
      <c r="AC63" s="16">
        <f t="shared" si="160"/>
        <v>-0.48508245675392103</v>
      </c>
      <c r="AD63" s="16">
        <f t="shared" si="160"/>
        <v>0.20528876665961504</v>
      </c>
      <c r="AE63" s="16">
        <f t="shared" si="160"/>
        <v>4.8881197437532276E-2</v>
      </c>
      <c r="AF63" s="16">
        <f t="shared" si="160"/>
        <v>2.9267734553775515E-2</v>
      </c>
      <c r="AG63" s="16">
        <f t="shared" si="160"/>
        <v>-7.9279811559215818E-2</v>
      </c>
      <c r="AH63" s="16">
        <f t="shared" si="160"/>
        <v>8.1482884496177244E-2</v>
      </c>
      <c r="AI63" s="16">
        <f t="shared" si="160"/>
        <v>6.1793220338983268E-2</v>
      </c>
      <c r="AJ63" s="16">
        <f t="shared" si="160"/>
        <v>1.4077512334458753E-2</v>
      </c>
      <c r="AK63" s="16">
        <f t="shared" si="160"/>
        <v>4.5293359123146359E-3</v>
      </c>
      <c r="AL63" s="16">
        <f t="shared" si="160"/>
        <v>3.2815644506685837E-2</v>
      </c>
      <c r="AM63" s="16">
        <f t="shared" si="161"/>
        <v>4.5022624434385428E-3</v>
      </c>
      <c r="AN63" s="16">
        <f t="shared" si="161"/>
        <v>4.475048606610299E-3</v>
      </c>
      <c r="AO63" s="16">
        <f t="shared" si="161"/>
        <v>4.4476933073422931E-3</v>
      </c>
      <c r="AP63" s="16">
        <f t="shared" si="161"/>
        <v>4.4201954397393717E-3</v>
      </c>
      <c r="AQ63" s="16">
        <f t="shared" si="161"/>
        <v>4.4546589521048396E-3</v>
      </c>
      <c r="AR63" s="16">
        <f t="shared" si="161"/>
        <v>4.3925538863487379E-3</v>
      </c>
      <c r="AS63" s="16">
        <f t="shared" si="161"/>
        <v>4.3647675180089607E-3</v>
      </c>
      <c r="AT63" s="16">
        <f t="shared" si="161"/>
        <v>4.3368351936965421E-3</v>
      </c>
      <c r="AU63" s="16">
        <f t="shared" si="161"/>
        <v>4.3087557603687099E-3</v>
      </c>
      <c r="AV63" s="16">
        <f t="shared" si="161"/>
        <v>4.343947914204449E-3</v>
      </c>
      <c r="AW63" s="16">
        <f t="shared" si="164"/>
        <v>4.2805280528053213E-3</v>
      </c>
      <c r="AX63" s="16">
        <f t="shared" si="164"/>
        <v>4.2521508934478813E-3</v>
      </c>
      <c r="AY63" s="16">
        <f t="shared" si="164"/>
        <v>4.2236230922358953E-3</v>
      </c>
      <c r="AZ63" s="16">
        <f t="shared" si="164"/>
        <v>4.1949434464403357E-3</v>
      </c>
      <c r="BA63" s="16">
        <f t="shared" si="162"/>
        <v>4.2308875962815407E-3</v>
      </c>
      <c r="BB63" s="16">
        <f t="shared" ref="BB63:BE64" si="165">BB55/AW55-1</f>
        <v>4.1661107404937781E-3</v>
      </c>
      <c r="BC63" s="16">
        <f t="shared" si="165"/>
        <v>4.1371237458192045E-3</v>
      </c>
      <c r="BD63" s="16">
        <f t="shared" si="165"/>
        <v>4.107981220657253E-3</v>
      </c>
      <c r="BE63" s="16">
        <f t="shared" si="165"/>
        <v>4.0786819098854732E-3</v>
      </c>
      <c r="BF63" s="16">
        <f t="shared" si="163"/>
        <v>4.115402419121228E-3</v>
      </c>
    </row>
    <row r="64" spans="1:58">
      <c r="A64" s="5" t="s">
        <v>1933</v>
      </c>
      <c r="N64" s="16"/>
      <c r="O64" s="16"/>
      <c r="P64" s="16"/>
      <c r="Q64" s="16"/>
      <c r="R64" s="16"/>
      <c r="S64" s="16">
        <f t="shared" si="159"/>
        <v>-3.2003808717731674E-2</v>
      </c>
      <c r="T64" s="16">
        <f t="shared" si="159"/>
        <v>1.1847007202582995</v>
      </c>
      <c r="U64" s="16">
        <f t="shared" si="159"/>
        <v>-0.12828250979685596</v>
      </c>
      <c r="V64" s="16">
        <f t="shared" si="159"/>
        <v>0.63441279750292634</v>
      </c>
      <c r="W64" s="16">
        <f t="shared" si="159"/>
        <v>0.28768617706328881</v>
      </c>
      <c r="X64" s="16">
        <f t="shared" si="159"/>
        <v>4.8691185310672624E-2</v>
      </c>
      <c r="Y64" s="16">
        <f t="shared" si="159"/>
        <v>-0.36052900829891243</v>
      </c>
      <c r="Z64" s="16">
        <f t="shared" si="159"/>
        <v>-0.21722730326047646</v>
      </c>
      <c r="AA64" s="16">
        <f t="shared" si="159"/>
        <v>-0.47696347576987352</v>
      </c>
      <c r="AB64" s="16">
        <f t="shared" si="159"/>
        <v>-0.26847951427293903</v>
      </c>
      <c r="AC64" s="16">
        <f t="shared" si="160"/>
        <v>-0.29541427826993227</v>
      </c>
      <c r="AD64" s="16">
        <f t="shared" si="160"/>
        <v>1.2207407407407445E-2</v>
      </c>
      <c r="AE64" s="16">
        <f t="shared" si="160"/>
        <v>-0.16159482474090703</v>
      </c>
      <c r="AF64" s="16">
        <f t="shared" si="160"/>
        <v>0.48966456214881982</v>
      </c>
      <c r="AG64" s="16">
        <f t="shared" si="160"/>
        <v>-4.0964543770362738E-2</v>
      </c>
      <c r="AH64" s="16">
        <f t="shared" si="160"/>
        <v>0.2399603444793188</v>
      </c>
      <c r="AI64" s="16">
        <f t="shared" si="160"/>
        <v>-2.1008483184871585E-2</v>
      </c>
      <c r="AJ64" s="16">
        <f t="shared" si="160"/>
        <v>0.31318828279139788</v>
      </c>
      <c r="AK64" s="16">
        <f t="shared" si="160"/>
        <v>1.9374597034171659E-2</v>
      </c>
      <c r="AL64" s="16">
        <f t="shared" si="160"/>
        <v>0.12041878048175425</v>
      </c>
      <c r="AM64" s="16">
        <f t="shared" si="161"/>
        <v>1.4398836457659936E-2</v>
      </c>
      <c r="AN64" s="16">
        <f t="shared" si="161"/>
        <v>1.4371354504212341E-2</v>
      </c>
      <c r="AO64" s="16">
        <f t="shared" si="161"/>
        <v>1.4343729694606955E-2</v>
      </c>
      <c r="AP64" s="16">
        <f t="shared" si="161"/>
        <v>1.4315960912052006E-2</v>
      </c>
      <c r="AQ64" s="16">
        <f t="shared" si="161"/>
        <v>1.4357560025957117E-2</v>
      </c>
      <c r="AR64" s="16">
        <f t="shared" si="161"/>
        <v>9.3403004572174542E-3</v>
      </c>
      <c r="AS64" s="16">
        <f t="shared" si="161"/>
        <v>9.3123772102159386E-3</v>
      </c>
      <c r="AT64" s="16">
        <f t="shared" si="161"/>
        <v>9.284307288246918E-3</v>
      </c>
      <c r="AU64" s="16">
        <f t="shared" si="161"/>
        <v>9.2560895325870529E-3</v>
      </c>
      <c r="AV64" s="16">
        <f t="shared" si="161"/>
        <v>9.2983606557377474E-3</v>
      </c>
      <c r="AW64" s="16">
        <f t="shared" si="164"/>
        <v>-1.0561056105610644E-2</v>
      </c>
      <c r="AX64" s="16">
        <f t="shared" si="164"/>
        <v>-1.0589013898080868E-2</v>
      </c>
      <c r="AY64" s="16">
        <f t="shared" si="164"/>
        <v>0.30276887112478801</v>
      </c>
      <c r="AZ64" s="16">
        <f t="shared" si="164"/>
        <v>0.30273166531831408</v>
      </c>
      <c r="BA64" s="16">
        <f t="shared" si="162"/>
        <v>0.14567236278304851</v>
      </c>
      <c r="BB64" s="16">
        <f t="shared" si="165"/>
        <v>4.1232572155571745E-3</v>
      </c>
      <c r="BC64" s="16">
        <f t="shared" si="165"/>
        <v>4.0942714579241812E-3</v>
      </c>
      <c r="BD64" s="16">
        <f t="shared" si="165"/>
        <v>-0.3535042435482425</v>
      </c>
      <c r="BE64" s="16">
        <f t="shared" si="165"/>
        <v>-0.35352310793378183</v>
      </c>
      <c r="BF64" s="16">
        <f t="shared" si="163"/>
        <v>-0.19867946168130934</v>
      </c>
    </row>
    <row r="65" spans="1:71">
      <c r="A65" s="5" t="s">
        <v>1960</v>
      </c>
      <c r="N65" s="16"/>
      <c r="O65" s="16"/>
      <c r="P65" s="16"/>
      <c r="Q65" s="16"/>
      <c r="R65" s="16"/>
      <c r="S65" s="16">
        <f t="shared" ref="S65:U66" si="166">S57/N57-1</f>
        <v>-0.38424052535190634</v>
      </c>
      <c r="T65" s="16">
        <f t="shared" si="166"/>
        <v>-0.63969843787924918</v>
      </c>
      <c r="U65" s="16">
        <f t="shared" si="166"/>
        <v>0.57892821811576534</v>
      </c>
      <c r="V65" s="209">
        <v>0.1</v>
      </c>
      <c r="W65" s="16">
        <f>W57/R57-1</f>
        <v>-0.15183372126942019</v>
      </c>
      <c r="X65" s="209">
        <v>0.25</v>
      </c>
      <c r="Y65" s="209">
        <v>0.4</v>
      </c>
      <c r="Z65" s="209">
        <v>-0.05</v>
      </c>
      <c r="AA65" s="209">
        <v>-0.05</v>
      </c>
      <c r="AB65" s="16">
        <f>AB57/W57-1</f>
        <v>6.2923232402875451E-2</v>
      </c>
      <c r="AC65" s="209">
        <v>0.1</v>
      </c>
      <c r="AD65" s="209">
        <v>0.1</v>
      </c>
      <c r="AE65" s="209">
        <v>-0.05</v>
      </c>
      <c r="AF65" s="209">
        <v>-0.05</v>
      </c>
      <c r="AG65" s="16">
        <f>AG57/AB57-1</f>
        <v>8.7518770356087572E-3</v>
      </c>
      <c r="AH65" s="209">
        <v>0.05</v>
      </c>
      <c r="AI65" s="209">
        <v>0.1</v>
      </c>
      <c r="AJ65" s="209">
        <v>0.05</v>
      </c>
      <c r="AK65" s="209">
        <v>0.05</v>
      </c>
      <c r="AL65" s="16">
        <f>AL57/AG57-1</f>
        <v>5.819253932488988E-2</v>
      </c>
      <c r="AM65" s="209">
        <v>0.05</v>
      </c>
      <c r="AN65" s="209">
        <v>0.05</v>
      </c>
      <c r="AO65" s="209">
        <v>0.05</v>
      </c>
      <c r="AP65" s="209">
        <v>0.05</v>
      </c>
      <c r="AQ65" s="16">
        <f>AQ57/AL57-1</f>
        <v>5.0000000000000044E-2</v>
      </c>
      <c r="AR65" s="209">
        <f>AM65-1.75%</f>
        <v>3.2500000000000001E-2</v>
      </c>
      <c r="AS65" s="209">
        <f>AN65-1.75%</f>
        <v>3.2500000000000001E-2</v>
      </c>
      <c r="AT65" s="209">
        <f>AO65-1.75%</f>
        <v>3.2500000000000001E-2</v>
      </c>
      <c r="AU65" s="209">
        <f>AP65-1.75%</f>
        <v>3.2500000000000001E-2</v>
      </c>
      <c r="AV65" s="16">
        <f>AV57/AQ57-1</f>
        <v>3.2499999999999973E-2</v>
      </c>
      <c r="AW65" s="209">
        <f>AR65-1.75%</f>
        <v>1.4999999999999999E-2</v>
      </c>
      <c r="AX65" s="209">
        <f>AS65-1.75%</f>
        <v>1.4999999999999999E-2</v>
      </c>
      <c r="AY65" s="209">
        <f>AT65-1.75%</f>
        <v>1.4999999999999999E-2</v>
      </c>
      <c r="AZ65" s="209">
        <f>AU65-1.75%</f>
        <v>1.4999999999999999E-2</v>
      </c>
      <c r="BA65" s="16">
        <f t="shared" si="162"/>
        <v>1.4999999999999902E-2</v>
      </c>
      <c r="BB65" s="209">
        <f>AW65</f>
        <v>1.4999999999999999E-2</v>
      </c>
      <c r="BC65" s="209">
        <f t="shared" ref="BC65:BE65" si="167">AX65</f>
        <v>1.4999999999999999E-2</v>
      </c>
      <c r="BD65" s="209">
        <f t="shared" si="167"/>
        <v>1.4999999999999999E-2</v>
      </c>
      <c r="BE65" s="209">
        <f t="shared" si="167"/>
        <v>1.4999999999999999E-2</v>
      </c>
      <c r="BF65" s="16">
        <f t="shared" si="163"/>
        <v>1.4999999999999902E-2</v>
      </c>
    </row>
    <row r="66" spans="1:71">
      <c r="A66" s="9" t="s">
        <v>1961</v>
      </c>
      <c r="B66" s="9"/>
      <c r="C66" s="9"/>
      <c r="D66" s="9"/>
      <c r="E66" s="9"/>
      <c r="F66" s="9"/>
      <c r="G66" s="9"/>
      <c r="H66" s="9"/>
      <c r="I66" s="9"/>
      <c r="J66" s="9"/>
      <c r="K66" s="9"/>
      <c r="L66" s="9"/>
      <c r="M66" s="9"/>
      <c r="N66" s="17">
        <f>N58/I58-1</f>
        <v>5.5748782501727323E-2</v>
      </c>
      <c r="O66" s="17">
        <f>O58/J58-1</f>
        <v>5.8298299850651158E-2</v>
      </c>
      <c r="P66" s="17">
        <f>P58/K58-1</f>
        <v>6.1293501108323767E-3</v>
      </c>
      <c r="Q66" s="17">
        <f>Q58/L58-1</f>
        <v>0.10233833615486576</v>
      </c>
      <c r="R66" s="17">
        <f>R58/M58-1</f>
        <v>5.6278074178927051E-2</v>
      </c>
      <c r="S66" s="17">
        <f t="shared" si="166"/>
        <v>3.4423866703484185E-2</v>
      </c>
      <c r="T66" s="17">
        <f t="shared" si="166"/>
        <v>0.12450085772035924</v>
      </c>
      <c r="U66" s="17">
        <f t="shared" si="166"/>
        <v>0.1540909602189644</v>
      </c>
      <c r="V66" s="17">
        <f>V58/Q58-1</f>
        <v>7.37744183883835E-2</v>
      </c>
      <c r="W66" s="17">
        <f>W58/R58-1</f>
        <v>9.6312253567552908E-2</v>
      </c>
      <c r="X66" s="17">
        <f>X58/S58-1</f>
        <v>0.12095467455564601</v>
      </c>
      <c r="Y66" s="17">
        <f>Y58/T58-1</f>
        <v>-9.1820406448031022E-3</v>
      </c>
      <c r="Z66" s="17">
        <f>Z58/U58-1</f>
        <v>3.8586667009946174E-2</v>
      </c>
      <c r="AA66" s="17">
        <f>AA58/V58-1</f>
        <v>7.2604020362418975E-3</v>
      </c>
      <c r="AB66" s="17">
        <f>AB58/W58-1</f>
        <v>3.6425616239556424E-2</v>
      </c>
      <c r="AC66" s="17">
        <f>AC58/X58-1</f>
        <v>-1.2198283693872436E-2</v>
      </c>
      <c r="AD66" s="17">
        <f>AD58/Y58-1</f>
        <v>4.1162990552301881E-2</v>
      </c>
      <c r="AE66" s="17">
        <f>AE58/Z58-1</f>
        <v>2.1027929797824196E-2</v>
      </c>
      <c r="AF66" s="17">
        <f>AF58/AA58-1</f>
        <v>1.3569801731834863E-2</v>
      </c>
      <c r="AG66" s="17">
        <f>AG58/AB58-1</f>
        <v>1.5706131220510455E-2</v>
      </c>
      <c r="AH66" s="17">
        <f>AH58/AC58-1</f>
        <v>4.3116724878922374E-2</v>
      </c>
      <c r="AI66" s="17">
        <f>AI58/AD58-1</f>
        <v>2.5024723438360263E-2</v>
      </c>
      <c r="AJ66" s="17">
        <f>AJ58/AE58-1</f>
        <v>2.3399608486648349E-2</v>
      </c>
      <c r="AK66" s="17">
        <f>AK58/AF58-1</f>
        <v>1.3405965350366422E-2</v>
      </c>
      <c r="AL66" s="17">
        <f>AL58/AG58-1</f>
        <v>2.5601978637509015E-2</v>
      </c>
      <c r="AM66" s="17">
        <f>AM58/AH58-1</f>
        <v>1.2343353318304384E-2</v>
      </c>
      <c r="AN66" s="17">
        <f>AN58/AI58-1</f>
        <v>1.0871826414974084E-2</v>
      </c>
      <c r="AO66" s="17">
        <f>AO58/AJ58-1</f>
        <v>6.9466128315356368E-3</v>
      </c>
      <c r="AP66" s="17">
        <f>AP58/AK58-1</f>
        <v>4.929309749686972E-3</v>
      </c>
      <c r="AQ66" s="17">
        <f>AQ58/AL58-1</f>
        <v>8.587497145602585E-3</v>
      </c>
      <c r="AR66" s="17">
        <f>AR58/AM58-1</f>
        <v>3.0433463987271647E-3</v>
      </c>
      <c r="AS66" s="17">
        <f>AS58/AN58-1</f>
        <v>2.532896533474327E-3</v>
      </c>
      <c r="AT66" s="17">
        <f>AT58/AO58-1</f>
        <v>2.4043533459403577E-3</v>
      </c>
      <c r="AU66" s="17">
        <f>AU58/AP58-1</f>
        <v>1.4475802540299121E-3</v>
      </c>
      <c r="AV66" s="17">
        <f>AV58/AQ58-1</f>
        <v>2.3279761419989775E-3</v>
      </c>
      <c r="AW66" s="17">
        <f>AW58/AR58-1</f>
        <v>4.2988186021704067E-3</v>
      </c>
      <c r="AX66" s="17">
        <f>AX58/AS58-1</f>
        <v>3.2811060062971631E-3</v>
      </c>
      <c r="AY66" s="17">
        <f>AY58/AT58-1</f>
        <v>9.0915200866028556E-3</v>
      </c>
      <c r="AZ66" s="17">
        <f>AZ58/AU58-1</f>
        <v>8.9961619397131987E-3</v>
      </c>
      <c r="BA66" s="17">
        <f t="shared" si="162"/>
        <v>6.5734152840035698E-3</v>
      </c>
      <c r="BB66" s="17">
        <f>BB58/AW58-1</f>
        <v>3.0154166952787165E-3</v>
      </c>
      <c r="BC66" s="17">
        <f>BC58/AX58-1</f>
        <v>2.4017831510014798E-3</v>
      </c>
      <c r="BD66" s="17">
        <f>BD58/AY58-1</f>
        <v>-6.6555692781967712E-3</v>
      </c>
      <c r="BE66" s="17">
        <f>BE58/AZ58-1</f>
        <v>-6.2969262420558003E-3</v>
      </c>
      <c r="BF66" s="17">
        <f t="shared" si="163"/>
        <v>-2.1673233323424856E-3</v>
      </c>
    </row>
    <row r="68" spans="1:71">
      <c r="A68" s="3" t="s">
        <v>2259</v>
      </c>
    </row>
    <row r="69" spans="1:71">
      <c r="A69" s="5" t="s">
        <v>707</v>
      </c>
      <c r="I69" s="36"/>
      <c r="J69" s="36"/>
      <c r="K69" s="36"/>
      <c r="L69" s="36"/>
      <c r="M69" s="36"/>
      <c r="N69" s="36">
        <f>1000*'Financial statements KK'!AD33</f>
        <v>241279.99999999997</v>
      </c>
      <c r="O69" s="36">
        <f>1000*'Financial statements KK'!AE33</f>
        <v>245613.99999999985</v>
      </c>
      <c r="P69" s="36">
        <f>1000*'Financial statements KK'!AF33</f>
        <v>495150.00000000017</v>
      </c>
      <c r="Q69" s="36">
        <f>1000*'Financial statements KK'!AG33</f>
        <v>78125.000000000233</v>
      </c>
      <c r="R69" s="36">
        <f>1000*'Financial statements KK'!AH33</f>
        <v>1060169</v>
      </c>
      <c r="S69" s="36">
        <f>1000*'Financial statements KK'!AI33</f>
        <v>246352.99999999997</v>
      </c>
      <c r="T69" s="36">
        <f>1000*'Financial statements KK'!AJ33</f>
        <v>268076.99999999994</v>
      </c>
      <c r="U69" s="36">
        <f>1000*'Financial statements KK'!AK33</f>
        <v>217539.00000000006</v>
      </c>
      <c r="V69" s="36">
        <f>1000*'Financial statements KK'!AL33</f>
        <v>87293.203861613598</v>
      </c>
      <c r="W69" s="36">
        <f>1000*'Financial statements KK'!AM33</f>
        <v>819262.20386161364</v>
      </c>
      <c r="X69" s="36">
        <f>1000*'Financial statements KK'!AN33</f>
        <v>261889.37884678796</v>
      </c>
      <c r="Y69" s="36">
        <f>1000*'Financial statements KK'!AO33</f>
        <v>266823.12327396154</v>
      </c>
      <c r="Z69" s="36">
        <f>1000*'Financial statements KK'!AP33</f>
        <v>223307.86850966443</v>
      </c>
      <c r="AA69" s="36">
        <f>1000*'Financial statements KK'!AQ33</f>
        <v>110734.54532081465</v>
      </c>
      <c r="AB69" s="36">
        <f>1000*'Financial statements KK'!AR33</f>
        <v>862754.91595122858</v>
      </c>
      <c r="AC69" s="36">
        <f>1000*'Financial statements KK'!AS33</f>
        <v>266396.48001187399</v>
      </c>
      <c r="AD69" s="36">
        <f>1000*'Financial statements KK'!AT33</f>
        <v>267919.83350925066</v>
      </c>
      <c r="AE69" s="36">
        <f>1000*'Financial statements KK'!AU33</f>
        <v>227468.92741333603</v>
      </c>
      <c r="AF69" s="36">
        <f>1000*'Financial statements KK'!AV33</f>
        <v>127687.34554828513</v>
      </c>
      <c r="AG69" s="36">
        <f>1000*'Financial statements KK'!AW33</f>
        <v>889472.58648274583</v>
      </c>
      <c r="AH69" s="36">
        <f>1000*'Financial statements KK'!AX33</f>
        <v>276863.37781816797</v>
      </c>
      <c r="AI69" s="36">
        <f>1000*'Financial statements KK'!AY33</f>
        <v>285175.85973475175</v>
      </c>
      <c r="AJ69" s="36">
        <f>1000*'Financial statements KK'!AZ33</f>
        <v>241078.10093450971</v>
      </c>
      <c r="AK69" s="36">
        <f>1000*'Financial statements KK'!BA33</f>
        <v>141844.65050453474</v>
      </c>
      <c r="AL69" s="36">
        <f>1000*'Financial statements KK'!BB33</f>
        <v>944961.98899196426</v>
      </c>
      <c r="AM69" s="36">
        <f>1000*'Financial statements KK'!BC33</f>
        <v>293473.64313613193</v>
      </c>
      <c r="AN69" s="36">
        <f>1000*'Financial statements KK'!BD33</f>
        <v>301520.73438909306</v>
      </c>
      <c r="AO69" s="36">
        <f>1000*'Financial statements KK'!BE33</f>
        <v>260219.54101525535</v>
      </c>
      <c r="AP69" s="36">
        <f>1000*'Financial statements KK'!BF33</f>
        <v>161880.53531007911</v>
      </c>
      <c r="AQ69" s="36">
        <f>1000*'Financial statements KK'!BG33</f>
        <v>1017094.4538505595</v>
      </c>
      <c r="AR69" s="36">
        <f>1000*'Financial statements KK'!BH33</f>
        <v>314829.85474399186</v>
      </c>
      <c r="AS69" s="36">
        <f>1000*'Financial statements KK'!BI33</f>
        <v>323178.30231409828</v>
      </c>
      <c r="AT69" s="36">
        <f>1000*'Financial statements KK'!BJ33</f>
        <v>283174.97923466581</v>
      </c>
      <c r="AU69" s="36">
        <f>1000*'Financial statements KK'!BK33</f>
        <v>184854.67218318454</v>
      </c>
      <c r="AV69" s="36">
        <f>1000*'Financial statements KK'!BL33</f>
        <v>1106037.8084759405</v>
      </c>
      <c r="AW69" s="36">
        <f t="shared" ref="AW69:BF69" si="168">AW34+AW53</f>
        <v>305401.80307038862</v>
      </c>
      <c r="AX69" s="36">
        <f t="shared" si="168"/>
        <v>313619.70895104727</v>
      </c>
      <c r="AY69" s="36">
        <f t="shared" si="168"/>
        <v>273526.42415676697</v>
      </c>
      <c r="AZ69" s="36">
        <f t="shared" si="168"/>
        <v>175055.18259592773</v>
      </c>
      <c r="BA69" s="36">
        <f t="shared" si="168"/>
        <v>1067603.1187741309</v>
      </c>
      <c r="BB69" s="36">
        <f t="shared" si="168"/>
        <v>303463.4570158071</v>
      </c>
      <c r="BC69" s="36">
        <f t="shared" si="168"/>
        <v>311550.33541730087</v>
      </c>
      <c r="BD69" s="36">
        <f t="shared" si="168"/>
        <v>271366.39363501465</v>
      </c>
      <c r="BE69" s="36">
        <f t="shared" si="168"/>
        <v>172743.90707305353</v>
      </c>
      <c r="BF69" s="36">
        <f t="shared" si="168"/>
        <v>1059124.0931411763</v>
      </c>
      <c r="BK69" s="36">
        <f t="shared" ref="BK69:BK74" si="169">INDEX($I69:$BF69, MATCH(BK$2, $I$2:$BF$2, 0))</f>
        <v>1060169</v>
      </c>
      <c r="BL69" s="36">
        <f t="shared" ref="BL69:BS74" si="170">INDEX($I69:$BF69, MATCH(BL$2, $I$2:$BF$2, 0))</f>
        <v>819262.20386161364</v>
      </c>
      <c r="BM69" s="36">
        <f t="shared" si="170"/>
        <v>862754.91595122858</v>
      </c>
      <c r="BN69" s="36">
        <f t="shared" si="170"/>
        <v>889472.58648274583</v>
      </c>
      <c r="BO69" s="36">
        <f t="shared" si="170"/>
        <v>944961.98899196426</v>
      </c>
      <c r="BP69" s="36">
        <f t="shared" si="170"/>
        <v>1017094.4538505595</v>
      </c>
      <c r="BQ69" s="36">
        <f t="shared" si="170"/>
        <v>1106037.8084759405</v>
      </c>
      <c r="BR69" s="36">
        <f t="shared" si="170"/>
        <v>1067603.1187741309</v>
      </c>
      <c r="BS69" s="36">
        <f t="shared" si="170"/>
        <v>1059124.0931411763</v>
      </c>
    </row>
    <row r="70" spans="1:71">
      <c r="A70" s="5" t="s">
        <v>708</v>
      </c>
      <c r="I70" s="36"/>
      <c r="J70" s="36"/>
      <c r="K70" s="36"/>
      <c r="L70" s="36"/>
      <c r="M70" s="36"/>
      <c r="N70" s="36">
        <f>'Arm (OLD)'!AH28</f>
        <v>37937.759999999995</v>
      </c>
      <c r="O70" s="36">
        <f>'Arm (OLD)'!AI28</f>
        <v>25378.440000000002</v>
      </c>
      <c r="P70" s="36">
        <f>'Arm (OLD)'!AJ28</f>
        <v>34443.040000000001</v>
      </c>
      <c r="Q70" s="36">
        <f>'Arm (OLD)'!AK28</f>
        <v>-6662.9999999999854</v>
      </c>
      <c r="R70" s="36">
        <f>'Arm (OLD)'!AL28</f>
        <v>91096.240000000049</v>
      </c>
      <c r="S70" s="36">
        <f>'Arm (OLD)'!AM28</f>
        <v>15330.210000000006</v>
      </c>
      <c r="T70" s="36">
        <f>'Arm (OLD)'!AN28</f>
        <v>-22688.640000000014</v>
      </c>
      <c r="U70" s="36">
        <f>'Arm (OLD)'!AO28</f>
        <v>19698</v>
      </c>
      <c r="V70" s="36">
        <f>'Arm (OLD)'!AP28</f>
        <v>21502.461079327506</v>
      </c>
      <c r="W70" s="36">
        <f>'Arm (OLD)'!AQ28</f>
        <v>33842.031079327513</v>
      </c>
      <c r="X70" s="36">
        <f>'Arm (OLD)'!AR28</f>
        <v>30937.339820048757</v>
      </c>
      <c r="Y70" s="36">
        <f>'Arm (OLD)'!AS28</f>
        <v>36280.900609051998</v>
      </c>
      <c r="Z70" s="36">
        <f>'Arm (OLD)'!AT28</f>
        <v>47109.308897796582</v>
      </c>
      <c r="AA70" s="36">
        <f>'Arm (OLD)'!AU28</f>
        <v>43099.502459391311</v>
      </c>
      <c r="AB70" s="36">
        <f>'Arm (OLD)'!AV28</f>
        <v>157427.0517862885</v>
      </c>
      <c r="AC70" s="36">
        <f>'Arm (OLD)'!AW28</f>
        <v>49952.154500915552</v>
      </c>
      <c r="AD70" s="36">
        <f>'Arm (OLD)'!AX28</f>
        <v>58825.469558377023</v>
      </c>
      <c r="AE70" s="36">
        <f>'Arm (OLD)'!AY28</f>
        <v>67166.186735557276</v>
      </c>
      <c r="AF70" s="36">
        <f>'Arm (OLD)'!AZ28</f>
        <v>58210.105832499685</v>
      </c>
      <c r="AG70" s="36">
        <f>'Arm (OLD)'!BA28</f>
        <v>234153.91662734956</v>
      </c>
      <c r="AH70" s="36">
        <f>'Arm (OLD)'!BB28</f>
        <v>66622.216054385382</v>
      </c>
      <c r="AI70" s="36">
        <f>'Arm (OLD)'!BC28</f>
        <v>77277.93809157511</v>
      </c>
      <c r="AJ70" s="36">
        <f>'Arm (OLD)'!BD28</f>
        <v>86893.056842139398</v>
      </c>
      <c r="AK70" s="36">
        <f>'Arm (OLD)'!BE28</f>
        <v>76766.283863183577</v>
      </c>
      <c r="AL70" s="36">
        <f>'Arm (OLD)'!BF28</f>
        <v>307559.4948512835</v>
      </c>
      <c r="AM70" s="36">
        <f>'Arm (OLD)'!BG28</f>
        <v>89457.662093658524</v>
      </c>
      <c r="AN70" s="36">
        <f>'Arm (OLD)'!BH28</f>
        <v>101674.45234515454</v>
      </c>
      <c r="AO70" s="36">
        <f>'Arm (OLD)'!BI28</f>
        <v>106967.10386961527</v>
      </c>
      <c r="AP70" s="36">
        <f>'Arm (OLD)'!BJ28</f>
        <v>92419.82983653518</v>
      </c>
      <c r="AQ70" s="36">
        <f>'Arm (OLD)'!BK28</f>
        <v>390519.04814496345</v>
      </c>
      <c r="AR70" s="36">
        <f>'Arm (OLD)'!BL28</f>
        <v>106547.68102040973</v>
      </c>
      <c r="AS70" s="36">
        <f>'Arm (OLD)'!BM28</f>
        <v>120108.14913047786</v>
      </c>
      <c r="AT70" s="36">
        <f>'Arm (OLD)'!BN28</f>
        <v>125221.35683383909</v>
      </c>
      <c r="AU70" s="36">
        <f>'Arm (OLD)'!BO28</f>
        <v>108080.83764519083</v>
      </c>
      <c r="AV70" s="36">
        <f>'Arm (OLD)'!BP28</f>
        <v>459958.02462991758</v>
      </c>
      <c r="AW70" s="36">
        <f>'Arm (OLD)'!BQ28</f>
        <v>123145.29079497932</v>
      </c>
      <c r="AX70" s="36">
        <f>'Arm (OLD)'!BR28</f>
        <v>137601.24258513824</v>
      </c>
      <c r="AY70" s="36">
        <f>'Arm (OLD)'!BS28</f>
        <v>142120.5678472188</v>
      </c>
      <c r="AZ70" s="36">
        <f>'Arm (OLD)'!BT28</f>
        <v>121618.87883685136</v>
      </c>
      <c r="BA70" s="36">
        <f>'Arm (OLD)'!BU28</f>
        <v>524485.98006418778</v>
      </c>
      <c r="BB70" s="36">
        <f>BB35+BB54</f>
        <v>133992.34787942862</v>
      </c>
      <c r="BC70" s="36">
        <f>BC35+BC54</f>
        <v>149188.87320855475</v>
      </c>
      <c r="BD70" s="36">
        <f>BD35+BD54</f>
        <v>153946.70563268336</v>
      </c>
      <c r="BE70" s="36">
        <f>BE35+BE54</f>
        <v>132454.34370037101</v>
      </c>
      <c r="BF70" s="36">
        <f>BF35+BF54</f>
        <v>569582.27042103768</v>
      </c>
      <c r="BK70" s="36">
        <f t="shared" si="169"/>
        <v>91096.240000000049</v>
      </c>
      <c r="BL70" s="36">
        <f t="shared" si="170"/>
        <v>33842.031079327513</v>
      </c>
      <c r="BM70" s="36">
        <f t="shared" si="170"/>
        <v>157427.0517862885</v>
      </c>
      <c r="BN70" s="36">
        <f t="shared" si="170"/>
        <v>234153.91662734956</v>
      </c>
      <c r="BO70" s="36">
        <f t="shared" si="170"/>
        <v>307559.4948512835</v>
      </c>
      <c r="BP70" s="36">
        <f t="shared" si="170"/>
        <v>390519.04814496345</v>
      </c>
      <c r="BQ70" s="36">
        <f t="shared" si="170"/>
        <v>459958.02462991758</v>
      </c>
      <c r="BR70" s="36">
        <f t="shared" si="170"/>
        <v>524485.98006418778</v>
      </c>
      <c r="BS70" s="36">
        <f t="shared" si="170"/>
        <v>569582.27042103768</v>
      </c>
    </row>
    <row r="71" spans="1:71">
      <c r="A71" s="5" t="s">
        <v>2010</v>
      </c>
      <c r="I71" s="36"/>
      <c r="J71" s="36"/>
      <c r="K71" s="36"/>
      <c r="L71" s="36"/>
      <c r="M71" s="36"/>
      <c r="N71" s="36">
        <f>'Investment Business Of HoldCo'!AH18</f>
        <v>111233</v>
      </c>
      <c r="O71" s="36">
        <f>'Investment Business Of HoldCo'!AI18</f>
        <v>3413475</v>
      </c>
      <c r="P71" s="36">
        <f>'Investment Business Of HoldCo'!AJ18</f>
        <v>175008</v>
      </c>
      <c r="Q71" s="36">
        <f>'Investment Business Of HoldCo'!AK18</f>
        <v>860852</v>
      </c>
      <c r="R71" s="36">
        <f>'Investment Business Of HoldCo'!AL18</f>
        <v>4560568</v>
      </c>
      <c r="S71" s="36">
        <f>'Investment Business Of HoldCo'!AM18</f>
        <v>-689697</v>
      </c>
      <c r="T71" s="36">
        <f>'Investment Business Of HoldCo'!AN18</f>
        <v>276167</v>
      </c>
      <c r="U71" s="36">
        <f>'Investment Business Of HoldCo'!AO18</f>
        <v>-169898</v>
      </c>
      <c r="V71" s="36">
        <f>'Investment Business Of HoldCo'!AP18</f>
        <v>124383</v>
      </c>
      <c r="W71" s="36">
        <f>'Investment Business Of HoldCo'!AQ18</f>
        <v>-459045</v>
      </c>
      <c r="X71" s="36">
        <f>'Investment Business Of HoldCo'!AR18</f>
        <v>567933</v>
      </c>
      <c r="Y71" s="36">
        <f>'Investment Business Of HoldCo'!AS18</f>
        <v>1548826</v>
      </c>
      <c r="Z71" s="36">
        <f>'Investment Business Of HoldCo'!AT18</f>
        <v>-108309</v>
      </c>
      <c r="AA71" s="36">
        <f>'Investment Business Of HoldCo'!AU18</f>
        <v>1405371</v>
      </c>
      <c r="AB71" s="36">
        <f>'Investment Business Of HoldCo'!AV18</f>
        <v>3413821</v>
      </c>
      <c r="AC71" s="36">
        <f>'Investment Business Of HoldCo'!AW18</f>
        <v>-256548</v>
      </c>
      <c r="AD71" s="36">
        <f>'Investment Business Of HoldCo'!AX18</f>
        <v>620546</v>
      </c>
      <c r="AE71" s="36">
        <f>'Investment Business Of HoldCo'!AY18</f>
        <v>-200620</v>
      </c>
      <c r="AF71" s="36">
        <f>'Investment Business Of HoldCo'!AZ18</f>
        <v>0</v>
      </c>
      <c r="AG71" s="36">
        <f>'Investment Business Of HoldCo'!BA18</f>
        <v>-1505592</v>
      </c>
      <c r="AH71" s="36">
        <f>'Investment Business Of HoldCo'!BB18</f>
        <v>0</v>
      </c>
      <c r="AI71" s="36">
        <f>'Investment Business Of HoldCo'!BC18</f>
        <v>0</v>
      </c>
      <c r="AJ71" s="36">
        <f>'Investment Business Of HoldCo'!BD18</f>
        <v>0</v>
      </c>
      <c r="AK71" s="36">
        <f>'Investment Business Of HoldCo'!BE18</f>
        <v>0</v>
      </c>
      <c r="AL71" s="36">
        <f>'Investment Business Of HoldCo'!BF18</f>
        <v>0</v>
      </c>
      <c r="AM71" s="36">
        <f>'Investment Business Of HoldCo'!BG18</f>
        <v>0</v>
      </c>
      <c r="AN71" s="36">
        <f>'Investment Business Of HoldCo'!BH18</f>
        <v>0</v>
      </c>
      <c r="AO71" s="36">
        <f>'Investment Business Of HoldCo'!BI18</f>
        <v>0</v>
      </c>
      <c r="AP71" s="36">
        <f>'Investment Business Of HoldCo'!BJ18</f>
        <v>0</v>
      </c>
      <c r="AQ71" s="36">
        <f>'Investment Business Of HoldCo'!BK18</f>
        <v>0</v>
      </c>
      <c r="AR71" s="36">
        <f>'Investment Business Of HoldCo'!BL18</f>
        <v>0</v>
      </c>
      <c r="AS71" s="36">
        <f>'Investment Business Of HoldCo'!BM18</f>
        <v>0</v>
      </c>
      <c r="AT71" s="36">
        <f>'Investment Business Of HoldCo'!BN18</f>
        <v>0</v>
      </c>
      <c r="AU71" s="36">
        <f>'Investment Business Of HoldCo'!BO18</f>
        <v>0</v>
      </c>
      <c r="AV71" s="36">
        <f>'Investment Business Of HoldCo'!BP18</f>
        <v>0</v>
      </c>
      <c r="AW71" s="36">
        <f>'Investment Business Of HoldCo'!BQ18</f>
        <v>0</v>
      </c>
      <c r="AX71" s="36">
        <f>'Investment Business Of HoldCo'!BR18</f>
        <v>0</v>
      </c>
      <c r="AY71" s="36">
        <f>'Investment Business Of HoldCo'!BS18</f>
        <v>0</v>
      </c>
      <c r="AZ71" s="36">
        <f>'Investment Business Of HoldCo'!BT18</f>
        <v>0</v>
      </c>
      <c r="BA71" s="36">
        <f>'Investment Business Of HoldCo'!BU18</f>
        <v>0</v>
      </c>
      <c r="BB71" s="36">
        <f>'Investment Business Of HoldCo'!BV18</f>
        <v>0</v>
      </c>
      <c r="BC71" s="36">
        <f>'Investment Business Of HoldCo'!BW18</f>
        <v>0</v>
      </c>
      <c r="BD71" s="36">
        <f>'Investment Business Of HoldCo'!BX18</f>
        <v>0</v>
      </c>
      <c r="BE71" s="36">
        <f>'Investment Business Of HoldCo'!BY18</f>
        <v>0</v>
      </c>
      <c r="BF71" s="36">
        <f>'Investment Business Of HoldCo'!BZ18</f>
        <v>0</v>
      </c>
      <c r="BK71" s="36">
        <f t="shared" si="169"/>
        <v>4560568</v>
      </c>
      <c r="BL71" s="36">
        <f t="shared" si="170"/>
        <v>-459045</v>
      </c>
      <c r="BM71" s="36">
        <f t="shared" si="170"/>
        <v>3413821</v>
      </c>
      <c r="BN71" s="36">
        <f t="shared" si="170"/>
        <v>-1505592</v>
      </c>
      <c r="BO71" s="36">
        <f t="shared" si="170"/>
        <v>0</v>
      </c>
      <c r="BP71" s="36">
        <f t="shared" si="170"/>
        <v>0</v>
      </c>
      <c r="BQ71" s="36">
        <f t="shared" si="170"/>
        <v>0</v>
      </c>
      <c r="BR71" s="36">
        <f t="shared" si="170"/>
        <v>0</v>
      </c>
      <c r="BS71" s="36">
        <f t="shared" si="170"/>
        <v>0</v>
      </c>
    </row>
    <row r="72" spans="1:71">
      <c r="A72" s="5" t="s">
        <v>1933</v>
      </c>
      <c r="I72" s="36"/>
      <c r="J72" s="36"/>
      <c r="K72" s="36"/>
      <c r="L72" s="36"/>
      <c r="M72" s="36"/>
      <c r="N72" s="36">
        <f>'SVF Segment'!AH25</f>
        <v>-2952749</v>
      </c>
      <c r="O72" s="36">
        <f>'SVF Segment'!AI25</f>
        <v>-1390576</v>
      </c>
      <c r="P72" s="36">
        <f>'SVF Segment'!AJ25</f>
        <v>-752558</v>
      </c>
      <c r="Q72" s="36">
        <f>'SVF Segment'!AK25</f>
        <v>-249610</v>
      </c>
      <c r="R72" s="36">
        <f>'SVF Segment'!AL25</f>
        <v>-5345493</v>
      </c>
      <c r="S72" s="36">
        <f>'SVF Segment'!AM25</f>
        <v>141474</v>
      </c>
      <c r="T72" s="36">
        <f>'SVF Segment'!AN25</f>
        <v>-5026</v>
      </c>
      <c r="U72" s="36">
        <f>'SVF Segment'!AO25</f>
        <v>581379</v>
      </c>
      <c r="V72" s="36">
        <f>'SVF Segment'!AP25</f>
        <v>-78472</v>
      </c>
      <c r="W72" s="36">
        <f>'SVF Segment'!AQ25</f>
        <v>639355</v>
      </c>
      <c r="X72" s="36">
        <f>'SVF Segment'!AR25</f>
        <v>-17279</v>
      </c>
      <c r="Y72" s="36">
        <f>'SVF Segment'!AS25</f>
        <v>591602</v>
      </c>
      <c r="Z72" s="36">
        <f>'SVF Segment'!AT25</f>
        <v>-367897</v>
      </c>
      <c r="AA72" s="36">
        <f>'SVF Segment'!AU25</f>
        <v>166308</v>
      </c>
      <c r="AB72" s="36">
        <f>'SVF Segment'!AV25</f>
        <v>372734</v>
      </c>
      <c r="AC72" s="36">
        <f>'SVF Segment'!AW25</f>
        <v>713316</v>
      </c>
      <c r="AD72" s="36">
        <f>'SVF Segment'!AX25</f>
        <v>2792250</v>
      </c>
      <c r="AE72" s="36">
        <f>'SVF Segment'!AY25</f>
        <v>362287</v>
      </c>
      <c r="AF72" s="36">
        <f>'SVF Segment'!AZ25</f>
        <v>-262928.27527834033</v>
      </c>
      <c r="AG72" s="36">
        <f>'SVF Segment'!BA25</f>
        <v>3604924.7247216599</v>
      </c>
      <c r="AH72" s="36">
        <f>'SVF Segment'!BB25</f>
        <v>4868660.4961822964</v>
      </c>
      <c r="AI72" s="36">
        <f>'SVF Segment'!BC25</f>
        <v>1897369.3459012811</v>
      </c>
      <c r="AJ72" s="36">
        <f>'SVF Segment'!BD25</f>
        <v>1890142.1956202665</v>
      </c>
      <c r="AK72" s="36">
        <f>'SVF Segment'!BE25</f>
        <v>40927.045339252116</v>
      </c>
      <c r="AL72" s="36">
        <f>'SVF Segment'!BF25</f>
        <v>8697099.0830430947</v>
      </c>
      <c r="AM72" s="36">
        <f>'SVF Segment'!BG25</f>
        <v>301441.09243469371</v>
      </c>
      <c r="AN72" s="36">
        <f>'SVF Segment'!BH25</f>
        <v>294545.52589665412</v>
      </c>
      <c r="AO72" s="36">
        <f>'SVF Segment'!BI25</f>
        <v>287681.95935861435</v>
      </c>
      <c r="AP72" s="36">
        <f>'SVF Segment'!BJ25</f>
        <v>280090.89282057463</v>
      </c>
      <c r="AQ72" s="36">
        <f>'SVF Segment'!BK25</f>
        <v>1163759.4705105368</v>
      </c>
      <c r="AR72" s="36">
        <f>'SVF Segment'!BL25</f>
        <v>271441.74280818563</v>
      </c>
      <c r="AS72" s="36">
        <f>'SVF Segment'!BM25</f>
        <v>260148.06493938516</v>
      </c>
      <c r="AT72" s="36">
        <f>'SVF Segment'!BN25</f>
        <v>248156.88707058472</v>
      </c>
      <c r="AU72" s="36">
        <f>'SVF Segment'!BO25</f>
        <v>236225.70920178419</v>
      </c>
      <c r="AV72" s="36">
        <f>'SVF Segment'!BP25</f>
        <v>1015972.4040199396</v>
      </c>
      <c r="AW72" s="36">
        <f>'SVF Segment'!BQ25</f>
        <v>223605.03133298369</v>
      </c>
      <c r="AX72" s="36">
        <f>'SVF Segment'!BR25</f>
        <v>206563.35346418319</v>
      </c>
      <c r="AY72" s="36">
        <f>'SVF Segment'!BS25</f>
        <v>184258.57440461731</v>
      </c>
      <c r="AZ72" s="36">
        <f>'SVF Segment'!BT25</f>
        <v>165920.25227341781</v>
      </c>
      <c r="BA72" s="36">
        <f>'SVF Segment'!BU25</f>
        <v>780347.211475202</v>
      </c>
      <c r="BB72" s="36">
        <f>'SVF Segment'!BV25</f>
        <v>157198</v>
      </c>
      <c r="BC72" s="36">
        <f>'SVF Segment'!BW25</f>
        <v>143463</v>
      </c>
      <c r="BD72" s="36">
        <f>'SVF Segment'!BX25</f>
        <v>131643.75</v>
      </c>
      <c r="BE72" s="36">
        <f>'SVF Segment'!BY25</f>
        <v>116576.75</v>
      </c>
      <c r="BF72" s="36">
        <f>'SVF Segment'!BZ25</f>
        <v>548881.5</v>
      </c>
      <c r="BK72" s="36">
        <f t="shared" si="169"/>
        <v>-5345493</v>
      </c>
      <c r="BL72" s="36">
        <f t="shared" si="170"/>
        <v>639355</v>
      </c>
      <c r="BM72" s="36">
        <f t="shared" si="170"/>
        <v>372734</v>
      </c>
      <c r="BN72" s="36">
        <f t="shared" si="170"/>
        <v>3604924.7247216599</v>
      </c>
      <c r="BO72" s="36">
        <f t="shared" si="170"/>
        <v>8697099.0830430947</v>
      </c>
      <c r="BP72" s="36">
        <f t="shared" si="170"/>
        <v>1163759.4705105368</v>
      </c>
      <c r="BQ72" s="36">
        <f t="shared" si="170"/>
        <v>1015972.4040199396</v>
      </c>
      <c r="BR72" s="36">
        <f t="shared" si="170"/>
        <v>780347.211475202</v>
      </c>
      <c r="BS72" s="36">
        <f t="shared" si="170"/>
        <v>548881.5</v>
      </c>
    </row>
    <row r="73" spans="1:71">
      <c r="A73" s="5" t="s">
        <v>1960</v>
      </c>
      <c r="I73" s="36"/>
      <c r="J73" s="36"/>
      <c r="K73" s="36"/>
      <c r="L73" s="36"/>
      <c r="M73" s="36"/>
      <c r="N73" s="36">
        <f t="shared" ref="N73:BF73" si="171">N74-SUM(N69:N72)</f>
        <v>-14853.759999999776</v>
      </c>
      <c r="O73" s="36">
        <f t="shared" si="171"/>
        <v>-99295.439999999944</v>
      </c>
      <c r="P73" s="36">
        <f t="shared" si="171"/>
        <v>-272529.04000000015</v>
      </c>
      <c r="Q73" s="36">
        <f t="shared" si="171"/>
        <v>-181939.00000000023</v>
      </c>
      <c r="R73" s="36">
        <f t="shared" si="171"/>
        <v>-568617.24000000022</v>
      </c>
      <c r="S73" s="36">
        <f t="shared" si="171"/>
        <v>-228422.20999999996</v>
      </c>
      <c r="T73" s="36">
        <f t="shared" si="171"/>
        <v>-586877.35999999987</v>
      </c>
      <c r="U73" s="36">
        <f t="shared" si="171"/>
        <v>-60767</v>
      </c>
      <c r="V73" s="36">
        <f t="shared" si="171"/>
        <v>-148566.43400000018</v>
      </c>
      <c r="W73" s="36">
        <f t="shared" si="171"/>
        <v>-1024633.0040000004</v>
      </c>
      <c r="X73" s="36">
        <f t="shared" si="171"/>
        <v>-45449.96250000014</v>
      </c>
      <c r="Y73" s="36">
        <f t="shared" si="171"/>
        <v>-72210.618999999948</v>
      </c>
      <c r="Z73" s="36">
        <f t="shared" si="171"/>
        <v>-48538.500000000116</v>
      </c>
      <c r="AA73" s="36">
        <f t="shared" si="171"/>
        <v>-150207.03230000054</v>
      </c>
      <c r="AB73" s="36">
        <f t="shared" si="171"/>
        <v>-316406.11379999947</v>
      </c>
      <c r="AC73" s="36">
        <f t="shared" si="171"/>
        <v>-127113.89281250001</v>
      </c>
      <c r="AD73" s="36">
        <f t="shared" si="171"/>
        <v>-89379.894181250129</v>
      </c>
      <c r="AE73" s="36">
        <f t="shared" si="171"/>
        <v>-247295.02287500014</v>
      </c>
      <c r="AF73" s="36">
        <f t="shared" si="171"/>
        <v>-229476.20973017329</v>
      </c>
      <c r="AG73" s="36">
        <f t="shared" si="171"/>
        <v>-693265.01959892455</v>
      </c>
      <c r="AH73" s="36">
        <f t="shared" si="171"/>
        <v>-71970.052159257233</v>
      </c>
      <c r="AI73" s="36">
        <f t="shared" si="171"/>
        <v>-47641.295114046894</v>
      </c>
      <c r="AJ73" s="36">
        <f t="shared" si="171"/>
        <v>-60193.678893618286</v>
      </c>
      <c r="AK73" s="36">
        <f t="shared" si="171"/>
        <v>-102043.94469920866</v>
      </c>
      <c r="AL73" s="36">
        <f t="shared" si="171"/>
        <v>-281848.97086613066</v>
      </c>
      <c r="AM73" s="36">
        <f t="shared" si="171"/>
        <v>-73708.256501576747</v>
      </c>
      <c r="AN73" s="36">
        <f t="shared" si="171"/>
        <v>-47661.154285143246</v>
      </c>
      <c r="AO73" s="36">
        <f t="shared" si="171"/>
        <v>-60274.11213843571</v>
      </c>
      <c r="AP73" s="36">
        <f t="shared" si="171"/>
        <v>-104430.83168871119</v>
      </c>
      <c r="AQ73" s="36">
        <f t="shared" si="171"/>
        <v>-286074.35461386526</v>
      </c>
      <c r="AR73" s="36">
        <f t="shared" si="171"/>
        <v>-74459.797885420849</v>
      </c>
      <c r="AS73" s="36">
        <f t="shared" si="171"/>
        <v>-48018.780331403017</v>
      </c>
      <c r="AT73" s="36">
        <f t="shared" si="171"/>
        <v>-60728.439203753253</v>
      </c>
      <c r="AU73" s="36">
        <f t="shared" si="171"/>
        <v>-106404.42288011243</v>
      </c>
      <c r="AV73" s="36">
        <f t="shared" si="171"/>
        <v>-289611.44030069048</v>
      </c>
      <c r="AW73" s="36">
        <f t="shared" si="171"/>
        <v>-67845.486001933808</v>
      </c>
      <c r="AX73" s="36">
        <f t="shared" si="171"/>
        <v>-40847.760460694437</v>
      </c>
      <c r="AY73" s="36">
        <f t="shared" si="171"/>
        <v>-53508.920422465424</v>
      </c>
      <c r="AZ73" s="36">
        <f t="shared" si="171"/>
        <v>-100040.38348074432</v>
      </c>
      <c r="BA73" s="36">
        <f t="shared" si="171"/>
        <v>-262242.55036583729</v>
      </c>
      <c r="BB73" s="36">
        <f t="shared" si="171"/>
        <v>-69692.944180344115</v>
      </c>
      <c r="BC73" s="36">
        <f t="shared" si="171"/>
        <v>-41481.088321118499</v>
      </c>
      <c r="BD73" s="36">
        <f t="shared" si="171"/>
        <v>-55315.42743822129</v>
      </c>
      <c r="BE73" s="36">
        <f t="shared" si="171"/>
        <v>-102137.00472868688</v>
      </c>
      <c r="BF73" s="36">
        <f t="shared" si="171"/>
        <v>-268626.46466837125</v>
      </c>
      <c r="BK73" s="36">
        <f t="shared" si="169"/>
        <v>-568617.24000000022</v>
      </c>
      <c r="BL73" s="36">
        <f t="shared" si="170"/>
        <v>-1024633.0040000004</v>
      </c>
      <c r="BM73" s="36">
        <f t="shared" si="170"/>
        <v>-316406.11379999947</v>
      </c>
      <c r="BN73" s="36">
        <f t="shared" si="170"/>
        <v>-693265.01959892455</v>
      </c>
      <c r="BO73" s="36">
        <f t="shared" si="170"/>
        <v>-281848.97086613066</v>
      </c>
      <c r="BP73" s="36">
        <f t="shared" si="170"/>
        <v>-286074.35461386526</v>
      </c>
      <c r="BQ73" s="36">
        <f t="shared" si="170"/>
        <v>-289611.44030069048</v>
      </c>
      <c r="BR73" s="36">
        <f t="shared" si="170"/>
        <v>-262242.55036583729</v>
      </c>
      <c r="BS73" s="36">
        <f t="shared" si="170"/>
        <v>-268626.46466837125</v>
      </c>
    </row>
    <row r="74" spans="1:71">
      <c r="A74" s="9" t="s">
        <v>2260</v>
      </c>
      <c r="B74" s="9"/>
      <c r="C74" s="9"/>
      <c r="D74" s="9"/>
      <c r="E74" s="9"/>
      <c r="F74" s="9"/>
      <c r="G74" s="9"/>
      <c r="H74" s="9"/>
      <c r="I74" s="39"/>
      <c r="J74" s="39"/>
      <c r="K74" s="39"/>
      <c r="L74" s="39"/>
      <c r="M74" s="39"/>
      <c r="N74" s="39">
        <f>'Financial statements (OLD)'!S19</f>
        <v>-2577152</v>
      </c>
      <c r="O74" s="39">
        <f>'Financial statements (OLD)'!T19</f>
        <v>2194596</v>
      </c>
      <c r="P74" s="39">
        <f>'Financial statements (OLD)'!U19</f>
        <v>-320486</v>
      </c>
      <c r="Q74" s="39">
        <f>'Financial statements (OLD)'!V19</f>
        <v>500765</v>
      </c>
      <c r="R74" s="39">
        <f>'Financial statements (OLD)'!W19</f>
        <v>-202277</v>
      </c>
      <c r="S74" s="39">
        <f>'Financial statements (OLD)'!X19</f>
        <v>-514962</v>
      </c>
      <c r="T74" s="39">
        <f>'Financial statements (OLD)'!Y19</f>
        <v>-70348</v>
      </c>
      <c r="U74" s="39">
        <f>'Financial statements (OLD)'!Z19</f>
        <v>587951</v>
      </c>
      <c r="V74" s="39">
        <f>'Financial statements (OLD)'!AA19</f>
        <v>6140.2309409409063</v>
      </c>
      <c r="W74" s="39">
        <f>'Financial statements (OLD)'!AB19</f>
        <v>8781.2309409407899</v>
      </c>
      <c r="X74" s="39">
        <f>'Financial statements (OLD)'!AC19</f>
        <v>798030.7561668366</v>
      </c>
      <c r="Y74" s="39">
        <f>'Financial statements (OLD)'!AD19</f>
        <v>2371321.4048830136</v>
      </c>
      <c r="Z74" s="39">
        <f>'Financial statements (OLD)'!AE19</f>
        <v>-254327.32259253913</v>
      </c>
      <c r="AA74" s="39">
        <f>'Financial statements (OLD)'!AF19</f>
        <v>1575306.0154802054</v>
      </c>
      <c r="AB74" s="39">
        <f>'Financial statements (OLD)'!AG19</f>
        <v>4490330.8539375179</v>
      </c>
      <c r="AC74" s="39">
        <f>'Financial statements (OLD)'!AH19</f>
        <v>646002.74170028954</v>
      </c>
      <c r="AD74" s="39">
        <f>'Financial statements (OLD)'!AI19</f>
        <v>3650161.4088863777</v>
      </c>
      <c r="AE74" s="39">
        <f>'Financial statements (OLD)'!AJ19</f>
        <v>209007.09127389314</v>
      </c>
      <c r="AF74" s="39">
        <f>'Financial statements (OLD)'!AK19</f>
        <v>-306507.03362772882</v>
      </c>
      <c r="AG74" s="39">
        <f>'Financial statements (OLD)'!AL19</f>
        <v>2529694.2082328307</v>
      </c>
      <c r="AH74" s="39">
        <f>'Financial statements (OLD)'!AM19</f>
        <v>5140176.0378955929</v>
      </c>
      <c r="AI74" s="39">
        <f>'Financial statements (OLD)'!AN19</f>
        <v>2212181.8486135611</v>
      </c>
      <c r="AJ74" s="39">
        <f>'Financial statements (OLD)'!AO19</f>
        <v>2157919.6745032975</v>
      </c>
      <c r="AK74" s="39">
        <f>'Financial statements (OLD)'!AP19</f>
        <v>157494.03500776179</v>
      </c>
      <c r="AL74" s="39">
        <f>'Financial statements (OLD)'!AQ19</f>
        <v>9667771.5960202124</v>
      </c>
      <c r="AM74" s="39">
        <f>'Financial statements (OLD)'!AR19</f>
        <v>610664.14116290736</v>
      </c>
      <c r="AN74" s="39">
        <f>'Financial statements (OLD)'!AS19</f>
        <v>650079.55834575847</v>
      </c>
      <c r="AO74" s="39">
        <f>'Financial statements (OLD)'!AT19</f>
        <v>594594.49210504931</v>
      </c>
      <c r="AP74" s="39">
        <f>'Financial statements (OLD)'!AU19</f>
        <v>429960.42627847777</v>
      </c>
      <c r="AQ74" s="39">
        <f>'Financial statements (OLD)'!AV19</f>
        <v>2285298.6178921945</v>
      </c>
      <c r="AR74" s="39">
        <f>'Financial statements (OLD)'!AW19</f>
        <v>618359.48068716645</v>
      </c>
      <c r="AS74" s="39">
        <f>'Financial statements (OLD)'!AX19</f>
        <v>655415.73605255829</v>
      </c>
      <c r="AT74" s="39">
        <f>'Financial statements (OLD)'!AY19</f>
        <v>595824.7839353364</v>
      </c>
      <c r="AU74" s="39">
        <f>'Financial statements (OLD)'!AZ19</f>
        <v>422756.7961500471</v>
      </c>
      <c r="AV74" s="39">
        <f>'Financial statements (OLD)'!BA19</f>
        <v>2292356.7968251072</v>
      </c>
      <c r="AW74" s="39">
        <f>'Financial statements (OLD)'!BB19</f>
        <v>584306.63919641788</v>
      </c>
      <c r="AX74" s="39">
        <f>'Financial statements (OLD)'!BC19</f>
        <v>616936.5445396743</v>
      </c>
      <c r="AY74" s="39">
        <f>'Financial statements (OLD)'!BD19</f>
        <v>546396.64598613768</v>
      </c>
      <c r="AZ74" s="39">
        <f>'Financial statements (OLD)'!BE19</f>
        <v>362553.93022545252</v>
      </c>
      <c r="BA74" s="39">
        <f>'Financial statements (OLD)'!BF19</f>
        <v>2110193.7599476832</v>
      </c>
      <c r="BB74" s="39">
        <f>'Financial statements (OLD)'!BG19</f>
        <v>524960.86071489158</v>
      </c>
      <c r="BC74" s="39">
        <f>'Financial statements (OLD)'!BH19</f>
        <v>562721.12030473712</v>
      </c>
      <c r="BD74" s="39">
        <f>'Financial statements (OLD)'!BI19</f>
        <v>501641.42182947672</v>
      </c>
      <c r="BE74" s="39">
        <f>'Financial statements (OLD)'!BJ19</f>
        <v>319637.99604473764</v>
      </c>
      <c r="BF74" s="39">
        <f>'Financial statements (OLD)'!BK19</f>
        <v>1908961.3988938429</v>
      </c>
      <c r="BK74" s="39">
        <f t="shared" si="169"/>
        <v>-202277</v>
      </c>
      <c r="BL74" s="39">
        <f t="shared" si="170"/>
        <v>8781.2309409407899</v>
      </c>
      <c r="BM74" s="39">
        <f t="shared" si="170"/>
        <v>4490330.8539375179</v>
      </c>
      <c r="BN74" s="39">
        <f t="shared" si="170"/>
        <v>2529694.2082328307</v>
      </c>
      <c r="BO74" s="39">
        <f t="shared" si="170"/>
        <v>9667771.5960202124</v>
      </c>
      <c r="BP74" s="39">
        <f t="shared" si="170"/>
        <v>2285298.6178921945</v>
      </c>
      <c r="BQ74" s="39">
        <f t="shared" si="170"/>
        <v>2292356.7968251072</v>
      </c>
      <c r="BR74" s="39">
        <f t="shared" si="170"/>
        <v>2110193.7599476832</v>
      </c>
      <c r="BS74" s="39">
        <f t="shared" si="170"/>
        <v>1908961.3988938429</v>
      </c>
    </row>
    <row r="76" spans="1:71">
      <c r="A76" s="3" t="s">
        <v>2138</v>
      </c>
    </row>
    <row r="77" spans="1:71">
      <c r="A77" s="5" t="s">
        <v>707</v>
      </c>
      <c r="I77" s="36"/>
      <c r="J77" s="36"/>
      <c r="K77" s="36"/>
      <c r="L77" s="36"/>
      <c r="M77" s="36"/>
      <c r="N77" s="36">
        <f>1000*SUM('Financial statements KK'!AD39:AD40)</f>
        <v>-16719</v>
      </c>
      <c r="O77" s="36">
        <f>1000*SUM('Financial statements KK'!AE39:AE40)</f>
        <v>-26861</v>
      </c>
      <c r="P77" s="36">
        <f>1000*SUM('Financial statements KK'!AF39:AF40)</f>
        <v>-39877.999999999993</v>
      </c>
      <c r="Q77" s="36">
        <f>1000*SUM('Financial statements KK'!AG39:AG40)</f>
        <v>-21849.000000000018</v>
      </c>
      <c r="R77" s="36">
        <f>1000*SUM('Financial statements KK'!AH39:AH40)</f>
        <v>-105307</v>
      </c>
      <c r="S77" s="36">
        <f>1000*SUM('Financial statements KK'!AI39:AI40)</f>
        <v>-9871.9999999999982</v>
      </c>
      <c r="T77" s="36">
        <f>1000*SUM('Financial statements KK'!AJ39:AJ40)</f>
        <v>-16987.000000000004</v>
      </c>
      <c r="U77" s="36">
        <f>1000*SUM('Financial statements KK'!AK39:AK40)</f>
        <v>-22645.999999999996</v>
      </c>
      <c r="V77" s="36">
        <f>1000*SUM('Financial statements KK'!AL39:AL40)</f>
        <v>-20050.6875</v>
      </c>
      <c r="W77" s="36">
        <f>1000*SUM('Financial statements KK'!AM39:AM40)</f>
        <v>-69555.687499999985</v>
      </c>
      <c r="X77" s="36">
        <f>1000*SUM('Financial statements KK'!AN39:AN40)</f>
        <v>-15702.864953789232</v>
      </c>
      <c r="Y77" s="36">
        <f>1000*SUM('Financial statements KK'!AO39:AO40)</f>
        <v>-21862.181769815939</v>
      </c>
      <c r="Z77" s="36">
        <f>1000*SUM('Financial statements KK'!AP39:AP40)</f>
        <v>-15728.737430542822</v>
      </c>
      <c r="AA77" s="36">
        <f>1000*SUM('Financial statements KK'!AQ39:AQ40)</f>
        <v>-21047.065152051382</v>
      </c>
      <c r="AB77" s="36">
        <f>1000*SUM('Financial statements KK'!AR39:AR40)</f>
        <v>-74340.849306199379</v>
      </c>
      <c r="AC77" s="36">
        <f>1000*SUM('Financial statements KK'!AS39:AS40)</f>
        <v>-17089.280617023782</v>
      </c>
      <c r="AD77" s="36">
        <f>1000*SUM('Financial statements KK'!AT39:AT40)</f>
        <v>-23210.461364667874</v>
      </c>
      <c r="AE77" s="36">
        <f>1000*SUM('Financial statements KK'!AU39:AU40)</f>
        <v>-17049.142839422911</v>
      </c>
      <c r="AF77" s="36">
        <f>1000*SUM('Financial statements KK'!AV39:AV40)</f>
        <v>-22268.496026012312</v>
      </c>
      <c r="AG77" s="36">
        <f>1000*SUM('Financial statements KK'!AW39:AW40)</f>
        <v>-79617.380847126886</v>
      </c>
      <c r="AH77" s="36">
        <f>1000*SUM('Financial statements KK'!AX39:AX40)</f>
        <v>-18256.982701817389</v>
      </c>
      <c r="AI77" s="36">
        <f>1000*SUM('Financial statements KK'!AY39:AY40)</f>
        <v>-24279.556503215845</v>
      </c>
      <c r="AJ77" s="36">
        <f>1000*SUM('Financial statements KK'!AZ39:AZ40)</f>
        <v>-18260.754238532372</v>
      </c>
      <c r="AK77" s="36">
        <f>1000*SUM('Financial statements KK'!BA39:BA40)</f>
        <v>-23343.947514246513</v>
      </c>
      <c r="AL77" s="36">
        <f>1000*SUM('Financial statements KK'!BB39:BB40)</f>
        <v>-84141.240957812101</v>
      </c>
      <c r="AM77" s="36">
        <f>1000*SUM('Financial statements KK'!BC39:BC40)</f>
        <v>-19308.031559492585</v>
      </c>
      <c r="AN77" s="36">
        <f>1000*SUM('Financial statements KK'!BD39:BD40)</f>
        <v>-25273.878498343656</v>
      </c>
      <c r="AO77" s="36">
        <f>1000*SUM('Financial statements KK'!BE39:BE40)</f>
        <v>-19119.216379296406</v>
      </c>
      <c r="AP77" s="36">
        <f>1000*SUM('Financial statements KK'!BF39:BF40)</f>
        <v>-24046.927307214395</v>
      </c>
      <c r="AQ77" s="36">
        <f>1000*SUM('Financial statements KK'!BG39:BG40)</f>
        <v>-87748.053744347053</v>
      </c>
      <c r="AR77" s="36">
        <f>1000*SUM('Financial statements KK'!BH39:BH40)</f>
        <v>-20044.7868736155</v>
      </c>
      <c r="AS77" s="36">
        <f>1000*SUM('Financial statements KK'!BI39:BI40)</f>
        <v>-25819.168479835542</v>
      </c>
      <c r="AT77" s="36">
        <f>1000*SUM('Financial statements KK'!BJ39:BJ40)</f>
        <v>-19721.374730835156</v>
      </c>
      <c r="AU77" s="36">
        <f>1000*SUM('Financial statements KK'!BK39:BK40)</f>
        <v>-24384.9025066014</v>
      </c>
      <c r="AV77" s="36">
        <f>1000*SUM('Financial statements KK'!BL39:BL40)</f>
        <v>-89970.232590887608</v>
      </c>
      <c r="AW77" s="56">
        <f>AR77</f>
        <v>-20044.7868736155</v>
      </c>
      <c r="AX77" s="56">
        <f>AS77</f>
        <v>-25819.168479835542</v>
      </c>
      <c r="AY77" s="56">
        <f>AT77</f>
        <v>-19721.374730835156</v>
      </c>
      <c r="AZ77" s="56">
        <f>AU77</f>
        <v>-24384.9025066014</v>
      </c>
      <c r="BA77" s="36">
        <f>SUM(AW77:AZ77)</f>
        <v>-89970.232590887594</v>
      </c>
      <c r="BB77" s="56">
        <f t="shared" ref="BB77:BE78" si="172">AW77</f>
        <v>-20044.7868736155</v>
      </c>
      <c r="BC77" s="56">
        <f t="shared" si="172"/>
        <v>-25819.168479835542</v>
      </c>
      <c r="BD77" s="56">
        <f t="shared" si="172"/>
        <v>-19721.374730835156</v>
      </c>
      <c r="BE77" s="56">
        <f t="shared" si="172"/>
        <v>-24384.9025066014</v>
      </c>
      <c r="BF77" s="36">
        <f>SUM(BB77:BE77)</f>
        <v>-89970.232590887594</v>
      </c>
    </row>
    <row r="78" spans="1:71">
      <c r="A78" s="5" t="s">
        <v>708</v>
      </c>
      <c r="I78" s="36"/>
      <c r="J78" s="36"/>
      <c r="K78" s="36"/>
      <c r="L78" s="36"/>
      <c r="M78" s="36"/>
      <c r="N78" s="36">
        <f>'Arm (OLD)'!AH34</f>
        <v>258.08</v>
      </c>
      <c r="O78" s="36">
        <f>'Arm (OLD)'!AI34</f>
        <v>832.08</v>
      </c>
      <c r="P78" s="36">
        <f>'Arm (OLD)'!AJ34</f>
        <v>1835.08</v>
      </c>
      <c r="Q78" s="36">
        <f>'Arm (OLD)'!AK34</f>
        <v>2798.46</v>
      </c>
      <c r="R78" s="36">
        <f>'Arm (OLD)'!AL34</f>
        <v>5723.7</v>
      </c>
      <c r="S78" s="36">
        <f>'Arm (OLD)'!AM34</f>
        <v>-138.11000000000001</v>
      </c>
      <c r="T78" s="36">
        <f>'Arm (OLD)'!AN34</f>
        <v>4072.3199999999997</v>
      </c>
      <c r="U78" s="36">
        <f>'Arm (OLD)'!AO34</f>
        <v>4116</v>
      </c>
      <c r="V78" s="36">
        <f>'Arm (OLD)'!AP34</f>
        <v>3696.75</v>
      </c>
      <c r="W78" s="36">
        <f>'Arm (OLD)'!AQ34</f>
        <v>11746.96</v>
      </c>
      <c r="X78" s="36">
        <f>'Arm (OLD)'!AR34</f>
        <v>3913.25</v>
      </c>
      <c r="Y78" s="36">
        <f>'Arm (OLD)'!AS34</f>
        <v>3756.5</v>
      </c>
      <c r="Z78" s="36">
        <f>'Arm (OLD)'!AT34</f>
        <v>3783</v>
      </c>
      <c r="AA78" s="36">
        <f>'Arm (OLD)'!AU34</f>
        <v>3823.7499999999995</v>
      </c>
      <c r="AB78" s="36">
        <f>'Arm (OLD)'!AV34</f>
        <v>15276.5</v>
      </c>
      <c r="AC78" s="36">
        <f>'Arm (OLD)'!AW34</f>
        <v>4355.7</v>
      </c>
      <c r="AD78" s="36">
        <f>'Arm (OLD)'!AX34</f>
        <v>4425</v>
      </c>
      <c r="AE78" s="36">
        <f>'Arm (OLD)'!AY34</f>
        <v>4621.2</v>
      </c>
      <c r="AF78" s="36">
        <f>'Arm (OLD)'!AZ34</f>
        <v>4653</v>
      </c>
      <c r="AG78" s="36">
        <f>'Arm (OLD)'!BA34</f>
        <v>18054.900000000001</v>
      </c>
      <c r="AH78" s="36">
        <f>'Arm (OLD)'!BB34</f>
        <v>4641.0000000000009</v>
      </c>
      <c r="AI78" s="36">
        <f>'Arm (OLD)'!BC34</f>
        <v>4629</v>
      </c>
      <c r="AJ78" s="36">
        <f>'Arm (OLD)'!BD34</f>
        <v>4617</v>
      </c>
      <c r="AK78" s="36">
        <f>'Arm (OLD)'!BE34</f>
        <v>4605</v>
      </c>
      <c r="AL78" s="36">
        <f>'Arm (OLD)'!BF34</f>
        <v>18492</v>
      </c>
      <c r="AM78" s="36">
        <f>'Arm (OLD)'!BG34</f>
        <v>4593</v>
      </c>
      <c r="AN78" s="36">
        <f>'Arm (OLD)'!BH34</f>
        <v>4581.0000000000009</v>
      </c>
      <c r="AO78" s="36">
        <f>'Arm (OLD)'!BI34</f>
        <v>4569</v>
      </c>
      <c r="AP78" s="36">
        <f>'Arm (OLD)'!BJ34</f>
        <v>4557</v>
      </c>
      <c r="AQ78" s="36">
        <f>'Arm (OLD)'!BK34</f>
        <v>18300</v>
      </c>
      <c r="AR78" s="36">
        <f>'Arm (OLD)'!BL34</f>
        <v>4545</v>
      </c>
      <c r="AS78" s="36">
        <f>'Arm (OLD)'!BM34</f>
        <v>4533</v>
      </c>
      <c r="AT78" s="36">
        <f>'Arm (OLD)'!BN34</f>
        <v>4521.0000000000009</v>
      </c>
      <c r="AU78" s="36">
        <f>'Arm (OLD)'!BO34</f>
        <v>4509</v>
      </c>
      <c r="AV78" s="36">
        <f>'Arm (OLD)'!BP34</f>
        <v>18108</v>
      </c>
      <c r="AW78" s="36">
        <f>'Arm (OLD)'!BQ34</f>
        <v>4497</v>
      </c>
      <c r="AX78" s="36">
        <f>'Arm (OLD)'!BR34</f>
        <v>4485</v>
      </c>
      <c r="AY78" s="36">
        <f>'Arm (OLD)'!BS34</f>
        <v>4473</v>
      </c>
      <c r="AZ78" s="36">
        <f>'Arm (OLD)'!BT34</f>
        <v>4461.0000000000009</v>
      </c>
      <c r="BA78" s="36">
        <f>'Arm (OLD)'!BU34</f>
        <v>17916</v>
      </c>
      <c r="BB78" s="56">
        <f t="shared" si="172"/>
        <v>4497</v>
      </c>
      <c r="BC78" s="56">
        <f t="shared" si="172"/>
        <v>4485</v>
      </c>
      <c r="BD78" s="56">
        <f t="shared" si="172"/>
        <v>4473</v>
      </c>
      <c r="BE78" s="56">
        <f t="shared" si="172"/>
        <v>4461.0000000000009</v>
      </c>
      <c r="BF78" s="36">
        <f>SUM(BB78:BE78)</f>
        <v>17916</v>
      </c>
    </row>
    <row r="79" spans="1:71">
      <c r="A79" s="5" t="s">
        <v>2010</v>
      </c>
      <c r="I79" s="36"/>
      <c r="J79" s="36"/>
      <c r="K79" s="36"/>
      <c r="L79" s="36"/>
      <c r="M79" s="36"/>
      <c r="N79" s="36">
        <f>'Investment Business Of HoldCo'!AH23</f>
        <v>-80029</v>
      </c>
      <c r="O79" s="36">
        <f>'Investment Business Of HoldCo'!AI23</f>
        <v>-160610</v>
      </c>
      <c r="P79" s="36">
        <f>'Investment Business Of HoldCo'!AJ23</f>
        <v>-76563</v>
      </c>
      <c r="Q79" s="36">
        <f>'Investment Business Of HoldCo'!AK23</f>
        <v>-81339</v>
      </c>
      <c r="R79" s="36">
        <f>'Investment Business Of HoldCo'!AL23</f>
        <v>-398541</v>
      </c>
      <c r="S79" s="36">
        <f>'Investment Business Of HoldCo'!AM23</f>
        <v>-97256</v>
      </c>
      <c r="T79" s="36">
        <f>'Investment Business Of HoldCo'!AN23</f>
        <v>-112386</v>
      </c>
      <c r="U79" s="36">
        <f>'Investment Business Of HoldCo'!AO23</f>
        <v>-136361</v>
      </c>
      <c r="V79" s="36">
        <f>'Investment Business Of HoldCo'!AP23</f>
        <v>-127808</v>
      </c>
      <c r="W79" s="36">
        <f>'Investment Business Of HoldCo'!AQ23</f>
        <v>-473811</v>
      </c>
      <c r="X79" s="36">
        <f>'Investment Business Of HoldCo'!AR23</f>
        <v>-136075</v>
      </c>
      <c r="Y79" s="36">
        <f>'Investment Business Of HoldCo'!AS23</f>
        <v>-134333</v>
      </c>
      <c r="Z79" s="36">
        <f>'Investment Business Of HoldCo'!AT23</f>
        <v>-132479</v>
      </c>
      <c r="AA79" s="36">
        <f>'Investment Business Of HoldCo'!AU23</f>
        <v>-128365</v>
      </c>
      <c r="AB79" s="36">
        <f>'Investment Business Of HoldCo'!AV23</f>
        <v>-531252</v>
      </c>
      <c r="AC79" s="36">
        <f>'Investment Business Of HoldCo'!AW23</f>
        <v>-146581</v>
      </c>
      <c r="AD79" s="36">
        <f>'Investment Business Of HoldCo'!AX23</f>
        <v>-149752</v>
      </c>
      <c r="AE79" s="36">
        <f>'Investment Business Of HoldCo'!AY23</f>
        <v>-155264</v>
      </c>
      <c r="AF79" s="36">
        <f>'Investment Business Of HoldCo'!AZ23</f>
        <v>-256640</v>
      </c>
      <c r="AG79" s="36">
        <f>'Investment Business Of HoldCo'!BA23</f>
        <v>-708237</v>
      </c>
      <c r="AH79" s="36">
        <f>'Investment Business Of HoldCo'!BB23</f>
        <v>-255745</v>
      </c>
      <c r="AI79" s="36">
        <f>'Investment Business Of HoldCo'!BC23</f>
        <v>-201880</v>
      </c>
      <c r="AJ79" s="36">
        <f>'Investment Business Of HoldCo'!BD23</f>
        <v>-201770</v>
      </c>
      <c r="AK79" s="36">
        <f>'Investment Business Of HoldCo'!BE23</f>
        <v>-201665</v>
      </c>
      <c r="AL79" s="36">
        <f>'Investment Business Of HoldCo'!BF23</f>
        <v>-861060</v>
      </c>
      <c r="AM79" s="36">
        <f>'Investment Business Of HoldCo'!BG23</f>
        <v>-201555</v>
      </c>
      <c r="AN79" s="36">
        <f>'Investment Business Of HoldCo'!BH23</f>
        <v>-201445</v>
      </c>
      <c r="AO79" s="36">
        <f>'Investment Business Of HoldCo'!BI23</f>
        <v>-201340</v>
      </c>
      <c r="AP79" s="36">
        <f>'Investment Business Of HoldCo'!BJ23</f>
        <v>-201230</v>
      </c>
      <c r="AQ79" s="36">
        <f>'Investment Business Of HoldCo'!BK23</f>
        <v>-805570</v>
      </c>
      <c r="AR79" s="36">
        <f>'Investment Business Of HoldCo'!BL23</f>
        <v>-201120</v>
      </c>
      <c r="AS79" s="36">
        <f>'Investment Business Of HoldCo'!BM23</f>
        <v>-201010</v>
      </c>
      <c r="AT79" s="36">
        <f>'Investment Business Of HoldCo'!BN23</f>
        <v>-200900</v>
      </c>
      <c r="AU79" s="36">
        <f>'Investment Business Of HoldCo'!BO23</f>
        <v>-200795</v>
      </c>
      <c r="AV79" s="36">
        <f>'Investment Business Of HoldCo'!BP23</f>
        <v>-803825</v>
      </c>
      <c r="AW79" s="36">
        <f>'Investment Business Of HoldCo'!BQ23</f>
        <v>-200685</v>
      </c>
      <c r="AX79" s="36">
        <f>'Investment Business Of HoldCo'!BR23</f>
        <v>-200575</v>
      </c>
      <c r="AY79" s="36">
        <f>'Investment Business Of HoldCo'!BS23</f>
        <v>-200465</v>
      </c>
      <c r="AZ79" s="36">
        <f>'Investment Business Of HoldCo'!BT23</f>
        <v>-200350</v>
      </c>
      <c r="BA79" s="36">
        <f>'Investment Business Of HoldCo'!BU23</f>
        <v>-802075</v>
      </c>
      <c r="BB79" s="36">
        <f>'Investment Business Of HoldCo'!BV23</f>
        <v>-200240</v>
      </c>
      <c r="BC79" s="36">
        <f>'Investment Business Of HoldCo'!BW23</f>
        <v>-200130</v>
      </c>
      <c r="BD79" s="36">
        <f>'Investment Business Of HoldCo'!BX23</f>
        <v>-200020</v>
      </c>
      <c r="BE79" s="36">
        <f>'Investment Business Of HoldCo'!BY23</f>
        <v>-199910</v>
      </c>
      <c r="BF79" s="36">
        <f>'Investment Business Of HoldCo'!BZ23</f>
        <v>-800300</v>
      </c>
    </row>
    <row r="80" spans="1:71">
      <c r="A80" s="5" t="s">
        <v>1933</v>
      </c>
      <c r="I80" s="36"/>
      <c r="J80" s="36"/>
      <c r="K80" s="36"/>
      <c r="L80" s="36"/>
      <c r="M80" s="36"/>
      <c r="N80" s="36">
        <f>'SVF Segment'!AH29</f>
        <v>-15401</v>
      </c>
      <c r="O80" s="36">
        <f>'SVF Segment'!AI29</f>
        <v>-20394</v>
      </c>
      <c r="P80" s="36">
        <f>'SVF Segment'!AJ29</f>
        <v>-23279</v>
      </c>
      <c r="Q80" s="36">
        <f>'SVF Segment'!AK29</f>
        <v>-22107</v>
      </c>
      <c r="R80" s="36">
        <f>'SVF Segment'!AL29</f>
        <v>-81181</v>
      </c>
      <c r="S80" s="36">
        <f>'SVF Segment'!AM29</f>
        <v>-23628</v>
      </c>
      <c r="T80" s="36">
        <f>'SVF Segment'!AN29</f>
        <v>-28904</v>
      </c>
      <c r="U80" s="36">
        <f>'SVF Segment'!AO29</f>
        <v>-11991</v>
      </c>
      <c r="V80" s="36">
        <f>'SVF Segment'!AP29</f>
        <v>-9799</v>
      </c>
      <c r="W80" s="36">
        <f>'SVF Segment'!AQ29</f>
        <v>-74322</v>
      </c>
      <c r="X80" s="36">
        <f>'SVF Segment'!AR29</f>
        <v>-10524</v>
      </c>
      <c r="Y80" s="36">
        <f>'SVF Segment'!AS29</f>
        <v>-10147</v>
      </c>
      <c r="Z80" s="36">
        <f>'SVF Segment'!AT29</f>
        <v>-9999</v>
      </c>
      <c r="AA80" s="36">
        <f>'SVF Segment'!AU29</f>
        <v>-9574</v>
      </c>
      <c r="AB80" s="36">
        <f>'SVF Segment'!AV29</f>
        <v>-40244</v>
      </c>
      <c r="AC80" s="36">
        <f>'SVF Segment'!AW29</f>
        <v>-40183</v>
      </c>
      <c r="AD80" s="36">
        <f>'SVF Segment'!AX29</f>
        <v>-43588</v>
      </c>
      <c r="AE80" s="36">
        <f>'SVF Segment'!AY29</f>
        <v>-59980</v>
      </c>
      <c r="AF80" s="36">
        <f>'SVF Segment'!AZ29</f>
        <v>-15502.592850584439</v>
      </c>
      <c r="AG80" s="36">
        <f>'SVF Segment'!BA29</f>
        <v>-159253.59285058445</v>
      </c>
      <c r="AH80" s="36">
        <f>'SVF Segment'!BB29</f>
        <v>-17635.800000000003</v>
      </c>
      <c r="AI80" s="36">
        <f>'SVF Segment'!BC29</f>
        <v>-21568.246875000001</v>
      </c>
      <c r="AJ80" s="36">
        <f>'SVF Segment'!BD29</f>
        <v>-24758.662500000002</v>
      </c>
      <c r="AK80" s="36">
        <f>'SVF Segment'!BE29</f>
        <v>-28291.96875</v>
      </c>
      <c r="AL80" s="36">
        <f>'SVF Segment'!BF29</f>
        <v>-92254.678125000006</v>
      </c>
      <c r="AM80" s="36">
        <f>'SVF Segment'!BG29</f>
        <v>-30371.212499999998</v>
      </c>
      <c r="AN80" s="36">
        <f>'SVF Segment'!BH29</f>
        <v>-30291.862500000003</v>
      </c>
      <c r="AO80" s="36">
        <f>'SVF Segment'!BI29</f>
        <v>-30212.512500000001</v>
      </c>
      <c r="AP80" s="36">
        <f>'SVF Segment'!BJ29</f>
        <v>-30133.162500000002</v>
      </c>
      <c r="AQ80" s="36">
        <f>'SVF Segment'!BK29</f>
        <v>-121008.75</v>
      </c>
      <c r="AR80" s="36">
        <f>'SVF Segment'!BL29</f>
        <v>-30053.8125</v>
      </c>
      <c r="AS80" s="36">
        <f>'SVF Segment'!BM29</f>
        <v>-29974.462499999998</v>
      </c>
      <c r="AT80" s="36">
        <f>'SVF Segment'!BN29</f>
        <v>-29895.112500000003</v>
      </c>
      <c r="AU80" s="36">
        <f>'SVF Segment'!BO29</f>
        <v>-29815.762500000001</v>
      </c>
      <c r="AV80" s="36">
        <f>'SVF Segment'!BP29</f>
        <v>-119739.15</v>
      </c>
      <c r="AW80" s="36">
        <f>'SVF Segment'!BQ29</f>
        <v>-29736.412500000002</v>
      </c>
      <c r="AX80" s="36">
        <f>'SVF Segment'!BR29</f>
        <v>-29657.0625</v>
      </c>
      <c r="AY80" s="36">
        <f>'SVF Segment'!BS29</f>
        <v>-29577.712499999998</v>
      </c>
      <c r="AZ80" s="36">
        <f>'SVF Segment'!BT29</f>
        <v>-29498.362500000003</v>
      </c>
      <c r="BA80" s="36">
        <f>'SVF Segment'!BU29</f>
        <v>-118469.55</v>
      </c>
      <c r="BB80" s="36">
        <f>'SVF Segment'!BV29</f>
        <v>-29419.012500000001</v>
      </c>
      <c r="BC80" s="36">
        <f>'SVF Segment'!BW29</f>
        <v>-29339.662500000002</v>
      </c>
      <c r="BD80" s="36">
        <f>'SVF Segment'!BX29</f>
        <v>-29260.3125</v>
      </c>
      <c r="BE80" s="36">
        <f>'SVF Segment'!BY29</f>
        <v>-29180.962499999998</v>
      </c>
      <c r="BF80" s="36">
        <f>'SVF Segment'!BZ29</f>
        <v>-117199.95</v>
      </c>
    </row>
    <row r="81" spans="1:60">
      <c r="A81" s="5" t="s">
        <v>2150</v>
      </c>
      <c r="I81" s="36"/>
      <c r="J81" s="36"/>
      <c r="K81" s="36"/>
      <c r="L81" s="36"/>
      <c r="M81" s="36"/>
      <c r="N81" s="36">
        <f t="shared" ref="N81:U81" si="173">N82-SUM(N77:N80)</f>
        <v>-2248.0800000000017</v>
      </c>
      <c r="O81" s="36">
        <f t="shared" si="173"/>
        <v>6954.9199999999837</v>
      </c>
      <c r="P81" s="36">
        <f t="shared" si="173"/>
        <v>18593.919999999984</v>
      </c>
      <c r="Q81" s="36">
        <f t="shared" si="173"/>
        <v>102.5400000000227</v>
      </c>
      <c r="R81" s="36">
        <f t="shared" si="173"/>
        <v>23403.300000000047</v>
      </c>
      <c r="S81" s="36">
        <f t="shared" si="173"/>
        <v>-8706.89</v>
      </c>
      <c r="T81" s="36">
        <f t="shared" si="173"/>
        <v>-1378.320000000007</v>
      </c>
      <c r="U81" s="36">
        <f t="shared" si="173"/>
        <v>35270</v>
      </c>
      <c r="V81" s="56">
        <f>MROUND(AVERAGE(N81:Q81, S81:U81), 5)</f>
        <v>6940</v>
      </c>
      <c r="W81" s="36">
        <f>SUM(S81:V81)</f>
        <v>32124.789999999994</v>
      </c>
      <c r="X81" s="56">
        <f>-MROUND(-S81, 5)</f>
        <v>-8705</v>
      </c>
      <c r="Y81" s="56">
        <f>-MROUND(-T81, 5)</f>
        <v>-1380</v>
      </c>
      <c r="Z81" s="56">
        <f>MROUND(0.5*U81, 5)</f>
        <v>17635</v>
      </c>
      <c r="AA81" s="56">
        <f>MROUND(V81, 5)</f>
        <v>6940</v>
      </c>
      <c r="AB81" s="36">
        <f>SUM(X81:AA81)</f>
        <v>14490</v>
      </c>
      <c r="AC81" s="56">
        <f>-MROUND(-X81, 5)</f>
        <v>-8705</v>
      </c>
      <c r="AD81" s="56">
        <f>-MROUND(-Y81, 5)</f>
        <v>-1380</v>
      </c>
      <c r="AE81" s="56">
        <f>MROUND(0.5*Z81, 5)</f>
        <v>8820</v>
      </c>
      <c r="AF81" s="56">
        <f>MROUND(AA81, 5)</f>
        <v>6940</v>
      </c>
      <c r="AG81" s="36">
        <f>SUM(AC81:AF81)</f>
        <v>5675</v>
      </c>
      <c r="AH81" s="56">
        <f>-MROUND(-AC81, 5)</f>
        <v>-8705</v>
      </c>
      <c r="AI81" s="56">
        <f>-MROUND(-AD81, 5)</f>
        <v>-1380</v>
      </c>
      <c r="AJ81" s="56">
        <f>MROUND(0.5*AE81, 5)</f>
        <v>4410</v>
      </c>
      <c r="AK81" s="56">
        <f>MROUND(AF81, 5)</f>
        <v>6940</v>
      </c>
      <c r="AL81" s="36">
        <f>SUM(AH81:AK81)</f>
        <v>1265</v>
      </c>
      <c r="AM81" s="56">
        <f>-MROUND(-AH81, 5)</f>
        <v>-8705</v>
      </c>
      <c r="AN81" s="56">
        <f>-MROUND(-AI81, 5)</f>
        <v>-1380</v>
      </c>
      <c r="AO81" s="56">
        <f>MROUND(0.5*AJ81, 5)</f>
        <v>2205</v>
      </c>
      <c r="AP81" s="56">
        <f>MROUND(AK81, 5)</f>
        <v>6940</v>
      </c>
      <c r="AQ81" s="36">
        <f>SUM(AM81:AP81)</f>
        <v>-940</v>
      </c>
      <c r="AR81" s="56">
        <f>-MROUND(-AM81, 5)</f>
        <v>-8705</v>
      </c>
      <c r="AS81" s="56">
        <f>-MROUND(-AN81, 5)</f>
        <v>-1380</v>
      </c>
      <c r="AT81" s="56">
        <f>MROUND(0.5*AO81, 5)</f>
        <v>1105</v>
      </c>
      <c r="AU81" s="56">
        <f>MROUND(AP81, 5)</f>
        <v>6940</v>
      </c>
      <c r="AV81" s="36">
        <f>SUM(AR81:AU81)</f>
        <v>-2040</v>
      </c>
      <c r="AW81" s="56">
        <f>-MROUND(-AR81, 5)</f>
        <v>-8705</v>
      </c>
      <c r="AX81" s="56">
        <f>-MROUND(-AS81, 5)</f>
        <v>-1380</v>
      </c>
      <c r="AY81" s="56">
        <f>MROUND(0.5*AT81, 5)</f>
        <v>555</v>
      </c>
      <c r="AZ81" s="56">
        <f>MROUND(AU81, 5)</f>
        <v>6940</v>
      </c>
      <c r="BA81" s="36">
        <f>SUM(AW81:AZ81)</f>
        <v>-2590</v>
      </c>
      <c r="BB81" s="56">
        <f>-MROUND(-AW81, 5)</f>
        <v>-8705</v>
      </c>
      <c r="BC81" s="56">
        <f>-MROUND(-AX81, 5)</f>
        <v>-1380</v>
      </c>
      <c r="BD81" s="56">
        <f>MROUND(0.5*AY81, 5)</f>
        <v>280</v>
      </c>
      <c r="BE81" s="56">
        <f>MROUND(AZ81, 5)</f>
        <v>6940</v>
      </c>
      <c r="BF81" s="36">
        <f>SUM(BB81:BE81)</f>
        <v>-2865</v>
      </c>
    </row>
    <row r="82" spans="1:60">
      <c r="A82" s="9" t="s">
        <v>2151</v>
      </c>
      <c r="B82" s="9"/>
      <c r="C82" s="9"/>
      <c r="D82" s="9"/>
      <c r="E82" s="9"/>
      <c r="F82" s="9"/>
      <c r="G82" s="9"/>
      <c r="H82" s="9"/>
      <c r="I82" s="67">
        <v>-82799</v>
      </c>
      <c r="J82" s="67">
        <v>-102800</v>
      </c>
      <c r="K82" s="67">
        <v>-97165</v>
      </c>
      <c r="L82" s="67">
        <v>-99748</v>
      </c>
      <c r="M82" s="39">
        <f>SUM(I82:L82)</f>
        <v>-382512</v>
      </c>
      <c r="N82" s="67">
        <v>-114139</v>
      </c>
      <c r="O82" s="67">
        <v>-200078</v>
      </c>
      <c r="P82" s="67">
        <v>-119291</v>
      </c>
      <c r="Q82" s="67">
        <v>-122394</v>
      </c>
      <c r="R82" s="39">
        <f>SUM(N82:Q82)</f>
        <v>-555902</v>
      </c>
      <c r="S82" s="67">
        <v>-139601</v>
      </c>
      <c r="T82" s="67">
        <v>-155583</v>
      </c>
      <c r="U82" s="67">
        <v>-131612</v>
      </c>
      <c r="V82" s="39">
        <f t="shared" ref="V82:BF82" si="174">SUM(V77:V81)</f>
        <v>-147020.9375</v>
      </c>
      <c r="W82" s="39">
        <f t="shared" si="174"/>
        <v>-573816.9375</v>
      </c>
      <c r="X82" s="39">
        <f t="shared" si="174"/>
        <v>-167093.61495378922</v>
      </c>
      <c r="Y82" s="39">
        <f t="shared" si="174"/>
        <v>-163965.68176981594</v>
      </c>
      <c r="Z82" s="39">
        <f t="shared" si="174"/>
        <v>-136788.73743054282</v>
      </c>
      <c r="AA82" s="39">
        <f t="shared" si="174"/>
        <v>-148222.31515205139</v>
      </c>
      <c r="AB82" s="39">
        <f t="shared" si="174"/>
        <v>-616070.34930619935</v>
      </c>
      <c r="AC82" s="39">
        <f t="shared" si="174"/>
        <v>-208202.58061702378</v>
      </c>
      <c r="AD82" s="39">
        <f t="shared" si="174"/>
        <v>-213505.46136466786</v>
      </c>
      <c r="AE82" s="39">
        <f t="shared" si="174"/>
        <v>-218851.9428394229</v>
      </c>
      <c r="AF82" s="39">
        <f t="shared" si="174"/>
        <v>-282818.08887659671</v>
      </c>
      <c r="AG82" s="39">
        <f t="shared" si="174"/>
        <v>-923378.07369771134</v>
      </c>
      <c r="AH82" s="39">
        <f t="shared" si="174"/>
        <v>-295701.7827018174</v>
      </c>
      <c r="AI82" s="39">
        <f t="shared" si="174"/>
        <v>-244478.80337821585</v>
      </c>
      <c r="AJ82" s="39">
        <f t="shared" si="174"/>
        <v>-235762.41673853237</v>
      </c>
      <c r="AK82" s="39">
        <f t="shared" si="174"/>
        <v>-241755.91626424651</v>
      </c>
      <c r="AL82" s="39">
        <f t="shared" si="174"/>
        <v>-1017698.919082812</v>
      </c>
      <c r="AM82" s="39">
        <f t="shared" si="174"/>
        <v>-255346.24405949257</v>
      </c>
      <c r="AN82" s="39">
        <f t="shared" si="174"/>
        <v>-253809.74099834368</v>
      </c>
      <c r="AO82" s="39">
        <f t="shared" si="174"/>
        <v>-243897.72887929642</v>
      </c>
      <c r="AP82" s="39">
        <f t="shared" si="174"/>
        <v>-243913.08980721439</v>
      </c>
      <c r="AQ82" s="39">
        <f t="shared" si="174"/>
        <v>-996966.80374434707</v>
      </c>
      <c r="AR82" s="39">
        <f t="shared" si="174"/>
        <v>-255378.59937361549</v>
      </c>
      <c r="AS82" s="39">
        <f t="shared" si="174"/>
        <v>-253650.63097983555</v>
      </c>
      <c r="AT82" s="39">
        <f t="shared" si="174"/>
        <v>-244890.48723083513</v>
      </c>
      <c r="AU82" s="39">
        <f t="shared" si="174"/>
        <v>-243546.66500660143</v>
      </c>
      <c r="AV82" s="39">
        <f t="shared" si="174"/>
        <v>-997466.3825908876</v>
      </c>
      <c r="AW82" s="39">
        <f t="shared" si="174"/>
        <v>-254674.1993736155</v>
      </c>
      <c r="AX82" s="39">
        <f t="shared" si="174"/>
        <v>-252946.23097983556</v>
      </c>
      <c r="AY82" s="39">
        <f t="shared" si="174"/>
        <v>-244736.08723083514</v>
      </c>
      <c r="AZ82" s="39">
        <f t="shared" si="174"/>
        <v>-242832.2650066014</v>
      </c>
      <c r="BA82" s="39">
        <f t="shared" si="174"/>
        <v>-995188.78259088763</v>
      </c>
      <c r="BB82" s="39">
        <f t="shared" si="174"/>
        <v>-253911.7993736155</v>
      </c>
      <c r="BC82" s="39">
        <f t="shared" si="174"/>
        <v>-252183.83097983556</v>
      </c>
      <c r="BD82" s="39">
        <f t="shared" si="174"/>
        <v>-244248.68723083514</v>
      </c>
      <c r="BE82" s="39">
        <f t="shared" si="174"/>
        <v>-242074.86500660141</v>
      </c>
      <c r="BF82" s="39">
        <f t="shared" si="174"/>
        <v>-992419.18259088753</v>
      </c>
    </row>
    <row r="84" spans="1:60">
      <c r="A84" s="3" t="s">
        <v>2157</v>
      </c>
      <c r="V84" s="25" t="s">
        <v>2160</v>
      </c>
    </row>
    <row r="85" spans="1:60">
      <c r="A85" s="5" t="s">
        <v>2010</v>
      </c>
      <c r="I85" s="36"/>
      <c r="J85" s="36"/>
      <c r="K85" s="36"/>
      <c r="L85" s="36"/>
      <c r="M85" s="36"/>
      <c r="N85" s="36">
        <f>'Investment Business Of HoldCo'!AH24</f>
        <v>-822035</v>
      </c>
      <c r="O85" s="36">
        <f>'Investment Business Of HoldCo'!AI24</f>
        <v>-278108</v>
      </c>
      <c r="P85" s="36">
        <f>'Investment Business Of HoldCo'!AJ24</f>
        <v>374787</v>
      </c>
      <c r="Q85" s="36">
        <f>'Investment Business Of HoldCo'!AK24</f>
        <v>-46697</v>
      </c>
      <c r="R85" s="36">
        <f>SUM(N85:Q85)</f>
        <v>-772053</v>
      </c>
      <c r="S85" s="36">
        <f>'Investment Business Of HoldCo'!AM24</f>
        <v>-466107</v>
      </c>
      <c r="T85" s="36">
        <f>'Investment Business Of HoldCo'!AN24</f>
        <v>-184024</v>
      </c>
      <c r="U85" s="36">
        <f>'Investment Business Of HoldCo'!AO24</f>
        <v>343456</v>
      </c>
      <c r="V85" s="36">
        <f>'Investment Business Of HoldCo'!AP24</f>
        <v>-396763</v>
      </c>
      <c r="W85" s="36">
        <f>SUM(S85:V85)</f>
        <v>-703438</v>
      </c>
      <c r="X85" s="36">
        <f>'Investment Business Of HoldCo'!AR24</f>
        <v>-442568</v>
      </c>
      <c r="Y85" s="36">
        <f>'Investment Business Of HoldCo'!AS24</f>
        <v>732107</v>
      </c>
      <c r="Z85" s="36">
        <f>'Investment Business Of HoldCo'!AT24</f>
        <v>-545568</v>
      </c>
      <c r="AA85" s="36">
        <f>'Investment Business Of HoldCo'!AU24</f>
        <v>275286</v>
      </c>
      <c r="AB85" s="36">
        <f>SUM(X85:AA85)</f>
        <v>19257</v>
      </c>
      <c r="AC85" s="36">
        <f>'Investment Business Of HoldCo'!AW24</f>
        <v>131780</v>
      </c>
      <c r="AD85" s="36">
        <f>'Investment Business Of HoldCo'!AX24</f>
        <v>-123155</v>
      </c>
      <c r="AE85" s="36">
        <f>'Investment Business Of HoldCo'!AY24</f>
        <v>-116087</v>
      </c>
      <c r="AF85" s="36">
        <f>'Investment Business Of HoldCo'!AZ24</f>
        <v>51157.623104119673</v>
      </c>
      <c r="AG85" s="36">
        <f>SUM(AC85:AF85)</f>
        <v>-56304.376895880327</v>
      </c>
      <c r="AH85" s="36">
        <f>'Investment Business Of HoldCo'!BB24</f>
        <v>3078119.8682531826</v>
      </c>
      <c r="AI85" s="36">
        <f>'Investment Business Of HoldCo'!BC24</f>
        <v>6149.5051529761404</v>
      </c>
      <c r="AJ85" s="36">
        <f>'Investment Business Of HoldCo'!BD24</f>
        <v>6161.7598261963576</v>
      </c>
      <c r="AK85" s="36">
        <f>'Investment Business Of HoldCo'!BE24</f>
        <v>6174.0700697656721</v>
      </c>
      <c r="AL85" s="36">
        <f>SUM(AH85:AK85)</f>
        <v>3096605.2033021208</v>
      </c>
      <c r="AM85" s="36">
        <f>'Investment Business Of HoldCo'!BG24</f>
        <v>6186.4362802300602</v>
      </c>
      <c r="AN85" s="36">
        <f>'Investment Business Of HoldCo'!BH24</f>
        <v>6198.8588580098003</v>
      </c>
      <c r="AO85" s="36">
        <f>'Investment Business Of HoldCo'!BI24</f>
        <v>6211.3382074367255</v>
      </c>
      <c r="AP85" s="36">
        <f>'Investment Business Of HoldCo'!BJ24</f>
        <v>6223.874736815691</v>
      </c>
      <c r="AQ85" s="36">
        <f>SUM(AM85:AP85)</f>
        <v>24820.508082492277</v>
      </c>
      <c r="AR85" s="36">
        <f>'Investment Business Of HoldCo'!BL24</f>
        <v>6236.4688584655523</v>
      </c>
      <c r="AS85" s="36">
        <f>'Investment Business Of HoldCo'!BM24</f>
        <v>6249.1209887675941</v>
      </c>
      <c r="AT85" s="36">
        <f>'Investment Business Of HoldCo'!BN24</f>
        <v>6261.8315482251346</v>
      </c>
      <c r="AU85" s="36">
        <f>'Investment Business Of HoldCo'!BO24</f>
        <v>6274.6009615063667</v>
      </c>
      <c r="AV85" s="36">
        <f>SUM(AR85:AU85)</f>
        <v>25022.022356964648</v>
      </c>
      <c r="AW85" s="36">
        <f>'Investment Business Of HoldCo'!BQ24</f>
        <v>6287.4296575020999</v>
      </c>
      <c r="AX85" s="36">
        <f>'Investment Business Of HoldCo'!BR24</f>
        <v>6300.3180693816394</v>
      </c>
      <c r="AY85" s="36">
        <f>'Investment Business Of HoldCo'!BS24</f>
        <v>6313.266634631902</v>
      </c>
      <c r="AZ85" s="36">
        <f>'Investment Business Of HoldCo'!BT24</f>
        <v>6326.2757951356471</v>
      </c>
      <c r="BA85" s="36">
        <f>SUM(AW85:AZ85)</f>
        <v>25227.290156651288</v>
      </c>
      <c r="BB85" s="36">
        <f>'Investment Business Of HoldCo'!BV24</f>
        <v>6339.3459972050041</v>
      </c>
      <c r="BC85" s="36">
        <f>'Investment Business Of HoldCo'!BW24</f>
        <v>6352.4776916615665</v>
      </c>
      <c r="BD85" s="36">
        <f>'Investment Business Of HoldCo'!BX24</f>
        <v>6365.6713338643312</v>
      </c>
      <c r="BE85" s="36">
        <f>'Investment Business Of HoldCo'!BY24</f>
        <v>6378.9273837935179</v>
      </c>
      <c r="BF85" s="36">
        <f>SUM(BB85:BE85)</f>
        <v>25436.42240652442</v>
      </c>
    </row>
    <row r="86" spans="1:60">
      <c r="A86" s="5" t="s">
        <v>2150</v>
      </c>
      <c r="I86" s="36"/>
      <c r="J86" s="36"/>
      <c r="K86" s="36"/>
      <c r="L86" s="36"/>
      <c r="M86" s="36"/>
      <c r="N86" s="36">
        <f t="shared" ref="N86:U86" si="175">N87-N85</f>
        <v>2066</v>
      </c>
      <c r="O86" s="36">
        <f t="shared" si="175"/>
        <v>2651</v>
      </c>
      <c r="P86" s="36">
        <f t="shared" si="175"/>
        <v>-7345</v>
      </c>
      <c r="Q86" s="36">
        <f t="shared" si="175"/>
        <v>2411</v>
      </c>
      <c r="R86" s="36">
        <f t="shared" si="175"/>
        <v>-217</v>
      </c>
      <c r="S86" s="36">
        <f t="shared" si="175"/>
        <v>1465</v>
      </c>
      <c r="T86" s="36">
        <f t="shared" si="175"/>
        <v>580</v>
      </c>
      <c r="U86" s="36">
        <f t="shared" si="175"/>
        <v>-3572</v>
      </c>
      <c r="V86" s="56"/>
      <c r="W86" s="36">
        <f>W87-W85</f>
        <v>-1527</v>
      </c>
      <c r="X86" s="56"/>
      <c r="Y86" s="56"/>
      <c r="Z86" s="56"/>
      <c r="AA86" s="56"/>
      <c r="AB86" s="36">
        <f>AB87-AB85</f>
        <v>0</v>
      </c>
      <c r="AC86" s="56"/>
      <c r="AD86" s="56"/>
      <c r="AE86" s="56"/>
      <c r="AF86" s="56"/>
      <c r="AG86" s="36">
        <f>AG87-AG85</f>
        <v>0</v>
      </c>
      <c r="AH86" s="56"/>
      <c r="AI86" s="56"/>
      <c r="AJ86" s="56"/>
      <c r="AK86" s="56"/>
      <c r="AL86" s="36">
        <f>AL87-AL85</f>
        <v>0</v>
      </c>
      <c r="AM86" s="56"/>
      <c r="AN86" s="56"/>
      <c r="AO86" s="56"/>
      <c r="AP86" s="56"/>
      <c r="AQ86" s="36">
        <f>AQ87-AQ85</f>
        <v>0</v>
      </c>
      <c r="AR86" s="56"/>
      <c r="AS86" s="56"/>
      <c r="AT86" s="56"/>
      <c r="AU86" s="56"/>
      <c r="AV86" s="36">
        <f>AV87-AV85</f>
        <v>0</v>
      </c>
      <c r="AW86" s="56"/>
      <c r="AX86" s="56"/>
      <c r="AY86" s="56"/>
      <c r="AZ86" s="56"/>
      <c r="BA86" s="36">
        <f>BA87-BA85</f>
        <v>0</v>
      </c>
      <c r="BB86" s="56"/>
      <c r="BC86" s="56"/>
      <c r="BD86" s="56"/>
      <c r="BE86" s="56"/>
      <c r="BF86" s="36">
        <f>BF87-BF85</f>
        <v>0</v>
      </c>
    </row>
    <row r="87" spans="1:60">
      <c r="A87" s="9" t="s">
        <v>2158</v>
      </c>
      <c r="B87" s="9"/>
      <c r="C87" s="9"/>
      <c r="D87" s="9"/>
      <c r="E87" s="9"/>
      <c r="F87" s="9"/>
      <c r="G87" s="9"/>
      <c r="H87" s="9"/>
      <c r="I87" s="67">
        <v>-14874</v>
      </c>
      <c r="J87" s="67">
        <v>-77323</v>
      </c>
      <c r="K87" s="67">
        <v>-185175</v>
      </c>
      <c r="L87" s="67">
        <v>-428739</v>
      </c>
      <c r="M87" s="39">
        <f>SUM(I87:L87)</f>
        <v>-706111</v>
      </c>
      <c r="N87" s="67">
        <v>-819969</v>
      </c>
      <c r="O87" s="67">
        <v>-275457</v>
      </c>
      <c r="P87" s="67">
        <v>367442</v>
      </c>
      <c r="Q87" s="67">
        <v>-44286</v>
      </c>
      <c r="R87" s="39">
        <f>SUM(N87:Q87)</f>
        <v>-772270</v>
      </c>
      <c r="S87" s="67">
        <v>-464642</v>
      </c>
      <c r="T87" s="67">
        <v>-183444</v>
      </c>
      <c r="U87" s="67">
        <v>339884</v>
      </c>
      <c r="V87" s="39">
        <f>SUM(V85:V86)</f>
        <v>-396763</v>
      </c>
      <c r="W87" s="39">
        <f>SUM(S87:V87)</f>
        <v>-704965</v>
      </c>
      <c r="X87" s="39">
        <f t="shared" ref="X87:AA87" si="176">SUM(X85:X86)</f>
        <v>-442568</v>
      </c>
      <c r="Y87" s="39">
        <f t="shared" si="176"/>
        <v>732107</v>
      </c>
      <c r="Z87" s="39">
        <f t="shared" si="176"/>
        <v>-545568</v>
      </c>
      <c r="AA87" s="39">
        <f t="shared" si="176"/>
        <v>275286</v>
      </c>
      <c r="AB87" s="39">
        <f>SUM(X87:AA87)</f>
        <v>19257</v>
      </c>
      <c r="AC87" s="39">
        <f t="shared" ref="AC87" si="177">SUM(AC85:AC86)</f>
        <v>131780</v>
      </c>
      <c r="AD87" s="39">
        <f t="shared" ref="AD87" si="178">SUM(AD85:AD86)</f>
        <v>-123155</v>
      </c>
      <c r="AE87" s="39">
        <f t="shared" ref="AE87" si="179">SUM(AE85:AE86)</f>
        <v>-116087</v>
      </c>
      <c r="AF87" s="39">
        <f t="shared" ref="AF87" si="180">SUM(AF85:AF86)</f>
        <v>51157.623104119673</v>
      </c>
      <c r="AG87" s="39">
        <f>SUM(AC87:AF87)</f>
        <v>-56304.376895880327</v>
      </c>
      <c r="AH87" s="39">
        <f t="shared" ref="AH87" si="181">SUM(AH85:AH86)</f>
        <v>3078119.8682531826</v>
      </c>
      <c r="AI87" s="39">
        <f t="shared" ref="AI87" si="182">SUM(AI85:AI86)</f>
        <v>6149.5051529761404</v>
      </c>
      <c r="AJ87" s="39">
        <f t="shared" ref="AJ87" si="183">SUM(AJ85:AJ86)</f>
        <v>6161.7598261963576</v>
      </c>
      <c r="AK87" s="39">
        <f t="shared" ref="AK87" si="184">SUM(AK85:AK86)</f>
        <v>6174.0700697656721</v>
      </c>
      <c r="AL87" s="39">
        <f>SUM(AH87:AK87)</f>
        <v>3096605.2033021208</v>
      </c>
      <c r="AM87" s="39">
        <f t="shared" ref="AM87" si="185">SUM(AM85:AM86)</f>
        <v>6186.4362802300602</v>
      </c>
      <c r="AN87" s="39">
        <f t="shared" ref="AN87" si="186">SUM(AN85:AN86)</f>
        <v>6198.8588580098003</v>
      </c>
      <c r="AO87" s="39">
        <f t="shared" ref="AO87" si="187">SUM(AO85:AO86)</f>
        <v>6211.3382074367255</v>
      </c>
      <c r="AP87" s="39">
        <f t="shared" ref="AP87" si="188">SUM(AP85:AP86)</f>
        <v>6223.874736815691</v>
      </c>
      <c r="AQ87" s="39">
        <f>SUM(AM87:AP87)</f>
        <v>24820.508082492277</v>
      </c>
      <c r="AR87" s="39">
        <f t="shared" ref="AR87" si="189">SUM(AR85:AR86)</f>
        <v>6236.4688584655523</v>
      </c>
      <c r="AS87" s="39">
        <f t="shared" ref="AS87" si="190">SUM(AS85:AS86)</f>
        <v>6249.1209887675941</v>
      </c>
      <c r="AT87" s="39">
        <f t="shared" ref="AT87" si="191">SUM(AT85:AT86)</f>
        <v>6261.8315482251346</v>
      </c>
      <c r="AU87" s="39">
        <f t="shared" ref="AU87" si="192">SUM(AU85:AU86)</f>
        <v>6274.6009615063667</v>
      </c>
      <c r="AV87" s="39">
        <f>SUM(AR87:AU87)</f>
        <v>25022.022356964648</v>
      </c>
      <c r="AW87" s="39">
        <f t="shared" ref="AW87" si="193">SUM(AW85:AW86)</f>
        <v>6287.4296575020999</v>
      </c>
      <c r="AX87" s="39">
        <f t="shared" ref="AX87" si="194">SUM(AX85:AX86)</f>
        <v>6300.3180693816394</v>
      </c>
      <c r="AY87" s="39">
        <f t="shared" ref="AY87" si="195">SUM(AY85:AY86)</f>
        <v>6313.266634631902</v>
      </c>
      <c r="AZ87" s="39">
        <f t="shared" ref="AZ87" si="196">SUM(AZ85:AZ86)</f>
        <v>6326.2757951356471</v>
      </c>
      <c r="BA87" s="39">
        <f>SUM(AW87:AZ87)</f>
        <v>25227.290156651288</v>
      </c>
      <c r="BB87" s="39">
        <f t="shared" ref="BB87" si="197">SUM(BB85:BB86)</f>
        <v>6339.3459972050041</v>
      </c>
      <c r="BC87" s="39">
        <f t="shared" ref="BC87" si="198">SUM(BC85:BC86)</f>
        <v>6352.4776916615665</v>
      </c>
      <c r="BD87" s="39">
        <f t="shared" ref="BD87" si="199">SUM(BD85:BD86)</f>
        <v>6365.6713338643312</v>
      </c>
      <c r="BE87" s="39">
        <f t="shared" ref="BE87" si="200">SUM(BE85:BE86)</f>
        <v>6378.9273837935179</v>
      </c>
      <c r="BF87" s="39">
        <f>SUM(BB87:BE87)</f>
        <v>25436.42240652442</v>
      </c>
    </row>
    <row r="89" spans="1:60" s="26" customFormat="1">
      <c r="A89" s="26" t="s">
        <v>2159</v>
      </c>
      <c r="I89" s="473">
        <f>FX!AC5</f>
        <v>110</v>
      </c>
      <c r="J89" s="473">
        <f>FX!AD5</f>
        <v>110.47</v>
      </c>
      <c r="K89" s="473">
        <f>FX!AE5</f>
        <v>113.6</v>
      </c>
      <c r="L89" s="473">
        <f>FX!AF5</f>
        <v>117.1</v>
      </c>
      <c r="M89" s="474">
        <f>FX!AG5</f>
        <v>112.79249999999999</v>
      </c>
      <c r="N89" s="473">
        <f>FX!AH5</f>
        <v>129.04</v>
      </c>
      <c r="O89" s="473">
        <f>FX!AI5</f>
        <v>138.68</v>
      </c>
      <c r="P89" s="473">
        <f>FX!AJ5</f>
        <v>141.16</v>
      </c>
      <c r="Q89" s="473">
        <f>FX!AK5</f>
        <v>133.26</v>
      </c>
      <c r="R89" s="474">
        <f>FX!AL5</f>
        <v>135.535</v>
      </c>
      <c r="S89" s="473">
        <f>FX!AM5</f>
        <v>138.11000000000001</v>
      </c>
      <c r="T89" s="473">
        <f>FX!AN5</f>
        <v>145.44</v>
      </c>
      <c r="U89" s="473">
        <f>FX!AO5</f>
        <v>147</v>
      </c>
      <c r="V89" s="473">
        <f>FX!AP5</f>
        <v>147.87</v>
      </c>
      <c r="W89" s="474"/>
      <c r="X89" s="473">
        <f>FX!AR5</f>
        <v>156.53</v>
      </c>
      <c r="Y89" s="473">
        <f>FX!AS5</f>
        <v>150.26</v>
      </c>
      <c r="Z89" s="473">
        <f>FX!AT5</f>
        <v>151.32</v>
      </c>
      <c r="AA89" s="473">
        <f>FX!AU5</f>
        <v>152.94999999999999</v>
      </c>
      <c r="AB89" s="474"/>
      <c r="AC89" s="473">
        <f>FX!AW5</f>
        <v>145.19</v>
      </c>
      <c r="AD89" s="473">
        <f>FX!AX5</f>
        <v>147.5</v>
      </c>
      <c r="AE89" s="473">
        <f>FX!AY5</f>
        <v>154.04</v>
      </c>
      <c r="AF89" s="473">
        <f>FX!AZ5</f>
        <v>155.1</v>
      </c>
      <c r="AG89" s="474"/>
      <c r="AH89" s="473">
        <f>FX!BB5</f>
        <v>154.70000000000002</v>
      </c>
      <c r="AI89" s="473">
        <f>FX!BC5</f>
        <v>154.30000000000001</v>
      </c>
      <c r="AJ89" s="473">
        <f>FX!BD5</f>
        <v>153.9</v>
      </c>
      <c r="AK89" s="473">
        <f>FX!BE5</f>
        <v>153.5</v>
      </c>
      <c r="AL89" s="474"/>
      <c r="AM89" s="473">
        <f>FX!BG5</f>
        <v>153.1</v>
      </c>
      <c r="AN89" s="473">
        <f>FX!BH5</f>
        <v>152.70000000000002</v>
      </c>
      <c r="AO89" s="473">
        <f>FX!BI5</f>
        <v>152.30000000000001</v>
      </c>
      <c r="AP89" s="473">
        <f>FX!BJ5</f>
        <v>151.9</v>
      </c>
      <c r="AQ89" s="474"/>
      <c r="AR89" s="473">
        <f>FX!BL5</f>
        <v>151.5</v>
      </c>
      <c r="AS89" s="473">
        <f>FX!BM5</f>
        <v>151.1</v>
      </c>
      <c r="AT89" s="473">
        <f>FX!BN5</f>
        <v>150.70000000000002</v>
      </c>
      <c r="AU89" s="473">
        <f>FX!BO5</f>
        <v>150.30000000000001</v>
      </c>
      <c r="AV89" s="474"/>
      <c r="AW89" s="473">
        <f>FX!BQ5</f>
        <v>149.9</v>
      </c>
      <c r="AX89" s="473">
        <f>FX!BR5</f>
        <v>149.5</v>
      </c>
      <c r="AY89" s="473">
        <f>FX!BS5</f>
        <v>149.1</v>
      </c>
      <c r="AZ89" s="473">
        <f>FX!BT5</f>
        <v>148.70000000000002</v>
      </c>
      <c r="BA89" s="474"/>
      <c r="BB89" s="473">
        <f>FX!BV5</f>
        <v>148.30000000000001</v>
      </c>
      <c r="BC89" s="473">
        <f>FX!BW5</f>
        <v>147.9</v>
      </c>
      <c r="BD89" s="473">
        <f>FX!BX5</f>
        <v>147.5</v>
      </c>
      <c r="BE89" s="473">
        <f>FX!BY5</f>
        <v>147.1</v>
      </c>
      <c r="BF89" s="474"/>
      <c r="BH89" s="328"/>
    </row>
    <row r="90" spans="1:60" s="26" customFormat="1">
      <c r="A90" s="26" t="s">
        <v>2145</v>
      </c>
      <c r="J90" s="208">
        <f>-(J89/I89-1)</f>
        <v>-4.2727272727272059E-3</v>
      </c>
      <c r="K90" s="208">
        <f>-(K89/J89-1)</f>
        <v>-2.8333484203856285E-2</v>
      </c>
      <c r="L90" s="208">
        <f>-(L89/K89-1)</f>
        <v>-3.0809859154929509E-2</v>
      </c>
      <c r="M90" s="208"/>
      <c r="N90" s="208">
        <f>-(N89/M89-1)</f>
        <v>-0.14404769820688434</v>
      </c>
      <c r="O90" s="208">
        <f>-(O89/N89-1)</f>
        <v>-7.4705517668939958E-2</v>
      </c>
      <c r="P90" s="208">
        <f>-(P89/O89-1)</f>
        <v>-1.7882895875396487E-2</v>
      </c>
      <c r="Q90" s="208">
        <f>-(Q89/P89-1)</f>
        <v>5.59648625672996E-2</v>
      </c>
      <c r="S90" s="208">
        <f>-(S89/R89-1)</f>
        <v>-1.899878260227994E-2</v>
      </c>
      <c r="T90" s="208">
        <f>-(T89/S89-1)</f>
        <v>-5.3073636956049386E-2</v>
      </c>
      <c r="U90" s="208">
        <f>-(U89/T89-1)</f>
        <v>-1.0726072607260662E-2</v>
      </c>
      <c r="V90" s="208">
        <f>-(V89/U89-1)</f>
        <v>-5.9183673469387355E-3</v>
      </c>
      <c r="X90" s="208" t="e">
        <f>-(X89/W89-1)</f>
        <v>#DIV/0!</v>
      </c>
      <c r="Y90" s="208">
        <f>-(Y89/X89-1)</f>
        <v>4.0056219255094949E-2</v>
      </c>
      <c r="Z90" s="208">
        <f>-(Z89/Y89-1)</f>
        <v>-7.0544389724478407E-3</v>
      </c>
      <c r="AA90" s="208">
        <f>-(AA89/Z89-1)</f>
        <v>-1.0771874173935991E-2</v>
      </c>
      <c r="AC90" s="208" t="e">
        <f>-(AC89/AB89-1)</f>
        <v>#DIV/0!</v>
      </c>
      <c r="AD90" s="208">
        <f>-(AD89/AC89-1)</f>
        <v>-1.5910186651973302E-2</v>
      </c>
      <c r="AE90" s="208">
        <f>-(AE89/AD89-1)</f>
        <v>-4.433898305084738E-2</v>
      </c>
      <c r="AF90" s="208">
        <f>-(AF89/AE89-1)</f>
        <v>-6.8813295247986961E-3</v>
      </c>
      <c r="AH90" s="208" t="e">
        <f>-(AH89/AG89-1)</f>
        <v>#DIV/0!</v>
      </c>
      <c r="AI90" s="208">
        <f>-(AI89/AH89-1)</f>
        <v>2.5856496444731647E-3</v>
      </c>
      <c r="AJ90" s="208">
        <f>-(AJ89/AI89-1)</f>
        <v>2.5923525599481634E-3</v>
      </c>
      <c r="AK90" s="208">
        <f>-(AK89/AJ89-1)</f>
        <v>2.5990903183885639E-3</v>
      </c>
      <c r="AM90" s="208" t="e">
        <f>-(AM89/AL89-1)</f>
        <v>#DIV/0!</v>
      </c>
      <c r="AN90" s="208">
        <f>-(AN89/AM89-1)</f>
        <v>2.6126714565641862E-3</v>
      </c>
      <c r="AO90" s="208">
        <f>-(AO89/AN89-1)</f>
        <v>2.6195153896529932E-3</v>
      </c>
      <c r="AP90" s="208">
        <f>-(AP89/AO89-1)</f>
        <v>2.6263952724885353E-3</v>
      </c>
      <c r="AR90" s="208" t="e">
        <f>-(AR89/AQ89-1)</f>
        <v>#DIV/0!</v>
      </c>
      <c r="AS90" s="208">
        <f>-(AS89/AR89-1)</f>
        <v>2.6402640264027166E-3</v>
      </c>
      <c r="AT90" s="208">
        <f>-(AT89/AS89-1)</f>
        <v>2.6472534745199949E-3</v>
      </c>
      <c r="AU90" s="208">
        <f>-(AU89/AT89-1)</f>
        <v>2.6542800265428879E-3</v>
      </c>
      <c r="AW90" s="208" t="e">
        <f>-(AW89/AV89-1)</f>
        <v>#DIV/0!</v>
      </c>
      <c r="AX90" s="208">
        <f>-(AX89/AW89-1)</f>
        <v>2.6684456304203463E-3</v>
      </c>
      <c r="AY90" s="208">
        <f>-(AY89/AX89-1)</f>
        <v>2.6755852842810235E-3</v>
      </c>
      <c r="AZ90" s="208">
        <f>-(AZ89/AY89-1)</f>
        <v>2.6827632461433604E-3</v>
      </c>
      <c r="BB90" s="208" t="e">
        <f>-(BB89/BA89-1)</f>
        <v>#DIV/0!</v>
      </c>
      <c r="BC90" s="208">
        <f>-(BC89/BB89-1)</f>
        <v>2.6972353337829658E-3</v>
      </c>
      <c r="BD90" s="208">
        <f>-(BD89/BC89-1)</f>
        <v>2.7045300878972833E-3</v>
      </c>
      <c r="BE90" s="208">
        <f>-(BE89/BD89-1)</f>
        <v>2.7118644067797293E-3</v>
      </c>
      <c r="BH90" s="328"/>
    </row>
    <row r="92" spans="1:60">
      <c r="A92" s="1" t="s">
        <v>1007</v>
      </c>
      <c r="I92" s="45">
        <f>FX!AC6</f>
        <v>110.58</v>
      </c>
      <c r="J92" s="45">
        <f>FX!AD6</f>
        <v>111.92</v>
      </c>
      <c r="K92" s="45">
        <f>FX!AE6</f>
        <v>115.02</v>
      </c>
      <c r="L92" s="45">
        <f>FX!AF6</f>
        <v>122.39</v>
      </c>
      <c r="M92" s="45">
        <f>FX!AG6</f>
        <v>122.39</v>
      </c>
      <c r="N92" s="45">
        <f>FX!AH6</f>
        <v>136.68</v>
      </c>
      <c r="O92" s="45">
        <f>FX!AI6</f>
        <v>144.81</v>
      </c>
      <c r="P92" s="45">
        <f>FX!AJ6</f>
        <v>132.69999999999999</v>
      </c>
      <c r="Q92" s="45">
        <f>FX!AK6</f>
        <v>133.53</v>
      </c>
      <c r="R92" s="45">
        <f>FX!AL6</f>
        <v>133.53</v>
      </c>
      <c r="S92" s="45">
        <f>FX!AM6</f>
        <v>144.99</v>
      </c>
      <c r="T92" s="45">
        <f>FX!AN6</f>
        <v>149.58000000000001</v>
      </c>
      <c r="U92" s="45">
        <f>FX!AO6</f>
        <v>141.83000000000001</v>
      </c>
      <c r="V92" s="45">
        <f>FX!AP6</f>
        <v>151.41</v>
      </c>
      <c r="W92" s="45">
        <f>V92</f>
        <v>151.41</v>
      </c>
      <c r="X92" s="45">
        <f>FX!AR6</f>
        <v>161.07</v>
      </c>
      <c r="Y92" s="45">
        <f>FX!AS6</f>
        <v>142.72999999999999</v>
      </c>
      <c r="Z92" s="45">
        <f>FX!AT6</f>
        <v>158.18</v>
      </c>
      <c r="AA92" s="45">
        <f>FX!AU6</f>
        <v>149.52000000000001</v>
      </c>
      <c r="AB92" s="45">
        <f>AA92</f>
        <v>149.52000000000001</v>
      </c>
      <c r="AC92" s="45">
        <f>FX!AW6</f>
        <v>144.81</v>
      </c>
      <c r="AD92" s="45">
        <f>FX!AX6</f>
        <v>148.88</v>
      </c>
      <c r="AE92" s="45">
        <f>FX!AY6</f>
        <v>156.56</v>
      </c>
      <c r="AF92" s="45">
        <f>FX!AZ6</f>
        <v>155.1</v>
      </c>
      <c r="AG92" s="45">
        <f>AF92</f>
        <v>155.1</v>
      </c>
      <c r="AH92" s="45">
        <f>FX!BB6</f>
        <v>154.70000000000002</v>
      </c>
      <c r="AI92" s="45">
        <f>FX!BC6</f>
        <v>154.30000000000001</v>
      </c>
      <c r="AJ92" s="45">
        <f>FX!BD6</f>
        <v>153.9</v>
      </c>
      <c r="AK92" s="45">
        <f>FX!BE6</f>
        <v>153.5</v>
      </c>
      <c r="AL92" s="45">
        <f>AK92</f>
        <v>153.5</v>
      </c>
      <c r="AM92" s="45">
        <f>FX!BG6</f>
        <v>153.1</v>
      </c>
      <c r="AN92" s="45">
        <f>FX!BH6</f>
        <v>152.70000000000002</v>
      </c>
      <c r="AO92" s="45">
        <f>FX!BI6</f>
        <v>152.30000000000001</v>
      </c>
      <c r="AP92" s="45">
        <f>FX!BJ6</f>
        <v>151.9</v>
      </c>
      <c r="AQ92" s="45">
        <f>AP92</f>
        <v>151.9</v>
      </c>
      <c r="AR92" s="45">
        <f>FX!BL6</f>
        <v>151.5</v>
      </c>
      <c r="AS92" s="45">
        <f>FX!BM6</f>
        <v>151.1</v>
      </c>
      <c r="AT92" s="45">
        <f>FX!BN6</f>
        <v>150.70000000000002</v>
      </c>
      <c r="AU92" s="45">
        <f>FX!BO6</f>
        <v>150.30000000000001</v>
      </c>
      <c r="AV92" s="45">
        <f>AU92</f>
        <v>150.30000000000001</v>
      </c>
      <c r="AW92" s="45">
        <f>FX!BQ6</f>
        <v>149.9</v>
      </c>
      <c r="AX92" s="45">
        <f>FX!BR6</f>
        <v>149.5</v>
      </c>
      <c r="AY92" s="45">
        <f>FX!BS6</f>
        <v>149.1</v>
      </c>
      <c r="AZ92" s="45">
        <f>FX!BT6</f>
        <v>148.70000000000002</v>
      </c>
      <c r="BA92" s="45">
        <f>AZ92</f>
        <v>148.70000000000002</v>
      </c>
      <c r="BB92" s="45">
        <f>FX!BV6</f>
        <v>148.30000000000001</v>
      </c>
      <c r="BC92" s="45">
        <f>FX!BW6</f>
        <v>147.9</v>
      </c>
      <c r="BD92" s="45">
        <f>FX!BX6</f>
        <v>147.5</v>
      </c>
      <c r="BE92" s="45">
        <f>FX!BY6</f>
        <v>147.1</v>
      </c>
      <c r="BF92" s="45">
        <f>BE92</f>
        <v>147.1</v>
      </c>
    </row>
    <row r="93" spans="1:60">
      <c r="A93" s="1" t="s">
        <v>2145</v>
      </c>
      <c r="J93" s="16">
        <f>-(J92/I92-1)</f>
        <v>-1.2117923675167397E-2</v>
      </c>
      <c r="K93" s="16">
        <f>-(K92/J92-1)</f>
        <v>-2.769835596854886E-2</v>
      </c>
      <c r="L93" s="16">
        <f>-(L92/K92-1)</f>
        <v>-6.4075812902103957E-2</v>
      </c>
      <c r="M93" s="16"/>
      <c r="N93" s="16">
        <f>-(N92/M92-1)</f>
        <v>-0.11675790505760286</v>
      </c>
      <c r="O93" s="16">
        <f>-(O92/N92-1)</f>
        <v>-5.9482001755926106E-2</v>
      </c>
      <c r="P93" s="16">
        <f>-(P92/O92-1)</f>
        <v>8.3626821352116631E-2</v>
      </c>
      <c r="Q93" s="16">
        <f>-(Q92/P92-1)</f>
        <v>-6.2547098718914729E-3</v>
      </c>
      <c r="R93" s="16"/>
      <c r="S93" s="16">
        <f>-(S92/R92-1)</f>
        <v>-8.5823410469557437E-2</v>
      </c>
      <c r="T93" s="16">
        <f>-(T92/S92-1)</f>
        <v>-3.165735567970196E-2</v>
      </c>
      <c r="U93" s="16">
        <f>-(U92/T92-1)</f>
        <v>5.1811739537371282E-2</v>
      </c>
      <c r="V93" s="16">
        <f>-(V92/U92-1)</f>
        <v>-6.7545653246844806E-2</v>
      </c>
      <c r="X93" s="16">
        <f>-(X92/W92-1)</f>
        <v>-6.3800277392510374E-2</v>
      </c>
      <c r="Y93" s="16">
        <f>-(Y92/X92-1)</f>
        <v>0.11386353759235113</v>
      </c>
      <c r="Z93" s="16">
        <f>-(Z92/Y92-1)</f>
        <v>-0.1082463392419255</v>
      </c>
      <c r="AA93" s="16">
        <f>-(AA92/Z92-1)</f>
        <v>5.474775572133006E-2</v>
      </c>
      <c r="AC93" s="16">
        <f>-(AC92/AB92-1)</f>
        <v>3.15008025682183E-2</v>
      </c>
      <c r="AD93" s="16">
        <f>-(AD92/AC92-1)</f>
        <v>-2.8105793798770762E-2</v>
      </c>
      <c r="AE93" s="16">
        <f>-(AE92/AD92-1)</f>
        <v>-5.1585169263836717E-2</v>
      </c>
      <c r="AF93" s="16">
        <f>-(AF92/AE92-1)</f>
        <v>9.3254982115483775E-3</v>
      </c>
      <c r="AH93" s="16">
        <f>-(AH92/AG92-1)</f>
        <v>2.5789813023854302E-3</v>
      </c>
      <c r="AI93" s="16">
        <f>-(AI92/AH92-1)</f>
        <v>2.5856496444731647E-3</v>
      </c>
      <c r="AJ93" s="16">
        <f>-(AJ92/AI92-1)</f>
        <v>2.5923525599481634E-3</v>
      </c>
      <c r="AK93" s="16">
        <f>-(AK92/AJ92-1)</f>
        <v>2.5990903183885639E-3</v>
      </c>
      <c r="AM93" s="16">
        <f>-(AM92/AL92-1)</f>
        <v>2.6058631921824782E-3</v>
      </c>
      <c r="AN93" s="16">
        <f>-(AN92/AM92-1)</f>
        <v>2.6126714565641862E-3</v>
      </c>
      <c r="AO93" s="16">
        <f>-(AO92/AN92-1)</f>
        <v>2.6195153896529932E-3</v>
      </c>
      <c r="AP93" s="16">
        <f>-(AP92/AO92-1)</f>
        <v>2.6263952724885353E-3</v>
      </c>
      <c r="AR93" s="16">
        <f>-(AR92/AQ92-1)</f>
        <v>2.6333113890717463E-3</v>
      </c>
      <c r="AS93" s="16">
        <f>-(AS92/AR92-1)</f>
        <v>2.6402640264027166E-3</v>
      </c>
      <c r="AT93" s="16">
        <f>-(AT92/AS92-1)</f>
        <v>2.6472534745199949E-3</v>
      </c>
      <c r="AU93" s="16">
        <f>-(AU92/AT92-1)</f>
        <v>2.6542800265428879E-3</v>
      </c>
      <c r="AW93" s="16">
        <f>-(AW92/AV92-1)</f>
        <v>2.6613439787093185E-3</v>
      </c>
      <c r="AX93" s="16">
        <f>-(AX92/AW92-1)</f>
        <v>2.6684456304203463E-3</v>
      </c>
      <c r="AY93" s="16">
        <f>-(AY92/AX92-1)</f>
        <v>2.6755852842810235E-3</v>
      </c>
      <c r="AZ93" s="16">
        <f>-(AZ92/AY92-1)</f>
        <v>2.6827632461433604E-3</v>
      </c>
      <c r="BB93" s="16">
        <f>-(BB92/BA92-1)</f>
        <v>2.6899798251514007E-3</v>
      </c>
      <c r="BC93" s="16">
        <f>-(BC92/BB92-1)</f>
        <v>2.6972353337829658E-3</v>
      </c>
      <c r="BD93" s="16">
        <f>-(BD92/BC92-1)</f>
        <v>2.7045300878972833E-3</v>
      </c>
      <c r="BE93" s="16">
        <f>-(BE92/BD92-1)</f>
        <v>2.7118644067797293E-3</v>
      </c>
    </row>
    <row r="95" spans="1:60">
      <c r="A95" s="3" t="s">
        <v>2162</v>
      </c>
      <c r="V95" s="25" t="s">
        <v>2164</v>
      </c>
    </row>
    <row r="96" spans="1:60">
      <c r="A96" s="5" t="s">
        <v>2010</v>
      </c>
      <c r="N96" s="36">
        <f>'Investment Business Of HoldCo'!AH26</f>
        <v>-244986</v>
      </c>
      <c r="O96" s="36">
        <f>'Investment Business Of HoldCo'!AI26</f>
        <v>1286487</v>
      </c>
      <c r="P96" s="36">
        <f>'Investment Business Of HoldCo'!AJ26</f>
        <v>-410386</v>
      </c>
      <c r="Q96" s="36">
        <f>'Investment Business Of HoldCo'!AK26</f>
        <v>-565383</v>
      </c>
      <c r="R96" s="36">
        <f>'Investment Business Of HoldCo'!AL26</f>
        <v>65732</v>
      </c>
      <c r="S96" s="36">
        <f>'Investment Business Of HoldCo'!AM26</f>
        <v>848775</v>
      </c>
      <c r="T96" s="36">
        <f>'Investment Business Of HoldCo'!AN26</f>
        <v>-148389</v>
      </c>
      <c r="U96" s="36">
        <f>'Investment Business Of HoldCo'!AO26</f>
        <v>478445</v>
      </c>
      <c r="V96" s="36">
        <f>'Investment Business Of HoldCo'!AP26</f>
        <v>321184</v>
      </c>
      <c r="W96" s="36">
        <f>'Investment Business Of HoldCo'!AQ26</f>
        <v>1500015</v>
      </c>
      <c r="X96" s="36">
        <f>'Investment Business Of HoldCo'!AR26</f>
        <v>58778</v>
      </c>
      <c r="Y96" s="36">
        <f>'Investment Business Of HoldCo'!AS26</f>
        <v>-1531112</v>
      </c>
      <c r="Z96" s="36">
        <f>'Investment Business Of HoldCo'!AT26</f>
        <v>669848</v>
      </c>
      <c r="AA96" s="36">
        <f>'Investment Business Of HoldCo'!AU26</f>
        <v>-1239344</v>
      </c>
      <c r="AB96" s="36">
        <f>'Investment Business Of HoldCo'!AV26</f>
        <v>-2041830</v>
      </c>
      <c r="AC96" s="36">
        <f>'Investment Business Of HoldCo'!AW26</f>
        <v>228468</v>
      </c>
      <c r="AD96" s="36">
        <f>'Investment Business Of HoldCo'!AX26</f>
        <v>-20550</v>
      </c>
      <c r="AE96" s="36">
        <f>'Investment Business Of HoldCo'!AY26</f>
        <v>8907</v>
      </c>
      <c r="AF96" s="36">
        <f>'Investment Business Of HoldCo'!AZ26</f>
        <v>-86762.34731035294</v>
      </c>
      <c r="AG96" s="36">
        <f>'Investment Business Of HoldCo'!BA26</f>
        <v>130062.65268964706</v>
      </c>
      <c r="AH96" s="36">
        <f>'Investment Business Of HoldCo'!BB26</f>
        <v>-88219.734794342119</v>
      </c>
      <c r="AI96" s="36">
        <f>'Investment Business Of HoldCo'!BC26</f>
        <v>-89701.002985838786</v>
      </c>
      <c r="AJ96" s="36">
        <f>'Investment Business Of HoldCo'!BD26</f>
        <v>-91206.529719694794</v>
      </c>
      <c r="AK96" s="36">
        <f>'Investment Business Of HoldCo'!BE26</f>
        <v>-92736.698498454003</v>
      </c>
      <c r="AL96" s="36">
        <f>'Investment Business Of HoldCo'!BF26</f>
        <v>-361863.96599832969</v>
      </c>
      <c r="AM96" s="36">
        <f>'Investment Business Of HoldCo'!BG26</f>
        <v>-94291.898569972254</v>
      </c>
      <c r="AN96" s="36">
        <f>'Investment Business Of HoldCo'!BH26</f>
        <v>-95872.525005915901</v>
      </c>
      <c r="AO96" s="36">
        <f>'Investment Business Of HoldCo'!BI26</f>
        <v>-97478.978781118582</v>
      </c>
      <c r="AP96" s="36">
        <f>'Investment Business Of HoldCo'!BJ26</f>
        <v>-99111.666853864881</v>
      </c>
      <c r="AQ96" s="36">
        <f>'Investment Business Of HoldCo'!BK26</f>
        <v>-386755.06921087159</v>
      </c>
      <c r="AR96" s="36">
        <f>'Investment Business Of HoldCo'!BL26</f>
        <v>-100771.00224702108</v>
      </c>
      <c r="AS96" s="36">
        <f>'Investment Business Of HoldCo'!BM26</f>
        <v>-102457.40413009413</v>
      </c>
      <c r="AT96" s="36">
        <f>'Investment Business Of HoldCo'!BN26</f>
        <v>-104171.29790216575</v>
      </c>
      <c r="AU96" s="36">
        <f>'Investment Business Of HoldCo'!BO26</f>
        <v>-105913.11527575228</v>
      </c>
      <c r="AV96" s="36">
        <f>'Investment Business Of HoldCo'!BP26</f>
        <v>-413312.81955503323</v>
      </c>
      <c r="AW96" s="36">
        <f>'Investment Business Of HoldCo'!BQ26</f>
        <v>-107683.29436155051</v>
      </c>
      <c r="AX96" s="36">
        <f>'Investment Business Of HoldCo'!BR26</f>
        <v>-109482.27975410242</v>
      </c>
      <c r="AY96" s="36">
        <f>'Investment Business Of HoldCo'!BS26</f>
        <v>-111310.52261838056</v>
      </c>
      <c r="AZ96" s="36">
        <f>'Investment Business Of HoldCo'!BT26</f>
        <v>-113168.4807772783</v>
      </c>
      <c r="BA96" s="36">
        <f>'Investment Business Of HoldCo'!BU26</f>
        <v>-441644.5775113118</v>
      </c>
      <c r="BB96" s="36">
        <f>'Investment Business Of HoldCo'!BV26</f>
        <v>-115056.61880002145</v>
      </c>
      <c r="BC96" s="36">
        <f>'Investment Business Of HoldCo'!BW26</f>
        <v>-116975.40809152045</v>
      </c>
      <c r="BD96" s="36">
        <f>'Investment Business Of HoldCo'!BX26</f>
        <v>-118925.32698261624</v>
      </c>
      <c r="BE96" s="36">
        <f>'Investment Business Of HoldCo'!BY26</f>
        <v>-120906.86082128072</v>
      </c>
      <c r="BF96" s="36">
        <f>'Investment Business Of HoldCo'!BZ26</f>
        <v>-471864.21469543886</v>
      </c>
    </row>
    <row r="97" spans="1:58">
      <c r="A97" s="5" t="s">
        <v>2150</v>
      </c>
      <c r="N97" s="36">
        <f t="shared" ref="N97:U97" si="201">N98-N96</f>
        <v>-14264</v>
      </c>
      <c r="O97" s="36">
        <f t="shared" si="201"/>
        <v>2543</v>
      </c>
      <c r="P97" s="36">
        <f t="shared" si="201"/>
        <v>193</v>
      </c>
      <c r="Q97" s="36">
        <f t="shared" si="201"/>
        <v>52</v>
      </c>
      <c r="R97" s="36">
        <f t="shared" si="201"/>
        <v>-11476</v>
      </c>
      <c r="S97" s="36">
        <f t="shared" si="201"/>
        <v>854</v>
      </c>
      <c r="T97" s="36">
        <f t="shared" si="201"/>
        <v>478</v>
      </c>
      <c r="U97" s="36">
        <f t="shared" si="201"/>
        <v>103</v>
      </c>
      <c r="V97" s="56"/>
      <c r="W97" s="36">
        <f>W98-W96</f>
        <v>1435</v>
      </c>
      <c r="X97" s="56"/>
      <c r="Y97" s="56"/>
      <c r="Z97" s="56"/>
      <c r="AA97" s="56"/>
      <c r="AB97" s="36">
        <f>AB98-AB96</f>
        <v>0</v>
      </c>
      <c r="AC97" s="56"/>
      <c r="AD97" s="56"/>
      <c r="AE97" s="56"/>
      <c r="AF97" s="56"/>
      <c r="AG97" s="36">
        <f>AG98-AG96</f>
        <v>0</v>
      </c>
      <c r="AH97" s="56"/>
      <c r="AI97" s="56"/>
      <c r="AJ97" s="56"/>
      <c r="AK97" s="56"/>
      <c r="AL97" s="36">
        <f>AL98-AL96</f>
        <v>0</v>
      </c>
      <c r="AM97" s="56"/>
      <c r="AN97" s="56"/>
      <c r="AO97" s="56"/>
      <c r="AP97" s="56"/>
      <c r="AQ97" s="36">
        <f>AQ98-AQ96</f>
        <v>0</v>
      </c>
      <c r="AR97" s="56"/>
      <c r="AS97" s="56"/>
      <c r="AT97" s="56"/>
      <c r="AU97" s="56"/>
      <c r="AV97" s="36">
        <f>AV98-AV96</f>
        <v>0</v>
      </c>
      <c r="AW97" s="56"/>
      <c r="AX97" s="56"/>
      <c r="AY97" s="56"/>
      <c r="AZ97" s="56"/>
      <c r="BA97" s="36">
        <f>BA98-BA96</f>
        <v>0</v>
      </c>
      <c r="BB97" s="56"/>
      <c r="BC97" s="56"/>
      <c r="BD97" s="56"/>
      <c r="BE97" s="56"/>
      <c r="BF97" s="36">
        <f>BF98-BF96</f>
        <v>0</v>
      </c>
    </row>
    <row r="98" spans="1:58">
      <c r="A98" s="9" t="s">
        <v>2163</v>
      </c>
      <c r="B98" s="9"/>
      <c r="C98" s="9"/>
      <c r="D98" s="9"/>
      <c r="E98" s="9"/>
      <c r="F98" s="9"/>
      <c r="G98" s="9"/>
      <c r="H98" s="9"/>
      <c r="I98" s="67">
        <v>-111536</v>
      </c>
      <c r="J98" s="67">
        <v>732495</v>
      </c>
      <c r="K98" s="67">
        <v>483262</v>
      </c>
      <c r="L98" s="67">
        <v>130487</v>
      </c>
      <c r="M98" s="39">
        <f>SUM(I98:L98)</f>
        <v>1234708</v>
      </c>
      <c r="N98" s="67">
        <v>-259250</v>
      </c>
      <c r="O98" s="67">
        <v>1289030</v>
      </c>
      <c r="P98" s="67">
        <v>-410193</v>
      </c>
      <c r="Q98" s="67">
        <v>-565331</v>
      </c>
      <c r="R98" s="39">
        <f>SUM(N98:Q98)</f>
        <v>54256</v>
      </c>
      <c r="S98" s="67">
        <v>849629</v>
      </c>
      <c r="T98" s="67">
        <v>-147911</v>
      </c>
      <c r="U98" s="67">
        <v>478548</v>
      </c>
      <c r="V98" s="39">
        <f>SUM(V96:V97)</f>
        <v>321184</v>
      </c>
      <c r="W98" s="39">
        <f>SUM(S98:V98)</f>
        <v>1501450</v>
      </c>
      <c r="X98" s="39">
        <f t="shared" ref="X98" si="202">SUM(X96:X97)</f>
        <v>58778</v>
      </c>
      <c r="Y98" s="39">
        <f t="shared" ref="Y98" si="203">SUM(Y96:Y97)</f>
        <v>-1531112</v>
      </c>
      <c r="Z98" s="39">
        <f t="shared" ref="Z98" si="204">SUM(Z96:Z97)</f>
        <v>669848</v>
      </c>
      <c r="AA98" s="39">
        <f t="shared" ref="AA98" si="205">SUM(AA96:AA97)</f>
        <v>-1239344</v>
      </c>
      <c r="AB98" s="39">
        <f>SUM(X98:AA98)</f>
        <v>-2041830</v>
      </c>
      <c r="AC98" s="39">
        <f t="shared" ref="AC98" si="206">SUM(AC96:AC97)</f>
        <v>228468</v>
      </c>
      <c r="AD98" s="39">
        <f t="shared" ref="AD98" si="207">SUM(AD96:AD97)</f>
        <v>-20550</v>
      </c>
      <c r="AE98" s="39">
        <f t="shared" ref="AE98" si="208">SUM(AE96:AE97)</f>
        <v>8907</v>
      </c>
      <c r="AF98" s="39">
        <f t="shared" ref="AF98" si="209">SUM(AF96:AF97)</f>
        <v>-86762.34731035294</v>
      </c>
      <c r="AG98" s="39">
        <f>SUM(AC98:AF98)</f>
        <v>130062.65268964706</v>
      </c>
      <c r="AH98" s="39">
        <f t="shared" ref="AH98" si="210">SUM(AH96:AH97)</f>
        <v>-88219.734794342119</v>
      </c>
      <c r="AI98" s="39">
        <f t="shared" ref="AI98" si="211">SUM(AI96:AI97)</f>
        <v>-89701.002985838786</v>
      </c>
      <c r="AJ98" s="39">
        <f t="shared" ref="AJ98" si="212">SUM(AJ96:AJ97)</f>
        <v>-91206.529719694794</v>
      </c>
      <c r="AK98" s="39">
        <f t="shared" ref="AK98" si="213">SUM(AK96:AK97)</f>
        <v>-92736.698498454003</v>
      </c>
      <c r="AL98" s="39">
        <f>SUM(AH98:AK98)</f>
        <v>-361863.96599832969</v>
      </c>
      <c r="AM98" s="39">
        <f t="shared" ref="AM98" si="214">SUM(AM96:AM97)</f>
        <v>-94291.898569972254</v>
      </c>
      <c r="AN98" s="39">
        <f t="shared" ref="AN98" si="215">SUM(AN96:AN97)</f>
        <v>-95872.525005915901</v>
      </c>
      <c r="AO98" s="39">
        <f t="shared" ref="AO98" si="216">SUM(AO96:AO97)</f>
        <v>-97478.978781118582</v>
      </c>
      <c r="AP98" s="39">
        <f t="shared" ref="AP98" si="217">SUM(AP96:AP97)</f>
        <v>-99111.666853864881</v>
      </c>
      <c r="AQ98" s="39">
        <f>SUM(AM98:AP98)</f>
        <v>-386755.06921087159</v>
      </c>
      <c r="AR98" s="39">
        <f t="shared" ref="AR98" si="218">SUM(AR96:AR97)</f>
        <v>-100771.00224702108</v>
      </c>
      <c r="AS98" s="39">
        <f t="shared" ref="AS98" si="219">SUM(AS96:AS97)</f>
        <v>-102457.40413009413</v>
      </c>
      <c r="AT98" s="39">
        <f t="shared" ref="AT98" si="220">SUM(AT96:AT97)</f>
        <v>-104171.29790216575</v>
      </c>
      <c r="AU98" s="39">
        <f t="shared" ref="AU98" si="221">SUM(AU96:AU97)</f>
        <v>-105913.11527575228</v>
      </c>
      <c r="AV98" s="39">
        <f>SUM(AR98:AU98)</f>
        <v>-413312.81955503323</v>
      </c>
      <c r="AW98" s="39">
        <f t="shared" ref="AW98" si="222">SUM(AW96:AW97)</f>
        <v>-107683.29436155051</v>
      </c>
      <c r="AX98" s="39">
        <f t="shared" ref="AX98" si="223">SUM(AX96:AX97)</f>
        <v>-109482.27975410242</v>
      </c>
      <c r="AY98" s="39">
        <f t="shared" ref="AY98" si="224">SUM(AY96:AY97)</f>
        <v>-111310.52261838056</v>
      </c>
      <c r="AZ98" s="39">
        <f t="shared" ref="AZ98" si="225">SUM(AZ96:AZ97)</f>
        <v>-113168.4807772783</v>
      </c>
      <c r="BA98" s="39">
        <f>SUM(AW98:AZ98)</f>
        <v>-441644.5775113118</v>
      </c>
      <c r="BB98" s="39">
        <f t="shared" ref="BB98" si="226">SUM(BB96:BB97)</f>
        <v>-115056.61880002145</v>
      </c>
      <c r="BC98" s="39">
        <f t="shared" ref="BC98" si="227">SUM(BC96:BC97)</f>
        <v>-116975.40809152045</v>
      </c>
      <c r="BD98" s="39">
        <f t="shared" ref="BD98" si="228">SUM(BD96:BD97)</f>
        <v>-118925.32698261624</v>
      </c>
      <c r="BE98" s="39">
        <f t="shared" ref="BE98" si="229">SUM(BE96:BE97)</f>
        <v>-120906.86082128072</v>
      </c>
      <c r="BF98" s="39">
        <f>SUM(BB98:BE98)</f>
        <v>-471864.21469543886</v>
      </c>
    </row>
    <row r="100" spans="1:58">
      <c r="A100" s="3" t="s">
        <v>2165</v>
      </c>
    </row>
    <row r="101" spans="1:58">
      <c r="A101" s="5" t="s">
        <v>707</v>
      </c>
      <c r="N101" s="36">
        <f>1000*'Financial statements KK'!AD43</f>
        <v>216037.99999999997</v>
      </c>
      <c r="O101" s="36">
        <f>1000*'Financial statements KK'!AE43</f>
        <v>194343.99999999988</v>
      </c>
      <c r="P101" s="36">
        <f>1000*'Financial statements KK'!AF43</f>
        <v>414008.00000000017</v>
      </c>
      <c r="Q101" s="36">
        <f>1000*'Financial statements KK'!AG43</f>
        <v>38479.000000000218</v>
      </c>
      <c r="R101" s="36">
        <f>1000*'Financial statements KK'!AH43</f>
        <v>862869.00000000012</v>
      </c>
      <c r="S101" s="36">
        <f>1000*'Financial statements KK'!AI43</f>
        <v>248654.99999999997</v>
      </c>
      <c r="T101" s="36">
        <f>1000*'Financial statements KK'!AJ43</f>
        <v>252359.99999999994</v>
      </c>
      <c r="U101" s="36">
        <f>1000*'Financial statements KK'!AK43</f>
        <v>189482.00000000006</v>
      </c>
      <c r="V101" s="36">
        <f>1000*'Financial statements KK'!AL43</f>
        <v>63892.516361613591</v>
      </c>
      <c r="W101" s="36">
        <f>1000*'Financial statements KK'!AM43</f>
        <v>754389.51636161364</v>
      </c>
      <c r="X101" s="36">
        <f>1000*'Financial statements KK'!AN43</f>
        <v>242836.51389299874</v>
      </c>
      <c r="Y101" s="36">
        <f>1000*'Financial statements KK'!AO43</f>
        <v>241610.94150414559</v>
      </c>
      <c r="Z101" s="36">
        <f>1000*'Financial statements KK'!AP43</f>
        <v>204229.13107912164</v>
      </c>
      <c r="AA101" s="36">
        <f>1000*'Financial statements KK'!AQ43</f>
        <v>86337.480168763257</v>
      </c>
      <c r="AB101" s="36">
        <f>1000*'Financial statements KK'!AR43</f>
        <v>775014.06664502912</v>
      </c>
      <c r="AC101" s="36">
        <f>1000*'Financial statements KK'!AS43</f>
        <v>247207.19939485023</v>
      </c>
      <c r="AD101" s="36">
        <f>1000*'Financial statements KK'!AT43</f>
        <v>242609.3721445828</v>
      </c>
      <c r="AE101" s="36">
        <f>1000*'Financial statements KK'!AU43</f>
        <v>208319.78457391309</v>
      </c>
      <c r="AF101" s="36">
        <f>1000*'Financial statements KK'!AV43</f>
        <v>103318.84952227281</v>
      </c>
      <c r="AG101" s="36">
        <f>1000*'Financial statements KK'!AW43</f>
        <v>801455.20563561888</v>
      </c>
      <c r="AH101" s="36">
        <f>1000*'Financial statements KK'!AX43</f>
        <v>257756.39511635058</v>
      </c>
      <c r="AI101" s="36">
        <f>1000*'Financial statements KK'!AY43</f>
        <v>260046.30323153589</v>
      </c>
      <c r="AJ101" s="36">
        <f>1000*'Financial statements KK'!AZ43</f>
        <v>221967.34669597735</v>
      </c>
      <c r="AK101" s="36">
        <f>1000*'Financial statements KK'!BA43</f>
        <v>117650.70299028822</v>
      </c>
      <c r="AL101" s="36">
        <f>1000*'Financial statements KK'!BB43</f>
        <v>857420.7480341522</v>
      </c>
      <c r="AM101" s="36">
        <f>1000*'Financial statements KK'!BC43</f>
        <v>274565.61157663929</v>
      </c>
      <c r="AN101" s="36">
        <f>1000*'Financial statements KK'!BD43</f>
        <v>276646.85589074949</v>
      </c>
      <c r="AO101" s="36">
        <f>1000*'Financial statements KK'!BE43</f>
        <v>241500.32463595894</v>
      </c>
      <c r="AP101" s="36">
        <f>1000*'Financial statements KK'!BF43</f>
        <v>138233.60800286476</v>
      </c>
      <c r="AQ101" s="36">
        <f>1000*'Financial statements KK'!BG43</f>
        <v>930946.40010621247</v>
      </c>
      <c r="AR101" s="36">
        <f>1000*'Financial statements KK'!BH43</f>
        <v>296435.0678703764</v>
      </c>
      <c r="AS101" s="36">
        <f>1000*'Financial statements KK'!BI43</f>
        <v>299009.13383426273</v>
      </c>
      <c r="AT101" s="36">
        <f>1000*'Financial statements KK'!BJ43</f>
        <v>265103.60450383066</v>
      </c>
      <c r="AU101" s="36">
        <f>1000*'Financial statements KK'!BK43</f>
        <v>162119.76967658312</v>
      </c>
      <c r="AV101" s="36">
        <f>1000*'Financial statements KK'!BL43</f>
        <v>1022667.5758850529</v>
      </c>
      <c r="AW101" s="36">
        <f>AR101*(1+AW113)</f>
        <v>299399.41854908015</v>
      </c>
      <c r="AX101" s="36">
        <f>AS101*(1+AX113)</f>
        <v>301999.22517260537</v>
      </c>
      <c r="AY101" s="36">
        <f>AT101*(1+AY113)</f>
        <v>267754.64054886898</v>
      </c>
      <c r="AZ101" s="36">
        <f>AU101*(1+AZ113)</f>
        <v>163740.96737334895</v>
      </c>
      <c r="BA101" s="36">
        <f>SUM(AW101:AZ101)</f>
        <v>1032894.2516439036</v>
      </c>
      <c r="BB101" s="36">
        <f t="shared" ref="BB101:BE102" si="230">AW101*(1+BB113)</f>
        <v>302393.41273457097</v>
      </c>
      <c r="BC101" s="36">
        <f t="shared" si="230"/>
        <v>305019.21742433141</v>
      </c>
      <c r="BD101" s="36">
        <f t="shared" si="230"/>
        <v>270432.18695435766</v>
      </c>
      <c r="BE101" s="36">
        <f t="shared" si="230"/>
        <v>165378.37704708244</v>
      </c>
      <c r="BF101" s="36">
        <f>SUM(BB101:BE101)</f>
        <v>1043223.1941603424</v>
      </c>
    </row>
    <row r="102" spans="1:58">
      <c r="A102" s="5" t="s">
        <v>708</v>
      </c>
      <c r="N102" s="36">
        <f>'Arm (OLD)'!AH36</f>
        <v>36905.439999999995</v>
      </c>
      <c r="O102" s="36">
        <f>'Arm (OLD)'!AI36</f>
        <v>21079.360000000001</v>
      </c>
      <c r="P102" s="36">
        <f>'Arm (OLD)'!AJ36</f>
        <v>32184.48</v>
      </c>
      <c r="Q102" s="36">
        <f>'Arm (OLD)'!AK36</f>
        <v>666.30000000001382</v>
      </c>
      <c r="R102" s="36">
        <f>'Arm (OLD)'!AL36</f>
        <v>90835.580000000045</v>
      </c>
      <c r="S102" s="36">
        <f>'Arm (OLD)'!AM36</f>
        <v>17539.970000000008</v>
      </c>
      <c r="T102" s="36">
        <f>'Arm (OLD)'!AN36</f>
        <v>-17307.360000000015</v>
      </c>
      <c r="U102" s="36">
        <f>'Arm (OLD)'!AO36</f>
        <v>21462</v>
      </c>
      <c r="V102" s="36">
        <f>'Arm (OLD)'!AP36</f>
        <v>26530.041079327508</v>
      </c>
      <c r="W102" s="36">
        <f>'Arm (OLD)'!AQ36</f>
        <v>48224.651079327508</v>
      </c>
      <c r="X102" s="36">
        <f>'Arm (OLD)'!AR36</f>
        <v>34850.589820048757</v>
      </c>
      <c r="Y102" s="36">
        <f>'Arm (OLD)'!AS36</f>
        <v>40037.400609051998</v>
      </c>
      <c r="Z102" s="36">
        <f>'Arm (OLD)'!AT36</f>
        <v>50892.308897796582</v>
      </c>
      <c r="AA102" s="36">
        <f>'Arm (OLD)'!AU36</f>
        <v>46923.252459391311</v>
      </c>
      <c r="AB102" s="36">
        <f>'Arm (OLD)'!AV36</f>
        <v>172703.5517862885</v>
      </c>
      <c r="AC102" s="36">
        <f>'Arm (OLD)'!AW36</f>
        <v>54307.85450091555</v>
      </c>
      <c r="AD102" s="36">
        <f>'Arm (OLD)'!AX36</f>
        <v>63250.469558377023</v>
      </c>
      <c r="AE102" s="36">
        <f>'Arm (OLD)'!AY36</f>
        <v>71787.386735557273</v>
      </c>
      <c r="AF102" s="36">
        <f>'Arm (OLD)'!AZ36</f>
        <v>62863.105832499685</v>
      </c>
      <c r="AG102" s="36">
        <f>'Arm (OLD)'!BA36</f>
        <v>252208.81662734956</v>
      </c>
      <c r="AH102" s="36">
        <f>'Arm (OLD)'!BB36</f>
        <v>71263.216054385382</v>
      </c>
      <c r="AI102" s="36">
        <f>'Arm (OLD)'!BC36</f>
        <v>81906.93809157511</v>
      </c>
      <c r="AJ102" s="36">
        <f>'Arm (OLD)'!BD36</f>
        <v>91510.056842139398</v>
      </c>
      <c r="AK102" s="36">
        <f>'Arm (OLD)'!BE36</f>
        <v>81371.283863183577</v>
      </c>
      <c r="AL102" s="36">
        <f>'Arm (OLD)'!BF36</f>
        <v>326051.4948512835</v>
      </c>
      <c r="AM102" s="36">
        <f>'Arm (OLD)'!BG36</f>
        <v>94050.662093658524</v>
      </c>
      <c r="AN102" s="36">
        <f>'Arm (OLD)'!BH36</f>
        <v>106255.45234515454</v>
      </c>
      <c r="AO102" s="36">
        <f>'Arm (OLD)'!BI36</f>
        <v>111536.10386961527</v>
      </c>
      <c r="AP102" s="36">
        <f>'Arm (OLD)'!BJ36</f>
        <v>96976.82983653518</v>
      </c>
      <c r="AQ102" s="36">
        <f>'Arm (OLD)'!BK36</f>
        <v>408819.04814496345</v>
      </c>
      <c r="AR102" s="36">
        <f>'Arm (OLD)'!BL36</f>
        <v>111092.68102040973</v>
      </c>
      <c r="AS102" s="36">
        <f>'Arm (OLD)'!BM36</f>
        <v>124641.14913047786</v>
      </c>
      <c r="AT102" s="36">
        <f>'Arm (OLD)'!BN36</f>
        <v>129742.35683383909</v>
      </c>
      <c r="AU102" s="36">
        <f>'Arm (OLD)'!BO36</f>
        <v>112589.83764519083</v>
      </c>
      <c r="AV102" s="36">
        <f>'Arm (OLD)'!BP36</f>
        <v>478066.02462991758</v>
      </c>
      <c r="AW102" s="36">
        <f>'Arm (OLD)'!BQ36</f>
        <v>127642.29079497932</v>
      </c>
      <c r="AX102" s="36">
        <f>'Arm (OLD)'!BR36</f>
        <v>142086.24258513824</v>
      </c>
      <c r="AY102" s="36">
        <f>'Arm (OLD)'!BS36</f>
        <v>146593.5678472188</v>
      </c>
      <c r="AZ102" s="36">
        <f>'Arm (OLD)'!BT36</f>
        <v>126079.87883685136</v>
      </c>
      <c r="BA102" s="36">
        <f>'Arm (OLD)'!BU36</f>
        <v>542401.98006418778</v>
      </c>
      <c r="BB102" s="36">
        <f t="shared" si="230"/>
        <v>140406.51987447726</v>
      </c>
      <c r="BC102" s="36">
        <f t="shared" si="230"/>
        <v>156294.86684365207</v>
      </c>
      <c r="BD102" s="36">
        <f t="shared" si="230"/>
        <v>161252.9246319407</v>
      </c>
      <c r="BE102" s="36">
        <f t="shared" si="230"/>
        <v>138687.86672053652</v>
      </c>
      <c r="BF102" s="36">
        <f>SUM(BB102:BE102)</f>
        <v>596642.17807060655</v>
      </c>
    </row>
    <row r="103" spans="1:58">
      <c r="A103" s="5" t="s">
        <v>2010</v>
      </c>
      <c r="N103" s="36">
        <f>'Investment Business Of HoldCo'!AH28</f>
        <v>-1198053</v>
      </c>
      <c r="O103" s="36">
        <f>'Investment Business Of HoldCo'!AI28</f>
        <v>4460342</v>
      </c>
      <c r="P103" s="36">
        <f>'Investment Business Of HoldCo'!AJ28</f>
        <v>-130522</v>
      </c>
      <c r="Q103" s="36">
        <f>'Investment Business Of HoldCo'!AK28</f>
        <v>218079</v>
      </c>
      <c r="R103" s="36">
        <f>'Investment Business Of HoldCo'!AL28</f>
        <v>3349846</v>
      </c>
      <c r="S103" s="36">
        <f>'Investment Business Of HoldCo'!AM28</f>
        <v>-394540</v>
      </c>
      <c r="T103" s="36">
        <f>'Investment Business Of HoldCo'!AN28</f>
        <v>-148712</v>
      </c>
      <c r="U103" s="36">
        <f>'Investment Business Of HoldCo'!AO28</f>
        <v>537395</v>
      </c>
      <c r="V103" s="36">
        <f>'Investment Business Of HoldCo'!AP28</f>
        <v>-91669</v>
      </c>
      <c r="W103" s="36">
        <f>'Investment Business Of HoldCo'!AQ28</f>
        <v>-97526</v>
      </c>
      <c r="X103" s="36">
        <f>'Investment Business Of HoldCo'!AR28</f>
        <v>37969</v>
      </c>
      <c r="Y103" s="36">
        <f>'Investment Business Of HoldCo'!AS28</f>
        <v>626397</v>
      </c>
      <c r="Z103" s="36">
        <f>'Investment Business Of HoldCo'!AT28</f>
        <v>-132380</v>
      </c>
      <c r="AA103" s="36">
        <f>'Investment Business Of HoldCo'!AU28</f>
        <v>262265</v>
      </c>
      <c r="AB103" s="36">
        <f>'Investment Business Of HoldCo'!AV28</f>
        <v>794251</v>
      </c>
      <c r="AC103" s="36">
        <f>'Investment Business Of HoldCo'!AW28</f>
        <v>-20938</v>
      </c>
      <c r="AD103" s="36">
        <f>'Investment Business Of HoldCo'!AX28</f>
        <v>375347</v>
      </c>
      <c r="AE103" s="36">
        <f>'Investment Business Of HoldCo'!AY28</f>
        <v>-444408</v>
      </c>
      <c r="AF103" s="36">
        <f>'Investment Business Of HoldCo'!AZ28</f>
        <v>-331473.20537328132</v>
      </c>
      <c r="AG103" s="36">
        <f>'Investment Business Of HoldCo'!BA28</f>
        <v>-2261473.2053732811</v>
      </c>
      <c r="AH103" s="36">
        <f>'Investment Business Of HoldCo'!BB28</f>
        <v>2713455.5510495836</v>
      </c>
      <c r="AI103" s="36">
        <f>'Investment Business Of HoldCo'!BC28</f>
        <v>-315678.80130065925</v>
      </c>
      <c r="AJ103" s="36">
        <f>'Investment Business Of HoldCo'!BD28</f>
        <v>-321848.10571211699</v>
      </c>
      <c r="AK103" s="36">
        <f>'Investment Business Of HoldCo'!BE28</f>
        <v>-327633.78856427188</v>
      </c>
      <c r="AL103" s="36">
        <f>'Investment Business Of HoldCo'!BF28</f>
        <v>1748294.8554725354</v>
      </c>
      <c r="AM103" s="36">
        <f>'Investment Business Of HoldCo'!BG28</f>
        <v>-310453.2396514751</v>
      </c>
      <c r="AN103" s="36">
        <f>'Investment Business Of HoldCo'!BH28</f>
        <v>-321501.32776894001</v>
      </c>
      <c r="AO103" s="36">
        <f>'Investment Business Of HoldCo'!BI28</f>
        <v>-327796.79392555472</v>
      </c>
      <c r="AP103" s="36">
        <f>'Investment Business Of HoldCo'!BJ28</f>
        <v>-333698.1351819617</v>
      </c>
      <c r="AQ103" s="36">
        <f>'Investment Business Of HoldCo'!BK28</f>
        <v>-1293449.4965279314</v>
      </c>
      <c r="AR103" s="36">
        <f>'Investment Business Of HoldCo'!BL28</f>
        <v>-316538.64414529671</v>
      </c>
      <c r="AS103" s="36">
        <f>'Investment Business Of HoldCo'!BM28</f>
        <v>-327733.55801691458</v>
      </c>
      <c r="AT103" s="36">
        <f>'Investment Business Of HoldCo'!BN28</f>
        <v>-334151.22926450631</v>
      </c>
      <c r="AU103" s="36">
        <f>'Investment Business Of HoldCo'!BO28</f>
        <v>-340184.39941033669</v>
      </c>
      <c r="AV103" s="36">
        <f>'Investment Business Of HoldCo'!BP28</f>
        <v>-1318607.8308370542</v>
      </c>
      <c r="AW103" s="36">
        <f>'Investment Business Of HoldCo'!BQ28</f>
        <v>-323054.37048274168</v>
      </c>
      <c r="AX103" s="36">
        <f>'Investment Business Of HoldCo'!BR28</f>
        <v>-334401.99211363489</v>
      </c>
      <c r="AY103" s="36">
        <f>'Investment Business Of HoldCo'!BS28</f>
        <v>-340953.2891802637</v>
      </c>
      <c r="AZ103" s="36">
        <f>'Investment Business Of HoldCo'!BT28</f>
        <v>-347109.8427931575</v>
      </c>
      <c r="BA103" s="36">
        <f>'Investment Business Of HoldCo'!BU28</f>
        <v>-1345519.4945697978</v>
      </c>
      <c r="BB103" s="36">
        <f>'Investment Business Of HoldCo'!BV28</f>
        <v>-330018.15652920015</v>
      </c>
      <c r="BC103" s="36">
        <f>'Investment Business Of HoldCo'!BW28</f>
        <v>-341524.7431118518</v>
      </c>
      <c r="BD103" s="36">
        <f>'Investment Business Of HoldCo'!BX28</f>
        <v>-348216.48534313997</v>
      </c>
      <c r="BE103" s="36">
        <f>'Investment Business Of HoldCo'!BY28</f>
        <v>-354518.38259572716</v>
      </c>
      <c r="BF103" s="36">
        <f>'Investment Business Of HoldCo'!BZ28</f>
        <v>-1374277.7675799192</v>
      </c>
    </row>
    <row r="104" spans="1:58">
      <c r="A104" s="5" t="s">
        <v>1933</v>
      </c>
      <c r="N104" s="36">
        <f>'SVF Segment'!AH34</f>
        <v>-2330750</v>
      </c>
      <c r="O104" s="36">
        <f>'SVF Segment'!AI34</f>
        <v>-1019904</v>
      </c>
      <c r="P104" s="36">
        <f>'SVF Segment'!AJ34</f>
        <v>-660096</v>
      </c>
      <c r="Q104" s="36">
        <f>'SVF Segment'!AK34</f>
        <v>-297541</v>
      </c>
      <c r="R104" s="36">
        <f>'SVF Segment'!AL34</f>
        <v>-4308291</v>
      </c>
      <c r="S104" s="36">
        <f>'SVF Segment'!AM34</f>
        <v>61041</v>
      </c>
      <c r="T104" s="36">
        <f>'SVF Segment'!AN34</f>
        <v>-258864</v>
      </c>
      <c r="U104" s="36">
        <f>'SVF Segment'!AO34</f>
        <v>422743</v>
      </c>
      <c r="V104" s="36">
        <f>'SVF Segment'!AP34</f>
        <v>-96741</v>
      </c>
      <c r="W104" s="36">
        <f>'SVF Segment'!AQ34</f>
        <v>128179</v>
      </c>
      <c r="X104" s="36">
        <f>'SVF Segment'!AR34</f>
        <v>-204301</v>
      </c>
      <c r="Y104" s="36">
        <f>'SVF Segment'!AS34</f>
        <v>373142</v>
      </c>
      <c r="Z104" s="36">
        <f>'SVF Segment'!AT34</f>
        <v>-309932</v>
      </c>
      <c r="AA104" s="36">
        <f>'SVF Segment'!AU34</f>
        <v>26073</v>
      </c>
      <c r="AB104" s="36">
        <f>'SVF Segment'!AV34</f>
        <v>-115018</v>
      </c>
      <c r="AC104" s="36">
        <f>'SVF Segment'!AW34</f>
        <v>451394</v>
      </c>
      <c r="AD104" s="36">
        <f>'SVF Segment'!AX34</f>
        <v>2376901</v>
      </c>
      <c r="AE104" s="36">
        <f>'SVF Segment'!AY34</f>
        <v>735494</v>
      </c>
      <c r="AF104" s="36">
        <f>'SVF Segment'!AZ34</f>
        <v>-144899.30039898097</v>
      </c>
      <c r="AG104" s="36">
        <f>'SVF Segment'!BA34</f>
        <v>3227956.6996010193</v>
      </c>
      <c r="AH104" s="36" t="e">
        <f>'SVF Segment'!BB34</f>
        <v>#VALUE!</v>
      </c>
      <c r="AI104" s="36" t="e">
        <f>'SVF Segment'!BC34</f>
        <v>#VALUE!</v>
      </c>
      <c r="AJ104" s="36" t="e">
        <f>'SVF Segment'!BD34</f>
        <v>#VALUE!</v>
      </c>
      <c r="AK104" s="36" t="e">
        <f>'SVF Segment'!BE34</f>
        <v>#VALUE!</v>
      </c>
      <c r="AL104" s="36" t="e">
        <f>'SVF Segment'!BF34</f>
        <v>#VALUE!</v>
      </c>
      <c r="AM104" s="36" t="e">
        <f>'SVF Segment'!BG34</f>
        <v>#VALUE!</v>
      </c>
      <c r="AN104" s="36" t="e">
        <f>'SVF Segment'!BH34</f>
        <v>#VALUE!</v>
      </c>
      <c r="AO104" s="36" t="e">
        <f>'SVF Segment'!BI34</f>
        <v>#VALUE!</v>
      </c>
      <c r="AP104" s="36" t="e">
        <f>'SVF Segment'!BJ34</f>
        <v>#VALUE!</v>
      </c>
      <c r="AQ104" s="36" t="e">
        <f>'SVF Segment'!BK34</f>
        <v>#VALUE!</v>
      </c>
      <c r="AR104" s="36" t="e">
        <f>'SVF Segment'!BL34</f>
        <v>#VALUE!</v>
      </c>
      <c r="AS104" s="36" t="e">
        <f>'SVF Segment'!BM34</f>
        <v>#VALUE!</v>
      </c>
      <c r="AT104" s="36" t="e">
        <f>'SVF Segment'!BN34</f>
        <v>#VALUE!</v>
      </c>
      <c r="AU104" s="36" t="e">
        <f>'SVF Segment'!BO34</f>
        <v>#VALUE!</v>
      </c>
      <c r="AV104" s="36" t="e">
        <f>'SVF Segment'!BP34</f>
        <v>#VALUE!</v>
      </c>
      <c r="AW104" s="36" t="e">
        <f>'SVF Segment'!BQ34</f>
        <v>#VALUE!</v>
      </c>
      <c r="AX104" s="36" t="e">
        <f>'SVF Segment'!BR34</f>
        <v>#VALUE!</v>
      </c>
      <c r="AY104" s="36" t="e">
        <f>'SVF Segment'!BS34</f>
        <v>#VALUE!</v>
      </c>
      <c r="AZ104" s="36" t="e">
        <f>'SVF Segment'!BT34</f>
        <v>#VALUE!</v>
      </c>
      <c r="BA104" s="36" t="e">
        <f>'SVF Segment'!BU34</f>
        <v>#VALUE!</v>
      </c>
      <c r="BB104" s="36" t="e">
        <f>'SVF Segment'!BV34</f>
        <v>#VALUE!</v>
      </c>
      <c r="BC104" s="36" t="e">
        <f>'SVF Segment'!BW34</f>
        <v>#VALUE!</v>
      </c>
      <c r="BD104" s="36" t="e">
        <f>'SVF Segment'!BX34</f>
        <v>#VALUE!</v>
      </c>
      <c r="BE104" s="36" t="e">
        <f>'SVF Segment'!BY34</f>
        <v>#VALUE!</v>
      </c>
      <c r="BF104" s="36" t="e">
        <f>'SVF Segment'!BZ34</f>
        <v>#VALUE!</v>
      </c>
    </row>
    <row r="105" spans="1:58">
      <c r="A105" s="5" t="s">
        <v>2150</v>
      </c>
      <c r="N105" s="36">
        <f t="shared" ref="N105:U105" si="231">N106-SUM(N101:N104)</f>
        <v>-16595.439999999944</v>
      </c>
      <c r="O105" s="36">
        <f t="shared" si="231"/>
        <v>-70770.359999999404</v>
      </c>
      <c r="P105" s="36">
        <f t="shared" si="231"/>
        <v>-238247.48000000016</v>
      </c>
      <c r="Q105" s="36">
        <f t="shared" si="231"/>
        <v>-138773.30000000022</v>
      </c>
      <c r="R105" s="36">
        <f t="shared" si="231"/>
        <v>-464386.58000000007</v>
      </c>
      <c r="S105" s="36">
        <f t="shared" si="231"/>
        <v>-108889.96999999997</v>
      </c>
      <c r="T105" s="36">
        <f t="shared" si="231"/>
        <v>-558707.6399999999</v>
      </c>
      <c r="U105" s="36">
        <f t="shared" si="231"/>
        <v>418</v>
      </c>
      <c r="V105" s="56"/>
      <c r="W105" s="36">
        <f>SUM(S105:V105)</f>
        <v>-667179.60999999987</v>
      </c>
      <c r="X105" s="56"/>
      <c r="Y105" s="56"/>
      <c r="Z105" s="56"/>
      <c r="AA105" s="56"/>
      <c r="AB105" s="36">
        <f>SUM(X105:AA105)</f>
        <v>0</v>
      </c>
      <c r="AC105" s="56"/>
      <c r="AD105" s="56"/>
      <c r="AE105" s="56"/>
      <c r="AF105" s="56"/>
      <c r="AG105" s="36">
        <f>SUM(AC105:AF105)</f>
        <v>0</v>
      </c>
      <c r="AH105" s="56"/>
      <c r="AI105" s="56"/>
      <c r="AJ105" s="56"/>
      <c r="AK105" s="56"/>
      <c r="AL105" s="36">
        <f>SUM(AH105:AK105)</f>
        <v>0</v>
      </c>
      <c r="AM105" s="56"/>
      <c r="AN105" s="56"/>
      <c r="AO105" s="56"/>
      <c r="AP105" s="56"/>
      <c r="AQ105" s="36">
        <f>SUM(AM105:AP105)</f>
        <v>0</v>
      </c>
      <c r="AR105" s="56"/>
      <c r="AS105" s="56"/>
      <c r="AT105" s="56"/>
      <c r="AU105" s="56"/>
      <c r="AV105" s="36">
        <f>SUM(AR105:AU105)</f>
        <v>0</v>
      </c>
      <c r="AW105" s="56"/>
      <c r="AX105" s="56"/>
      <c r="AY105" s="56"/>
      <c r="AZ105" s="56"/>
      <c r="BA105" s="36">
        <f>SUM(AW105:AZ105)</f>
        <v>0</v>
      </c>
      <c r="BB105" s="56"/>
      <c r="BC105" s="56"/>
      <c r="BD105" s="56"/>
      <c r="BE105" s="56"/>
      <c r="BF105" s="36">
        <f>SUM(BB105:BE105)</f>
        <v>0</v>
      </c>
    </row>
    <row r="106" spans="1:58">
      <c r="A106" s="9" t="s">
        <v>2166</v>
      </c>
      <c r="B106" s="9"/>
      <c r="C106" s="9"/>
      <c r="D106" s="9"/>
      <c r="E106" s="9"/>
      <c r="F106" s="9"/>
      <c r="G106" s="9"/>
      <c r="H106" s="9"/>
      <c r="I106" s="67">
        <v>1292478</v>
      </c>
      <c r="J106" s="67">
        <v>-245507</v>
      </c>
      <c r="K106" s="67">
        <v>187753</v>
      </c>
      <c r="L106" s="67">
        <v>-2104286</v>
      </c>
      <c r="M106" s="39">
        <f>SUM(I106:L106)</f>
        <v>-869562</v>
      </c>
      <c r="N106" s="67">
        <v>-3292455</v>
      </c>
      <c r="O106" s="67">
        <v>3585091</v>
      </c>
      <c r="P106" s="67">
        <v>-582673</v>
      </c>
      <c r="Q106" s="67">
        <v>-179090</v>
      </c>
      <c r="R106" s="39">
        <f>SUM(N106:Q106)</f>
        <v>-469127</v>
      </c>
      <c r="S106" s="67">
        <v>-176194</v>
      </c>
      <c r="T106" s="67">
        <v>-731231</v>
      </c>
      <c r="U106" s="67">
        <v>1171500</v>
      </c>
      <c r="V106" s="39">
        <f t="shared" ref="V106:BF106" si="232">SUM(V101:V105)</f>
        <v>-97987.442559058894</v>
      </c>
      <c r="W106" s="39">
        <f t="shared" si="232"/>
        <v>166087.55744094122</v>
      </c>
      <c r="X106" s="39">
        <f t="shared" si="232"/>
        <v>111355.10371304752</v>
      </c>
      <c r="Y106" s="39">
        <f t="shared" si="232"/>
        <v>1281187.3421131975</v>
      </c>
      <c r="Z106" s="39">
        <f t="shared" si="232"/>
        <v>-187190.56002308178</v>
      </c>
      <c r="AA106" s="39">
        <f t="shared" si="232"/>
        <v>421598.73262815457</v>
      </c>
      <c r="AB106" s="39">
        <f t="shared" si="232"/>
        <v>1626950.6184313176</v>
      </c>
      <c r="AC106" s="39">
        <f t="shared" si="232"/>
        <v>731971.0538957658</v>
      </c>
      <c r="AD106" s="39">
        <f t="shared" si="232"/>
        <v>3058107.84170296</v>
      </c>
      <c r="AE106" s="39">
        <f t="shared" si="232"/>
        <v>571193.17130947043</v>
      </c>
      <c r="AF106" s="39">
        <f t="shared" si="232"/>
        <v>-310190.55041748978</v>
      </c>
      <c r="AG106" s="39">
        <f t="shared" si="232"/>
        <v>2020147.5164907065</v>
      </c>
      <c r="AH106" s="39" t="e">
        <f t="shared" si="232"/>
        <v>#VALUE!</v>
      </c>
      <c r="AI106" s="39" t="e">
        <f t="shared" si="232"/>
        <v>#VALUE!</v>
      </c>
      <c r="AJ106" s="39" t="e">
        <f t="shared" si="232"/>
        <v>#VALUE!</v>
      </c>
      <c r="AK106" s="39" t="e">
        <f t="shared" si="232"/>
        <v>#VALUE!</v>
      </c>
      <c r="AL106" s="39" t="e">
        <f t="shared" si="232"/>
        <v>#VALUE!</v>
      </c>
      <c r="AM106" s="39" t="e">
        <f t="shared" si="232"/>
        <v>#VALUE!</v>
      </c>
      <c r="AN106" s="39" t="e">
        <f t="shared" si="232"/>
        <v>#VALUE!</v>
      </c>
      <c r="AO106" s="39" t="e">
        <f t="shared" si="232"/>
        <v>#VALUE!</v>
      </c>
      <c r="AP106" s="39" t="e">
        <f t="shared" si="232"/>
        <v>#VALUE!</v>
      </c>
      <c r="AQ106" s="39" t="e">
        <f t="shared" si="232"/>
        <v>#VALUE!</v>
      </c>
      <c r="AR106" s="39" t="e">
        <f t="shared" si="232"/>
        <v>#VALUE!</v>
      </c>
      <c r="AS106" s="39" t="e">
        <f t="shared" si="232"/>
        <v>#VALUE!</v>
      </c>
      <c r="AT106" s="39" t="e">
        <f t="shared" si="232"/>
        <v>#VALUE!</v>
      </c>
      <c r="AU106" s="39" t="e">
        <f t="shared" si="232"/>
        <v>#VALUE!</v>
      </c>
      <c r="AV106" s="39" t="e">
        <f t="shared" si="232"/>
        <v>#VALUE!</v>
      </c>
      <c r="AW106" s="39" t="e">
        <f t="shared" si="232"/>
        <v>#VALUE!</v>
      </c>
      <c r="AX106" s="39" t="e">
        <f t="shared" si="232"/>
        <v>#VALUE!</v>
      </c>
      <c r="AY106" s="39" t="e">
        <f t="shared" si="232"/>
        <v>#VALUE!</v>
      </c>
      <c r="AZ106" s="39" t="e">
        <f t="shared" si="232"/>
        <v>#VALUE!</v>
      </c>
      <c r="BA106" s="39" t="e">
        <f t="shared" si="232"/>
        <v>#VALUE!</v>
      </c>
      <c r="BB106" s="39" t="e">
        <f t="shared" si="232"/>
        <v>#VALUE!</v>
      </c>
      <c r="BC106" s="39" t="e">
        <f t="shared" si="232"/>
        <v>#VALUE!</v>
      </c>
      <c r="BD106" s="39" t="e">
        <f t="shared" si="232"/>
        <v>#VALUE!</v>
      </c>
      <c r="BE106" s="39" t="e">
        <f t="shared" si="232"/>
        <v>#VALUE!</v>
      </c>
      <c r="BF106" s="39" t="e">
        <f t="shared" si="232"/>
        <v>#VALUE!</v>
      </c>
    </row>
    <row r="108" spans="1:58">
      <c r="A108" s="1" t="s">
        <v>1500</v>
      </c>
    </row>
    <row r="109" spans="1:58">
      <c r="A109" s="5" t="s">
        <v>707</v>
      </c>
      <c r="N109" s="16">
        <f t="shared" ref="N109:BF109" si="233">N101/N8</f>
        <v>0.1586182085168869</v>
      </c>
      <c r="O109" s="16">
        <f t="shared" si="233"/>
        <v>0.13434536153739796</v>
      </c>
      <c r="P109" s="16">
        <f t="shared" si="233"/>
        <v>0.2693786192985882</v>
      </c>
      <c r="Q109" s="16">
        <f t="shared" si="233"/>
        <v>2.4563676986913641E-2</v>
      </c>
      <c r="R109" s="16">
        <f t="shared" si="233"/>
        <v>0.14595213125845741</v>
      </c>
      <c r="S109" s="16">
        <f t="shared" si="233"/>
        <v>0.17392110232915994</v>
      </c>
      <c r="T109" s="16">
        <f t="shared" si="233"/>
        <v>0.16778139751346316</v>
      </c>
      <c r="U109" s="16">
        <f t="shared" si="233"/>
        <v>0.12009253390797317</v>
      </c>
      <c r="V109" s="16">
        <f t="shared" si="233"/>
        <v>3.9861388859110988E-2</v>
      </c>
      <c r="W109" s="16">
        <f t="shared" si="233"/>
        <v>0.1233777989976092</v>
      </c>
      <c r="X109" s="16">
        <f t="shared" si="233"/>
        <v>0.1666514685209031</v>
      </c>
      <c r="Y109" s="16">
        <f t="shared" si="233"/>
        <v>0.1579647790466191</v>
      </c>
      <c r="Z109" s="16">
        <f t="shared" si="233"/>
        <v>0.12726330980340728</v>
      </c>
      <c r="AA109" s="16">
        <f t="shared" si="233"/>
        <v>5.3168579349983362E-2</v>
      </c>
      <c r="AB109" s="16">
        <f t="shared" si="233"/>
        <v>0.12469462857858703</v>
      </c>
      <c r="AC109" s="16">
        <f t="shared" si="233"/>
        <v>0.16685090636869535</v>
      </c>
      <c r="AD109" s="16">
        <f t="shared" si="233"/>
        <v>0.15579256772115641</v>
      </c>
      <c r="AE109" s="16">
        <f t="shared" si="233"/>
        <v>0.12757327174075458</v>
      </c>
      <c r="AF109" s="16">
        <f t="shared" si="233"/>
        <v>6.2361297397263663E-2</v>
      </c>
      <c r="AG109" s="16">
        <f t="shared" si="233"/>
        <v>0.12664050660407172</v>
      </c>
      <c r="AH109" s="16">
        <f t="shared" si="233"/>
        <v>0.16998369877253044</v>
      </c>
      <c r="AI109" s="16">
        <f t="shared" si="233"/>
        <v>0.16339020044642902</v>
      </c>
      <c r="AJ109" s="16">
        <f t="shared" si="233"/>
        <v>0.13279140396806713</v>
      </c>
      <c r="AK109" s="16">
        <f t="shared" si="233"/>
        <v>6.9359244727746849E-2</v>
      </c>
      <c r="AL109" s="16">
        <f t="shared" si="233"/>
        <v>0.13240534982845653</v>
      </c>
      <c r="AM109" s="16">
        <f t="shared" si="233"/>
        <v>0.17675463326207169</v>
      </c>
      <c r="AN109" s="16">
        <f t="shared" si="233"/>
        <v>0.16956497257814049</v>
      </c>
      <c r="AO109" s="16">
        <f t="shared" si="233"/>
        <v>0.1410409269930013</v>
      </c>
      <c r="AP109" s="16">
        <f t="shared" si="233"/>
        <v>7.9368881750248726E-2</v>
      </c>
      <c r="AQ109" s="16">
        <f t="shared" si="233"/>
        <v>0.14022785511502062</v>
      </c>
      <c r="AR109" s="16">
        <f t="shared" si="233"/>
        <v>0.18605811551045154</v>
      </c>
      <c r="AS109" s="16">
        <f t="shared" si="233"/>
        <v>0.1786791581160935</v>
      </c>
      <c r="AT109" s="16">
        <f t="shared" si="233"/>
        <v>0.15090051279885905</v>
      </c>
      <c r="AU109" s="16">
        <f t="shared" si="233"/>
        <v>9.0567426692854322E-2</v>
      </c>
      <c r="AV109" s="16">
        <f t="shared" si="233"/>
        <v>0.15009351171063559</v>
      </c>
      <c r="AW109" s="16">
        <f t="shared" si="233"/>
        <v>0.1877309656998562</v>
      </c>
      <c r="AX109" s="16">
        <f t="shared" si="233"/>
        <v>0.18028566403322124</v>
      </c>
      <c r="AY109" s="16">
        <f t="shared" si="233"/>
        <v>0.1522572606661815</v>
      </c>
      <c r="AZ109" s="16">
        <f t="shared" si="233"/>
        <v>9.1381719240542322E-2</v>
      </c>
      <c r="BA109" s="16">
        <f t="shared" si="233"/>
        <v>0.15144300382391807</v>
      </c>
      <c r="BB109" s="16">
        <f t="shared" si="233"/>
        <v>0.18941885650035445</v>
      </c>
      <c r="BC109" s="16">
        <f t="shared" si="233"/>
        <v>0.18190661405949396</v>
      </c>
      <c r="BD109" s="16">
        <f t="shared" si="233"/>
        <v>0.15362620706577756</v>
      </c>
      <c r="BE109" s="16">
        <f t="shared" si="233"/>
        <v>9.220333309984792E-2</v>
      </c>
      <c r="BF109" s="16">
        <f t="shared" si="233"/>
        <v>0.15280462923292432</v>
      </c>
    </row>
    <row r="110" spans="1:58">
      <c r="A110" s="5" t="s">
        <v>708</v>
      </c>
      <c r="N110" s="16">
        <f t="shared" ref="N110:BF110" si="234">N102/N9</f>
        <v>0.39789802805360586</v>
      </c>
      <c r="O110" s="16">
        <f t="shared" si="234"/>
        <v>0.2317584713151703</v>
      </c>
      <c r="P110" s="16">
        <f t="shared" si="234"/>
        <v>0.30579950022328428</v>
      </c>
      <c r="Q110" s="16">
        <f t="shared" si="234"/>
        <v>7.1804211479191953E-3</v>
      </c>
      <c r="R110" s="16">
        <f t="shared" si="234"/>
        <v>0.23794769296862323</v>
      </c>
      <c r="S110" s="16">
        <f t="shared" si="234"/>
        <v>0.19818727260400903</v>
      </c>
      <c r="T110" s="16">
        <f t="shared" si="234"/>
        <v>-0.14755411569120605</v>
      </c>
      <c r="U110" s="16">
        <f t="shared" si="234"/>
        <v>0.17734698430798979</v>
      </c>
      <c r="V110" s="16">
        <f t="shared" si="234"/>
        <v>0.20764302829840145</v>
      </c>
      <c r="W110" s="16">
        <f t="shared" si="234"/>
        <v>0.10608580801164354</v>
      </c>
      <c r="X110" s="16">
        <f t="shared" si="234"/>
        <v>0.24291489233069405</v>
      </c>
      <c r="Y110" s="16">
        <f t="shared" si="234"/>
        <v>0.27323265341146447</v>
      </c>
      <c r="Z110" s="16">
        <f t="shared" si="234"/>
        <v>0.31923872841859702</v>
      </c>
      <c r="AA110" s="16">
        <f t="shared" si="234"/>
        <v>0.29598325093995131</v>
      </c>
      <c r="AB110" s="16">
        <f t="shared" si="234"/>
        <v>0.28407442886361928</v>
      </c>
      <c r="AC110" s="16">
        <f t="shared" si="234"/>
        <v>0.33387665502444019</v>
      </c>
      <c r="AD110" s="16">
        <f t="shared" si="234"/>
        <v>0.35858371694489066</v>
      </c>
      <c r="AE110" s="16">
        <f t="shared" si="234"/>
        <v>0.37169827301594943</v>
      </c>
      <c r="AF110" s="16">
        <f t="shared" si="234"/>
        <v>0.3357531013660156</v>
      </c>
      <c r="AG110" s="16">
        <f t="shared" si="234"/>
        <v>0.35057643665378163</v>
      </c>
      <c r="AH110" s="16">
        <f t="shared" si="234"/>
        <v>0.36283644812635568</v>
      </c>
      <c r="AI110" s="16">
        <f t="shared" si="234"/>
        <v>0.39197250688346336</v>
      </c>
      <c r="AJ110" s="16">
        <f t="shared" si="234"/>
        <v>0.41507184838363415</v>
      </c>
      <c r="AK110" s="16">
        <f t="shared" si="234"/>
        <v>0.38446547711040985</v>
      </c>
      <c r="AL110" s="16">
        <f t="shared" si="234"/>
        <v>0.38932328811888939</v>
      </c>
      <c r="AM110" s="16">
        <f t="shared" si="234"/>
        <v>0.41820121472242305</v>
      </c>
      <c r="AN110" s="16">
        <f t="shared" si="234"/>
        <v>0.44640984665358863</v>
      </c>
      <c r="AO110" s="16">
        <f t="shared" si="234"/>
        <v>0.45626437033392236</v>
      </c>
      <c r="AP110" s="16">
        <f t="shared" si="234"/>
        <v>0.42083240344505241</v>
      </c>
      <c r="AQ110" s="16">
        <f t="shared" si="234"/>
        <v>0.43592903104117797</v>
      </c>
      <c r="AR110" s="16">
        <f t="shared" si="234"/>
        <v>0.45293391642580394</v>
      </c>
      <c r="AS110" s="16">
        <f t="shared" si="234"/>
        <v>0.47920744585956737</v>
      </c>
      <c r="AT110" s="16">
        <f t="shared" si="234"/>
        <v>0.48707888296749352</v>
      </c>
      <c r="AU110" s="16">
        <f t="shared" si="234"/>
        <v>0.4508961700597906</v>
      </c>
      <c r="AV110" s="16">
        <f t="shared" si="234"/>
        <v>0.46803022345052375</v>
      </c>
      <c r="AW110" s="16">
        <f t="shared" si="234"/>
        <v>0.48030548552437924</v>
      </c>
      <c r="AX110" s="16">
        <f t="shared" si="234"/>
        <v>0.50531453271325899</v>
      </c>
      <c r="AY110" s="16">
        <f t="shared" si="234"/>
        <v>0.51217611836696586</v>
      </c>
      <c r="AZ110" s="16">
        <f t="shared" si="234"/>
        <v>0.47380669595589314</v>
      </c>
      <c r="BA110" s="16">
        <f t="shared" si="234"/>
        <v>0.49342778911772639</v>
      </c>
      <c r="BB110" s="16">
        <f t="shared" si="234"/>
        <v>0.5031771753112545</v>
      </c>
      <c r="BC110" s="16">
        <f t="shared" si="234"/>
        <v>0.52937712950912852</v>
      </c>
      <c r="BD110" s="16">
        <f t="shared" si="234"/>
        <v>0.53656545733682148</v>
      </c>
      <c r="BE110" s="16">
        <f t="shared" si="234"/>
        <v>0.49636891957284057</v>
      </c>
      <c r="BF110" s="16">
        <f t="shared" si="234"/>
        <v>0.51692435050428476</v>
      </c>
    </row>
    <row r="112" spans="1:58">
      <c r="A112" s="1" t="s">
        <v>28</v>
      </c>
    </row>
    <row r="113" spans="1:58">
      <c r="A113" s="5" t="s">
        <v>707</v>
      </c>
      <c r="I113" s="16"/>
      <c r="J113" s="16"/>
      <c r="K113" s="16"/>
      <c r="L113" s="16"/>
      <c r="M113" s="16"/>
      <c r="N113" s="16"/>
      <c r="O113" s="16"/>
      <c r="P113" s="16"/>
      <c r="Q113" s="16"/>
      <c r="R113" s="16"/>
      <c r="S113" s="16">
        <f>S101/N101-1</f>
        <v>0.15097806867310393</v>
      </c>
      <c r="T113" s="16">
        <f t="shared" ref="T113:W113" si="235">T101/O101-1</f>
        <v>0.29852220804346974</v>
      </c>
      <c r="U113" s="16">
        <f t="shared" si="235"/>
        <v>-0.5423228536646636</v>
      </c>
      <c r="V113" s="16">
        <f t="shared" si="235"/>
        <v>0.66045158038444929</v>
      </c>
      <c r="W113" s="16">
        <f t="shared" si="235"/>
        <v>-0.12571952826951305</v>
      </c>
      <c r="X113" s="16">
        <f>X101/S101-1</f>
        <v>-2.3399835543227443E-2</v>
      </c>
      <c r="Y113" s="16">
        <f t="shared" ref="Y113:Y114" si="236">Y101/T101-1</f>
        <v>-4.259414525223626E-2</v>
      </c>
      <c r="Z113" s="16">
        <f t="shared" ref="Z113:Z114" si="237">Z101/U101-1</f>
        <v>7.7828664881738563E-2</v>
      </c>
      <c r="AA113" s="16">
        <f t="shared" ref="AA113:AA114" si="238">AA101/V101-1</f>
        <v>0.3512925313524593</v>
      </c>
      <c r="AB113" s="16">
        <f t="shared" ref="AB113:AB114" si="239">AB101/W101-1</f>
        <v>2.7339391436517868E-2</v>
      </c>
      <c r="AC113" s="16">
        <f>AC101/X101-1</f>
        <v>1.7998469141989659E-2</v>
      </c>
      <c r="AD113" s="16">
        <f t="shared" ref="AD113:AD114" si="240">AD101/Y101-1</f>
        <v>4.1323900077598896E-3</v>
      </c>
      <c r="AE113" s="16">
        <f t="shared" ref="AE113:AE114" si="241">AE101/Z101-1</f>
        <v>2.0029725794635356E-2</v>
      </c>
      <c r="AF113" s="16">
        <f t="shared" ref="AF113:AF114" si="242">AF101/AA101-1</f>
        <v>0.19668595053175264</v>
      </c>
      <c r="AG113" s="16">
        <f t="shared" ref="AG113:AG114" si="243">AG101/AB101-1</f>
        <v>3.4116979456968011E-2</v>
      </c>
      <c r="AH113" s="16">
        <f>AH101/AC101-1</f>
        <v>4.2673497160779394E-2</v>
      </c>
      <c r="AI113" s="16">
        <f t="shared" ref="AI113:AI114" si="244">AI101/AD101-1</f>
        <v>7.1872454608066683E-2</v>
      </c>
      <c r="AJ113" s="16">
        <f t="shared" ref="AJ113:AJ114" si="245">AJ101/AE101-1</f>
        <v>6.55125587326153E-2</v>
      </c>
      <c r="AK113" s="16">
        <f t="shared" ref="AK113:AK114" si="246">AK101/AF101-1</f>
        <v>0.13871479922863306</v>
      </c>
      <c r="AL113" s="16">
        <f t="shared" ref="AL113:AL114" si="247">AL101/AG101-1</f>
        <v>6.9829906905586991E-2</v>
      </c>
      <c r="AM113" s="16">
        <f>AM101/AH101-1</f>
        <v>6.5213576767711556E-2</v>
      </c>
      <c r="AN113" s="16">
        <f t="shared" ref="AN113:AN114" si="248">AN101/AI101-1</f>
        <v>6.3836910784434764E-2</v>
      </c>
      <c r="AO113" s="16">
        <f t="shared" ref="AO113:AO114" si="249">AO101/AJ101-1</f>
        <v>8.7999330670629483E-2</v>
      </c>
      <c r="AP113" s="16">
        <f t="shared" ref="AP113:AP114" si="250">AP101/AK101-1</f>
        <v>0.1749492734801219</v>
      </c>
      <c r="AQ113" s="16">
        <f t="shared" ref="AQ113:AQ114" si="251">AQ101/AL101-1</f>
        <v>8.5752126060205436E-2</v>
      </c>
      <c r="AR113" s="16">
        <f>AR101/AM101-1</f>
        <v>7.9651112053530815E-2</v>
      </c>
      <c r="AS113" s="16">
        <f t="shared" ref="AS113:AS114" si="252">AS101/AN101-1</f>
        <v>8.0833298724870772E-2</v>
      </c>
      <c r="AT113" s="16">
        <f t="shared" ref="AT113:AT114" si="253">AT101/AO101-1</f>
        <v>9.7736017139735232E-2</v>
      </c>
      <c r="AU113" s="16">
        <f t="shared" ref="AU113:AU114" si="254">AU101/AP101-1</f>
        <v>0.17279561764186435</v>
      </c>
      <c r="AV113" s="16">
        <f t="shared" ref="AV113:AV114" si="255">AV101/AQ101-1</f>
        <v>9.852465809887212E-2</v>
      </c>
      <c r="AW113" s="209">
        <v>0.01</v>
      </c>
      <c r="AX113" s="209">
        <v>0.01</v>
      </c>
      <c r="AY113" s="209">
        <v>0.01</v>
      </c>
      <c r="AZ113" s="209">
        <v>0.01</v>
      </c>
      <c r="BA113" s="16">
        <f t="shared" ref="BA113" si="256">BA101/AV101-1</f>
        <v>1.0000000000000009E-2</v>
      </c>
      <c r="BB113" s="209">
        <v>0.01</v>
      </c>
      <c r="BC113" s="209">
        <v>0.01</v>
      </c>
      <c r="BD113" s="209">
        <v>0.01</v>
      </c>
      <c r="BE113" s="209">
        <v>0.01</v>
      </c>
      <c r="BF113" s="16">
        <f t="shared" ref="BF113:BF114" si="257">BF101/BA101-1</f>
        <v>9.9999999999997868E-3</v>
      </c>
    </row>
    <row r="114" spans="1:58">
      <c r="A114" s="5" t="s">
        <v>708</v>
      </c>
      <c r="I114" s="16"/>
      <c r="J114" s="16"/>
      <c r="K114" s="16"/>
      <c r="L114" s="16"/>
      <c r="M114" s="16"/>
      <c r="N114" s="16"/>
      <c r="O114" s="16"/>
      <c r="P114" s="16"/>
      <c r="Q114" s="16"/>
      <c r="R114" s="16"/>
      <c r="S114" s="16">
        <f>S102/N102-1</f>
        <v>-0.52473212621228704</v>
      </c>
      <c r="T114" s="16">
        <f t="shared" ref="T114" si="258">T102/O102-1</f>
        <v>-1.8210571857969129</v>
      </c>
      <c r="U114" s="16">
        <f t="shared" ref="U114" si="259">U102/P102-1</f>
        <v>-0.33315685075539514</v>
      </c>
      <c r="V114" s="16">
        <f t="shared" ref="V114" si="260">V102/Q102-1</f>
        <v>38.816960947511568</v>
      </c>
      <c r="W114" s="16">
        <f t="shared" ref="W114" si="261">W102/R102-1</f>
        <v>-0.46909954139856336</v>
      </c>
      <c r="X114" s="16">
        <f>X102/S102-1</f>
        <v>0.98692414069401146</v>
      </c>
      <c r="Y114" s="16">
        <f t="shared" si="236"/>
        <v>-3.3133164508655257</v>
      </c>
      <c r="Z114" s="16">
        <f t="shared" si="237"/>
        <v>1.3712752258781373</v>
      </c>
      <c r="AA114" s="16">
        <f t="shared" si="238"/>
        <v>0.76868374681690232</v>
      </c>
      <c r="AB114" s="16">
        <f t="shared" si="239"/>
        <v>2.5812296806916959</v>
      </c>
      <c r="AC114" s="16">
        <f>AC102/X102-1</f>
        <v>0.55830517593344919</v>
      </c>
      <c r="AD114" s="16">
        <f t="shared" si="240"/>
        <v>0.57978461628892108</v>
      </c>
      <c r="AE114" s="16">
        <f t="shared" si="241"/>
        <v>0.41057437342296255</v>
      </c>
      <c r="AF114" s="16">
        <f t="shared" si="242"/>
        <v>0.33970052239885051</v>
      </c>
      <c r="AG114" s="16">
        <f t="shared" si="243"/>
        <v>0.46035686017300104</v>
      </c>
      <c r="AH114" s="16">
        <f>AH102/AC102-1</f>
        <v>0.31220827464623913</v>
      </c>
      <c r="AI114" s="16">
        <f t="shared" si="244"/>
        <v>0.29496173962754701</v>
      </c>
      <c r="AJ114" s="16">
        <f t="shared" si="245"/>
        <v>0.27473726240007035</v>
      </c>
      <c r="AK114" s="16">
        <f t="shared" si="246"/>
        <v>0.29442035651244147</v>
      </c>
      <c r="AL114" s="16">
        <f t="shared" si="247"/>
        <v>0.29278388920495191</v>
      </c>
      <c r="AM114" s="16">
        <f>AM102/AH102-1</f>
        <v>0.31976449142966867</v>
      </c>
      <c r="AN114" s="16">
        <f t="shared" si="248"/>
        <v>0.2972704733066307</v>
      </c>
      <c r="AO114" s="16">
        <f t="shared" si="249"/>
        <v>0.21883984906732223</v>
      </c>
      <c r="AP114" s="16">
        <f t="shared" si="250"/>
        <v>0.19178198047840223</v>
      </c>
      <c r="AQ114" s="16">
        <f t="shared" si="251"/>
        <v>0.25384810252574175</v>
      </c>
      <c r="AR114" s="16">
        <f>AR102/AM102-1</f>
        <v>0.18120041419570487</v>
      </c>
      <c r="AS114" s="16">
        <f t="shared" si="252"/>
        <v>0.17303297270431073</v>
      </c>
      <c r="AT114" s="16">
        <f t="shared" si="253"/>
        <v>0.16323192520250451</v>
      </c>
      <c r="AU114" s="16">
        <f t="shared" si="254"/>
        <v>0.1609973004373626</v>
      </c>
      <c r="AV114" s="16">
        <f t="shared" si="255"/>
        <v>0.16938295022985272</v>
      </c>
      <c r="AW114" s="16">
        <f>AW102/AR102-1</f>
        <v>0.14897119794533653</v>
      </c>
      <c r="AX114" s="16">
        <f t="shared" ref="AX114" si="262">AX102/AS102-1</f>
        <v>0.13996255310835082</v>
      </c>
      <c r="AY114" s="16">
        <f t="shared" ref="AY114" si="263">AY102/AT102-1</f>
        <v>0.12988210962562552</v>
      </c>
      <c r="AZ114" s="16">
        <f t="shared" ref="AZ114" si="264">AZ102/AU102-1</f>
        <v>0.11981579753380833</v>
      </c>
      <c r="BA114" s="16">
        <f t="shared" ref="BA114" si="265">BA102/AV102-1</f>
        <v>0.13457546054245162</v>
      </c>
      <c r="BB114" s="209">
        <v>0.1</v>
      </c>
      <c r="BC114" s="209">
        <v>0.1</v>
      </c>
      <c r="BD114" s="209">
        <v>0.1</v>
      </c>
      <c r="BE114" s="209">
        <v>0.1</v>
      </c>
      <c r="BF114" s="16">
        <f t="shared" si="257"/>
        <v>0.10000000000000009</v>
      </c>
    </row>
    <row r="116" spans="1:58">
      <c r="A116" s="3" t="s">
        <v>2168</v>
      </c>
    </row>
    <row r="117" spans="1:58">
      <c r="A117" s="5" t="s">
        <v>707</v>
      </c>
      <c r="N117" s="36">
        <f>1000*'Financial statements KK'!AD46</f>
        <v>-70299</v>
      </c>
      <c r="O117" s="36">
        <f>1000*'Financial statements KK'!AE46</f>
        <v>-76550.999999999985</v>
      </c>
      <c r="P117" s="36">
        <f>1000*'Financial statements KK'!AF46</f>
        <v>-45714</v>
      </c>
      <c r="Q117" s="36">
        <f>1000*'Financial statements KK'!AG46</f>
        <v>-16179.000000000002</v>
      </c>
      <c r="R117" s="36">
        <f>1000*'Financial statements KK'!AH46</f>
        <v>-208743</v>
      </c>
      <c r="S117" s="36">
        <f>1000*'Financial statements KK'!AI46</f>
        <v>-75037</v>
      </c>
      <c r="T117" s="36">
        <f>1000*'Financial statements KK'!AJ46</f>
        <v>-53123.999999999993</v>
      </c>
      <c r="U117" s="36">
        <f>1000*'Financial statements KK'!AK46</f>
        <v>-59628.999999999993</v>
      </c>
      <c r="V117" s="36">
        <f>1000*'Financial statements KK'!AL46</f>
        <v>-20217.754908484076</v>
      </c>
      <c r="W117" s="36">
        <f>1000*'Financial statements KK'!AM46</f>
        <v>-208007.75490848406</v>
      </c>
      <c r="X117" s="36">
        <f>1000*'Financial statements KK'!AN46</f>
        <v>-73900.954167899617</v>
      </c>
      <c r="Y117" s="36">
        <f>1000*'Financial statements KK'!AO46</f>
        <v>-73533.282451243678</v>
      </c>
      <c r="Z117" s="36">
        <f>1000*'Financial statements KK'!AP46</f>
        <v>-62318.739323736489</v>
      </c>
      <c r="AA117" s="36">
        <f>1000*'Financial statements KK'!AQ46</f>
        <v>-26951.244050628979</v>
      </c>
      <c r="AB117" s="36">
        <f>1000*'Financial statements KK'!AR46</f>
        <v>-236704.21999350877</v>
      </c>
      <c r="AC117" s="36">
        <f>1000*'Financial statements KK'!AS46</f>
        <v>-74837.159818455082</v>
      </c>
      <c r="AD117" s="36">
        <f>1000*'Financial statements KK'!AT46</f>
        <v>-73457.811643374836</v>
      </c>
      <c r="AE117" s="36">
        <f>1000*'Financial statements KK'!AU46</f>
        <v>-63170.935372173932</v>
      </c>
      <c r="AF117" s="36">
        <f>1000*'Financial statements KK'!AV46</f>
        <v>-31670.654856681842</v>
      </c>
      <c r="AG117" s="36">
        <f>1000*'Financial statements KK'!AW46</f>
        <v>-243136.56169068566</v>
      </c>
      <c r="AH117" s="36">
        <f>1000*'Financial statements KK'!AX46</f>
        <v>-77626.91853490517</v>
      </c>
      <c r="AI117" s="36">
        <f>1000*'Financial statements KK'!AY46</f>
        <v>-78313.890969460757</v>
      </c>
      <c r="AJ117" s="36">
        <f>1000*'Financial statements KK'!AZ46</f>
        <v>-66890.204008793211</v>
      </c>
      <c r="AK117" s="36">
        <f>1000*'Financial statements KK'!BA46</f>
        <v>-35595.210897086465</v>
      </c>
      <c r="AL117" s="36">
        <f>1000*'Financial statements KK'!BB46</f>
        <v>-258426.2244102456</v>
      </c>
      <c r="AM117" s="36">
        <f>1000*'Financial statements KK'!BC46</f>
        <v>-82294.68347299179</v>
      </c>
      <c r="AN117" s="36">
        <f>1000*'Financial statements KK'!BD46</f>
        <v>-82919.056767224829</v>
      </c>
      <c r="AO117" s="36">
        <f>1000*'Financial statements KK'!BE46</f>
        <v>-72375.097390787691</v>
      </c>
      <c r="AP117" s="36">
        <f>1000*'Financial statements KK'!BF46</f>
        <v>-41395.082400859421</v>
      </c>
      <c r="AQ117" s="36">
        <f>1000*'Financial statements KK'!BG46</f>
        <v>-278983.92003186373</v>
      </c>
      <c r="AR117" s="36">
        <f>1000*'Financial statements KK'!BH46</f>
        <v>-88480.520361112911</v>
      </c>
      <c r="AS117" s="36">
        <f>1000*'Financial statements KK'!BI46</f>
        <v>-89252.740150278827</v>
      </c>
      <c r="AT117" s="36">
        <f>1000*'Financial statements KK'!BJ46</f>
        <v>-79081.081351149202</v>
      </c>
      <c r="AU117" s="36">
        <f>1000*'Financial statements KK'!BK46</f>
        <v>-48185.930902974935</v>
      </c>
      <c r="AV117" s="36">
        <f>1000*'Financial statements KK'!BL46</f>
        <v>-305000.27276551584</v>
      </c>
      <c r="AW117" s="36">
        <f>-AW123*AW101</f>
        <v>-89819.825564724044</v>
      </c>
      <c r="AX117" s="36">
        <f>-AX123*AX101</f>
        <v>-90599.76755178161</v>
      </c>
      <c r="AY117" s="36">
        <f>-AY123*AY101</f>
        <v>-80326.39216466069</v>
      </c>
      <c r="AZ117" s="36">
        <f>-AZ123*AZ101</f>
        <v>-49122.290212004686</v>
      </c>
      <c r="BA117" s="36">
        <f>SUM(AW117:AZ117)</f>
        <v>-309868.27549317101</v>
      </c>
      <c r="BB117" s="36">
        <f t="shared" ref="BB117:BE118" si="266">-BB123*BB101</f>
        <v>-90718.023820371294</v>
      </c>
      <c r="BC117" s="36">
        <f t="shared" si="266"/>
        <v>-91505.765227299416</v>
      </c>
      <c r="BD117" s="36">
        <f t="shared" si="266"/>
        <v>-81129.656086307295</v>
      </c>
      <c r="BE117" s="36">
        <f t="shared" si="266"/>
        <v>-49613.513114124733</v>
      </c>
      <c r="BF117" s="36">
        <f>SUM(BB117:BE117)</f>
        <v>-312966.95824810275</v>
      </c>
    </row>
    <row r="118" spans="1:58">
      <c r="A118" s="5" t="s">
        <v>708</v>
      </c>
      <c r="N118" s="36">
        <f>'Arm (OLD)'!AH39</f>
        <v>-7871.44</v>
      </c>
      <c r="O118" s="36">
        <f>'Arm (OLD)'!AI39</f>
        <v>-5269.84</v>
      </c>
      <c r="P118" s="36">
        <f>'Arm (OLD)'!AJ39</f>
        <v>-6493.36</v>
      </c>
      <c r="Q118" s="36">
        <f>'Arm (OLD)'!AK39</f>
        <v>-266.52</v>
      </c>
      <c r="R118" s="36">
        <f>'Arm (OLD)'!AL39</f>
        <v>-19901.16</v>
      </c>
      <c r="S118" s="36">
        <f>'Arm (OLD)'!AM39</f>
        <v>-3038.42</v>
      </c>
      <c r="T118" s="36">
        <f>'Arm (OLD)'!AN39</f>
        <v>1308.96</v>
      </c>
      <c r="U118" s="36">
        <f>'Arm (OLD)'!AO39</f>
        <v>-8673</v>
      </c>
      <c r="V118" s="36">
        <f>'Arm (OLD)'!AP39</f>
        <v>-8409.6671500349985</v>
      </c>
      <c r="W118" s="36">
        <f>'Arm (OLD)'!AQ39</f>
        <v>-18812.127150034998</v>
      </c>
      <c r="X118" s="36">
        <f>'Arm (OLD)'!AR39</f>
        <v>-9531.6378648335631</v>
      </c>
      <c r="Y118" s="36">
        <f>'Arm (OLD)'!AS39</f>
        <v>-10401.578154745799</v>
      </c>
      <c r="Z118" s="36">
        <f>'Arm (OLD)'!AT39</f>
        <v>-12296.814523506042</v>
      </c>
      <c r="AA118" s="36">
        <f>'Arm (OLD)'!AU39</f>
        <v>-11794.492032358243</v>
      </c>
      <c r="AB118" s="36">
        <f>'Arm (OLD)'!AV39</f>
        <v>-44024.522575443647</v>
      </c>
      <c r="AC118" s="36">
        <f>'Arm (OLD)'!AW39</f>
        <v>-12377.949893473808</v>
      </c>
      <c r="AD118" s="36">
        <f>'Arm (OLD)'!AX39</f>
        <v>-14018.553754781551</v>
      </c>
      <c r="AE118" s="36">
        <f>'Arm (OLD)'!AY39</f>
        <v>-15752.23304865504</v>
      </c>
      <c r="AF118" s="36">
        <f>'Arm (OLD)'!AZ39</f>
        <v>-14493.467561952921</v>
      </c>
      <c r="AG118" s="36">
        <f>'Arm (OLD)'!BA39</f>
        <v>-56642.204258863319</v>
      </c>
      <c r="AH118" s="36">
        <f>'Arm (OLD)'!BB39</f>
        <v>-15468.974039236065</v>
      </c>
      <c r="AI118" s="36">
        <f>'Arm (OLD)'!BC39</f>
        <v>-17262.90351208112</v>
      </c>
      <c r="AJ118" s="36">
        <f>'Arm (OLD)'!BD39</f>
        <v>-18955.08347807081</v>
      </c>
      <c r="AK118" s="36">
        <f>'Arm (OLD)'!BE39</f>
        <v>-17468.042495111265</v>
      </c>
      <c r="AL118" s="36">
        <f>'Arm (OLD)'!BF39</f>
        <v>-69155.003524499261</v>
      </c>
      <c r="AM118" s="36">
        <f>'Arm (OLD)'!BG39</f>
        <v>-19121.46213784429</v>
      </c>
      <c r="AN118" s="36">
        <f>'Arm (OLD)'!BH39</f>
        <v>-21109.836301368912</v>
      </c>
      <c r="AO118" s="36">
        <f>'Arm (OLD)'!BI39</f>
        <v>-22163.343217928228</v>
      </c>
      <c r="AP118" s="36">
        <f>'Arm (OLD)'!BJ39</f>
        <v>-20014.397438307653</v>
      </c>
      <c r="AQ118" s="36">
        <f>'Arm (OLD)'!BK39</f>
        <v>-82409.039095449087</v>
      </c>
      <c r="AR118" s="36">
        <f>'Arm (OLD)'!BL39</f>
        <v>-21923.054542828413</v>
      </c>
      <c r="AS118" s="36">
        <f>'Arm (OLD)'!BM39</f>
        <v>-24069.369878547517</v>
      </c>
      <c r="AT118" s="36">
        <f>'Arm (OLD)'!BN39</f>
        <v>-25105.997679492062</v>
      </c>
      <c r="AU118" s="36">
        <f>'Arm (OLD)'!BO39</f>
        <v>-22569.268086729924</v>
      </c>
      <c r="AV118" s="36">
        <f>'Arm (OLD)'!BP39</f>
        <v>-93667.690187597909</v>
      </c>
      <c r="AW118" s="36">
        <f>'Arm (OLD)'!BQ39</f>
        <v>-24662.170416736215</v>
      </c>
      <c r="AX118" s="36">
        <f>'Arm (OLD)'!BR39</f>
        <v>-26895.052065940705</v>
      </c>
      <c r="AY118" s="36">
        <f>'Arm (OLD)'!BS39</f>
        <v>-27852.985181028591</v>
      </c>
      <c r="AZ118" s="36">
        <f>'Arm (OLD)'!BT39</f>
        <v>-24813.316007908248</v>
      </c>
      <c r="BA118" s="36">
        <f>'Arm (OLD)'!BU39</f>
        <v>-104223.52367161376</v>
      </c>
      <c r="BB118" s="36">
        <f t="shared" si="266"/>
        <v>-24571.14097803352</v>
      </c>
      <c r="BC118" s="36">
        <f t="shared" si="266"/>
        <v>-27351.601697639111</v>
      </c>
      <c r="BD118" s="36">
        <f t="shared" si="266"/>
        <v>-28219.261810589622</v>
      </c>
      <c r="BE118" s="36">
        <f t="shared" si="266"/>
        <v>-24270.376676093889</v>
      </c>
      <c r="BF118" s="36">
        <f>SUM(BB118:BE118)</f>
        <v>-104412.38116235615</v>
      </c>
    </row>
    <row r="119" spans="1:58">
      <c r="A119" s="5" t="s">
        <v>192</v>
      </c>
      <c r="N119" s="36">
        <f t="shared" ref="N119:U119" si="267">N120-SUM(N117:N118)</f>
        <v>2851446.44</v>
      </c>
      <c r="O119" s="36">
        <f t="shared" si="267"/>
        <v>-2615150.16</v>
      </c>
      <c r="P119" s="36">
        <f t="shared" si="267"/>
        <v>210625.36</v>
      </c>
      <c r="Q119" s="36">
        <f t="shared" si="267"/>
        <v>-336742.48</v>
      </c>
      <c r="R119" s="36">
        <f t="shared" si="267"/>
        <v>110179.16</v>
      </c>
      <c r="S119" s="36">
        <f t="shared" si="267"/>
        <v>-61924.58</v>
      </c>
      <c r="T119" s="36">
        <f t="shared" si="267"/>
        <v>-5912.9600000000064</v>
      </c>
      <c r="U119" s="36">
        <f t="shared" si="267"/>
        <v>-117723</v>
      </c>
      <c r="V119" s="36">
        <f>-V125*SUM(V103:V105)</f>
        <v>18841</v>
      </c>
      <c r="W119" s="36">
        <f>SUM(S119:V119)</f>
        <v>-166719.54</v>
      </c>
      <c r="X119" s="36">
        <f>-X125*SUM(X103:X105)</f>
        <v>16633.2</v>
      </c>
      <c r="Y119" s="36">
        <f>-Y125*SUM(Y103:Y105)</f>
        <v>-99953.900000000009</v>
      </c>
      <c r="Z119" s="36">
        <f>-Z125*SUM(Z103:Z105)</f>
        <v>44231.200000000004</v>
      </c>
      <c r="AA119" s="36">
        <f>-AA125*SUM(AA103:AA105)</f>
        <v>-28833.800000000003</v>
      </c>
      <c r="AB119" s="36">
        <f>SUM(X119:AA119)</f>
        <v>-67923.300000000017</v>
      </c>
      <c r="AC119" s="36">
        <f>-AC125*SUM(AC103:AC105)</f>
        <v>-43045.600000000006</v>
      </c>
      <c r="AD119" s="36">
        <f>-AD125*SUM(AD103:AD105)</f>
        <v>-275224.8</v>
      </c>
      <c r="AE119" s="36">
        <f>-AE125*SUM(AE103:AE105)</f>
        <v>-29108.600000000002</v>
      </c>
      <c r="AF119" s="36">
        <f>-AF125*SUM(AF103:AF105)</f>
        <v>47637.25057722623</v>
      </c>
      <c r="AG119" s="36">
        <f>SUM(AC119:AF119)</f>
        <v>-299741.74942277378</v>
      </c>
      <c r="AH119" s="36" t="e">
        <f>-AH125*SUM(AH103:AH105)</f>
        <v>#VALUE!</v>
      </c>
      <c r="AI119" s="36" t="e">
        <f>-AI125*SUM(AI103:AI105)</f>
        <v>#VALUE!</v>
      </c>
      <c r="AJ119" s="36" t="e">
        <f>-AJ125*SUM(AJ103:AJ105)</f>
        <v>#VALUE!</v>
      </c>
      <c r="AK119" s="36" t="e">
        <f>-AK125*SUM(AK103:AK105)</f>
        <v>#VALUE!</v>
      </c>
      <c r="AL119" s="36" t="e">
        <f>SUM(AH119:AK119)</f>
        <v>#VALUE!</v>
      </c>
      <c r="AM119" s="36" t="e">
        <f>-AM125*SUM(AM103:AM105)</f>
        <v>#VALUE!</v>
      </c>
      <c r="AN119" s="36" t="e">
        <f>-AN125*SUM(AN103:AN105)</f>
        <v>#VALUE!</v>
      </c>
      <c r="AO119" s="36" t="e">
        <f>-AO125*SUM(AO103:AO105)</f>
        <v>#VALUE!</v>
      </c>
      <c r="AP119" s="36" t="e">
        <f>-AP125*SUM(AP103:AP105)</f>
        <v>#VALUE!</v>
      </c>
      <c r="AQ119" s="36" t="e">
        <f>SUM(AM119:AP119)</f>
        <v>#VALUE!</v>
      </c>
      <c r="AR119" s="36" t="e">
        <f>-AR125*SUM(AR103:AR105)</f>
        <v>#VALUE!</v>
      </c>
      <c r="AS119" s="36" t="e">
        <f>-AS125*SUM(AS103:AS105)</f>
        <v>#VALUE!</v>
      </c>
      <c r="AT119" s="36" t="e">
        <f>-AT125*SUM(AT103:AT105)</f>
        <v>#VALUE!</v>
      </c>
      <c r="AU119" s="36" t="e">
        <f>-AU125*SUM(AU103:AU105)</f>
        <v>#VALUE!</v>
      </c>
      <c r="AV119" s="36" t="e">
        <f>SUM(AR119:AU119)</f>
        <v>#VALUE!</v>
      </c>
      <c r="AW119" s="36" t="e">
        <f>-AW125*SUM(AW103:AW105)</f>
        <v>#VALUE!</v>
      </c>
      <c r="AX119" s="36" t="e">
        <f>-AX125*SUM(AX103:AX105)</f>
        <v>#VALUE!</v>
      </c>
      <c r="AY119" s="36" t="e">
        <f>-AY125*SUM(AY103:AY105)</f>
        <v>#VALUE!</v>
      </c>
      <c r="AZ119" s="36" t="e">
        <f>-AZ125*SUM(AZ103:AZ105)</f>
        <v>#VALUE!</v>
      </c>
      <c r="BA119" s="36" t="e">
        <f>SUM(AW119:AZ119)</f>
        <v>#VALUE!</v>
      </c>
      <c r="BB119" s="36" t="e">
        <f>-BB125*SUM(BB103:BB105)</f>
        <v>#VALUE!</v>
      </c>
      <c r="BC119" s="36" t="e">
        <f>-BC125*SUM(BC103:BC105)</f>
        <v>#VALUE!</v>
      </c>
      <c r="BD119" s="36" t="e">
        <f>-BD125*SUM(BD103:BD105)</f>
        <v>#VALUE!</v>
      </c>
      <c r="BE119" s="36" t="e">
        <f>-BE125*SUM(BE103:BE105)</f>
        <v>#VALUE!</v>
      </c>
      <c r="BF119" s="36" t="e">
        <f>SUM(BB119:BE119)</f>
        <v>#VALUE!</v>
      </c>
    </row>
    <row r="120" spans="1:58">
      <c r="A120" s="9" t="s">
        <v>2169</v>
      </c>
      <c r="B120" s="9"/>
      <c r="C120" s="9"/>
      <c r="D120" s="9"/>
      <c r="E120" s="9"/>
      <c r="F120" s="9"/>
      <c r="G120" s="9"/>
      <c r="H120" s="9"/>
      <c r="I120" s="39">
        <f>'Financial statements (OLD)'!N30</f>
        <v>-359844</v>
      </c>
      <c r="J120" s="39">
        <f>'Financial statements (OLD)'!O30</f>
        <v>-96763</v>
      </c>
      <c r="K120" s="39">
        <f>'Financial statements (OLD)'!P30</f>
        <v>-128717</v>
      </c>
      <c r="L120" s="39">
        <f>'Financial statements (OLD)'!Q30</f>
        <v>-7086</v>
      </c>
      <c r="M120" s="39">
        <f>'Financial statements (OLD)'!R30</f>
        <v>-592410</v>
      </c>
      <c r="N120" s="39">
        <f>'Financial statements (OLD)'!S30</f>
        <v>2773276</v>
      </c>
      <c r="O120" s="39">
        <f>'Financial statements (OLD)'!T30</f>
        <v>-2696971</v>
      </c>
      <c r="P120" s="39">
        <f>'Financial statements (OLD)'!U30</f>
        <v>158418</v>
      </c>
      <c r="Q120" s="39">
        <f>'Financial statements (OLD)'!V30</f>
        <v>-353188</v>
      </c>
      <c r="R120" s="39">
        <f>'Financial statements (OLD)'!W30</f>
        <v>-118465</v>
      </c>
      <c r="S120" s="39">
        <f>'Financial statements (OLD)'!X30</f>
        <v>-140000</v>
      </c>
      <c r="T120" s="39">
        <f>'Financial statements (OLD)'!Y30</f>
        <v>-57728</v>
      </c>
      <c r="U120" s="39">
        <f>'Financial statements (OLD)'!Z30</f>
        <v>-186025</v>
      </c>
      <c r="V120" s="39">
        <f t="shared" ref="V120:BF120" si="268">SUM(V117:V119)</f>
        <v>-9786.4220585190742</v>
      </c>
      <c r="W120" s="39">
        <f t="shared" si="268"/>
        <v>-393539.42205851909</v>
      </c>
      <c r="X120" s="39">
        <f t="shared" si="268"/>
        <v>-66799.392032733187</v>
      </c>
      <c r="Y120" s="39">
        <f t="shared" si="268"/>
        <v>-183888.76060598949</v>
      </c>
      <c r="Z120" s="39">
        <f t="shared" si="268"/>
        <v>-30384.353847242521</v>
      </c>
      <c r="AA120" s="39">
        <f t="shared" si="268"/>
        <v>-67579.536082987222</v>
      </c>
      <c r="AB120" s="39">
        <f t="shared" si="268"/>
        <v>-348652.04256895243</v>
      </c>
      <c r="AC120" s="39">
        <f t="shared" si="268"/>
        <v>-130260.7097119289</v>
      </c>
      <c r="AD120" s="39">
        <f t="shared" si="268"/>
        <v>-362701.16539815639</v>
      </c>
      <c r="AE120" s="39">
        <f t="shared" si="268"/>
        <v>-108031.76842082897</v>
      </c>
      <c r="AF120" s="39">
        <f t="shared" si="268"/>
        <v>1473.1281585914694</v>
      </c>
      <c r="AG120" s="39">
        <f t="shared" si="268"/>
        <v>-599520.51537232276</v>
      </c>
      <c r="AH120" s="39" t="e">
        <f t="shared" si="268"/>
        <v>#VALUE!</v>
      </c>
      <c r="AI120" s="39" t="e">
        <f t="shared" si="268"/>
        <v>#VALUE!</v>
      </c>
      <c r="AJ120" s="39" t="e">
        <f t="shared" si="268"/>
        <v>#VALUE!</v>
      </c>
      <c r="AK120" s="39" t="e">
        <f t="shared" si="268"/>
        <v>#VALUE!</v>
      </c>
      <c r="AL120" s="39" t="e">
        <f t="shared" si="268"/>
        <v>#VALUE!</v>
      </c>
      <c r="AM120" s="39" t="e">
        <f t="shared" si="268"/>
        <v>#VALUE!</v>
      </c>
      <c r="AN120" s="39" t="e">
        <f t="shared" si="268"/>
        <v>#VALUE!</v>
      </c>
      <c r="AO120" s="39" t="e">
        <f t="shared" si="268"/>
        <v>#VALUE!</v>
      </c>
      <c r="AP120" s="39" t="e">
        <f t="shared" si="268"/>
        <v>#VALUE!</v>
      </c>
      <c r="AQ120" s="39" t="e">
        <f t="shared" si="268"/>
        <v>#VALUE!</v>
      </c>
      <c r="AR120" s="39" t="e">
        <f t="shared" si="268"/>
        <v>#VALUE!</v>
      </c>
      <c r="AS120" s="39" t="e">
        <f t="shared" si="268"/>
        <v>#VALUE!</v>
      </c>
      <c r="AT120" s="39" t="e">
        <f t="shared" si="268"/>
        <v>#VALUE!</v>
      </c>
      <c r="AU120" s="39" t="e">
        <f t="shared" si="268"/>
        <v>#VALUE!</v>
      </c>
      <c r="AV120" s="39" t="e">
        <f t="shared" si="268"/>
        <v>#VALUE!</v>
      </c>
      <c r="AW120" s="39" t="e">
        <f t="shared" si="268"/>
        <v>#VALUE!</v>
      </c>
      <c r="AX120" s="39" t="e">
        <f t="shared" si="268"/>
        <v>#VALUE!</v>
      </c>
      <c r="AY120" s="39" t="e">
        <f t="shared" si="268"/>
        <v>#VALUE!</v>
      </c>
      <c r="AZ120" s="39" t="e">
        <f t="shared" si="268"/>
        <v>#VALUE!</v>
      </c>
      <c r="BA120" s="39" t="e">
        <f t="shared" si="268"/>
        <v>#VALUE!</v>
      </c>
      <c r="BB120" s="39" t="e">
        <f t="shared" si="268"/>
        <v>#VALUE!</v>
      </c>
      <c r="BC120" s="39" t="e">
        <f t="shared" si="268"/>
        <v>#VALUE!</v>
      </c>
      <c r="BD120" s="39" t="e">
        <f t="shared" si="268"/>
        <v>#VALUE!</v>
      </c>
      <c r="BE120" s="39" t="e">
        <f t="shared" si="268"/>
        <v>#VALUE!</v>
      </c>
      <c r="BF120" s="39" t="e">
        <f t="shared" si="268"/>
        <v>#VALUE!</v>
      </c>
    </row>
    <row r="122" spans="1:58">
      <c r="A122" s="1" t="s">
        <v>1502</v>
      </c>
    </row>
    <row r="123" spans="1:58">
      <c r="A123" s="5" t="s">
        <v>707</v>
      </c>
      <c r="I123" s="21"/>
      <c r="J123" s="21"/>
      <c r="K123" s="21"/>
      <c r="L123" s="21"/>
      <c r="M123" s="21"/>
      <c r="N123" s="16">
        <f>-N117/N101</f>
        <v>0.32540108684583274</v>
      </c>
      <c r="O123" s="16">
        <f t="shared" ref="O123:AG123" si="269">-O117/O101</f>
        <v>0.39389433170049004</v>
      </c>
      <c r="P123" s="16">
        <f t="shared" si="269"/>
        <v>0.1104181561708952</v>
      </c>
      <c r="Q123" s="16">
        <f t="shared" si="269"/>
        <v>0.42046310974817197</v>
      </c>
      <c r="R123" s="16">
        <f t="shared" si="269"/>
        <v>0.24191737100301433</v>
      </c>
      <c r="S123" s="16">
        <f t="shared" si="269"/>
        <v>0.30177153083589714</v>
      </c>
      <c r="T123" s="16">
        <f t="shared" si="269"/>
        <v>0.2105087969567285</v>
      </c>
      <c r="U123" s="16">
        <f t="shared" si="269"/>
        <v>0.31469479950602153</v>
      </c>
      <c r="V123" s="16">
        <f t="shared" si="269"/>
        <v>0.31643384953031578</v>
      </c>
      <c r="W123" s="16">
        <f t="shared" si="269"/>
        <v>0.27572991193156554</v>
      </c>
      <c r="X123" s="16">
        <f t="shared" si="269"/>
        <v>0.30432389669562898</v>
      </c>
      <c r="Y123" s="16">
        <f t="shared" si="269"/>
        <v>0.30434582967751062</v>
      </c>
      <c r="Z123" s="16">
        <f t="shared" si="269"/>
        <v>0.30514128417651254</v>
      </c>
      <c r="AA123" s="16">
        <f t="shared" si="269"/>
        <v>0.31216157800699734</v>
      </c>
      <c r="AB123" s="16">
        <f t="shared" ref="AB123" si="270">-AB117/AB101</f>
        <v>0.30541925647644241</v>
      </c>
      <c r="AC123" s="16">
        <f t="shared" si="269"/>
        <v>0.30273050300174259</v>
      </c>
      <c r="AD123" s="16">
        <f t="shared" si="269"/>
        <v>0.30278225030646272</v>
      </c>
      <c r="AE123" s="16">
        <f t="shared" si="269"/>
        <v>0.30324021072401075</v>
      </c>
      <c r="AF123" s="16">
        <f t="shared" si="269"/>
        <v>0.30653317379278877</v>
      </c>
      <c r="AG123" s="16">
        <f t="shared" si="269"/>
        <v>0.30336887199810336</v>
      </c>
      <c r="AH123" s="16">
        <f t="shared" ref="AH123:AV123" si="271">-AH117/AH101</f>
        <v>0.30116388964807089</v>
      </c>
      <c r="AI123" s="16">
        <f t="shared" si="271"/>
        <v>0.30115364070272088</v>
      </c>
      <c r="AJ123" s="16">
        <f t="shared" si="271"/>
        <v>0.30135155014674708</v>
      </c>
      <c r="AK123" s="16">
        <f t="shared" si="271"/>
        <v>0.30254992101513206</v>
      </c>
      <c r="AL123" s="16">
        <f t="shared" si="271"/>
        <v>0.30139954625864984</v>
      </c>
      <c r="AM123" s="16">
        <f t="shared" si="271"/>
        <v>0.299726841247273</v>
      </c>
      <c r="AN123" s="16">
        <f t="shared" si="271"/>
        <v>0.29972889625020849</v>
      </c>
      <c r="AO123" s="16">
        <f t="shared" si="271"/>
        <v>0.2996894414112567</v>
      </c>
      <c r="AP123" s="16">
        <f t="shared" si="271"/>
        <v>0.29945744019067744</v>
      </c>
      <c r="AQ123" s="16">
        <f t="shared" si="271"/>
        <v>0.29967774729032115</v>
      </c>
      <c r="AR123" s="16">
        <f t="shared" si="271"/>
        <v>0.29848196097974217</v>
      </c>
      <c r="AS123" s="16">
        <f t="shared" si="271"/>
        <v>0.29849502925134913</v>
      </c>
      <c r="AT123" s="16">
        <f t="shared" si="271"/>
        <v>0.29830255042800258</v>
      </c>
      <c r="AU123" s="16">
        <f t="shared" si="271"/>
        <v>0.29722427436889581</v>
      </c>
      <c r="AV123" s="16">
        <f t="shared" si="271"/>
        <v>0.29823989726237066</v>
      </c>
      <c r="AW123" s="209">
        <v>0.3</v>
      </c>
      <c r="AX123" s="209">
        <v>0.3</v>
      </c>
      <c r="AY123" s="209">
        <v>0.3</v>
      </c>
      <c r="AZ123" s="209">
        <v>0.3</v>
      </c>
      <c r="BA123" s="16">
        <f t="shared" ref="BA123:BF123" si="272">-BA117/BA101</f>
        <v>0.29999999999999993</v>
      </c>
      <c r="BB123" s="209">
        <v>0.3</v>
      </c>
      <c r="BC123" s="209">
        <v>0.3</v>
      </c>
      <c r="BD123" s="209">
        <v>0.3</v>
      </c>
      <c r="BE123" s="209">
        <v>0.3</v>
      </c>
      <c r="BF123" s="16">
        <f t="shared" si="272"/>
        <v>0.3</v>
      </c>
    </row>
    <row r="124" spans="1:58">
      <c r="A124" s="5" t="s">
        <v>708</v>
      </c>
      <c r="I124" s="21"/>
      <c r="J124" s="21"/>
      <c r="K124" s="21"/>
      <c r="L124" s="21"/>
      <c r="M124" s="21"/>
      <c r="N124" s="16">
        <f>-N118/N102</f>
        <v>0.21328671328671331</v>
      </c>
      <c r="O124" s="16">
        <f t="shared" ref="O124:AG125" si="273">-O118/O102</f>
        <v>0.25</v>
      </c>
      <c r="P124" s="16">
        <f t="shared" si="273"/>
        <v>0.20175438596491227</v>
      </c>
      <c r="Q124" s="16">
        <f t="shared" si="273"/>
        <v>0.3999999999999917</v>
      </c>
      <c r="R124" s="16">
        <f t="shared" si="273"/>
        <v>0.21908992049150774</v>
      </c>
      <c r="S124" s="16">
        <f t="shared" si="273"/>
        <v>0.17322834645669283</v>
      </c>
      <c r="T124" s="16">
        <f t="shared" si="273"/>
        <v>7.5630252100840276E-2</v>
      </c>
      <c r="U124" s="16">
        <f t="shared" si="273"/>
        <v>0.4041095890410959</v>
      </c>
      <c r="V124" s="16">
        <f t="shared" si="273"/>
        <v>0.31698658607007968</v>
      </c>
      <c r="W124" s="16">
        <f t="shared" si="273"/>
        <v>0.39009358759464835</v>
      </c>
      <c r="X124" s="16">
        <f t="shared" si="273"/>
        <v>0.27350004444832171</v>
      </c>
      <c r="Y124" s="16">
        <f t="shared" si="273"/>
        <v>0.25979654014786668</v>
      </c>
      <c r="Z124" s="16">
        <f t="shared" si="273"/>
        <v>0.24162422161275612</v>
      </c>
      <c r="AA124" s="16">
        <f t="shared" si="273"/>
        <v>0.25135708660787154</v>
      </c>
      <c r="AB124" s="16">
        <f t="shared" ref="AB124" si="274">-AB118/AB102</f>
        <v>0.25491382267529544</v>
      </c>
      <c r="AC124" s="16">
        <f t="shared" si="273"/>
        <v>0.22792190940382545</v>
      </c>
      <c r="AD124" s="16">
        <f t="shared" si="273"/>
        <v>0.22163556812559512</v>
      </c>
      <c r="AE124" s="16">
        <f t="shared" si="273"/>
        <v>0.21942898000565805</v>
      </c>
      <c r="AF124" s="16">
        <f t="shared" si="273"/>
        <v>0.23055602121490987</v>
      </c>
      <c r="AG124" s="16">
        <f t="shared" si="273"/>
        <v>0.22458455265881863</v>
      </c>
      <c r="AH124" s="16">
        <f t="shared" ref="AH124:AV124" si="275">-AH118/AH102</f>
        <v>0.21706814392758714</v>
      </c>
      <c r="AI124" s="16">
        <f t="shared" si="275"/>
        <v>0.21076240809759644</v>
      </c>
      <c r="AJ124" s="16">
        <f t="shared" si="275"/>
        <v>0.20713661571393754</v>
      </c>
      <c r="AK124" s="16">
        <f t="shared" si="275"/>
        <v>0.21467084781999707</v>
      </c>
      <c r="AL124" s="16">
        <f t="shared" si="275"/>
        <v>0.21209840965778057</v>
      </c>
      <c r="AM124" s="16">
        <f t="shared" si="275"/>
        <v>0.20331023420975552</v>
      </c>
      <c r="AN124" s="16">
        <f t="shared" si="275"/>
        <v>0.19867061722909848</v>
      </c>
      <c r="AO124" s="16">
        <f t="shared" si="275"/>
        <v>0.19871003602418266</v>
      </c>
      <c r="AP124" s="16">
        <f t="shared" si="275"/>
        <v>0.20638329250444731</v>
      </c>
      <c r="AQ124" s="16">
        <f t="shared" si="275"/>
        <v>0.20157827642665907</v>
      </c>
      <c r="AR124" s="16">
        <f t="shared" si="275"/>
        <v>0.19734022386948022</v>
      </c>
      <c r="AS124" s="16">
        <f t="shared" si="275"/>
        <v>0.19310933866111121</v>
      </c>
      <c r="AT124" s="16">
        <f t="shared" si="275"/>
        <v>0.19350656402554248</v>
      </c>
      <c r="AU124" s="16">
        <f t="shared" si="275"/>
        <v>0.20045564110193875</v>
      </c>
      <c r="AV124" s="16">
        <f t="shared" si="275"/>
        <v>0.19593044759896569</v>
      </c>
      <c r="AW124" s="16">
        <f t="shared" ref="AW124:BF125" si="276">-AW118/AW102</f>
        <v>0.19321316049042797</v>
      </c>
      <c r="AX124" s="16">
        <f t="shared" si="276"/>
        <v>0.18928681325234678</v>
      </c>
      <c r="AY124" s="16">
        <f t="shared" si="276"/>
        <v>0.19000141404605989</v>
      </c>
      <c r="AZ124" s="16">
        <f t="shared" si="276"/>
        <v>0.1968063122904562</v>
      </c>
      <c r="BA124" s="16">
        <f t="shared" si="276"/>
        <v>0.19215181268195217</v>
      </c>
      <c r="BB124" s="209">
        <v>0.17499999999999999</v>
      </c>
      <c r="BC124" s="209">
        <v>0.17499999999999999</v>
      </c>
      <c r="BD124" s="209">
        <v>0.17499999999999999</v>
      </c>
      <c r="BE124" s="209">
        <v>0.17499999999999999</v>
      </c>
      <c r="BF124" s="16">
        <f t="shared" si="276"/>
        <v>0.17500000000000002</v>
      </c>
    </row>
    <row r="125" spans="1:58">
      <c r="A125" s="5" t="s">
        <v>192</v>
      </c>
      <c r="I125" s="21"/>
      <c r="J125" s="21"/>
      <c r="K125" s="21"/>
      <c r="L125" s="21"/>
      <c r="M125" s="21"/>
      <c r="N125" s="16">
        <f t="shared" ref="N125:U125" si="277">-N119/(N106-SUM(N101:N102))</f>
        <v>0.80426685131615272</v>
      </c>
      <c r="O125" s="16">
        <f t="shared" si="277"/>
        <v>0.77608548954697509</v>
      </c>
      <c r="P125" s="16">
        <f t="shared" si="277"/>
        <v>0.20471613062574512</v>
      </c>
      <c r="Q125" s="16">
        <f t="shared" si="277"/>
        <v>-1.5430247993793837</v>
      </c>
      <c r="R125" s="16">
        <f t="shared" si="277"/>
        <v>7.7436543824814463E-2</v>
      </c>
      <c r="S125" s="16">
        <f t="shared" si="277"/>
        <v>-0.13997767620652932</v>
      </c>
      <c r="T125" s="16">
        <f t="shared" si="277"/>
        <v>-6.1192798420968888E-3</v>
      </c>
      <c r="U125" s="16">
        <f t="shared" si="277"/>
        <v>0.12255714398744061</v>
      </c>
      <c r="V125" s="209">
        <v>0.1</v>
      </c>
      <c r="W125" s="16">
        <f t="shared" si="273"/>
        <v>-1.7094881364969343</v>
      </c>
      <c r="X125" s="209">
        <v>0.1</v>
      </c>
      <c r="Y125" s="209">
        <v>0.1</v>
      </c>
      <c r="Z125" s="209">
        <v>0.1</v>
      </c>
      <c r="AA125" s="209">
        <v>0.1</v>
      </c>
      <c r="AB125" s="16">
        <f t="shared" ref="AB125" si="278">-AB119/AB103</f>
        <v>8.5518683640310206E-2</v>
      </c>
      <c r="AC125" s="209">
        <v>0.1</v>
      </c>
      <c r="AD125" s="209">
        <v>0.1</v>
      </c>
      <c r="AE125" s="209">
        <v>0.1</v>
      </c>
      <c r="AF125" s="209">
        <v>0.1</v>
      </c>
      <c r="AG125" s="16">
        <f t="shared" si="273"/>
        <v>-0.13254269328090407</v>
      </c>
      <c r="AH125" s="209">
        <v>0.1</v>
      </c>
      <c r="AI125" s="209">
        <v>0.1</v>
      </c>
      <c r="AJ125" s="209">
        <v>0.1</v>
      </c>
      <c r="AK125" s="209">
        <v>0.1</v>
      </c>
      <c r="AL125" s="16" t="e">
        <f t="shared" ref="AL125" si="279">-AL119/AL103</f>
        <v>#VALUE!</v>
      </c>
      <c r="AM125" s="209">
        <v>0.1</v>
      </c>
      <c r="AN125" s="209">
        <v>0.1</v>
      </c>
      <c r="AO125" s="209">
        <v>0.1</v>
      </c>
      <c r="AP125" s="209">
        <v>0.1</v>
      </c>
      <c r="AQ125" s="16" t="e">
        <f t="shared" ref="AQ125" si="280">-AQ119/AQ103</f>
        <v>#VALUE!</v>
      </c>
      <c r="AR125" s="209">
        <v>0.1</v>
      </c>
      <c r="AS125" s="209">
        <v>0.1</v>
      </c>
      <c r="AT125" s="209">
        <v>0.1</v>
      </c>
      <c r="AU125" s="209">
        <v>0.1</v>
      </c>
      <c r="AV125" s="16" t="e">
        <f t="shared" ref="AV125" si="281">-AV119/AV103</f>
        <v>#VALUE!</v>
      </c>
      <c r="AW125" s="209">
        <v>0.1</v>
      </c>
      <c r="AX125" s="209">
        <v>0.1</v>
      </c>
      <c r="AY125" s="209">
        <v>0.1</v>
      </c>
      <c r="AZ125" s="209">
        <v>0.1</v>
      </c>
      <c r="BA125" s="16" t="e">
        <f t="shared" si="276"/>
        <v>#VALUE!</v>
      </c>
      <c r="BB125" s="209">
        <v>0.1</v>
      </c>
      <c r="BC125" s="209">
        <v>0.1</v>
      </c>
      <c r="BD125" s="209">
        <v>0.1</v>
      </c>
      <c r="BE125" s="209">
        <v>0.1</v>
      </c>
      <c r="BF125" s="16" t="e">
        <f t="shared" si="276"/>
        <v>#VALUE!</v>
      </c>
    </row>
    <row r="126" spans="1:58">
      <c r="A126" s="9" t="s">
        <v>2169</v>
      </c>
      <c r="B126" s="9"/>
      <c r="C126" s="9"/>
      <c r="D126" s="9"/>
      <c r="E126" s="9"/>
      <c r="F126" s="9"/>
      <c r="G126" s="9"/>
      <c r="H126" s="9"/>
      <c r="I126" s="17">
        <f t="shared" ref="I126:W126" si="282">-I120/I106</f>
        <v>0.27841402329478721</v>
      </c>
      <c r="J126" s="17">
        <f t="shared" si="282"/>
        <v>-0.39413540143458231</v>
      </c>
      <c r="K126" s="17">
        <f t="shared" si="282"/>
        <v>0.68556561013672224</v>
      </c>
      <c r="L126" s="17">
        <f t="shared" si="282"/>
        <v>-3.3674129847368656E-3</v>
      </c>
      <c r="M126" s="17">
        <f t="shared" si="282"/>
        <v>-0.68127402071387666</v>
      </c>
      <c r="N126" s="17">
        <f t="shared" si="282"/>
        <v>0.84231249933560215</v>
      </c>
      <c r="O126" s="17">
        <f t="shared" si="282"/>
        <v>0.75227407058844531</v>
      </c>
      <c r="P126" s="17">
        <f t="shared" si="282"/>
        <v>0.27188148412574464</v>
      </c>
      <c r="Q126" s="17">
        <f t="shared" si="282"/>
        <v>-1.9721257468312021</v>
      </c>
      <c r="R126" s="17">
        <f t="shared" si="282"/>
        <v>-0.25252223811462565</v>
      </c>
      <c r="S126" s="17">
        <f t="shared" si="282"/>
        <v>-0.79457870302053424</v>
      </c>
      <c r="T126" s="17">
        <f t="shared" si="282"/>
        <v>-7.8946324759207417E-2</v>
      </c>
      <c r="U126" s="17">
        <f t="shared" si="282"/>
        <v>0.15879214682031584</v>
      </c>
      <c r="V126" s="17">
        <f t="shared" si="282"/>
        <v>-9.9874247178362796E-2</v>
      </c>
      <c r="W126" s="17">
        <f t="shared" si="282"/>
        <v>2.3694696226624745</v>
      </c>
      <c r="X126" s="17">
        <f t="shared" ref="X126:AB126" si="283">-X120/X106</f>
        <v>0.59987723782171176</v>
      </c>
      <c r="Y126" s="17">
        <f t="shared" si="283"/>
        <v>0.14352995425531004</v>
      </c>
      <c r="Z126" s="17">
        <f t="shared" si="283"/>
        <v>-0.16231776775226239</v>
      </c>
      <c r="AA126" s="17">
        <f t="shared" si="283"/>
        <v>0.16029349913295785</v>
      </c>
      <c r="AB126" s="17">
        <f t="shared" si="283"/>
        <v>0.21429786412639723</v>
      </c>
      <c r="AC126" s="17">
        <f t="shared" ref="AC126:AG126" si="284">-AC120/AC106</f>
        <v>0.17795882640255101</v>
      </c>
      <c r="AD126" s="17">
        <f t="shared" si="284"/>
        <v>0.11860313114274609</v>
      </c>
      <c r="AE126" s="17">
        <f t="shared" si="284"/>
        <v>0.1891335083246255</v>
      </c>
      <c r="AF126" s="17">
        <f t="shared" si="284"/>
        <v>4.749107142718454E-3</v>
      </c>
      <c r="AG126" s="17">
        <f t="shared" si="284"/>
        <v>0.29677066178502554</v>
      </c>
      <c r="AH126" s="17" t="e">
        <f t="shared" ref="AH126:AV126" si="285">-AH120/AH106</f>
        <v>#VALUE!</v>
      </c>
      <c r="AI126" s="17" t="e">
        <f t="shared" si="285"/>
        <v>#VALUE!</v>
      </c>
      <c r="AJ126" s="17" t="e">
        <f t="shared" si="285"/>
        <v>#VALUE!</v>
      </c>
      <c r="AK126" s="17" t="e">
        <f t="shared" si="285"/>
        <v>#VALUE!</v>
      </c>
      <c r="AL126" s="17" t="e">
        <f t="shared" si="285"/>
        <v>#VALUE!</v>
      </c>
      <c r="AM126" s="17" t="e">
        <f t="shared" si="285"/>
        <v>#VALUE!</v>
      </c>
      <c r="AN126" s="17" t="e">
        <f t="shared" si="285"/>
        <v>#VALUE!</v>
      </c>
      <c r="AO126" s="17" t="e">
        <f t="shared" si="285"/>
        <v>#VALUE!</v>
      </c>
      <c r="AP126" s="17" t="e">
        <f t="shared" si="285"/>
        <v>#VALUE!</v>
      </c>
      <c r="AQ126" s="17" t="e">
        <f t="shared" si="285"/>
        <v>#VALUE!</v>
      </c>
      <c r="AR126" s="17" t="e">
        <f t="shared" si="285"/>
        <v>#VALUE!</v>
      </c>
      <c r="AS126" s="17" t="e">
        <f t="shared" si="285"/>
        <v>#VALUE!</v>
      </c>
      <c r="AT126" s="17" t="e">
        <f t="shared" si="285"/>
        <v>#VALUE!</v>
      </c>
      <c r="AU126" s="17" t="e">
        <f t="shared" si="285"/>
        <v>#VALUE!</v>
      </c>
      <c r="AV126" s="17" t="e">
        <f t="shared" si="285"/>
        <v>#VALUE!</v>
      </c>
      <c r="AW126" s="17" t="e">
        <f t="shared" ref="AW126:BF126" si="286">-AW120/AW106</f>
        <v>#VALUE!</v>
      </c>
      <c r="AX126" s="17" t="e">
        <f t="shared" si="286"/>
        <v>#VALUE!</v>
      </c>
      <c r="AY126" s="17" t="e">
        <f t="shared" si="286"/>
        <v>#VALUE!</v>
      </c>
      <c r="AZ126" s="17" t="e">
        <f t="shared" si="286"/>
        <v>#VALUE!</v>
      </c>
      <c r="BA126" s="17" t="e">
        <f t="shared" si="286"/>
        <v>#VALUE!</v>
      </c>
      <c r="BB126" s="17" t="e">
        <f t="shared" si="286"/>
        <v>#VALUE!</v>
      </c>
      <c r="BC126" s="17" t="e">
        <f t="shared" si="286"/>
        <v>#VALUE!</v>
      </c>
      <c r="BD126" s="17" t="e">
        <f t="shared" si="286"/>
        <v>#VALUE!</v>
      </c>
      <c r="BE126" s="17" t="e">
        <f t="shared" si="286"/>
        <v>#VALUE!</v>
      </c>
      <c r="BF126" s="17" t="e">
        <f t="shared" si="286"/>
        <v>#VALUE!</v>
      </c>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2DF9E-8ED2-414F-8E92-4E823B3ADD2E}">
  <sheetPr codeName="Sheet8"/>
  <dimension ref="A1:BZ171"/>
  <sheetViews>
    <sheetView zoomScale="90" zoomScaleNormal="90" workbookViewId="0">
      <pane xSplit="8" ySplit="2" topLeftCell="AH3" activePane="bottomRight" state="frozen"/>
      <selection pane="topRight" activeCell="I1" sqref="I1"/>
      <selection pane="bottomLeft" activeCell="A3" sqref="A3"/>
      <selection pane="bottomRight"/>
    </sheetView>
  </sheetViews>
  <sheetFormatPr defaultColWidth="9.140625" defaultRowHeight="12" outlineLevelCol="1"/>
  <cols>
    <col min="1" max="1" width="9.140625" style="1"/>
    <col min="2" max="2" width="25.7109375" style="1" customWidth="1"/>
    <col min="3" max="8" width="9.140625" style="1"/>
    <col min="9" max="12" width="11.42578125" style="1" customWidth="1" outlineLevel="1"/>
    <col min="13" max="13" width="11.42578125" style="1" customWidth="1"/>
    <col min="14" max="17" width="11.42578125" style="1" customWidth="1" outlineLevel="1"/>
    <col min="18" max="18" width="11.42578125" style="1" customWidth="1"/>
    <col min="19" max="22" width="11.42578125" style="1" customWidth="1" outlineLevel="1"/>
    <col min="23" max="23" width="11.42578125" style="1" customWidth="1"/>
    <col min="24" max="27" width="11.42578125" style="1" customWidth="1" outlineLevel="1"/>
    <col min="28" max="28" width="11.42578125" style="1" customWidth="1"/>
    <col min="29" max="32" width="11.42578125" style="1" customWidth="1" outlineLevel="1"/>
    <col min="33" max="33" width="11.42578125" style="1" customWidth="1"/>
    <col min="34" max="37" width="11.42578125" style="1" customWidth="1" outlineLevel="1"/>
    <col min="38" max="38" width="11.42578125" style="1" customWidth="1"/>
    <col min="39" max="42" width="11.42578125" style="1" customWidth="1" outlineLevel="1"/>
    <col min="43" max="43" width="11.42578125" style="1" customWidth="1"/>
    <col min="44" max="47" width="11.42578125" style="1" customWidth="1" outlineLevel="1"/>
    <col min="48" max="48" width="11.42578125" style="1" customWidth="1"/>
    <col min="49" max="52" width="11.42578125" style="1" customWidth="1" outlineLevel="1"/>
    <col min="53" max="53" width="11.42578125" style="1" customWidth="1"/>
    <col min="54" max="57" width="11.42578125" style="1" customWidth="1" outlineLevel="1"/>
    <col min="58" max="58" width="11.42578125" style="1" customWidth="1"/>
    <col min="59" max="62" width="11.42578125" style="1" customWidth="1" outlineLevel="1"/>
    <col min="63" max="63" width="11.42578125" style="1" customWidth="1"/>
    <col min="64" max="67" width="11.42578125" style="1" customWidth="1" outlineLevel="1"/>
    <col min="68" max="68" width="11.42578125" style="1" customWidth="1"/>
    <col min="69" max="72" width="11.42578125" style="1" customWidth="1" outlineLevel="1"/>
    <col min="73" max="73" width="11.42578125" style="1" customWidth="1"/>
    <col min="74" max="77" width="11.42578125" style="1" customWidth="1" outlineLevel="1"/>
    <col min="78" max="78" width="11.42578125" style="1" customWidth="1"/>
    <col min="79" max="16384" width="9.140625" style="1"/>
  </cols>
  <sheetData>
    <row r="1" spans="1:78" s="2" customFormat="1">
      <c r="A1" s="2" t="s">
        <v>0</v>
      </c>
      <c r="I1" s="43" t="s">
        <v>160</v>
      </c>
      <c r="J1" s="43" t="s">
        <v>161</v>
      </c>
      <c r="K1" s="43" t="s">
        <v>162</v>
      </c>
      <c r="M1" s="18" t="s">
        <v>159</v>
      </c>
      <c r="N1" s="43" t="s">
        <v>150</v>
      </c>
      <c r="O1" s="43" t="s">
        <v>151</v>
      </c>
      <c r="P1" s="43" t="s">
        <v>152</v>
      </c>
      <c r="R1" s="18" t="s">
        <v>153</v>
      </c>
      <c r="S1" s="43" t="s">
        <v>146</v>
      </c>
      <c r="T1" s="43" t="s">
        <v>147</v>
      </c>
      <c r="U1" s="43" t="s">
        <v>148</v>
      </c>
      <c r="W1" s="18" t="s">
        <v>149</v>
      </c>
      <c r="X1" s="43" t="s">
        <v>142</v>
      </c>
      <c r="Y1" s="43" t="s">
        <v>143</v>
      </c>
      <c r="Z1" s="43" t="s">
        <v>144</v>
      </c>
      <c r="AB1" s="18" t="s">
        <v>145</v>
      </c>
      <c r="AC1" s="43" t="s">
        <v>138</v>
      </c>
      <c r="AD1" s="43" t="s">
        <v>139</v>
      </c>
      <c r="AE1" s="43" t="s">
        <v>140</v>
      </c>
      <c r="AG1" s="18" t="s">
        <v>141</v>
      </c>
      <c r="AH1" s="43" t="s">
        <v>126</v>
      </c>
      <c r="AI1" s="43" t="s">
        <v>127</v>
      </c>
      <c r="AJ1" s="43" t="s">
        <v>128</v>
      </c>
      <c r="AL1" s="18" t="s">
        <v>79</v>
      </c>
      <c r="AM1" s="43" t="s">
        <v>129</v>
      </c>
      <c r="AN1" s="43" t="s">
        <v>130</v>
      </c>
      <c r="AO1" s="43" t="s">
        <v>131</v>
      </c>
      <c r="AQ1" s="18" t="s">
        <v>90</v>
      </c>
      <c r="AR1" s="43" t="s">
        <v>700</v>
      </c>
      <c r="AS1" s="43" t="s">
        <v>701</v>
      </c>
      <c r="AT1" s="43" t="s">
        <v>702</v>
      </c>
      <c r="AV1" s="18" t="s">
        <v>699</v>
      </c>
      <c r="AW1" s="43" t="s">
        <v>1177</v>
      </c>
      <c r="AX1" s="43" t="s">
        <v>1178</v>
      </c>
      <c r="AY1" s="43" t="s">
        <v>1179</v>
      </c>
      <c r="BA1" s="18" t="s">
        <v>1180</v>
      </c>
      <c r="BB1" s="43" t="s">
        <v>1189</v>
      </c>
      <c r="BC1" s="43" t="s">
        <v>1190</v>
      </c>
      <c r="BD1" s="43" t="s">
        <v>1191</v>
      </c>
      <c r="BF1" s="18" t="s">
        <v>1198</v>
      </c>
      <c r="BG1" s="43" t="s">
        <v>1192</v>
      </c>
      <c r="BH1" s="43" t="s">
        <v>1199</v>
      </c>
      <c r="BI1" s="43" t="s">
        <v>1200</v>
      </c>
      <c r="BK1" s="18" t="s">
        <v>1209</v>
      </c>
      <c r="BL1" s="43" t="s">
        <v>1201</v>
      </c>
      <c r="BM1" s="43" t="s">
        <v>1203</v>
      </c>
      <c r="BN1" s="43" t="s">
        <v>1205</v>
      </c>
      <c r="BP1" s="18" t="s">
        <v>1210</v>
      </c>
      <c r="BQ1" s="43" t="s">
        <v>1211</v>
      </c>
      <c r="BR1" s="43" t="s">
        <v>1213</v>
      </c>
      <c r="BS1" s="43" t="s">
        <v>1215</v>
      </c>
      <c r="BU1" s="18" t="s">
        <v>1219</v>
      </c>
      <c r="BV1" s="43" t="s">
        <v>1211</v>
      </c>
      <c r="BW1" s="43" t="s">
        <v>1213</v>
      </c>
      <c r="BX1" s="43" t="s">
        <v>1215</v>
      </c>
      <c r="BZ1" s="18" t="s">
        <v>1220</v>
      </c>
    </row>
    <row r="2" spans="1:78" s="2" customFormat="1">
      <c r="A2" s="2" t="s">
        <v>2</v>
      </c>
      <c r="I2" s="6" t="s">
        <v>194</v>
      </c>
      <c r="J2" s="6" t="s">
        <v>195</v>
      </c>
      <c r="K2" s="6" t="s">
        <v>196</v>
      </c>
      <c r="L2" s="6" t="s">
        <v>197</v>
      </c>
      <c r="M2" s="6" t="s">
        <v>198</v>
      </c>
      <c r="N2" s="6" t="s">
        <v>163</v>
      </c>
      <c r="O2" s="6" t="s">
        <v>164</v>
      </c>
      <c r="P2" s="6" t="s">
        <v>165</v>
      </c>
      <c r="Q2" s="6" t="s">
        <v>166</v>
      </c>
      <c r="R2" s="6" t="s">
        <v>167</v>
      </c>
      <c r="S2" s="6" t="s">
        <v>154</v>
      </c>
      <c r="T2" s="6" t="s">
        <v>155</v>
      </c>
      <c r="U2" s="6" t="s">
        <v>156</v>
      </c>
      <c r="V2" s="6" t="s">
        <v>157</v>
      </c>
      <c r="W2" s="6" t="s">
        <v>158</v>
      </c>
      <c r="X2" s="6" t="s">
        <v>133</v>
      </c>
      <c r="Y2" s="6" t="s">
        <v>134</v>
      </c>
      <c r="Z2" s="6" t="s">
        <v>135</v>
      </c>
      <c r="AA2" s="6" t="s">
        <v>136</v>
      </c>
      <c r="AB2" s="6" t="s">
        <v>137</v>
      </c>
      <c r="AC2" s="6" t="s">
        <v>74</v>
      </c>
      <c r="AD2" s="6" t="s">
        <v>75</v>
      </c>
      <c r="AE2" s="6" t="s">
        <v>76</v>
      </c>
      <c r="AF2" s="6" t="s">
        <v>77</v>
      </c>
      <c r="AG2" s="6" t="s">
        <v>78</v>
      </c>
      <c r="AH2" s="6" t="s">
        <v>10</v>
      </c>
      <c r="AI2" s="6" t="s">
        <v>11</v>
      </c>
      <c r="AJ2" s="6" t="s">
        <v>12</v>
      </c>
      <c r="AK2" s="6" t="s">
        <v>13</v>
      </c>
      <c r="AL2" s="6" t="s">
        <v>14</v>
      </c>
      <c r="AM2" s="6" t="s">
        <v>91</v>
      </c>
      <c r="AN2" s="6" t="s">
        <v>92</v>
      </c>
      <c r="AO2" s="6" t="s">
        <v>93</v>
      </c>
      <c r="AP2" s="6" t="s">
        <v>94</v>
      </c>
      <c r="AQ2" s="6" t="s">
        <v>95</v>
      </c>
      <c r="AR2" s="6" t="s">
        <v>686</v>
      </c>
      <c r="AS2" s="6" t="s">
        <v>695</v>
      </c>
      <c r="AT2" s="6" t="s">
        <v>696</v>
      </c>
      <c r="AU2" s="6" t="s">
        <v>697</v>
      </c>
      <c r="AV2" s="6" t="s">
        <v>698</v>
      </c>
      <c r="AW2" s="6" t="s">
        <v>1172</v>
      </c>
      <c r="AX2" s="6" t="s">
        <v>1173</v>
      </c>
      <c r="AY2" s="6" t="s">
        <v>1174</v>
      </c>
      <c r="AZ2" s="6" t="s">
        <v>1175</v>
      </c>
      <c r="BA2" s="6" t="s">
        <v>1176</v>
      </c>
      <c r="BB2" s="6" t="s">
        <v>1184</v>
      </c>
      <c r="BC2" s="6" t="s">
        <v>1185</v>
      </c>
      <c r="BD2" s="6" t="s">
        <v>1186</v>
      </c>
      <c r="BE2" s="6" t="s">
        <v>1187</v>
      </c>
      <c r="BF2" s="6" t="s">
        <v>1188</v>
      </c>
      <c r="BG2" s="6" t="s">
        <v>1193</v>
      </c>
      <c r="BH2" s="6" t="s">
        <v>1194</v>
      </c>
      <c r="BI2" s="6" t="s">
        <v>1195</v>
      </c>
      <c r="BJ2" s="6" t="s">
        <v>1196</v>
      </c>
      <c r="BK2" s="6" t="s">
        <v>1197</v>
      </c>
      <c r="BL2" s="6" t="s">
        <v>1202</v>
      </c>
      <c r="BM2" s="6" t="s">
        <v>1204</v>
      </c>
      <c r="BN2" s="6" t="s">
        <v>1206</v>
      </c>
      <c r="BO2" s="6" t="s">
        <v>1207</v>
      </c>
      <c r="BP2" s="6" t="s">
        <v>1208</v>
      </c>
      <c r="BQ2" s="6" t="s">
        <v>1212</v>
      </c>
      <c r="BR2" s="6" t="s">
        <v>1214</v>
      </c>
      <c r="BS2" s="6" t="s">
        <v>1216</v>
      </c>
      <c r="BT2" s="6" t="s">
        <v>1217</v>
      </c>
      <c r="BU2" s="6" t="s">
        <v>1218</v>
      </c>
      <c r="BV2" s="6" t="s">
        <v>1221</v>
      </c>
      <c r="BW2" s="6" t="s">
        <v>1222</v>
      </c>
      <c r="BX2" s="6" t="s">
        <v>1223</v>
      </c>
      <c r="BY2" s="6" t="s">
        <v>1224</v>
      </c>
      <c r="BZ2" s="6" t="s">
        <v>1225</v>
      </c>
    </row>
    <row r="4" spans="1:78" s="2" customFormat="1">
      <c r="A4" s="4" t="s">
        <v>1910</v>
      </c>
    </row>
    <row r="6" spans="1:78">
      <c r="A6" s="1" t="s">
        <v>1401</v>
      </c>
      <c r="I6" s="36"/>
      <c r="J6" s="36"/>
      <c r="K6" s="36"/>
      <c r="L6" s="36"/>
      <c r="M6" s="36"/>
      <c r="N6" s="36"/>
      <c r="O6" s="36"/>
      <c r="P6" s="36"/>
      <c r="Q6" s="36"/>
      <c r="R6" s="36"/>
      <c r="S6" s="36"/>
      <c r="T6" s="36"/>
      <c r="U6" s="36"/>
      <c r="V6" s="36"/>
      <c r="W6" s="36"/>
      <c r="X6" s="36"/>
      <c r="Y6" s="36"/>
      <c r="Z6" s="36"/>
      <c r="AA6" s="36"/>
      <c r="AB6" s="36">
        <f>AB62*AB$54</f>
        <v>215019.0925</v>
      </c>
      <c r="AC6" s="36">
        <f t="shared" ref="AC6:BT6" si="0">AC62*AC$54</f>
        <v>74250</v>
      </c>
      <c r="AD6" s="36">
        <f t="shared" si="0"/>
        <v>87050.36</v>
      </c>
      <c r="AE6" s="36">
        <f t="shared" si="0"/>
        <v>66001.599999999991</v>
      </c>
      <c r="AF6" s="36">
        <f t="shared" si="0"/>
        <v>76934.7</v>
      </c>
      <c r="AG6" s="36">
        <f>SUM(AC6:AF6)</f>
        <v>304236.65999999997</v>
      </c>
      <c r="AH6" s="36">
        <f t="shared" si="0"/>
        <v>89295.679999999993</v>
      </c>
      <c r="AI6" s="36">
        <f t="shared" si="0"/>
        <v>87368.400000000009</v>
      </c>
      <c r="AJ6" s="36">
        <f t="shared" si="0"/>
        <v>102199.84</v>
      </c>
      <c r="AK6" s="36">
        <f t="shared" si="0"/>
        <v>84353.579999999987</v>
      </c>
      <c r="AL6" s="36">
        <f>SUM(AH6:AK6)</f>
        <v>363217.5</v>
      </c>
      <c r="AM6" s="36">
        <f t="shared" si="0"/>
        <v>93224.250000000015</v>
      </c>
      <c r="AN6" s="36">
        <f t="shared" si="0"/>
        <v>117224.64</v>
      </c>
      <c r="AO6" s="36">
        <f t="shared" si="0"/>
        <v>121128</v>
      </c>
      <c r="AP6" s="36">
        <f t="shared" si="0"/>
        <v>127767.55038075001</v>
      </c>
      <c r="AQ6" s="36">
        <f>SUM(AM6:AP6)</f>
        <v>459344.44038074999</v>
      </c>
      <c r="AR6" s="36">
        <f t="shared" si="0"/>
        <v>143468.31306087499</v>
      </c>
      <c r="AS6" s="36">
        <f t="shared" si="0"/>
        <v>146532.26877959998</v>
      </c>
      <c r="AT6" s="36">
        <f t="shared" si="0"/>
        <v>159417.71585765999</v>
      </c>
      <c r="AU6" s="36">
        <f t="shared" si="0"/>
        <v>158533.47211498476</v>
      </c>
      <c r="AV6" s="36">
        <f>SUM(AR6:AU6)</f>
        <v>607951.76981311967</v>
      </c>
      <c r="AW6" s="36">
        <f t="shared" si="0"/>
        <v>162658.43593329442</v>
      </c>
      <c r="AX6" s="36">
        <f t="shared" si="0"/>
        <v>176389.68689729361</v>
      </c>
      <c r="AY6" s="36">
        <f t="shared" si="0"/>
        <v>193133.49549105088</v>
      </c>
      <c r="AZ6" s="36">
        <f t="shared" si="0"/>
        <v>187230.15685258116</v>
      </c>
      <c r="BA6" s="36">
        <f>SUM(AW6:AZ6)</f>
        <v>719411.77517422009</v>
      </c>
      <c r="BB6" s="36">
        <f t="shared" si="0"/>
        <v>196405.89147639429</v>
      </c>
      <c r="BC6" s="36">
        <f t="shared" si="0"/>
        <v>208960.92622110029</v>
      </c>
      <c r="BD6" s="36">
        <f t="shared" si="0"/>
        <v>220467.99174286652</v>
      </c>
      <c r="BE6" s="36">
        <f t="shared" si="0"/>
        <v>211647.8297993335</v>
      </c>
      <c r="BF6" s="36">
        <f>SUM(BB6:BE6)</f>
        <v>837482.63923969457</v>
      </c>
      <c r="BG6" s="36">
        <f t="shared" si="0"/>
        <v>224893.32594618053</v>
      </c>
      <c r="BH6" s="36">
        <f t="shared" si="0"/>
        <v>238022.19673619373</v>
      </c>
      <c r="BI6" s="36">
        <f t="shared" si="0"/>
        <v>244454.99390624405</v>
      </c>
      <c r="BJ6" s="36">
        <f t="shared" si="0"/>
        <v>230440.50088029244</v>
      </c>
      <c r="BK6" s="36">
        <f>SUM(BG6:BJ6)</f>
        <v>937811.01746891066</v>
      </c>
      <c r="BL6" s="36">
        <f t="shared" si="0"/>
        <v>245273.4869074616</v>
      </c>
      <c r="BM6" s="36">
        <f t="shared" si="0"/>
        <v>260098.52352545495</v>
      </c>
      <c r="BN6" s="36">
        <f t="shared" si="0"/>
        <v>266368.26471185323</v>
      </c>
      <c r="BO6" s="36">
        <f t="shared" si="0"/>
        <v>249702.3597034789</v>
      </c>
      <c r="BP6" s="36">
        <f>SUM(BL6:BO6)</f>
        <v>1021442.6348482487</v>
      </c>
      <c r="BQ6" s="36">
        <f t="shared" si="0"/>
        <v>265752.30690031435</v>
      </c>
      <c r="BR6" s="36">
        <f t="shared" si="0"/>
        <v>281183.76454010507</v>
      </c>
      <c r="BS6" s="36">
        <f t="shared" si="0"/>
        <v>286217.10890117468</v>
      </c>
      <c r="BT6" s="36">
        <f t="shared" si="0"/>
        <v>266099.82491380448</v>
      </c>
      <c r="BU6" s="36">
        <f>SUM(BQ6:BT6)</f>
        <v>1099253.0052553986</v>
      </c>
      <c r="BV6" s="36"/>
      <c r="BW6" s="36"/>
      <c r="BX6" s="36"/>
      <c r="BY6" s="36"/>
      <c r="BZ6" s="36"/>
    </row>
    <row r="7" spans="1:78">
      <c r="A7" s="1" t="s">
        <v>28</v>
      </c>
    </row>
    <row r="9" spans="1:78">
      <c r="A9" s="1" t="s">
        <v>276</v>
      </c>
      <c r="I9" s="36"/>
      <c r="J9" s="36"/>
      <c r="K9" s="36"/>
      <c r="L9" s="36"/>
      <c r="M9" s="36"/>
      <c r="N9" s="36"/>
      <c r="O9" s="36"/>
      <c r="P9" s="36"/>
      <c r="Q9" s="36"/>
      <c r="R9" s="36"/>
      <c r="S9" s="36"/>
      <c r="T9" s="36"/>
      <c r="U9" s="36"/>
      <c r="V9" s="36"/>
      <c r="W9" s="36"/>
      <c r="X9" s="36"/>
      <c r="Y9" s="36"/>
      <c r="Z9" s="36"/>
      <c r="AA9" s="36"/>
      <c r="AB9" s="36">
        <f t="shared" ref="AB9:AO9" si="1">AB10-AB6</f>
        <v>-5171.0924999999988</v>
      </c>
      <c r="AC9" s="36">
        <f t="shared" si="1"/>
        <v>28</v>
      </c>
      <c r="AD9" s="36">
        <f t="shared" si="1"/>
        <v>26.639999999999418</v>
      </c>
      <c r="AE9" s="36">
        <f t="shared" si="1"/>
        <v>13.400000000008731</v>
      </c>
      <c r="AF9" s="36">
        <f t="shared" si="1"/>
        <v>-4291.6999999999971</v>
      </c>
      <c r="AG9" s="36">
        <f t="shared" si="1"/>
        <v>-4223.6599999999744</v>
      </c>
      <c r="AH9" s="36">
        <f t="shared" si="1"/>
        <v>3455.320000000007</v>
      </c>
      <c r="AI9" s="36">
        <f t="shared" si="1"/>
        <v>3585.5999999999913</v>
      </c>
      <c r="AJ9" s="36">
        <f t="shared" si="1"/>
        <v>3047.1600000000035</v>
      </c>
      <c r="AK9" s="36">
        <f t="shared" si="1"/>
        <v>8440.4200000000128</v>
      </c>
      <c r="AL9" s="36">
        <f t="shared" si="1"/>
        <v>18528.5</v>
      </c>
      <c r="AM9" s="36">
        <f t="shared" si="1"/>
        <v>-4722.2500000000146</v>
      </c>
      <c r="AN9" s="36">
        <f t="shared" si="1"/>
        <v>70.360000000000582</v>
      </c>
      <c r="AO9" s="36">
        <f t="shared" si="1"/>
        <v>-111</v>
      </c>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36"/>
      <c r="BW9" s="36"/>
      <c r="BX9" s="36"/>
      <c r="BY9" s="36"/>
      <c r="BZ9" s="36"/>
    </row>
    <row r="10" spans="1:78">
      <c r="A10" s="9" t="s">
        <v>1911</v>
      </c>
      <c r="B10" s="9"/>
      <c r="C10" s="9"/>
      <c r="D10" s="9"/>
      <c r="E10" s="9"/>
      <c r="F10" s="9"/>
      <c r="G10" s="9"/>
      <c r="H10" s="9"/>
      <c r="I10" s="67">
        <v>47037</v>
      </c>
      <c r="J10" s="67">
        <v>46639</v>
      </c>
      <c r="K10" s="67">
        <v>58746</v>
      </c>
      <c r="L10" s="67">
        <v>49922</v>
      </c>
      <c r="M10" s="39">
        <f>SUM(I10:L10)</f>
        <v>202344</v>
      </c>
      <c r="N10" s="67">
        <v>41534</v>
      </c>
      <c r="O10" s="67">
        <v>50159</v>
      </c>
      <c r="P10" s="67">
        <v>54426</v>
      </c>
      <c r="Q10" s="67">
        <v>56580</v>
      </c>
      <c r="R10" s="39">
        <f>SUM(N10:Q10)</f>
        <v>202699</v>
      </c>
      <c r="S10" s="67">
        <v>45931</v>
      </c>
      <c r="T10" s="67">
        <v>42614</v>
      </c>
      <c r="U10" s="67">
        <v>54463</v>
      </c>
      <c r="V10" s="67">
        <v>63644</v>
      </c>
      <c r="W10" s="39">
        <f>SUM(S10:V10)</f>
        <v>206652</v>
      </c>
      <c r="X10" s="67">
        <v>46175</v>
      </c>
      <c r="Y10" s="67">
        <v>53829</v>
      </c>
      <c r="Z10" s="67">
        <v>54745</v>
      </c>
      <c r="AA10" s="67">
        <v>55099</v>
      </c>
      <c r="AB10" s="39">
        <f>SUM(X10:AA10)</f>
        <v>209848</v>
      </c>
      <c r="AC10" s="67">
        <v>74278</v>
      </c>
      <c r="AD10" s="67">
        <v>87077</v>
      </c>
      <c r="AE10" s="67">
        <v>66015</v>
      </c>
      <c r="AF10" s="67">
        <v>72643</v>
      </c>
      <c r="AG10" s="39">
        <f>SUM(AC10:AF10)</f>
        <v>300013</v>
      </c>
      <c r="AH10" s="67">
        <v>92751</v>
      </c>
      <c r="AI10" s="67">
        <v>90954</v>
      </c>
      <c r="AJ10" s="67">
        <v>105247</v>
      </c>
      <c r="AK10" s="67">
        <v>92794</v>
      </c>
      <c r="AL10" s="39">
        <f>SUM(AH10:AK10)</f>
        <v>381746</v>
      </c>
      <c r="AM10" s="67">
        <v>88502</v>
      </c>
      <c r="AN10" s="67">
        <v>117295</v>
      </c>
      <c r="AO10" s="67">
        <v>121017</v>
      </c>
      <c r="AP10" s="39">
        <f>AP6+AP9</f>
        <v>127767.55038075001</v>
      </c>
      <c r="AQ10" s="39">
        <f>SUM(AM10:AP10)</f>
        <v>454581.55038074998</v>
      </c>
      <c r="AR10" s="39">
        <f>AR6+AR9</f>
        <v>143468.31306087499</v>
      </c>
      <c r="AS10" s="39">
        <f>AS6+AS9</f>
        <v>146532.26877959998</v>
      </c>
      <c r="AT10" s="39">
        <f>AT6+AT9</f>
        <v>159417.71585765999</v>
      </c>
      <c r="AU10" s="39">
        <f>AU6+AU9</f>
        <v>158533.47211498476</v>
      </c>
      <c r="AV10" s="39">
        <f>SUM(AR10:AU10)</f>
        <v>607951.76981311967</v>
      </c>
      <c r="AW10" s="39">
        <f>AW6+AW9</f>
        <v>162658.43593329442</v>
      </c>
      <c r="AX10" s="39">
        <f>AX6+AX9</f>
        <v>176389.68689729361</v>
      </c>
      <c r="AY10" s="39">
        <f>AY6+AY9</f>
        <v>193133.49549105088</v>
      </c>
      <c r="AZ10" s="39">
        <f>AZ6+AZ9</f>
        <v>187230.15685258116</v>
      </c>
      <c r="BA10" s="39">
        <f>SUM(AW10:AZ10)</f>
        <v>719411.77517422009</v>
      </c>
      <c r="BB10" s="39">
        <f>BB6+BB9</f>
        <v>196405.89147639429</v>
      </c>
      <c r="BC10" s="39">
        <f>BC6+BC9</f>
        <v>208960.92622110029</v>
      </c>
      <c r="BD10" s="39">
        <f>BD6+BD9</f>
        <v>220467.99174286652</v>
      </c>
      <c r="BE10" s="39">
        <f>BE6+BE9</f>
        <v>211647.8297993335</v>
      </c>
      <c r="BF10" s="39">
        <f>SUM(BB10:BE10)</f>
        <v>837482.63923969457</v>
      </c>
      <c r="BG10" s="39">
        <f>BG6+BG9</f>
        <v>224893.32594618053</v>
      </c>
      <c r="BH10" s="39">
        <f>BH6+BH9</f>
        <v>238022.19673619373</v>
      </c>
      <c r="BI10" s="39">
        <f>BI6+BI9</f>
        <v>244454.99390624405</v>
      </c>
      <c r="BJ10" s="39">
        <f>BJ6+BJ9</f>
        <v>230440.50088029244</v>
      </c>
      <c r="BK10" s="39">
        <f>SUM(BG10:BJ10)</f>
        <v>937811.01746891066</v>
      </c>
      <c r="BL10" s="39">
        <f>BL6+BL9</f>
        <v>245273.4869074616</v>
      </c>
      <c r="BM10" s="39">
        <f>BM6+BM9</f>
        <v>260098.52352545495</v>
      </c>
      <c r="BN10" s="39">
        <f>BN6+BN9</f>
        <v>266368.26471185323</v>
      </c>
      <c r="BO10" s="39">
        <f>BO6+BO9</f>
        <v>249702.3597034789</v>
      </c>
      <c r="BP10" s="39">
        <f>SUM(BL10:BO10)</f>
        <v>1021442.6348482487</v>
      </c>
      <c r="BQ10" s="39">
        <f>BQ6+BQ9</f>
        <v>265752.30690031435</v>
      </c>
      <c r="BR10" s="39">
        <f>BR6+BR9</f>
        <v>281183.76454010507</v>
      </c>
      <c r="BS10" s="39">
        <f>BS6+BS9</f>
        <v>286217.10890117468</v>
      </c>
      <c r="BT10" s="39">
        <f>BT6+BT9</f>
        <v>266099.82491380448</v>
      </c>
      <c r="BU10" s="39">
        <f>SUM(BQ10:BT10)</f>
        <v>1099253.0052553986</v>
      </c>
    </row>
    <row r="11" spans="1:78">
      <c r="A11" s="1" t="s">
        <v>28</v>
      </c>
      <c r="N11" s="16">
        <f t="shared" ref="N11:AS11" si="2">N10/I10-1</f>
        <v>-0.11699300550630354</v>
      </c>
      <c r="O11" s="16">
        <f t="shared" si="2"/>
        <v>7.5473316323248829E-2</v>
      </c>
      <c r="P11" s="16">
        <f t="shared" si="2"/>
        <v>-7.3536921662751498E-2</v>
      </c>
      <c r="Q11" s="16">
        <f t="shared" si="2"/>
        <v>0.1333680541644966</v>
      </c>
      <c r="R11" s="16">
        <f t="shared" si="2"/>
        <v>1.7544379867948656E-3</v>
      </c>
      <c r="S11" s="16">
        <f t="shared" si="2"/>
        <v>0.10586507439687964</v>
      </c>
      <c r="T11" s="16">
        <f t="shared" si="2"/>
        <v>-0.15042165912398575</v>
      </c>
      <c r="U11" s="16">
        <f t="shared" si="2"/>
        <v>6.798221438282237E-4</v>
      </c>
      <c r="V11" s="16">
        <f t="shared" si="2"/>
        <v>0.12484977023683275</v>
      </c>
      <c r="W11" s="16">
        <f t="shared" si="2"/>
        <v>1.9501822899965049E-2</v>
      </c>
      <c r="X11" s="16">
        <f t="shared" si="2"/>
        <v>5.312316300537745E-3</v>
      </c>
      <c r="Y11" s="16">
        <f t="shared" si="2"/>
        <v>0.26317642089454174</v>
      </c>
      <c r="Z11" s="16">
        <f t="shared" si="2"/>
        <v>5.1778271487064043E-3</v>
      </c>
      <c r="AA11" s="16">
        <f t="shared" si="2"/>
        <v>-0.13426245993337937</v>
      </c>
      <c r="AB11" s="16">
        <f t="shared" si="2"/>
        <v>1.5465613688713464E-2</v>
      </c>
      <c r="AC11" s="16">
        <f t="shared" si="2"/>
        <v>0.60861938278289118</v>
      </c>
      <c r="AD11" s="16">
        <f t="shared" si="2"/>
        <v>0.61765962585223577</v>
      </c>
      <c r="AE11" s="16">
        <f t="shared" si="2"/>
        <v>0.20586354918257377</v>
      </c>
      <c r="AF11" s="16">
        <f t="shared" si="2"/>
        <v>0.31840868255322241</v>
      </c>
      <c r="AG11" s="16">
        <f t="shared" si="2"/>
        <v>0.42966814074949489</v>
      </c>
      <c r="AH11" s="16">
        <f t="shared" si="2"/>
        <v>0.24870082662430337</v>
      </c>
      <c r="AI11" s="16">
        <f t="shared" si="2"/>
        <v>4.4523812258116413E-2</v>
      </c>
      <c r="AJ11" s="16">
        <f t="shared" si="2"/>
        <v>0.59428917670226467</v>
      </c>
      <c r="AK11" s="16">
        <f t="shared" si="2"/>
        <v>0.2773976845669921</v>
      </c>
      <c r="AL11" s="16">
        <f t="shared" si="2"/>
        <v>0.27243152796712145</v>
      </c>
      <c r="AM11" s="16">
        <f t="shared" si="2"/>
        <v>-4.5810826837446528E-2</v>
      </c>
      <c r="AN11" s="16">
        <f t="shared" si="2"/>
        <v>0.28960793368076176</v>
      </c>
      <c r="AO11" s="16">
        <f t="shared" si="2"/>
        <v>0.1498380001330204</v>
      </c>
      <c r="AP11" s="16">
        <f t="shared" si="2"/>
        <v>0.37689452314535421</v>
      </c>
      <c r="AQ11" s="16">
        <f t="shared" si="2"/>
        <v>0.19079584430681651</v>
      </c>
      <c r="AR11" s="16">
        <f t="shared" si="2"/>
        <v>0.62107424759751173</v>
      </c>
      <c r="AS11" s="16">
        <f t="shared" si="2"/>
        <v>0.24926270326612365</v>
      </c>
      <c r="AT11" s="16">
        <f t="shared" ref="AT11:BU11" si="3">AT10/AO10-1</f>
        <v>0.31731670639381226</v>
      </c>
      <c r="AU11" s="16">
        <f t="shared" si="3"/>
        <v>0.2407960522257151</v>
      </c>
      <c r="AV11" s="16">
        <f t="shared" si="3"/>
        <v>0.33738769051209694</v>
      </c>
      <c r="AW11" s="16">
        <f t="shared" si="3"/>
        <v>0.13375861514644605</v>
      </c>
      <c r="AX11" s="16">
        <f t="shared" si="3"/>
        <v>0.20376002068597154</v>
      </c>
      <c r="AY11" s="16">
        <f t="shared" si="3"/>
        <v>0.21149330519510667</v>
      </c>
      <c r="AZ11" s="16">
        <f t="shared" si="3"/>
        <v>0.18101341221355827</v>
      </c>
      <c r="BA11" s="16">
        <f t="shared" si="3"/>
        <v>0.18333692061684848</v>
      </c>
      <c r="BB11" s="16">
        <f t="shared" si="3"/>
        <v>0.20747436399142294</v>
      </c>
      <c r="BC11" s="16">
        <f t="shared" si="3"/>
        <v>0.18465500957985115</v>
      </c>
      <c r="BD11" s="16">
        <f t="shared" si="3"/>
        <v>0.14153161875062858</v>
      </c>
      <c r="BE11" s="16">
        <f t="shared" si="3"/>
        <v>0.13041527795107277</v>
      </c>
      <c r="BF11" s="16">
        <f t="shared" si="3"/>
        <v>0.16412139492279132</v>
      </c>
      <c r="BG11" s="16">
        <f t="shared" si="3"/>
        <v>0.14504368609131113</v>
      </c>
      <c r="BH11" s="16">
        <f t="shared" si="3"/>
        <v>0.13907514213611338</v>
      </c>
      <c r="BI11" s="16">
        <f t="shared" si="3"/>
        <v>0.10880038400927483</v>
      </c>
      <c r="BJ11" s="16">
        <f t="shared" si="3"/>
        <v>8.8792174712004179E-2</v>
      </c>
      <c r="BK11" s="16">
        <f t="shared" si="3"/>
        <v>0.11979756179817502</v>
      </c>
      <c r="BL11" s="16">
        <f t="shared" si="3"/>
        <v>9.062145742003147E-2</v>
      </c>
      <c r="BM11" s="16">
        <f t="shared" si="3"/>
        <v>9.2749025477354863E-2</v>
      </c>
      <c r="BN11" s="16">
        <f t="shared" si="3"/>
        <v>8.9641330109269779E-2</v>
      </c>
      <c r="BO11" s="16">
        <f t="shared" si="3"/>
        <v>8.3587124440388516E-2</v>
      </c>
      <c r="BP11" s="16">
        <f t="shared" si="3"/>
        <v>8.9177473735650992E-2</v>
      </c>
      <c r="BQ11" s="16">
        <f t="shared" si="3"/>
        <v>8.3493818476104265E-2</v>
      </c>
      <c r="BR11" s="16">
        <f t="shared" si="3"/>
        <v>8.1066361811110266E-2</v>
      </c>
      <c r="BS11" s="16">
        <f t="shared" si="3"/>
        <v>7.4516550275961491E-2</v>
      </c>
      <c r="BT11" s="16">
        <f t="shared" si="3"/>
        <v>6.5668042664064341E-2</v>
      </c>
      <c r="BU11" s="16">
        <f t="shared" si="3"/>
        <v>7.6176936180767374E-2</v>
      </c>
    </row>
    <row r="13" spans="1:78" s="179" customFormat="1">
      <c r="A13" s="178" t="s">
        <v>1956</v>
      </c>
    </row>
    <row r="15" spans="1:78">
      <c r="A15" s="1" t="s">
        <v>1401</v>
      </c>
    </row>
    <row r="16" spans="1:78">
      <c r="A16" s="1" t="s">
        <v>28</v>
      </c>
    </row>
    <row r="18" spans="1:73" s="79" customFormat="1">
      <c r="A18" s="79" t="s">
        <v>1923</v>
      </c>
      <c r="AB18" s="59">
        <f>AB19-AB6</f>
        <v>-15381.237499999988</v>
      </c>
      <c r="AC18" s="59">
        <f t="shared" ref="AC18:AG18" si="4">AC19-AC6</f>
        <v>-3146.9285787504632</v>
      </c>
      <c r="AD18" s="59">
        <f t="shared" si="4"/>
        <v>-3994.5241594849358</v>
      </c>
      <c r="AE18" s="59">
        <f t="shared" si="4"/>
        <v>-3052.897321161443</v>
      </c>
      <c r="AF18" s="59">
        <f t="shared" si="4"/>
        <v>-4332.6999999999971</v>
      </c>
      <c r="AG18" s="59">
        <f t="shared" si="4"/>
        <v>-14527.050059396832</v>
      </c>
      <c r="AH18" s="59">
        <f t="shared" ref="AH18" si="5">AH19-AH6</f>
        <v>-3226</v>
      </c>
      <c r="AI18" s="59">
        <f t="shared" ref="AI18" si="6">AI19-AI6</f>
        <v>-3467</v>
      </c>
      <c r="AJ18" s="59">
        <f t="shared" ref="AJ18" si="7">AJ19-AJ6</f>
        <v>-4093.6399999999994</v>
      </c>
      <c r="AK18" s="59">
        <f t="shared" ref="AK18" si="8">AK19-AK6</f>
        <v>-3598.0199999999895</v>
      </c>
      <c r="AL18" s="59">
        <f t="shared" ref="AL18" si="9">AL19-AL6</f>
        <v>-14384.659999999974</v>
      </c>
      <c r="AM18" s="59">
        <f t="shared" ref="AM18" si="10">AM19-AM6</f>
        <v>-4281.4100000000035</v>
      </c>
      <c r="AN18" s="59">
        <f t="shared" ref="AN18" si="11">AN19-AN6</f>
        <v>-6690.2400000000052</v>
      </c>
      <c r="AO18" s="59">
        <f t="shared" ref="AO18" si="12">AO19-AO6</f>
        <v>-5292</v>
      </c>
      <c r="AP18" s="59">
        <f t="shared" ref="AP18" si="13">AP19-AP6</f>
        <v>-4382.6593014225073</v>
      </c>
      <c r="AQ18" s="59">
        <f t="shared" ref="AQ18" si="14">AQ19-AQ6</f>
        <v>-20646.309301422501</v>
      </c>
      <c r="AR18" s="59">
        <f t="shared" ref="AR18" si="15">AR19-AR6</f>
        <v>-4838.3332408262359</v>
      </c>
      <c r="AS18" s="59">
        <f t="shared" ref="AS18" si="16">AS19-AS6</f>
        <v>-4919.1081705479883</v>
      </c>
      <c r="AT18" s="59">
        <f t="shared" ref="AT18" si="17">AT19-AT6</f>
        <v>-5325.166959863418</v>
      </c>
      <c r="AU18" s="59">
        <f t="shared" ref="AU18" si="18">AU19-AU6</f>
        <v>-5309.9696555934497</v>
      </c>
      <c r="AV18" s="59">
        <f t="shared" ref="AV18" si="19">AV19-AV6</f>
        <v>-20392.57802683115</v>
      </c>
      <c r="AW18" s="59">
        <f t="shared" ref="AW18" si="20">AW19-AW6</f>
        <v>-5410.871432378859</v>
      </c>
      <c r="AX18" s="59">
        <f t="shared" ref="AX18" si="21">AX19-AX6</f>
        <v>-5836.6548389165837</v>
      </c>
      <c r="AY18" s="59">
        <f t="shared" ref="AY18" si="22">AY19-AY6</f>
        <v>-6368.8235304936243</v>
      </c>
      <c r="AZ18" s="59">
        <f t="shared" ref="AZ18" si="23">AZ19-AZ6</f>
        <v>-6207.2543716439977</v>
      </c>
      <c r="BA18" s="59">
        <f t="shared" ref="BA18" si="24">BA19-BA6</f>
        <v>-23823.604173433036</v>
      </c>
      <c r="BB18" s="59">
        <f t="shared" ref="BB18" si="25">BB19-BB6</f>
        <v>-6487.7754220088827</v>
      </c>
      <c r="BC18" s="59">
        <f t="shared" ref="BC18" si="26">BC19-BC6</f>
        <v>-6869.7181295251648</v>
      </c>
      <c r="BD18" s="59">
        <f t="shared" ref="BD18" si="27">BD19-BD6</f>
        <v>-7220.2647007271298</v>
      </c>
      <c r="BE18" s="59">
        <f t="shared" ref="BE18" si="28">BE19-BE6</f>
        <v>-6961.037676149921</v>
      </c>
      <c r="BF18" s="59">
        <f t="shared" ref="BF18" si="29">BF19-BF6</f>
        <v>-27538.795928411069</v>
      </c>
      <c r="BG18" s="59">
        <f t="shared" ref="BG18" si="30">BG19-BG6</f>
        <v>-7359.8588525220111</v>
      </c>
      <c r="BH18" s="59">
        <f t="shared" ref="BH18" si="31">BH19-BH6</f>
        <v>-7755.1805410391826</v>
      </c>
      <c r="BI18" s="59">
        <f t="shared" ref="BI18" si="32">BI19-BI6</f>
        <v>-7949.6192501287733</v>
      </c>
      <c r="BJ18" s="59">
        <f t="shared" ref="BJ18" si="33">BJ19-BJ6</f>
        <v>-7530.6384384122503</v>
      </c>
      <c r="BK18" s="59">
        <f t="shared" ref="BK18" si="34">BK19-BK6</f>
        <v>-30595.297082102159</v>
      </c>
      <c r="BL18" s="59">
        <f t="shared" ref="BL18" si="35">BL19-BL6</f>
        <v>-7980.1601265636273</v>
      </c>
      <c r="BM18" s="59">
        <f t="shared" ref="BM18" si="36">BM19-BM6</f>
        <v>-8429.4722322452581</v>
      </c>
      <c r="BN18" s="59">
        <f t="shared" ref="BN18" si="37">BN19-BN6</f>
        <v>-8622.1544995699078</v>
      </c>
      <c r="BO18" s="59">
        <f t="shared" ref="BO18" si="38">BO19-BO6</f>
        <v>-8126.7965300334326</v>
      </c>
      <c r="BP18" s="59">
        <f t="shared" ref="BP18" si="39">BP19-BP6</f>
        <v>-33158.583388412138</v>
      </c>
      <c r="BQ18" s="59">
        <f t="shared" ref="BQ18" si="40">BQ19-BQ6</f>
        <v>-8612.9433996116859</v>
      </c>
      <c r="BR18" s="59">
        <f t="shared" ref="BR18" si="41">BR19-BR6</f>
        <v>-9080.5649789781892</v>
      </c>
      <c r="BS18" s="59">
        <f t="shared" ref="BS18" si="42">BS19-BS6</f>
        <v>-9236.2726795672206</v>
      </c>
      <c r="BT18" s="59">
        <f t="shared" ref="BT18" si="43">BT19-BT6</f>
        <v>-8637.4911718939838</v>
      </c>
      <c r="BU18" s="59">
        <f t="shared" ref="BU18" si="44">BU19-BU6</f>
        <v>-35567.272230050992</v>
      </c>
    </row>
    <row r="19" spans="1:73" s="79" customFormat="1">
      <c r="A19" s="314" t="s">
        <v>1918</v>
      </c>
      <c r="B19" s="314"/>
      <c r="C19" s="314"/>
      <c r="D19" s="314"/>
      <c r="E19" s="314"/>
      <c r="F19" s="314"/>
      <c r="G19" s="314"/>
      <c r="H19" s="314"/>
      <c r="I19" s="314"/>
      <c r="J19" s="314"/>
      <c r="K19" s="314"/>
      <c r="L19" s="314"/>
      <c r="M19" s="314"/>
      <c r="N19" s="314"/>
      <c r="O19" s="314"/>
      <c r="P19" s="314"/>
      <c r="Q19" s="314"/>
      <c r="R19" s="314"/>
      <c r="S19" s="314"/>
      <c r="T19" s="314"/>
      <c r="U19" s="314"/>
      <c r="V19" s="314"/>
      <c r="W19" s="314"/>
      <c r="X19" s="81"/>
      <c r="Y19" s="81"/>
      <c r="Z19" s="81"/>
      <c r="AA19" s="81"/>
      <c r="AB19" s="81">
        <f>AB85*AB$54</f>
        <v>199637.85500000001</v>
      </c>
      <c r="AC19" s="81">
        <f>AC85*AC$54</f>
        <v>71103.071421249537</v>
      </c>
      <c r="AD19" s="81">
        <f>AD85*AD$54</f>
        <v>83055.835840515065</v>
      </c>
      <c r="AE19" s="81">
        <f>AE85*AE$54</f>
        <v>62948.702678838548</v>
      </c>
      <c r="AF19" s="81">
        <f>AF85*AF$54</f>
        <v>72602</v>
      </c>
      <c r="AG19" s="81">
        <f>SUM(AC19:AF19)</f>
        <v>289709.60994060314</v>
      </c>
      <c r="AH19" s="81">
        <f>AH85*AH$54</f>
        <v>86069.68</v>
      </c>
      <c r="AI19" s="81">
        <f>AI85*AI$54</f>
        <v>83901.400000000009</v>
      </c>
      <c r="AJ19" s="81">
        <f>AJ85*AJ$54</f>
        <v>98106.2</v>
      </c>
      <c r="AK19" s="81">
        <f>AK85*AK$54</f>
        <v>80755.56</v>
      </c>
      <c r="AL19" s="81">
        <f>SUM(AH19:AK19)</f>
        <v>348832.84</v>
      </c>
      <c r="AM19" s="81">
        <f>AM85*AM$54</f>
        <v>88942.840000000011</v>
      </c>
      <c r="AN19" s="81">
        <f>AN85*AN$54</f>
        <v>110534.39999999999</v>
      </c>
      <c r="AO19" s="81">
        <f>AO85*AO$54</f>
        <v>115836</v>
      </c>
      <c r="AP19" s="81">
        <f>AP85*AP$54</f>
        <v>123384.8910793275</v>
      </c>
      <c r="AQ19" s="81">
        <f>SUM(AM19:AP19)</f>
        <v>438698.13107932749</v>
      </c>
      <c r="AR19" s="81">
        <f>AR85*AR$54</f>
        <v>138629.97982004876</v>
      </c>
      <c r="AS19" s="81">
        <f>AS85*AS$54</f>
        <v>141613.16060905199</v>
      </c>
      <c r="AT19" s="81">
        <f>AT85*AT$54</f>
        <v>154092.54889779657</v>
      </c>
      <c r="AU19" s="81">
        <f>AU85*AU$54</f>
        <v>153223.50245939131</v>
      </c>
      <c r="AV19" s="81">
        <f>SUM(AR19:AU19)</f>
        <v>587559.19178628852</v>
      </c>
      <c r="AW19" s="81">
        <f>AW85*AW$54</f>
        <v>157247.56450091556</v>
      </c>
      <c r="AX19" s="81">
        <f>AX85*AX$54</f>
        <v>170553.03205837702</v>
      </c>
      <c r="AY19" s="81">
        <f>AY85*AY$54</f>
        <v>186764.67196055726</v>
      </c>
      <c r="AZ19" s="81">
        <f>AZ85*AZ$54</f>
        <v>181022.90248093716</v>
      </c>
      <c r="BA19" s="81">
        <f>SUM(AW19:AZ19)</f>
        <v>695588.17100078706</v>
      </c>
      <c r="BB19" s="81">
        <f>BB85*BB$54</f>
        <v>189918.11605438541</v>
      </c>
      <c r="BC19" s="81">
        <f>BC85*BC$54</f>
        <v>202091.20809157513</v>
      </c>
      <c r="BD19" s="81">
        <f>BD85*BD$54</f>
        <v>213247.72704213939</v>
      </c>
      <c r="BE19" s="81">
        <f>BE85*BE$54</f>
        <v>204686.79212318358</v>
      </c>
      <c r="BF19" s="81">
        <f>SUM(BB19:BE19)</f>
        <v>809943.8433112835</v>
      </c>
      <c r="BG19" s="81">
        <f>BG85*BG$54</f>
        <v>217533.46709365852</v>
      </c>
      <c r="BH19" s="81">
        <f>BH85*BH$54</f>
        <v>230267.01619515455</v>
      </c>
      <c r="BI19" s="81">
        <f>BI85*BI$54</f>
        <v>236505.37465611528</v>
      </c>
      <c r="BJ19" s="81">
        <f>BJ85*BJ$54</f>
        <v>222909.86244188019</v>
      </c>
      <c r="BK19" s="81">
        <f>SUM(BG19:BJ19)</f>
        <v>907215.72038680851</v>
      </c>
      <c r="BL19" s="81">
        <f>BL85*BL$54</f>
        <v>237293.32678089797</v>
      </c>
      <c r="BM19" s="81">
        <f>BM85*BM$54</f>
        <v>251669.05129320969</v>
      </c>
      <c r="BN19" s="81">
        <f>BN85*BN$54</f>
        <v>257746.11021228333</v>
      </c>
      <c r="BO19" s="81">
        <f>BO85*BO$54</f>
        <v>241575.56317344547</v>
      </c>
      <c r="BP19" s="81">
        <f>SUM(BL19:BO19)</f>
        <v>988284.05145983654</v>
      </c>
      <c r="BQ19" s="81">
        <f>BQ85*BQ$54</f>
        <v>257139.36350070266</v>
      </c>
      <c r="BR19" s="81">
        <f>BR85*BR$54</f>
        <v>272103.19956112688</v>
      </c>
      <c r="BS19" s="81">
        <f>BS85*BS$54</f>
        <v>276980.83622160746</v>
      </c>
      <c r="BT19" s="81">
        <f>BT85*BT$54</f>
        <v>257462.33374191049</v>
      </c>
      <c r="BU19" s="81">
        <f>SUM(BQ19:BT19)</f>
        <v>1063685.7330253476</v>
      </c>
    </row>
    <row r="20" spans="1:73" s="79" customFormat="1">
      <c r="A20" s="439" t="s">
        <v>1919</v>
      </c>
      <c r="AB20" s="119">
        <f>AB19/AB$6</f>
        <v>0.92846571287617174</v>
      </c>
      <c r="AC20" s="119">
        <f t="shared" ref="AC20:BU20" si="45">AC19/AC$6</f>
        <v>0.95761712351851225</v>
      </c>
      <c r="AD20" s="119">
        <f t="shared" si="45"/>
        <v>0.95411249121215658</v>
      </c>
      <c r="AE20" s="119">
        <f t="shared" si="45"/>
        <v>0.95374510131327961</v>
      </c>
      <c r="AF20" s="119">
        <f t="shared" si="45"/>
        <v>0.94368340943683415</v>
      </c>
      <c r="AG20" s="119">
        <f t="shared" si="45"/>
        <v>0.95225082322624488</v>
      </c>
      <c r="AH20" s="119">
        <f t="shared" si="45"/>
        <v>0.96387283236994215</v>
      </c>
      <c r="AI20" s="119">
        <f t="shared" si="45"/>
        <v>0.96031746031746035</v>
      </c>
      <c r="AJ20" s="119">
        <f t="shared" si="45"/>
        <v>0.95994475138121549</v>
      </c>
      <c r="AK20" s="119">
        <f t="shared" si="45"/>
        <v>0.95734597156398116</v>
      </c>
      <c r="AL20" s="119">
        <f t="shared" si="45"/>
        <v>0.96039656679537755</v>
      </c>
      <c r="AM20" s="119">
        <f t="shared" si="45"/>
        <v>0.95407407407407407</v>
      </c>
      <c r="AN20" s="119">
        <f t="shared" si="45"/>
        <v>0.94292803970223316</v>
      </c>
      <c r="AO20" s="119">
        <f t="shared" si="45"/>
        <v>0.9563106796116505</v>
      </c>
      <c r="AP20" s="119">
        <f t="shared" si="45"/>
        <v>0.96569818167162091</v>
      </c>
      <c r="AQ20" s="119">
        <f t="shared" si="45"/>
        <v>0.95505266312941806</v>
      </c>
      <c r="AR20" s="119">
        <f t="shared" si="45"/>
        <v>0.96627594527599081</v>
      </c>
      <c r="AS20" s="119">
        <f t="shared" si="45"/>
        <v>0.96642986414175536</v>
      </c>
      <c r="AT20" s="119">
        <f t="shared" si="45"/>
        <v>0.96659614064086752</v>
      </c>
      <c r="AU20" s="119">
        <f t="shared" si="45"/>
        <v>0.96650568750716492</v>
      </c>
      <c r="AV20" s="119">
        <f t="shared" si="45"/>
        <v>0.96645691477615125</v>
      </c>
      <c r="AW20" s="119">
        <f t="shared" si="45"/>
        <v>0.9667347629323213</v>
      </c>
      <c r="AX20" s="119">
        <f t="shared" si="45"/>
        <v>0.96691045297724754</v>
      </c>
      <c r="AY20" s="119">
        <f t="shared" si="45"/>
        <v>0.9670237235943947</v>
      </c>
      <c r="AZ20" s="119">
        <f t="shared" si="45"/>
        <v>0.96684693066549432</v>
      </c>
      <c r="BA20" s="119">
        <f t="shared" si="45"/>
        <v>0.96688460629148909</v>
      </c>
      <c r="BB20" s="119">
        <f t="shared" si="45"/>
        <v>0.96696751114113788</v>
      </c>
      <c r="BC20" s="119">
        <f t="shared" si="45"/>
        <v>0.96712438897664366</v>
      </c>
      <c r="BD20" s="119">
        <f t="shared" si="45"/>
        <v>0.9672502813508268</v>
      </c>
      <c r="BE20" s="119">
        <f t="shared" si="45"/>
        <v>0.96711028087200424</v>
      </c>
      <c r="BF20" s="119">
        <f t="shared" si="45"/>
        <v>0.9671171739710186</v>
      </c>
      <c r="BG20" s="119">
        <f t="shared" si="45"/>
        <v>0.96727400058869106</v>
      </c>
      <c r="BH20" s="119">
        <f t="shared" si="45"/>
        <v>0.96741824650230224</v>
      </c>
      <c r="BI20" s="119">
        <f t="shared" si="45"/>
        <v>0.96748023379232873</v>
      </c>
      <c r="BJ20" s="119">
        <f t="shared" si="45"/>
        <v>0.96732068186952858</v>
      </c>
      <c r="BK20" s="119">
        <f t="shared" si="45"/>
        <v>0.96737583957514506</v>
      </c>
      <c r="BL20" s="119">
        <f t="shared" si="45"/>
        <v>0.96746423664790793</v>
      </c>
      <c r="BM20" s="119">
        <f t="shared" si="45"/>
        <v>0.96759123382174717</v>
      </c>
      <c r="BN20" s="119">
        <f t="shared" si="45"/>
        <v>0.96763069914166755</v>
      </c>
      <c r="BO20" s="119">
        <f t="shared" si="45"/>
        <v>0.96745406595402628</v>
      </c>
      <c r="BP20" s="119">
        <f t="shared" si="45"/>
        <v>0.96753749818428292</v>
      </c>
      <c r="BQ20" s="119">
        <f t="shared" si="45"/>
        <v>0.96759033439795328</v>
      </c>
      <c r="BR20" s="119">
        <f t="shared" si="45"/>
        <v>0.96770594136603139</v>
      </c>
      <c r="BS20" s="119">
        <f t="shared" si="45"/>
        <v>0.96772983727273854</v>
      </c>
      <c r="BT20" s="119">
        <f t="shared" si="45"/>
        <v>0.96754041016490011</v>
      </c>
      <c r="BU20" s="119">
        <f t="shared" si="45"/>
        <v>0.96764414374124241</v>
      </c>
    </row>
    <row r="22" spans="1:73">
      <c r="A22" s="1" t="s">
        <v>1936</v>
      </c>
    </row>
    <row r="23" spans="1:73" s="79" customFormat="1">
      <c r="A23" s="79" t="s">
        <v>1934</v>
      </c>
      <c r="AB23" s="59">
        <f>AB89*AB$54</f>
        <v>-86347.085000000006</v>
      </c>
      <c r="AC23" s="59"/>
      <c r="AD23" s="59"/>
      <c r="AE23" s="59"/>
      <c r="AF23" s="59">
        <f t="shared" ref="AF23:AK25" si="46">AF89*AF$54</f>
        <v>-39931.1</v>
      </c>
      <c r="AG23" s="59">
        <f t="shared" si="46"/>
        <v>-112228.53749999999</v>
      </c>
      <c r="AH23" s="59">
        <f t="shared" si="46"/>
        <v>-28130.719999999998</v>
      </c>
      <c r="AI23" s="59">
        <f t="shared" si="46"/>
        <v>-34392.639999999999</v>
      </c>
      <c r="AJ23" s="59">
        <f t="shared" si="46"/>
        <v>-40371.760000000002</v>
      </c>
      <c r="AK23" s="59">
        <f t="shared" si="46"/>
        <v>-50772.06</v>
      </c>
      <c r="AL23" s="59">
        <f>SUM(AH23:AK23)</f>
        <v>-153667.18</v>
      </c>
      <c r="AM23" s="59">
        <f t="shared" ref="AM23:AP25" si="47">AM89*AM$54</f>
        <v>-46543.070000000007</v>
      </c>
      <c r="AN23" s="59">
        <f t="shared" si="47"/>
        <v>-91045.440000000002</v>
      </c>
      <c r="AO23" s="59">
        <f t="shared" si="47"/>
        <v>-63504</v>
      </c>
      <c r="AP23" s="59">
        <f t="shared" si="47"/>
        <v>-68907.42</v>
      </c>
      <c r="AQ23" s="59">
        <f>SUM(AM23:AP23)</f>
        <v>-269999.93</v>
      </c>
      <c r="AR23" s="59">
        <f t="shared" ref="AR23:AU25" si="48">AR89*AR$54</f>
        <v>-72786.45</v>
      </c>
      <c r="AS23" s="59">
        <f t="shared" si="48"/>
        <v>-71373.5</v>
      </c>
      <c r="AT23" s="59">
        <f t="shared" si="48"/>
        <v>-72633.599999999991</v>
      </c>
      <c r="AU23" s="59">
        <f t="shared" si="48"/>
        <v>-74945.5</v>
      </c>
      <c r="AV23" s="59">
        <f>SUM(AR23:AU23)</f>
        <v>-291739.05</v>
      </c>
      <c r="AW23" s="59">
        <f t="shared" ref="AW23:AZ25" si="49">AW89*AW$54</f>
        <v>-73320.95</v>
      </c>
      <c r="AX23" s="59">
        <f t="shared" si="49"/>
        <v>-76349.6875</v>
      </c>
      <c r="AY23" s="59">
        <f t="shared" si="49"/>
        <v>-81728.328874999992</v>
      </c>
      <c r="AZ23" s="59">
        <f t="shared" si="49"/>
        <v>-84347.996648437489</v>
      </c>
      <c r="BA23" s="59">
        <f>SUM(AW23:AZ23)</f>
        <v>-315746.96302343754</v>
      </c>
      <c r="BB23" s="59">
        <f t="shared" ref="BB23:BE25" si="50">BB89*BB$54</f>
        <v>-84311.500000000015</v>
      </c>
      <c r="BC23" s="59">
        <f t="shared" si="50"/>
        <v>-85775.37000000001</v>
      </c>
      <c r="BD23" s="59">
        <f t="shared" si="50"/>
        <v>-87264.070200000002</v>
      </c>
      <c r="BE23" s="59">
        <f t="shared" si="50"/>
        <v>-88778.008260000002</v>
      </c>
      <c r="BF23" s="59">
        <f>SUM(BB23:BE23)</f>
        <v>-346128.94845999999</v>
      </c>
      <c r="BG23" s="59">
        <f t="shared" ref="BG23:BJ25" si="51">BG89*BG$54</f>
        <v>-88644.9</v>
      </c>
      <c r="BH23" s="59">
        <f t="shared" si="51"/>
        <v>-88871.400000000009</v>
      </c>
      <c r="BI23" s="59">
        <f t="shared" si="51"/>
        <v>-89524.986000000019</v>
      </c>
      <c r="BJ23" s="59">
        <f t="shared" si="51"/>
        <v>-90182.756580000016</v>
      </c>
      <c r="BK23" s="59">
        <f>SUM(BG23:BJ23)</f>
        <v>-357224.04258000001</v>
      </c>
      <c r="BL23" s="59">
        <f t="shared" ref="BL23:BO25" si="52">BL89*BL$54</f>
        <v>-90142.5</v>
      </c>
      <c r="BM23" s="59">
        <f t="shared" si="52"/>
        <v>-90660</v>
      </c>
      <c r="BN23" s="59">
        <f t="shared" si="52"/>
        <v>-91324.200000000012</v>
      </c>
      <c r="BO23" s="59">
        <f t="shared" si="52"/>
        <v>-91992.618000000017</v>
      </c>
      <c r="BP23" s="59">
        <f>SUM(BL23:BO23)</f>
        <v>-364119.31800000003</v>
      </c>
      <c r="BQ23" s="59">
        <f t="shared" ref="BQ23:BT25" si="53">BQ89*BQ$54</f>
        <v>-92188.5</v>
      </c>
      <c r="BR23" s="59">
        <f t="shared" si="53"/>
        <v>-92391</v>
      </c>
      <c r="BS23" s="59">
        <f t="shared" si="53"/>
        <v>-92442</v>
      </c>
      <c r="BT23" s="59">
        <f t="shared" si="53"/>
        <v>-93115.940000000017</v>
      </c>
      <c r="BU23" s="59">
        <f>SUM(BQ23:BT23)</f>
        <v>-370137.44</v>
      </c>
    </row>
    <row r="24" spans="1:73" s="79" customFormat="1">
      <c r="A24" s="79" t="s">
        <v>1485</v>
      </c>
      <c r="AB24" s="59">
        <f>AB90*AB$54</f>
        <v>-87620.014999999999</v>
      </c>
      <c r="AC24" s="59"/>
      <c r="AD24" s="59"/>
      <c r="AE24" s="59"/>
      <c r="AF24" s="59">
        <f t="shared" si="46"/>
        <v>-37589.1</v>
      </c>
      <c r="AG24" s="59">
        <f t="shared" si="46"/>
        <v>-101174.8725</v>
      </c>
      <c r="AH24" s="59">
        <f t="shared" si="46"/>
        <v>-19743.12</v>
      </c>
      <c r="AI24" s="59">
        <f t="shared" si="46"/>
        <v>-23852.960000000003</v>
      </c>
      <c r="AJ24" s="59">
        <f t="shared" si="46"/>
        <v>-23009.079999999998</v>
      </c>
      <c r="AK24" s="59">
        <f t="shared" si="46"/>
        <v>-36513.24</v>
      </c>
      <c r="AL24" s="59">
        <f>SUM(AH24:AK24)</f>
        <v>-103118.39999999999</v>
      </c>
      <c r="AM24" s="59">
        <f t="shared" si="47"/>
        <v>-27069.56</v>
      </c>
      <c r="AN24" s="59">
        <f t="shared" si="47"/>
        <v>-42177.599999999999</v>
      </c>
      <c r="AO24" s="59">
        <f t="shared" si="47"/>
        <v>-31752</v>
      </c>
      <c r="AP24" s="59">
        <f t="shared" si="47"/>
        <v>-32975.01</v>
      </c>
      <c r="AQ24" s="59">
        <f>SUM(AM24:AP24)</f>
        <v>-133974.17000000001</v>
      </c>
      <c r="AR24" s="59">
        <f t="shared" si="48"/>
        <v>-34906.19</v>
      </c>
      <c r="AS24" s="59">
        <f t="shared" si="48"/>
        <v>-33958.759999999995</v>
      </c>
      <c r="AT24" s="59">
        <f t="shared" si="48"/>
        <v>-34349.64</v>
      </c>
      <c r="AU24" s="59">
        <f t="shared" si="48"/>
        <v>-35178.5</v>
      </c>
      <c r="AV24" s="59">
        <f>SUM(AR24:AU24)</f>
        <v>-138393.09</v>
      </c>
      <c r="AW24" s="59">
        <f t="shared" si="49"/>
        <v>-33974.46</v>
      </c>
      <c r="AX24" s="59">
        <f t="shared" si="49"/>
        <v>-35377.874999999993</v>
      </c>
      <c r="AY24" s="59">
        <f t="shared" si="49"/>
        <v>-37870.15634999999</v>
      </c>
      <c r="AZ24" s="59">
        <f t="shared" si="49"/>
        <v>-38464.799999999996</v>
      </c>
      <c r="BA24" s="59">
        <f>SUM(AW24:AZ24)</f>
        <v>-145687.29134999998</v>
      </c>
      <c r="BB24" s="59">
        <f t="shared" si="50"/>
        <v>-38984.400000000001</v>
      </c>
      <c r="BC24" s="59">
        <f t="shared" si="50"/>
        <v>-39037.9</v>
      </c>
      <c r="BD24" s="59">
        <f t="shared" si="50"/>
        <v>-39090.6</v>
      </c>
      <c r="BE24" s="59">
        <f t="shared" si="50"/>
        <v>-39142.5</v>
      </c>
      <c r="BF24" s="59">
        <f>SUM(BB24:BE24)</f>
        <v>-156255.4</v>
      </c>
      <c r="BG24" s="59">
        <f t="shared" si="51"/>
        <v>-39430.904999999999</v>
      </c>
      <c r="BH24" s="59">
        <f t="shared" si="51"/>
        <v>-39721.163850000004</v>
      </c>
      <c r="BI24" s="59">
        <f t="shared" si="51"/>
        <v>-40013.2847865</v>
      </c>
      <c r="BJ24" s="59">
        <f t="shared" si="51"/>
        <v>-40307.276025344996</v>
      </c>
      <c r="BK24" s="59">
        <f>SUM(BG24:BJ24)</f>
        <v>-159472.62966184501</v>
      </c>
      <c r="BL24" s="59">
        <f t="shared" si="52"/>
        <v>-40603.145760488245</v>
      </c>
      <c r="BM24" s="59">
        <f t="shared" si="52"/>
        <v>-40900.902162731829</v>
      </c>
      <c r="BN24" s="59">
        <f t="shared" si="52"/>
        <v>-41200.553378444238</v>
      </c>
      <c r="BO24" s="59">
        <f t="shared" si="52"/>
        <v>-41502.107528254615</v>
      </c>
      <c r="BP24" s="59">
        <f>SUM(BL24:BO24)</f>
        <v>-164206.70882991893</v>
      </c>
      <c r="BQ24" s="59">
        <f t="shared" si="53"/>
        <v>-41805.572705723353</v>
      </c>
      <c r="BR24" s="59">
        <f t="shared" si="53"/>
        <v>-42110.956975988644</v>
      </c>
      <c r="BS24" s="59">
        <f t="shared" si="53"/>
        <v>-42418.268374388666</v>
      </c>
      <c r="BT24" s="59">
        <f t="shared" si="53"/>
        <v>-42727.514905059106</v>
      </c>
      <c r="BU24" s="59">
        <f>SUM(BQ24:BT24)</f>
        <v>-169062.31296115977</v>
      </c>
    </row>
    <row r="25" spans="1:73" s="79" customFormat="1">
      <c r="A25" s="79" t="s">
        <v>1935</v>
      </c>
      <c r="AB25" s="59">
        <f>AB91*AB$54</f>
        <v>-318.23250000000002</v>
      </c>
      <c r="AC25" s="59"/>
      <c r="AD25" s="59"/>
      <c r="AE25" s="59"/>
      <c r="AF25" s="59">
        <f t="shared" si="46"/>
        <v>-4918.2</v>
      </c>
      <c r="AG25" s="59">
        <f t="shared" si="46"/>
        <v>-5301.2474999999995</v>
      </c>
      <c r="AH25" s="59">
        <f t="shared" si="46"/>
        <v>-258.08</v>
      </c>
      <c r="AI25" s="59">
        <f t="shared" si="46"/>
        <v>-277.36</v>
      </c>
      <c r="AJ25" s="59">
        <f t="shared" si="46"/>
        <v>-282.32</v>
      </c>
      <c r="AK25" s="59">
        <f t="shared" si="46"/>
        <v>-133.26</v>
      </c>
      <c r="AL25" s="59">
        <f>SUM(AH25:AK25)</f>
        <v>-951.02</v>
      </c>
      <c r="AM25" s="59">
        <f t="shared" si="47"/>
        <v>0</v>
      </c>
      <c r="AN25" s="59">
        <f t="shared" si="47"/>
        <v>0</v>
      </c>
      <c r="AO25" s="59">
        <f t="shared" si="47"/>
        <v>-882</v>
      </c>
      <c r="AP25" s="59">
        <f t="shared" si="47"/>
        <v>0</v>
      </c>
      <c r="AQ25" s="59">
        <f>SUM(AM25:AP25)</f>
        <v>-882</v>
      </c>
      <c r="AR25" s="59">
        <f t="shared" si="48"/>
        <v>0</v>
      </c>
      <c r="AS25" s="59">
        <f t="shared" si="48"/>
        <v>0</v>
      </c>
      <c r="AT25" s="59">
        <f t="shared" si="48"/>
        <v>0</v>
      </c>
      <c r="AU25" s="59">
        <f t="shared" si="48"/>
        <v>0</v>
      </c>
      <c r="AV25" s="59">
        <f>SUM(AR25:AU25)</f>
        <v>0</v>
      </c>
      <c r="AW25" s="59">
        <f t="shared" si="49"/>
        <v>0</v>
      </c>
      <c r="AX25" s="59">
        <f t="shared" si="49"/>
        <v>0</v>
      </c>
      <c r="AY25" s="59">
        <f t="shared" si="49"/>
        <v>0</v>
      </c>
      <c r="AZ25" s="59">
        <f t="shared" si="49"/>
        <v>0</v>
      </c>
      <c r="BA25" s="59">
        <f>SUM(AW25:AZ25)</f>
        <v>0</v>
      </c>
      <c r="BB25" s="59">
        <f t="shared" si="50"/>
        <v>0</v>
      </c>
      <c r="BC25" s="59">
        <f t="shared" si="50"/>
        <v>0</v>
      </c>
      <c r="BD25" s="59">
        <f t="shared" si="50"/>
        <v>0</v>
      </c>
      <c r="BE25" s="59">
        <f t="shared" si="50"/>
        <v>0</v>
      </c>
      <c r="BF25" s="59">
        <f>SUM(BB25:BE25)</f>
        <v>0</v>
      </c>
      <c r="BG25" s="59">
        <f t="shared" si="51"/>
        <v>0</v>
      </c>
      <c r="BH25" s="59">
        <f t="shared" si="51"/>
        <v>0</v>
      </c>
      <c r="BI25" s="59">
        <f t="shared" si="51"/>
        <v>0</v>
      </c>
      <c r="BJ25" s="59">
        <f t="shared" si="51"/>
        <v>0</v>
      </c>
      <c r="BK25" s="59">
        <f>SUM(BG25:BJ25)</f>
        <v>0</v>
      </c>
      <c r="BL25" s="59">
        <f t="shared" si="52"/>
        <v>0</v>
      </c>
      <c r="BM25" s="59">
        <f t="shared" si="52"/>
        <v>0</v>
      </c>
      <c r="BN25" s="59">
        <f t="shared" si="52"/>
        <v>0</v>
      </c>
      <c r="BO25" s="59">
        <f t="shared" si="52"/>
        <v>0</v>
      </c>
      <c r="BP25" s="59">
        <f>SUM(BL25:BO25)</f>
        <v>0</v>
      </c>
      <c r="BQ25" s="59">
        <f t="shared" si="53"/>
        <v>0</v>
      </c>
      <c r="BR25" s="59">
        <f t="shared" si="53"/>
        <v>0</v>
      </c>
      <c r="BS25" s="59">
        <f t="shared" si="53"/>
        <v>0</v>
      </c>
      <c r="BT25" s="59">
        <f t="shared" si="53"/>
        <v>0</v>
      </c>
      <c r="BU25" s="59">
        <f>SUM(BQ25:BT25)</f>
        <v>0</v>
      </c>
    </row>
    <row r="26" spans="1:73" s="79" customFormat="1">
      <c r="A26" s="314" t="s">
        <v>1947</v>
      </c>
      <c r="B26" s="314"/>
      <c r="C26" s="314"/>
      <c r="D26" s="314"/>
      <c r="E26" s="314"/>
      <c r="F26" s="314"/>
      <c r="G26" s="314"/>
      <c r="H26" s="314"/>
      <c r="I26" s="314"/>
      <c r="J26" s="314"/>
      <c r="K26" s="314"/>
      <c r="L26" s="314"/>
      <c r="M26" s="314"/>
      <c r="N26" s="314"/>
      <c r="O26" s="314"/>
      <c r="P26" s="314"/>
      <c r="Q26" s="314"/>
      <c r="R26" s="314"/>
      <c r="S26" s="314"/>
      <c r="T26" s="314"/>
      <c r="U26" s="314"/>
      <c r="V26" s="314"/>
      <c r="W26" s="314"/>
      <c r="X26" s="81"/>
      <c r="Y26" s="81"/>
      <c r="Z26" s="81"/>
      <c r="AA26" s="81"/>
      <c r="AB26" s="81">
        <f>SUM(AB23:AB25)</f>
        <v>-174285.33250000002</v>
      </c>
      <c r="AC26" s="81"/>
      <c r="AD26" s="81"/>
      <c r="AE26" s="81"/>
      <c r="AF26" s="81">
        <f>SUM(AF23:AF25)</f>
        <v>-82438.399999999994</v>
      </c>
      <c r="AG26" s="81">
        <f>SUM(AG23:AG25)</f>
        <v>-218704.65749999997</v>
      </c>
      <c r="AH26" s="81">
        <f t="shared" ref="AH26:AL26" si="54">SUM(AH23:AH25)</f>
        <v>-48131.92</v>
      </c>
      <c r="AI26" s="81">
        <f t="shared" si="54"/>
        <v>-58522.960000000006</v>
      </c>
      <c r="AJ26" s="81">
        <f t="shared" si="54"/>
        <v>-63663.159999999996</v>
      </c>
      <c r="AK26" s="81">
        <f t="shared" si="54"/>
        <v>-87418.559999999983</v>
      </c>
      <c r="AL26" s="81">
        <f t="shared" si="54"/>
        <v>-257736.59999999998</v>
      </c>
      <c r="AM26" s="81">
        <f t="shared" ref="AM26" si="55">SUM(AM23:AM25)</f>
        <v>-73612.63</v>
      </c>
      <c r="AN26" s="81">
        <f t="shared" ref="AN26" si="56">SUM(AN23:AN25)</f>
        <v>-133223.04000000001</v>
      </c>
      <c r="AO26" s="81">
        <f t="shared" ref="AO26" si="57">SUM(AO23:AO25)</f>
        <v>-96138</v>
      </c>
      <c r="AP26" s="81">
        <f t="shared" ref="AP26" si="58">SUM(AP23:AP25)</f>
        <v>-101882.43</v>
      </c>
      <c r="AQ26" s="81">
        <f t="shared" ref="AQ26" si="59">SUM(AQ23:AQ25)</f>
        <v>-404856.1</v>
      </c>
      <c r="AR26" s="81">
        <f t="shared" ref="AR26" si="60">SUM(AR23:AR25)</f>
        <v>-107692.64</v>
      </c>
      <c r="AS26" s="81">
        <f t="shared" ref="AS26" si="61">SUM(AS23:AS25)</f>
        <v>-105332.26</v>
      </c>
      <c r="AT26" s="81">
        <f t="shared" ref="AT26" si="62">SUM(AT23:AT25)</f>
        <v>-106983.23999999999</v>
      </c>
      <c r="AU26" s="81">
        <f t="shared" ref="AU26" si="63">SUM(AU23:AU25)</f>
        <v>-110124</v>
      </c>
      <c r="AV26" s="81">
        <f t="shared" ref="AV26" si="64">SUM(AV23:AV25)</f>
        <v>-430132.14</v>
      </c>
      <c r="AW26" s="81">
        <f t="shared" ref="AW26" si="65">SUM(AW23:AW25)</f>
        <v>-107295.41</v>
      </c>
      <c r="AX26" s="81">
        <f t="shared" ref="AX26" si="66">SUM(AX23:AX25)</f>
        <v>-111727.5625</v>
      </c>
      <c r="AY26" s="81">
        <f t="shared" ref="AY26" si="67">SUM(AY23:AY25)</f>
        <v>-119598.48522499998</v>
      </c>
      <c r="AZ26" s="81">
        <f t="shared" ref="AZ26" si="68">SUM(AZ23:AZ25)</f>
        <v>-122812.79664843748</v>
      </c>
      <c r="BA26" s="81">
        <f t="shared" ref="BA26" si="69">SUM(BA23:BA25)</f>
        <v>-461434.25437343749</v>
      </c>
      <c r="BB26" s="81">
        <f t="shared" ref="BB26" si="70">SUM(BB23:BB25)</f>
        <v>-123295.90000000002</v>
      </c>
      <c r="BC26" s="81">
        <f t="shared" ref="BC26" si="71">SUM(BC23:BC25)</f>
        <v>-124813.27000000002</v>
      </c>
      <c r="BD26" s="81">
        <f t="shared" ref="BD26" si="72">SUM(BD23:BD25)</f>
        <v>-126354.67019999999</v>
      </c>
      <c r="BE26" s="81">
        <f t="shared" ref="BE26" si="73">SUM(BE23:BE25)</f>
        <v>-127920.50826</v>
      </c>
      <c r="BF26" s="81">
        <f t="shared" ref="BF26" si="74">SUM(BF23:BF25)</f>
        <v>-502384.34846000001</v>
      </c>
      <c r="BG26" s="81">
        <f t="shared" ref="BG26" si="75">SUM(BG23:BG25)</f>
        <v>-128075.80499999999</v>
      </c>
      <c r="BH26" s="81">
        <f t="shared" ref="BH26" si="76">SUM(BH23:BH25)</f>
        <v>-128592.56385000001</v>
      </c>
      <c r="BI26" s="81">
        <f t="shared" ref="BI26" si="77">SUM(BI23:BI25)</f>
        <v>-129538.27078650001</v>
      </c>
      <c r="BJ26" s="81">
        <f t="shared" ref="BJ26" si="78">SUM(BJ23:BJ25)</f>
        <v>-130490.03260534501</v>
      </c>
      <c r="BK26" s="81">
        <f t="shared" ref="BK26" si="79">SUM(BK23:BK25)</f>
        <v>-516696.67224184505</v>
      </c>
      <c r="BL26" s="81">
        <f t="shared" ref="BL26" si="80">SUM(BL23:BL25)</f>
        <v>-130745.64576048825</v>
      </c>
      <c r="BM26" s="81">
        <f t="shared" ref="BM26" si="81">SUM(BM23:BM25)</f>
        <v>-131560.90216273183</v>
      </c>
      <c r="BN26" s="81">
        <f t="shared" ref="BN26" si="82">SUM(BN23:BN25)</f>
        <v>-132524.75337844423</v>
      </c>
      <c r="BO26" s="81">
        <f t="shared" ref="BO26" si="83">SUM(BO23:BO25)</f>
        <v>-133494.72552825464</v>
      </c>
      <c r="BP26" s="81">
        <f t="shared" ref="BP26" si="84">SUM(BP23:BP25)</f>
        <v>-528326.02682991896</v>
      </c>
      <c r="BQ26" s="81">
        <f t="shared" ref="BQ26" si="85">SUM(BQ23:BQ25)</f>
        <v>-133994.07270572335</v>
      </c>
      <c r="BR26" s="81">
        <f t="shared" ref="BR26" si="86">SUM(BR23:BR25)</f>
        <v>-134501.95697598864</v>
      </c>
      <c r="BS26" s="81">
        <f t="shared" ref="BS26" si="87">SUM(BS23:BS25)</f>
        <v>-134860.26837438866</v>
      </c>
      <c r="BT26" s="81">
        <f t="shared" ref="BT26" si="88">SUM(BT23:BT25)</f>
        <v>-135843.45490505913</v>
      </c>
      <c r="BU26" s="81">
        <f t="shared" ref="BU26" si="89">SUM(BU23:BU25)</f>
        <v>-539199.7529611598</v>
      </c>
    </row>
    <row r="28" spans="1:73" s="79" customFormat="1">
      <c r="A28" s="314" t="s">
        <v>1944</v>
      </c>
      <c r="B28" s="314"/>
      <c r="C28" s="314"/>
      <c r="D28" s="314"/>
      <c r="E28" s="314"/>
      <c r="F28" s="314"/>
      <c r="G28" s="314"/>
      <c r="H28" s="314"/>
      <c r="I28" s="314"/>
      <c r="J28" s="314"/>
      <c r="K28" s="314"/>
      <c r="L28" s="314"/>
      <c r="M28" s="314"/>
      <c r="N28" s="314"/>
      <c r="O28" s="314"/>
      <c r="P28" s="314"/>
      <c r="Q28" s="314"/>
      <c r="R28" s="314"/>
      <c r="S28" s="314"/>
      <c r="T28" s="314"/>
      <c r="U28" s="314"/>
      <c r="V28" s="314"/>
      <c r="W28" s="314"/>
      <c r="X28" s="81"/>
      <c r="Y28" s="81"/>
      <c r="Z28" s="81"/>
      <c r="AA28" s="81"/>
      <c r="AB28" s="81">
        <f>AB19+AB26</f>
        <v>25352.522499999992</v>
      </c>
      <c r="AC28" s="81"/>
      <c r="AD28" s="81"/>
      <c r="AE28" s="81"/>
      <c r="AF28" s="81">
        <f>AF19+AF26</f>
        <v>-9836.3999999999942</v>
      </c>
      <c r="AG28" s="81">
        <f>AG19+AG26</f>
        <v>71004.952440603171</v>
      </c>
      <c r="AH28" s="81">
        <f t="shared" ref="AH28:BU28" si="90">AH19+AH26</f>
        <v>37937.759999999995</v>
      </c>
      <c r="AI28" s="81">
        <f t="shared" si="90"/>
        <v>25378.440000000002</v>
      </c>
      <c r="AJ28" s="81">
        <f t="shared" si="90"/>
        <v>34443.040000000001</v>
      </c>
      <c r="AK28" s="81">
        <f t="shared" si="90"/>
        <v>-6662.9999999999854</v>
      </c>
      <c r="AL28" s="81">
        <f t="shared" si="90"/>
        <v>91096.240000000049</v>
      </c>
      <c r="AM28" s="81">
        <f t="shared" si="90"/>
        <v>15330.210000000006</v>
      </c>
      <c r="AN28" s="81">
        <f t="shared" si="90"/>
        <v>-22688.640000000014</v>
      </c>
      <c r="AO28" s="81">
        <f t="shared" si="90"/>
        <v>19698</v>
      </c>
      <c r="AP28" s="81">
        <f t="shared" si="90"/>
        <v>21502.461079327506</v>
      </c>
      <c r="AQ28" s="81">
        <f t="shared" si="90"/>
        <v>33842.031079327513</v>
      </c>
      <c r="AR28" s="81">
        <f t="shared" si="90"/>
        <v>30937.339820048757</v>
      </c>
      <c r="AS28" s="81">
        <f t="shared" si="90"/>
        <v>36280.900609051998</v>
      </c>
      <c r="AT28" s="81">
        <f t="shared" si="90"/>
        <v>47109.308897796582</v>
      </c>
      <c r="AU28" s="81">
        <f t="shared" si="90"/>
        <v>43099.502459391311</v>
      </c>
      <c r="AV28" s="81">
        <f t="shared" si="90"/>
        <v>157427.0517862885</v>
      </c>
      <c r="AW28" s="81">
        <f t="shared" si="90"/>
        <v>49952.154500915552</v>
      </c>
      <c r="AX28" s="81">
        <f t="shared" si="90"/>
        <v>58825.469558377023</v>
      </c>
      <c r="AY28" s="81">
        <f t="shared" si="90"/>
        <v>67166.186735557276</v>
      </c>
      <c r="AZ28" s="81">
        <f t="shared" si="90"/>
        <v>58210.105832499685</v>
      </c>
      <c r="BA28" s="81">
        <f t="shared" si="90"/>
        <v>234153.91662734956</v>
      </c>
      <c r="BB28" s="81">
        <f t="shared" si="90"/>
        <v>66622.216054385382</v>
      </c>
      <c r="BC28" s="81">
        <f t="shared" si="90"/>
        <v>77277.93809157511</v>
      </c>
      <c r="BD28" s="81">
        <f t="shared" si="90"/>
        <v>86893.056842139398</v>
      </c>
      <c r="BE28" s="81">
        <f t="shared" si="90"/>
        <v>76766.283863183577</v>
      </c>
      <c r="BF28" s="81">
        <f t="shared" si="90"/>
        <v>307559.4948512835</v>
      </c>
      <c r="BG28" s="81">
        <f t="shared" si="90"/>
        <v>89457.662093658524</v>
      </c>
      <c r="BH28" s="81">
        <f t="shared" si="90"/>
        <v>101674.45234515454</v>
      </c>
      <c r="BI28" s="81">
        <f t="shared" si="90"/>
        <v>106967.10386961527</v>
      </c>
      <c r="BJ28" s="81">
        <f t="shared" si="90"/>
        <v>92419.82983653518</v>
      </c>
      <c r="BK28" s="81">
        <f t="shared" si="90"/>
        <v>390519.04814496345</v>
      </c>
      <c r="BL28" s="81">
        <f t="shared" si="90"/>
        <v>106547.68102040973</v>
      </c>
      <c r="BM28" s="81">
        <f t="shared" si="90"/>
        <v>120108.14913047786</v>
      </c>
      <c r="BN28" s="81">
        <f t="shared" si="90"/>
        <v>125221.35683383909</v>
      </c>
      <c r="BO28" s="81">
        <f t="shared" si="90"/>
        <v>108080.83764519083</v>
      </c>
      <c r="BP28" s="81">
        <f t="shared" si="90"/>
        <v>459958.02462991758</v>
      </c>
      <c r="BQ28" s="81">
        <f t="shared" si="90"/>
        <v>123145.29079497932</v>
      </c>
      <c r="BR28" s="81">
        <f t="shared" si="90"/>
        <v>137601.24258513824</v>
      </c>
      <c r="BS28" s="81">
        <f t="shared" si="90"/>
        <v>142120.5678472188</v>
      </c>
      <c r="BT28" s="81">
        <f t="shared" si="90"/>
        <v>121618.87883685136</v>
      </c>
      <c r="BU28" s="81">
        <f t="shared" si="90"/>
        <v>524485.98006418778</v>
      </c>
    </row>
    <row r="29" spans="1:73">
      <c r="A29" s="1" t="s">
        <v>1946</v>
      </c>
      <c r="AB29" s="119">
        <f>AB28/AB$6</f>
        <v>0.11790823877651699</v>
      </c>
      <c r="AF29" s="119">
        <f t="shared" ref="AF29" si="91">AF28/AF$6</f>
        <v>-0.12785388127853875</v>
      </c>
      <c r="AG29" s="119">
        <f t="shared" ref="AG29" si="92">AG28/AG$6</f>
        <v>0.23338723361150224</v>
      </c>
      <c r="AH29" s="119">
        <f t="shared" ref="AH29" si="93">AH28/AH$6</f>
        <v>0.42485549132947975</v>
      </c>
      <c r="AI29" s="119">
        <f t="shared" ref="AI29" si="94">AI28/AI$6</f>
        <v>0.2904761904761905</v>
      </c>
      <c r="AJ29" s="119">
        <f t="shared" ref="AJ29" si="95">AJ28/AJ$6</f>
        <v>0.33701657458563539</v>
      </c>
      <c r="AK29" s="119">
        <f t="shared" ref="AK29" si="96">AK28/AK$6</f>
        <v>-7.8988941548183089E-2</v>
      </c>
      <c r="AL29" s="119">
        <f t="shared" ref="AL29" si="97">AL28/AL$6</f>
        <v>0.2508035543441603</v>
      </c>
      <c r="AM29" s="119">
        <f t="shared" ref="AM29" si="98">AM28/AM$6</f>
        <v>0.16444444444444448</v>
      </c>
      <c r="AN29" s="119">
        <f t="shared" ref="AN29" si="99">AN28/AN$6</f>
        <v>-0.19354838709677433</v>
      </c>
      <c r="AO29" s="119">
        <f t="shared" ref="AO29" si="100">AO28/AO$6</f>
        <v>0.16262135922330098</v>
      </c>
      <c r="AP29" s="119">
        <f t="shared" ref="AP29" si="101">AP28/AP$6</f>
        <v>0.16829360048971523</v>
      </c>
      <c r="AQ29" s="119">
        <f t="shared" ref="AQ29" si="102">AQ28/AQ$6</f>
        <v>7.3674628675762133E-2</v>
      </c>
      <c r="AR29" s="119">
        <f t="shared" ref="AR29" si="103">AR28/AR$6</f>
        <v>0.21563883452732691</v>
      </c>
      <c r="AS29" s="119">
        <f t="shared" ref="AS29" si="104">AS28/AS$6</f>
        <v>0.24759666189037383</v>
      </c>
      <c r="AT29" s="119">
        <f t="shared" ref="AT29" si="105">AT28/AT$6</f>
        <v>0.29550861799989209</v>
      </c>
      <c r="AU29" s="119">
        <f t="shared" ref="AU29" si="106">AU28/AU$6</f>
        <v>0.27186373883321702</v>
      </c>
      <c r="AV29" s="119">
        <f t="shared" ref="AV29" si="107">AV28/AV$6</f>
        <v>0.25894661320696627</v>
      </c>
      <c r="AW29" s="119">
        <f t="shared" ref="AW29" si="108">AW28/AW$6</f>
        <v>0.3070984558181829</v>
      </c>
      <c r="AX29" s="119">
        <f t="shared" ref="AX29" si="109">AX28/AX$6</f>
        <v>0.33349721626655709</v>
      </c>
      <c r="AY29" s="119">
        <f t="shared" ref="AY29" si="110">AY28/AY$6</f>
        <v>0.34777078188733718</v>
      </c>
      <c r="AZ29" s="119">
        <f t="shared" ref="AZ29" si="111">AZ28/AZ$6</f>
        <v>0.31090133561300382</v>
      </c>
      <c r="BA29" s="119">
        <f t="shared" ref="BA29" si="112">BA28/BA$6</f>
        <v>0.32547968313507858</v>
      </c>
      <c r="BB29" s="119">
        <f t="shared" ref="BB29" si="113">BB28/BB$6</f>
        <v>0.33920681072030162</v>
      </c>
      <c r="BC29" s="119">
        <f t="shared" ref="BC29" si="114">BC28/BC$6</f>
        <v>0.3698200399906717</v>
      </c>
      <c r="BD29" s="119">
        <f t="shared" ref="BD29" si="115">BD28/BD$6</f>
        <v>0.39413003291418114</v>
      </c>
      <c r="BE29" s="119">
        <f t="shared" ref="BE29" si="116">BE28/BE$6</f>
        <v>0.36270763530137234</v>
      </c>
      <c r="BF29" s="119">
        <f t="shared" ref="BF29" si="117">BF28/BF$6</f>
        <v>0.36724283040720729</v>
      </c>
      <c r="BG29" s="119">
        <f t="shared" ref="BG29" si="118">BG28/BG$6</f>
        <v>0.39777819869615311</v>
      </c>
      <c r="BH29" s="119">
        <f t="shared" ref="BH29" si="119">BH28/BH$6</f>
        <v>0.42716374245483923</v>
      </c>
      <c r="BI29" s="119">
        <f t="shared" ref="BI29" si="120">BI28/BI$6</f>
        <v>0.43757381332385631</v>
      </c>
      <c r="BJ29" s="119">
        <f t="shared" ref="BJ29" si="121">BJ28/BJ$6</f>
        <v>0.40105723379131503</v>
      </c>
      <c r="BK29" s="119">
        <f t="shared" ref="BK29" si="122">BK28/BK$6</f>
        <v>0.41641550469192429</v>
      </c>
      <c r="BL29" s="119">
        <f t="shared" ref="BL29" si="123">BL28/BL$6</f>
        <v>0.43440358093253162</v>
      </c>
      <c r="BM29" s="119">
        <f t="shared" ref="BM29" si="124">BM28/BM$6</f>
        <v>0.46177943458692217</v>
      </c>
      <c r="BN29" s="119">
        <f t="shared" ref="BN29" si="125">BN28/BN$6</f>
        <v>0.47010614034407838</v>
      </c>
      <c r="BO29" s="119">
        <f t="shared" ref="BO29" si="126">BO28/BO$6</f>
        <v>0.43283867150289096</v>
      </c>
      <c r="BP29" s="119">
        <f t="shared" ref="BP29" si="127">BP28/BP$6</f>
        <v>0.4503023556464838</v>
      </c>
      <c r="BQ29" s="119">
        <f t="shared" ref="BQ29" si="128">BQ28/BQ$6</f>
        <v>0.46338371332058476</v>
      </c>
      <c r="BR29" s="119">
        <f t="shared" ref="BR29" si="129">BR28/BR$6</f>
        <v>0.4893641096604362</v>
      </c>
      <c r="BS29" s="119">
        <f t="shared" ref="BS29" si="130">BS28/BS$6</f>
        <v>0.49654812178362939</v>
      </c>
      <c r="BT29" s="119">
        <f t="shared" ref="BT29" si="131">BT28/BT$6</f>
        <v>0.45704231063002904</v>
      </c>
      <c r="BU29" s="119">
        <f t="shared" ref="BU29" si="132">BU28/BU$6</f>
        <v>0.47712944841331556</v>
      </c>
    </row>
    <row r="31" spans="1:73">
      <c r="A31" s="1" t="s">
        <v>1942</v>
      </c>
    </row>
    <row r="32" spans="1:73">
      <c r="A32" s="1" t="s">
        <v>1939</v>
      </c>
      <c r="AB32" s="59">
        <f>AB109*AB$54</f>
        <v>50492.89</v>
      </c>
      <c r="AF32" s="59">
        <f t="shared" ref="AF32:AK34" si="133">AF109*AF$54</f>
        <v>4801.0999999999995</v>
      </c>
      <c r="AG32" s="59">
        <f t="shared" si="133"/>
        <v>15903.742499999998</v>
      </c>
      <c r="AH32" s="59">
        <f t="shared" si="133"/>
        <v>-1806.56</v>
      </c>
      <c r="AI32" s="59">
        <f t="shared" si="133"/>
        <v>-8320.8000000000011</v>
      </c>
      <c r="AJ32" s="59">
        <f t="shared" si="133"/>
        <v>-846.96</v>
      </c>
      <c r="AK32" s="59">
        <f t="shared" si="133"/>
        <v>4664.0999999999995</v>
      </c>
      <c r="AL32" s="59">
        <f t="shared" ref="AL32:AL34" si="134">SUM(AH32:AK32)</f>
        <v>-6310.22</v>
      </c>
      <c r="AM32" s="59">
        <f t="shared" ref="AM32:AP34" si="135">AM109*AM$54</f>
        <v>-966.7700000000001</v>
      </c>
      <c r="AN32" s="59">
        <f t="shared" si="135"/>
        <v>-727.2</v>
      </c>
      <c r="AO32" s="59">
        <f t="shared" si="135"/>
        <v>-147</v>
      </c>
      <c r="AP32" s="59">
        <f t="shared" si="135"/>
        <v>-147.87</v>
      </c>
      <c r="AQ32" s="59">
        <f t="shared" ref="AQ32:AQ34" si="136">SUM(AM32:AP32)</f>
        <v>-1988.8400000000001</v>
      </c>
      <c r="AR32" s="59">
        <f t="shared" ref="AR32:AU34" si="137">AR109*AR$54</f>
        <v>0</v>
      </c>
      <c r="AS32" s="59">
        <f t="shared" si="137"/>
        <v>0</v>
      </c>
      <c r="AT32" s="59">
        <f t="shared" si="137"/>
        <v>0</v>
      </c>
      <c r="AU32" s="59">
        <f t="shared" si="137"/>
        <v>0</v>
      </c>
      <c r="AV32" s="59">
        <f t="shared" ref="AV32:AV34" si="138">SUM(AR32:AU32)</f>
        <v>0</v>
      </c>
      <c r="AW32" s="59">
        <f t="shared" ref="AW32:AZ34" si="139">AW109*AW$54</f>
        <v>0</v>
      </c>
      <c r="AX32" s="59">
        <f t="shared" si="139"/>
        <v>0</v>
      </c>
      <c r="AY32" s="59">
        <f t="shared" si="139"/>
        <v>0</v>
      </c>
      <c r="AZ32" s="59">
        <f t="shared" si="139"/>
        <v>0</v>
      </c>
      <c r="BA32" s="59">
        <f t="shared" ref="BA32:BA34" si="140">SUM(AW32:AZ32)</f>
        <v>0</v>
      </c>
      <c r="BB32" s="59">
        <f t="shared" ref="BB32:BE34" si="141">BB109*BB$54</f>
        <v>0</v>
      </c>
      <c r="BC32" s="59">
        <f t="shared" si="141"/>
        <v>0</v>
      </c>
      <c r="BD32" s="59">
        <f t="shared" si="141"/>
        <v>0</v>
      </c>
      <c r="BE32" s="59">
        <f t="shared" si="141"/>
        <v>0</v>
      </c>
      <c r="BF32" s="59">
        <f t="shared" ref="BF32:BF34" si="142">SUM(BB32:BE32)</f>
        <v>0</v>
      </c>
      <c r="BG32" s="59">
        <f t="shared" ref="BG32:BJ34" si="143">BG109*BG$54</f>
        <v>0</v>
      </c>
      <c r="BH32" s="59">
        <f t="shared" si="143"/>
        <v>0</v>
      </c>
      <c r="BI32" s="59">
        <f t="shared" si="143"/>
        <v>0</v>
      </c>
      <c r="BJ32" s="59">
        <f t="shared" si="143"/>
        <v>0</v>
      </c>
      <c r="BK32" s="59">
        <f t="shared" ref="BK32:BK34" si="144">SUM(BG32:BJ32)</f>
        <v>0</v>
      </c>
      <c r="BL32" s="59">
        <f t="shared" ref="BL32:BO34" si="145">BL109*BL$54</f>
        <v>0</v>
      </c>
      <c r="BM32" s="59">
        <f t="shared" si="145"/>
        <v>0</v>
      </c>
      <c r="BN32" s="59">
        <f t="shared" si="145"/>
        <v>0</v>
      </c>
      <c r="BO32" s="59">
        <f t="shared" si="145"/>
        <v>0</v>
      </c>
      <c r="BP32" s="59">
        <f t="shared" ref="BP32:BP34" si="146">SUM(BL32:BO32)</f>
        <v>0</v>
      </c>
      <c r="BQ32" s="59">
        <f t="shared" ref="BQ32:BT34" si="147">BQ109*BQ$54</f>
        <v>0</v>
      </c>
      <c r="BR32" s="59">
        <f t="shared" si="147"/>
        <v>0</v>
      </c>
      <c r="BS32" s="59">
        <f t="shared" si="147"/>
        <v>0</v>
      </c>
      <c r="BT32" s="59">
        <f t="shared" si="147"/>
        <v>0</v>
      </c>
      <c r="BU32" s="59">
        <f t="shared" ref="BU32:BU34" si="148">SUM(BQ32:BT32)</f>
        <v>0</v>
      </c>
    </row>
    <row r="33" spans="1:73">
      <c r="A33" s="1" t="s">
        <v>1940</v>
      </c>
      <c r="AB33" s="59">
        <f>AB110*AB$54</f>
        <v>-2121.5500000000002</v>
      </c>
      <c r="AF33" s="59">
        <f t="shared" si="133"/>
        <v>0</v>
      </c>
      <c r="AG33" s="59">
        <f t="shared" si="133"/>
        <v>1127.925</v>
      </c>
      <c r="AH33" s="59">
        <f t="shared" si="133"/>
        <v>516.16</v>
      </c>
      <c r="AI33" s="59">
        <f t="shared" si="133"/>
        <v>3189.6400000000003</v>
      </c>
      <c r="AJ33" s="59">
        <f t="shared" si="133"/>
        <v>-3246.68</v>
      </c>
      <c r="AK33" s="59">
        <f t="shared" si="133"/>
        <v>-133.26</v>
      </c>
      <c r="AL33" s="59">
        <f t="shared" si="134"/>
        <v>325.86000000000035</v>
      </c>
      <c r="AM33" s="59">
        <f t="shared" si="135"/>
        <v>3314.6400000000003</v>
      </c>
      <c r="AN33" s="59">
        <f t="shared" si="135"/>
        <v>2036.1599999999999</v>
      </c>
      <c r="AO33" s="59">
        <f t="shared" si="135"/>
        <v>-2205</v>
      </c>
      <c r="AP33" s="59">
        <f t="shared" si="135"/>
        <v>1478.7</v>
      </c>
      <c r="AQ33" s="59">
        <f t="shared" si="136"/>
        <v>4624.5</v>
      </c>
      <c r="AR33" s="59">
        <f t="shared" si="137"/>
        <v>0</v>
      </c>
      <c r="AS33" s="59">
        <f t="shared" si="137"/>
        <v>0</v>
      </c>
      <c r="AT33" s="59">
        <f t="shared" si="137"/>
        <v>0</v>
      </c>
      <c r="AU33" s="59">
        <f t="shared" si="137"/>
        <v>0</v>
      </c>
      <c r="AV33" s="59">
        <f t="shared" si="138"/>
        <v>0</v>
      </c>
      <c r="AW33" s="59">
        <f t="shared" si="139"/>
        <v>0</v>
      </c>
      <c r="AX33" s="59">
        <f t="shared" si="139"/>
        <v>0</v>
      </c>
      <c r="AY33" s="59">
        <f t="shared" si="139"/>
        <v>0</v>
      </c>
      <c r="AZ33" s="59">
        <f t="shared" si="139"/>
        <v>0</v>
      </c>
      <c r="BA33" s="59">
        <f t="shared" si="140"/>
        <v>0</v>
      </c>
      <c r="BB33" s="59">
        <f t="shared" si="141"/>
        <v>0</v>
      </c>
      <c r="BC33" s="59">
        <f t="shared" si="141"/>
        <v>0</v>
      </c>
      <c r="BD33" s="59">
        <f t="shared" si="141"/>
        <v>0</v>
      </c>
      <c r="BE33" s="59">
        <f t="shared" si="141"/>
        <v>0</v>
      </c>
      <c r="BF33" s="59">
        <f t="shared" si="142"/>
        <v>0</v>
      </c>
      <c r="BG33" s="59">
        <f t="shared" si="143"/>
        <v>0</v>
      </c>
      <c r="BH33" s="59">
        <f t="shared" si="143"/>
        <v>0</v>
      </c>
      <c r="BI33" s="59">
        <f t="shared" si="143"/>
        <v>0</v>
      </c>
      <c r="BJ33" s="59">
        <f t="shared" si="143"/>
        <v>0</v>
      </c>
      <c r="BK33" s="59">
        <f t="shared" si="144"/>
        <v>0</v>
      </c>
      <c r="BL33" s="59">
        <f t="shared" si="145"/>
        <v>0</v>
      </c>
      <c r="BM33" s="59">
        <f t="shared" si="145"/>
        <v>0</v>
      </c>
      <c r="BN33" s="59">
        <f t="shared" si="145"/>
        <v>0</v>
      </c>
      <c r="BO33" s="59">
        <f t="shared" si="145"/>
        <v>0</v>
      </c>
      <c r="BP33" s="59">
        <f t="shared" si="146"/>
        <v>0</v>
      </c>
      <c r="BQ33" s="59">
        <f t="shared" si="147"/>
        <v>0</v>
      </c>
      <c r="BR33" s="59">
        <f t="shared" si="147"/>
        <v>0</v>
      </c>
      <c r="BS33" s="59">
        <f t="shared" si="147"/>
        <v>0</v>
      </c>
      <c r="BT33" s="59">
        <f t="shared" si="147"/>
        <v>0</v>
      </c>
      <c r="BU33" s="59">
        <f t="shared" si="148"/>
        <v>0</v>
      </c>
    </row>
    <row r="34" spans="1:73">
      <c r="A34" s="436" t="s">
        <v>1941</v>
      </c>
      <c r="AB34" s="59">
        <f>AB111*AB$54</f>
        <v>212.155</v>
      </c>
      <c r="AF34" s="59">
        <f t="shared" si="133"/>
        <v>234.2</v>
      </c>
      <c r="AG34" s="59">
        <f t="shared" si="133"/>
        <v>225.58499999999998</v>
      </c>
      <c r="AH34" s="59">
        <f t="shared" si="133"/>
        <v>258.08</v>
      </c>
      <c r="AI34" s="59">
        <f t="shared" si="133"/>
        <v>832.08</v>
      </c>
      <c r="AJ34" s="59">
        <f t="shared" si="133"/>
        <v>1835.08</v>
      </c>
      <c r="AK34" s="59">
        <f t="shared" si="133"/>
        <v>2798.46</v>
      </c>
      <c r="AL34" s="59">
        <f t="shared" si="134"/>
        <v>5723.7</v>
      </c>
      <c r="AM34" s="59">
        <f t="shared" si="135"/>
        <v>-138.11000000000001</v>
      </c>
      <c r="AN34" s="59">
        <f t="shared" si="135"/>
        <v>4072.3199999999997</v>
      </c>
      <c r="AO34" s="59">
        <f t="shared" si="135"/>
        <v>4116</v>
      </c>
      <c r="AP34" s="59">
        <f t="shared" si="135"/>
        <v>3696.75</v>
      </c>
      <c r="AQ34" s="59">
        <f t="shared" si="136"/>
        <v>11746.96</v>
      </c>
      <c r="AR34" s="59">
        <f t="shared" si="137"/>
        <v>3913.25</v>
      </c>
      <c r="AS34" s="59">
        <f t="shared" si="137"/>
        <v>3756.5</v>
      </c>
      <c r="AT34" s="59">
        <f t="shared" si="137"/>
        <v>3783</v>
      </c>
      <c r="AU34" s="59">
        <f t="shared" si="137"/>
        <v>3823.7499999999995</v>
      </c>
      <c r="AV34" s="59">
        <f t="shared" si="138"/>
        <v>15276.5</v>
      </c>
      <c r="AW34" s="59">
        <f t="shared" si="139"/>
        <v>4355.7</v>
      </c>
      <c r="AX34" s="59">
        <f t="shared" si="139"/>
        <v>4425</v>
      </c>
      <c r="AY34" s="59">
        <f t="shared" si="139"/>
        <v>4621.2</v>
      </c>
      <c r="AZ34" s="59">
        <f t="shared" si="139"/>
        <v>4653</v>
      </c>
      <c r="BA34" s="59">
        <f t="shared" si="140"/>
        <v>18054.900000000001</v>
      </c>
      <c r="BB34" s="59">
        <f t="shared" si="141"/>
        <v>4641.0000000000009</v>
      </c>
      <c r="BC34" s="59">
        <f t="shared" si="141"/>
        <v>4629</v>
      </c>
      <c r="BD34" s="59">
        <f t="shared" si="141"/>
        <v>4617</v>
      </c>
      <c r="BE34" s="59">
        <f t="shared" si="141"/>
        <v>4605</v>
      </c>
      <c r="BF34" s="59">
        <f t="shared" si="142"/>
        <v>18492</v>
      </c>
      <c r="BG34" s="59">
        <f t="shared" si="143"/>
        <v>4593</v>
      </c>
      <c r="BH34" s="59">
        <f t="shared" si="143"/>
        <v>4581.0000000000009</v>
      </c>
      <c r="BI34" s="59">
        <f t="shared" si="143"/>
        <v>4569</v>
      </c>
      <c r="BJ34" s="59">
        <f t="shared" si="143"/>
        <v>4557</v>
      </c>
      <c r="BK34" s="59">
        <f t="shared" si="144"/>
        <v>18300</v>
      </c>
      <c r="BL34" s="59">
        <f t="shared" si="145"/>
        <v>4545</v>
      </c>
      <c r="BM34" s="59">
        <f t="shared" si="145"/>
        <v>4533</v>
      </c>
      <c r="BN34" s="59">
        <f t="shared" si="145"/>
        <v>4521.0000000000009</v>
      </c>
      <c r="BO34" s="59">
        <f t="shared" si="145"/>
        <v>4509</v>
      </c>
      <c r="BP34" s="59">
        <f t="shared" si="146"/>
        <v>18108</v>
      </c>
      <c r="BQ34" s="59">
        <f t="shared" si="147"/>
        <v>4497</v>
      </c>
      <c r="BR34" s="59">
        <f t="shared" si="147"/>
        <v>4485</v>
      </c>
      <c r="BS34" s="59">
        <f t="shared" si="147"/>
        <v>4473</v>
      </c>
      <c r="BT34" s="59">
        <f t="shared" si="147"/>
        <v>4461.0000000000009</v>
      </c>
      <c r="BU34" s="59">
        <f t="shared" si="148"/>
        <v>17916</v>
      </c>
    </row>
    <row r="35" spans="1:73">
      <c r="AB35" s="59"/>
    </row>
    <row r="36" spans="1:73" s="79" customFormat="1">
      <c r="A36" s="314" t="s">
        <v>2017</v>
      </c>
      <c r="B36" s="314"/>
      <c r="C36" s="314"/>
      <c r="D36" s="314"/>
      <c r="E36" s="314"/>
      <c r="F36" s="314"/>
      <c r="G36" s="314"/>
      <c r="H36" s="314"/>
      <c r="I36" s="314"/>
      <c r="J36" s="314"/>
      <c r="K36" s="314"/>
      <c r="L36" s="314"/>
      <c r="M36" s="314"/>
      <c r="N36" s="314"/>
      <c r="O36" s="314"/>
      <c r="P36" s="314"/>
      <c r="Q36" s="314"/>
      <c r="R36" s="314"/>
      <c r="S36" s="314"/>
      <c r="T36" s="314"/>
      <c r="U36" s="314"/>
      <c r="V36" s="314"/>
      <c r="W36" s="314"/>
      <c r="X36" s="81"/>
      <c r="Y36" s="81"/>
      <c r="Z36" s="81"/>
      <c r="AA36" s="81"/>
      <c r="AB36" s="81">
        <f>AB28+SUM(AB32:AB34)</f>
        <v>73936.017499999987</v>
      </c>
      <c r="AC36" s="81"/>
      <c r="AD36" s="81"/>
      <c r="AE36" s="81"/>
      <c r="AF36" s="81">
        <f>AF28+SUM(AF32:AF34)</f>
        <v>-4801.0999999999949</v>
      </c>
      <c r="AG36" s="81">
        <f>AG28+SUM(AG32:AG34)</f>
        <v>88262.204940603173</v>
      </c>
      <c r="AH36" s="81">
        <f t="shared" ref="AH36:BU36" si="149">AH28+SUM(AH32:AH34)</f>
        <v>36905.439999999995</v>
      </c>
      <c r="AI36" s="81">
        <f t="shared" si="149"/>
        <v>21079.360000000001</v>
      </c>
      <c r="AJ36" s="81">
        <f t="shared" si="149"/>
        <v>32184.48</v>
      </c>
      <c r="AK36" s="81">
        <f t="shared" si="149"/>
        <v>666.30000000001382</v>
      </c>
      <c r="AL36" s="81">
        <f t="shared" si="149"/>
        <v>90835.580000000045</v>
      </c>
      <c r="AM36" s="81">
        <f t="shared" si="149"/>
        <v>17539.970000000008</v>
      </c>
      <c r="AN36" s="81">
        <f t="shared" si="149"/>
        <v>-17307.360000000015</v>
      </c>
      <c r="AO36" s="81">
        <f t="shared" si="149"/>
        <v>21462</v>
      </c>
      <c r="AP36" s="81">
        <f t="shared" si="149"/>
        <v>26530.041079327508</v>
      </c>
      <c r="AQ36" s="81">
        <f t="shared" si="149"/>
        <v>48224.651079327508</v>
      </c>
      <c r="AR36" s="81">
        <f t="shared" si="149"/>
        <v>34850.589820048757</v>
      </c>
      <c r="AS36" s="81">
        <f t="shared" si="149"/>
        <v>40037.400609051998</v>
      </c>
      <c r="AT36" s="81">
        <f t="shared" si="149"/>
        <v>50892.308897796582</v>
      </c>
      <c r="AU36" s="81">
        <f t="shared" si="149"/>
        <v>46923.252459391311</v>
      </c>
      <c r="AV36" s="81">
        <f t="shared" si="149"/>
        <v>172703.5517862885</v>
      </c>
      <c r="AW36" s="81">
        <f t="shared" si="149"/>
        <v>54307.85450091555</v>
      </c>
      <c r="AX36" s="81">
        <f t="shared" si="149"/>
        <v>63250.469558377023</v>
      </c>
      <c r="AY36" s="81">
        <f t="shared" si="149"/>
        <v>71787.386735557273</v>
      </c>
      <c r="AZ36" s="81">
        <f t="shared" si="149"/>
        <v>62863.105832499685</v>
      </c>
      <c r="BA36" s="81">
        <f t="shared" si="149"/>
        <v>252208.81662734956</v>
      </c>
      <c r="BB36" s="81">
        <f t="shared" si="149"/>
        <v>71263.216054385382</v>
      </c>
      <c r="BC36" s="81">
        <f t="shared" si="149"/>
        <v>81906.93809157511</v>
      </c>
      <c r="BD36" s="81">
        <f t="shared" si="149"/>
        <v>91510.056842139398</v>
      </c>
      <c r="BE36" s="81">
        <f t="shared" si="149"/>
        <v>81371.283863183577</v>
      </c>
      <c r="BF36" s="81">
        <f t="shared" si="149"/>
        <v>326051.4948512835</v>
      </c>
      <c r="BG36" s="81">
        <f t="shared" si="149"/>
        <v>94050.662093658524</v>
      </c>
      <c r="BH36" s="81">
        <f t="shared" si="149"/>
        <v>106255.45234515454</v>
      </c>
      <c r="BI36" s="81">
        <f t="shared" si="149"/>
        <v>111536.10386961527</v>
      </c>
      <c r="BJ36" s="81">
        <f t="shared" si="149"/>
        <v>96976.82983653518</v>
      </c>
      <c r="BK36" s="81">
        <f t="shared" si="149"/>
        <v>408819.04814496345</v>
      </c>
      <c r="BL36" s="81">
        <f t="shared" si="149"/>
        <v>111092.68102040973</v>
      </c>
      <c r="BM36" s="81">
        <f t="shared" si="149"/>
        <v>124641.14913047786</v>
      </c>
      <c r="BN36" s="81">
        <f t="shared" si="149"/>
        <v>129742.35683383909</v>
      </c>
      <c r="BO36" s="81">
        <f t="shared" si="149"/>
        <v>112589.83764519083</v>
      </c>
      <c r="BP36" s="81">
        <f t="shared" si="149"/>
        <v>478066.02462991758</v>
      </c>
      <c r="BQ36" s="81">
        <f t="shared" si="149"/>
        <v>127642.29079497932</v>
      </c>
      <c r="BR36" s="81">
        <f t="shared" si="149"/>
        <v>142086.24258513824</v>
      </c>
      <c r="BS36" s="81">
        <f t="shared" si="149"/>
        <v>146593.5678472188</v>
      </c>
      <c r="BT36" s="81">
        <f t="shared" si="149"/>
        <v>126079.87883685136</v>
      </c>
      <c r="BU36" s="81">
        <f t="shared" si="149"/>
        <v>542401.98006418778</v>
      </c>
    </row>
    <row r="37" spans="1:73">
      <c r="A37" s="1" t="s">
        <v>2019</v>
      </c>
      <c r="AB37" s="119">
        <f>AB36/AB$6</f>
        <v>0.3438579181055747</v>
      </c>
      <c r="AF37" s="119">
        <f t="shared" ref="AF37:BU37" si="150">AF36/AF$6</f>
        <v>-6.240487062404864E-2</v>
      </c>
      <c r="AG37" s="119">
        <f t="shared" si="150"/>
        <v>0.29011035336965368</v>
      </c>
      <c r="AH37" s="119">
        <f t="shared" si="150"/>
        <v>0.41329479768786126</v>
      </c>
      <c r="AI37" s="119">
        <f t="shared" si="150"/>
        <v>0.24126984126984125</v>
      </c>
      <c r="AJ37" s="119">
        <f t="shared" si="150"/>
        <v>0.31491712707182323</v>
      </c>
      <c r="AK37" s="119">
        <f t="shared" si="150"/>
        <v>7.8988941548184897E-3</v>
      </c>
      <c r="AL37" s="119">
        <f t="shared" si="150"/>
        <v>0.25008591271070374</v>
      </c>
      <c r="AM37" s="119">
        <f t="shared" si="150"/>
        <v>0.1881481481481482</v>
      </c>
      <c r="AN37" s="119">
        <f t="shared" si="150"/>
        <v>-0.14764267990074453</v>
      </c>
      <c r="AO37" s="119">
        <f t="shared" si="150"/>
        <v>0.17718446601941748</v>
      </c>
      <c r="AP37" s="119">
        <f t="shared" si="150"/>
        <v>0.20764302829840145</v>
      </c>
      <c r="AQ37" s="119">
        <f t="shared" si="150"/>
        <v>0.10498581639380279</v>
      </c>
      <c r="AR37" s="119">
        <f t="shared" si="150"/>
        <v>0.24291489233069405</v>
      </c>
      <c r="AS37" s="119">
        <f t="shared" si="150"/>
        <v>0.27323265341146447</v>
      </c>
      <c r="AT37" s="119">
        <f t="shared" si="150"/>
        <v>0.31923872841859702</v>
      </c>
      <c r="AU37" s="119">
        <f t="shared" si="150"/>
        <v>0.29598325093995131</v>
      </c>
      <c r="AV37" s="119">
        <f t="shared" si="150"/>
        <v>0.28407442886361928</v>
      </c>
      <c r="AW37" s="119">
        <f t="shared" si="150"/>
        <v>0.33387665502444019</v>
      </c>
      <c r="AX37" s="119">
        <f t="shared" si="150"/>
        <v>0.35858371694489066</v>
      </c>
      <c r="AY37" s="119">
        <f t="shared" si="150"/>
        <v>0.37169827301594943</v>
      </c>
      <c r="AZ37" s="119">
        <f t="shared" si="150"/>
        <v>0.3357531013660156</v>
      </c>
      <c r="BA37" s="119">
        <f t="shared" si="150"/>
        <v>0.35057643665378163</v>
      </c>
      <c r="BB37" s="119">
        <f t="shared" si="150"/>
        <v>0.36283644812635568</v>
      </c>
      <c r="BC37" s="119">
        <f t="shared" si="150"/>
        <v>0.39197250688346336</v>
      </c>
      <c r="BD37" s="119">
        <f t="shared" si="150"/>
        <v>0.41507184838363415</v>
      </c>
      <c r="BE37" s="119">
        <f t="shared" si="150"/>
        <v>0.38446547711040985</v>
      </c>
      <c r="BF37" s="119">
        <f t="shared" si="150"/>
        <v>0.38932328811888939</v>
      </c>
      <c r="BG37" s="119">
        <f t="shared" si="150"/>
        <v>0.41820121472242305</v>
      </c>
      <c r="BH37" s="119">
        <f t="shared" si="150"/>
        <v>0.44640984665358863</v>
      </c>
      <c r="BI37" s="119">
        <f t="shared" si="150"/>
        <v>0.45626437033392236</v>
      </c>
      <c r="BJ37" s="119">
        <f t="shared" si="150"/>
        <v>0.42083240344505241</v>
      </c>
      <c r="BK37" s="119">
        <f t="shared" si="150"/>
        <v>0.43592903104117797</v>
      </c>
      <c r="BL37" s="119">
        <f t="shared" si="150"/>
        <v>0.45293391642580394</v>
      </c>
      <c r="BM37" s="119">
        <f t="shared" si="150"/>
        <v>0.47920744585956737</v>
      </c>
      <c r="BN37" s="119">
        <f t="shared" si="150"/>
        <v>0.48707888296749352</v>
      </c>
      <c r="BO37" s="119">
        <f t="shared" si="150"/>
        <v>0.4508961700597906</v>
      </c>
      <c r="BP37" s="119">
        <f t="shared" si="150"/>
        <v>0.46803022345052375</v>
      </c>
      <c r="BQ37" s="119">
        <f t="shared" si="150"/>
        <v>0.48030548552437924</v>
      </c>
      <c r="BR37" s="119">
        <f t="shared" si="150"/>
        <v>0.50531453271325899</v>
      </c>
      <c r="BS37" s="119">
        <f t="shared" si="150"/>
        <v>0.51217611836696586</v>
      </c>
      <c r="BT37" s="119">
        <f t="shared" si="150"/>
        <v>0.47380669595589314</v>
      </c>
      <c r="BU37" s="119">
        <f t="shared" si="150"/>
        <v>0.49342778911772639</v>
      </c>
    </row>
    <row r="39" spans="1:73">
      <c r="A39" s="1" t="s">
        <v>2020</v>
      </c>
      <c r="AB39" s="59">
        <f>AB117*AB$54</f>
        <v>-16229.8575</v>
      </c>
      <c r="AF39" s="59">
        <f t="shared" ref="AF39:AK39" si="151">AF117*AF$54</f>
        <v>1405.1999999999998</v>
      </c>
      <c r="AG39" s="59">
        <f t="shared" si="151"/>
        <v>-12407.174999999999</v>
      </c>
      <c r="AH39" s="59">
        <f t="shared" si="151"/>
        <v>-7871.44</v>
      </c>
      <c r="AI39" s="59">
        <f t="shared" si="151"/>
        <v>-5269.84</v>
      </c>
      <c r="AJ39" s="59">
        <f t="shared" si="151"/>
        <v>-6493.36</v>
      </c>
      <c r="AK39" s="59">
        <f t="shared" si="151"/>
        <v>-266.52</v>
      </c>
      <c r="AL39" s="59">
        <f t="shared" ref="AL39" si="152">SUM(AH39:AK39)</f>
        <v>-19901.16</v>
      </c>
      <c r="AM39" s="59">
        <f>AM117*AM$54</f>
        <v>-3038.42</v>
      </c>
      <c r="AN39" s="59">
        <f>AN117*AN$54</f>
        <v>1308.96</v>
      </c>
      <c r="AO39" s="59">
        <f>AO117*AO$54</f>
        <v>-8673</v>
      </c>
      <c r="AP39" s="59">
        <f>AP117*AP$54</f>
        <v>-8409.6671500349985</v>
      </c>
      <c r="AQ39" s="59">
        <f t="shared" ref="AQ39" si="153">SUM(AM39:AP39)</f>
        <v>-18812.127150034998</v>
      </c>
      <c r="AR39" s="59">
        <f>AR117*AR$54</f>
        <v>-9531.6378648335631</v>
      </c>
      <c r="AS39" s="59">
        <f>AS117*AS$54</f>
        <v>-10401.578154745799</v>
      </c>
      <c r="AT39" s="59">
        <f>AT117*AT$54</f>
        <v>-12296.814523506042</v>
      </c>
      <c r="AU39" s="59">
        <f>AU117*AU$54</f>
        <v>-11794.492032358243</v>
      </c>
      <c r="AV39" s="59">
        <f t="shared" ref="AV39" si="154">SUM(AR39:AU39)</f>
        <v>-44024.522575443647</v>
      </c>
      <c r="AW39" s="59">
        <f>AW117*AW$54</f>
        <v>-12377.949893473808</v>
      </c>
      <c r="AX39" s="59">
        <f>AX117*AX$54</f>
        <v>-14018.553754781551</v>
      </c>
      <c r="AY39" s="59">
        <f>AY117*AY$54</f>
        <v>-15752.23304865504</v>
      </c>
      <c r="AZ39" s="59">
        <f>AZ117*AZ$54</f>
        <v>-14493.467561952921</v>
      </c>
      <c r="BA39" s="59">
        <f t="shared" ref="BA39" si="155">SUM(AW39:AZ39)</f>
        <v>-56642.204258863319</v>
      </c>
      <c r="BB39" s="59">
        <f>BB117*BB$54</f>
        <v>-15468.974039236065</v>
      </c>
      <c r="BC39" s="59">
        <f>BC117*BC$54</f>
        <v>-17262.90351208112</v>
      </c>
      <c r="BD39" s="59">
        <f>BD117*BD$54</f>
        <v>-18955.08347807081</v>
      </c>
      <c r="BE39" s="59">
        <f>BE117*BE$54</f>
        <v>-17468.042495111265</v>
      </c>
      <c r="BF39" s="59">
        <f t="shared" ref="BF39" si="156">SUM(BB39:BE39)</f>
        <v>-69155.003524499261</v>
      </c>
      <c r="BG39" s="59">
        <f>BG117*BG$54</f>
        <v>-19121.46213784429</v>
      </c>
      <c r="BH39" s="59">
        <f>BH117*BH$54</f>
        <v>-21109.836301368912</v>
      </c>
      <c r="BI39" s="59">
        <f>BI117*BI$54</f>
        <v>-22163.343217928228</v>
      </c>
      <c r="BJ39" s="59">
        <f>BJ117*BJ$54</f>
        <v>-20014.397438307653</v>
      </c>
      <c r="BK39" s="59">
        <f t="shared" ref="BK39" si="157">SUM(BG39:BJ39)</f>
        <v>-82409.039095449087</v>
      </c>
      <c r="BL39" s="59">
        <f>BL117*BL$54</f>
        <v>-21923.054542828413</v>
      </c>
      <c r="BM39" s="59">
        <f>BM117*BM$54</f>
        <v>-24069.369878547517</v>
      </c>
      <c r="BN39" s="59">
        <f>BN117*BN$54</f>
        <v>-25105.997679492062</v>
      </c>
      <c r="BO39" s="59">
        <f>BO117*BO$54</f>
        <v>-22569.268086729924</v>
      </c>
      <c r="BP39" s="59">
        <f t="shared" ref="BP39" si="158">SUM(BL39:BO39)</f>
        <v>-93667.690187597909</v>
      </c>
      <c r="BQ39" s="59">
        <f>BQ117*BQ$54</f>
        <v>-24662.170416736215</v>
      </c>
      <c r="BR39" s="59">
        <f>BR117*BR$54</f>
        <v>-26895.052065940705</v>
      </c>
      <c r="BS39" s="59">
        <f>BS117*BS$54</f>
        <v>-27852.985181028591</v>
      </c>
      <c r="BT39" s="59">
        <f>BT117*BT$54</f>
        <v>-24813.316007908248</v>
      </c>
      <c r="BU39" s="59">
        <f t="shared" ref="BU39" si="159">SUM(BQ39:BT39)</f>
        <v>-104223.52367161376</v>
      </c>
    </row>
    <row r="40" spans="1:73">
      <c r="A40" s="1" t="s">
        <v>1502</v>
      </c>
      <c r="AB40" s="16">
        <f>-AB39/(AB36-AB32)</f>
        <v>0.69230769230769262</v>
      </c>
      <c r="AF40" s="16">
        <f>-AF39/(AF36-AF32)</f>
        <v>0.14634146341463422</v>
      </c>
      <c r="AG40" s="16">
        <f>-AG39/(AG36-AG32)</f>
        <v>0.17146819572326685</v>
      </c>
      <c r="AH40" s="16">
        <f t="shared" ref="AH40:AL40" si="160">-AH39/(AH36-AH32)</f>
        <v>0.20333333333333337</v>
      </c>
      <c r="AI40" s="16">
        <f t="shared" si="160"/>
        <v>0.17924528301886791</v>
      </c>
      <c r="AJ40" s="16">
        <f t="shared" si="160"/>
        <v>0.19658119658119655</v>
      </c>
      <c r="AK40" s="16">
        <f t="shared" si="160"/>
        <v>-6.6666666666666902E-2</v>
      </c>
      <c r="AL40" s="16">
        <f t="shared" si="160"/>
        <v>0.20485867634009902</v>
      </c>
      <c r="AM40" s="16">
        <f t="shared" ref="AM40" si="161">-AM39/(AM36-AM32)</f>
        <v>0.16417910447761186</v>
      </c>
      <c r="AN40" s="16">
        <f t="shared" ref="AN40" si="162">-AN39/(AN36-AN32)</f>
        <v>7.8947368421052572E-2</v>
      </c>
      <c r="AO40" s="16">
        <f t="shared" ref="AO40" si="163">-AO39/(AO36-AO32)</f>
        <v>0.40136054421768708</v>
      </c>
      <c r="AP40" s="16">
        <f t="shared" ref="AP40" si="164">-AP39/(AP36-AP32)</f>
        <v>0.31522959668875949</v>
      </c>
      <c r="AQ40" s="16">
        <f t="shared" ref="AQ40" si="165">-AQ39/(AQ36-AQ32)</f>
        <v>0.37464288472425694</v>
      </c>
      <c r="AR40" s="16">
        <f t="shared" ref="AR40" si="166">-AR39/(AR36-AR32)</f>
        <v>0.27350004444832171</v>
      </c>
      <c r="AS40" s="16">
        <f t="shared" ref="AS40" si="167">-AS39/(AS36-AS32)</f>
        <v>0.25979654014786668</v>
      </c>
      <c r="AT40" s="16">
        <f t="shared" ref="AT40" si="168">-AT39/(AT36-AT32)</f>
        <v>0.24162422161275612</v>
      </c>
      <c r="AU40" s="16">
        <f t="shared" ref="AU40" si="169">-AU39/(AU36-AU32)</f>
        <v>0.25135708660787154</v>
      </c>
      <c r="AV40" s="16">
        <f t="shared" ref="AV40" si="170">-AV39/(AV36-AV32)</f>
        <v>0.25491382267529544</v>
      </c>
      <c r="AW40" s="16">
        <f t="shared" ref="AW40" si="171">-AW39/(AW36-AW32)</f>
        <v>0.22792190940382545</v>
      </c>
      <c r="AX40" s="16">
        <f t="shared" ref="AX40" si="172">-AX39/(AX36-AX32)</f>
        <v>0.22163556812559512</v>
      </c>
      <c r="AY40" s="16">
        <f t="shared" ref="AY40" si="173">-AY39/(AY36-AY32)</f>
        <v>0.21942898000565805</v>
      </c>
      <c r="AZ40" s="16">
        <f t="shared" ref="AZ40" si="174">-AZ39/(AZ36-AZ32)</f>
        <v>0.23055602121490987</v>
      </c>
      <c r="BA40" s="16">
        <f t="shared" ref="BA40" si="175">-BA39/(BA36-BA32)</f>
        <v>0.22458455265881863</v>
      </c>
      <c r="BB40" s="16">
        <f t="shared" ref="BB40" si="176">-BB39/(BB36-BB32)</f>
        <v>0.21706814392758714</v>
      </c>
      <c r="BC40" s="16">
        <f t="shared" ref="BC40" si="177">-BC39/(BC36-BC32)</f>
        <v>0.21076240809759644</v>
      </c>
      <c r="BD40" s="16">
        <f t="shared" ref="BD40" si="178">-BD39/(BD36-BD32)</f>
        <v>0.20713661571393754</v>
      </c>
      <c r="BE40" s="16">
        <f t="shared" ref="BE40" si="179">-BE39/(BE36-BE32)</f>
        <v>0.21467084781999707</v>
      </c>
      <c r="BF40" s="16">
        <f t="shared" ref="BF40" si="180">-BF39/(BF36-BF32)</f>
        <v>0.21209840965778057</v>
      </c>
      <c r="BG40" s="16">
        <f t="shared" ref="BG40" si="181">-BG39/(BG36-BG32)</f>
        <v>0.20331023420975552</v>
      </c>
      <c r="BH40" s="16">
        <f t="shared" ref="BH40" si="182">-BH39/(BH36-BH32)</f>
        <v>0.19867061722909848</v>
      </c>
      <c r="BI40" s="16">
        <f t="shared" ref="BI40" si="183">-BI39/(BI36-BI32)</f>
        <v>0.19871003602418266</v>
      </c>
      <c r="BJ40" s="16">
        <f t="shared" ref="BJ40" si="184">-BJ39/(BJ36-BJ32)</f>
        <v>0.20638329250444731</v>
      </c>
      <c r="BK40" s="16">
        <f t="shared" ref="BK40" si="185">-BK39/(BK36-BK32)</f>
        <v>0.20157827642665907</v>
      </c>
      <c r="BL40" s="16">
        <f t="shared" ref="BL40" si="186">-BL39/(BL36-BL32)</f>
        <v>0.19734022386948022</v>
      </c>
      <c r="BM40" s="16">
        <f t="shared" ref="BM40" si="187">-BM39/(BM36-BM32)</f>
        <v>0.19310933866111121</v>
      </c>
      <c r="BN40" s="16">
        <f t="shared" ref="BN40" si="188">-BN39/(BN36-BN32)</f>
        <v>0.19350656402554248</v>
      </c>
      <c r="BO40" s="16">
        <f t="shared" ref="BO40" si="189">-BO39/(BO36-BO32)</f>
        <v>0.20045564110193875</v>
      </c>
      <c r="BP40" s="16">
        <f t="shared" ref="BP40" si="190">-BP39/(BP36-BP32)</f>
        <v>0.19593044759896569</v>
      </c>
      <c r="BQ40" s="16">
        <f>-BQ39/(BQ36-BQ32)</f>
        <v>0.19321316049042797</v>
      </c>
      <c r="BR40" s="16">
        <f t="shared" ref="BR40" si="191">-BR39/(BR36-BR32)</f>
        <v>0.18928681325234678</v>
      </c>
      <c r="BS40" s="16">
        <f t="shared" ref="BS40" si="192">-BS39/(BS36-BS32)</f>
        <v>0.19000141404605989</v>
      </c>
      <c r="BT40" s="16">
        <f t="shared" ref="BT40" si="193">-BT39/(BT36-BT32)</f>
        <v>0.1968063122904562</v>
      </c>
      <c r="BU40" s="16">
        <f t="shared" ref="BU40" si="194">-BU39/(BU36-BU32)</f>
        <v>0.19215181268195217</v>
      </c>
    </row>
    <row r="42" spans="1:73" s="79" customFormat="1">
      <c r="A42" s="314" t="s">
        <v>2024</v>
      </c>
      <c r="B42" s="314"/>
      <c r="C42" s="314"/>
      <c r="D42" s="314"/>
      <c r="E42" s="314"/>
      <c r="F42" s="314"/>
      <c r="G42" s="314"/>
      <c r="H42" s="314"/>
      <c r="I42" s="314"/>
      <c r="J42" s="314"/>
      <c r="K42" s="314"/>
      <c r="L42" s="314"/>
      <c r="M42" s="314"/>
      <c r="N42" s="314"/>
      <c r="O42" s="314"/>
      <c r="P42" s="314"/>
      <c r="Q42" s="314"/>
      <c r="R42" s="314"/>
      <c r="S42" s="314"/>
      <c r="T42" s="314"/>
      <c r="U42" s="314"/>
      <c r="V42" s="314"/>
      <c r="W42" s="314"/>
      <c r="X42" s="81"/>
      <c r="Y42" s="81"/>
      <c r="Z42" s="81"/>
      <c r="AA42" s="81"/>
      <c r="AB42" s="81">
        <f>AB36+AB39</f>
        <v>57706.159999999989</v>
      </c>
      <c r="AC42" s="81"/>
      <c r="AD42" s="81"/>
      <c r="AE42" s="81"/>
      <c r="AF42" s="81">
        <f t="shared" ref="AF42:BU42" si="195">AF36+AF39</f>
        <v>-3395.8999999999951</v>
      </c>
      <c r="AG42" s="81">
        <f t="shared" si="195"/>
        <v>75855.02994060317</v>
      </c>
      <c r="AH42" s="81">
        <f t="shared" si="195"/>
        <v>29033.999999999996</v>
      </c>
      <c r="AI42" s="81">
        <f t="shared" si="195"/>
        <v>15809.52</v>
      </c>
      <c r="AJ42" s="81">
        <f t="shared" si="195"/>
        <v>25691.119999999999</v>
      </c>
      <c r="AK42" s="81">
        <f t="shared" si="195"/>
        <v>399.78000000001384</v>
      </c>
      <c r="AL42" s="81">
        <f t="shared" si="195"/>
        <v>70934.420000000042</v>
      </c>
      <c r="AM42" s="81">
        <f t="shared" si="195"/>
        <v>14501.550000000008</v>
      </c>
      <c r="AN42" s="81">
        <f t="shared" si="195"/>
        <v>-15998.400000000016</v>
      </c>
      <c r="AO42" s="81">
        <f t="shared" si="195"/>
        <v>12789</v>
      </c>
      <c r="AP42" s="81">
        <f t="shared" si="195"/>
        <v>18120.373929292509</v>
      </c>
      <c r="AQ42" s="81">
        <f t="shared" si="195"/>
        <v>29412.523929292511</v>
      </c>
      <c r="AR42" s="81">
        <f t="shared" si="195"/>
        <v>25318.951955215194</v>
      </c>
      <c r="AS42" s="81">
        <f t="shared" si="195"/>
        <v>29635.822454306199</v>
      </c>
      <c r="AT42" s="81">
        <f t="shared" si="195"/>
        <v>38595.494374290538</v>
      </c>
      <c r="AU42" s="81">
        <f t="shared" si="195"/>
        <v>35128.76042703307</v>
      </c>
      <c r="AV42" s="81">
        <f t="shared" si="195"/>
        <v>128679.02921084486</v>
      </c>
      <c r="AW42" s="81">
        <f t="shared" si="195"/>
        <v>41929.904607441742</v>
      </c>
      <c r="AX42" s="81">
        <f t="shared" si="195"/>
        <v>49231.915803595475</v>
      </c>
      <c r="AY42" s="81">
        <f t="shared" si="195"/>
        <v>56035.153686902231</v>
      </c>
      <c r="AZ42" s="81">
        <f t="shared" si="195"/>
        <v>48369.638270546762</v>
      </c>
      <c r="BA42" s="81">
        <f t="shared" si="195"/>
        <v>195566.61236848624</v>
      </c>
      <c r="BB42" s="81">
        <f t="shared" si="195"/>
        <v>55794.242015149313</v>
      </c>
      <c r="BC42" s="81">
        <f t="shared" si="195"/>
        <v>64644.034579493993</v>
      </c>
      <c r="BD42" s="81">
        <f t="shared" si="195"/>
        <v>72554.973364068588</v>
      </c>
      <c r="BE42" s="81">
        <f t="shared" si="195"/>
        <v>63903.241368072311</v>
      </c>
      <c r="BF42" s="81">
        <f t="shared" si="195"/>
        <v>256896.49132678425</v>
      </c>
      <c r="BG42" s="81">
        <f t="shared" si="195"/>
        <v>74929.199955814227</v>
      </c>
      <c r="BH42" s="81">
        <f t="shared" si="195"/>
        <v>85145.616043785631</v>
      </c>
      <c r="BI42" s="81">
        <f t="shared" si="195"/>
        <v>89372.760651687044</v>
      </c>
      <c r="BJ42" s="81">
        <f t="shared" si="195"/>
        <v>76962.432398227524</v>
      </c>
      <c r="BK42" s="81">
        <f t="shared" si="195"/>
        <v>326410.00904951437</v>
      </c>
      <c r="BL42" s="81">
        <f t="shared" si="195"/>
        <v>89169.626477581318</v>
      </c>
      <c r="BM42" s="81">
        <f t="shared" si="195"/>
        <v>100571.77925193035</v>
      </c>
      <c r="BN42" s="81">
        <f t="shared" si="195"/>
        <v>104636.35915434702</v>
      </c>
      <c r="BO42" s="81">
        <f t="shared" si="195"/>
        <v>90020.569558460906</v>
      </c>
      <c r="BP42" s="81">
        <f t="shared" si="195"/>
        <v>384398.3344423197</v>
      </c>
      <c r="BQ42" s="81">
        <f t="shared" si="195"/>
        <v>102980.1203782431</v>
      </c>
      <c r="BR42" s="81">
        <f t="shared" si="195"/>
        <v>115191.19051919754</v>
      </c>
      <c r="BS42" s="81">
        <f t="shared" si="195"/>
        <v>118740.58266619021</v>
      </c>
      <c r="BT42" s="81">
        <f t="shared" si="195"/>
        <v>101266.56282894312</v>
      </c>
      <c r="BU42" s="81">
        <f t="shared" si="195"/>
        <v>438178.45639257401</v>
      </c>
    </row>
    <row r="43" spans="1:73">
      <c r="A43" s="1" t="s">
        <v>2025</v>
      </c>
      <c r="AB43" s="119">
        <f>AB42/AB$6</f>
        <v>0.26837691169215583</v>
      </c>
      <c r="AF43" s="119">
        <f t="shared" ref="AF43:BU43" si="196">AF42/AF$6</f>
        <v>-4.414003044140024E-2</v>
      </c>
      <c r="AG43" s="119">
        <f t="shared" si="196"/>
        <v>0.24932902543895655</v>
      </c>
      <c r="AH43" s="119">
        <f t="shared" si="196"/>
        <v>0.32514450867052019</v>
      </c>
      <c r="AI43" s="119">
        <f t="shared" si="196"/>
        <v>0.18095238095238095</v>
      </c>
      <c r="AJ43" s="119">
        <f t="shared" si="196"/>
        <v>0.25138121546961328</v>
      </c>
      <c r="AK43" s="119">
        <f t="shared" si="196"/>
        <v>4.7393364928911604E-3</v>
      </c>
      <c r="AL43" s="119">
        <f t="shared" si="196"/>
        <v>0.19529460997886952</v>
      </c>
      <c r="AM43" s="119">
        <f t="shared" si="196"/>
        <v>0.15555555555555561</v>
      </c>
      <c r="AN43" s="119">
        <f t="shared" si="196"/>
        <v>-0.13647642679900759</v>
      </c>
      <c r="AO43" s="119">
        <f t="shared" si="196"/>
        <v>0.10558252427184465</v>
      </c>
      <c r="AP43" s="119">
        <f t="shared" si="196"/>
        <v>0.14182297363683824</v>
      </c>
      <c r="AQ43" s="119">
        <f t="shared" si="196"/>
        <v>6.4031522630191212E-2</v>
      </c>
      <c r="AR43" s="119">
        <f t="shared" si="196"/>
        <v>0.17647765848108996</v>
      </c>
      <c r="AS43" s="119">
        <f t="shared" si="196"/>
        <v>0.20224775539974479</v>
      </c>
      <c r="AT43" s="119">
        <f t="shared" si="196"/>
        <v>0.24210291915580745</v>
      </c>
      <c r="AU43" s="119">
        <f t="shared" si="196"/>
        <v>0.22158576329895863</v>
      </c>
      <c r="AV43" s="119">
        <f t="shared" si="196"/>
        <v>0.21165993027769281</v>
      </c>
      <c r="AW43" s="119">
        <f t="shared" si="196"/>
        <v>0.25777885030590747</v>
      </c>
      <c r="AX43" s="119">
        <f t="shared" si="196"/>
        <v>0.27910881111922226</v>
      </c>
      <c r="AY43" s="119">
        <f t="shared" si="196"/>
        <v>0.29013690009819504</v>
      </c>
      <c r="AZ43" s="119">
        <f t="shared" si="196"/>
        <v>0.25834320220450074</v>
      </c>
      <c r="BA43" s="119">
        <f t="shared" si="196"/>
        <v>0.27184238445516939</v>
      </c>
      <c r="BB43" s="119">
        <f t="shared" si="196"/>
        <v>0.28407621378228937</v>
      </c>
      <c r="BC43" s="119">
        <f t="shared" si="196"/>
        <v>0.30935943742465294</v>
      </c>
      <c r="BD43" s="119">
        <f t="shared" si="196"/>
        <v>0.32909527043131959</v>
      </c>
      <c r="BE43" s="119">
        <f t="shared" si="196"/>
        <v>0.30193194718159849</v>
      </c>
      <c r="BF43" s="119">
        <f t="shared" si="196"/>
        <v>0.30674843786613504</v>
      </c>
      <c r="BG43" s="119">
        <f t="shared" si="196"/>
        <v>0.33317662781040297</v>
      </c>
      <c r="BH43" s="119">
        <f t="shared" si="196"/>
        <v>0.35772132688177294</v>
      </c>
      <c r="BI43" s="119">
        <f t="shared" si="196"/>
        <v>0.36560006086831764</v>
      </c>
      <c r="BJ43" s="119">
        <f t="shared" si="196"/>
        <v>0.33397962642950257</v>
      </c>
      <c r="BK43" s="119">
        <f t="shared" si="196"/>
        <v>0.34805520831955378</v>
      </c>
      <c r="BL43" s="119">
        <f t="shared" si="196"/>
        <v>0.36355183596025537</v>
      </c>
      <c r="BM43" s="119">
        <f t="shared" si="196"/>
        <v>0.38666801290814606</v>
      </c>
      <c r="BN43" s="119">
        <f t="shared" si="196"/>
        <v>0.3928259219150545</v>
      </c>
      <c r="BO43" s="119">
        <f t="shared" si="196"/>
        <v>0.3605114892200465</v>
      </c>
      <c r="BP43" s="119">
        <f t="shared" si="196"/>
        <v>0.37632885228001872</v>
      </c>
      <c r="BQ43" s="119">
        <f t="shared" si="196"/>
        <v>0.3875041446653244</v>
      </c>
      <c r="BR43" s="119">
        <f t="shared" si="196"/>
        <v>0.40966515512586749</v>
      </c>
      <c r="BS43" s="119">
        <f t="shared" si="196"/>
        <v>0.41486193163662022</v>
      </c>
      <c r="BT43" s="119">
        <f t="shared" si="196"/>
        <v>0.38055854738628841</v>
      </c>
      <c r="BU43" s="119">
        <f t="shared" si="196"/>
        <v>0.39861474501110722</v>
      </c>
    </row>
    <row r="45" spans="1:73" s="44" customFormat="1">
      <c r="A45" s="49" t="s">
        <v>1957</v>
      </c>
    </row>
    <row r="47" spans="1:73">
      <c r="A47" s="1" t="s">
        <v>1401</v>
      </c>
    </row>
    <row r="48" spans="1:73">
      <c r="A48" s="1" t="s">
        <v>28</v>
      </c>
    </row>
    <row r="50" spans="1:77" s="79" customFormat="1">
      <c r="A50" s="79" t="s">
        <v>1922</v>
      </c>
      <c r="AB50" s="59">
        <f t="shared" ref="AB50:BU50" si="197">AB51-AB6</f>
        <v>-14108.307499999995</v>
      </c>
      <c r="AC50" s="59">
        <f t="shared" si="197"/>
        <v>-2749.7707558981638</v>
      </c>
      <c r="AD50" s="59">
        <f t="shared" si="197"/>
        <v>-3640.6950228890346</v>
      </c>
      <c r="AE50" s="59">
        <f t="shared" si="197"/>
        <v>-2708.1704702870848</v>
      </c>
      <c r="AF50" s="59">
        <f t="shared" si="197"/>
        <v>-4332.6999999999971</v>
      </c>
      <c r="AG50" s="59">
        <f t="shared" si="197"/>
        <v>-13431.336249074258</v>
      </c>
      <c r="AH50" s="59">
        <f t="shared" si="197"/>
        <v>-2967.9199999999983</v>
      </c>
      <c r="AI50" s="59">
        <f t="shared" si="197"/>
        <v>-3328.320000000007</v>
      </c>
      <c r="AJ50" s="59">
        <f t="shared" si="197"/>
        <v>-3811.3199999999924</v>
      </c>
      <c r="AK50" s="59">
        <f t="shared" si="197"/>
        <v>-3331.5</v>
      </c>
      <c r="AL50" s="59">
        <f t="shared" si="197"/>
        <v>-13439.060000000056</v>
      </c>
      <c r="AM50" s="59">
        <f t="shared" si="197"/>
        <v>-3314.6399999999994</v>
      </c>
      <c r="AN50" s="59">
        <f t="shared" si="197"/>
        <v>-3781.4400000000023</v>
      </c>
      <c r="AO50" s="59">
        <f t="shared" si="197"/>
        <v>-3822</v>
      </c>
      <c r="AP50" s="59">
        <f t="shared" si="197"/>
        <v>-4382.6593014225073</v>
      </c>
      <c r="AQ50" s="59">
        <f t="shared" si="197"/>
        <v>-15300.739301422494</v>
      </c>
      <c r="AR50" s="59">
        <f t="shared" si="197"/>
        <v>-4838.3332408262359</v>
      </c>
      <c r="AS50" s="59">
        <f t="shared" si="197"/>
        <v>-4919.1081705479883</v>
      </c>
      <c r="AT50" s="59">
        <f t="shared" si="197"/>
        <v>-5325.166959863418</v>
      </c>
      <c r="AU50" s="59">
        <f t="shared" si="197"/>
        <v>-5309.9696555934497</v>
      </c>
      <c r="AV50" s="59">
        <f t="shared" si="197"/>
        <v>-20392.57802683115</v>
      </c>
      <c r="AW50" s="59">
        <f t="shared" si="197"/>
        <v>-5410.871432378859</v>
      </c>
      <c r="AX50" s="59">
        <f t="shared" si="197"/>
        <v>-5836.6548389165837</v>
      </c>
      <c r="AY50" s="59">
        <f t="shared" si="197"/>
        <v>-6368.8235304936243</v>
      </c>
      <c r="AZ50" s="59">
        <f t="shared" si="197"/>
        <v>-6207.2543716439977</v>
      </c>
      <c r="BA50" s="59">
        <f t="shared" si="197"/>
        <v>-23823.604173433036</v>
      </c>
      <c r="BB50" s="59">
        <f t="shared" si="197"/>
        <v>-6487.7754220088827</v>
      </c>
      <c r="BC50" s="59">
        <f t="shared" si="197"/>
        <v>-6869.7181295251648</v>
      </c>
      <c r="BD50" s="59">
        <f t="shared" si="197"/>
        <v>-7220.2647007271298</v>
      </c>
      <c r="BE50" s="59">
        <f t="shared" si="197"/>
        <v>-6961.037676149921</v>
      </c>
      <c r="BF50" s="59">
        <f t="shared" si="197"/>
        <v>-27538.795928411069</v>
      </c>
      <c r="BG50" s="59">
        <f t="shared" si="197"/>
        <v>-7359.8588525220111</v>
      </c>
      <c r="BH50" s="59">
        <f t="shared" si="197"/>
        <v>-7755.1805410391826</v>
      </c>
      <c r="BI50" s="59">
        <f t="shared" si="197"/>
        <v>-7949.6192501287733</v>
      </c>
      <c r="BJ50" s="59">
        <f t="shared" si="197"/>
        <v>-7530.6384384122503</v>
      </c>
      <c r="BK50" s="59">
        <f t="shared" si="197"/>
        <v>-30595.297082102159</v>
      </c>
      <c r="BL50" s="59">
        <f t="shared" si="197"/>
        <v>-7980.1601265636273</v>
      </c>
      <c r="BM50" s="59">
        <f t="shared" si="197"/>
        <v>-8429.4722322452581</v>
      </c>
      <c r="BN50" s="59">
        <f t="shared" si="197"/>
        <v>-8622.1544995699078</v>
      </c>
      <c r="BO50" s="59">
        <f t="shared" si="197"/>
        <v>-8126.7965300334326</v>
      </c>
      <c r="BP50" s="59">
        <f t="shared" si="197"/>
        <v>-33158.583388412138</v>
      </c>
      <c r="BQ50" s="59">
        <f t="shared" si="197"/>
        <v>-8612.9433996116859</v>
      </c>
      <c r="BR50" s="59">
        <f t="shared" si="197"/>
        <v>-9080.5649789781892</v>
      </c>
      <c r="BS50" s="59">
        <f t="shared" si="197"/>
        <v>-9236.2726795672206</v>
      </c>
      <c r="BT50" s="59">
        <f t="shared" si="197"/>
        <v>-8637.4911718939838</v>
      </c>
      <c r="BU50" s="59">
        <f t="shared" si="197"/>
        <v>-35567.272230050992</v>
      </c>
    </row>
    <row r="51" spans="1:77" s="79" customFormat="1">
      <c r="A51" s="314" t="s">
        <v>1920</v>
      </c>
      <c r="B51" s="314"/>
      <c r="C51" s="314"/>
      <c r="D51" s="314"/>
      <c r="E51" s="314"/>
      <c r="F51" s="314"/>
      <c r="G51" s="314"/>
      <c r="H51" s="314"/>
      <c r="I51" s="314"/>
      <c r="J51" s="314"/>
      <c r="K51" s="314"/>
      <c r="L51" s="314"/>
      <c r="M51" s="314"/>
      <c r="N51" s="314"/>
      <c r="O51" s="314"/>
      <c r="P51" s="314"/>
      <c r="Q51" s="314"/>
      <c r="R51" s="314"/>
      <c r="S51" s="314"/>
      <c r="T51" s="314"/>
      <c r="U51" s="314"/>
      <c r="V51" s="314"/>
      <c r="W51" s="314"/>
      <c r="X51" s="81"/>
      <c r="Y51" s="81"/>
      <c r="Z51" s="81"/>
      <c r="AA51" s="81"/>
      <c r="AB51" s="81">
        <f>AB130*AB$54</f>
        <v>200910.785</v>
      </c>
      <c r="AC51" s="81">
        <f>AC130*AC$54</f>
        <v>71500.229244101836</v>
      </c>
      <c r="AD51" s="81">
        <f>AD130*AD$54</f>
        <v>83409.664977110966</v>
      </c>
      <c r="AE51" s="81">
        <f>AE130*AE$54</f>
        <v>63293.429529712907</v>
      </c>
      <c r="AF51" s="81">
        <f>AF130*AF$54</f>
        <v>72602</v>
      </c>
      <c r="AG51" s="81">
        <f>SUM(AC51:AF51)</f>
        <v>290805.32375092572</v>
      </c>
      <c r="AH51" s="81">
        <f>AH130*AH$54</f>
        <v>86327.76</v>
      </c>
      <c r="AI51" s="81">
        <f>AI130*AI$54</f>
        <v>84040.08</v>
      </c>
      <c r="AJ51" s="81">
        <f>AJ130*AJ$54</f>
        <v>98388.52</v>
      </c>
      <c r="AK51" s="81">
        <f>AK130*AK$54</f>
        <v>81022.079999999987</v>
      </c>
      <c r="AL51" s="81">
        <f>SUM(AH51:AK51)</f>
        <v>349778.43999999994</v>
      </c>
      <c r="AM51" s="81">
        <f>AM130*AM$54</f>
        <v>89909.610000000015</v>
      </c>
      <c r="AN51" s="81">
        <f>AN130*AN$54</f>
        <v>113443.2</v>
      </c>
      <c r="AO51" s="81">
        <f>AO130*AO$54</f>
        <v>117306</v>
      </c>
      <c r="AP51" s="81">
        <f>AP130*AP$54</f>
        <v>123384.8910793275</v>
      </c>
      <c r="AQ51" s="81">
        <f>SUM(AM51:AP51)</f>
        <v>444043.7010793275</v>
      </c>
      <c r="AR51" s="81">
        <f>AR130*AR$54</f>
        <v>138629.97982004876</v>
      </c>
      <c r="AS51" s="81">
        <f>AS130*AS$54</f>
        <v>141613.16060905199</v>
      </c>
      <c r="AT51" s="81">
        <f>AT130*AT$54</f>
        <v>154092.54889779657</v>
      </c>
      <c r="AU51" s="81">
        <f>AU130*AU$54</f>
        <v>153223.50245939131</v>
      </c>
      <c r="AV51" s="81">
        <f>SUM(AR51:AU51)</f>
        <v>587559.19178628852</v>
      </c>
      <c r="AW51" s="81">
        <f>AW130*AW$54</f>
        <v>157247.56450091556</v>
      </c>
      <c r="AX51" s="81">
        <f>AX130*AX$54</f>
        <v>170553.03205837702</v>
      </c>
      <c r="AY51" s="81">
        <f>AY130*AY$54</f>
        <v>186764.67196055726</v>
      </c>
      <c r="AZ51" s="81">
        <f>AZ130*AZ$54</f>
        <v>181022.90248093716</v>
      </c>
      <c r="BA51" s="81">
        <f>SUM(AW51:AZ51)</f>
        <v>695588.17100078706</v>
      </c>
      <c r="BB51" s="81">
        <f>BB130*BB$54</f>
        <v>189918.11605438541</v>
      </c>
      <c r="BC51" s="81">
        <f>BC130*BC$54</f>
        <v>202091.20809157513</v>
      </c>
      <c r="BD51" s="81">
        <f>BD130*BD$54</f>
        <v>213247.72704213939</v>
      </c>
      <c r="BE51" s="81">
        <f>BE130*BE$54</f>
        <v>204686.79212318358</v>
      </c>
      <c r="BF51" s="81">
        <f>SUM(BB51:BE51)</f>
        <v>809943.8433112835</v>
      </c>
      <c r="BG51" s="81">
        <f>BG130*BG$54</f>
        <v>217533.46709365852</v>
      </c>
      <c r="BH51" s="81">
        <f>BH130*BH$54</f>
        <v>230267.01619515455</v>
      </c>
      <c r="BI51" s="81">
        <f>BI130*BI$54</f>
        <v>236505.37465611528</v>
      </c>
      <c r="BJ51" s="81">
        <f>BJ130*BJ$54</f>
        <v>222909.86244188019</v>
      </c>
      <c r="BK51" s="81">
        <f>SUM(BG51:BJ51)</f>
        <v>907215.72038680851</v>
      </c>
      <c r="BL51" s="81">
        <f>BL130*BL$54</f>
        <v>237293.32678089797</v>
      </c>
      <c r="BM51" s="81">
        <f>BM130*BM$54</f>
        <v>251669.05129320969</v>
      </c>
      <c r="BN51" s="81">
        <f>BN130*BN$54</f>
        <v>257746.11021228333</v>
      </c>
      <c r="BO51" s="81">
        <f>BO130*BO$54</f>
        <v>241575.56317344547</v>
      </c>
      <c r="BP51" s="81">
        <f>SUM(BL51:BO51)</f>
        <v>988284.05145983654</v>
      </c>
      <c r="BQ51" s="81">
        <f>BQ130*BQ$54</f>
        <v>257139.36350070266</v>
      </c>
      <c r="BR51" s="81">
        <f>BR130*BR$54</f>
        <v>272103.19956112688</v>
      </c>
      <c r="BS51" s="81">
        <f>BS130*BS$54</f>
        <v>276980.83622160746</v>
      </c>
      <c r="BT51" s="81">
        <f>BT130*BT$54</f>
        <v>257462.33374191049</v>
      </c>
      <c r="BU51" s="81">
        <f>SUM(BQ51:BT51)</f>
        <v>1063685.7330253476</v>
      </c>
    </row>
    <row r="52" spans="1:77" s="79" customFormat="1">
      <c r="A52" s="439" t="s">
        <v>1921</v>
      </c>
      <c r="AB52" s="119">
        <f t="shared" ref="AB52:BU52" si="198">AB51/AB$6</f>
        <v>0.93438579181055748</v>
      </c>
      <c r="AC52" s="119">
        <f t="shared" si="198"/>
        <v>0.96296605042561401</v>
      </c>
      <c r="AD52" s="119">
        <f t="shared" si="198"/>
        <v>0.95817713995796183</v>
      </c>
      <c r="AE52" s="119">
        <f t="shared" si="198"/>
        <v>0.95896810879907324</v>
      </c>
      <c r="AF52" s="119">
        <f t="shared" si="198"/>
        <v>0.94368340943683415</v>
      </c>
      <c r="AG52" s="119">
        <f t="shared" si="198"/>
        <v>0.95585234123634455</v>
      </c>
      <c r="AH52" s="119">
        <f t="shared" si="198"/>
        <v>0.9667630057803468</v>
      </c>
      <c r="AI52" s="119">
        <f t="shared" si="198"/>
        <v>0.96190476190476182</v>
      </c>
      <c r="AJ52" s="119">
        <f t="shared" si="198"/>
        <v>0.96270718232044206</v>
      </c>
      <c r="AK52" s="119">
        <f t="shared" si="198"/>
        <v>0.96050552922590837</v>
      </c>
      <c r="AL52" s="119">
        <f t="shared" si="198"/>
        <v>0.9629999655853585</v>
      </c>
      <c r="AM52" s="119">
        <f t="shared" si="198"/>
        <v>0.96444444444444444</v>
      </c>
      <c r="AN52" s="119">
        <f t="shared" si="198"/>
        <v>0.967741935483871</v>
      </c>
      <c r="AO52" s="119">
        <f t="shared" si="198"/>
        <v>0.96844660194174759</v>
      </c>
      <c r="AP52" s="119">
        <f t="shared" si="198"/>
        <v>0.96569818167162091</v>
      </c>
      <c r="AQ52" s="119">
        <f t="shared" si="198"/>
        <v>0.96669005226505034</v>
      </c>
      <c r="AR52" s="119">
        <f t="shared" si="198"/>
        <v>0.96627594527599081</v>
      </c>
      <c r="AS52" s="119">
        <f t="shared" si="198"/>
        <v>0.96642986414175536</v>
      </c>
      <c r="AT52" s="119">
        <f t="shared" si="198"/>
        <v>0.96659614064086752</v>
      </c>
      <c r="AU52" s="119">
        <f t="shared" si="198"/>
        <v>0.96650568750716492</v>
      </c>
      <c r="AV52" s="119">
        <f t="shared" si="198"/>
        <v>0.96645691477615125</v>
      </c>
      <c r="AW52" s="119">
        <f t="shared" si="198"/>
        <v>0.9667347629323213</v>
      </c>
      <c r="AX52" s="119">
        <f t="shared" si="198"/>
        <v>0.96691045297724754</v>
      </c>
      <c r="AY52" s="119">
        <f t="shared" si="198"/>
        <v>0.9670237235943947</v>
      </c>
      <c r="AZ52" s="119">
        <f t="shared" si="198"/>
        <v>0.96684693066549432</v>
      </c>
      <c r="BA52" s="119">
        <f t="shared" si="198"/>
        <v>0.96688460629148909</v>
      </c>
      <c r="BB52" s="119">
        <f t="shared" si="198"/>
        <v>0.96696751114113788</v>
      </c>
      <c r="BC52" s="119">
        <f t="shared" si="198"/>
        <v>0.96712438897664366</v>
      </c>
      <c r="BD52" s="119">
        <f t="shared" si="198"/>
        <v>0.9672502813508268</v>
      </c>
      <c r="BE52" s="119">
        <f t="shared" si="198"/>
        <v>0.96711028087200424</v>
      </c>
      <c r="BF52" s="119">
        <f t="shared" si="198"/>
        <v>0.9671171739710186</v>
      </c>
      <c r="BG52" s="119">
        <f t="shared" si="198"/>
        <v>0.96727400058869106</v>
      </c>
      <c r="BH52" s="119">
        <f t="shared" si="198"/>
        <v>0.96741824650230224</v>
      </c>
      <c r="BI52" s="119">
        <f t="shared" si="198"/>
        <v>0.96748023379232873</v>
      </c>
      <c r="BJ52" s="119">
        <f t="shared" si="198"/>
        <v>0.96732068186952858</v>
      </c>
      <c r="BK52" s="119">
        <f t="shared" si="198"/>
        <v>0.96737583957514506</v>
      </c>
      <c r="BL52" s="119">
        <f t="shared" si="198"/>
        <v>0.96746423664790793</v>
      </c>
      <c r="BM52" s="119">
        <f t="shared" si="198"/>
        <v>0.96759123382174717</v>
      </c>
      <c r="BN52" s="119">
        <f t="shared" si="198"/>
        <v>0.96763069914166755</v>
      </c>
      <c r="BO52" s="119">
        <f t="shared" si="198"/>
        <v>0.96745406595402628</v>
      </c>
      <c r="BP52" s="119">
        <f t="shared" si="198"/>
        <v>0.96753749818428292</v>
      </c>
      <c r="BQ52" s="119">
        <f t="shared" si="198"/>
        <v>0.96759033439795328</v>
      </c>
      <c r="BR52" s="119">
        <f t="shared" si="198"/>
        <v>0.96770594136603139</v>
      </c>
      <c r="BS52" s="119">
        <f t="shared" si="198"/>
        <v>0.96772983727273854</v>
      </c>
      <c r="BT52" s="119">
        <f t="shared" si="198"/>
        <v>0.96754041016490011</v>
      </c>
      <c r="BU52" s="119">
        <f t="shared" si="198"/>
        <v>0.96764414374124241</v>
      </c>
    </row>
    <row r="54" spans="1:77">
      <c r="A54" s="1" t="s">
        <v>114</v>
      </c>
      <c r="I54" s="45">
        <f>FX!I5</f>
        <v>111.61</v>
      </c>
      <c r="J54" s="45">
        <f>FX!J5</f>
        <v>111.38</v>
      </c>
      <c r="K54" s="45">
        <f>FX!K5</f>
        <v>112.74</v>
      </c>
      <c r="L54" s="45">
        <f>FX!L5</f>
        <v>108.85</v>
      </c>
      <c r="N54" s="45">
        <f>FX!N5</f>
        <v>108.71</v>
      </c>
      <c r="O54" s="45">
        <f>FX!O5</f>
        <v>111.55</v>
      </c>
      <c r="P54" s="45">
        <f>FX!P5</f>
        <v>112.83</v>
      </c>
      <c r="Q54" s="45">
        <f>FX!Q5</f>
        <v>110.46</v>
      </c>
      <c r="S54" s="45">
        <f>FX!S5</f>
        <v>110</v>
      </c>
      <c r="T54" s="45">
        <f>FX!T5</f>
        <v>107.7</v>
      </c>
      <c r="U54" s="45">
        <f>FX!U5</f>
        <v>108.98</v>
      </c>
      <c r="V54" s="45">
        <f>FX!V5</f>
        <v>109.22</v>
      </c>
      <c r="X54" s="45">
        <f>FX!X5</f>
        <v>107.74</v>
      </c>
      <c r="Y54" s="45">
        <f>FX!Y5</f>
        <v>105.88</v>
      </c>
      <c r="Z54" s="45">
        <f>FX!Z5</f>
        <v>104.45</v>
      </c>
      <c r="AA54" s="45">
        <f>FX!AA5</f>
        <v>106.24</v>
      </c>
      <c r="AB54" s="54">
        <f>AVERAGE(X54:AA54)</f>
        <v>106.0775</v>
      </c>
      <c r="AC54" s="45">
        <f>FX!AC5</f>
        <v>110</v>
      </c>
      <c r="AD54" s="45">
        <f>FX!AD5</f>
        <v>110.47</v>
      </c>
      <c r="AE54" s="45">
        <f>FX!AE5</f>
        <v>113.6</v>
      </c>
      <c r="AF54" s="45">
        <f>FX!AF5</f>
        <v>117.1</v>
      </c>
      <c r="AG54" s="54">
        <f>AVERAGE(AC54:AF54)</f>
        <v>112.79249999999999</v>
      </c>
      <c r="AH54" s="45">
        <f>FX!AH5</f>
        <v>129.04</v>
      </c>
      <c r="AI54" s="45">
        <f>FX!AI5</f>
        <v>138.68</v>
      </c>
      <c r="AJ54" s="45">
        <f>FX!AJ5</f>
        <v>141.16</v>
      </c>
      <c r="AK54" s="45">
        <f>FX!AK5</f>
        <v>133.26</v>
      </c>
      <c r="AL54" s="54">
        <f>AVERAGE(AH54:AK54)</f>
        <v>135.535</v>
      </c>
      <c r="AM54" s="45">
        <f>FX!AM5</f>
        <v>138.11000000000001</v>
      </c>
      <c r="AN54" s="45">
        <f>FX!AN5</f>
        <v>145.44</v>
      </c>
      <c r="AO54" s="45">
        <f>FX!AO5</f>
        <v>147</v>
      </c>
      <c r="AP54" s="45">
        <f>FX!AP5</f>
        <v>147.87</v>
      </c>
      <c r="AR54" s="45">
        <f>FX!AR5</f>
        <v>156.53</v>
      </c>
      <c r="AS54" s="45">
        <f>FX!AS5</f>
        <v>150.26</v>
      </c>
      <c r="AT54" s="45">
        <f>FX!AT5</f>
        <v>151.32</v>
      </c>
      <c r="AU54" s="45">
        <f>FX!AU5</f>
        <v>152.94999999999999</v>
      </c>
      <c r="AW54" s="45">
        <f>FX!AW5</f>
        <v>145.19</v>
      </c>
      <c r="AX54" s="45">
        <f>FX!AX5</f>
        <v>147.5</v>
      </c>
      <c r="AY54" s="45">
        <f>FX!AY5</f>
        <v>154.04</v>
      </c>
      <c r="AZ54" s="45">
        <f>FX!AZ5</f>
        <v>155.1</v>
      </c>
      <c r="BB54" s="45">
        <f>FX!BB5</f>
        <v>154.70000000000002</v>
      </c>
      <c r="BC54" s="45">
        <f>FX!BC5</f>
        <v>154.30000000000001</v>
      </c>
      <c r="BD54" s="45">
        <f>FX!BD5</f>
        <v>153.9</v>
      </c>
      <c r="BE54" s="45">
        <f>FX!BE5</f>
        <v>153.5</v>
      </c>
      <c r="BG54" s="45">
        <f>FX!BG5</f>
        <v>153.1</v>
      </c>
      <c r="BH54" s="45">
        <f>FX!BH5</f>
        <v>152.70000000000002</v>
      </c>
      <c r="BI54" s="45">
        <f>FX!BI5</f>
        <v>152.30000000000001</v>
      </c>
      <c r="BJ54" s="45">
        <f>FX!BJ5</f>
        <v>151.9</v>
      </c>
      <c r="BL54" s="45">
        <f>FX!BL5</f>
        <v>151.5</v>
      </c>
      <c r="BM54" s="45">
        <f>FX!BM5</f>
        <v>151.1</v>
      </c>
      <c r="BN54" s="45">
        <f>FX!BN5</f>
        <v>150.70000000000002</v>
      </c>
      <c r="BO54" s="45">
        <f>FX!BO5</f>
        <v>150.30000000000001</v>
      </c>
      <c r="BQ54" s="45">
        <f>FX!BQ5</f>
        <v>149.9</v>
      </c>
      <c r="BR54" s="45">
        <f>FX!BR5</f>
        <v>149.5</v>
      </c>
      <c r="BS54" s="45">
        <f>FX!BS5</f>
        <v>149.1</v>
      </c>
      <c r="BT54" s="45">
        <f>FX!BT5</f>
        <v>148.70000000000002</v>
      </c>
      <c r="BV54" s="45"/>
      <c r="BW54" s="45"/>
      <c r="BX54" s="45"/>
      <c r="BY54" s="45"/>
    </row>
    <row r="55" spans="1:77">
      <c r="A55" s="1" t="s">
        <v>1007</v>
      </c>
      <c r="I55" s="45">
        <f>FX!I6</f>
        <v>112</v>
      </c>
      <c r="J55" s="45">
        <f>FX!J6</f>
        <v>112.73</v>
      </c>
      <c r="K55" s="45">
        <f>FX!K6</f>
        <v>113</v>
      </c>
      <c r="L55" s="45">
        <f>FX!L6</f>
        <v>106.24</v>
      </c>
      <c r="N55" s="45">
        <f>FX!N6</f>
        <v>110.54</v>
      </c>
      <c r="O55" s="45">
        <f>FX!O6</f>
        <v>113.57</v>
      </c>
      <c r="P55" s="45">
        <f>FX!P6</f>
        <v>111</v>
      </c>
      <c r="Q55" s="45">
        <f>FX!Q6</f>
        <v>110.99</v>
      </c>
      <c r="S55" s="45">
        <f>FX!S6</f>
        <v>107.79</v>
      </c>
      <c r="T55" s="45">
        <f>FX!T6</f>
        <v>107.92</v>
      </c>
      <c r="U55" s="45">
        <f>FX!U6</f>
        <v>109.56</v>
      </c>
      <c r="V55" s="45">
        <f>FX!V6</f>
        <v>108.83</v>
      </c>
      <c r="X55" s="45">
        <f>FX!X6</f>
        <v>107.74</v>
      </c>
      <c r="Y55" s="45">
        <f>FX!Y6</f>
        <v>105.8</v>
      </c>
      <c r="Z55" s="45">
        <f>FX!Z6</f>
        <v>103.5</v>
      </c>
      <c r="AA55" s="45">
        <f>FX!AA6</f>
        <v>110.71</v>
      </c>
      <c r="AC55" s="45">
        <f>FX!AC6</f>
        <v>110.58</v>
      </c>
      <c r="AD55" s="45">
        <f>FX!AD6</f>
        <v>111.92</v>
      </c>
      <c r="AE55" s="45">
        <f>FX!AE6</f>
        <v>115.02</v>
      </c>
      <c r="AF55" s="45">
        <f>FX!AF6</f>
        <v>122.39</v>
      </c>
      <c r="AH55" s="45">
        <f>FX!AH6</f>
        <v>136.68</v>
      </c>
      <c r="AI55" s="45">
        <f>FX!AI6</f>
        <v>144.81</v>
      </c>
      <c r="AJ55" s="45">
        <f>FX!AJ6</f>
        <v>132.69999999999999</v>
      </c>
      <c r="AK55" s="45">
        <f>FX!AK6</f>
        <v>133.53</v>
      </c>
      <c r="AM55" s="45">
        <f>FX!AM6</f>
        <v>144.99</v>
      </c>
      <c r="AN55" s="45">
        <f>FX!AN6</f>
        <v>149.58000000000001</v>
      </c>
      <c r="AO55" s="45">
        <f>FX!AO6</f>
        <v>141.83000000000001</v>
      </c>
      <c r="AP55" s="45">
        <f>FX!AP6</f>
        <v>151.41</v>
      </c>
      <c r="AR55" s="45">
        <f>FX!AR6</f>
        <v>161.07</v>
      </c>
      <c r="AS55" s="45">
        <f>FX!AS6</f>
        <v>142.72999999999999</v>
      </c>
      <c r="AT55" s="45">
        <f>FX!AT6</f>
        <v>158.18</v>
      </c>
      <c r="AU55" s="45">
        <f>FX!AU6</f>
        <v>149.52000000000001</v>
      </c>
      <c r="AW55" s="45">
        <f>FX!AW6</f>
        <v>144.81</v>
      </c>
      <c r="AX55" s="45">
        <f>FX!AX6</f>
        <v>148.88</v>
      </c>
      <c r="AY55" s="45">
        <f>FX!AY6</f>
        <v>156.56</v>
      </c>
      <c r="AZ55" s="45">
        <f>FX!AZ6</f>
        <v>155.1</v>
      </c>
      <c r="BB55" s="45">
        <f>FX!BB6</f>
        <v>154.70000000000002</v>
      </c>
      <c r="BC55" s="45">
        <f>FX!BC6</f>
        <v>154.30000000000001</v>
      </c>
      <c r="BD55" s="45">
        <f>FX!BD6</f>
        <v>153.9</v>
      </c>
      <c r="BE55" s="45">
        <f>FX!BE6</f>
        <v>153.5</v>
      </c>
      <c r="BG55" s="45">
        <f>FX!BG6</f>
        <v>153.1</v>
      </c>
      <c r="BH55" s="45">
        <f>FX!BH6</f>
        <v>152.70000000000002</v>
      </c>
      <c r="BI55" s="45">
        <f>FX!BI6</f>
        <v>152.30000000000001</v>
      </c>
      <c r="BJ55" s="45">
        <f>FX!BJ6</f>
        <v>151.9</v>
      </c>
      <c r="BL55" s="45">
        <f>FX!BL6</f>
        <v>151.5</v>
      </c>
      <c r="BM55" s="45">
        <f>FX!BM6</f>
        <v>151.1</v>
      </c>
      <c r="BN55" s="45">
        <f>FX!BN6</f>
        <v>150.70000000000002</v>
      </c>
      <c r="BO55" s="45">
        <f>FX!BO6</f>
        <v>150.30000000000001</v>
      </c>
      <c r="BQ55" s="45">
        <f>FX!BQ6</f>
        <v>149.9</v>
      </c>
      <c r="BR55" s="45">
        <f>FX!BR6</f>
        <v>149.5</v>
      </c>
      <c r="BS55" s="45">
        <f>FX!BS6</f>
        <v>149.1</v>
      </c>
      <c r="BT55" s="45">
        <f>FX!BT6</f>
        <v>148.70000000000002</v>
      </c>
      <c r="BV55" s="45"/>
      <c r="BW55" s="45"/>
      <c r="BX55" s="45"/>
      <c r="BY55" s="45"/>
    </row>
    <row r="57" spans="1:77" s="12" customFormat="1">
      <c r="A57" s="13" t="s">
        <v>1909</v>
      </c>
    </row>
    <row r="59" spans="1:77">
      <c r="A59" s="1" t="s">
        <v>1916</v>
      </c>
    </row>
    <row r="60" spans="1:77">
      <c r="A60" s="5" t="s">
        <v>1912</v>
      </c>
      <c r="X60" s="36">
        <f>'Links (Arm OLD Model)'!X6</f>
        <v>282</v>
      </c>
      <c r="Y60" s="36">
        <f>'Links (Arm OLD Model)'!Y6</f>
        <v>323</v>
      </c>
      <c r="Z60" s="36"/>
      <c r="AA60" s="36"/>
      <c r="AB60" s="36">
        <f>'Links (Arm OLD Model)'!AB6</f>
        <v>1313</v>
      </c>
      <c r="AC60" s="36">
        <f>'Links (Arm OLD Model)'!AC6</f>
        <v>371</v>
      </c>
      <c r="AD60" s="36">
        <f>'Links (Arm OLD Model)'!AD6</f>
        <v>378</v>
      </c>
      <c r="AE60" s="36">
        <f>'Links (Arm OLD Model)'!AE6</f>
        <v>399</v>
      </c>
      <c r="AF60" s="36">
        <f>'Links (Arm OLD Model)'!AF6</f>
        <v>424</v>
      </c>
      <c r="AG60" s="36">
        <f>'Links (Arm OLD Model)'!AG6</f>
        <v>1562</v>
      </c>
      <c r="AH60" s="36">
        <f>'Links (Arm OLD Model)'!AH6</f>
        <v>434</v>
      </c>
      <c r="AI60" s="36">
        <f>'Links (Arm OLD Model)'!AI6</f>
        <v>442</v>
      </c>
      <c r="AJ60" s="36">
        <f>'Links (Arm OLD Model)'!AJ6</f>
        <v>425</v>
      </c>
      <c r="AK60" s="36">
        <f>'Links (Arm OLD Model)'!AK6</f>
        <v>374</v>
      </c>
      <c r="AL60" s="36">
        <f>'Links (Arm OLD Model)'!AL6</f>
        <v>1675</v>
      </c>
      <c r="AM60" s="36">
        <f>'Links (Arm OLD Model)'!AM6</f>
        <v>400</v>
      </c>
      <c r="AN60" s="36">
        <f>'Links (Arm OLD Model)'!AN6</f>
        <v>418</v>
      </c>
      <c r="AO60" s="36">
        <f>'Links (Arm OLD Model)'!AO6</f>
        <v>470</v>
      </c>
      <c r="AP60" s="36">
        <f>'Links (Arm OLD Model)'!AP6</f>
        <v>492.35322500000001</v>
      </c>
      <c r="AQ60" s="36">
        <f>'Links (Arm OLD Model)'!AQ6</f>
        <v>1780.3532250000001</v>
      </c>
      <c r="AR60" s="36">
        <f>'Links (Arm OLD Model)'!AR6</f>
        <v>575.22473749999995</v>
      </c>
      <c r="AS60" s="36">
        <f>'Links (Arm OLD Model)'!AS6</f>
        <v>627.03485999999998</v>
      </c>
      <c r="AT60" s="36">
        <f>'Links (Arm OLD Model)'!AT6</f>
        <v>694.91255249999995</v>
      </c>
      <c r="AU60" s="36">
        <f>'Links (Arm OLD Model)'!AU6</f>
        <v>674.31790062500011</v>
      </c>
      <c r="AV60" s="36">
        <f>'Links (Arm OLD Model)'!AV6</f>
        <v>2571.4900506250001</v>
      </c>
      <c r="AW60" s="36">
        <f>'Links (Arm OLD Model)'!AW6</f>
        <v>754.50513461875005</v>
      </c>
      <c r="AX60" s="36">
        <f>'Links (Arm OLD Model)'!AX6</f>
        <v>826.39500811875007</v>
      </c>
      <c r="AY60" s="36">
        <f>'Links (Arm OLD Model)'!AY6</f>
        <v>880.62599918750004</v>
      </c>
      <c r="AZ60" s="36">
        <f>'Links (Arm OLD Model)'!AZ6</f>
        <v>826.53249674999995</v>
      </c>
      <c r="BA60" s="36">
        <f>'Links (Arm OLD Model)'!BA6</f>
        <v>3288.0586386750001</v>
      </c>
      <c r="BB60" s="36">
        <f>'Links (Arm OLD Model)'!BB6</f>
        <v>884.58968134899999</v>
      </c>
      <c r="BC60" s="36">
        <f>'Links (Arm OLD Model)'!BC6</f>
        <v>964.82107538487503</v>
      </c>
      <c r="BD60" s="36">
        <f>'Links (Arm OLD Model)'!BD6</f>
        <v>1038.6322085688912</v>
      </c>
      <c r="BE60" s="36">
        <f>'Links (Arm OLD Model)'!BE6</f>
        <v>980.37492887518772</v>
      </c>
      <c r="BF60" s="36">
        <f>'Links (Arm OLD Model)'!BF6</f>
        <v>3868.4178941779542</v>
      </c>
      <c r="BG60" s="36">
        <f>'Links (Arm OLD Model)'!BG6</f>
        <v>1068.5004476324093</v>
      </c>
      <c r="BH60" s="36">
        <f>'Links (Arm OLD Model)'!BH6</f>
        <v>1156.3243800972971</v>
      </c>
      <c r="BI60" s="36">
        <f>'Links (Arm OLD Model)'!BI6</f>
        <v>1200.6437991601997</v>
      </c>
      <c r="BJ60" s="36">
        <f>'Links (Arm OLD Model)'!BJ6</f>
        <v>1110.5869630016255</v>
      </c>
      <c r="BK60" s="36">
        <f>'Links (Arm OLD Model)'!BK6</f>
        <v>4536.0555898915318</v>
      </c>
      <c r="BL60" s="36">
        <f>'Links (Arm OLD Model)'!BL6</f>
        <v>1208.4352143464432</v>
      </c>
      <c r="BM60" s="36">
        <f>'Links (Arm OLD Model)'!BM6</f>
        <v>1306.7297874076573</v>
      </c>
      <c r="BN60" s="36">
        <f>'Links (Arm OLD Model)'!BN6</f>
        <v>1348.7565288017422</v>
      </c>
      <c r="BO60" s="36">
        <f>'Links (Arm OLD Model)'!BO6</f>
        <v>1238.3884618135385</v>
      </c>
      <c r="BP60" s="36">
        <f>'Links (Arm OLD Model)'!BP6</f>
        <v>5102.3099923693808</v>
      </c>
      <c r="BQ60" s="36">
        <f>'Links (Arm OLD Model)'!BQ6</f>
        <v>1345.6630262847871</v>
      </c>
      <c r="BR60" s="36">
        <f>'Links (Arm OLD Model)'!BR6</f>
        <v>1449.3549181444982</v>
      </c>
      <c r="BS60" s="36">
        <f>'Links (Arm OLD Model)'!BS6</f>
        <v>1483.8441827496631</v>
      </c>
      <c r="BT60" s="36">
        <f>'Links (Arm OLD Model)'!BT6</f>
        <v>1349.3623568649693</v>
      </c>
      <c r="BU60" s="36">
        <f>'Links (Arm OLD Model)'!BU6</f>
        <v>5628.224484043918</v>
      </c>
    </row>
    <row r="61" spans="1:77">
      <c r="A61" s="5" t="s">
        <v>1913</v>
      </c>
      <c r="X61" s="36">
        <f>'Links (Arm OLD Model)'!X7</f>
        <v>175</v>
      </c>
      <c r="Y61" s="36">
        <f>'Links (Arm OLD Model)'!Y7</f>
        <v>212</v>
      </c>
      <c r="Z61" s="36"/>
      <c r="AA61" s="36"/>
      <c r="AB61" s="36">
        <f>'Links (Arm OLD Model)'!AB7</f>
        <v>714</v>
      </c>
      <c r="AC61" s="36">
        <f>'Links (Arm OLD Model)'!AC7</f>
        <v>304</v>
      </c>
      <c r="AD61" s="36">
        <f>'Links (Arm OLD Model)'!AD7</f>
        <v>410</v>
      </c>
      <c r="AE61" s="36">
        <f>'Links (Arm OLD Model)'!AE7</f>
        <v>182</v>
      </c>
      <c r="AF61" s="36">
        <f>'Links (Arm OLD Model)'!AF7</f>
        <v>233</v>
      </c>
      <c r="AG61" s="36">
        <f>'Links (Arm OLD Model)'!AG7</f>
        <v>1141</v>
      </c>
      <c r="AH61" s="36">
        <f>'Links (Arm OLD Model)'!AH7</f>
        <v>258</v>
      </c>
      <c r="AI61" s="36">
        <f>'Links (Arm OLD Model)'!AI7</f>
        <v>188</v>
      </c>
      <c r="AJ61" s="36">
        <f>'Links (Arm OLD Model)'!AJ7</f>
        <v>299</v>
      </c>
      <c r="AK61" s="36">
        <f>'Links (Arm OLD Model)'!AK7</f>
        <v>259</v>
      </c>
      <c r="AL61" s="36">
        <f>'Links (Arm OLD Model)'!AL7</f>
        <v>1004</v>
      </c>
      <c r="AM61" s="36">
        <f>'Links (Arm OLD Model)'!AM7</f>
        <v>275</v>
      </c>
      <c r="AN61" s="36">
        <f>'Links (Arm OLD Model)'!AN7</f>
        <v>388</v>
      </c>
      <c r="AO61" s="36">
        <f>'Links (Arm OLD Model)'!AO7</f>
        <v>354</v>
      </c>
      <c r="AP61" s="36">
        <f>'Links (Arm OLD Model)'!AP7</f>
        <v>371.7</v>
      </c>
      <c r="AQ61" s="36">
        <f>'Links (Arm OLD Model)'!AQ7</f>
        <v>1388.7</v>
      </c>
      <c r="AR61" s="36">
        <f>'Links (Arm OLD Model)'!AR7</f>
        <v>341.33000000000004</v>
      </c>
      <c r="AS61" s="36">
        <f>'Links (Arm OLD Model)'!AS7</f>
        <v>348.15660000000003</v>
      </c>
      <c r="AT61" s="36">
        <f>'Links (Arm OLD Model)'!AT7</f>
        <v>358.60129800000004</v>
      </c>
      <c r="AU61" s="36">
        <f>'Links (Arm OLD Model)'!AU7</f>
        <v>362.18731098000006</v>
      </c>
      <c r="AV61" s="36">
        <f>'Links (Arm OLD Model)'!AV7</f>
        <v>1410.2752089800003</v>
      </c>
      <c r="AW61" s="36">
        <f>'Links (Arm OLD Model)'!AW7</f>
        <v>365.80918408980006</v>
      </c>
      <c r="AX61" s="36">
        <f>'Links (Arm OLD Model)'!AX7</f>
        <v>369.46727593069807</v>
      </c>
      <c r="AY61" s="36">
        <f>'Links (Arm OLD Model)'!AY7</f>
        <v>373.16194869000503</v>
      </c>
      <c r="AZ61" s="36">
        <f>'Links (Arm OLD Model)'!AZ7</f>
        <v>380.62518766380515</v>
      </c>
      <c r="BA61" s="36">
        <f>'Links (Arm OLD Model)'!BA7</f>
        <v>1489.0635963743084</v>
      </c>
      <c r="BB61" s="36">
        <f>'Links (Arm OLD Model)'!BB7</f>
        <v>385.00237732193892</v>
      </c>
      <c r="BC61" s="36">
        <f>'Links (Arm OLD Model)'!BC7</f>
        <v>389.42990466114122</v>
      </c>
      <c r="BD61" s="36">
        <f>'Links (Arm OLD Model)'!BD7</f>
        <v>393.90834856474436</v>
      </c>
      <c r="BE61" s="36">
        <f>'Links (Arm OLD Model)'!BE7</f>
        <v>398.43829457323892</v>
      </c>
      <c r="BF61" s="36">
        <f>'Links (Arm OLD Model)'!BF7</f>
        <v>1566.7789251210634</v>
      </c>
      <c r="BG61" s="36">
        <f>'Links (Arm OLD Model)'!BG7</f>
        <v>400.43048604610505</v>
      </c>
      <c r="BH61" s="36">
        <f>'Links (Arm OLD Model)'!BH7</f>
        <v>402.43263847633551</v>
      </c>
      <c r="BI61" s="36">
        <f>'Links (Arm OLD Model)'!BI7</f>
        <v>404.44480166871716</v>
      </c>
      <c r="BJ61" s="36">
        <f>'Links (Arm OLD Model)'!BJ7</f>
        <v>406.46702567706069</v>
      </c>
      <c r="BK61" s="36">
        <f>'Links (Arm OLD Model)'!BK7</f>
        <v>1613.7749518682185</v>
      </c>
      <c r="BL61" s="36">
        <f>'Links (Arm OLD Model)'!BL7</f>
        <v>410.53169593383132</v>
      </c>
      <c r="BM61" s="36">
        <f>'Links (Arm OLD Model)'!BM7</f>
        <v>414.63701289316964</v>
      </c>
      <c r="BN61" s="36">
        <f>'Links (Arm OLD Model)'!BN7</f>
        <v>418.78338302210136</v>
      </c>
      <c r="BO61" s="36">
        <f>'Links (Arm OLD Model)'!BO7</f>
        <v>422.97121685232236</v>
      </c>
      <c r="BP61" s="36">
        <f>'Links (Arm OLD Model)'!BP7</f>
        <v>1666.9233087014247</v>
      </c>
      <c r="BQ61" s="36">
        <f>'Links (Arm OLD Model)'!BQ7</f>
        <v>427.20092902084559</v>
      </c>
      <c r="BR61" s="36">
        <f>'Links (Arm OLD Model)'!BR7</f>
        <v>431.47293831105407</v>
      </c>
      <c r="BS61" s="36">
        <f>'Links (Arm OLD Model)'!BS7</f>
        <v>435.78766769416461</v>
      </c>
      <c r="BT61" s="36">
        <f>'Links (Arm OLD Model)'!BT7</f>
        <v>440.14554437110627</v>
      </c>
      <c r="BU61" s="36">
        <f>'Links (Arm OLD Model)'!BU7</f>
        <v>1734.6070793971705</v>
      </c>
    </row>
    <row r="62" spans="1:77">
      <c r="A62" s="9" t="s">
        <v>1401</v>
      </c>
      <c r="B62" s="9"/>
      <c r="C62" s="9"/>
      <c r="D62" s="9"/>
      <c r="E62" s="9"/>
      <c r="F62" s="9"/>
      <c r="G62" s="9"/>
      <c r="H62" s="9"/>
      <c r="I62" s="9"/>
      <c r="J62" s="9"/>
      <c r="K62" s="9"/>
      <c r="L62" s="9"/>
      <c r="M62" s="9"/>
      <c r="N62" s="9"/>
      <c r="O62" s="9"/>
      <c r="P62" s="9"/>
      <c r="Q62" s="9"/>
      <c r="R62" s="9"/>
      <c r="S62" s="9"/>
      <c r="T62" s="9"/>
      <c r="U62" s="9"/>
      <c r="V62" s="9"/>
      <c r="W62" s="9"/>
      <c r="X62" s="39">
        <f>'Links (Arm OLD Model)'!X8</f>
        <v>457</v>
      </c>
      <c r="Y62" s="39">
        <f>'Links (Arm OLD Model)'!Y8</f>
        <v>535</v>
      </c>
      <c r="Z62" s="39"/>
      <c r="AA62" s="39"/>
      <c r="AB62" s="39">
        <f>'Links (Arm OLD Model)'!AB8</f>
        <v>2027</v>
      </c>
      <c r="AC62" s="39">
        <f>'Links (Arm OLD Model)'!AC8</f>
        <v>675</v>
      </c>
      <c r="AD62" s="39">
        <f>'Links (Arm OLD Model)'!AD8</f>
        <v>788</v>
      </c>
      <c r="AE62" s="39">
        <f>'Links (Arm OLD Model)'!AE8</f>
        <v>581</v>
      </c>
      <c r="AF62" s="39">
        <f>'Links (Arm OLD Model)'!AF8</f>
        <v>657</v>
      </c>
      <c r="AG62" s="39">
        <f>'Links (Arm OLD Model)'!AG8</f>
        <v>2703</v>
      </c>
      <c r="AH62" s="39">
        <f>'Links (Arm OLD Model)'!AH8</f>
        <v>692</v>
      </c>
      <c r="AI62" s="39">
        <f>'Links (Arm OLD Model)'!AI8</f>
        <v>630</v>
      </c>
      <c r="AJ62" s="39">
        <f>'Links (Arm OLD Model)'!AJ8</f>
        <v>724</v>
      </c>
      <c r="AK62" s="48">
        <f>'Links (Arm OLD Model)'!AK8</f>
        <v>633</v>
      </c>
      <c r="AL62" s="48">
        <f>'Links (Arm OLD Model)'!AL8</f>
        <v>2679</v>
      </c>
      <c r="AM62" s="48">
        <f>'Links (Arm OLD Model)'!AM8</f>
        <v>675</v>
      </c>
      <c r="AN62" s="48">
        <f>'Links (Arm OLD Model)'!AN8</f>
        <v>806</v>
      </c>
      <c r="AO62" s="48">
        <f>'Links (Arm OLD Model)'!AO8</f>
        <v>824</v>
      </c>
      <c r="AP62" s="48">
        <f>'Links (Arm OLD Model)'!AP8</f>
        <v>864.053225</v>
      </c>
      <c r="AQ62" s="48">
        <f>'Links (Arm OLD Model)'!AQ8</f>
        <v>3169.0532250000001</v>
      </c>
      <c r="AR62" s="48">
        <f>'Links (Arm OLD Model)'!AR8</f>
        <v>916.55473749999999</v>
      </c>
      <c r="AS62" s="48">
        <f>'Links (Arm OLD Model)'!AS8</f>
        <v>975.19146000000001</v>
      </c>
      <c r="AT62" s="48">
        <f>'Links (Arm OLD Model)'!AT8</f>
        <v>1053.5138505</v>
      </c>
      <c r="AU62" s="48">
        <f>'Links (Arm OLD Model)'!AU8</f>
        <v>1036.5052116050001</v>
      </c>
      <c r="AV62" s="48">
        <f>'Links (Arm OLD Model)'!AV8</f>
        <v>3981.7652596050002</v>
      </c>
      <c r="AW62" s="48">
        <f>'Links (Arm OLD Model)'!AW8</f>
        <v>1120.3143187085502</v>
      </c>
      <c r="AX62" s="48">
        <f>'Links (Arm OLD Model)'!AX8</f>
        <v>1195.8622840494481</v>
      </c>
      <c r="AY62" s="48">
        <f>'Links (Arm OLD Model)'!AY8</f>
        <v>1253.7879478775051</v>
      </c>
      <c r="AZ62" s="48">
        <f>'Links (Arm OLD Model)'!AZ8</f>
        <v>1207.1576844138051</v>
      </c>
      <c r="BA62" s="48">
        <f>'Links (Arm OLD Model)'!BA8</f>
        <v>4777.122235049309</v>
      </c>
      <c r="BB62" s="48">
        <f>'Links (Arm OLD Model)'!BB8</f>
        <v>1269.592058670939</v>
      </c>
      <c r="BC62" s="48">
        <f>'Links (Arm OLD Model)'!BC8</f>
        <v>1354.2509800460161</v>
      </c>
      <c r="BD62" s="48">
        <f>'Links (Arm OLD Model)'!BD8</f>
        <v>1432.5405571336355</v>
      </c>
      <c r="BE62" s="48">
        <f>'Links (Arm OLD Model)'!BE8</f>
        <v>1378.8132234484267</v>
      </c>
      <c r="BF62" s="48">
        <f>'Links (Arm OLD Model)'!BF8</f>
        <v>5435.1968192990171</v>
      </c>
      <c r="BG62" s="48">
        <f>'Links (Arm OLD Model)'!BG8</f>
        <v>1468.9309336785143</v>
      </c>
      <c r="BH62" s="48">
        <f>'Links (Arm OLD Model)'!BH8</f>
        <v>1558.7570185736326</v>
      </c>
      <c r="BI62" s="48">
        <f>'Links (Arm OLD Model)'!BI8</f>
        <v>1605.0886008289169</v>
      </c>
      <c r="BJ62" s="48">
        <f>'Links (Arm OLD Model)'!BJ8</f>
        <v>1517.0539886786862</v>
      </c>
      <c r="BK62" s="48">
        <f>'Links (Arm OLD Model)'!BK8</f>
        <v>6149.8305417597503</v>
      </c>
      <c r="BL62" s="48">
        <f>'Links (Arm OLD Model)'!BL8</f>
        <v>1618.9669102802745</v>
      </c>
      <c r="BM62" s="48">
        <f>'Links (Arm OLD Model)'!BM8</f>
        <v>1721.366800300827</v>
      </c>
      <c r="BN62" s="48">
        <f>'Links (Arm OLD Model)'!BN8</f>
        <v>1767.5399118238436</v>
      </c>
      <c r="BO62" s="48">
        <f>'Links (Arm OLD Model)'!BO8</f>
        <v>1661.3596786658609</v>
      </c>
      <c r="BP62" s="48">
        <f>'Links (Arm OLD Model)'!BP8</f>
        <v>6769.2333010708062</v>
      </c>
      <c r="BQ62" s="48">
        <f>'Links (Arm OLD Model)'!BQ8</f>
        <v>1772.8639553056328</v>
      </c>
      <c r="BR62" s="48">
        <f>'Links (Arm OLD Model)'!BR8</f>
        <v>1880.8278564555524</v>
      </c>
      <c r="BS62" s="48">
        <f>'Links (Arm OLD Model)'!BS8</f>
        <v>1919.6318504438277</v>
      </c>
      <c r="BT62" s="48">
        <f>'Links (Arm OLD Model)'!BT8</f>
        <v>1789.5079012360757</v>
      </c>
      <c r="BU62" s="48">
        <f>'Links (Arm OLD Model)'!BU8</f>
        <v>7362.8315634410883</v>
      </c>
    </row>
    <row r="64" spans="1:77">
      <c r="A64" s="1" t="s">
        <v>1914</v>
      </c>
    </row>
    <row r="65" spans="1:73">
      <c r="A65" s="5" t="s">
        <v>1912</v>
      </c>
      <c r="X65" s="36">
        <f t="shared" ref="X65:Y67" si="199">X70-X60</f>
        <v>0</v>
      </c>
      <c r="Y65" s="36">
        <f t="shared" si="199"/>
        <v>0</v>
      </c>
      <c r="Z65" s="36"/>
      <c r="AA65" s="36"/>
      <c r="AB65" s="36">
        <f t="shared" ref="AB65:AO65" si="200">AB70-AB60</f>
        <v>-34</v>
      </c>
      <c r="AC65" s="36">
        <f t="shared" si="200"/>
        <v>0</v>
      </c>
      <c r="AD65" s="36">
        <f t="shared" si="200"/>
        <v>0</v>
      </c>
      <c r="AE65" s="36">
        <f t="shared" si="200"/>
        <v>0</v>
      </c>
      <c r="AF65" s="36">
        <f t="shared" si="200"/>
        <v>-36</v>
      </c>
      <c r="AG65" s="36">
        <f t="shared" si="200"/>
        <v>-26</v>
      </c>
      <c r="AH65" s="36">
        <f t="shared" si="200"/>
        <v>19</v>
      </c>
      <c r="AI65" s="36">
        <f t="shared" si="200"/>
        <v>21</v>
      </c>
      <c r="AJ65" s="36">
        <f t="shared" si="200"/>
        <v>21</v>
      </c>
      <c r="AK65" s="36">
        <f t="shared" si="200"/>
        <v>47</v>
      </c>
      <c r="AL65" s="36">
        <f t="shared" si="200"/>
        <v>108</v>
      </c>
      <c r="AM65" s="36">
        <f t="shared" si="200"/>
        <v>-35</v>
      </c>
      <c r="AN65" s="36">
        <f t="shared" si="200"/>
        <v>0</v>
      </c>
      <c r="AO65" s="36">
        <f t="shared" si="200"/>
        <v>0</v>
      </c>
    </row>
    <row r="66" spans="1:73">
      <c r="A66" s="5" t="s">
        <v>1913</v>
      </c>
      <c r="X66" s="36">
        <f t="shared" si="199"/>
        <v>-28</v>
      </c>
      <c r="Y66" s="36">
        <f t="shared" si="199"/>
        <v>-28</v>
      </c>
      <c r="Z66" s="36"/>
      <c r="AA66" s="36"/>
      <c r="AB66" s="36">
        <f t="shared" ref="AB66:AO66" si="201">AB71-AB61</f>
        <v>-13</v>
      </c>
      <c r="AC66" s="36">
        <f t="shared" si="201"/>
        <v>0</v>
      </c>
      <c r="AD66" s="36">
        <f t="shared" si="201"/>
        <v>0</v>
      </c>
      <c r="AE66" s="36">
        <f t="shared" si="201"/>
        <v>0</v>
      </c>
      <c r="AF66" s="36">
        <f t="shared" si="201"/>
        <v>0</v>
      </c>
      <c r="AG66" s="36">
        <f t="shared" si="201"/>
        <v>-12</v>
      </c>
      <c r="AH66" s="36">
        <f t="shared" si="201"/>
        <v>8</v>
      </c>
      <c r="AI66" s="36">
        <f t="shared" si="201"/>
        <v>5</v>
      </c>
      <c r="AJ66" s="36">
        <f t="shared" si="201"/>
        <v>1</v>
      </c>
      <c r="AK66" s="36">
        <f t="shared" si="201"/>
        <v>17</v>
      </c>
      <c r="AL66" s="36">
        <f t="shared" si="201"/>
        <v>31</v>
      </c>
      <c r="AM66" s="36">
        <f t="shared" si="201"/>
        <v>1</v>
      </c>
      <c r="AN66" s="36">
        <f t="shared" si="201"/>
        <v>0</v>
      </c>
      <c r="AO66" s="36">
        <f t="shared" si="201"/>
        <v>0</v>
      </c>
    </row>
    <row r="67" spans="1:73">
      <c r="A67" s="9" t="s">
        <v>1401</v>
      </c>
      <c r="B67" s="9"/>
      <c r="C67" s="9"/>
      <c r="D67" s="9"/>
      <c r="E67" s="9"/>
      <c r="F67" s="9"/>
      <c r="G67" s="9"/>
      <c r="H67" s="9"/>
      <c r="I67" s="9"/>
      <c r="J67" s="9"/>
      <c r="K67" s="9"/>
      <c r="L67" s="9"/>
      <c r="M67" s="9"/>
      <c r="N67" s="9"/>
      <c r="O67" s="9"/>
      <c r="P67" s="9"/>
      <c r="Q67" s="9"/>
      <c r="R67" s="9"/>
      <c r="S67" s="9"/>
      <c r="T67" s="9"/>
      <c r="U67" s="9"/>
      <c r="V67" s="9"/>
      <c r="W67" s="9"/>
      <c r="X67" s="39">
        <f t="shared" si="199"/>
        <v>-28</v>
      </c>
      <c r="Y67" s="39">
        <f t="shared" si="199"/>
        <v>-28</v>
      </c>
      <c r="Z67" s="39"/>
      <c r="AA67" s="39"/>
      <c r="AB67" s="39">
        <f t="shared" ref="AB67:AO67" si="202">AB72-AB62</f>
        <v>-47</v>
      </c>
      <c r="AC67" s="39">
        <f t="shared" si="202"/>
        <v>0</v>
      </c>
      <c r="AD67" s="39">
        <f t="shared" si="202"/>
        <v>0</v>
      </c>
      <c r="AE67" s="39">
        <f t="shared" si="202"/>
        <v>0</v>
      </c>
      <c r="AF67" s="39">
        <f t="shared" si="202"/>
        <v>-36</v>
      </c>
      <c r="AG67" s="39">
        <f t="shared" si="202"/>
        <v>-38</v>
      </c>
      <c r="AH67" s="39">
        <f t="shared" si="202"/>
        <v>27</v>
      </c>
      <c r="AI67" s="39">
        <f t="shared" si="202"/>
        <v>26</v>
      </c>
      <c r="AJ67" s="39">
        <f t="shared" si="202"/>
        <v>22</v>
      </c>
      <c r="AK67" s="39">
        <f t="shared" si="202"/>
        <v>64</v>
      </c>
      <c r="AL67" s="39">
        <f t="shared" si="202"/>
        <v>139</v>
      </c>
      <c r="AM67" s="39">
        <f t="shared" si="202"/>
        <v>-34</v>
      </c>
      <c r="AN67" s="39">
        <f t="shared" si="202"/>
        <v>0</v>
      </c>
      <c r="AO67" s="39">
        <f t="shared" si="202"/>
        <v>0</v>
      </c>
      <c r="AP67" s="48"/>
      <c r="AQ67" s="48"/>
      <c r="AR67" s="48"/>
      <c r="AS67" s="48"/>
      <c r="AT67" s="48"/>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row>
    <row r="69" spans="1:73">
      <c r="A69" s="1" t="s">
        <v>1915</v>
      </c>
    </row>
    <row r="70" spans="1:73">
      <c r="A70" s="5" t="s">
        <v>1912</v>
      </c>
      <c r="X70" s="136">
        <v>282</v>
      </c>
      <c r="Y70" s="136">
        <v>323</v>
      </c>
      <c r="Z70" s="136">
        <v>339</v>
      </c>
      <c r="AA70" s="136">
        <v>335</v>
      </c>
      <c r="AB70" s="36">
        <f>SUM(X70:AA70)</f>
        <v>1279</v>
      </c>
      <c r="AC70" s="136">
        <v>371</v>
      </c>
      <c r="AD70" s="136">
        <v>378</v>
      </c>
      <c r="AE70" s="136">
        <v>399</v>
      </c>
      <c r="AF70" s="136">
        <v>388</v>
      </c>
      <c r="AG70" s="36">
        <f>SUM(AC70:AF70)</f>
        <v>1536</v>
      </c>
      <c r="AH70" s="136">
        <v>453</v>
      </c>
      <c r="AI70" s="136">
        <v>463</v>
      </c>
      <c r="AJ70" s="136">
        <v>446</v>
      </c>
      <c r="AK70" s="136">
        <v>421</v>
      </c>
      <c r="AL70" s="36">
        <f>SUM(AH70:AK70)</f>
        <v>1783</v>
      </c>
      <c r="AM70" s="136">
        <v>365</v>
      </c>
      <c r="AN70" s="136">
        <v>418</v>
      </c>
      <c r="AO70" s="136">
        <v>470</v>
      </c>
      <c r="AP70" s="36">
        <f>AP60+AP65</f>
        <v>492.35322500000001</v>
      </c>
      <c r="AQ70" s="36">
        <f>SUM(AM70:AP70)</f>
        <v>1745.3532250000001</v>
      </c>
      <c r="AR70" s="36">
        <f t="shared" ref="AR70:AU70" si="203">AR60+AR65</f>
        <v>575.22473749999995</v>
      </c>
      <c r="AS70" s="36">
        <f t="shared" si="203"/>
        <v>627.03485999999998</v>
      </c>
      <c r="AT70" s="36">
        <f t="shared" si="203"/>
        <v>694.91255249999995</v>
      </c>
      <c r="AU70" s="36">
        <f t="shared" si="203"/>
        <v>674.31790062500011</v>
      </c>
      <c r="AV70" s="36">
        <f>SUM(AR70:AU70)</f>
        <v>2571.4900506250001</v>
      </c>
      <c r="AW70" s="36">
        <f t="shared" ref="AW70:AZ70" si="204">AW60+AW65</f>
        <v>754.50513461875005</v>
      </c>
      <c r="AX70" s="36">
        <f t="shared" si="204"/>
        <v>826.39500811875007</v>
      </c>
      <c r="AY70" s="36">
        <f t="shared" si="204"/>
        <v>880.62599918750004</v>
      </c>
      <c r="AZ70" s="36">
        <f t="shared" si="204"/>
        <v>826.53249674999995</v>
      </c>
      <c r="BA70" s="36">
        <f>SUM(AW70:AZ70)</f>
        <v>3288.0586386750001</v>
      </c>
      <c r="BB70" s="36">
        <f t="shared" ref="BB70:BE70" si="205">BB60+BB65</f>
        <v>884.58968134899999</v>
      </c>
      <c r="BC70" s="36">
        <f t="shared" si="205"/>
        <v>964.82107538487503</v>
      </c>
      <c r="BD70" s="36">
        <f t="shared" si="205"/>
        <v>1038.6322085688912</v>
      </c>
      <c r="BE70" s="36">
        <f t="shared" si="205"/>
        <v>980.37492887518772</v>
      </c>
      <c r="BF70" s="36">
        <f>SUM(BB70:BE70)</f>
        <v>3868.4178941779542</v>
      </c>
      <c r="BG70" s="36">
        <f t="shared" ref="BG70:BJ70" si="206">BG60+BG65</f>
        <v>1068.5004476324093</v>
      </c>
      <c r="BH70" s="36">
        <f t="shared" si="206"/>
        <v>1156.3243800972971</v>
      </c>
      <c r="BI70" s="36">
        <f t="shared" si="206"/>
        <v>1200.6437991601997</v>
      </c>
      <c r="BJ70" s="36">
        <f t="shared" si="206"/>
        <v>1110.5869630016255</v>
      </c>
      <c r="BK70" s="36">
        <f>SUM(BG70:BJ70)</f>
        <v>4536.0555898915318</v>
      </c>
      <c r="BL70" s="36">
        <f t="shared" ref="BL70:BO70" si="207">BL60+BL65</f>
        <v>1208.4352143464432</v>
      </c>
      <c r="BM70" s="36">
        <f t="shared" si="207"/>
        <v>1306.7297874076573</v>
      </c>
      <c r="BN70" s="36">
        <f t="shared" si="207"/>
        <v>1348.7565288017422</v>
      </c>
      <c r="BO70" s="36">
        <f t="shared" si="207"/>
        <v>1238.3884618135385</v>
      </c>
      <c r="BP70" s="36">
        <f>SUM(BL70:BO70)</f>
        <v>5102.3099923693808</v>
      </c>
      <c r="BQ70" s="36">
        <f t="shared" ref="BQ70:BT70" si="208">BQ60+BQ65</f>
        <v>1345.6630262847871</v>
      </c>
      <c r="BR70" s="36">
        <f t="shared" si="208"/>
        <v>1449.3549181444982</v>
      </c>
      <c r="BS70" s="36">
        <f t="shared" si="208"/>
        <v>1483.8441827496631</v>
      </c>
      <c r="BT70" s="36">
        <f t="shared" si="208"/>
        <v>1349.3623568649693</v>
      </c>
      <c r="BU70" s="36">
        <f>SUM(BQ70:BT70)</f>
        <v>5628.224484043918</v>
      </c>
    </row>
    <row r="71" spans="1:73">
      <c r="A71" s="5" t="s">
        <v>1913</v>
      </c>
      <c r="X71" s="136">
        <v>147</v>
      </c>
      <c r="Y71" s="136">
        <v>184</v>
      </c>
      <c r="Z71" s="136">
        <v>186</v>
      </c>
      <c r="AA71" s="136">
        <v>184</v>
      </c>
      <c r="AB71" s="36">
        <f>SUM(X71:AA71)</f>
        <v>701</v>
      </c>
      <c r="AC71" s="136">
        <v>304</v>
      </c>
      <c r="AD71" s="136">
        <v>410</v>
      </c>
      <c r="AE71" s="136">
        <v>182</v>
      </c>
      <c r="AF71" s="136">
        <v>233</v>
      </c>
      <c r="AG71" s="36">
        <f>SUM(AC71:AF71)</f>
        <v>1129</v>
      </c>
      <c r="AH71" s="136">
        <v>266</v>
      </c>
      <c r="AI71" s="136">
        <v>193</v>
      </c>
      <c r="AJ71" s="136">
        <v>300</v>
      </c>
      <c r="AK71" s="136">
        <v>276</v>
      </c>
      <c r="AL71" s="36">
        <f>SUM(AH71:AK71)</f>
        <v>1035</v>
      </c>
      <c r="AM71" s="136">
        <v>276</v>
      </c>
      <c r="AN71" s="136">
        <v>388</v>
      </c>
      <c r="AO71" s="136">
        <v>354</v>
      </c>
      <c r="AP71" s="36">
        <f>AP61+AP66</f>
        <v>371.7</v>
      </c>
      <c r="AQ71" s="36">
        <f>SUM(AM71:AP71)</f>
        <v>1389.7</v>
      </c>
      <c r="AR71" s="36">
        <f t="shared" ref="AR71:AU71" si="209">AR61+AR66</f>
        <v>341.33000000000004</v>
      </c>
      <c r="AS71" s="36">
        <f t="shared" si="209"/>
        <v>348.15660000000003</v>
      </c>
      <c r="AT71" s="36">
        <f t="shared" si="209"/>
        <v>358.60129800000004</v>
      </c>
      <c r="AU71" s="36">
        <f t="shared" si="209"/>
        <v>362.18731098000006</v>
      </c>
      <c r="AV71" s="36">
        <f>SUM(AR71:AU71)</f>
        <v>1410.2752089800003</v>
      </c>
      <c r="AW71" s="36">
        <f t="shared" ref="AW71:AZ71" si="210">AW61+AW66</f>
        <v>365.80918408980006</v>
      </c>
      <c r="AX71" s="36">
        <f t="shared" si="210"/>
        <v>369.46727593069807</v>
      </c>
      <c r="AY71" s="36">
        <f t="shared" si="210"/>
        <v>373.16194869000503</v>
      </c>
      <c r="AZ71" s="36">
        <f t="shared" si="210"/>
        <v>380.62518766380515</v>
      </c>
      <c r="BA71" s="36">
        <f>SUM(AW71:AZ71)</f>
        <v>1489.0635963743084</v>
      </c>
      <c r="BB71" s="36">
        <f t="shared" ref="BB71:BE71" si="211">BB61+BB66</f>
        <v>385.00237732193892</v>
      </c>
      <c r="BC71" s="36">
        <f t="shared" si="211"/>
        <v>389.42990466114122</v>
      </c>
      <c r="BD71" s="36">
        <f t="shared" si="211"/>
        <v>393.90834856474436</v>
      </c>
      <c r="BE71" s="36">
        <f t="shared" si="211"/>
        <v>398.43829457323892</v>
      </c>
      <c r="BF71" s="36">
        <f>SUM(BB71:BE71)</f>
        <v>1566.7789251210634</v>
      </c>
      <c r="BG71" s="36">
        <f t="shared" ref="BG71:BJ71" si="212">BG61+BG66</f>
        <v>400.43048604610505</v>
      </c>
      <c r="BH71" s="36">
        <f t="shared" si="212"/>
        <v>402.43263847633551</v>
      </c>
      <c r="BI71" s="36">
        <f t="shared" si="212"/>
        <v>404.44480166871716</v>
      </c>
      <c r="BJ71" s="36">
        <f t="shared" si="212"/>
        <v>406.46702567706069</v>
      </c>
      <c r="BK71" s="36">
        <f>SUM(BG71:BJ71)</f>
        <v>1613.7749518682185</v>
      </c>
      <c r="BL71" s="36">
        <f t="shared" ref="BL71:BO71" si="213">BL61+BL66</f>
        <v>410.53169593383132</v>
      </c>
      <c r="BM71" s="36">
        <f t="shared" si="213"/>
        <v>414.63701289316964</v>
      </c>
      <c r="BN71" s="36">
        <f t="shared" si="213"/>
        <v>418.78338302210136</v>
      </c>
      <c r="BO71" s="36">
        <f t="shared" si="213"/>
        <v>422.97121685232236</v>
      </c>
      <c r="BP71" s="36">
        <f>SUM(BL71:BO71)</f>
        <v>1666.9233087014247</v>
      </c>
      <c r="BQ71" s="36">
        <f t="shared" ref="BQ71:BT71" si="214">BQ61+BQ66</f>
        <v>427.20092902084559</v>
      </c>
      <c r="BR71" s="36">
        <f t="shared" si="214"/>
        <v>431.47293831105407</v>
      </c>
      <c r="BS71" s="36">
        <f t="shared" si="214"/>
        <v>435.78766769416461</v>
      </c>
      <c r="BT71" s="36">
        <f t="shared" si="214"/>
        <v>440.14554437110627</v>
      </c>
      <c r="BU71" s="36">
        <f>SUM(BQ71:BT71)</f>
        <v>1734.6070793971705</v>
      </c>
    </row>
    <row r="72" spans="1:73">
      <c r="A72" s="9" t="s">
        <v>1401</v>
      </c>
      <c r="B72" s="9"/>
      <c r="C72" s="9"/>
      <c r="D72" s="9"/>
      <c r="E72" s="9"/>
      <c r="F72" s="9"/>
      <c r="G72" s="9"/>
      <c r="H72" s="9"/>
      <c r="I72" s="9"/>
      <c r="J72" s="9"/>
      <c r="K72" s="9"/>
      <c r="L72" s="9"/>
      <c r="M72" s="9"/>
      <c r="N72" s="9"/>
      <c r="O72" s="9"/>
      <c r="P72" s="9"/>
      <c r="Q72" s="9"/>
      <c r="R72" s="9"/>
      <c r="S72" s="9"/>
      <c r="T72" s="9"/>
      <c r="U72" s="9"/>
      <c r="V72" s="9"/>
      <c r="W72" s="9"/>
      <c r="X72" s="39">
        <f t="shared" ref="X72:AQ72" si="215">SUM(X70:X71)</f>
        <v>429</v>
      </c>
      <c r="Y72" s="39">
        <f t="shared" si="215"/>
        <v>507</v>
      </c>
      <c r="Z72" s="39">
        <f t="shared" si="215"/>
        <v>525</v>
      </c>
      <c r="AA72" s="39">
        <f t="shared" si="215"/>
        <v>519</v>
      </c>
      <c r="AB72" s="39">
        <f t="shared" si="215"/>
        <v>1980</v>
      </c>
      <c r="AC72" s="39">
        <f t="shared" si="215"/>
        <v>675</v>
      </c>
      <c r="AD72" s="39">
        <f t="shared" si="215"/>
        <v>788</v>
      </c>
      <c r="AE72" s="39">
        <f t="shared" si="215"/>
        <v>581</v>
      </c>
      <c r="AF72" s="39">
        <f t="shared" si="215"/>
        <v>621</v>
      </c>
      <c r="AG72" s="39">
        <f t="shared" si="215"/>
        <v>2665</v>
      </c>
      <c r="AH72" s="39">
        <f t="shared" si="215"/>
        <v>719</v>
      </c>
      <c r="AI72" s="39">
        <f t="shared" si="215"/>
        <v>656</v>
      </c>
      <c r="AJ72" s="39">
        <f t="shared" si="215"/>
        <v>746</v>
      </c>
      <c r="AK72" s="39">
        <f t="shared" si="215"/>
        <v>697</v>
      </c>
      <c r="AL72" s="39">
        <f t="shared" si="215"/>
        <v>2818</v>
      </c>
      <c r="AM72" s="39">
        <f t="shared" si="215"/>
        <v>641</v>
      </c>
      <c r="AN72" s="39">
        <f t="shared" si="215"/>
        <v>806</v>
      </c>
      <c r="AO72" s="39">
        <f t="shared" si="215"/>
        <v>824</v>
      </c>
      <c r="AP72" s="39">
        <f t="shared" si="215"/>
        <v>864.053225</v>
      </c>
      <c r="AQ72" s="39">
        <f t="shared" si="215"/>
        <v>3135.0532250000001</v>
      </c>
      <c r="AR72" s="39">
        <f t="shared" ref="AR72:AU72" si="216">SUM(AR70:AR71)</f>
        <v>916.55473749999999</v>
      </c>
      <c r="AS72" s="39">
        <f t="shared" si="216"/>
        <v>975.19146000000001</v>
      </c>
      <c r="AT72" s="39">
        <f t="shared" si="216"/>
        <v>1053.5138505</v>
      </c>
      <c r="AU72" s="39">
        <f t="shared" si="216"/>
        <v>1036.5052116050001</v>
      </c>
      <c r="AV72" s="39">
        <f>SUM(AV70:AV71)</f>
        <v>3981.7652596050002</v>
      </c>
      <c r="AW72" s="39">
        <f t="shared" ref="AW72" si="217">SUM(AW70:AW71)</f>
        <v>1120.3143187085502</v>
      </c>
      <c r="AX72" s="39">
        <f t="shared" ref="AX72" si="218">SUM(AX70:AX71)</f>
        <v>1195.8622840494481</v>
      </c>
      <c r="AY72" s="39">
        <f t="shared" ref="AY72" si="219">SUM(AY70:AY71)</f>
        <v>1253.7879478775051</v>
      </c>
      <c r="AZ72" s="39">
        <f t="shared" ref="AZ72" si="220">SUM(AZ70:AZ71)</f>
        <v>1207.1576844138051</v>
      </c>
      <c r="BA72" s="39">
        <f>SUM(BA70:BA71)</f>
        <v>4777.1222350493081</v>
      </c>
      <c r="BB72" s="39">
        <f t="shared" ref="BB72" si="221">SUM(BB70:BB71)</f>
        <v>1269.592058670939</v>
      </c>
      <c r="BC72" s="39">
        <f t="shared" ref="BC72" si="222">SUM(BC70:BC71)</f>
        <v>1354.2509800460161</v>
      </c>
      <c r="BD72" s="39">
        <f t="shared" ref="BD72" si="223">SUM(BD70:BD71)</f>
        <v>1432.5405571336355</v>
      </c>
      <c r="BE72" s="39">
        <f t="shared" ref="BE72" si="224">SUM(BE70:BE71)</f>
        <v>1378.8132234484267</v>
      </c>
      <c r="BF72" s="39">
        <f>SUM(BF70:BF71)</f>
        <v>5435.1968192990171</v>
      </c>
      <c r="BG72" s="39">
        <f t="shared" ref="BG72" si="225">SUM(BG70:BG71)</f>
        <v>1468.9309336785143</v>
      </c>
      <c r="BH72" s="39">
        <f t="shared" ref="BH72" si="226">SUM(BH70:BH71)</f>
        <v>1558.7570185736326</v>
      </c>
      <c r="BI72" s="39">
        <f t="shared" ref="BI72" si="227">SUM(BI70:BI71)</f>
        <v>1605.0886008289169</v>
      </c>
      <c r="BJ72" s="39">
        <f t="shared" ref="BJ72" si="228">SUM(BJ70:BJ71)</f>
        <v>1517.0539886786862</v>
      </c>
      <c r="BK72" s="39">
        <f>SUM(BK70:BK71)</f>
        <v>6149.8305417597503</v>
      </c>
      <c r="BL72" s="39">
        <f t="shared" ref="BL72" si="229">SUM(BL70:BL71)</f>
        <v>1618.9669102802745</v>
      </c>
      <c r="BM72" s="39">
        <f t="shared" ref="BM72" si="230">SUM(BM70:BM71)</f>
        <v>1721.366800300827</v>
      </c>
      <c r="BN72" s="39">
        <f t="shared" ref="BN72" si="231">SUM(BN70:BN71)</f>
        <v>1767.5399118238436</v>
      </c>
      <c r="BO72" s="39">
        <f t="shared" ref="BO72" si="232">SUM(BO70:BO71)</f>
        <v>1661.3596786658609</v>
      </c>
      <c r="BP72" s="39">
        <f>SUM(BP70:BP71)</f>
        <v>6769.2333010708053</v>
      </c>
      <c r="BQ72" s="39">
        <f t="shared" ref="BQ72" si="233">SUM(BQ70:BQ71)</f>
        <v>1772.8639553056328</v>
      </c>
      <c r="BR72" s="39">
        <f t="shared" ref="BR72" si="234">SUM(BR70:BR71)</f>
        <v>1880.8278564555524</v>
      </c>
      <c r="BS72" s="39">
        <f t="shared" ref="BS72" si="235">SUM(BS70:BS71)</f>
        <v>1919.6318504438277</v>
      </c>
      <c r="BT72" s="39">
        <f t="shared" ref="BT72" si="236">SUM(BT70:BT71)</f>
        <v>1789.5079012360757</v>
      </c>
      <c r="BU72" s="39">
        <f>SUM(BU70:BU71)</f>
        <v>7362.8315634410883</v>
      </c>
    </row>
    <row r="74" spans="1:73">
      <c r="A74" s="1" t="s">
        <v>28</v>
      </c>
    </row>
    <row r="75" spans="1:73">
      <c r="A75" s="5" t="s">
        <v>1912</v>
      </c>
      <c r="X75" s="36"/>
      <c r="Y75" s="36"/>
      <c r="Z75" s="36"/>
      <c r="AA75" s="36"/>
      <c r="AB75" s="36"/>
      <c r="AC75" s="21">
        <f t="shared" ref="AC75:AL77" si="237">AC70/X70-1</f>
        <v>0.31560283687943258</v>
      </c>
      <c r="AD75" s="21">
        <f t="shared" si="237"/>
        <v>0.1702786377708978</v>
      </c>
      <c r="AE75" s="21">
        <f t="shared" si="237"/>
        <v>0.17699115044247793</v>
      </c>
      <c r="AF75" s="21">
        <f t="shared" si="237"/>
        <v>0.15820895522388057</v>
      </c>
      <c r="AG75" s="21">
        <f t="shared" si="237"/>
        <v>0.20093823299452707</v>
      </c>
      <c r="AH75" s="21">
        <f t="shared" si="237"/>
        <v>0.22102425876010789</v>
      </c>
      <c r="AI75" s="21">
        <f t="shared" si="237"/>
        <v>0.22486772486772488</v>
      </c>
      <c r="AJ75" s="21">
        <f t="shared" si="237"/>
        <v>0.1177944862155389</v>
      </c>
      <c r="AK75" s="21">
        <f t="shared" si="237"/>
        <v>8.5051546391752497E-2</v>
      </c>
      <c r="AL75" s="21">
        <f t="shared" si="237"/>
        <v>0.16080729166666674</v>
      </c>
      <c r="AM75" s="21">
        <f t="shared" ref="AM75:AV77" si="238">AM70/AH70-1</f>
        <v>-0.19426048565121412</v>
      </c>
      <c r="AN75" s="21">
        <f t="shared" si="238"/>
        <v>-9.7192224622030254E-2</v>
      </c>
      <c r="AO75" s="21">
        <f t="shared" si="238"/>
        <v>5.3811659192825045E-2</v>
      </c>
      <c r="AP75" s="21">
        <f t="shared" si="238"/>
        <v>0.16948509501187647</v>
      </c>
      <c r="AQ75" s="21">
        <f t="shared" si="238"/>
        <v>-2.111428771733026E-2</v>
      </c>
      <c r="AR75" s="21">
        <f t="shared" si="238"/>
        <v>0.57595818493150674</v>
      </c>
      <c r="AS75" s="21">
        <f t="shared" si="238"/>
        <v>0.50008339712918648</v>
      </c>
      <c r="AT75" s="21">
        <f t="shared" si="238"/>
        <v>0.47853734574468065</v>
      </c>
      <c r="AU75" s="21">
        <f t="shared" si="238"/>
        <v>0.36958156539951603</v>
      </c>
      <c r="AV75" s="21">
        <f t="shared" si="238"/>
        <v>0.47333503258344733</v>
      </c>
      <c r="AW75" s="21">
        <f t="shared" ref="AW75:BF77" si="239">AW70/AR70-1</f>
        <v>0.31167017937706509</v>
      </c>
      <c r="AX75" s="21">
        <f t="shared" si="239"/>
        <v>0.31794109201320975</v>
      </c>
      <c r="AY75" s="21">
        <f t="shared" si="239"/>
        <v>0.26724721840090826</v>
      </c>
      <c r="AZ75" s="21">
        <f t="shared" si="239"/>
        <v>0.22573121073001001</v>
      </c>
      <c r="BA75" s="21">
        <f t="shared" si="239"/>
        <v>0.27865889968185487</v>
      </c>
      <c r="BB75" s="21">
        <f t="shared" si="239"/>
        <v>0.17241041944132207</v>
      </c>
      <c r="BC75" s="21">
        <f t="shared" si="239"/>
        <v>0.16750593348965825</v>
      </c>
      <c r="BD75" s="21">
        <f t="shared" si="239"/>
        <v>0.17942487449515898</v>
      </c>
      <c r="BE75" s="21">
        <f t="shared" si="239"/>
        <v>0.18612992559894503</v>
      </c>
      <c r="BF75" s="21">
        <f t="shared" si="239"/>
        <v>0.17650514156792019</v>
      </c>
      <c r="BG75" s="21">
        <f t="shared" ref="BG75:BP77" si="240">BG70/BB70-1</f>
        <v>0.20790516796775793</v>
      </c>
      <c r="BH75" s="21">
        <f t="shared" si="240"/>
        <v>0.19848582249929581</v>
      </c>
      <c r="BI75" s="21">
        <f t="shared" si="240"/>
        <v>0.15598552524626674</v>
      </c>
      <c r="BJ75" s="21">
        <f t="shared" si="240"/>
        <v>0.13281860877025253</v>
      </c>
      <c r="BK75" s="21">
        <f t="shared" si="240"/>
        <v>0.17258675613055807</v>
      </c>
      <c r="BL75" s="21">
        <f t="shared" si="240"/>
        <v>0.13096369498403337</v>
      </c>
      <c r="BM75" s="21">
        <f t="shared" si="240"/>
        <v>0.13007198490245853</v>
      </c>
      <c r="BN75" s="21">
        <f t="shared" si="240"/>
        <v>0.12336109156199471</v>
      </c>
      <c r="BO75" s="21">
        <f t="shared" si="240"/>
        <v>0.11507563393910103</v>
      </c>
      <c r="BP75" s="21">
        <f t="shared" si="240"/>
        <v>0.12483409677335766</v>
      </c>
      <c r="BQ75" s="21">
        <f t="shared" ref="BQ75:BU77" si="241">BQ70/BL70-1</f>
        <v>0.11355826966078664</v>
      </c>
      <c r="BR75" s="21">
        <f t="shared" si="241"/>
        <v>0.10914661325643027</v>
      </c>
      <c r="BS75" s="21">
        <f t="shared" si="241"/>
        <v>0.10015718260725315</v>
      </c>
      <c r="BT75" s="21">
        <f t="shared" si="241"/>
        <v>8.9611538280094161E-2</v>
      </c>
      <c r="BU75" s="21">
        <f t="shared" si="241"/>
        <v>0.10307380234855468</v>
      </c>
    </row>
    <row r="76" spans="1:73">
      <c r="A76" s="5" t="s">
        <v>1913</v>
      </c>
      <c r="X76" s="36"/>
      <c r="Y76" s="36"/>
      <c r="Z76" s="36"/>
      <c r="AA76" s="36"/>
      <c r="AB76" s="36"/>
      <c r="AC76" s="21">
        <f t="shared" si="237"/>
        <v>1.0680272108843538</v>
      </c>
      <c r="AD76" s="21">
        <f t="shared" si="237"/>
        <v>1.2282608695652173</v>
      </c>
      <c r="AE76" s="21">
        <f t="shared" si="237"/>
        <v>-2.1505376344086002E-2</v>
      </c>
      <c r="AF76" s="21">
        <f t="shared" si="237"/>
        <v>0.26630434782608692</v>
      </c>
      <c r="AG76" s="21">
        <f t="shared" si="237"/>
        <v>0.6105563480741798</v>
      </c>
      <c r="AH76" s="21">
        <f t="shared" si="237"/>
        <v>-0.125</v>
      </c>
      <c r="AI76" s="21">
        <f t="shared" si="237"/>
        <v>-0.52926829268292686</v>
      </c>
      <c r="AJ76" s="21">
        <f t="shared" si="237"/>
        <v>0.64835164835164827</v>
      </c>
      <c r="AK76" s="21">
        <f t="shared" si="237"/>
        <v>0.18454935622317592</v>
      </c>
      <c r="AL76" s="21">
        <f t="shared" si="237"/>
        <v>-8.3259521700620009E-2</v>
      </c>
      <c r="AM76" s="21">
        <f t="shared" si="238"/>
        <v>3.7593984962406068E-2</v>
      </c>
      <c r="AN76" s="21">
        <f t="shared" si="238"/>
        <v>1.0103626943005182</v>
      </c>
      <c r="AO76" s="21">
        <f t="shared" si="238"/>
        <v>0.17999999999999994</v>
      </c>
      <c r="AP76" s="21">
        <f t="shared" si="238"/>
        <v>0.34673913043478266</v>
      </c>
      <c r="AQ76" s="21">
        <f t="shared" si="238"/>
        <v>0.34270531400966187</v>
      </c>
      <c r="AR76" s="21">
        <f t="shared" si="238"/>
        <v>0.23670289855072468</v>
      </c>
      <c r="AS76" s="21">
        <f t="shared" si="238"/>
        <v>-0.10268917525773191</v>
      </c>
      <c r="AT76" s="21">
        <f t="shared" si="238"/>
        <v>1.2998016949152591E-2</v>
      </c>
      <c r="AU76" s="21">
        <f t="shared" si="238"/>
        <v>-2.5592383696529275E-2</v>
      </c>
      <c r="AV76" s="21">
        <f t="shared" si="238"/>
        <v>1.4805504051234264E-2</v>
      </c>
      <c r="AW76" s="21">
        <f t="shared" si="239"/>
        <v>7.171706000000011E-2</v>
      </c>
      <c r="AX76" s="21">
        <f t="shared" si="239"/>
        <v>6.1210030000000026E-2</v>
      </c>
      <c r="AY76" s="21">
        <f t="shared" si="239"/>
        <v>4.0604010000000024E-2</v>
      </c>
      <c r="AZ76" s="21">
        <f t="shared" si="239"/>
        <v>5.0907019999999914E-2</v>
      </c>
      <c r="BA76" s="21">
        <f t="shared" si="239"/>
        <v>5.5867384530777331E-2</v>
      </c>
      <c r="BB76" s="21">
        <f t="shared" si="239"/>
        <v>5.2467773000000051E-2</v>
      </c>
      <c r="BC76" s="21">
        <f t="shared" si="239"/>
        <v>5.4030843950000129E-2</v>
      </c>
      <c r="BD76" s="21">
        <f t="shared" si="239"/>
        <v>5.5596236292500212E-2</v>
      </c>
      <c r="BE76" s="21">
        <f t="shared" si="239"/>
        <v>4.679960099006264E-2</v>
      </c>
      <c r="BF76" s="21">
        <f t="shared" si="239"/>
        <v>5.2190738485570654E-2</v>
      </c>
      <c r="BG76" s="21">
        <f t="shared" si="240"/>
        <v>4.0072762229374836E-2</v>
      </c>
      <c r="BH76" s="21">
        <f t="shared" si="240"/>
        <v>3.3389150806249601E-2</v>
      </c>
      <c r="BI76" s="21">
        <f t="shared" si="240"/>
        <v>2.6748488937499593E-2</v>
      </c>
      <c r="BJ76" s="21">
        <f t="shared" si="240"/>
        <v>2.0150500624999568E-2</v>
      </c>
      <c r="BK76" s="21">
        <f t="shared" si="240"/>
        <v>2.9995314586915178E-2</v>
      </c>
      <c r="BL76" s="21">
        <f t="shared" si="240"/>
        <v>2.5225876249999724E-2</v>
      </c>
      <c r="BM76" s="21">
        <f t="shared" si="240"/>
        <v>3.0326502499999908E-2</v>
      </c>
      <c r="BN76" s="21">
        <f t="shared" si="240"/>
        <v>3.5452505000000079E-2</v>
      </c>
      <c r="BO76" s="21">
        <f t="shared" si="240"/>
        <v>4.0604010000000024E-2</v>
      </c>
      <c r="BP76" s="21">
        <f t="shared" si="240"/>
        <v>3.2934181294410392E-2</v>
      </c>
      <c r="BQ76" s="21">
        <f t="shared" si="241"/>
        <v>4.0604010000000024E-2</v>
      </c>
      <c r="BR76" s="21">
        <f t="shared" si="241"/>
        <v>4.0604010000000024E-2</v>
      </c>
      <c r="BS76" s="21">
        <f t="shared" si="241"/>
        <v>4.0604010000000024E-2</v>
      </c>
      <c r="BT76" s="21">
        <f t="shared" si="241"/>
        <v>4.0604010000000024E-2</v>
      </c>
      <c r="BU76" s="21">
        <f t="shared" si="241"/>
        <v>4.0604010000000024E-2</v>
      </c>
    </row>
    <row r="77" spans="1:73">
      <c r="A77" s="9" t="s">
        <v>1401</v>
      </c>
      <c r="B77" s="9"/>
      <c r="C77" s="9"/>
      <c r="D77" s="9"/>
      <c r="E77" s="9"/>
      <c r="F77" s="9"/>
      <c r="G77" s="9"/>
      <c r="H77" s="9"/>
      <c r="I77" s="9"/>
      <c r="J77" s="9"/>
      <c r="K77" s="9"/>
      <c r="L77" s="9"/>
      <c r="M77" s="9"/>
      <c r="N77" s="9"/>
      <c r="O77" s="9"/>
      <c r="P77" s="9"/>
      <c r="Q77" s="9"/>
      <c r="R77" s="9"/>
      <c r="S77" s="9"/>
      <c r="T77" s="9"/>
      <c r="U77" s="9"/>
      <c r="V77" s="9"/>
      <c r="W77" s="9"/>
      <c r="X77" s="39"/>
      <c r="Y77" s="39"/>
      <c r="Z77" s="39"/>
      <c r="AA77" s="39"/>
      <c r="AB77" s="39"/>
      <c r="AC77" s="32">
        <f t="shared" si="237"/>
        <v>0.57342657342657333</v>
      </c>
      <c r="AD77" s="32">
        <f t="shared" si="237"/>
        <v>0.55424063116370803</v>
      </c>
      <c r="AE77" s="32">
        <f t="shared" si="237"/>
        <v>0.10666666666666669</v>
      </c>
      <c r="AF77" s="32">
        <f t="shared" si="237"/>
        <v>0.19653179190751446</v>
      </c>
      <c r="AG77" s="32">
        <f t="shared" si="237"/>
        <v>0.34595959595959602</v>
      </c>
      <c r="AH77" s="32">
        <f t="shared" si="237"/>
        <v>6.5185185185185235E-2</v>
      </c>
      <c r="AI77" s="32">
        <f t="shared" si="237"/>
        <v>-0.1675126903553299</v>
      </c>
      <c r="AJ77" s="32">
        <f t="shared" si="237"/>
        <v>0.28399311531841653</v>
      </c>
      <c r="AK77" s="32">
        <f t="shared" si="237"/>
        <v>0.12238325281803553</v>
      </c>
      <c r="AL77" s="32">
        <f t="shared" si="237"/>
        <v>5.7410881801125635E-2</v>
      </c>
      <c r="AM77" s="32">
        <f t="shared" si="238"/>
        <v>-0.1084840055632823</v>
      </c>
      <c r="AN77" s="32">
        <f t="shared" si="238"/>
        <v>0.22865853658536595</v>
      </c>
      <c r="AO77" s="32">
        <f t="shared" si="238"/>
        <v>0.10455764075067031</v>
      </c>
      <c r="AP77" s="32">
        <f t="shared" si="238"/>
        <v>0.23967464131994265</v>
      </c>
      <c r="AQ77" s="32">
        <f t="shared" si="238"/>
        <v>0.11251001596877219</v>
      </c>
      <c r="AR77" s="32">
        <f t="shared" si="238"/>
        <v>0.42988258580343208</v>
      </c>
      <c r="AS77" s="32">
        <f t="shared" si="238"/>
        <v>0.20991496277915633</v>
      </c>
      <c r="AT77" s="32">
        <f t="shared" si="238"/>
        <v>0.27853622633495134</v>
      </c>
      <c r="AU77" s="32">
        <f t="shared" si="238"/>
        <v>0.19958491168758741</v>
      </c>
      <c r="AV77" s="32">
        <f t="shared" si="238"/>
        <v>0.27007899829356163</v>
      </c>
      <c r="AW77" s="32">
        <f t="shared" si="239"/>
        <v>0.22231032460137201</v>
      </c>
      <c r="AX77" s="32">
        <f t="shared" si="239"/>
        <v>0.22628461497134955</v>
      </c>
      <c r="AY77" s="32">
        <f t="shared" si="239"/>
        <v>0.19010105779098629</v>
      </c>
      <c r="AZ77" s="32">
        <f t="shared" si="239"/>
        <v>0.16464217535824477</v>
      </c>
      <c r="BA77" s="32">
        <f t="shared" si="239"/>
        <v>0.19974984048236166</v>
      </c>
      <c r="BB77" s="32">
        <f t="shared" si="239"/>
        <v>0.13324630192575748</v>
      </c>
      <c r="BC77" s="32">
        <f t="shared" si="239"/>
        <v>0.13244727098527576</v>
      </c>
      <c r="BD77" s="32">
        <f t="shared" si="239"/>
        <v>0.14257004907307858</v>
      </c>
      <c r="BE77" s="32">
        <f t="shared" si="239"/>
        <v>0.14219810820984624</v>
      </c>
      <c r="BF77" s="32">
        <f t="shared" si="239"/>
        <v>0.13775544184770405</v>
      </c>
      <c r="BG77" s="32">
        <f t="shared" si="240"/>
        <v>0.15701017791199123</v>
      </c>
      <c r="BH77" s="32">
        <f t="shared" si="240"/>
        <v>0.15101044159529975</v>
      </c>
      <c r="BI77" s="32">
        <f t="shared" si="240"/>
        <v>0.12044897635605656</v>
      </c>
      <c r="BJ77" s="32">
        <f t="shared" si="240"/>
        <v>0.10026069004800942</v>
      </c>
      <c r="BK77" s="32">
        <f t="shared" si="240"/>
        <v>0.13148258402037039</v>
      </c>
      <c r="BL77" s="32">
        <f t="shared" si="240"/>
        <v>0.1021395718218272</v>
      </c>
      <c r="BM77" s="32">
        <f t="shared" si="240"/>
        <v>0.10432016009524903</v>
      </c>
      <c r="BN77" s="32">
        <f t="shared" si="240"/>
        <v>0.10121018298368822</v>
      </c>
      <c r="BO77" s="32">
        <f t="shared" si="240"/>
        <v>9.5122316716533595E-2</v>
      </c>
      <c r="BP77" s="32">
        <f t="shared" si="240"/>
        <v>0.10071867104387167</v>
      </c>
      <c r="BQ77" s="32">
        <f t="shared" si="241"/>
        <v>9.5058795858104173E-2</v>
      </c>
      <c r="BR77" s="32">
        <f t="shared" si="241"/>
        <v>9.2636302807082016E-2</v>
      </c>
      <c r="BS77" s="32">
        <f t="shared" si="241"/>
        <v>8.604724430977484E-2</v>
      </c>
      <c r="BT77" s="32">
        <f t="shared" si="241"/>
        <v>7.7134544804363436E-2</v>
      </c>
      <c r="BU77" s="32">
        <f t="shared" si="241"/>
        <v>8.769061959740454E-2</v>
      </c>
    </row>
    <row r="79" spans="1:73" s="179" customFormat="1">
      <c r="A79" s="178" t="s">
        <v>1959</v>
      </c>
    </row>
    <row r="81" spans="1:73">
      <c r="A81" s="1" t="s">
        <v>1401</v>
      </c>
      <c r="X81" s="36">
        <f>X72</f>
        <v>429</v>
      </c>
      <c r="Y81" s="36">
        <f t="shared" ref="Y81:BU81" si="242">Y72</f>
        <v>507</v>
      </c>
      <c r="Z81" s="36">
        <f t="shared" si="242"/>
        <v>525</v>
      </c>
      <c r="AA81" s="36">
        <f t="shared" si="242"/>
        <v>519</v>
      </c>
      <c r="AB81" s="36">
        <f t="shared" si="242"/>
        <v>1980</v>
      </c>
      <c r="AC81" s="36">
        <f>AC72</f>
        <v>675</v>
      </c>
      <c r="AD81" s="36">
        <f t="shared" si="242"/>
        <v>788</v>
      </c>
      <c r="AE81" s="36">
        <f t="shared" si="242"/>
        <v>581</v>
      </c>
      <c r="AF81" s="36">
        <f t="shared" si="242"/>
        <v>621</v>
      </c>
      <c r="AG81" s="36">
        <f t="shared" si="242"/>
        <v>2665</v>
      </c>
      <c r="AH81" s="36">
        <f>AH72</f>
        <v>719</v>
      </c>
      <c r="AI81" s="36">
        <f t="shared" si="242"/>
        <v>656</v>
      </c>
      <c r="AJ81" s="36">
        <f t="shared" si="242"/>
        <v>746</v>
      </c>
      <c r="AK81" s="36">
        <f t="shared" si="242"/>
        <v>697</v>
      </c>
      <c r="AL81" s="36">
        <f t="shared" si="242"/>
        <v>2818</v>
      </c>
      <c r="AM81" s="36">
        <f>AM72</f>
        <v>641</v>
      </c>
      <c r="AN81" s="36">
        <f t="shared" si="242"/>
        <v>806</v>
      </c>
      <c r="AO81" s="36">
        <f t="shared" si="242"/>
        <v>824</v>
      </c>
      <c r="AP81" s="36">
        <f t="shared" si="242"/>
        <v>864.053225</v>
      </c>
      <c r="AQ81" s="36">
        <f t="shared" si="242"/>
        <v>3135.0532250000001</v>
      </c>
      <c r="AR81" s="36">
        <f>AR72</f>
        <v>916.55473749999999</v>
      </c>
      <c r="AS81" s="36">
        <f t="shared" si="242"/>
        <v>975.19146000000001</v>
      </c>
      <c r="AT81" s="36">
        <f t="shared" si="242"/>
        <v>1053.5138505</v>
      </c>
      <c r="AU81" s="36">
        <f t="shared" si="242"/>
        <v>1036.5052116050001</v>
      </c>
      <c r="AV81" s="36">
        <f t="shared" si="242"/>
        <v>3981.7652596050002</v>
      </c>
      <c r="AW81" s="36">
        <f>AW72</f>
        <v>1120.3143187085502</v>
      </c>
      <c r="AX81" s="36">
        <f t="shared" si="242"/>
        <v>1195.8622840494481</v>
      </c>
      <c r="AY81" s="36">
        <f t="shared" si="242"/>
        <v>1253.7879478775051</v>
      </c>
      <c r="AZ81" s="36">
        <f t="shared" si="242"/>
        <v>1207.1576844138051</v>
      </c>
      <c r="BA81" s="36">
        <f t="shared" si="242"/>
        <v>4777.1222350493081</v>
      </c>
      <c r="BB81" s="36">
        <f>BB72</f>
        <v>1269.592058670939</v>
      </c>
      <c r="BC81" s="36">
        <f t="shared" si="242"/>
        <v>1354.2509800460161</v>
      </c>
      <c r="BD81" s="36">
        <f t="shared" si="242"/>
        <v>1432.5405571336355</v>
      </c>
      <c r="BE81" s="36">
        <f t="shared" si="242"/>
        <v>1378.8132234484267</v>
      </c>
      <c r="BF81" s="36">
        <f t="shared" si="242"/>
        <v>5435.1968192990171</v>
      </c>
      <c r="BG81" s="36">
        <f>BG72</f>
        <v>1468.9309336785143</v>
      </c>
      <c r="BH81" s="36">
        <f t="shared" si="242"/>
        <v>1558.7570185736326</v>
      </c>
      <c r="BI81" s="36">
        <f t="shared" si="242"/>
        <v>1605.0886008289169</v>
      </c>
      <c r="BJ81" s="36">
        <f t="shared" si="242"/>
        <v>1517.0539886786862</v>
      </c>
      <c r="BK81" s="36">
        <f t="shared" si="242"/>
        <v>6149.8305417597503</v>
      </c>
      <c r="BL81" s="36">
        <f>BL72</f>
        <v>1618.9669102802745</v>
      </c>
      <c r="BM81" s="36">
        <f t="shared" si="242"/>
        <v>1721.366800300827</v>
      </c>
      <c r="BN81" s="36">
        <f t="shared" si="242"/>
        <v>1767.5399118238436</v>
      </c>
      <c r="BO81" s="36">
        <f t="shared" si="242"/>
        <v>1661.3596786658609</v>
      </c>
      <c r="BP81" s="36">
        <f t="shared" si="242"/>
        <v>6769.2333010708053</v>
      </c>
      <c r="BQ81" s="36">
        <f>BQ72</f>
        <v>1772.8639553056328</v>
      </c>
      <c r="BR81" s="36">
        <f t="shared" si="242"/>
        <v>1880.8278564555524</v>
      </c>
      <c r="BS81" s="36">
        <f t="shared" si="242"/>
        <v>1919.6318504438277</v>
      </c>
      <c r="BT81" s="36">
        <f t="shared" si="242"/>
        <v>1789.5079012360757</v>
      </c>
      <c r="BU81" s="36">
        <f t="shared" si="242"/>
        <v>7362.8315634410883</v>
      </c>
    </row>
    <row r="82" spans="1:73">
      <c r="A82" s="1" t="s">
        <v>28</v>
      </c>
      <c r="AC82" s="16">
        <f t="shared" ref="AC82:BU82" si="243">AC81/X81-1</f>
        <v>0.57342657342657333</v>
      </c>
      <c r="AD82" s="16">
        <f t="shared" si="243"/>
        <v>0.55424063116370803</v>
      </c>
      <c r="AE82" s="16">
        <f t="shared" si="243"/>
        <v>0.10666666666666669</v>
      </c>
      <c r="AF82" s="16">
        <f t="shared" si="243"/>
        <v>0.19653179190751446</v>
      </c>
      <c r="AG82" s="16">
        <f t="shared" si="243"/>
        <v>0.34595959595959602</v>
      </c>
      <c r="AH82" s="16">
        <f t="shared" si="243"/>
        <v>6.5185185185185235E-2</v>
      </c>
      <c r="AI82" s="16">
        <f t="shared" si="243"/>
        <v>-0.1675126903553299</v>
      </c>
      <c r="AJ82" s="16">
        <f t="shared" si="243"/>
        <v>0.28399311531841653</v>
      </c>
      <c r="AK82" s="16">
        <f t="shared" si="243"/>
        <v>0.12238325281803553</v>
      </c>
      <c r="AL82" s="16">
        <f t="shared" si="243"/>
        <v>5.7410881801125635E-2</v>
      </c>
      <c r="AM82" s="16">
        <f t="shared" si="243"/>
        <v>-0.1084840055632823</v>
      </c>
      <c r="AN82" s="16">
        <f t="shared" si="243"/>
        <v>0.22865853658536595</v>
      </c>
      <c r="AO82" s="16">
        <f t="shared" si="243"/>
        <v>0.10455764075067031</v>
      </c>
      <c r="AP82" s="16">
        <f t="shared" si="243"/>
        <v>0.23967464131994265</v>
      </c>
      <c r="AQ82" s="16">
        <f t="shared" si="243"/>
        <v>0.11251001596877219</v>
      </c>
      <c r="AR82" s="16">
        <f t="shared" si="243"/>
        <v>0.42988258580343208</v>
      </c>
      <c r="AS82" s="16">
        <f t="shared" si="243"/>
        <v>0.20991496277915633</v>
      </c>
      <c r="AT82" s="16">
        <f t="shared" si="243"/>
        <v>0.27853622633495134</v>
      </c>
      <c r="AU82" s="16">
        <f t="shared" si="243"/>
        <v>0.19958491168758741</v>
      </c>
      <c r="AV82" s="16">
        <f t="shared" si="243"/>
        <v>0.27007899829356163</v>
      </c>
      <c r="AW82" s="16">
        <f t="shared" si="243"/>
        <v>0.22231032460137201</v>
      </c>
      <c r="AX82" s="16">
        <f t="shared" si="243"/>
        <v>0.22628461497134955</v>
      </c>
      <c r="AY82" s="16">
        <f t="shared" si="243"/>
        <v>0.19010105779098629</v>
      </c>
      <c r="AZ82" s="16">
        <f t="shared" si="243"/>
        <v>0.16464217535824477</v>
      </c>
      <c r="BA82" s="16">
        <f t="shared" si="243"/>
        <v>0.19974984048236166</v>
      </c>
      <c r="BB82" s="16">
        <f t="shared" si="243"/>
        <v>0.13324630192575748</v>
      </c>
      <c r="BC82" s="16">
        <f t="shared" si="243"/>
        <v>0.13244727098527576</v>
      </c>
      <c r="BD82" s="16">
        <f t="shared" si="243"/>
        <v>0.14257004907307858</v>
      </c>
      <c r="BE82" s="16">
        <f t="shared" si="243"/>
        <v>0.14219810820984624</v>
      </c>
      <c r="BF82" s="16">
        <f t="shared" si="243"/>
        <v>0.13775544184770405</v>
      </c>
      <c r="BG82" s="16">
        <f t="shared" si="243"/>
        <v>0.15701017791199123</v>
      </c>
      <c r="BH82" s="16">
        <f t="shared" si="243"/>
        <v>0.15101044159529975</v>
      </c>
      <c r="BI82" s="16">
        <f t="shared" si="243"/>
        <v>0.12044897635605656</v>
      </c>
      <c r="BJ82" s="16">
        <f t="shared" si="243"/>
        <v>0.10026069004800942</v>
      </c>
      <c r="BK82" s="16">
        <f t="shared" si="243"/>
        <v>0.13148258402037039</v>
      </c>
      <c r="BL82" s="16">
        <f t="shared" si="243"/>
        <v>0.1021395718218272</v>
      </c>
      <c r="BM82" s="16">
        <f t="shared" si="243"/>
        <v>0.10432016009524903</v>
      </c>
      <c r="BN82" s="16">
        <f t="shared" si="243"/>
        <v>0.10121018298368822</v>
      </c>
      <c r="BO82" s="16">
        <f t="shared" si="243"/>
        <v>9.5122316716533595E-2</v>
      </c>
      <c r="BP82" s="16">
        <f t="shared" si="243"/>
        <v>0.10071867104387167</v>
      </c>
      <c r="BQ82" s="16">
        <f t="shared" si="243"/>
        <v>9.5058795858104173E-2</v>
      </c>
      <c r="BR82" s="16">
        <f t="shared" si="243"/>
        <v>9.2636302807082016E-2</v>
      </c>
      <c r="BS82" s="16">
        <f t="shared" si="243"/>
        <v>8.604724430977484E-2</v>
      </c>
      <c r="BT82" s="16">
        <f t="shared" si="243"/>
        <v>7.7134544804363436E-2</v>
      </c>
      <c r="BU82" s="16">
        <f t="shared" si="243"/>
        <v>8.769061959740454E-2</v>
      </c>
    </row>
    <row r="84" spans="1:73">
      <c r="A84" s="1" t="s">
        <v>1923</v>
      </c>
      <c r="AB84" s="36">
        <f t="shared" ref="AB84:AG84" si="244">AB85-AB62</f>
        <v>-145</v>
      </c>
      <c r="AC84" s="36">
        <f t="shared" si="244"/>
        <v>-28.608441625004275</v>
      </c>
      <c r="AD84" s="36">
        <f t="shared" si="244"/>
        <v>-36.159356924820599</v>
      </c>
      <c r="AE84" s="36">
        <f t="shared" si="244"/>
        <v>-26.874096136984576</v>
      </c>
      <c r="AF84" s="36">
        <f t="shared" si="244"/>
        <v>-37</v>
      </c>
      <c r="AG84" s="36">
        <f t="shared" si="244"/>
        <v>-131</v>
      </c>
      <c r="AH84" s="36">
        <f t="shared" ref="AH84:AL84" si="245">AH85-AH62</f>
        <v>-25</v>
      </c>
      <c r="AI84" s="36">
        <f t="shared" si="245"/>
        <v>-25</v>
      </c>
      <c r="AJ84" s="36">
        <f t="shared" si="245"/>
        <v>-29</v>
      </c>
      <c r="AK84" s="36">
        <f t="shared" si="245"/>
        <v>-27</v>
      </c>
      <c r="AL84" s="36">
        <f t="shared" si="245"/>
        <v>-106</v>
      </c>
      <c r="AM84" s="36">
        <f t="shared" ref="AM84" si="246">AM85-AM62</f>
        <v>-31</v>
      </c>
      <c r="AN84" s="36">
        <f t="shared" ref="AN84" si="247">AN85-AN62</f>
        <v>-46</v>
      </c>
      <c r="AO84" s="36">
        <f t="shared" ref="AO84" si="248">AO85-AO62</f>
        <v>-36</v>
      </c>
      <c r="AP84" s="36">
        <f t="shared" ref="AP84" si="249">AP85-AP62</f>
        <v>-29.638596750000033</v>
      </c>
      <c r="AQ84" s="36">
        <f t="shared" ref="AQ84" si="250">AQ85-AQ62</f>
        <v>-142.63859675000003</v>
      </c>
      <c r="AR84" s="36">
        <f t="shared" ref="AR84" si="251">AR85-AR62</f>
        <v>-30.90994212499993</v>
      </c>
      <c r="AS84" s="36">
        <f t="shared" ref="AS84" si="252">AS85-AS62</f>
        <v>-32.737309800000048</v>
      </c>
      <c r="AT84" s="36">
        <f t="shared" ref="AT84" si="253">AT85-AT62</f>
        <v>-35.191428495000082</v>
      </c>
      <c r="AU84" s="36">
        <f t="shared" ref="AU84" si="254">AU85-AU62</f>
        <v>-34.717029457949934</v>
      </c>
      <c r="AV84" s="36">
        <f t="shared" ref="AV84" si="255">AV85-AV62</f>
        <v>-133.55570987794999</v>
      </c>
      <c r="AW84" s="36">
        <f t="shared" ref="AW84" si="256">AW85-AW62</f>
        <v>-37.267521402154671</v>
      </c>
      <c r="AX84" s="36">
        <f t="shared" ref="AX84" si="257">AX85-AX62</f>
        <v>-39.570541280790394</v>
      </c>
      <c r="AY84" s="36">
        <f t="shared" ref="AY84" si="258">AY85-AY62</f>
        <v>-41.34525792322529</v>
      </c>
      <c r="AZ84" s="36">
        <f t="shared" ref="AZ84" si="259">AZ85-AZ62</f>
        <v>-40.020982409052294</v>
      </c>
      <c r="BA84" s="36">
        <f t="shared" ref="BA84" si="260">BA85-BA62</f>
        <v>-158.20430301522356</v>
      </c>
      <c r="BB84" s="36">
        <f t="shared" ref="BB84" si="261">BB85-BB62</f>
        <v>-41.937785533347551</v>
      </c>
      <c r="BC84" s="36">
        <f t="shared" ref="BC84" si="262">BC85-BC62</f>
        <v>-44.521828447991993</v>
      </c>
      <c r="BD84" s="36">
        <f t="shared" ref="BD84" si="263">BD85-BD62</f>
        <v>-46.915300199656485</v>
      </c>
      <c r="BE84" s="36">
        <f t="shared" ref="BE84" si="264">BE85-BE62</f>
        <v>-45.34877964918519</v>
      </c>
      <c r="BF84" s="36">
        <f t="shared" ref="BF84" si="265">BF85-BF62</f>
        <v>-178.72369383018122</v>
      </c>
      <c r="BG84" s="36">
        <f t="shared" ref="BG84" si="266">BG85-BG62</f>
        <v>-48.072232870816606</v>
      </c>
      <c r="BH84" s="36">
        <f t="shared" ref="BH84" si="267">BH85-BH62</f>
        <v>-50.787036941972474</v>
      </c>
      <c r="BI84" s="36">
        <f t="shared" ref="BI84" si="268">BI85-BI62</f>
        <v>-52.197106041554662</v>
      </c>
      <c r="BJ84" s="36">
        <f t="shared" ref="BJ84" si="269">BJ85-BJ62</f>
        <v>-49.576289917131362</v>
      </c>
      <c r="BK84" s="36">
        <f t="shared" ref="BK84" si="270">BK85-BK62</f>
        <v>-200.63266577147533</v>
      </c>
      <c r="BL84" s="36">
        <f t="shared" ref="BL84" si="271">BL85-BL62</f>
        <v>-52.67432426774667</v>
      </c>
      <c r="BM84" s="36">
        <f t="shared" ref="BM84" si="272">BM85-BM62</f>
        <v>-55.787374137956704</v>
      </c>
      <c r="BN84" s="36">
        <f t="shared" ref="BN84" si="273">BN85-BN62</f>
        <v>-57.214031184936402</v>
      </c>
      <c r="BO84" s="36">
        <f t="shared" ref="BO84" si="274">BO85-BO62</f>
        <v>-54.070502528499219</v>
      </c>
      <c r="BP84" s="36">
        <f t="shared" ref="BP84" si="275">BP85-BP62</f>
        <v>-219.74623211913968</v>
      </c>
      <c r="BQ84" s="36">
        <f t="shared" ref="BQ84" si="276">BQ85-BQ62</f>
        <v>-57.457927949377563</v>
      </c>
      <c r="BR84" s="36">
        <f t="shared" ref="BR84" si="277">BR85-BR62</f>
        <v>-60.739565076777126</v>
      </c>
      <c r="BS84" s="36">
        <f t="shared" ref="BS84" si="278">BS85-BS62</f>
        <v>-61.9468321902566</v>
      </c>
      <c r="BT84" s="36">
        <f t="shared" ref="BT84" si="279">BT85-BT62</f>
        <v>-58.086692480793545</v>
      </c>
      <c r="BU84" s="36">
        <f t="shared" ref="BU84" si="280">BU85-BU62</f>
        <v>-238.23101769720415</v>
      </c>
    </row>
    <row r="85" spans="1:73">
      <c r="A85" s="9" t="s">
        <v>1918</v>
      </c>
      <c r="B85" s="9"/>
      <c r="C85" s="9"/>
      <c r="D85" s="9"/>
      <c r="E85" s="9"/>
      <c r="F85" s="9"/>
      <c r="G85" s="9"/>
      <c r="H85" s="9"/>
      <c r="I85" s="9"/>
      <c r="J85" s="9"/>
      <c r="K85" s="9"/>
      <c r="L85" s="9"/>
      <c r="M85" s="9"/>
      <c r="N85" s="9"/>
      <c r="O85" s="9"/>
      <c r="P85" s="9"/>
      <c r="Q85" s="9"/>
      <c r="R85" s="9"/>
      <c r="S85" s="9"/>
      <c r="T85" s="9"/>
      <c r="U85" s="9"/>
      <c r="V85" s="9"/>
      <c r="W85" s="9"/>
      <c r="X85" s="39"/>
      <c r="Y85" s="39"/>
      <c r="Z85" s="39"/>
      <c r="AA85" s="39"/>
      <c r="AB85" s="39">
        <f>'Links (Arm OLD Model)'!AB10</f>
        <v>1882</v>
      </c>
      <c r="AC85" s="39">
        <f>AC86*AC62</f>
        <v>646.39155837499572</v>
      </c>
      <c r="AD85" s="39">
        <f>AD86*AD62</f>
        <v>751.8406430751794</v>
      </c>
      <c r="AE85" s="39">
        <f>AE86*AE62</f>
        <v>554.12590386301542</v>
      </c>
      <c r="AF85" s="39">
        <f>'Links (Arm OLD Model)'!AF10</f>
        <v>620</v>
      </c>
      <c r="AG85" s="39">
        <f>'Links (Arm OLD Model)'!AG10</f>
        <v>2572</v>
      </c>
      <c r="AH85" s="39">
        <f>'Links (Arm OLD Model)'!AH10</f>
        <v>667</v>
      </c>
      <c r="AI85" s="39">
        <f>'Links (Arm OLD Model)'!AI10</f>
        <v>605</v>
      </c>
      <c r="AJ85" s="39">
        <f>'Links (Arm OLD Model)'!AJ10</f>
        <v>695</v>
      </c>
      <c r="AK85" s="39">
        <f>'Links (Arm OLD Model)'!AK10</f>
        <v>606</v>
      </c>
      <c r="AL85" s="39">
        <f>'Links (Arm OLD Model)'!AL10</f>
        <v>2573</v>
      </c>
      <c r="AM85" s="39">
        <f>'Links (Arm OLD Model)'!AM10</f>
        <v>644</v>
      </c>
      <c r="AN85" s="39">
        <f>'Links (Arm OLD Model)'!AN10</f>
        <v>760</v>
      </c>
      <c r="AO85" s="39">
        <f>'Links (Arm OLD Model)'!AO10</f>
        <v>788</v>
      </c>
      <c r="AP85" s="39">
        <f>'Links (Arm OLD Model)'!AP10</f>
        <v>834.41462824999996</v>
      </c>
      <c r="AQ85" s="39">
        <f>'Links (Arm OLD Model)'!AQ10</f>
        <v>3026.4146282500001</v>
      </c>
      <c r="AR85" s="39">
        <f>'Links (Arm OLD Model)'!AR10</f>
        <v>885.64479537500006</v>
      </c>
      <c r="AS85" s="39">
        <f>'Links (Arm OLD Model)'!AS10</f>
        <v>942.45415019999996</v>
      </c>
      <c r="AT85" s="39">
        <f>'Links (Arm OLD Model)'!AT10</f>
        <v>1018.3224220049999</v>
      </c>
      <c r="AU85" s="39">
        <f>'Links (Arm OLD Model)'!AU10</f>
        <v>1001.7881821470502</v>
      </c>
      <c r="AV85" s="39">
        <f>'Links (Arm OLD Model)'!AV10</f>
        <v>3848.2095497270502</v>
      </c>
      <c r="AW85" s="39">
        <f>'Links (Arm OLD Model)'!AW10</f>
        <v>1083.0467973063955</v>
      </c>
      <c r="AX85" s="39">
        <f>'Links (Arm OLD Model)'!AX10</f>
        <v>1156.2917427686577</v>
      </c>
      <c r="AY85" s="39">
        <f>'Links (Arm OLD Model)'!AY10</f>
        <v>1212.4426899542798</v>
      </c>
      <c r="AZ85" s="39">
        <f>'Links (Arm OLD Model)'!AZ10</f>
        <v>1167.1367020047528</v>
      </c>
      <c r="BA85" s="39">
        <f>'Links (Arm OLD Model)'!BA10</f>
        <v>4618.9179320340854</v>
      </c>
      <c r="BB85" s="39">
        <f>'Links (Arm OLD Model)'!BB10</f>
        <v>1227.6542731375914</v>
      </c>
      <c r="BC85" s="39">
        <f>'Links (Arm OLD Model)'!BC10</f>
        <v>1309.7291515980241</v>
      </c>
      <c r="BD85" s="39">
        <f>'Links (Arm OLD Model)'!BD10</f>
        <v>1385.625256933979</v>
      </c>
      <c r="BE85" s="39">
        <f>'Links (Arm OLD Model)'!BE10</f>
        <v>1333.4644437992415</v>
      </c>
      <c r="BF85" s="39">
        <f>'Links (Arm OLD Model)'!BF10</f>
        <v>5256.4731254688359</v>
      </c>
      <c r="BG85" s="39">
        <f>'Links (Arm OLD Model)'!BG10</f>
        <v>1420.8587008076977</v>
      </c>
      <c r="BH85" s="39">
        <f>'Links (Arm OLD Model)'!BH10</f>
        <v>1507.9699816316602</v>
      </c>
      <c r="BI85" s="39">
        <f>'Links (Arm OLD Model)'!BI10</f>
        <v>1552.8914947873623</v>
      </c>
      <c r="BJ85" s="39">
        <f>'Links (Arm OLD Model)'!BJ10</f>
        <v>1467.4776987615548</v>
      </c>
      <c r="BK85" s="39">
        <f>'Links (Arm OLD Model)'!BK10</f>
        <v>5949.197875988275</v>
      </c>
      <c r="BL85" s="39">
        <f>'Links (Arm OLD Model)'!BL10</f>
        <v>1566.2925860125279</v>
      </c>
      <c r="BM85" s="39">
        <f>'Links (Arm OLD Model)'!BM10</f>
        <v>1665.5794261628703</v>
      </c>
      <c r="BN85" s="39">
        <f>'Links (Arm OLD Model)'!BN10</f>
        <v>1710.3258806389072</v>
      </c>
      <c r="BO85" s="39">
        <f>'Links (Arm OLD Model)'!BO10</f>
        <v>1607.2891761373617</v>
      </c>
      <c r="BP85" s="39">
        <f>'Links (Arm OLD Model)'!BP10</f>
        <v>6549.4870689516665</v>
      </c>
      <c r="BQ85" s="39">
        <f>'Links (Arm OLD Model)'!BQ10</f>
        <v>1715.4060273562552</v>
      </c>
      <c r="BR85" s="39">
        <f>'Links (Arm OLD Model)'!BR10</f>
        <v>1820.0882913787752</v>
      </c>
      <c r="BS85" s="39">
        <f>'Links (Arm OLD Model)'!BS10</f>
        <v>1857.6850182535711</v>
      </c>
      <c r="BT85" s="39">
        <f>'Links (Arm OLD Model)'!BT10</f>
        <v>1731.4212087552821</v>
      </c>
      <c r="BU85" s="39">
        <f>'Links (Arm OLD Model)'!BU10</f>
        <v>7124.6005457438841</v>
      </c>
    </row>
    <row r="86" spans="1:73">
      <c r="A86" s="436" t="s">
        <v>1919</v>
      </c>
      <c r="AB86" s="16">
        <f>AB85/AB$62</f>
        <v>0.92846571287617163</v>
      </c>
      <c r="AC86" s="438">
        <f>0.75%+AH86*$AF$86/$AK$86</f>
        <v>0.95761712351851214</v>
      </c>
      <c r="AD86" s="438">
        <f>0.75%+AI86*$AF$86/$AK$86</f>
        <v>0.95411249121215658</v>
      </c>
      <c r="AE86" s="438">
        <f>0.75%+AJ86*$AF$86/$AK$86</f>
        <v>0.95374510131327961</v>
      </c>
      <c r="AF86" s="16">
        <f>AF85/AF$62</f>
        <v>0.94368340943683404</v>
      </c>
      <c r="AG86" s="16">
        <f>AG85/AG$62</f>
        <v>0.95153533111357746</v>
      </c>
      <c r="AH86" s="16">
        <f t="shared" ref="AH86:AL86" si="281">AH85/AH$62</f>
        <v>0.96387283236994215</v>
      </c>
      <c r="AI86" s="16">
        <f t="shared" si="281"/>
        <v>0.96031746031746035</v>
      </c>
      <c r="AJ86" s="16">
        <f t="shared" si="281"/>
        <v>0.95994475138121549</v>
      </c>
      <c r="AK86" s="16">
        <f t="shared" si="281"/>
        <v>0.95734597156398105</v>
      </c>
      <c r="AL86" s="16">
        <f t="shared" si="281"/>
        <v>0.96043299738708476</v>
      </c>
      <c r="AM86" s="16">
        <f t="shared" ref="AM86" si="282">AM85/AM$62</f>
        <v>0.95407407407407407</v>
      </c>
      <c r="AN86" s="16">
        <f t="shared" ref="AN86" si="283">AN85/AN$62</f>
        <v>0.94292803970223327</v>
      </c>
      <c r="AO86" s="16">
        <f t="shared" ref="AO86" si="284">AO85/AO$62</f>
        <v>0.9563106796116505</v>
      </c>
      <c r="AP86" s="16">
        <f t="shared" ref="AP86" si="285">AP85/AP$62</f>
        <v>0.96569818167162091</v>
      </c>
      <c r="AQ86" s="16">
        <f t="shared" ref="AQ86" si="286">AQ85/AQ$62</f>
        <v>0.95499015427549339</v>
      </c>
      <c r="AR86" s="16">
        <f t="shared" ref="AR86" si="287">AR85/AR$62</f>
        <v>0.9662759452759907</v>
      </c>
      <c r="AS86" s="16">
        <f t="shared" ref="AS86" si="288">AS85/AS$62</f>
        <v>0.96642986414175525</v>
      </c>
      <c r="AT86" s="16">
        <f t="shared" ref="AT86" si="289">AT85/AT$62</f>
        <v>0.96659614064086752</v>
      </c>
      <c r="AU86" s="16">
        <f t="shared" ref="AU86" si="290">AU85/AU$62</f>
        <v>0.96650568750716503</v>
      </c>
      <c r="AV86" s="16">
        <f t="shared" ref="AV86" si="291">AV85/AV$62</f>
        <v>0.96645816587108424</v>
      </c>
      <c r="AW86" s="16">
        <f t="shared" ref="AW86" si="292">AW85/AW$62</f>
        <v>0.96673476293232152</v>
      </c>
      <c r="AX86" s="16">
        <f t="shared" ref="AX86" si="293">AX85/AX$62</f>
        <v>0.96691045297724754</v>
      </c>
      <c r="AY86" s="16">
        <f t="shared" ref="AY86" si="294">AY85/AY$62</f>
        <v>0.9670237235943947</v>
      </c>
      <c r="AZ86" s="16">
        <f t="shared" ref="AZ86" si="295">AZ85/AZ$62</f>
        <v>0.96684693066549421</v>
      </c>
      <c r="BA86" s="16">
        <f t="shared" ref="BA86" si="296">BA85/BA$62</f>
        <v>0.96688292758043892</v>
      </c>
      <c r="BB86" s="16">
        <f t="shared" ref="BB86" si="297">BB85/BB$62</f>
        <v>0.96696751114113788</v>
      </c>
      <c r="BC86" s="16">
        <f t="shared" ref="BC86" si="298">BC85/BC$62</f>
        <v>0.96712438897664366</v>
      </c>
      <c r="BD86" s="16">
        <f t="shared" ref="BD86" si="299">BD85/BD$62</f>
        <v>0.96725028135082669</v>
      </c>
      <c r="BE86" s="16">
        <f t="shared" ref="BE86" si="300">BE85/BE$62</f>
        <v>0.96711028087200424</v>
      </c>
      <c r="BF86" s="16">
        <f t="shared" ref="BF86" si="301">BF85/BF$62</f>
        <v>0.96711734647849767</v>
      </c>
      <c r="BG86" s="16">
        <f t="shared" ref="BG86" si="302">BG85/BG$62</f>
        <v>0.96727400058869106</v>
      </c>
      <c r="BH86" s="16">
        <f t="shared" ref="BH86" si="303">BH85/BH$62</f>
        <v>0.96741824650230224</v>
      </c>
      <c r="BI86" s="16">
        <f t="shared" ref="BI86" si="304">BI85/BI$62</f>
        <v>0.96748023379232873</v>
      </c>
      <c r="BJ86" s="16">
        <f t="shared" ref="BJ86" si="305">BJ85/BJ$62</f>
        <v>0.96732068186952858</v>
      </c>
      <c r="BK86" s="16">
        <f t="shared" ref="BK86" si="306">BK85/BK$62</f>
        <v>0.96737590338317436</v>
      </c>
      <c r="BL86" s="16">
        <f t="shared" ref="BL86" si="307">BL85/BL$62</f>
        <v>0.96746423664790793</v>
      </c>
      <c r="BM86" s="16">
        <f t="shared" ref="BM86" si="308">BM85/BM$62</f>
        <v>0.96759123382174717</v>
      </c>
      <c r="BN86" s="16">
        <f t="shared" ref="BN86" si="309">BN85/BN$62</f>
        <v>0.96763069914166755</v>
      </c>
      <c r="BO86" s="16">
        <f t="shared" ref="BO86" si="310">BO85/BO$62</f>
        <v>0.96745406595402628</v>
      </c>
      <c r="BP86" s="16">
        <f t="shared" ref="BP86" si="311">BP85/BP$62</f>
        <v>0.96753750057862853</v>
      </c>
      <c r="BQ86" s="16">
        <f t="shared" ref="BQ86" si="312">BQ85/BQ$62</f>
        <v>0.96759033439795317</v>
      </c>
      <c r="BR86" s="16">
        <f t="shared" ref="BR86" si="313">BR85/BR$62</f>
        <v>0.96770594136603139</v>
      </c>
      <c r="BS86" s="16">
        <f t="shared" ref="BS86" si="314">BS85/BS$62</f>
        <v>0.96772983727273842</v>
      </c>
      <c r="BT86" s="16">
        <f t="shared" ref="BT86" si="315">BT85/BT$62</f>
        <v>0.96754041016490011</v>
      </c>
      <c r="BU86" s="16">
        <f t="shared" ref="BU86" si="316">BU85/BU$62</f>
        <v>0.96764410327134187</v>
      </c>
    </row>
    <row r="87" spans="1:73">
      <c r="AC87" s="212" t="s">
        <v>1928</v>
      </c>
      <c r="AD87" s="179"/>
      <c r="AE87" s="179"/>
    </row>
    <row r="88" spans="1:73">
      <c r="A88" s="1" t="s">
        <v>1936</v>
      </c>
    </row>
    <row r="89" spans="1:73">
      <c r="A89" s="1" t="s">
        <v>1934</v>
      </c>
      <c r="AB89" s="59">
        <f>'Links (Arm OLD Model)'!AB17</f>
        <v>-814</v>
      </c>
      <c r="AF89" s="59">
        <f>'Links (Arm OLD Model)'!AF17</f>
        <v>-341</v>
      </c>
      <c r="AG89" s="59">
        <f>'Links (Arm OLD Model)'!AG17</f>
        <v>-995</v>
      </c>
      <c r="AH89" s="59">
        <f>'Links (Arm OLD Model)'!AH17</f>
        <v>-218</v>
      </c>
      <c r="AI89" s="59">
        <f>'Links (Arm OLD Model)'!AI17</f>
        <v>-248</v>
      </c>
      <c r="AJ89" s="59">
        <f>'Links (Arm OLD Model)'!AJ17</f>
        <v>-286</v>
      </c>
      <c r="AK89" s="59">
        <f>'Links (Arm OLD Model)'!AK17</f>
        <v>-381</v>
      </c>
      <c r="AL89" s="59">
        <f>'Links (Arm OLD Model)'!AL17</f>
        <v>-1133</v>
      </c>
      <c r="AM89" s="59">
        <f>'Links (Arm OLD Model)'!AM17</f>
        <v>-337</v>
      </c>
      <c r="AN89" s="59">
        <f>'Links (Arm OLD Model)'!AN17</f>
        <v>-626</v>
      </c>
      <c r="AO89" s="59">
        <f>'Links (Arm OLD Model)'!AO17</f>
        <v>-432</v>
      </c>
      <c r="AP89" s="59">
        <f>'Links (Arm OLD Model)'!AP17</f>
        <v>-466</v>
      </c>
      <c r="AQ89" s="59">
        <f>'Links (Arm OLD Model)'!AQ17</f>
        <v>-1861</v>
      </c>
      <c r="AR89" s="59">
        <f>'Links (Arm OLD Model)'!AR17</f>
        <v>-465</v>
      </c>
      <c r="AS89" s="59">
        <f>'Links (Arm OLD Model)'!AS17</f>
        <v>-475</v>
      </c>
      <c r="AT89" s="59">
        <f>'Links (Arm OLD Model)'!AT17</f>
        <v>-480</v>
      </c>
      <c r="AU89" s="59">
        <f>'Links (Arm OLD Model)'!AU17</f>
        <v>-490</v>
      </c>
      <c r="AV89" s="59">
        <f>'Links (Arm OLD Model)'!AV17</f>
        <v>-1910</v>
      </c>
      <c r="AW89" s="59">
        <f>'Links (Arm OLD Model)'!AW17</f>
        <v>-505</v>
      </c>
      <c r="AX89" s="59">
        <f>'Links (Arm OLD Model)'!AX17</f>
        <v>-517.625</v>
      </c>
      <c r="AY89" s="59">
        <f>'Links (Arm OLD Model)'!AY17</f>
        <v>-530.56562499999995</v>
      </c>
      <c r="AZ89" s="59">
        <f>'Links (Arm OLD Model)'!AZ17</f>
        <v>-543.82976562499994</v>
      </c>
      <c r="BA89" s="59">
        <f>'Links (Arm OLD Model)'!BA17</f>
        <v>-2097.0203906249999</v>
      </c>
      <c r="BB89" s="59">
        <f>'Links (Arm OLD Model)'!BB17</f>
        <v>-545</v>
      </c>
      <c r="BC89" s="59">
        <f>'Links (Arm OLD Model)'!BC17</f>
        <v>-555.9</v>
      </c>
      <c r="BD89" s="59">
        <f>'Links (Arm OLD Model)'!BD17</f>
        <v>-567.01800000000003</v>
      </c>
      <c r="BE89" s="59">
        <f>'Links (Arm OLD Model)'!BE17</f>
        <v>-578.35836000000006</v>
      </c>
      <c r="BF89" s="59">
        <f>'Links (Arm OLD Model)'!BF17</f>
        <v>-2246.2763600000003</v>
      </c>
      <c r="BG89" s="59">
        <f>'Links (Arm OLD Model)'!BG17</f>
        <v>-579</v>
      </c>
      <c r="BH89" s="59">
        <f>'Links (Arm OLD Model)'!BH17</f>
        <v>-582</v>
      </c>
      <c r="BI89" s="59">
        <f>'Links (Arm OLD Model)'!BI17</f>
        <v>-587.82000000000005</v>
      </c>
      <c r="BJ89" s="59">
        <f>'Links (Arm OLD Model)'!BJ17</f>
        <v>-593.69820000000004</v>
      </c>
      <c r="BK89" s="59">
        <f>'Links (Arm OLD Model)'!BK17</f>
        <v>-2342.5182000000004</v>
      </c>
      <c r="BL89" s="59">
        <f>'Links (Arm OLD Model)'!BL17</f>
        <v>-595</v>
      </c>
      <c r="BM89" s="59">
        <f>'Links (Arm OLD Model)'!BM17</f>
        <v>-600</v>
      </c>
      <c r="BN89" s="59">
        <f>'Links (Arm OLD Model)'!BN17</f>
        <v>-606</v>
      </c>
      <c r="BO89" s="59">
        <f>'Links (Arm OLD Model)'!BO17</f>
        <v>-612.06000000000006</v>
      </c>
      <c r="BP89" s="59">
        <f>'Links (Arm OLD Model)'!BP17</f>
        <v>-2413.06</v>
      </c>
      <c r="BQ89" s="59">
        <f>'Links (Arm OLD Model)'!BQ17</f>
        <v>-615</v>
      </c>
      <c r="BR89" s="59">
        <f>'Links (Arm OLD Model)'!BR17</f>
        <v>-618</v>
      </c>
      <c r="BS89" s="59">
        <f>'Links (Arm OLD Model)'!BS17</f>
        <v>-620</v>
      </c>
      <c r="BT89" s="59">
        <f>'Links (Arm OLD Model)'!BT17</f>
        <v>-626.20000000000005</v>
      </c>
      <c r="BU89" s="59">
        <f>'Links (Arm OLD Model)'!BU17</f>
        <v>-2479.1999999999998</v>
      </c>
    </row>
    <row r="90" spans="1:73">
      <c r="A90" s="1" t="s">
        <v>1485</v>
      </c>
      <c r="AB90" s="59">
        <f>'Links (Arm OLD Model)'!AB18</f>
        <v>-826</v>
      </c>
      <c r="AF90" s="59">
        <f>'Links (Arm OLD Model)'!AF18</f>
        <v>-321</v>
      </c>
      <c r="AG90" s="59">
        <f>'Links (Arm OLD Model)'!AG18</f>
        <v>-897</v>
      </c>
      <c r="AH90" s="59">
        <f>'Links (Arm OLD Model)'!AH18</f>
        <v>-153</v>
      </c>
      <c r="AI90" s="59">
        <f>'Links (Arm OLD Model)'!AI18</f>
        <v>-172</v>
      </c>
      <c r="AJ90" s="59">
        <f>'Links (Arm OLD Model)'!AJ18</f>
        <v>-163</v>
      </c>
      <c r="AK90" s="59">
        <f>'Links (Arm OLD Model)'!AK18</f>
        <v>-274</v>
      </c>
      <c r="AL90" s="59">
        <f>'Links (Arm OLD Model)'!AL18</f>
        <v>-762</v>
      </c>
      <c r="AM90" s="59">
        <f>'Links (Arm OLD Model)'!AM18</f>
        <v>-196</v>
      </c>
      <c r="AN90" s="59">
        <f>'Links (Arm OLD Model)'!AN18</f>
        <v>-290</v>
      </c>
      <c r="AO90" s="59">
        <f>'Links (Arm OLD Model)'!AO18</f>
        <v>-216</v>
      </c>
      <c r="AP90" s="59">
        <f>'Links (Arm OLD Model)'!AP18</f>
        <v>-223</v>
      </c>
      <c r="AQ90" s="59">
        <f>'Links (Arm OLD Model)'!AQ18</f>
        <v>-925</v>
      </c>
      <c r="AR90" s="59">
        <f>'Links (Arm OLD Model)'!AR18</f>
        <v>-223</v>
      </c>
      <c r="AS90" s="59">
        <f>'Links (Arm OLD Model)'!AS18</f>
        <v>-226</v>
      </c>
      <c r="AT90" s="59">
        <f>'Links (Arm OLD Model)'!AT18</f>
        <v>-227</v>
      </c>
      <c r="AU90" s="59">
        <f>'Links (Arm OLD Model)'!AU18</f>
        <v>-230</v>
      </c>
      <c r="AV90" s="59">
        <f>'Links (Arm OLD Model)'!AV18</f>
        <v>-906</v>
      </c>
      <c r="AW90" s="59">
        <f>'Links (Arm OLD Model)'!AW18</f>
        <v>-234</v>
      </c>
      <c r="AX90" s="59">
        <f>'Links (Arm OLD Model)'!AX18</f>
        <v>-239.84999999999997</v>
      </c>
      <c r="AY90" s="59">
        <f>'Links (Arm OLD Model)'!AY18</f>
        <v>-245.84624999999994</v>
      </c>
      <c r="AZ90" s="59">
        <f>'Links (Arm OLD Model)'!AZ18</f>
        <v>-248</v>
      </c>
      <c r="BA90" s="59">
        <f>'Links (Arm OLD Model)'!BA18</f>
        <v>-967.69624999999996</v>
      </c>
      <c r="BB90" s="59">
        <f>'Links (Arm OLD Model)'!BB18</f>
        <v>-252</v>
      </c>
      <c r="BC90" s="59">
        <f>'Links (Arm OLD Model)'!BC18</f>
        <v>-253</v>
      </c>
      <c r="BD90" s="59">
        <f>'Links (Arm OLD Model)'!BD18</f>
        <v>-254</v>
      </c>
      <c r="BE90" s="59">
        <f>'Links (Arm OLD Model)'!BE18</f>
        <v>-255</v>
      </c>
      <c r="BF90" s="59">
        <f>'Links (Arm OLD Model)'!BF18</f>
        <v>-1014</v>
      </c>
      <c r="BG90" s="59">
        <f>'Links (Arm OLD Model)'!BG18</f>
        <v>-257.55</v>
      </c>
      <c r="BH90" s="59">
        <f>'Links (Arm OLD Model)'!BH18</f>
        <v>-260.12549999999999</v>
      </c>
      <c r="BI90" s="59">
        <f>'Links (Arm OLD Model)'!BI18</f>
        <v>-262.72675499999997</v>
      </c>
      <c r="BJ90" s="59">
        <f>'Links (Arm OLD Model)'!BJ18</f>
        <v>-265.35402254999997</v>
      </c>
      <c r="BK90" s="59">
        <f>'Links (Arm OLD Model)'!BK18</f>
        <v>-1045.75627755</v>
      </c>
      <c r="BL90" s="59">
        <f>'Links (Arm OLD Model)'!BL18</f>
        <v>-268.00756277549999</v>
      </c>
      <c r="BM90" s="59">
        <f>'Links (Arm OLD Model)'!BM18</f>
        <v>-270.68763840325499</v>
      </c>
      <c r="BN90" s="59">
        <f>'Links (Arm OLD Model)'!BN18</f>
        <v>-273.39451478728756</v>
      </c>
      <c r="BO90" s="59">
        <f>'Links (Arm OLD Model)'!BO18</f>
        <v>-276.12845993516044</v>
      </c>
      <c r="BP90" s="59">
        <f>'Links (Arm OLD Model)'!BP18</f>
        <v>-1088.218175901203</v>
      </c>
      <c r="BQ90" s="59">
        <f>'Links (Arm OLD Model)'!BQ18</f>
        <v>-278.88974453451203</v>
      </c>
      <c r="BR90" s="59">
        <f>'Links (Arm OLD Model)'!BR18</f>
        <v>-281.67864197985716</v>
      </c>
      <c r="BS90" s="59">
        <f>'Links (Arm OLD Model)'!BS18</f>
        <v>-284.49542839965574</v>
      </c>
      <c r="BT90" s="59">
        <f>'Links (Arm OLD Model)'!BT18</f>
        <v>-287.34038268365231</v>
      </c>
      <c r="BU90" s="59">
        <f>'Links (Arm OLD Model)'!BU18</f>
        <v>-1132.4041975976772</v>
      </c>
    </row>
    <row r="91" spans="1:73">
      <c r="A91" s="436" t="s">
        <v>1935</v>
      </c>
      <c r="AB91" s="59">
        <f>'Links (Arm OLD Model)'!AB19</f>
        <v>-3</v>
      </c>
      <c r="AF91" s="59">
        <f>'Links (Arm OLD Model)'!AF19</f>
        <v>-42</v>
      </c>
      <c r="AG91" s="59">
        <f>'Links (Arm OLD Model)'!AG19</f>
        <v>-47</v>
      </c>
      <c r="AH91" s="59">
        <f>'Links (Arm OLD Model)'!AH19</f>
        <v>-2</v>
      </c>
      <c r="AI91" s="59">
        <f>'Links (Arm OLD Model)'!AI19</f>
        <v>-2</v>
      </c>
      <c r="AJ91" s="59">
        <f>'Links (Arm OLD Model)'!AJ19</f>
        <v>-2</v>
      </c>
      <c r="AK91" s="59">
        <f>'Links (Arm OLD Model)'!AK19</f>
        <v>-1</v>
      </c>
      <c r="AL91" s="59">
        <f>'Links (Arm OLD Model)'!AL19</f>
        <v>-7</v>
      </c>
      <c r="AM91" s="59">
        <f>'Links (Arm OLD Model)'!AM19</f>
        <v>0</v>
      </c>
      <c r="AN91" s="59">
        <f>'Links (Arm OLD Model)'!AN19</f>
        <v>0</v>
      </c>
      <c r="AO91" s="59">
        <f>'Links (Arm OLD Model)'!AO19</f>
        <v>-6</v>
      </c>
      <c r="AP91" s="59">
        <f>'Links (Arm OLD Model)'!AP19</f>
        <v>0</v>
      </c>
      <c r="AQ91" s="59">
        <f>'Links (Arm OLD Model)'!AQ19</f>
        <v>-6</v>
      </c>
      <c r="AR91" s="59">
        <f>'Links (Arm OLD Model)'!AR19</f>
        <v>0</v>
      </c>
      <c r="AS91" s="59">
        <f>'Links (Arm OLD Model)'!AS19</f>
        <v>0</v>
      </c>
      <c r="AT91" s="59">
        <f>'Links (Arm OLD Model)'!AT19</f>
        <v>0</v>
      </c>
      <c r="AU91" s="59">
        <f>'Links (Arm OLD Model)'!AU19</f>
        <v>0</v>
      </c>
      <c r="AV91" s="59">
        <f>'Links (Arm OLD Model)'!AV19</f>
        <v>0</v>
      </c>
      <c r="AW91" s="59">
        <f>'Links (Arm OLD Model)'!AW19</f>
        <v>0</v>
      </c>
      <c r="AX91" s="59">
        <f>'Links (Arm OLD Model)'!AX19</f>
        <v>0</v>
      </c>
      <c r="AY91" s="59">
        <f>'Links (Arm OLD Model)'!AY19</f>
        <v>0</v>
      </c>
      <c r="AZ91" s="59">
        <f>'Links (Arm OLD Model)'!AZ19</f>
        <v>0</v>
      </c>
      <c r="BA91" s="59">
        <f>'Links (Arm OLD Model)'!BA19</f>
        <v>0</v>
      </c>
      <c r="BB91" s="59">
        <f>'Links (Arm OLD Model)'!BB19</f>
        <v>0</v>
      </c>
      <c r="BC91" s="59">
        <f>'Links (Arm OLD Model)'!BC19</f>
        <v>0</v>
      </c>
      <c r="BD91" s="59">
        <f>'Links (Arm OLD Model)'!BD19</f>
        <v>0</v>
      </c>
      <c r="BE91" s="59">
        <f>'Links (Arm OLD Model)'!BE19</f>
        <v>0</v>
      </c>
      <c r="BF91" s="59">
        <f>'Links (Arm OLD Model)'!BF19</f>
        <v>0</v>
      </c>
      <c r="BG91" s="59">
        <f>'Links (Arm OLD Model)'!BG19</f>
        <v>0</v>
      </c>
      <c r="BH91" s="59">
        <f>'Links (Arm OLD Model)'!BH19</f>
        <v>0</v>
      </c>
      <c r="BI91" s="59">
        <f>'Links (Arm OLD Model)'!BI19</f>
        <v>0</v>
      </c>
      <c r="BJ91" s="59">
        <f>'Links (Arm OLD Model)'!BJ19</f>
        <v>0</v>
      </c>
      <c r="BK91" s="59">
        <f>'Links (Arm OLD Model)'!BK19</f>
        <v>0</v>
      </c>
      <c r="BL91" s="59">
        <f>'Links (Arm OLD Model)'!BL19</f>
        <v>0</v>
      </c>
      <c r="BM91" s="59">
        <f>'Links (Arm OLD Model)'!BM19</f>
        <v>0</v>
      </c>
      <c r="BN91" s="59">
        <f>'Links (Arm OLD Model)'!BN19</f>
        <v>0</v>
      </c>
      <c r="BO91" s="59">
        <f>'Links (Arm OLD Model)'!BO19</f>
        <v>0</v>
      </c>
      <c r="BP91" s="59">
        <f>'Links (Arm OLD Model)'!BP19</f>
        <v>0</v>
      </c>
      <c r="BQ91" s="59">
        <f>'Links (Arm OLD Model)'!BQ19</f>
        <v>0</v>
      </c>
      <c r="BR91" s="59">
        <f>'Links (Arm OLD Model)'!BR19</f>
        <v>0</v>
      </c>
      <c r="BS91" s="59">
        <f>'Links (Arm OLD Model)'!BS19</f>
        <v>0</v>
      </c>
      <c r="BT91" s="59">
        <f>'Links (Arm OLD Model)'!BT19</f>
        <v>0</v>
      </c>
      <c r="BU91" s="59">
        <f>'Links (Arm OLD Model)'!BU19</f>
        <v>0</v>
      </c>
    </row>
    <row r="92" spans="1:73" s="79" customFormat="1">
      <c r="A92" s="314" t="s">
        <v>1947</v>
      </c>
      <c r="B92" s="314"/>
      <c r="C92" s="314"/>
      <c r="D92" s="314"/>
      <c r="E92" s="314"/>
      <c r="F92" s="314"/>
      <c r="G92" s="314"/>
      <c r="H92" s="314"/>
      <c r="I92" s="314"/>
      <c r="J92" s="314"/>
      <c r="K92" s="314"/>
      <c r="L92" s="314"/>
      <c r="M92" s="314"/>
      <c r="N92" s="314"/>
      <c r="O92" s="314"/>
      <c r="P92" s="314"/>
      <c r="Q92" s="314"/>
      <c r="R92" s="314"/>
      <c r="S92" s="314"/>
      <c r="T92" s="314"/>
      <c r="U92" s="314"/>
      <c r="V92" s="314"/>
      <c r="W92" s="314"/>
      <c r="X92" s="81"/>
      <c r="Y92" s="81"/>
      <c r="Z92" s="81"/>
      <c r="AA92" s="81"/>
      <c r="AB92" s="81">
        <f>SUM(AB89:AB91)</f>
        <v>-1643</v>
      </c>
      <c r="AC92" s="81"/>
      <c r="AD92" s="81"/>
      <c r="AE92" s="81"/>
      <c r="AF92" s="81">
        <f>SUM(AF89:AF91)</f>
        <v>-704</v>
      </c>
      <c r="AG92" s="81">
        <f>SUM(AG89:AG91)</f>
        <v>-1939</v>
      </c>
      <c r="AH92" s="81">
        <f t="shared" ref="AH92:AL92" si="317">SUM(AH89:AH91)</f>
        <v>-373</v>
      </c>
      <c r="AI92" s="81">
        <f t="shared" si="317"/>
        <v>-422</v>
      </c>
      <c r="AJ92" s="81">
        <f t="shared" si="317"/>
        <v>-451</v>
      </c>
      <c r="AK92" s="81">
        <f t="shared" si="317"/>
        <v>-656</v>
      </c>
      <c r="AL92" s="81">
        <f t="shared" si="317"/>
        <v>-1902</v>
      </c>
      <c r="AM92" s="81">
        <f t="shared" ref="AM92" si="318">SUM(AM89:AM91)</f>
        <v>-533</v>
      </c>
      <c r="AN92" s="81">
        <f t="shared" ref="AN92" si="319">SUM(AN89:AN91)</f>
        <v>-916</v>
      </c>
      <c r="AO92" s="81">
        <f t="shared" ref="AO92" si="320">SUM(AO89:AO91)</f>
        <v>-654</v>
      </c>
      <c r="AP92" s="81">
        <f t="shared" ref="AP92" si="321">SUM(AP89:AP91)</f>
        <v>-689</v>
      </c>
      <c r="AQ92" s="81">
        <f t="shared" ref="AQ92" si="322">SUM(AQ89:AQ91)</f>
        <v>-2792</v>
      </c>
      <c r="AR92" s="81">
        <f t="shared" ref="AR92" si="323">SUM(AR89:AR91)</f>
        <v>-688</v>
      </c>
      <c r="AS92" s="81">
        <f t="shared" ref="AS92" si="324">SUM(AS89:AS91)</f>
        <v>-701</v>
      </c>
      <c r="AT92" s="81">
        <f t="shared" ref="AT92" si="325">SUM(AT89:AT91)</f>
        <v>-707</v>
      </c>
      <c r="AU92" s="81">
        <f t="shared" ref="AU92" si="326">SUM(AU89:AU91)</f>
        <v>-720</v>
      </c>
      <c r="AV92" s="81">
        <f t="shared" ref="AV92" si="327">SUM(AV89:AV91)</f>
        <v>-2816</v>
      </c>
      <c r="AW92" s="81">
        <f t="shared" ref="AW92" si="328">SUM(AW89:AW91)</f>
        <v>-739</v>
      </c>
      <c r="AX92" s="81">
        <f t="shared" ref="AX92" si="329">SUM(AX89:AX91)</f>
        <v>-757.47499999999991</v>
      </c>
      <c r="AY92" s="81">
        <f t="shared" ref="AY92" si="330">SUM(AY89:AY91)</f>
        <v>-776.4118749999999</v>
      </c>
      <c r="AZ92" s="81">
        <f t="shared" ref="AZ92" si="331">SUM(AZ89:AZ91)</f>
        <v>-791.82976562499994</v>
      </c>
      <c r="BA92" s="81">
        <f t="shared" ref="BA92" si="332">SUM(BA89:BA91)</f>
        <v>-3064.7166406249999</v>
      </c>
      <c r="BB92" s="81">
        <f t="shared" ref="BB92" si="333">SUM(BB89:BB91)</f>
        <v>-797</v>
      </c>
      <c r="BC92" s="81">
        <f t="shared" ref="BC92" si="334">SUM(BC89:BC91)</f>
        <v>-808.9</v>
      </c>
      <c r="BD92" s="81">
        <f t="shared" ref="BD92" si="335">SUM(BD89:BD91)</f>
        <v>-821.01800000000003</v>
      </c>
      <c r="BE92" s="81">
        <f t="shared" ref="BE92" si="336">SUM(BE89:BE91)</f>
        <v>-833.35836000000006</v>
      </c>
      <c r="BF92" s="81">
        <f t="shared" ref="BF92" si="337">SUM(BF89:BF91)</f>
        <v>-3260.2763600000003</v>
      </c>
      <c r="BG92" s="81">
        <f t="shared" ref="BG92" si="338">SUM(BG89:BG91)</f>
        <v>-836.55</v>
      </c>
      <c r="BH92" s="81">
        <f t="shared" ref="BH92" si="339">SUM(BH89:BH91)</f>
        <v>-842.12549999999999</v>
      </c>
      <c r="BI92" s="81">
        <f t="shared" ref="BI92" si="340">SUM(BI89:BI91)</f>
        <v>-850.54675500000008</v>
      </c>
      <c r="BJ92" s="81">
        <f t="shared" ref="BJ92" si="341">SUM(BJ89:BJ91)</f>
        <v>-859.05222255000001</v>
      </c>
      <c r="BK92" s="81">
        <f t="shared" ref="BK92" si="342">SUM(BK89:BK91)</f>
        <v>-3388.2744775500005</v>
      </c>
      <c r="BL92" s="81">
        <f t="shared" ref="BL92" si="343">SUM(BL89:BL91)</f>
        <v>-863.00756277549999</v>
      </c>
      <c r="BM92" s="81">
        <f t="shared" ref="BM92" si="344">SUM(BM89:BM91)</f>
        <v>-870.68763840325505</v>
      </c>
      <c r="BN92" s="81">
        <f t="shared" ref="BN92" si="345">SUM(BN89:BN91)</f>
        <v>-879.39451478728756</v>
      </c>
      <c r="BO92" s="81">
        <f t="shared" ref="BO92" si="346">SUM(BO89:BO91)</f>
        <v>-888.18845993516049</v>
      </c>
      <c r="BP92" s="81">
        <f t="shared" ref="BP92" si="347">SUM(BP89:BP91)</f>
        <v>-3501.2781759012032</v>
      </c>
      <c r="BQ92" s="81">
        <f t="shared" ref="BQ92" si="348">SUM(BQ89:BQ91)</f>
        <v>-893.88974453451203</v>
      </c>
      <c r="BR92" s="81">
        <f t="shared" ref="BR92" si="349">SUM(BR89:BR91)</f>
        <v>-899.67864197985716</v>
      </c>
      <c r="BS92" s="81">
        <f t="shared" ref="BS92" si="350">SUM(BS89:BS91)</f>
        <v>-904.49542839965579</v>
      </c>
      <c r="BT92" s="81">
        <f t="shared" ref="BT92" si="351">SUM(BT89:BT91)</f>
        <v>-913.5403826836523</v>
      </c>
      <c r="BU92" s="81">
        <f t="shared" ref="BU92" si="352">SUM(BU89:BU91)</f>
        <v>-3611.6041975976768</v>
      </c>
    </row>
    <row r="94" spans="1:73">
      <c r="A94" s="1" t="s">
        <v>1115</v>
      </c>
    </row>
    <row r="95" spans="1:73">
      <c r="A95" s="1" t="s">
        <v>1934</v>
      </c>
      <c r="AB95" s="119">
        <f>-AB89/AB$62</f>
        <v>0.40157868771583621</v>
      </c>
      <c r="AF95" s="119">
        <f t="shared" ref="AF95:BU95" si="353">-AF89/AF$62</f>
        <v>0.51902587519025878</v>
      </c>
      <c r="AG95" s="119">
        <f t="shared" si="353"/>
        <v>0.36810950795412506</v>
      </c>
      <c r="AH95" s="119">
        <f t="shared" si="353"/>
        <v>0.31502890173410403</v>
      </c>
      <c r="AI95" s="119">
        <f t="shared" si="353"/>
        <v>0.39365079365079364</v>
      </c>
      <c r="AJ95" s="119">
        <f t="shared" si="353"/>
        <v>0.39502762430939226</v>
      </c>
      <c r="AK95" s="119">
        <f t="shared" si="353"/>
        <v>0.6018957345971564</v>
      </c>
      <c r="AL95" s="119">
        <f t="shared" si="353"/>
        <v>0.42291899962672641</v>
      </c>
      <c r="AM95" s="119">
        <f t="shared" si="353"/>
        <v>0.49925925925925924</v>
      </c>
      <c r="AN95" s="119">
        <f t="shared" si="353"/>
        <v>0.77667493796526055</v>
      </c>
      <c r="AO95" s="119">
        <f t="shared" si="353"/>
        <v>0.52427184466019416</v>
      </c>
      <c r="AP95" s="119">
        <f t="shared" si="353"/>
        <v>0.53931862820140508</v>
      </c>
      <c r="AQ95" s="119">
        <f t="shared" si="353"/>
        <v>0.58724163586744427</v>
      </c>
      <c r="AR95" s="119">
        <f t="shared" si="353"/>
        <v>0.50733467514262887</v>
      </c>
      <c r="AS95" s="119">
        <f t="shared" si="353"/>
        <v>0.4870838389007221</v>
      </c>
      <c r="AT95" s="119">
        <f t="shared" si="353"/>
        <v>0.45561812003913471</v>
      </c>
      <c r="AU95" s="119">
        <f t="shared" si="353"/>
        <v>0.47274243729199233</v>
      </c>
      <c r="AV95" s="119">
        <f t="shared" si="353"/>
        <v>0.47968674079734075</v>
      </c>
      <c r="AW95" s="119">
        <f t="shared" si="353"/>
        <v>0.45076635330533144</v>
      </c>
      <c r="AX95" s="119">
        <f t="shared" si="353"/>
        <v>0.4328466637874136</v>
      </c>
      <c r="AY95" s="119">
        <f t="shared" si="353"/>
        <v>0.42317014284447096</v>
      </c>
      <c r="AZ95" s="119">
        <f t="shared" si="353"/>
        <v>0.45050433149425984</v>
      </c>
      <c r="BA95" s="119">
        <f t="shared" si="353"/>
        <v>0.43897147434062983</v>
      </c>
      <c r="BB95" s="119">
        <f t="shared" si="353"/>
        <v>0.4292717462099821</v>
      </c>
      <c r="BC95" s="119">
        <f t="shared" si="353"/>
        <v>0.41048521152342904</v>
      </c>
      <c r="BD95" s="119">
        <f t="shared" si="353"/>
        <v>0.39581287746194355</v>
      </c>
      <c r="BE95" s="119">
        <f t="shared" si="353"/>
        <v>0.41946099019381289</v>
      </c>
      <c r="BF95" s="119">
        <f t="shared" si="353"/>
        <v>0.41328335195223065</v>
      </c>
      <c r="BG95" s="119">
        <f t="shared" si="353"/>
        <v>0.39416420930701029</v>
      </c>
      <c r="BH95" s="119">
        <f t="shared" si="353"/>
        <v>0.37337442145573729</v>
      </c>
      <c r="BI95" s="119">
        <f t="shared" si="353"/>
        <v>0.36622277405523396</v>
      </c>
      <c r="BJ95" s="119">
        <f t="shared" si="353"/>
        <v>0.39134942093728348</v>
      </c>
      <c r="BK95" s="119">
        <f t="shared" si="353"/>
        <v>0.38090776389583214</v>
      </c>
      <c r="BL95" s="119">
        <f t="shared" si="353"/>
        <v>0.36751832061656775</v>
      </c>
      <c r="BM95" s="119">
        <f t="shared" si="353"/>
        <v>0.34856022545290388</v>
      </c>
      <c r="BN95" s="119">
        <f t="shared" si="353"/>
        <v>0.34284940099298594</v>
      </c>
      <c r="BO95" s="119">
        <f t="shared" si="353"/>
        <v>0.36840908555786611</v>
      </c>
      <c r="BP95" s="119">
        <f t="shared" si="353"/>
        <v>0.35647463939797802</v>
      </c>
      <c r="BQ95" s="119">
        <f t="shared" si="353"/>
        <v>0.34689633017778687</v>
      </c>
      <c r="BR95" s="119">
        <f t="shared" si="353"/>
        <v>0.32857871488815038</v>
      </c>
      <c r="BS95" s="119">
        <f t="shared" si="353"/>
        <v>0.32297859605562035</v>
      </c>
      <c r="BT95" s="119">
        <f t="shared" si="353"/>
        <v>0.34992860303520418</v>
      </c>
      <c r="BU95" s="119">
        <f t="shared" si="353"/>
        <v>0.33671828272020426</v>
      </c>
    </row>
    <row r="96" spans="1:73">
      <c r="A96" s="1" t="s">
        <v>1485</v>
      </c>
      <c r="AB96" s="119">
        <f>-AB90/AB$62</f>
        <v>0.407498766650222</v>
      </c>
      <c r="AF96" s="119">
        <f t="shared" ref="AF96:BU96" si="354">-AF90/AF$62</f>
        <v>0.48858447488584472</v>
      </c>
      <c r="AG96" s="119">
        <f t="shared" si="354"/>
        <v>0.3318534961154273</v>
      </c>
      <c r="AH96" s="119">
        <f t="shared" si="354"/>
        <v>0.22109826589595374</v>
      </c>
      <c r="AI96" s="119">
        <f t="shared" si="354"/>
        <v>0.27301587301587299</v>
      </c>
      <c r="AJ96" s="119">
        <f t="shared" si="354"/>
        <v>0.22513812154696133</v>
      </c>
      <c r="AK96" s="119">
        <f t="shared" si="354"/>
        <v>0.43285939968404424</v>
      </c>
      <c r="AL96" s="119">
        <f t="shared" si="354"/>
        <v>0.28443449048152297</v>
      </c>
      <c r="AM96" s="119">
        <f t="shared" si="354"/>
        <v>0.29037037037037039</v>
      </c>
      <c r="AN96" s="119">
        <f t="shared" si="354"/>
        <v>0.35980148883374691</v>
      </c>
      <c r="AO96" s="119">
        <f t="shared" si="354"/>
        <v>0.26213592233009708</v>
      </c>
      <c r="AP96" s="119">
        <f t="shared" si="354"/>
        <v>0.25808595298050069</v>
      </c>
      <c r="AQ96" s="119">
        <f t="shared" si="354"/>
        <v>0.29188528381374851</v>
      </c>
      <c r="AR96" s="119">
        <f t="shared" si="354"/>
        <v>0.24330243560603493</v>
      </c>
      <c r="AS96" s="119">
        <f t="shared" si="354"/>
        <v>0.23174936335065938</v>
      </c>
      <c r="AT96" s="119">
        <f t="shared" si="354"/>
        <v>0.21546940260184078</v>
      </c>
      <c r="AU96" s="119">
        <f t="shared" si="354"/>
        <v>0.22189951138195557</v>
      </c>
      <c r="AV96" s="119">
        <f t="shared" si="354"/>
        <v>0.22753727076564959</v>
      </c>
      <c r="AW96" s="119">
        <f t="shared" si="354"/>
        <v>0.20886995380880702</v>
      </c>
      <c r="AX96" s="119">
        <f t="shared" si="354"/>
        <v>0.20056657292327679</v>
      </c>
      <c r="AY96" s="119">
        <f t="shared" si="354"/>
        <v>0.19608279886258653</v>
      </c>
      <c r="AZ96" s="119">
        <f t="shared" si="354"/>
        <v>0.2054412635582307</v>
      </c>
      <c r="BA96" s="119">
        <f t="shared" si="354"/>
        <v>0.20256886937079002</v>
      </c>
      <c r="BB96" s="119">
        <f t="shared" si="354"/>
        <v>0.19848895421085411</v>
      </c>
      <c r="BC96" s="119">
        <f t="shared" si="354"/>
        <v>0.18681913746254281</v>
      </c>
      <c r="BD96" s="119">
        <f t="shared" si="354"/>
        <v>0.17730737097470214</v>
      </c>
      <c r="BE96" s="119">
        <f t="shared" si="354"/>
        <v>0.18494165537681911</v>
      </c>
      <c r="BF96" s="119">
        <f t="shared" si="354"/>
        <v>0.18656178124029307</v>
      </c>
      <c r="BG96" s="119">
        <f t="shared" si="354"/>
        <v>0.17533159258552766</v>
      </c>
      <c r="BH96" s="119">
        <f t="shared" si="354"/>
        <v>0.16688008259172574</v>
      </c>
      <c r="BI96" s="119">
        <f t="shared" si="354"/>
        <v>0.16368364641323838</v>
      </c>
      <c r="BJ96" s="119">
        <f t="shared" si="354"/>
        <v>0.1749140271409301</v>
      </c>
      <c r="BK96" s="119">
        <f t="shared" si="354"/>
        <v>0.17004635663517989</v>
      </c>
      <c r="BL96" s="119">
        <f t="shared" si="354"/>
        <v>0.16554233509880859</v>
      </c>
      <c r="BM96" s="119">
        <f t="shared" si="354"/>
        <v>0.15725157378192114</v>
      </c>
      <c r="BN96" s="119">
        <f t="shared" si="354"/>
        <v>0.15467515780460328</v>
      </c>
      <c r="BO96" s="119">
        <f t="shared" si="354"/>
        <v>0.16620630889326915</v>
      </c>
      <c r="BP96" s="119">
        <f t="shared" si="354"/>
        <v>0.16075944313059218</v>
      </c>
      <c r="BQ96" s="119">
        <f t="shared" si="354"/>
        <v>0.15731029089958165</v>
      </c>
      <c r="BR96" s="119">
        <f t="shared" si="354"/>
        <v>0.14976311681744478</v>
      </c>
      <c r="BS96" s="119">
        <f t="shared" si="354"/>
        <v>0.14820311943348882</v>
      </c>
      <c r="BT96" s="119">
        <f t="shared" si="354"/>
        <v>0.1605694964996669</v>
      </c>
      <c r="BU96" s="119">
        <f t="shared" si="354"/>
        <v>0.15380009549864501</v>
      </c>
    </row>
    <row r="97" spans="1:73">
      <c r="A97" s="436" t="s">
        <v>1935</v>
      </c>
      <c r="AB97" s="119">
        <f>-AB91/AB$62</f>
        <v>1.4800197335964479E-3</v>
      </c>
      <c r="AF97" s="119">
        <f t="shared" ref="AF97:BU97" si="355">-AF91/AF$62</f>
        <v>6.3926940639269403E-2</v>
      </c>
      <c r="AG97" s="119">
        <f t="shared" si="355"/>
        <v>1.7388087310395855E-2</v>
      </c>
      <c r="AH97" s="119">
        <f t="shared" si="355"/>
        <v>2.8901734104046241E-3</v>
      </c>
      <c r="AI97" s="119">
        <f t="shared" si="355"/>
        <v>3.1746031746031746E-3</v>
      </c>
      <c r="AJ97" s="119">
        <f t="shared" si="355"/>
        <v>2.7624309392265192E-3</v>
      </c>
      <c r="AK97" s="119">
        <f t="shared" si="355"/>
        <v>1.5797788309636651E-3</v>
      </c>
      <c r="AL97" s="119">
        <f t="shared" si="355"/>
        <v>2.6129152668906306E-3</v>
      </c>
      <c r="AM97" s="119">
        <f t="shared" si="355"/>
        <v>0</v>
      </c>
      <c r="AN97" s="119">
        <f t="shared" si="355"/>
        <v>0</v>
      </c>
      <c r="AO97" s="119">
        <f t="shared" si="355"/>
        <v>7.2815533980582527E-3</v>
      </c>
      <c r="AP97" s="119">
        <f t="shared" si="355"/>
        <v>0</v>
      </c>
      <c r="AQ97" s="119">
        <f t="shared" si="355"/>
        <v>1.8933099490621524E-3</v>
      </c>
      <c r="AR97" s="119">
        <f t="shared" si="355"/>
        <v>0</v>
      </c>
      <c r="AS97" s="119">
        <f t="shared" si="355"/>
        <v>0</v>
      </c>
      <c r="AT97" s="119">
        <f t="shared" si="355"/>
        <v>0</v>
      </c>
      <c r="AU97" s="119">
        <f t="shared" si="355"/>
        <v>0</v>
      </c>
      <c r="AV97" s="119">
        <f t="shared" si="355"/>
        <v>0</v>
      </c>
      <c r="AW97" s="119">
        <f t="shared" si="355"/>
        <v>0</v>
      </c>
      <c r="AX97" s="119">
        <f t="shared" si="355"/>
        <v>0</v>
      </c>
      <c r="AY97" s="119">
        <f t="shared" si="355"/>
        <v>0</v>
      </c>
      <c r="AZ97" s="119">
        <f t="shared" si="355"/>
        <v>0</v>
      </c>
      <c r="BA97" s="119">
        <f t="shared" si="355"/>
        <v>0</v>
      </c>
      <c r="BB97" s="119">
        <f t="shared" si="355"/>
        <v>0</v>
      </c>
      <c r="BC97" s="119">
        <f t="shared" si="355"/>
        <v>0</v>
      </c>
      <c r="BD97" s="119">
        <f t="shared" si="355"/>
        <v>0</v>
      </c>
      <c r="BE97" s="119">
        <f t="shared" si="355"/>
        <v>0</v>
      </c>
      <c r="BF97" s="119">
        <f t="shared" si="355"/>
        <v>0</v>
      </c>
      <c r="BG97" s="119">
        <f t="shared" si="355"/>
        <v>0</v>
      </c>
      <c r="BH97" s="119">
        <f t="shared" si="355"/>
        <v>0</v>
      </c>
      <c r="BI97" s="119">
        <f t="shared" si="355"/>
        <v>0</v>
      </c>
      <c r="BJ97" s="119">
        <f t="shared" si="355"/>
        <v>0</v>
      </c>
      <c r="BK97" s="119">
        <f t="shared" si="355"/>
        <v>0</v>
      </c>
      <c r="BL97" s="119">
        <f t="shared" si="355"/>
        <v>0</v>
      </c>
      <c r="BM97" s="119">
        <f t="shared" si="355"/>
        <v>0</v>
      </c>
      <c r="BN97" s="119">
        <f t="shared" si="355"/>
        <v>0</v>
      </c>
      <c r="BO97" s="119">
        <f t="shared" si="355"/>
        <v>0</v>
      </c>
      <c r="BP97" s="119">
        <f t="shared" si="355"/>
        <v>0</v>
      </c>
      <c r="BQ97" s="119">
        <f t="shared" si="355"/>
        <v>0</v>
      </c>
      <c r="BR97" s="119">
        <f t="shared" si="355"/>
        <v>0</v>
      </c>
      <c r="BS97" s="119">
        <f t="shared" si="355"/>
        <v>0</v>
      </c>
      <c r="BT97" s="119">
        <f t="shared" si="355"/>
        <v>0</v>
      </c>
      <c r="BU97" s="119">
        <f t="shared" si="355"/>
        <v>0</v>
      </c>
    </row>
    <row r="98" spans="1:73" s="79" customFormat="1">
      <c r="A98" s="314" t="s">
        <v>1947</v>
      </c>
      <c r="B98" s="314"/>
      <c r="C98" s="314"/>
      <c r="D98" s="314"/>
      <c r="E98" s="314"/>
      <c r="F98" s="314"/>
      <c r="G98" s="314"/>
      <c r="H98" s="314"/>
      <c r="I98" s="314"/>
      <c r="J98" s="314"/>
      <c r="K98" s="314"/>
      <c r="L98" s="314"/>
      <c r="M98" s="314"/>
      <c r="N98" s="314"/>
      <c r="O98" s="314"/>
      <c r="P98" s="314"/>
      <c r="Q98" s="314"/>
      <c r="R98" s="314"/>
      <c r="S98" s="314"/>
      <c r="T98" s="314"/>
      <c r="U98" s="314"/>
      <c r="V98" s="314"/>
      <c r="W98" s="314"/>
      <c r="X98" s="81"/>
      <c r="Y98" s="81"/>
      <c r="Z98" s="81"/>
      <c r="AA98" s="81"/>
      <c r="AB98" s="315">
        <f>-AB92/AB$62</f>
        <v>0.81055747409965462</v>
      </c>
      <c r="AC98" s="81"/>
      <c r="AD98" s="81"/>
      <c r="AE98" s="81"/>
      <c r="AF98" s="315">
        <f t="shared" ref="AF98:BU98" si="356">-AF92/AF$62</f>
        <v>1.0715372907153728</v>
      </c>
      <c r="AG98" s="315">
        <f t="shared" si="356"/>
        <v>0.71735109137994824</v>
      </c>
      <c r="AH98" s="315">
        <f t="shared" si="356"/>
        <v>0.53901734104046239</v>
      </c>
      <c r="AI98" s="315">
        <f t="shared" si="356"/>
        <v>0.66984126984126979</v>
      </c>
      <c r="AJ98" s="315">
        <f t="shared" si="356"/>
        <v>0.6229281767955801</v>
      </c>
      <c r="AK98" s="315">
        <f t="shared" si="356"/>
        <v>1.0363349131121642</v>
      </c>
      <c r="AL98" s="315">
        <f t="shared" si="356"/>
        <v>0.70996640537514</v>
      </c>
      <c r="AM98" s="315">
        <f t="shared" si="356"/>
        <v>0.78962962962962968</v>
      </c>
      <c r="AN98" s="315">
        <f t="shared" si="356"/>
        <v>1.1364764267990075</v>
      </c>
      <c r="AO98" s="315">
        <f t="shared" si="356"/>
        <v>0.7936893203883495</v>
      </c>
      <c r="AP98" s="315">
        <f t="shared" si="356"/>
        <v>0.79740458118190582</v>
      </c>
      <c r="AQ98" s="315">
        <f t="shared" si="356"/>
        <v>0.88102022963025495</v>
      </c>
      <c r="AR98" s="315">
        <f t="shared" si="356"/>
        <v>0.75063711074866379</v>
      </c>
      <c r="AS98" s="315">
        <f t="shared" si="356"/>
        <v>0.71883320225138148</v>
      </c>
      <c r="AT98" s="315">
        <f t="shared" si="356"/>
        <v>0.67108752264097549</v>
      </c>
      <c r="AU98" s="315">
        <f t="shared" si="356"/>
        <v>0.69464194867394791</v>
      </c>
      <c r="AV98" s="315">
        <f t="shared" si="356"/>
        <v>0.70722401156299042</v>
      </c>
      <c r="AW98" s="315">
        <f t="shared" si="356"/>
        <v>0.65963630711413845</v>
      </c>
      <c r="AX98" s="315">
        <f t="shared" si="356"/>
        <v>0.63341323671069039</v>
      </c>
      <c r="AY98" s="315">
        <f t="shared" si="356"/>
        <v>0.61925294170705747</v>
      </c>
      <c r="AZ98" s="315">
        <f t="shared" si="356"/>
        <v>0.6559455950524905</v>
      </c>
      <c r="BA98" s="315">
        <f t="shared" si="356"/>
        <v>0.64154034371141988</v>
      </c>
      <c r="BB98" s="315">
        <f t="shared" si="356"/>
        <v>0.6277607004208362</v>
      </c>
      <c r="BC98" s="315">
        <f t="shared" si="356"/>
        <v>0.59730434898597184</v>
      </c>
      <c r="BD98" s="315">
        <f t="shared" si="356"/>
        <v>0.57312024843664566</v>
      </c>
      <c r="BE98" s="315">
        <f t="shared" si="356"/>
        <v>0.60440264557063195</v>
      </c>
      <c r="BF98" s="315">
        <f t="shared" si="356"/>
        <v>0.59984513319252375</v>
      </c>
      <c r="BG98" s="315">
        <f t="shared" si="356"/>
        <v>0.5694958018925379</v>
      </c>
      <c r="BH98" s="315">
        <f t="shared" si="356"/>
        <v>0.540254504047463</v>
      </c>
      <c r="BI98" s="315">
        <f t="shared" si="356"/>
        <v>0.52990642046847236</v>
      </c>
      <c r="BJ98" s="315">
        <f t="shared" si="356"/>
        <v>0.5662634480782136</v>
      </c>
      <c r="BK98" s="315">
        <f t="shared" si="356"/>
        <v>0.550954120531012</v>
      </c>
      <c r="BL98" s="315">
        <f t="shared" si="356"/>
        <v>0.53306065571537631</v>
      </c>
      <c r="BM98" s="315">
        <f t="shared" si="356"/>
        <v>0.505811799234825</v>
      </c>
      <c r="BN98" s="315">
        <f t="shared" si="356"/>
        <v>0.49752455879758922</v>
      </c>
      <c r="BO98" s="315">
        <f t="shared" si="356"/>
        <v>0.53461539445113526</v>
      </c>
      <c r="BP98" s="315">
        <f t="shared" si="356"/>
        <v>0.51723408252857017</v>
      </c>
      <c r="BQ98" s="315">
        <f t="shared" si="356"/>
        <v>0.50420662107736858</v>
      </c>
      <c r="BR98" s="315">
        <f t="shared" si="356"/>
        <v>0.47834183170559519</v>
      </c>
      <c r="BS98" s="315">
        <f t="shared" si="356"/>
        <v>0.47118171548910914</v>
      </c>
      <c r="BT98" s="315">
        <f t="shared" si="356"/>
        <v>0.51049809953487102</v>
      </c>
      <c r="BU98" s="315">
        <f t="shared" si="356"/>
        <v>0.49051837821884925</v>
      </c>
    </row>
    <row r="100" spans="1:73">
      <c r="A100" s="1" t="s">
        <v>1954</v>
      </c>
      <c r="AB100" s="36">
        <f>(AB129-AB84)+(AB134-AB89)+(AB135-AB90)</f>
        <v>59</v>
      </c>
      <c r="AF100" s="36">
        <f t="shared" ref="AF100:BU100" si="357">(AF129-AF84)+(AF134-AF89)+(AF135-AF90)</f>
        <v>11</v>
      </c>
      <c r="AG100" s="36">
        <f t="shared" si="357"/>
        <v>51</v>
      </c>
      <c r="AH100" s="36">
        <f t="shared" si="357"/>
        <v>3</v>
      </c>
      <c r="AI100" s="36">
        <f t="shared" si="357"/>
        <v>13</v>
      </c>
      <c r="AJ100" s="36">
        <f t="shared" si="357"/>
        <v>43</v>
      </c>
      <c r="AK100" s="36">
        <f t="shared" si="357"/>
        <v>48</v>
      </c>
      <c r="AL100" s="36">
        <f t="shared" si="357"/>
        <v>107</v>
      </c>
      <c r="AM100" s="36">
        <f t="shared" si="357"/>
        <v>161</v>
      </c>
      <c r="AN100" s="36">
        <f t="shared" si="357"/>
        <v>540</v>
      </c>
      <c r="AO100" s="36">
        <f t="shared" si="357"/>
        <v>221</v>
      </c>
      <c r="AP100" s="36">
        <f t="shared" si="357"/>
        <v>198.73224174999996</v>
      </c>
      <c r="AQ100" s="36">
        <f t="shared" si="357"/>
        <v>1120.73224175</v>
      </c>
      <c r="AR100" s="36">
        <f t="shared" si="357"/>
        <v>183.31094749999997</v>
      </c>
      <c r="AS100" s="36">
        <f t="shared" si="357"/>
        <v>195.03829200000001</v>
      </c>
      <c r="AT100" s="36">
        <f t="shared" si="357"/>
        <v>205.43520084749997</v>
      </c>
      <c r="AU100" s="36">
        <f t="shared" si="357"/>
        <v>207.30104232100001</v>
      </c>
      <c r="AV100" s="36">
        <f t="shared" si="357"/>
        <v>791.08548266849994</v>
      </c>
      <c r="AW100" s="36">
        <f t="shared" si="357"/>
        <v>194.30960434999997</v>
      </c>
      <c r="AX100" s="36">
        <f t="shared" si="357"/>
        <v>204.7902066</v>
      </c>
      <c r="AY100" s="36">
        <f t="shared" si="357"/>
        <v>215.70696088987501</v>
      </c>
      <c r="AZ100" s="36">
        <f t="shared" si="357"/>
        <v>217.66609443705005</v>
      </c>
      <c r="BA100" s="36">
        <f t="shared" si="357"/>
        <v>832.47286627692495</v>
      </c>
      <c r="BB100" s="36">
        <f t="shared" si="357"/>
        <v>205.96818061100004</v>
      </c>
      <c r="BC100" s="36">
        <f t="shared" si="357"/>
        <v>215.02971693000003</v>
      </c>
      <c r="BD100" s="36">
        <f t="shared" si="357"/>
        <v>226.49230893436876</v>
      </c>
      <c r="BE100" s="36">
        <f t="shared" si="357"/>
        <v>228.54939915890253</v>
      </c>
      <c r="BF100" s="36">
        <f t="shared" si="357"/>
        <v>876.03960563427154</v>
      </c>
      <c r="BG100" s="36">
        <f t="shared" si="357"/>
        <v>218.32627144766002</v>
      </c>
      <c r="BH100" s="36">
        <f t="shared" si="357"/>
        <v>225.78120277650004</v>
      </c>
      <c r="BI100" s="36">
        <f t="shared" si="357"/>
        <v>237.81692438108718</v>
      </c>
      <c r="BJ100" s="36">
        <f t="shared" si="357"/>
        <v>239.97686911684769</v>
      </c>
      <c r="BK100" s="36">
        <f t="shared" si="357"/>
        <v>921.90126772209555</v>
      </c>
      <c r="BL100" s="36">
        <f t="shared" si="357"/>
        <v>231.42584773451964</v>
      </c>
      <c r="BM100" s="36">
        <f t="shared" si="357"/>
        <v>237.070262915325</v>
      </c>
      <c r="BN100" s="36">
        <f t="shared" si="357"/>
        <v>249.70777060014154</v>
      </c>
      <c r="BO100" s="36">
        <f t="shared" si="357"/>
        <v>251.9757125726901</v>
      </c>
      <c r="BP100" s="36">
        <f t="shared" si="357"/>
        <v>970.17959382267622</v>
      </c>
      <c r="BQ100" s="36">
        <f t="shared" si="357"/>
        <v>245.31139859859087</v>
      </c>
      <c r="BR100" s="36">
        <f t="shared" si="357"/>
        <v>248.92377606109125</v>
      </c>
      <c r="BS100" s="36">
        <f t="shared" si="357"/>
        <v>262.19315913014867</v>
      </c>
      <c r="BT100" s="36">
        <f t="shared" si="357"/>
        <v>264.57449820132456</v>
      </c>
      <c r="BU100" s="36">
        <f t="shared" si="357"/>
        <v>1021.0028319911549</v>
      </c>
    </row>
    <row r="101" spans="1:73">
      <c r="A101" s="1" t="s">
        <v>1115</v>
      </c>
      <c r="AB101" s="16">
        <f>AB100/AB$62</f>
        <v>2.9107054760730142E-2</v>
      </c>
      <c r="AF101" s="16">
        <f t="shared" ref="AF101:BU101" si="358">AF100/AF$62</f>
        <v>1.6742770167427701E-2</v>
      </c>
      <c r="AG101" s="16">
        <f t="shared" si="358"/>
        <v>1.8867924528301886E-2</v>
      </c>
      <c r="AH101" s="16">
        <f t="shared" si="358"/>
        <v>4.335260115606936E-3</v>
      </c>
      <c r="AI101" s="16">
        <f t="shared" si="358"/>
        <v>2.0634920634920634E-2</v>
      </c>
      <c r="AJ101" s="16">
        <f t="shared" si="358"/>
        <v>5.9392265193370167E-2</v>
      </c>
      <c r="AK101" s="16">
        <f t="shared" si="358"/>
        <v>7.582938388625593E-2</v>
      </c>
      <c r="AL101" s="16">
        <f t="shared" si="358"/>
        <v>3.9940276222471073E-2</v>
      </c>
      <c r="AM101" s="16">
        <f t="shared" si="358"/>
        <v>0.23851851851851852</v>
      </c>
      <c r="AN101" s="16">
        <f t="shared" si="358"/>
        <v>0.66997518610421836</v>
      </c>
      <c r="AO101" s="16">
        <f t="shared" si="358"/>
        <v>0.26820388349514562</v>
      </c>
      <c r="AP101" s="16">
        <f t="shared" si="358"/>
        <v>0.22999999999999995</v>
      </c>
      <c r="AQ101" s="16">
        <f t="shared" si="358"/>
        <v>0.35364891725666736</v>
      </c>
      <c r="AR101" s="16">
        <f t="shared" si="358"/>
        <v>0.19999999999999996</v>
      </c>
      <c r="AS101" s="16">
        <f t="shared" si="358"/>
        <v>0.2</v>
      </c>
      <c r="AT101" s="16">
        <f t="shared" si="358"/>
        <v>0.19499999999999998</v>
      </c>
      <c r="AU101" s="16">
        <f t="shared" si="358"/>
        <v>0.19999999999999998</v>
      </c>
      <c r="AV101" s="16">
        <f t="shared" si="358"/>
        <v>0.1986770768970387</v>
      </c>
      <c r="AW101" s="16">
        <f t="shared" si="358"/>
        <v>0.17344204309911138</v>
      </c>
      <c r="AX101" s="16">
        <f t="shared" si="358"/>
        <v>0.17124898855956566</v>
      </c>
      <c r="AY101" s="16">
        <f t="shared" si="358"/>
        <v>0.17204421310241336</v>
      </c>
      <c r="AZ101" s="16">
        <f t="shared" si="358"/>
        <v>0.1803128930440836</v>
      </c>
      <c r="BA101" s="16">
        <f t="shared" si="358"/>
        <v>0.17426241685195903</v>
      </c>
      <c r="BB101" s="16">
        <f t="shared" si="358"/>
        <v>0.16223178083408615</v>
      </c>
      <c r="BC101" s="16">
        <f t="shared" si="358"/>
        <v>0.15878128950860609</v>
      </c>
      <c r="BD101" s="16">
        <f t="shared" si="358"/>
        <v>0.15810533796512979</v>
      </c>
      <c r="BE101" s="16">
        <f t="shared" si="358"/>
        <v>0.16575805574833263</v>
      </c>
      <c r="BF101" s="16">
        <f t="shared" si="358"/>
        <v>0.16117900321910611</v>
      </c>
      <c r="BG101" s="16">
        <f t="shared" si="358"/>
        <v>0.14862936469104424</v>
      </c>
      <c r="BH101" s="16">
        <f t="shared" si="358"/>
        <v>0.14484695182518248</v>
      </c>
      <c r="BI101" s="16">
        <f t="shared" si="358"/>
        <v>0.14816435943677578</v>
      </c>
      <c r="BJ101" s="16">
        <f t="shared" si="358"/>
        <v>0.15818610999194643</v>
      </c>
      <c r="BK101" s="16">
        <f t="shared" si="358"/>
        <v>0.1499067757171561</v>
      </c>
      <c r="BL101" s="16">
        <f t="shared" si="358"/>
        <v>0.14294662001118685</v>
      </c>
      <c r="BM101" s="16">
        <f t="shared" si="358"/>
        <v>0.13772210714990812</v>
      </c>
      <c r="BN101" s="16">
        <f t="shared" si="358"/>
        <v>0.14127419071543312</v>
      </c>
      <c r="BO101" s="16">
        <f t="shared" si="358"/>
        <v>0.15166836887183682</v>
      </c>
      <c r="BP101" s="16">
        <f t="shared" si="358"/>
        <v>0.14332193184554684</v>
      </c>
      <c r="BQ101" s="16">
        <f t="shared" si="358"/>
        <v>0.1383701202026528</v>
      </c>
      <c r="BR101" s="16">
        <f t="shared" si="358"/>
        <v>0.13234798453601795</v>
      </c>
      <c r="BS101" s="16">
        <f t="shared" si="358"/>
        <v>0.13658512650200527</v>
      </c>
      <c r="BT101" s="16">
        <f t="shared" si="358"/>
        <v>0.14784762784147179</v>
      </c>
      <c r="BU101" s="16">
        <f t="shared" si="358"/>
        <v>0.13866986134258105</v>
      </c>
    </row>
    <row r="102" spans="1:73">
      <c r="A102" s="1" t="s">
        <v>1952</v>
      </c>
      <c r="AP102" s="16">
        <f>AP100/FP!$L$7/1000</f>
        <v>1.5234330667668985E-3</v>
      </c>
      <c r="AQ102" s="16">
        <f>AQ100/FP!$L$7/1000</f>
        <v>8.5912609903608852E-3</v>
      </c>
      <c r="AR102" s="16">
        <f>AR100/FP!$L$7/1000</f>
        <v>1.4052171729294698E-3</v>
      </c>
      <c r="AS102" s="16">
        <f>AS100/FP!$L$7/1000</f>
        <v>1.4951161457350084E-3</v>
      </c>
      <c r="AT102" s="16">
        <f>AT100/FP!$L$7/1000</f>
        <v>1.5748163221682206E-3</v>
      </c>
      <c r="AU102" s="16">
        <f>AU100/FP!$L$7/1000</f>
        <v>1.5891194094430614E-3</v>
      </c>
      <c r="AV102" s="16">
        <f>AV100/FP!$L$7/1000</f>
        <v>6.0642690502757599E-3</v>
      </c>
      <c r="AW102" s="16">
        <f>AW100/FP!$L$7/1000</f>
        <v>1.4895302033052381E-3</v>
      </c>
      <c r="AX102" s="16">
        <f>AX100/FP!$L$7/1000</f>
        <v>1.5698719530217588E-3</v>
      </c>
      <c r="AY102" s="16">
        <f>AY100/FP!$L$7/1000</f>
        <v>1.6535571382766318E-3</v>
      </c>
      <c r="AZ102" s="16">
        <f>AZ100/FP!$L$7/1000</f>
        <v>1.6685753799152148E-3</v>
      </c>
      <c r="BA102" s="16">
        <f>BA100/FP!$L$7/1000</f>
        <v>6.381534674518843E-3</v>
      </c>
      <c r="BB102" s="16">
        <f>BB100/FP!$L$7/1000</f>
        <v>1.5789020155035527E-3</v>
      </c>
      <c r="BC102" s="16">
        <f>BC100/FP!$L$7/1000</f>
        <v>1.6483655506728469E-3</v>
      </c>
      <c r="BD102" s="16">
        <f>BD100/FP!$L$7/1000</f>
        <v>1.7362349951904634E-3</v>
      </c>
      <c r="BE102" s="16">
        <f>BE100/FP!$L$7/1000</f>
        <v>1.7520041489109755E-3</v>
      </c>
      <c r="BF102" s="16">
        <f>BF100/FP!$L$7/1000</f>
        <v>6.7155067102778396E-3</v>
      </c>
      <c r="BG102" s="16">
        <f>BG100/FP!$L$7/1000</f>
        <v>1.6736361364337658E-3</v>
      </c>
      <c r="BH102" s="16">
        <f>BH100/FP!$L$7/1000</f>
        <v>1.7307838282064893E-3</v>
      </c>
      <c r="BI102" s="16">
        <f>BI100/FP!$L$7/1000</f>
        <v>1.8230467449499865E-3</v>
      </c>
      <c r="BJ102" s="16">
        <f>BJ100/FP!$L$7/1000</f>
        <v>1.8396043563565245E-3</v>
      </c>
      <c r="BK102" s="16">
        <f>BK100/FP!$L$7/1000</f>
        <v>7.0670710659467709E-3</v>
      </c>
      <c r="BL102" s="16">
        <f>BL100/FP!$L$7/1000</f>
        <v>1.7740543046197918E-3</v>
      </c>
      <c r="BM102" s="16">
        <f>BM100/FP!$L$7/1000</f>
        <v>1.8173230196168136E-3</v>
      </c>
      <c r="BN102" s="16">
        <f>BN100/FP!$L$7/1000</f>
        <v>1.9141990821974859E-3</v>
      </c>
      <c r="BO102" s="16">
        <f>BO100/FP!$L$7/1000</f>
        <v>1.9315845741743509E-3</v>
      </c>
      <c r="BP102" s="16">
        <f>BP100/FP!$L$7/1000</f>
        <v>7.4371609806084408E-3</v>
      </c>
      <c r="BQ102" s="16">
        <f>BQ100/FP!$L$7/1000</f>
        <v>1.8804975628969798E-3</v>
      </c>
      <c r="BR102" s="16">
        <f>BR100/FP!$L$7/1000</f>
        <v>1.9081891705976541E-3</v>
      </c>
      <c r="BS102" s="16">
        <f>BS100/FP!$L$7/1000</f>
        <v>2.0099090363073606E-3</v>
      </c>
      <c r="BT102" s="16">
        <f>BT100/FP!$L$7/1000</f>
        <v>2.0281638028830681E-3</v>
      </c>
      <c r="BU102" s="16">
        <f>BU100/FP!$L$7/1000</f>
        <v>7.8267595726850599E-3</v>
      </c>
    </row>
    <row r="103" spans="1:73" s="42" customFormat="1">
      <c r="A103" s="22" t="s">
        <v>1953</v>
      </c>
      <c r="AP103" s="437">
        <f>AP102</f>
        <v>1.5234330667668985E-3</v>
      </c>
      <c r="AQ103" s="442">
        <f>AP103</f>
        <v>1.5234330667668985E-3</v>
      </c>
      <c r="AR103" s="442">
        <f>AQ103+AR102</f>
        <v>2.9286502396963683E-3</v>
      </c>
      <c r="AS103" s="442">
        <f>AR103+AS102</f>
        <v>4.4237663854313769E-3</v>
      </c>
      <c r="AT103" s="442">
        <f>AS103+AT102</f>
        <v>5.9985827075995975E-3</v>
      </c>
      <c r="AU103" s="442">
        <f>AT103+AU102</f>
        <v>7.5877021170426585E-3</v>
      </c>
      <c r="AV103" s="442">
        <f>AU103</f>
        <v>7.5877021170426585E-3</v>
      </c>
      <c r="AW103" s="442">
        <f>AV103+AW102</f>
        <v>9.0772323203478968E-3</v>
      </c>
      <c r="AX103" s="442">
        <f>AW103+AX102</f>
        <v>1.0647104273369656E-2</v>
      </c>
      <c r="AY103" s="442">
        <f>AX103+AY102</f>
        <v>1.2300661411646287E-2</v>
      </c>
      <c r="AZ103" s="442">
        <f>AY103+AZ102</f>
        <v>1.3969236791561502E-2</v>
      </c>
      <c r="BA103" s="442">
        <f>AZ103</f>
        <v>1.3969236791561502E-2</v>
      </c>
      <c r="BB103" s="442">
        <f>BA103+BB102</f>
        <v>1.5548138807065055E-2</v>
      </c>
      <c r="BC103" s="442">
        <f>BB103+BC102</f>
        <v>1.7196504357737903E-2</v>
      </c>
      <c r="BD103" s="442">
        <f>BC103+BD102</f>
        <v>1.8932739352928368E-2</v>
      </c>
      <c r="BE103" s="442">
        <f>BD103+BE102</f>
        <v>2.0684743501839343E-2</v>
      </c>
      <c r="BF103" s="442">
        <f>BE103</f>
        <v>2.0684743501839343E-2</v>
      </c>
      <c r="BG103" s="442">
        <f>BF103+BG102</f>
        <v>2.2358379638273109E-2</v>
      </c>
      <c r="BH103" s="442">
        <f>BG103+BH102</f>
        <v>2.4089163466479598E-2</v>
      </c>
      <c r="BI103" s="442">
        <f>BH103+BI102</f>
        <v>2.5912210211429584E-2</v>
      </c>
      <c r="BJ103" s="442">
        <f>BI103+BJ102</f>
        <v>2.7751814567786109E-2</v>
      </c>
      <c r="BK103" s="442">
        <f>BJ103</f>
        <v>2.7751814567786109E-2</v>
      </c>
      <c r="BL103" s="442">
        <f>BK103+BL102</f>
        <v>2.9525868872405901E-2</v>
      </c>
      <c r="BM103" s="442">
        <f>BL103+BM102</f>
        <v>3.1343191892022712E-2</v>
      </c>
      <c r="BN103" s="442">
        <f>BM103+BN102</f>
        <v>3.3257390974220195E-2</v>
      </c>
      <c r="BO103" s="442">
        <f>BN103+BO102</f>
        <v>3.5188975548394549E-2</v>
      </c>
      <c r="BP103" s="442">
        <f>BO103</f>
        <v>3.5188975548394549E-2</v>
      </c>
      <c r="BQ103" s="442">
        <f>BP103+BQ102</f>
        <v>3.706947311129153E-2</v>
      </c>
      <c r="BR103" s="442">
        <f>BQ103+BR102</f>
        <v>3.8977662281889182E-2</v>
      </c>
      <c r="BS103" s="442">
        <f>BR103+BS102</f>
        <v>4.0987571318196539E-2</v>
      </c>
      <c r="BT103" s="442">
        <f>BS103+BT102</f>
        <v>4.3015735121079604E-2</v>
      </c>
      <c r="BU103" s="442">
        <f>BT103</f>
        <v>4.3015735121079604E-2</v>
      </c>
    </row>
    <row r="105" spans="1:73" s="79" customFormat="1">
      <c r="A105" s="314" t="s">
        <v>1944</v>
      </c>
      <c r="B105" s="314"/>
      <c r="C105" s="314"/>
      <c r="D105" s="314"/>
      <c r="E105" s="314"/>
      <c r="F105" s="314"/>
      <c r="G105" s="314"/>
      <c r="H105" s="314"/>
      <c r="I105" s="314"/>
      <c r="J105" s="314"/>
      <c r="K105" s="314"/>
      <c r="L105" s="314"/>
      <c r="M105" s="314"/>
      <c r="N105" s="314"/>
      <c r="O105" s="314"/>
      <c r="P105" s="314"/>
      <c r="Q105" s="314"/>
      <c r="R105" s="314"/>
      <c r="S105" s="314"/>
      <c r="T105" s="314"/>
      <c r="U105" s="314"/>
      <c r="V105" s="314"/>
      <c r="W105" s="314"/>
      <c r="X105" s="81"/>
      <c r="Y105" s="81"/>
      <c r="Z105" s="81"/>
      <c r="AA105" s="81"/>
      <c r="AB105" s="81">
        <f>AB85+AB92</f>
        <v>239</v>
      </c>
      <c r="AC105" s="81"/>
      <c r="AD105" s="81"/>
      <c r="AE105" s="81"/>
      <c r="AF105" s="81">
        <f t="shared" ref="AF105:BU105" si="359">AF85+AF92</f>
        <v>-84</v>
      </c>
      <c r="AG105" s="81">
        <f t="shared" si="359"/>
        <v>633</v>
      </c>
      <c r="AH105" s="81">
        <f t="shared" si="359"/>
        <v>294</v>
      </c>
      <c r="AI105" s="81">
        <f t="shared" si="359"/>
        <v>183</v>
      </c>
      <c r="AJ105" s="81">
        <f t="shared" si="359"/>
        <v>244</v>
      </c>
      <c r="AK105" s="81">
        <f t="shared" si="359"/>
        <v>-50</v>
      </c>
      <c r="AL105" s="81">
        <f t="shared" si="359"/>
        <v>671</v>
      </c>
      <c r="AM105" s="81">
        <f t="shared" si="359"/>
        <v>111</v>
      </c>
      <c r="AN105" s="81">
        <f t="shared" si="359"/>
        <v>-156</v>
      </c>
      <c r="AO105" s="81">
        <f t="shared" si="359"/>
        <v>134</v>
      </c>
      <c r="AP105" s="81">
        <f t="shared" si="359"/>
        <v>145.41462824999996</v>
      </c>
      <c r="AQ105" s="81">
        <f t="shared" si="359"/>
        <v>234.41462825000008</v>
      </c>
      <c r="AR105" s="81">
        <f t="shared" si="359"/>
        <v>197.64479537500006</v>
      </c>
      <c r="AS105" s="81">
        <f t="shared" si="359"/>
        <v>241.45415019999996</v>
      </c>
      <c r="AT105" s="81">
        <f t="shared" si="359"/>
        <v>311.32242200499991</v>
      </c>
      <c r="AU105" s="81">
        <f t="shared" si="359"/>
        <v>281.78818214705018</v>
      </c>
      <c r="AV105" s="81">
        <f t="shared" si="359"/>
        <v>1032.2095497270502</v>
      </c>
      <c r="AW105" s="81">
        <f t="shared" si="359"/>
        <v>344.04679730639555</v>
      </c>
      <c r="AX105" s="81">
        <f t="shared" si="359"/>
        <v>398.81674276865783</v>
      </c>
      <c r="AY105" s="81">
        <f t="shared" si="359"/>
        <v>436.03081495427989</v>
      </c>
      <c r="AZ105" s="81">
        <f t="shared" si="359"/>
        <v>375.30693637975287</v>
      </c>
      <c r="BA105" s="81">
        <f t="shared" si="359"/>
        <v>1554.2012914090856</v>
      </c>
      <c r="BB105" s="81">
        <f t="shared" si="359"/>
        <v>430.65427313759142</v>
      </c>
      <c r="BC105" s="81">
        <f t="shared" si="359"/>
        <v>500.82915159802417</v>
      </c>
      <c r="BD105" s="81">
        <f t="shared" si="359"/>
        <v>564.60725693397899</v>
      </c>
      <c r="BE105" s="81">
        <f t="shared" si="359"/>
        <v>500.10608379924145</v>
      </c>
      <c r="BF105" s="81">
        <f t="shared" si="359"/>
        <v>1996.1967654688356</v>
      </c>
      <c r="BG105" s="81">
        <f t="shared" si="359"/>
        <v>584.30870080769773</v>
      </c>
      <c r="BH105" s="81">
        <f t="shared" si="359"/>
        <v>665.84448163166019</v>
      </c>
      <c r="BI105" s="81">
        <f t="shared" si="359"/>
        <v>702.34473978736219</v>
      </c>
      <c r="BJ105" s="81">
        <f t="shared" si="359"/>
        <v>608.42547621155484</v>
      </c>
      <c r="BK105" s="81">
        <f t="shared" si="359"/>
        <v>2560.9233984382745</v>
      </c>
      <c r="BL105" s="81">
        <f t="shared" si="359"/>
        <v>703.28502323702787</v>
      </c>
      <c r="BM105" s="81">
        <f t="shared" si="359"/>
        <v>794.89178775961523</v>
      </c>
      <c r="BN105" s="81">
        <f t="shared" si="359"/>
        <v>830.9313658516196</v>
      </c>
      <c r="BO105" s="81">
        <f t="shared" si="359"/>
        <v>719.10071620220117</v>
      </c>
      <c r="BP105" s="81">
        <f t="shared" si="359"/>
        <v>3048.2088930504633</v>
      </c>
      <c r="BQ105" s="81">
        <f t="shared" si="359"/>
        <v>821.51628282174318</v>
      </c>
      <c r="BR105" s="81">
        <f t="shared" si="359"/>
        <v>920.40964939891808</v>
      </c>
      <c r="BS105" s="81">
        <f t="shared" si="359"/>
        <v>953.18958985391532</v>
      </c>
      <c r="BT105" s="81">
        <f t="shared" si="359"/>
        <v>817.88082607162983</v>
      </c>
      <c r="BU105" s="81">
        <f t="shared" si="359"/>
        <v>3512.9963481462073</v>
      </c>
    </row>
    <row r="106" spans="1:73">
      <c r="A106" s="1" t="s">
        <v>1946</v>
      </c>
      <c r="AB106" s="16">
        <f>AB105/AB$62</f>
        <v>0.11790823877651702</v>
      </c>
      <c r="AF106" s="16">
        <f t="shared" ref="AF106:BU106" si="360">AF105/AF$62</f>
        <v>-0.12785388127853881</v>
      </c>
      <c r="AG106" s="16">
        <f t="shared" si="360"/>
        <v>0.23418423973362931</v>
      </c>
      <c r="AH106" s="16">
        <f t="shared" si="360"/>
        <v>0.42485549132947975</v>
      </c>
      <c r="AI106" s="16">
        <f t="shared" si="360"/>
        <v>0.2904761904761905</v>
      </c>
      <c r="AJ106" s="16">
        <f t="shared" si="360"/>
        <v>0.33701657458563539</v>
      </c>
      <c r="AK106" s="16">
        <f t="shared" si="360"/>
        <v>-7.8988941548183256E-2</v>
      </c>
      <c r="AL106" s="16">
        <f t="shared" si="360"/>
        <v>0.25046659201194477</v>
      </c>
      <c r="AM106" s="16">
        <f t="shared" si="360"/>
        <v>0.16444444444444445</v>
      </c>
      <c r="AN106" s="16">
        <f t="shared" si="360"/>
        <v>-0.19354838709677419</v>
      </c>
      <c r="AO106" s="16">
        <f t="shared" si="360"/>
        <v>0.16262135922330098</v>
      </c>
      <c r="AP106" s="16">
        <f t="shared" si="360"/>
        <v>0.16829360048971517</v>
      </c>
      <c r="AQ106" s="16">
        <f t="shared" si="360"/>
        <v>7.3969924645238508E-2</v>
      </c>
      <c r="AR106" s="16">
        <f t="shared" si="360"/>
        <v>0.21563883452732691</v>
      </c>
      <c r="AS106" s="16">
        <f t="shared" si="360"/>
        <v>0.24759666189037377</v>
      </c>
      <c r="AT106" s="16">
        <f t="shared" si="360"/>
        <v>0.29550861799989209</v>
      </c>
      <c r="AU106" s="16">
        <f t="shared" si="360"/>
        <v>0.27186373883321713</v>
      </c>
      <c r="AV106" s="16">
        <f t="shared" si="360"/>
        <v>0.25923415430809393</v>
      </c>
      <c r="AW106" s="16">
        <f t="shared" si="360"/>
        <v>0.30709845581818307</v>
      </c>
      <c r="AX106" s="16">
        <f t="shared" si="360"/>
        <v>0.33349721626655715</v>
      </c>
      <c r="AY106" s="16">
        <f t="shared" si="360"/>
        <v>0.34777078188733718</v>
      </c>
      <c r="AZ106" s="16">
        <f t="shared" si="360"/>
        <v>0.31090133561300376</v>
      </c>
      <c r="BA106" s="16">
        <f t="shared" si="360"/>
        <v>0.32534258386901904</v>
      </c>
      <c r="BB106" s="16">
        <f t="shared" si="360"/>
        <v>0.33920681072030173</v>
      </c>
      <c r="BC106" s="16">
        <f t="shared" si="360"/>
        <v>0.36982003999067181</v>
      </c>
      <c r="BD106" s="16">
        <f t="shared" si="360"/>
        <v>0.39413003291418103</v>
      </c>
      <c r="BE106" s="16">
        <f t="shared" si="360"/>
        <v>0.36270763530137223</v>
      </c>
      <c r="BF106" s="16">
        <f t="shared" si="360"/>
        <v>0.36727221328597393</v>
      </c>
      <c r="BG106" s="16">
        <f t="shared" si="360"/>
        <v>0.39777819869615311</v>
      </c>
      <c r="BH106" s="16">
        <f t="shared" si="360"/>
        <v>0.42716374245483918</v>
      </c>
      <c r="BI106" s="16">
        <f t="shared" si="360"/>
        <v>0.43757381332385631</v>
      </c>
      <c r="BJ106" s="16">
        <f t="shared" si="360"/>
        <v>0.40105723379131503</v>
      </c>
      <c r="BK106" s="16">
        <f t="shared" si="360"/>
        <v>0.4164217828521623</v>
      </c>
      <c r="BL106" s="16">
        <f t="shared" si="360"/>
        <v>0.43440358093253162</v>
      </c>
      <c r="BM106" s="16">
        <f t="shared" si="360"/>
        <v>0.46177943458692217</v>
      </c>
      <c r="BN106" s="16">
        <f t="shared" si="360"/>
        <v>0.47010614034407833</v>
      </c>
      <c r="BO106" s="16">
        <f t="shared" si="360"/>
        <v>0.43283867150289101</v>
      </c>
      <c r="BP106" s="16">
        <f t="shared" si="360"/>
        <v>0.4503034180500583</v>
      </c>
      <c r="BQ106" s="16">
        <f t="shared" si="360"/>
        <v>0.4633837133205847</v>
      </c>
      <c r="BR106" s="16">
        <f t="shared" si="360"/>
        <v>0.4893641096604362</v>
      </c>
      <c r="BS106" s="16">
        <f t="shared" si="360"/>
        <v>0.49654812178362923</v>
      </c>
      <c r="BT106" s="16">
        <f t="shared" si="360"/>
        <v>0.45704231063002904</v>
      </c>
      <c r="BU106" s="16">
        <f t="shared" si="360"/>
        <v>0.47712572505249268</v>
      </c>
    </row>
    <row r="108" spans="1:73">
      <c r="A108" s="1" t="s">
        <v>1942</v>
      </c>
    </row>
    <row r="109" spans="1:73">
      <c r="A109" s="1" t="s">
        <v>1939</v>
      </c>
      <c r="AB109" s="59">
        <f>'Links (Arm OLD Model)'!AB28</f>
        <v>476</v>
      </c>
      <c r="AF109" s="59">
        <f>'Links (Arm OLD Model)'!AF28</f>
        <v>41</v>
      </c>
      <c r="AG109" s="59">
        <f>'Links (Arm OLD Model)'!AG28</f>
        <v>141</v>
      </c>
      <c r="AH109" s="59">
        <f>'Links (Arm OLD Model)'!AH28</f>
        <v>-14</v>
      </c>
      <c r="AI109" s="59">
        <f>'Links (Arm OLD Model)'!AI28</f>
        <v>-60</v>
      </c>
      <c r="AJ109" s="59">
        <f>'Links (Arm OLD Model)'!AJ28</f>
        <v>-6</v>
      </c>
      <c r="AK109" s="59">
        <f>'Links (Arm OLD Model)'!AK28</f>
        <v>35</v>
      </c>
      <c r="AL109" s="59">
        <f>'Links (Arm OLD Model)'!AL28</f>
        <v>-45</v>
      </c>
      <c r="AM109" s="59">
        <f>'Links (Arm OLD Model)'!AM28</f>
        <v>-7</v>
      </c>
      <c r="AN109" s="59">
        <f>'Links (Arm OLD Model)'!AN28</f>
        <v>-5</v>
      </c>
      <c r="AO109" s="59">
        <f>'Links (Arm OLD Model)'!AO28</f>
        <v>-1</v>
      </c>
      <c r="AP109" s="59">
        <f>'Links (Arm OLD Model)'!AP28</f>
        <v>-1</v>
      </c>
      <c r="AQ109" s="59">
        <f>'Links (Arm OLD Model)'!AQ28</f>
        <v>-14</v>
      </c>
      <c r="AR109" s="59">
        <f>'Links (Arm OLD Model)'!AR28</f>
        <v>0</v>
      </c>
      <c r="AS109" s="59">
        <f>'Links (Arm OLD Model)'!AS28</f>
        <v>0</v>
      </c>
      <c r="AT109" s="59">
        <f>'Links (Arm OLD Model)'!AT28</f>
        <v>0</v>
      </c>
      <c r="AU109" s="59">
        <f>'Links (Arm OLD Model)'!AU28</f>
        <v>0</v>
      </c>
      <c r="AV109" s="59">
        <f>'Links (Arm OLD Model)'!AV28</f>
        <v>0</v>
      </c>
      <c r="AW109" s="59">
        <f>'Links (Arm OLD Model)'!AW28</f>
        <v>0</v>
      </c>
      <c r="AX109" s="59">
        <f>'Links (Arm OLD Model)'!AX28</f>
        <v>0</v>
      </c>
      <c r="AY109" s="59">
        <f>'Links (Arm OLD Model)'!AY28</f>
        <v>0</v>
      </c>
      <c r="AZ109" s="59">
        <f>'Links (Arm OLD Model)'!AZ28</f>
        <v>0</v>
      </c>
      <c r="BA109" s="59">
        <f>'Links (Arm OLD Model)'!BA28</f>
        <v>0</v>
      </c>
      <c r="BB109" s="59">
        <f>'Links (Arm OLD Model)'!BB28</f>
        <v>0</v>
      </c>
      <c r="BC109" s="59">
        <f>'Links (Arm OLD Model)'!BC28</f>
        <v>0</v>
      </c>
      <c r="BD109" s="59">
        <f>'Links (Arm OLD Model)'!BD28</f>
        <v>0</v>
      </c>
      <c r="BE109" s="59">
        <f>'Links (Arm OLD Model)'!BE28</f>
        <v>0</v>
      </c>
      <c r="BF109" s="59">
        <f>'Links (Arm OLD Model)'!BF28</f>
        <v>0</v>
      </c>
      <c r="BG109" s="59">
        <f>'Links (Arm OLD Model)'!BG28</f>
        <v>0</v>
      </c>
      <c r="BH109" s="59">
        <f>'Links (Arm OLD Model)'!BH28</f>
        <v>0</v>
      </c>
      <c r="BI109" s="59">
        <f>'Links (Arm OLD Model)'!BI28</f>
        <v>0</v>
      </c>
      <c r="BJ109" s="59">
        <f>'Links (Arm OLD Model)'!BJ28</f>
        <v>0</v>
      </c>
      <c r="BK109" s="59">
        <f>'Links (Arm OLD Model)'!BK28</f>
        <v>0</v>
      </c>
      <c r="BL109" s="59">
        <f>'Links (Arm OLD Model)'!BL28</f>
        <v>0</v>
      </c>
      <c r="BM109" s="59">
        <f>'Links (Arm OLD Model)'!BM28</f>
        <v>0</v>
      </c>
      <c r="BN109" s="59">
        <f>'Links (Arm OLD Model)'!BN28</f>
        <v>0</v>
      </c>
      <c r="BO109" s="59">
        <f>'Links (Arm OLD Model)'!BO28</f>
        <v>0</v>
      </c>
      <c r="BP109" s="59">
        <f>'Links (Arm OLD Model)'!BP28</f>
        <v>0</v>
      </c>
      <c r="BQ109" s="59">
        <f>'Links (Arm OLD Model)'!BQ28</f>
        <v>0</v>
      </c>
      <c r="BR109" s="59">
        <f>'Links (Arm OLD Model)'!BR28</f>
        <v>0</v>
      </c>
      <c r="BS109" s="59">
        <f>'Links (Arm OLD Model)'!BS28</f>
        <v>0</v>
      </c>
      <c r="BT109" s="59">
        <f>'Links (Arm OLD Model)'!BT28</f>
        <v>0</v>
      </c>
      <c r="BU109" s="59">
        <f>'Links (Arm OLD Model)'!BU28</f>
        <v>0</v>
      </c>
    </row>
    <row r="110" spans="1:73">
      <c r="A110" s="1" t="s">
        <v>1940</v>
      </c>
      <c r="AB110" s="59">
        <f>'Links (Arm OLD Model)'!AB29</f>
        <v>-20</v>
      </c>
      <c r="AF110" s="59">
        <f>'Links (Arm OLD Model)'!AF29</f>
        <v>0</v>
      </c>
      <c r="AG110" s="59">
        <f>'Links (Arm OLD Model)'!AG29</f>
        <v>10</v>
      </c>
      <c r="AH110" s="59">
        <f>'Links (Arm OLD Model)'!AH29</f>
        <v>4</v>
      </c>
      <c r="AI110" s="59">
        <f>'Links (Arm OLD Model)'!AI29</f>
        <v>23</v>
      </c>
      <c r="AJ110" s="59">
        <f>'Links (Arm OLD Model)'!AJ29</f>
        <v>-23</v>
      </c>
      <c r="AK110" s="59">
        <f>'Links (Arm OLD Model)'!AK29</f>
        <v>-1</v>
      </c>
      <c r="AL110" s="59">
        <f>'Links (Arm OLD Model)'!AL29</f>
        <v>3</v>
      </c>
      <c r="AM110" s="59">
        <f>'Links (Arm OLD Model)'!AM29</f>
        <v>24</v>
      </c>
      <c r="AN110" s="59">
        <f>'Links (Arm OLD Model)'!AN29</f>
        <v>14</v>
      </c>
      <c r="AO110" s="59">
        <f>'Links (Arm OLD Model)'!AO29</f>
        <v>-15</v>
      </c>
      <c r="AP110" s="59">
        <f>'Links (Arm OLD Model)'!AP29</f>
        <v>10</v>
      </c>
      <c r="AQ110" s="59">
        <f>'Links (Arm OLD Model)'!AQ29</f>
        <v>33</v>
      </c>
      <c r="AR110" s="59">
        <f>'Links (Arm OLD Model)'!AR29</f>
        <v>0</v>
      </c>
      <c r="AS110" s="59">
        <f>'Links (Arm OLD Model)'!AS29</f>
        <v>0</v>
      </c>
      <c r="AT110" s="59">
        <f>'Links (Arm OLD Model)'!AT29</f>
        <v>0</v>
      </c>
      <c r="AU110" s="59">
        <f>'Links (Arm OLD Model)'!AU29</f>
        <v>0</v>
      </c>
      <c r="AV110" s="59">
        <f>'Links (Arm OLD Model)'!AV29</f>
        <v>0</v>
      </c>
      <c r="AW110" s="59">
        <f>'Links (Arm OLD Model)'!AW29</f>
        <v>0</v>
      </c>
      <c r="AX110" s="59">
        <f>'Links (Arm OLD Model)'!AX29</f>
        <v>0</v>
      </c>
      <c r="AY110" s="59">
        <f>'Links (Arm OLD Model)'!AY29</f>
        <v>0</v>
      </c>
      <c r="AZ110" s="59">
        <f>'Links (Arm OLD Model)'!AZ29</f>
        <v>0</v>
      </c>
      <c r="BA110" s="59">
        <f>'Links (Arm OLD Model)'!BA29</f>
        <v>0</v>
      </c>
      <c r="BB110" s="59">
        <f>'Links (Arm OLD Model)'!BB29</f>
        <v>0</v>
      </c>
      <c r="BC110" s="59">
        <f>'Links (Arm OLD Model)'!BC29</f>
        <v>0</v>
      </c>
      <c r="BD110" s="59">
        <f>'Links (Arm OLD Model)'!BD29</f>
        <v>0</v>
      </c>
      <c r="BE110" s="59">
        <f>'Links (Arm OLD Model)'!BE29</f>
        <v>0</v>
      </c>
      <c r="BF110" s="59">
        <f>'Links (Arm OLD Model)'!BF29</f>
        <v>0</v>
      </c>
      <c r="BG110" s="59">
        <f>'Links (Arm OLD Model)'!BG29</f>
        <v>0</v>
      </c>
      <c r="BH110" s="59">
        <f>'Links (Arm OLD Model)'!BH29</f>
        <v>0</v>
      </c>
      <c r="BI110" s="59">
        <f>'Links (Arm OLD Model)'!BI29</f>
        <v>0</v>
      </c>
      <c r="BJ110" s="59">
        <f>'Links (Arm OLD Model)'!BJ29</f>
        <v>0</v>
      </c>
      <c r="BK110" s="59">
        <f>'Links (Arm OLD Model)'!BK29</f>
        <v>0</v>
      </c>
      <c r="BL110" s="59">
        <f>'Links (Arm OLD Model)'!BL29</f>
        <v>0</v>
      </c>
      <c r="BM110" s="59">
        <f>'Links (Arm OLD Model)'!BM29</f>
        <v>0</v>
      </c>
      <c r="BN110" s="59">
        <f>'Links (Arm OLD Model)'!BN29</f>
        <v>0</v>
      </c>
      <c r="BO110" s="59">
        <f>'Links (Arm OLD Model)'!BO29</f>
        <v>0</v>
      </c>
      <c r="BP110" s="59">
        <f>'Links (Arm OLD Model)'!BP29</f>
        <v>0</v>
      </c>
      <c r="BQ110" s="59">
        <f>'Links (Arm OLD Model)'!BQ29</f>
        <v>0</v>
      </c>
      <c r="BR110" s="59">
        <f>'Links (Arm OLD Model)'!BR29</f>
        <v>0</v>
      </c>
      <c r="BS110" s="59">
        <f>'Links (Arm OLD Model)'!BS29</f>
        <v>0</v>
      </c>
      <c r="BT110" s="59">
        <f>'Links (Arm OLD Model)'!BT29</f>
        <v>0</v>
      </c>
      <c r="BU110" s="59">
        <f>'Links (Arm OLD Model)'!BU29</f>
        <v>0</v>
      </c>
    </row>
    <row r="111" spans="1:73">
      <c r="A111" s="436" t="s">
        <v>1941</v>
      </c>
      <c r="AB111" s="59">
        <f>'Links (Arm OLD Model)'!AB30</f>
        <v>2</v>
      </c>
      <c r="AF111" s="59">
        <f>'Links (Arm OLD Model)'!AF30</f>
        <v>2</v>
      </c>
      <c r="AG111" s="59">
        <f>'Links (Arm OLD Model)'!AG30</f>
        <v>2</v>
      </c>
      <c r="AH111" s="59">
        <f>'Links (Arm OLD Model)'!AH30</f>
        <v>2</v>
      </c>
      <c r="AI111" s="59">
        <f>'Links (Arm OLD Model)'!AI30</f>
        <v>6</v>
      </c>
      <c r="AJ111" s="59">
        <f>'Links (Arm OLD Model)'!AJ30</f>
        <v>13</v>
      </c>
      <c r="AK111" s="59">
        <f>'Links (Arm OLD Model)'!AK30</f>
        <v>21</v>
      </c>
      <c r="AL111" s="59">
        <f>'Links (Arm OLD Model)'!AL30</f>
        <v>42</v>
      </c>
      <c r="AM111" s="59">
        <f>'Links (Arm OLD Model)'!AM30</f>
        <v>-1</v>
      </c>
      <c r="AN111" s="59">
        <f>'Links (Arm OLD Model)'!AN30</f>
        <v>28</v>
      </c>
      <c r="AO111" s="59">
        <f>'Links (Arm OLD Model)'!AO30</f>
        <v>28</v>
      </c>
      <c r="AP111" s="59">
        <f>'Links (Arm OLD Model)'!AP30</f>
        <v>25</v>
      </c>
      <c r="AQ111" s="59">
        <f>'Links (Arm OLD Model)'!AQ30</f>
        <v>80</v>
      </c>
      <c r="AR111" s="59">
        <f>'Links (Arm OLD Model)'!AR30</f>
        <v>25</v>
      </c>
      <c r="AS111" s="59">
        <f>'Links (Arm OLD Model)'!AS30</f>
        <v>25</v>
      </c>
      <c r="AT111" s="59">
        <f>'Links (Arm OLD Model)'!AT30</f>
        <v>25</v>
      </c>
      <c r="AU111" s="59">
        <f>'Links (Arm OLD Model)'!AU30</f>
        <v>25</v>
      </c>
      <c r="AV111" s="59">
        <f>'Links (Arm OLD Model)'!AV30</f>
        <v>100</v>
      </c>
      <c r="AW111" s="59">
        <f>'Links (Arm OLD Model)'!AW30</f>
        <v>30</v>
      </c>
      <c r="AX111" s="59">
        <f>'Links (Arm OLD Model)'!AX30</f>
        <v>30</v>
      </c>
      <c r="AY111" s="59">
        <f>'Links (Arm OLD Model)'!AY30</f>
        <v>30</v>
      </c>
      <c r="AZ111" s="59">
        <f>'Links (Arm OLD Model)'!AZ30</f>
        <v>30</v>
      </c>
      <c r="BA111" s="59">
        <f>'Links (Arm OLD Model)'!BA30</f>
        <v>120</v>
      </c>
      <c r="BB111" s="59">
        <f>'Links (Arm OLD Model)'!BB30</f>
        <v>30</v>
      </c>
      <c r="BC111" s="59">
        <f>'Links (Arm OLD Model)'!BC30</f>
        <v>30</v>
      </c>
      <c r="BD111" s="59">
        <f>'Links (Arm OLD Model)'!BD30</f>
        <v>30</v>
      </c>
      <c r="BE111" s="59">
        <f>'Links (Arm OLD Model)'!BE30</f>
        <v>30</v>
      </c>
      <c r="BF111" s="59">
        <f>'Links (Arm OLD Model)'!BF30</f>
        <v>120</v>
      </c>
      <c r="BG111" s="59">
        <f>'Links (Arm OLD Model)'!BG30</f>
        <v>30</v>
      </c>
      <c r="BH111" s="59">
        <f>'Links (Arm OLD Model)'!BH30</f>
        <v>30</v>
      </c>
      <c r="BI111" s="59">
        <f>'Links (Arm OLD Model)'!BI30</f>
        <v>30</v>
      </c>
      <c r="BJ111" s="59">
        <f>'Links (Arm OLD Model)'!BJ30</f>
        <v>30</v>
      </c>
      <c r="BK111" s="59">
        <f>'Links (Arm OLD Model)'!BK30</f>
        <v>120</v>
      </c>
      <c r="BL111" s="59">
        <f>'Links (Arm OLD Model)'!BL30</f>
        <v>30</v>
      </c>
      <c r="BM111" s="59">
        <f>'Links (Arm OLD Model)'!BM30</f>
        <v>30</v>
      </c>
      <c r="BN111" s="59">
        <f>'Links (Arm OLD Model)'!BN30</f>
        <v>30</v>
      </c>
      <c r="BO111" s="59">
        <f>'Links (Arm OLD Model)'!BO30</f>
        <v>30</v>
      </c>
      <c r="BP111" s="59">
        <f>'Links (Arm OLD Model)'!BP30</f>
        <v>120</v>
      </c>
      <c r="BQ111" s="59">
        <f>'Links (Arm OLD Model)'!BQ30</f>
        <v>30</v>
      </c>
      <c r="BR111" s="59">
        <f>'Links (Arm OLD Model)'!BR30</f>
        <v>30</v>
      </c>
      <c r="BS111" s="59">
        <f>'Links (Arm OLD Model)'!BS30</f>
        <v>30</v>
      </c>
      <c r="BT111" s="59">
        <f>'Links (Arm OLD Model)'!BT30</f>
        <v>30</v>
      </c>
      <c r="BU111" s="59">
        <f>'Links (Arm OLD Model)'!BU30</f>
        <v>120</v>
      </c>
    </row>
    <row r="113" spans="1:73" s="79" customFormat="1">
      <c r="A113" s="314" t="s">
        <v>2017</v>
      </c>
      <c r="B113" s="314"/>
      <c r="C113" s="314"/>
      <c r="D113" s="314"/>
      <c r="E113" s="314"/>
      <c r="F113" s="314"/>
      <c r="G113" s="314"/>
      <c r="H113" s="314"/>
      <c r="I113" s="314"/>
      <c r="J113" s="314"/>
      <c r="K113" s="314"/>
      <c r="L113" s="314"/>
      <c r="M113" s="314"/>
      <c r="N113" s="314"/>
      <c r="O113" s="314"/>
      <c r="P113" s="314"/>
      <c r="Q113" s="314"/>
      <c r="R113" s="314"/>
      <c r="S113" s="314"/>
      <c r="T113" s="314"/>
      <c r="U113" s="314"/>
      <c r="V113" s="314"/>
      <c r="W113" s="314"/>
      <c r="X113" s="81"/>
      <c r="Y113" s="81"/>
      <c r="Z113" s="81"/>
      <c r="AA113" s="81"/>
      <c r="AB113" s="81">
        <f>AB105+SUM(AB109:AB111)</f>
        <v>697</v>
      </c>
      <c r="AC113" s="81"/>
      <c r="AD113" s="81"/>
      <c r="AE113" s="81"/>
      <c r="AF113" s="81">
        <f>AF105+SUM(AF109:AF111)</f>
        <v>-41</v>
      </c>
      <c r="AG113" s="81">
        <f>AG105+SUM(AG109:AG111)</f>
        <v>786</v>
      </c>
      <c r="AH113" s="81">
        <f t="shared" ref="AH113:BU113" si="361">AH105+SUM(AH109:AH111)</f>
        <v>286</v>
      </c>
      <c r="AI113" s="81">
        <f t="shared" si="361"/>
        <v>152</v>
      </c>
      <c r="AJ113" s="81">
        <f t="shared" si="361"/>
        <v>228</v>
      </c>
      <c r="AK113" s="81">
        <f t="shared" si="361"/>
        <v>5</v>
      </c>
      <c r="AL113" s="81">
        <f t="shared" si="361"/>
        <v>671</v>
      </c>
      <c r="AM113" s="81">
        <f t="shared" si="361"/>
        <v>127</v>
      </c>
      <c r="AN113" s="81">
        <f t="shared" si="361"/>
        <v>-119</v>
      </c>
      <c r="AO113" s="81">
        <f t="shared" si="361"/>
        <v>146</v>
      </c>
      <c r="AP113" s="81">
        <f t="shared" si="361"/>
        <v>179.41462824999996</v>
      </c>
      <c r="AQ113" s="81">
        <f t="shared" si="361"/>
        <v>333.41462825000008</v>
      </c>
      <c r="AR113" s="81">
        <f t="shared" si="361"/>
        <v>222.64479537500006</v>
      </c>
      <c r="AS113" s="81">
        <f t="shared" si="361"/>
        <v>266.45415019999996</v>
      </c>
      <c r="AT113" s="81">
        <f t="shared" si="361"/>
        <v>336.32242200499991</v>
      </c>
      <c r="AU113" s="81">
        <f t="shared" si="361"/>
        <v>306.78818214705018</v>
      </c>
      <c r="AV113" s="81">
        <f t="shared" si="361"/>
        <v>1132.2095497270502</v>
      </c>
      <c r="AW113" s="81">
        <f t="shared" si="361"/>
        <v>374.04679730639555</v>
      </c>
      <c r="AX113" s="81">
        <f t="shared" si="361"/>
        <v>428.81674276865783</v>
      </c>
      <c r="AY113" s="81">
        <f t="shared" si="361"/>
        <v>466.03081495427989</v>
      </c>
      <c r="AZ113" s="81">
        <f t="shared" si="361"/>
        <v>405.30693637975287</v>
      </c>
      <c r="BA113" s="81">
        <f t="shared" si="361"/>
        <v>1674.2012914090856</v>
      </c>
      <c r="BB113" s="81">
        <f t="shared" si="361"/>
        <v>460.65427313759142</v>
      </c>
      <c r="BC113" s="81">
        <f t="shared" si="361"/>
        <v>530.82915159802417</v>
      </c>
      <c r="BD113" s="81">
        <f t="shared" si="361"/>
        <v>594.60725693397899</v>
      </c>
      <c r="BE113" s="81">
        <f t="shared" si="361"/>
        <v>530.10608379924145</v>
      </c>
      <c r="BF113" s="81">
        <f t="shared" si="361"/>
        <v>2116.1967654688356</v>
      </c>
      <c r="BG113" s="81">
        <f t="shared" si="361"/>
        <v>614.30870080769773</v>
      </c>
      <c r="BH113" s="81">
        <f t="shared" si="361"/>
        <v>695.84448163166019</v>
      </c>
      <c r="BI113" s="81">
        <f t="shared" si="361"/>
        <v>732.34473978736219</v>
      </c>
      <c r="BJ113" s="81">
        <f t="shared" si="361"/>
        <v>638.42547621155484</v>
      </c>
      <c r="BK113" s="81">
        <f t="shared" si="361"/>
        <v>2680.9233984382745</v>
      </c>
      <c r="BL113" s="81">
        <f t="shared" si="361"/>
        <v>733.28502323702787</v>
      </c>
      <c r="BM113" s="81">
        <f t="shared" si="361"/>
        <v>824.89178775961523</v>
      </c>
      <c r="BN113" s="81">
        <f t="shared" si="361"/>
        <v>860.9313658516196</v>
      </c>
      <c r="BO113" s="81">
        <f t="shared" si="361"/>
        <v>749.10071620220117</v>
      </c>
      <c r="BP113" s="81">
        <f t="shared" si="361"/>
        <v>3168.2088930504633</v>
      </c>
      <c r="BQ113" s="81">
        <f t="shared" si="361"/>
        <v>851.51628282174318</v>
      </c>
      <c r="BR113" s="81">
        <f t="shared" si="361"/>
        <v>950.40964939891808</v>
      </c>
      <c r="BS113" s="81">
        <f t="shared" si="361"/>
        <v>983.18958985391532</v>
      </c>
      <c r="BT113" s="81">
        <f t="shared" si="361"/>
        <v>847.88082607162983</v>
      </c>
      <c r="BU113" s="81">
        <f t="shared" si="361"/>
        <v>3632.9963481462073</v>
      </c>
    </row>
    <row r="114" spans="1:73">
      <c r="A114" s="1" t="s">
        <v>2019</v>
      </c>
      <c r="AB114" s="16">
        <f>AB113/AB$62</f>
        <v>0.34385791810557476</v>
      </c>
      <c r="AF114" s="16">
        <f>AF113/AF$62</f>
        <v>-6.2404870624048703E-2</v>
      </c>
      <c r="AG114" s="16">
        <f>AG113/AG$62</f>
        <v>0.29078801331853499</v>
      </c>
      <c r="AH114" s="16">
        <f t="shared" ref="AH114:AL114" si="362">AH113/AH$62</f>
        <v>0.41329479768786126</v>
      </c>
      <c r="AI114" s="16">
        <f t="shared" si="362"/>
        <v>0.24126984126984127</v>
      </c>
      <c r="AJ114" s="16">
        <f t="shared" si="362"/>
        <v>0.31491712707182318</v>
      </c>
      <c r="AK114" s="16">
        <f t="shared" si="362"/>
        <v>7.8988941548183249E-3</v>
      </c>
      <c r="AL114" s="16">
        <f t="shared" si="362"/>
        <v>0.25046659201194477</v>
      </c>
      <c r="AM114" s="16">
        <f t="shared" ref="AM114" si="363">AM113/AM$62</f>
        <v>0.18814814814814815</v>
      </c>
      <c r="AN114" s="16">
        <f t="shared" ref="AN114" si="364">AN113/AN$62</f>
        <v>-0.14764267990074442</v>
      </c>
      <c r="AO114" s="16">
        <f t="shared" ref="AO114" si="365">AO113/AO$62</f>
        <v>0.17718446601941748</v>
      </c>
      <c r="AP114" s="16">
        <f t="shared" ref="AP114" si="366">AP113/AP$62</f>
        <v>0.20764302829840137</v>
      </c>
      <c r="AQ114" s="16">
        <f t="shared" ref="AQ114" si="367">AQ113/AQ$62</f>
        <v>0.10520953880476402</v>
      </c>
      <c r="AR114" s="16">
        <f t="shared" ref="AR114" si="368">AR113/AR$62</f>
        <v>0.24291489233069408</v>
      </c>
      <c r="AS114" s="16">
        <f t="shared" ref="AS114" si="369">AS113/AS$62</f>
        <v>0.27323265341146441</v>
      </c>
      <c r="AT114" s="16">
        <f t="shared" ref="AT114" si="370">AT113/AT$62</f>
        <v>0.31923872841859702</v>
      </c>
      <c r="AU114" s="16">
        <f t="shared" ref="AU114" si="371">AU113/AU$62</f>
        <v>0.29598325093995143</v>
      </c>
      <c r="AV114" s="16">
        <f t="shared" ref="AV114" si="372">AV113/AV$62</f>
        <v>0.28434864335507509</v>
      </c>
      <c r="AW114" s="16">
        <f t="shared" ref="AW114" si="373">AW113/AW$62</f>
        <v>0.33387665502444036</v>
      </c>
      <c r="AX114" s="16">
        <f t="shared" ref="AX114" si="374">AX113/AX$62</f>
        <v>0.35858371694489072</v>
      </c>
      <c r="AY114" s="16">
        <f t="shared" ref="AY114" si="375">AY113/AY$62</f>
        <v>0.37169827301594943</v>
      </c>
      <c r="AZ114" s="16">
        <f t="shared" ref="AZ114" si="376">AZ113/AZ$62</f>
        <v>0.33575310136601549</v>
      </c>
      <c r="BA114" s="16">
        <f t="shared" ref="BA114" si="377">BA113/BA$62</f>
        <v>0.35046230953137936</v>
      </c>
      <c r="BB114" s="16">
        <f t="shared" ref="BB114" si="378">BB113/BB$62</f>
        <v>0.36283644812635579</v>
      </c>
      <c r="BC114" s="16">
        <f t="shared" ref="BC114" si="379">BC113/BC$62</f>
        <v>0.39197250688346341</v>
      </c>
      <c r="BD114" s="16">
        <f t="shared" ref="BD114" si="380">BD113/BD$62</f>
        <v>0.41507184838363403</v>
      </c>
      <c r="BE114" s="16">
        <f t="shared" ref="BE114" si="381">BE113/BE$62</f>
        <v>0.38446547711040979</v>
      </c>
      <c r="BF114" s="16">
        <f t="shared" ref="BF114" si="382">BF113/BF$62</f>
        <v>0.38935053059251745</v>
      </c>
      <c r="BG114" s="16">
        <f t="shared" ref="BG114" si="383">BG113/BG$62</f>
        <v>0.41820121472242305</v>
      </c>
      <c r="BH114" s="16">
        <f t="shared" ref="BH114" si="384">BH113/BH$62</f>
        <v>0.44640984665358852</v>
      </c>
      <c r="BI114" s="16">
        <f t="shared" ref="BI114" si="385">BI113/BI$62</f>
        <v>0.45626437033392231</v>
      </c>
      <c r="BJ114" s="16">
        <f t="shared" ref="BJ114" si="386">BJ113/BJ$62</f>
        <v>0.42083240344505241</v>
      </c>
      <c r="BK114" s="16">
        <f t="shared" ref="BK114" si="387">BK113/BK$62</f>
        <v>0.43593451563157032</v>
      </c>
      <c r="BL114" s="16">
        <f t="shared" ref="BL114" si="388">BL113/BL$62</f>
        <v>0.45293391642580394</v>
      </c>
      <c r="BM114" s="16">
        <f t="shared" ref="BM114" si="389">BM113/BM$62</f>
        <v>0.47920744585956737</v>
      </c>
      <c r="BN114" s="16">
        <f t="shared" ref="BN114" si="390">BN113/BN$62</f>
        <v>0.48707888296749347</v>
      </c>
      <c r="BO114" s="16">
        <f t="shared" ref="BO114" si="391">BO113/BO$62</f>
        <v>0.45089617005979066</v>
      </c>
      <c r="BP114" s="16">
        <f t="shared" ref="BP114" si="392">BP113/BP$62</f>
        <v>0.4680306841469466</v>
      </c>
      <c r="BQ114" s="16">
        <f t="shared" ref="BQ114" si="393">BQ113/BQ$62</f>
        <v>0.48030548552437918</v>
      </c>
      <c r="BR114" s="16">
        <f t="shared" ref="BR114" si="394">BR113/BR$62</f>
        <v>0.50531453271325899</v>
      </c>
      <c r="BS114" s="16">
        <f t="shared" ref="BS114" si="395">BS113/BS$62</f>
        <v>0.51217611836696575</v>
      </c>
      <c r="BT114" s="16">
        <f t="shared" ref="BT114" si="396">BT113/BT$62</f>
        <v>0.4738066959558932</v>
      </c>
      <c r="BU114" s="16">
        <f t="shared" ref="BU114" si="397">BU113/BU$62</f>
        <v>0.49342380262849478</v>
      </c>
    </row>
    <row r="115" spans="1:73" s="26" customFormat="1">
      <c r="A115" s="26" t="s">
        <v>706</v>
      </c>
      <c r="AB115" s="61">
        <f>AB113-'Links (Arm OLD Model)'!AB35</f>
        <v>0</v>
      </c>
      <c r="AF115" s="61">
        <f>AF113-'Links (Arm OLD Model)'!AF35</f>
        <v>0</v>
      </c>
      <c r="AG115" s="61">
        <f>AG113-'Links (Arm OLD Model)'!AG35</f>
        <v>0</v>
      </c>
      <c r="AH115" s="61">
        <f>AH113-'Links (Arm OLD Model)'!AH35</f>
        <v>0</v>
      </c>
      <c r="AI115" s="61">
        <f>AI113-'Links (Arm OLD Model)'!AI35</f>
        <v>0</v>
      </c>
      <c r="AJ115" s="61">
        <f>AJ113-'Links (Arm OLD Model)'!AJ35</f>
        <v>0</v>
      </c>
      <c r="AK115" s="61">
        <f>AK113-'Links (Arm OLD Model)'!AK35</f>
        <v>0</v>
      </c>
      <c r="AL115" s="61">
        <f>AL113-'Links (Arm OLD Model)'!AL35</f>
        <v>0</v>
      </c>
      <c r="AM115" s="61">
        <f>AM113-'Links (Arm OLD Model)'!AM35</f>
        <v>0</v>
      </c>
      <c r="AN115" s="61">
        <f>AN113-'Links (Arm OLD Model)'!AN35</f>
        <v>0</v>
      </c>
      <c r="AO115" s="61">
        <f>AO113-'Links (Arm OLD Model)'!AO35</f>
        <v>0</v>
      </c>
      <c r="AP115" s="61">
        <f>AP113-'Links (Arm OLD Model)'!AP35</f>
        <v>0</v>
      </c>
      <c r="AQ115" s="61">
        <f>AQ113-'Links (Arm OLD Model)'!AQ35</f>
        <v>0</v>
      </c>
      <c r="AR115" s="61">
        <f>AR113-'Links (Arm OLD Model)'!AR35</f>
        <v>0</v>
      </c>
      <c r="AS115" s="61">
        <f>AS113-'Links (Arm OLD Model)'!AS35</f>
        <v>0</v>
      </c>
      <c r="AT115" s="61">
        <f>AT113-'Links (Arm OLD Model)'!AT35</f>
        <v>0</v>
      </c>
      <c r="AU115" s="61">
        <f>AU113-'Links (Arm OLD Model)'!AU35</f>
        <v>0</v>
      </c>
      <c r="AV115" s="61">
        <f>AV113-'Links (Arm OLD Model)'!AV35</f>
        <v>0</v>
      </c>
      <c r="AW115" s="61">
        <f>AW113-'Links (Arm OLD Model)'!AW35</f>
        <v>0</v>
      </c>
      <c r="AX115" s="61">
        <f>AX113-'Links (Arm OLD Model)'!AX35</f>
        <v>0</v>
      </c>
      <c r="AY115" s="61">
        <f>AY113-'Links (Arm OLD Model)'!AY35</f>
        <v>0</v>
      </c>
      <c r="AZ115" s="61">
        <f>AZ113-'Links (Arm OLD Model)'!AZ35</f>
        <v>0</v>
      </c>
      <c r="BA115" s="61">
        <f>BA113-'Links (Arm OLD Model)'!BA35</f>
        <v>0</v>
      </c>
      <c r="BB115" s="61">
        <f>BB113-'Links (Arm OLD Model)'!BB35</f>
        <v>0</v>
      </c>
      <c r="BC115" s="61">
        <f>BC113-'Links (Arm OLD Model)'!BC35</f>
        <v>0</v>
      </c>
      <c r="BD115" s="61">
        <f>BD113-'Links (Arm OLD Model)'!BD35</f>
        <v>0</v>
      </c>
      <c r="BE115" s="61">
        <f>BE113-'Links (Arm OLD Model)'!BE35</f>
        <v>0</v>
      </c>
      <c r="BF115" s="61">
        <f>BF113-'Links (Arm OLD Model)'!BF35</f>
        <v>0</v>
      </c>
      <c r="BG115" s="61">
        <f>BG113-'Links (Arm OLD Model)'!BG35</f>
        <v>0</v>
      </c>
      <c r="BH115" s="61">
        <f>BH113-'Links (Arm OLD Model)'!BH35</f>
        <v>0</v>
      </c>
      <c r="BI115" s="61">
        <f>BI113-'Links (Arm OLD Model)'!BI35</f>
        <v>0</v>
      </c>
      <c r="BJ115" s="61">
        <f>BJ113-'Links (Arm OLD Model)'!BJ35</f>
        <v>0</v>
      </c>
      <c r="BK115" s="61">
        <f>BK113-'Links (Arm OLD Model)'!BK35</f>
        <v>0</v>
      </c>
      <c r="BL115" s="61">
        <f>BL113-'Links (Arm OLD Model)'!BL35</f>
        <v>0</v>
      </c>
      <c r="BM115" s="61">
        <f>BM113-'Links (Arm OLD Model)'!BM35</f>
        <v>0</v>
      </c>
      <c r="BN115" s="61">
        <f>BN113-'Links (Arm OLD Model)'!BN35</f>
        <v>0</v>
      </c>
      <c r="BO115" s="61">
        <f>BO113-'Links (Arm OLD Model)'!BO35</f>
        <v>0</v>
      </c>
      <c r="BP115" s="61">
        <f>BP113-'Links (Arm OLD Model)'!BP35</f>
        <v>0</v>
      </c>
      <c r="BQ115" s="61">
        <f>BQ113-'Links (Arm OLD Model)'!BQ35</f>
        <v>0</v>
      </c>
      <c r="BR115" s="61">
        <f>BR113-'Links (Arm OLD Model)'!BR35</f>
        <v>0</v>
      </c>
      <c r="BS115" s="61">
        <f>BS113-'Links (Arm OLD Model)'!BS35</f>
        <v>0</v>
      </c>
      <c r="BT115" s="61">
        <f>BT113-'Links (Arm OLD Model)'!BT35</f>
        <v>0</v>
      </c>
      <c r="BU115" s="61">
        <f>BU113-'Links (Arm OLD Model)'!BU35</f>
        <v>0</v>
      </c>
    </row>
    <row r="117" spans="1:73">
      <c r="A117" s="1" t="s">
        <v>2020</v>
      </c>
      <c r="AB117" s="36">
        <f>'Links (Arm OLD Model)'!AB39</f>
        <v>-153</v>
      </c>
      <c r="AF117" s="36">
        <f>'Links (Arm OLD Model)'!AF39</f>
        <v>12</v>
      </c>
      <c r="AG117" s="36">
        <f>'Links (Arm OLD Model)'!AG39</f>
        <v>-110</v>
      </c>
      <c r="AH117" s="36">
        <f>'Links (Arm OLD Model)'!AH39</f>
        <v>-61</v>
      </c>
      <c r="AI117" s="36">
        <f>'Links (Arm OLD Model)'!AI39</f>
        <v>-38</v>
      </c>
      <c r="AJ117" s="36">
        <f>'Links (Arm OLD Model)'!AJ39</f>
        <v>-46</v>
      </c>
      <c r="AK117" s="36">
        <f>'Links (Arm OLD Model)'!AK39</f>
        <v>-2</v>
      </c>
      <c r="AL117" s="36">
        <f>'Links (Arm OLD Model)'!AL39</f>
        <v>-147</v>
      </c>
      <c r="AM117" s="36">
        <f>'Links (Arm OLD Model)'!AM39</f>
        <v>-22</v>
      </c>
      <c r="AN117" s="36">
        <f>'Links (Arm OLD Model)'!AN39</f>
        <v>9</v>
      </c>
      <c r="AO117" s="36">
        <f>'Links (Arm OLD Model)'!AO39</f>
        <v>-59</v>
      </c>
      <c r="AP117" s="36">
        <f>'Links (Arm OLD Model)'!AP39</f>
        <v>-56.872030499999987</v>
      </c>
      <c r="AQ117" s="36">
        <f>'Links (Arm OLD Model)'!AQ39</f>
        <v>-128.87203049999999</v>
      </c>
      <c r="AR117" s="36">
        <f>'Links (Arm OLD Model)'!AR39</f>
        <v>-60.893361431250007</v>
      </c>
      <c r="AS117" s="36">
        <f>'Links (Arm OLD Model)'!AS39</f>
        <v>-69.223866329999993</v>
      </c>
      <c r="AT117" s="36">
        <f>'Links (Arm OLD Model)'!AT39</f>
        <v>-81.263643427874982</v>
      </c>
      <c r="AU117" s="36">
        <f>'Links (Arm OLD Model)'!AU39</f>
        <v>-77.11338367020754</v>
      </c>
      <c r="AV117" s="36">
        <f>'Links (Arm OLD Model)'!AV39</f>
        <v>-288.49425485933256</v>
      </c>
      <c r="AW117" s="36">
        <f>'Links (Arm OLD Model)'!AW39</f>
        <v>-85.253460248459319</v>
      </c>
      <c r="AX117" s="36">
        <f>'Links (Arm OLD Model)'!AX39</f>
        <v>-95.041042405298654</v>
      </c>
      <c r="AY117" s="36">
        <f>'Links (Arm OLD Model)'!AY39</f>
        <v>-102.26066637662322</v>
      </c>
      <c r="AZ117" s="36">
        <f>'Links (Arm OLD Model)'!AZ39</f>
        <v>-93.445954622520446</v>
      </c>
      <c r="BA117" s="36">
        <f>'Links (Arm OLD Model)'!BA39</f>
        <v>-376.00112365290164</v>
      </c>
      <c r="BB117" s="36">
        <f>'Links (Arm OLD Model)'!BB39</f>
        <v>-99.99336806228871</v>
      </c>
      <c r="BC117" s="36">
        <f>'Links (Arm OLD Model)'!BC39</f>
        <v>-111.87883027920363</v>
      </c>
      <c r="BD117" s="36">
        <f>'Links (Arm OLD Model)'!BD39</f>
        <v>-123.16493488025216</v>
      </c>
      <c r="BE117" s="36">
        <f>'Links (Arm OLD Model)'!BE39</f>
        <v>-113.79832244372159</v>
      </c>
      <c r="BF117" s="36">
        <f>'Links (Arm OLD Model)'!BF39</f>
        <v>-448.8354556654661</v>
      </c>
      <c r="BG117" s="36">
        <f>'Links (Arm OLD Model)'!BG39</f>
        <v>-124.89524583830365</v>
      </c>
      <c r="BH117" s="36">
        <f>'Links (Arm OLD Model)'!BH39</f>
        <v>-138.24385266122403</v>
      </c>
      <c r="BI117" s="36">
        <f>'Links (Arm OLD Model)'!BI39</f>
        <v>-145.5242496252674</v>
      </c>
      <c r="BJ117" s="36">
        <f>'Links (Arm OLD Model)'!BJ39</f>
        <v>-131.76035179926038</v>
      </c>
      <c r="BK117" s="36">
        <f>'Links (Arm OLD Model)'!BK39</f>
        <v>-540.42369992405543</v>
      </c>
      <c r="BL117" s="36">
        <f>'Links (Arm OLD Model)'!BL39</f>
        <v>-144.7066306457321</v>
      </c>
      <c r="BM117" s="36">
        <f>'Links (Arm OLD Model)'!BM39</f>
        <v>-159.29430760124103</v>
      </c>
      <c r="BN117" s="36">
        <f>'Links (Arm OLD Model)'!BN39</f>
        <v>-166.59587046776417</v>
      </c>
      <c r="BO117" s="36">
        <f>'Links (Arm OLD Model)'!BO39</f>
        <v>-150.16146431623369</v>
      </c>
      <c r="BP117" s="36">
        <f>'Links (Arm OLD Model)'!BP39</f>
        <v>-620.75827303097105</v>
      </c>
      <c r="BQ117" s="36">
        <f>'Links (Arm OLD Model)'!BQ39</f>
        <v>-164.52415221305012</v>
      </c>
      <c r="BR117" s="36">
        <f>'Links (Arm OLD Model)'!BR39</f>
        <v>-179.90001381900137</v>
      </c>
      <c r="BS117" s="36">
        <f>'Links (Arm OLD Model)'!BS39</f>
        <v>-186.80741234760961</v>
      </c>
      <c r="BT117" s="36">
        <f>'Links (Arm OLD Model)'!BT39</f>
        <v>-166.86829864094315</v>
      </c>
      <c r="BU117" s="36">
        <f>'Links (Arm OLD Model)'!BU39</f>
        <v>-698.09987702060437</v>
      </c>
    </row>
    <row r="118" spans="1:73">
      <c r="A118" s="1" t="s">
        <v>1502</v>
      </c>
      <c r="AB118" s="16">
        <f>-AB117/(AB113-AB109)</f>
        <v>0.69230769230769229</v>
      </c>
      <c r="AF118" s="16">
        <f t="shared" ref="AF118:AV118" si="398">-AF117/(AF113-AF109)</f>
        <v>0.14634146341463414</v>
      </c>
      <c r="AG118" s="16">
        <f t="shared" si="398"/>
        <v>0.17054263565891473</v>
      </c>
      <c r="AH118" s="16">
        <f t="shared" si="398"/>
        <v>0.20333333333333334</v>
      </c>
      <c r="AI118" s="16">
        <f t="shared" si="398"/>
        <v>0.17924528301886791</v>
      </c>
      <c r="AJ118" s="16">
        <f t="shared" si="398"/>
        <v>0.19658119658119658</v>
      </c>
      <c r="AK118" s="16">
        <f t="shared" si="398"/>
        <v>-6.6666666666666666E-2</v>
      </c>
      <c r="AL118" s="16">
        <f t="shared" si="398"/>
        <v>0.20530726256983239</v>
      </c>
      <c r="AM118" s="16">
        <f t="shared" si="398"/>
        <v>0.16417910447761194</v>
      </c>
      <c r="AN118" s="16">
        <f t="shared" si="398"/>
        <v>7.8947368421052627E-2</v>
      </c>
      <c r="AO118" s="16">
        <f t="shared" si="398"/>
        <v>0.40136054421768708</v>
      </c>
      <c r="AP118" s="16">
        <f t="shared" si="398"/>
        <v>0.31522959668875961</v>
      </c>
      <c r="AQ118" s="16">
        <f t="shared" si="398"/>
        <v>0.37094589582815002</v>
      </c>
      <c r="AR118" s="16">
        <f t="shared" si="398"/>
        <v>0.27350004444832171</v>
      </c>
      <c r="AS118" s="16">
        <f t="shared" si="398"/>
        <v>0.25979654014786668</v>
      </c>
      <c r="AT118" s="16">
        <f t="shared" si="398"/>
        <v>0.24162422161275612</v>
      </c>
      <c r="AU118" s="16">
        <f t="shared" si="398"/>
        <v>0.25135708660787148</v>
      </c>
      <c r="AV118" s="16">
        <f t="shared" si="398"/>
        <v>0.2548064136439071</v>
      </c>
      <c r="AW118" s="16">
        <f t="shared" ref="AW118" si="399">-AW117/(AW113-AW109)</f>
        <v>0.22792190940382537</v>
      </c>
      <c r="AX118" s="16">
        <f t="shared" ref="AX118" si="400">-AX117/(AX113-AX109)</f>
        <v>0.22163556812559509</v>
      </c>
      <c r="AY118" s="16">
        <f t="shared" ref="AY118" si="401">-AY117/(AY113-AY109)</f>
        <v>0.21942898000565808</v>
      </c>
      <c r="AZ118" s="16">
        <f t="shared" ref="AZ118" si="402">-AZ117/(AZ113-AZ109)</f>
        <v>0.23055602121490992</v>
      </c>
      <c r="BA118" s="16">
        <f t="shared" ref="BA118" si="403">-BA117/(BA113-BA109)</f>
        <v>0.22458537428103501</v>
      </c>
      <c r="BB118" s="16">
        <f t="shared" ref="BB118" si="404">-BB117/(BB113-BB109)</f>
        <v>0.21706814392758708</v>
      </c>
      <c r="BC118" s="16">
        <f t="shared" ref="BC118" si="405">-BC117/(BC113-BC109)</f>
        <v>0.21076240809759639</v>
      </c>
      <c r="BD118" s="16">
        <f t="shared" ref="BD118" si="406">-BD117/(BD113-BD109)</f>
        <v>0.2071366157139376</v>
      </c>
      <c r="BE118" s="16">
        <f t="shared" ref="BE118" si="407">-BE117/(BE113-BE109)</f>
        <v>0.2146708478199971</v>
      </c>
      <c r="BF118" s="16">
        <f t="shared" ref="BF118" si="408">-BF117/(BF113-BF109)</f>
        <v>0.21209533205482822</v>
      </c>
      <c r="BG118" s="16">
        <f t="shared" ref="BG118" si="409">-BG117/(BG113-BG109)</f>
        <v>0.20331023420975552</v>
      </c>
      <c r="BH118" s="16">
        <f t="shared" ref="BH118" si="410">-BH117/(BH113-BH109)</f>
        <v>0.19867061722909851</v>
      </c>
      <c r="BI118" s="16">
        <f t="shared" ref="BI118" si="411">-BI117/(BI113-BI109)</f>
        <v>0.19871003602418263</v>
      </c>
      <c r="BJ118" s="16">
        <f t="shared" ref="BJ118" si="412">-BJ117/(BJ113-BJ109)</f>
        <v>0.20638329250444729</v>
      </c>
      <c r="BK118" s="16">
        <f t="shared" ref="BK118" si="413">-BK117/(BK113-BK109)</f>
        <v>0.20158117917090429</v>
      </c>
      <c r="BL118" s="16">
        <f t="shared" ref="BL118" si="414">-BL117/(BL113-BL109)</f>
        <v>0.19734022386948025</v>
      </c>
      <c r="BM118" s="16">
        <f t="shared" ref="BM118" si="415">-BM117/(BM113-BM109)</f>
        <v>0.19310933866111124</v>
      </c>
      <c r="BN118" s="16">
        <f t="shared" ref="BN118" si="416">-BN117/(BN113-BN109)</f>
        <v>0.19350656402554248</v>
      </c>
      <c r="BO118" s="16">
        <f t="shared" ref="BO118" si="417">-BO117/(BO113-BO109)</f>
        <v>0.20045564110193873</v>
      </c>
      <c r="BP118" s="16">
        <f t="shared" ref="BP118" si="418">-BP117/(BP113-BP109)</f>
        <v>0.19593350501370604</v>
      </c>
      <c r="BQ118" s="16">
        <f t="shared" ref="BQ118" si="419">-BQ117/(BQ113-BQ109)</f>
        <v>0.19321316049042797</v>
      </c>
      <c r="BR118" s="16">
        <f t="shared" ref="BR118" si="420">-BR117/(BR113-BR109)</f>
        <v>0.18928681325234678</v>
      </c>
      <c r="BS118" s="16">
        <f t="shared" ref="BS118" si="421">-BS117/(BS113-BS109)</f>
        <v>0.19000141404605994</v>
      </c>
      <c r="BT118" s="16">
        <f t="shared" ref="BT118" si="422">-BT117/(BT113-BT109)</f>
        <v>0.1968063122904562</v>
      </c>
      <c r="BU118" s="16">
        <f t="shared" ref="BU118" si="423">-BU117/(BU113-BU109)</f>
        <v>0.19215540290229596</v>
      </c>
    </row>
    <row r="120" spans="1:73" s="79" customFormat="1">
      <c r="A120" s="314" t="s">
        <v>2024</v>
      </c>
      <c r="B120" s="314"/>
      <c r="C120" s="314"/>
      <c r="D120" s="314"/>
      <c r="E120" s="314"/>
      <c r="F120" s="314"/>
      <c r="G120" s="314"/>
      <c r="H120" s="314"/>
      <c r="I120" s="314"/>
      <c r="J120" s="314"/>
      <c r="K120" s="314"/>
      <c r="L120" s="314"/>
      <c r="M120" s="314"/>
      <c r="N120" s="314"/>
      <c r="O120" s="314"/>
      <c r="P120" s="314"/>
      <c r="Q120" s="314"/>
      <c r="R120" s="314"/>
      <c r="S120" s="314"/>
      <c r="T120" s="314"/>
      <c r="U120" s="314"/>
      <c r="V120" s="314"/>
      <c r="W120" s="314"/>
      <c r="X120" s="81"/>
      <c r="Y120" s="81"/>
      <c r="Z120" s="81"/>
      <c r="AA120" s="81"/>
      <c r="AB120" s="81">
        <f>AB113+AB117</f>
        <v>544</v>
      </c>
      <c r="AC120" s="81"/>
      <c r="AD120" s="81"/>
      <c r="AE120" s="81"/>
      <c r="AF120" s="81">
        <f>AF113+AF117</f>
        <v>-29</v>
      </c>
      <c r="AG120" s="81">
        <f>AG113+AG117</f>
        <v>676</v>
      </c>
      <c r="AH120" s="81">
        <f t="shared" ref="AH120:BU120" si="424">AH113+AH117</f>
        <v>225</v>
      </c>
      <c r="AI120" s="81">
        <f t="shared" si="424"/>
        <v>114</v>
      </c>
      <c r="AJ120" s="81">
        <f t="shared" si="424"/>
        <v>182</v>
      </c>
      <c r="AK120" s="81">
        <f t="shared" si="424"/>
        <v>3</v>
      </c>
      <c r="AL120" s="81">
        <f t="shared" si="424"/>
        <v>524</v>
      </c>
      <c r="AM120" s="81">
        <f t="shared" si="424"/>
        <v>105</v>
      </c>
      <c r="AN120" s="81">
        <f t="shared" si="424"/>
        <v>-110</v>
      </c>
      <c r="AO120" s="81">
        <f t="shared" si="424"/>
        <v>87</v>
      </c>
      <c r="AP120" s="81">
        <f t="shared" si="424"/>
        <v>122.54259774999997</v>
      </c>
      <c r="AQ120" s="81">
        <f t="shared" si="424"/>
        <v>204.54259775000008</v>
      </c>
      <c r="AR120" s="81">
        <f t="shared" si="424"/>
        <v>161.75143394375004</v>
      </c>
      <c r="AS120" s="81">
        <f t="shared" si="424"/>
        <v>197.23028386999997</v>
      </c>
      <c r="AT120" s="81">
        <f t="shared" si="424"/>
        <v>255.05877857712494</v>
      </c>
      <c r="AU120" s="81">
        <f t="shared" si="424"/>
        <v>229.67479847684262</v>
      </c>
      <c r="AV120" s="81">
        <f t="shared" si="424"/>
        <v>843.7152948677176</v>
      </c>
      <c r="AW120" s="81">
        <f t="shared" si="424"/>
        <v>288.79333705793624</v>
      </c>
      <c r="AX120" s="81">
        <f t="shared" si="424"/>
        <v>333.77570036335919</v>
      </c>
      <c r="AY120" s="81">
        <f t="shared" si="424"/>
        <v>363.77014857765664</v>
      </c>
      <c r="AZ120" s="81">
        <f t="shared" si="424"/>
        <v>311.86098175723242</v>
      </c>
      <c r="BA120" s="81">
        <f t="shared" si="424"/>
        <v>1298.2001677561839</v>
      </c>
      <c r="BB120" s="81">
        <f t="shared" si="424"/>
        <v>360.66090507530271</v>
      </c>
      <c r="BC120" s="81">
        <f t="shared" si="424"/>
        <v>418.95032131882056</v>
      </c>
      <c r="BD120" s="81">
        <f t="shared" si="424"/>
        <v>471.4423220537268</v>
      </c>
      <c r="BE120" s="81">
        <f t="shared" si="424"/>
        <v>416.30776135551986</v>
      </c>
      <c r="BF120" s="81">
        <f t="shared" si="424"/>
        <v>1667.3613098033695</v>
      </c>
      <c r="BG120" s="81">
        <f t="shared" si="424"/>
        <v>489.41345496939408</v>
      </c>
      <c r="BH120" s="81">
        <f t="shared" si="424"/>
        <v>557.60062897043622</v>
      </c>
      <c r="BI120" s="81">
        <f t="shared" si="424"/>
        <v>586.82049016209476</v>
      </c>
      <c r="BJ120" s="81">
        <f t="shared" si="424"/>
        <v>506.66512441229446</v>
      </c>
      <c r="BK120" s="81">
        <f t="shared" si="424"/>
        <v>2140.4996985142188</v>
      </c>
      <c r="BL120" s="81">
        <f t="shared" si="424"/>
        <v>588.57839259129582</v>
      </c>
      <c r="BM120" s="81">
        <f t="shared" si="424"/>
        <v>665.5974801583742</v>
      </c>
      <c r="BN120" s="81">
        <f t="shared" si="424"/>
        <v>694.33549538385546</v>
      </c>
      <c r="BO120" s="81">
        <f t="shared" si="424"/>
        <v>598.93925188596745</v>
      </c>
      <c r="BP120" s="81">
        <f t="shared" si="424"/>
        <v>2547.4506200194924</v>
      </c>
      <c r="BQ120" s="81">
        <f t="shared" si="424"/>
        <v>686.99213060869306</v>
      </c>
      <c r="BR120" s="81">
        <f t="shared" si="424"/>
        <v>770.50963557991668</v>
      </c>
      <c r="BS120" s="81">
        <f t="shared" si="424"/>
        <v>796.38217750630565</v>
      </c>
      <c r="BT120" s="81">
        <f t="shared" si="424"/>
        <v>681.01252743068665</v>
      </c>
      <c r="BU120" s="81">
        <f t="shared" si="424"/>
        <v>2934.8964711256031</v>
      </c>
    </row>
    <row r="121" spans="1:73">
      <c r="A121" s="1" t="s">
        <v>2025</v>
      </c>
      <c r="AB121" s="16">
        <f>AB120/AB$62</f>
        <v>0.26837691169215588</v>
      </c>
      <c r="AF121" s="16">
        <f>AF120/AF$62</f>
        <v>-4.4140030441400302E-2</v>
      </c>
      <c r="AG121" s="16">
        <f t="shared" ref="AG121:AL121" si="425">AG120/AG$62</f>
        <v>0.25009248982611915</v>
      </c>
      <c r="AH121" s="16">
        <f t="shared" si="425"/>
        <v>0.32514450867052025</v>
      </c>
      <c r="AI121" s="16">
        <f t="shared" si="425"/>
        <v>0.18095238095238095</v>
      </c>
      <c r="AJ121" s="16">
        <f t="shared" si="425"/>
        <v>0.25138121546961328</v>
      </c>
      <c r="AK121" s="16">
        <f t="shared" si="425"/>
        <v>4.7393364928909956E-3</v>
      </c>
      <c r="AL121" s="16">
        <f t="shared" si="425"/>
        <v>0.19559537140724151</v>
      </c>
      <c r="AM121" s="16">
        <f t="shared" ref="AM121" si="426">AM120/AM$62</f>
        <v>0.15555555555555556</v>
      </c>
      <c r="AN121" s="16">
        <f t="shared" ref="AN121" si="427">AN120/AN$62</f>
        <v>-0.13647642679900746</v>
      </c>
      <c r="AO121" s="16">
        <f t="shared" ref="AO121" si="428">AO120/AO$62</f>
        <v>0.10558252427184465</v>
      </c>
      <c r="AP121" s="16">
        <f t="shared" ref="AP121" si="429">AP120/AP$62</f>
        <v>0.14182297363683813</v>
      </c>
      <c r="AQ121" s="16">
        <f t="shared" ref="AQ121" si="430">AQ120/AQ$62</f>
        <v>6.454375588784883E-2</v>
      </c>
      <c r="AR121" s="16">
        <f t="shared" ref="AR121" si="431">AR120/AR$62</f>
        <v>0.17647765848108996</v>
      </c>
      <c r="AS121" s="16">
        <f t="shared" ref="AS121" si="432">AS120/AS$62</f>
        <v>0.20224775539974474</v>
      </c>
      <c r="AT121" s="16">
        <f t="shared" ref="AT121" si="433">AT120/AT$62</f>
        <v>0.24210291915580748</v>
      </c>
      <c r="AU121" s="16">
        <f t="shared" ref="AU121" si="434">AU120/AU$62</f>
        <v>0.22158576329895868</v>
      </c>
      <c r="AV121" s="16">
        <f t="shared" ref="AV121" si="435">AV120/AV$62</f>
        <v>0.211894785317258</v>
      </c>
      <c r="AW121" s="16">
        <f t="shared" ref="AW121" si="436">AW120/AW$62</f>
        <v>0.25777885030590764</v>
      </c>
      <c r="AX121" s="16">
        <f t="shared" ref="AX121" si="437">AX120/AX$62</f>
        <v>0.27910881111922231</v>
      </c>
      <c r="AY121" s="16">
        <f t="shared" ref="AY121" si="438">AY120/AY$62</f>
        <v>0.29013690009819504</v>
      </c>
      <c r="AZ121" s="16">
        <f t="shared" ref="AZ121" si="439">AZ120/AZ$62</f>
        <v>0.25834320220450063</v>
      </c>
      <c r="BA121" s="16">
        <f t="shared" ref="BA121" si="440">BA120/BA$62</f>
        <v>0.27175360057387854</v>
      </c>
      <c r="BB121" s="16">
        <f t="shared" ref="BB121" si="441">BB120/BB$62</f>
        <v>0.28407621378228953</v>
      </c>
      <c r="BC121" s="16">
        <f t="shared" ref="BC121" si="442">BC120/BC$62</f>
        <v>0.30935943742465299</v>
      </c>
      <c r="BD121" s="16">
        <f t="shared" ref="BD121" si="443">BD120/BD$62</f>
        <v>0.32909527043131942</v>
      </c>
      <c r="BE121" s="16">
        <f t="shared" ref="BE121" si="444">BE120/BE$62</f>
        <v>0.30193194718159844</v>
      </c>
      <c r="BF121" s="16">
        <f t="shared" ref="BF121" si="445">BF120/BF$62</f>
        <v>0.30677110052077394</v>
      </c>
      <c r="BG121" s="16">
        <f t="shared" ref="BG121" si="446">BG120/BG$62</f>
        <v>0.33317662781040297</v>
      </c>
      <c r="BH121" s="16">
        <f t="shared" ref="BH121" si="447">BH120/BH$62</f>
        <v>0.35772132688177294</v>
      </c>
      <c r="BI121" s="16">
        <f t="shared" ref="BI121" si="448">BI120/BI$62</f>
        <v>0.36560006086831759</v>
      </c>
      <c r="BJ121" s="16">
        <f t="shared" ref="BJ121" si="449">BJ120/BJ$62</f>
        <v>0.33397962642950257</v>
      </c>
      <c r="BK121" s="16">
        <f t="shared" ref="BK121" si="450">BK120/BK$62</f>
        <v>0.34805832192926134</v>
      </c>
      <c r="BL121" s="16">
        <f t="shared" ref="BL121" si="451">BL120/BL$62</f>
        <v>0.36355183596025537</v>
      </c>
      <c r="BM121" s="16">
        <f t="shared" ref="BM121" si="452">BM120/BM$62</f>
        <v>0.38666801290814601</v>
      </c>
      <c r="BN121" s="16">
        <f t="shared" ref="BN121" si="453">BN120/BN$62</f>
        <v>0.3928259219150545</v>
      </c>
      <c r="BO121" s="16">
        <f t="shared" ref="BO121" si="454">BO120/BO$62</f>
        <v>0.3605114892200465</v>
      </c>
      <c r="BP121" s="16">
        <f t="shared" ref="BP121" si="455">BP120/BP$62</f>
        <v>0.37632779174807257</v>
      </c>
      <c r="BQ121" s="16">
        <f t="shared" ref="BQ121" si="456">BQ120/BQ$62</f>
        <v>0.38750414466532435</v>
      </c>
      <c r="BR121" s="16">
        <f t="shared" ref="BR121" si="457">BR120/BR$62</f>
        <v>0.40966515512586749</v>
      </c>
      <c r="BS121" s="16">
        <f t="shared" ref="BS121" si="458">BS120/BS$62</f>
        <v>0.41486193163662005</v>
      </c>
      <c r="BT121" s="16">
        <f t="shared" ref="BT121" si="459">BT120/BT$62</f>
        <v>0.38055854738628841</v>
      </c>
      <c r="BU121" s="16">
        <f t="shared" ref="BU121" si="460">BU120/BU$62</f>
        <v>0.39860975303283341</v>
      </c>
    </row>
    <row r="122" spans="1:73" s="26" customFormat="1">
      <c r="A122" s="26" t="s">
        <v>706</v>
      </c>
      <c r="AB122" s="61">
        <f>AB120-'Links (Arm OLD Model)'!AB43</f>
        <v>0</v>
      </c>
      <c r="AF122" s="61">
        <f>AF120-'Links (Arm OLD Model)'!AF43</f>
        <v>0</v>
      </c>
      <c r="AG122" s="61">
        <f>AG120-'Links (Arm OLD Model)'!AG43</f>
        <v>0</v>
      </c>
      <c r="AH122" s="61">
        <f>AH120-'Links (Arm OLD Model)'!AH43</f>
        <v>0</v>
      </c>
      <c r="AI122" s="61">
        <f>AI120-'Links (Arm OLD Model)'!AI43</f>
        <v>0</v>
      </c>
      <c r="AJ122" s="61">
        <f>AJ120-'Links (Arm OLD Model)'!AJ43</f>
        <v>0</v>
      </c>
      <c r="AK122" s="61">
        <f>AK120-'Links (Arm OLD Model)'!AK43</f>
        <v>0</v>
      </c>
      <c r="AL122" s="61">
        <f>AL120-'Links (Arm OLD Model)'!AL43</f>
        <v>0</v>
      </c>
      <c r="AM122" s="61">
        <f>AM120-'Links (Arm OLD Model)'!AM43</f>
        <v>0</v>
      </c>
      <c r="AN122" s="61">
        <f>AN120-'Links (Arm OLD Model)'!AN43</f>
        <v>0</v>
      </c>
      <c r="AO122" s="61">
        <f>AO120-'Links (Arm OLD Model)'!AO43</f>
        <v>0</v>
      </c>
      <c r="AP122" s="61">
        <f>AP120-'Links (Arm OLD Model)'!AP43</f>
        <v>0</v>
      </c>
      <c r="AQ122" s="61">
        <f>AQ120-'Links (Arm OLD Model)'!AQ43</f>
        <v>0</v>
      </c>
      <c r="AR122" s="61">
        <f>AR120-'Links (Arm OLD Model)'!AR43</f>
        <v>0</v>
      </c>
      <c r="AS122" s="61">
        <f>AS120-'Links (Arm OLD Model)'!AS43</f>
        <v>0</v>
      </c>
      <c r="AT122" s="61">
        <f>AT120-'Links (Arm OLD Model)'!AT43</f>
        <v>0</v>
      </c>
      <c r="AU122" s="61">
        <f>AU120-'Links (Arm OLD Model)'!AU43</f>
        <v>0</v>
      </c>
      <c r="AV122" s="61">
        <f>AV120-'Links (Arm OLD Model)'!AV43</f>
        <v>0</v>
      </c>
      <c r="AW122" s="61">
        <f>AW120-'Links (Arm OLD Model)'!AW43</f>
        <v>0</v>
      </c>
      <c r="AX122" s="61">
        <f>AX120-'Links (Arm OLD Model)'!AX43</f>
        <v>0</v>
      </c>
      <c r="AY122" s="61">
        <f>AY120-'Links (Arm OLD Model)'!AY43</f>
        <v>0</v>
      </c>
      <c r="AZ122" s="61">
        <f>AZ120-'Links (Arm OLD Model)'!AZ43</f>
        <v>0</v>
      </c>
      <c r="BA122" s="61">
        <f>BA120-'Links (Arm OLD Model)'!BA43</f>
        <v>0</v>
      </c>
      <c r="BB122" s="61">
        <f>BB120-'Links (Arm OLD Model)'!BB43</f>
        <v>0</v>
      </c>
      <c r="BC122" s="61">
        <f>BC120-'Links (Arm OLD Model)'!BC43</f>
        <v>0</v>
      </c>
      <c r="BD122" s="61">
        <f>BD120-'Links (Arm OLD Model)'!BD43</f>
        <v>0</v>
      </c>
      <c r="BE122" s="61">
        <f>BE120-'Links (Arm OLD Model)'!BE43</f>
        <v>0</v>
      </c>
      <c r="BF122" s="61">
        <f>BF120-'Links (Arm OLD Model)'!BF43</f>
        <v>0</v>
      </c>
      <c r="BG122" s="61">
        <f>BG120-'Links (Arm OLD Model)'!BG43</f>
        <v>0</v>
      </c>
      <c r="BH122" s="61">
        <f>BH120-'Links (Arm OLD Model)'!BH43</f>
        <v>0</v>
      </c>
      <c r="BI122" s="61">
        <f>BI120-'Links (Arm OLD Model)'!BI43</f>
        <v>0</v>
      </c>
      <c r="BJ122" s="61">
        <f>BJ120-'Links (Arm OLD Model)'!BJ43</f>
        <v>0</v>
      </c>
      <c r="BK122" s="61">
        <f>BK120-'Links (Arm OLD Model)'!BK43</f>
        <v>0</v>
      </c>
      <c r="BL122" s="61">
        <f>BL120-'Links (Arm OLD Model)'!BL43</f>
        <v>0</v>
      </c>
      <c r="BM122" s="61">
        <f>BM120-'Links (Arm OLD Model)'!BM43</f>
        <v>0</v>
      </c>
      <c r="BN122" s="61">
        <f>BN120-'Links (Arm OLD Model)'!BN43</f>
        <v>0</v>
      </c>
      <c r="BO122" s="61">
        <f>BO120-'Links (Arm OLD Model)'!BO43</f>
        <v>0</v>
      </c>
      <c r="BP122" s="61">
        <f>BP120-'Links (Arm OLD Model)'!BP43</f>
        <v>0</v>
      </c>
      <c r="BQ122" s="61">
        <f>BQ120-'Links (Arm OLD Model)'!BQ43</f>
        <v>0</v>
      </c>
      <c r="BR122" s="61">
        <f>BR120-'Links (Arm OLD Model)'!BR43</f>
        <v>0</v>
      </c>
      <c r="BS122" s="61">
        <f>BS120-'Links (Arm OLD Model)'!BS43</f>
        <v>0</v>
      </c>
      <c r="BT122" s="61">
        <f>BT120-'Links (Arm OLD Model)'!BT43</f>
        <v>0</v>
      </c>
      <c r="BU122" s="61">
        <f>BU120-'Links (Arm OLD Model)'!BU43</f>
        <v>0</v>
      </c>
    </row>
    <row r="124" spans="1:73" s="44" customFormat="1">
      <c r="A124" s="49" t="s">
        <v>1958</v>
      </c>
    </row>
    <row r="126" spans="1:73">
      <c r="A126" s="1" t="s">
        <v>1401</v>
      </c>
      <c r="X126" s="36">
        <f>X72</f>
        <v>429</v>
      </c>
      <c r="Y126" s="36">
        <f>Y72</f>
        <v>507</v>
      </c>
      <c r="Z126" s="36">
        <f t="shared" ref="Z126:AB126" si="461">Z72</f>
        <v>525</v>
      </c>
      <c r="AA126" s="36">
        <f t="shared" si="461"/>
        <v>519</v>
      </c>
      <c r="AB126" s="36">
        <f t="shared" si="461"/>
        <v>1980</v>
      </c>
      <c r="AC126" s="36">
        <f>AC72</f>
        <v>675</v>
      </c>
      <c r="AD126" s="36">
        <f>AD72</f>
        <v>788</v>
      </c>
      <c r="AE126" s="36">
        <f t="shared" ref="AE126:AG126" si="462">AE72</f>
        <v>581</v>
      </c>
      <c r="AF126" s="36">
        <f t="shared" si="462"/>
        <v>621</v>
      </c>
      <c r="AG126" s="36">
        <f t="shared" si="462"/>
        <v>2665</v>
      </c>
      <c r="AH126" s="36">
        <f>AH72</f>
        <v>719</v>
      </c>
      <c r="AI126" s="36">
        <f>AI72</f>
        <v>656</v>
      </c>
      <c r="AJ126" s="36">
        <f t="shared" ref="AJ126:AL126" si="463">AJ72</f>
        <v>746</v>
      </c>
      <c r="AK126" s="36">
        <f t="shared" si="463"/>
        <v>697</v>
      </c>
      <c r="AL126" s="36">
        <f t="shared" si="463"/>
        <v>2818</v>
      </c>
      <c r="AM126" s="36">
        <f>AM72</f>
        <v>641</v>
      </c>
      <c r="AN126" s="36">
        <f>AN72</f>
        <v>806</v>
      </c>
      <c r="AO126" s="36">
        <f t="shared" ref="AO126:AQ126" si="464">AO72</f>
        <v>824</v>
      </c>
      <c r="AP126" s="36">
        <f t="shared" si="464"/>
        <v>864.053225</v>
      </c>
      <c r="AQ126" s="36">
        <f t="shared" si="464"/>
        <v>3135.0532250000001</v>
      </c>
      <c r="AR126" s="36">
        <f>AR72</f>
        <v>916.55473749999999</v>
      </c>
      <c r="AS126" s="36">
        <f>AS72</f>
        <v>975.19146000000001</v>
      </c>
      <c r="AT126" s="36">
        <f t="shared" ref="AT126:AV126" si="465">AT72</f>
        <v>1053.5138505</v>
      </c>
      <c r="AU126" s="36">
        <f t="shared" si="465"/>
        <v>1036.5052116050001</v>
      </c>
      <c r="AV126" s="36">
        <f t="shared" si="465"/>
        <v>3981.7652596050002</v>
      </c>
      <c r="AW126" s="36">
        <f>AW72</f>
        <v>1120.3143187085502</v>
      </c>
      <c r="AX126" s="36">
        <f>AX72</f>
        <v>1195.8622840494481</v>
      </c>
      <c r="AY126" s="36">
        <f t="shared" ref="AY126:BA126" si="466">AY72</f>
        <v>1253.7879478775051</v>
      </c>
      <c r="AZ126" s="36">
        <f t="shared" si="466"/>
        <v>1207.1576844138051</v>
      </c>
      <c r="BA126" s="36">
        <f t="shared" si="466"/>
        <v>4777.1222350493081</v>
      </c>
      <c r="BB126" s="36">
        <f>BB72</f>
        <v>1269.592058670939</v>
      </c>
      <c r="BC126" s="36">
        <f>BC72</f>
        <v>1354.2509800460161</v>
      </c>
      <c r="BD126" s="36">
        <f t="shared" ref="BD126:BF126" si="467">BD72</f>
        <v>1432.5405571336355</v>
      </c>
      <c r="BE126" s="36">
        <f t="shared" si="467"/>
        <v>1378.8132234484267</v>
      </c>
      <c r="BF126" s="36">
        <f t="shared" si="467"/>
        <v>5435.1968192990171</v>
      </c>
      <c r="BG126" s="36">
        <f>BG72</f>
        <v>1468.9309336785143</v>
      </c>
      <c r="BH126" s="36">
        <f>BH72</f>
        <v>1558.7570185736326</v>
      </c>
      <c r="BI126" s="36">
        <f t="shared" ref="BI126:BK126" si="468">BI72</f>
        <v>1605.0886008289169</v>
      </c>
      <c r="BJ126" s="36">
        <f t="shared" si="468"/>
        <v>1517.0539886786862</v>
      </c>
      <c r="BK126" s="36">
        <f t="shared" si="468"/>
        <v>6149.8305417597503</v>
      </c>
      <c r="BL126" s="36">
        <f>BL72</f>
        <v>1618.9669102802745</v>
      </c>
      <c r="BM126" s="36">
        <f>BM72</f>
        <v>1721.366800300827</v>
      </c>
      <c r="BN126" s="36">
        <f t="shared" ref="BN126:BP126" si="469">BN72</f>
        <v>1767.5399118238436</v>
      </c>
      <c r="BO126" s="36">
        <f t="shared" si="469"/>
        <v>1661.3596786658609</v>
      </c>
      <c r="BP126" s="36">
        <f t="shared" si="469"/>
        <v>6769.2333010708053</v>
      </c>
      <c r="BQ126" s="36">
        <f>BQ72</f>
        <v>1772.8639553056328</v>
      </c>
      <c r="BR126" s="36">
        <f>BR72</f>
        <v>1880.8278564555524</v>
      </c>
      <c r="BS126" s="36">
        <f t="shared" ref="BS126:BU126" si="470">BS72</f>
        <v>1919.6318504438277</v>
      </c>
      <c r="BT126" s="36">
        <f t="shared" si="470"/>
        <v>1789.5079012360757</v>
      </c>
      <c r="BU126" s="36">
        <f t="shared" si="470"/>
        <v>7362.8315634410883</v>
      </c>
    </row>
    <row r="127" spans="1:73">
      <c r="A127" s="1" t="s">
        <v>28</v>
      </c>
      <c r="AC127" s="16">
        <f t="shared" ref="AC127:BU127" si="471">AC126/X126-1</f>
        <v>0.57342657342657333</v>
      </c>
      <c r="AD127" s="16">
        <f t="shared" si="471"/>
        <v>0.55424063116370803</v>
      </c>
      <c r="AE127" s="16">
        <f t="shared" si="471"/>
        <v>0.10666666666666669</v>
      </c>
      <c r="AF127" s="16">
        <f t="shared" si="471"/>
        <v>0.19653179190751446</v>
      </c>
      <c r="AG127" s="16">
        <f t="shared" si="471"/>
        <v>0.34595959595959602</v>
      </c>
      <c r="AH127" s="16">
        <f t="shared" si="471"/>
        <v>6.5185185185185235E-2</v>
      </c>
      <c r="AI127" s="16">
        <f t="shared" si="471"/>
        <v>-0.1675126903553299</v>
      </c>
      <c r="AJ127" s="16">
        <f t="shared" si="471"/>
        <v>0.28399311531841653</v>
      </c>
      <c r="AK127" s="16">
        <f t="shared" si="471"/>
        <v>0.12238325281803553</v>
      </c>
      <c r="AL127" s="16">
        <f t="shared" si="471"/>
        <v>5.7410881801125635E-2</v>
      </c>
      <c r="AM127" s="16">
        <f t="shared" si="471"/>
        <v>-0.1084840055632823</v>
      </c>
      <c r="AN127" s="16">
        <f t="shared" si="471"/>
        <v>0.22865853658536595</v>
      </c>
      <c r="AO127" s="16">
        <f t="shared" si="471"/>
        <v>0.10455764075067031</v>
      </c>
      <c r="AP127" s="16">
        <f t="shared" si="471"/>
        <v>0.23967464131994265</v>
      </c>
      <c r="AQ127" s="16">
        <f t="shared" si="471"/>
        <v>0.11251001596877219</v>
      </c>
      <c r="AR127" s="16">
        <f t="shared" si="471"/>
        <v>0.42988258580343208</v>
      </c>
      <c r="AS127" s="16">
        <f t="shared" si="471"/>
        <v>0.20991496277915633</v>
      </c>
      <c r="AT127" s="16">
        <f t="shared" si="471"/>
        <v>0.27853622633495134</v>
      </c>
      <c r="AU127" s="16">
        <f t="shared" si="471"/>
        <v>0.19958491168758741</v>
      </c>
      <c r="AV127" s="16">
        <f t="shared" si="471"/>
        <v>0.27007899829356163</v>
      </c>
      <c r="AW127" s="16">
        <f t="shared" si="471"/>
        <v>0.22231032460137201</v>
      </c>
      <c r="AX127" s="16">
        <f t="shared" si="471"/>
        <v>0.22628461497134955</v>
      </c>
      <c r="AY127" s="16">
        <f t="shared" si="471"/>
        <v>0.19010105779098629</v>
      </c>
      <c r="AZ127" s="16">
        <f t="shared" si="471"/>
        <v>0.16464217535824477</v>
      </c>
      <c r="BA127" s="16">
        <f t="shared" si="471"/>
        <v>0.19974984048236166</v>
      </c>
      <c r="BB127" s="16">
        <f t="shared" si="471"/>
        <v>0.13324630192575748</v>
      </c>
      <c r="BC127" s="16">
        <f t="shared" si="471"/>
        <v>0.13244727098527576</v>
      </c>
      <c r="BD127" s="16">
        <f t="shared" si="471"/>
        <v>0.14257004907307858</v>
      </c>
      <c r="BE127" s="16">
        <f t="shared" si="471"/>
        <v>0.14219810820984624</v>
      </c>
      <c r="BF127" s="16">
        <f t="shared" si="471"/>
        <v>0.13775544184770405</v>
      </c>
      <c r="BG127" s="16">
        <f t="shared" si="471"/>
        <v>0.15701017791199123</v>
      </c>
      <c r="BH127" s="16">
        <f t="shared" si="471"/>
        <v>0.15101044159529975</v>
      </c>
      <c r="BI127" s="16">
        <f t="shared" si="471"/>
        <v>0.12044897635605656</v>
      </c>
      <c r="BJ127" s="16">
        <f t="shared" si="471"/>
        <v>0.10026069004800942</v>
      </c>
      <c r="BK127" s="16">
        <f t="shared" si="471"/>
        <v>0.13148258402037039</v>
      </c>
      <c r="BL127" s="16">
        <f t="shared" si="471"/>
        <v>0.1021395718218272</v>
      </c>
      <c r="BM127" s="16">
        <f t="shared" si="471"/>
        <v>0.10432016009524903</v>
      </c>
      <c r="BN127" s="16">
        <f t="shared" si="471"/>
        <v>0.10121018298368822</v>
      </c>
      <c r="BO127" s="16">
        <f t="shared" si="471"/>
        <v>9.5122316716533595E-2</v>
      </c>
      <c r="BP127" s="16">
        <f t="shared" si="471"/>
        <v>0.10071867104387167</v>
      </c>
      <c r="BQ127" s="16">
        <f t="shared" si="471"/>
        <v>9.5058795858104173E-2</v>
      </c>
      <c r="BR127" s="16">
        <f t="shared" si="471"/>
        <v>9.2636302807082016E-2</v>
      </c>
      <c r="BS127" s="16">
        <f t="shared" si="471"/>
        <v>8.604724430977484E-2</v>
      </c>
      <c r="BT127" s="16">
        <f t="shared" si="471"/>
        <v>7.7134544804363436E-2</v>
      </c>
      <c r="BU127" s="16">
        <f t="shared" si="471"/>
        <v>8.769061959740454E-2</v>
      </c>
    </row>
    <row r="129" spans="1:73">
      <c r="A129" s="1" t="s">
        <v>1922</v>
      </c>
      <c r="AB129" s="36">
        <f t="shared" ref="AB129:BU129" si="472">AB130-AB62</f>
        <v>-133</v>
      </c>
      <c r="AC129" s="36">
        <f t="shared" si="472"/>
        <v>-24.997915962710522</v>
      </c>
      <c r="AD129" s="36">
        <f t="shared" si="472"/>
        <v>-32.95641371312604</v>
      </c>
      <c r="AE129" s="36">
        <f t="shared" si="472"/>
        <v>-23.839528787738459</v>
      </c>
      <c r="AF129" s="36">
        <f t="shared" si="472"/>
        <v>-37</v>
      </c>
      <c r="AG129" s="36">
        <f t="shared" si="472"/>
        <v>-121</v>
      </c>
      <c r="AH129" s="36">
        <f t="shared" si="472"/>
        <v>-23</v>
      </c>
      <c r="AI129" s="36">
        <f t="shared" si="472"/>
        <v>-24</v>
      </c>
      <c r="AJ129" s="36">
        <f t="shared" si="472"/>
        <v>-27</v>
      </c>
      <c r="AK129" s="36">
        <f t="shared" si="472"/>
        <v>-25</v>
      </c>
      <c r="AL129" s="36">
        <f t="shared" si="472"/>
        <v>-99</v>
      </c>
      <c r="AM129" s="36">
        <f t="shared" si="472"/>
        <v>-24</v>
      </c>
      <c r="AN129" s="36">
        <f t="shared" si="472"/>
        <v>-26</v>
      </c>
      <c r="AO129" s="36">
        <f t="shared" si="472"/>
        <v>-26</v>
      </c>
      <c r="AP129" s="36">
        <f t="shared" si="472"/>
        <v>-29.638596750000033</v>
      </c>
      <c r="AQ129" s="36">
        <f t="shared" si="472"/>
        <v>-105.63859675000003</v>
      </c>
      <c r="AR129" s="36">
        <f t="shared" si="472"/>
        <v>-30.90994212499993</v>
      </c>
      <c r="AS129" s="36">
        <f t="shared" si="472"/>
        <v>-32.737309800000048</v>
      </c>
      <c r="AT129" s="36">
        <f t="shared" si="472"/>
        <v>-35.191428495000082</v>
      </c>
      <c r="AU129" s="36">
        <f t="shared" si="472"/>
        <v>-34.717029457949934</v>
      </c>
      <c r="AV129" s="36">
        <f t="shared" si="472"/>
        <v>-133.55570987794999</v>
      </c>
      <c r="AW129" s="36">
        <f t="shared" si="472"/>
        <v>-37.267521402154671</v>
      </c>
      <c r="AX129" s="36">
        <f t="shared" si="472"/>
        <v>-39.570541280790394</v>
      </c>
      <c r="AY129" s="36">
        <f t="shared" si="472"/>
        <v>-41.34525792322529</v>
      </c>
      <c r="AZ129" s="36">
        <f t="shared" si="472"/>
        <v>-40.020982409052294</v>
      </c>
      <c r="BA129" s="36">
        <f t="shared" si="472"/>
        <v>-158.20430301522356</v>
      </c>
      <c r="BB129" s="36">
        <f t="shared" si="472"/>
        <v>-41.937785533347551</v>
      </c>
      <c r="BC129" s="36">
        <f t="shared" si="472"/>
        <v>-44.521828447991993</v>
      </c>
      <c r="BD129" s="36">
        <f t="shared" si="472"/>
        <v>-46.915300199656485</v>
      </c>
      <c r="BE129" s="36">
        <f t="shared" si="472"/>
        <v>-45.34877964918519</v>
      </c>
      <c r="BF129" s="36">
        <f t="shared" si="472"/>
        <v>-178.72369383018122</v>
      </c>
      <c r="BG129" s="36">
        <f t="shared" si="472"/>
        <v>-48.072232870816606</v>
      </c>
      <c r="BH129" s="36">
        <f t="shared" si="472"/>
        <v>-50.787036941972474</v>
      </c>
      <c r="BI129" s="36">
        <f t="shared" si="472"/>
        <v>-52.197106041554662</v>
      </c>
      <c r="BJ129" s="36">
        <f t="shared" si="472"/>
        <v>-49.576289917131362</v>
      </c>
      <c r="BK129" s="36">
        <f t="shared" si="472"/>
        <v>-200.63266577147533</v>
      </c>
      <c r="BL129" s="36">
        <f t="shared" si="472"/>
        <v>-52.67432426774667</v>
      </c>
      <c r="BM129" s="36">
        <f t="shared" si="472"/>
        <v>-55.787374137956704</v>
      </c>
      <c r="BN129" s="36">
        <f t="shared" si="472"/>
        <v>-57.214031184936402</v>
      </c>
      <c r="BO129" s="36">
        <f t="shared" si="472"/>
        <v>-54.070502528499219</v>
      </c>
      <c r="BP129" s="36">
        <f t="shared" si="472"/>
        <v>-219.74623211913968</v>
      </c>
      <c r="BQ129" s="36">
        <f t="shared" si="472"/>
        <v>-57.457927949377563</v>
      </c>
      <c r="BR129" s="36">
        <f t="shared" si="472"/>
        <v>-60.739565076777126</v>
      </c>
      <c r="BS129" s="36">
        <f t="shared" si="472"/>
        <v>-61.9468321902566</v>
      </c>
      <c r="BT129" s="36">
        <f t="shared" si="472"/>
        <v>-58.086692480793545</v>
      </c>
      <c r="BU129" s="36">
        <f t="shared" si="472"/>
        <v>-238.23101769720415</v>
      </c>
    </row>
    <row r="130" spans="1:73">
      <c r="A130" s="9" t="s">
        <v>1920</v>
      </c>
      <c r="B130" s="9"/>
      <c r="C130" s="9"/>
      <c r="D130" s="9"/>
      <c r="E130" s="9"/>
      <c r="F130" s="9"/>
      <c r="G130" s="9"/>
      <c r="H130" s="9"/>
      <c r="I130" s="9"/>
      <c r="J130" s="9"/>
      <c r="K130" s="9"/>
      <c r="L130" s="9"/>
      <c r="M130" s="9"/>
      <c r="N130" s="9"/>
      <c r="O130" s="9"/>
      <c r="P130" s="9"/>
      <c r="Q130" s="9"/>
      <c r="R130" s="9"/>
      <c r="S130" s="9"/>
      <c r="T130" s="9"/>
      <c r="U130" s="9"/>
      <c r="V130" s="9"/>
      <c r="W130" s="9"/>
      <c r="X130" s="39"/>
      <c r="Y130" s="39"/>
      <c r="Z130" s="39"/>
      <c r="AA130" s="39"/>
      <c r="AB130" s="39">
        <f>'Links (Arm OLD Model)'!AB13</f>
        <v>1894</v>
      </c>
      <c r="AC130" s="39">
        <f>AC131*AC62</f>
        <v>650.00208403728948</v>
      </c>
      <c r="AD130" s="39">
        <f>AD131*AD62</f>
        <v>755.04358628687396</v>
      </c>
      <c r="AE130" s="39">
        <f>AE131*AE62</f>
        <v>557.16047121226154</v>
      </c>
      <c r="AF130" s="39">
        <f>'Links (Arm OLD Model)'!AF13</f>
        <v>620</v>
      </c>
      <c r="AG130" s="39">
        <f>'Links (Arm OLD Model)'!AG13</f>
        <v>2582</v>
      </c>
      <c r="AH130" s="39">
        <f>'Links (Arm OLD Model)'!AH13</f>
        <v>669</v>
      </c>
      <c r="AI130" s="39">
        <f>'Links (Arm OLD Model)'!AI13</f>
        <v>606</v>
      </c>
      <c r="AJ130" s="39">
        <f>'Links (Arm OLD Model)'!AJ13</f>
        <v>697</v>
      </c>
      <c r="AK130" s="39">
        <f>'Links (Arm OLD Model)'!AK13</f>
        <v>608</v>
      </c>
      <c r="AL130" s="39">
        <f>'Links (Arm OLD Model)'!AL13</f>
        <v>2580</v>
      </c>
      <c r="AM130" s="39">
        <f>'Links (Arm OLD Model)'!AM13</f>
        <v>651</v>
      </c>
      <c r="AN130" s="39">
        <f>'Links (Arm OLD Model)'!AN13</f>
        <v>780</v>
      </c>
      <c r="AO130" s="39">
        <f>'Links (Arm OLD Model)'!AO13</f>
        <v>798</v>
      </c>
      <c r="AP130" s="39">
        <f>'Links (Arm OLD Model)'!AP13</f>
        <v>834.41462824999996</v>
      </c>
      <c r="AQ130" s="39">
        <f>'Links (Arm OLD Model)'!AQ13</f>
        <v>3063.4146282500001</v>
      </c>
      <c r="AR130" s="39">
        <f>'Links (Arm OLD Model)'!AR13</f>
        <v>885.64479537500006</v>
      </c>
      <c r="AS130" s="39">
        <f>'Links (Arm OLD Model)'!AS13</f>
        <v>942.45415019999996</v>
      </c>
      <c r="AT130" s="39">
        <f>'Links (Arm OLD Model)'!AT13</f>
        <v>1018.3224220049999</v>
      </c>
      <c r="AU130" s="39">
        <f>'Links (Arm OLD Model)'!AU13</f>
        <v>1001.7881821470502</v>
      </c>
      <c r="AV130" s="39">
        <f>'Links (Arm OLD Model)'!AV13</f>
        <v>3848.2095497270502</v>
      </c>
      <c r="AW130" s="39">
        <f>'Links (Arm OLD Model)'!AW13</f>
        <v>1083.0467973063955</v>
      </c>
      <c r="AX130" s="39">
        <f>'Links (Arm OLD Model)'!AX13</f>
        <v>1156.2917427686577</v>
      </c>
      <c r="AY130" s="39">
        <f>'Links (Arm OLD Model)'!AY13</f>
        <v>1212.4426899542798</v>
      </c>
      <c r="AZ130" s="39">
        <f>'Links (Arm OLD Model)'!AZ13</f>
        <v>1167.1367020047528</v>
      </c>
      <c r="BA130" s="39">
        <f>'Links (Arm OLD Model)'!BA13</f>
        <v>4618.9179320340854</v>
      </c>
      <c r="BB130" s="39">
        <f>'Links (Arm OLD Model)'!BB13</f>
        <v>1227.6542731375914</v>
      </c>
      <c r="BC130" s="39">
        <f>'Links (Arm OLD Model)'!BC13</f>
        <v>1309.7291515980241</v>
      </c>
      <c r="BD130" s="39">
        <f>'Links (Arm OLD Model)'!BD13</f>
        <v>1385.625256933979</v>
      </c>
      <c r="BE130" s="39">
        <f>'Links (Arm OLD Model)'!BE13</f>
        <v>1333.4644437992415</v>
      </c>
      <c r="BF130" s="39">
        <f>'Links (Arm OLD Model)'!BF13</f>
        <v>5256.4731254688359</v>
      </c>
      <c r="BG130" s="39">
        <f>'Links (Arm OLD Model)'!BG13</f>
        <v>1420.8587008076977</v>
      </c>
      <c r="BH130" s="39">
        <f>'Links (Arm OLD Model)'!BH13</f>
        <v>1507.9699816316602</v>
      </c>
      <c r="BI130" s="39">
        <f>'Links (Arm OLD Model)'!BI13</f>
        <v>1552.8914947873623</v>
      </c>
      <c r="BJ130" s="39">
        <f>'Links (Arm OLD Model)'!BJ13</f>
        <v>1467.4776987615548</v>
      </c>
      <c r="BK130" s="39">
        <f>'Links (Arm OLD Model)'!BK13</f>
        <v>5949.197875988275</v>
      </c>
      <c r="BL130" s="39">
        <f>'Links (Arm OLD Model)'!BL13</f>
        <v>1566.2925860125279</v>
      </c>
      <c r="BM130" s="39">
        <f>'Links (Arm OLD Model)'!BM13</f>
        <v>1665.5794261628703</v>
      </c>
      <c r="BN130" s="39">
        <f>'Links (Arm OLD Model)'!BN13</f>
        <v>1710.3258806389072</v>
      </c>
      <c r="BO130" s="39">
        <f>'Links (Arm OLD Model)'!BO13</f>
        <v>1607.2891761373617</v>
      </c>
      <c r="BP130" s="39">
        <f>'Links (Arm OLD Model)'!BP13</f>
        <v>6549.4870689516665</v>
      </c>
      <c r="BQ130" s="39">
        <f>'Links (Arm OLD Model)'!BQ13</f>
        <v>1715.4060273562552</v>
      </c>
      <c r="BR130" s="39">
        <f>'Links (Arm OLD Model)'!BR13</f>
        <v>1820.0882913787752</v>
      </c>
      <c r="BS130" s="39">
        <f>'Links (Arm OLD Model)'!BS13</f>
        <v>1857.6850182535711</v>
      </c>
      <c r="BT130" s="39">
        <f>'Links (Arm OLD Model)'!BT13</f>
        <v>1731.4212087552821</v>
      </c>
      <c r="BU130" s="39">
        <f>'Links (Arm OLD Model)'!BU13</f>
        <v>7124.6005457438841</v>
      </c>
    </row>
    <row r="131" spans="1:73">
      <c r="A131" s="436" t="s">
        <v>1921</v>
      </c>
      <c r="AB131" s="16">
        <f>AB130/AB$62</f>
        <v>0.93438579181055748</v>
      </c>
      <c r="AC131" s="438">
        <f>1%+AH131*$AF$86/$AK$86</f>
        <v>0.96296605042561412</v>
      </c>
      <c r="AD131" s="438">
        <f>1%+AI131*$AF$86/$AK$86</f>
        <v>0.95817713995796183</v>
      </c>
      <c r="AE131" s="438">
        <f>1%+AJ131*$AF$86/$AK$86</f>
        <v>0.95896810879907324</v>
      </c>
      <c r="AF131" s="16">
        <f t="shared" ref="AF131:BU131" si="473">AF130/AF$62</f>
        <v>0.94368340943683404</v>
      </c>
      <c r="AG131" s="16">
        <f t="shared" si="473"/>
        <v>0.95523492415834255</v>
      </c>
      <c r="AH131" s="16">
        <f t="shared" si="473"/>
        <v>0.9667630057803468</v>
      </c>
      <c r="AI131" s="16">
        <f t="shared" si="473"/>
        <v>0.96190476190476193</v>
      </c>
      <c r="AJ131" s="16">
        <f t="shared" si="473"/>
        <v>0.96270718232044195</v>
      </c>
      <c r="AK131" s="16">
        <f t="shared" si="473"/>
        <v>0.96050552922590837</v>
      </c>
      <c r="AL131" s="16">
        <f t="shared" si="473"/>
        <v>0.96304591265397532</v>
      </c>
      <c r="AM131" s="16">
        <f t="shared" si="473"/>
        <v>0.96444444444444444</v>
      </c>
      <c r="AN131" s="16">
        <f t="shared" si="473"/>
        <v>0.967741935483871</v>
      </c>
      <c r="AO131" s="16">
        <f t="shared" si="473"/>
        <v>0.96844660194174759</v>
      </c>
      <c r="AP131" s="16">
        <f t="shared" si="473"/>
        <v>0.96569818167162091</v>
      </c>
      <c r="AQ131" s="16">
        <f t="shared" si="473"/>
        <v>0.9666655656280434</v>
      </c>
      <c r="AR131" s="16">
        <f t="shared" si="473"/>
        <v>0.9662759452759907</v>
      </c>
      <c r="AS131" s="16">
        <f t="shared" si="473"/>
        <v>0.96642986414175525</v>
      </c>
      <c r="AT131" s="16">
        <f t="shared" si="473"/>
        <v>0.96659614064086752</v>
      </c>
      <c r="AU131" s="16">
        <f t="shared" si="473"/>
        <v>0.96650568750716503</v>
      </c>
      <c r="AV131" s="16">
        <f t="shared" si="473"/>
        <v>0.96645816587108424</v>
      </c>
      <c r="AW131" s="16">
        <f t="shared" si="473"/>
        <v>0.96673476293232152</v>
      </c>
      <c r="AX131" s="16">
        <f t="shared" si="473"/>
        <v>0.96691045297724754</v>
      </c>
      <c r="AY131" s="16">
        <f t="shared" si="473"/>
        <v>0.9670237235943947</v>
      </c>
      <c r="AZ131" s="16">
        <f t="shared" si="473"/>
        <v>0.96684693066549421</v>
      </c>
      <c r="BA131" s="16">
        <f t="shared" si="473"/>
        <v>0.96688292758043892</v>
      </c>
      <c r="BB131" s="16">
        <f t="shared" si="473"/>
        <v>0.96696751114113788</v>
      </c>
      <c r="BC131" s="16">
        <f t="shared" si="473"/>
        <v>0.96712438897664366</v>
      </c>
      <c r="BD131" s="16">
        <f t="shared" si="473"/>
        <v>0.96725028135082669</v>
      </c>
      <c r="BE131" s="16">
        <f t="shared" si="473"/>
        <v>0.96711028087200424</v>
      </c>
      <c r="BF131" s="16">
        <f t="shared" si="473"/>
        <v>0.96711734647849767</v>
      </c>
      <c r="BG131" s="16">
        <f t="shared" si="473"/>
        <v>0.96727400058869106</v>
      </c>
      <c r="BH131" s="16">
        <f t="shared" si="473"/>
        <v>0.96741824650230224</v>
      </c>
      <c r="BI131" s="16">
        <f t="shared" si="473"/>
        <v>0.96748023379232873</v>
      </c>
      <c r="BJ131" s="16">
        <f t="shared" si="473"/>
        <v>0.96732068186952858</v>
      </c>
      <c r="BK131" s="16">
        <f t="shared" si="473"/>
        <v>0.96737590338317436</v>
      </c>
      <c r="BL131" s="16">
        <f t="shared" si="473"/>
        <v>0.96746423664790793</v>
      </c>
      <c r="BM131" s="16">
        <f t="shared" si="473"/>
        <v>0.96759123382174717</v>
      </c>
      <c r="BN131" s="16">
        <f t="shared" si="473"/>
        <v>0.96763069914166755</v>
      </c>
      <c r="BO131" s="16">
        <f t="shared" si="473"/>
        <v>0.96745406595402628</v>
      </c>
      <c r="BP131" s="16">
        <f t="shared" si="473"/>
        <v>0.96753750057862853</v>
      </c>
      <c r="BQ131" s="16">
        <f t="shared" si="473"/>
        <v>0.96759033439795317</v>
      </c>
      <c r="BR131" s="16">
        <f t="shared" si="473"/>
        <v>0.96770594136603139</v>
      </c>
      <c r="BS131" s="16">
        <f t="shared" si="473"/>
        <v>0.96772983727273842</v>
      </c>
      <c r="BT131" s="16">
        <f t="shared" si="473"/>
        <v>0.96754041016490011</v>
      </c>
      <c r="BU131" s="16">
        <f t="shared" si="473"/>
        <v>0.96764410327134187</v>
      </c>
    </row>
    <row r="133" spans="1:73">
      <c r="A133" s="1" t="s">
        <v>1937</v>
      </c>
    </row>
    <row r="134" spans="1:73">
      <c r="A134" s="1" t="s">
        <v>1934</v>
      </c>
      <c r="AB134" s="59">
        <f>'Links (Arm OLD Model)'!AB23</f>
        <v>-791</v>
      </c>
      <c r="AF134" s="59">
        <f>'Links (Arm OLD Model)'!AF23</f>
        <v>-336</v>
      </c>
      <c r="AG134" s="59">
        <f>'Links (Arm OLD Model)'!AG23</f>
        <v>-976</v>
      </c>
      <c r="AH134" s="59">
        <f>'Links (Arm OLD Model)'!AH23</f>
        <v>-217</v>
      </c>
      <c r="AI134" s="59">
        <f>'Links (Arm OLD Model)'!AI23</f>
        <v>-250</v>
      </c>
      <c r="AJ134" s="59">
        <f>'Links (Arm OLD Model)'!AJ23</f>
        <v>-270</v>
      </c>
      <c r="AK134" s="59">
        <f>'Links (Arm OLD Model)'!AK23</f>
        <v>-358</v>
      </c>
      <c r="AL134" s="59">
        <f>'Links (Arm OLD Model)'!AL23</f>
        <v>-1095</v>
      </c>
      <c r="AM134" s="59">
        <f>'Links (Arm OLD Model)'!AM23</f>
        <v>-241</v>
      </c>
      <c r="AN134" s="59">
        <f>'Links (Arm OLD Model)'!AN23</f>
        <v>-281</v>
      </c>
      <c r="AO134" s="59">
        <f>'Links (Arm OLD Model)'!AO23</f>
        <v>-280</v>
      </c>
      <c r="AP134" s="59">
        <f>'Links (Arm OLD Model)'!AP23</f>
        <v>-319.11095175000003</v>
      </c>
      <c r="AQ134" s="59">
        <f>'Links (Arm OLD Model)'!AQ23</f>
        <v>-1121.1109517499999</v>
      </c>
      <c r="AR134" s="59">
        <f>'Links (Arm OLD Model)'!AR23</f>
        <v>-327.51678937500003</v>
      </c>
      <c r="AS134" s="59">
        <f>'Links (Arm OLD Model)'!AS23</f>
        <v>-328.72128099999998</v>
      </c>
      <c r="AT134" s="59">
        <f>'Links (Arm OLD Model)'!AT23</f>
        <v>-327.24049167750002</v>
      </c>
      <c r="AU134" s="59">
        <f>'Links (Arm OLD Model)'!AU23</f>
        <v>-334.52421825925001</v>
      </c>
      <c r="AV134" s="59">
        <f>'Links (Arm OLD Model)'!AV23</f>
        <v>-1318.00278031175</v>
      </c>
      <c r="AW134" s="59">
        <f>'Links (Arm OLD Model)'!AW23</f>
        <v>-359.26779673750002</v>
      </c>
      <c r="AX134" s="59">
        <f>'Links (Arm OLD Model)'!AX23</f>
        <v>-364.03234505</v>
      </c>
      <c r="AY134" s="59">
        <f>'Links (Arm OLD Model)'!AY23</f>
        <v>-370.16814126137496</v>
      </c>
      <c r="AZ134" s="59">
        <f>'Links (Arm OLD Model)'!AZ23</f>
        <v>-380.58019479721241</v>
      </c>
      <c r="BA134" s="59">
        <f>'Links (Arm OLD Model)'!BA23</f>
        <v>-1474.0484778460875</v>
      </c>
      <c r="BB134" s="59">
        <f>'Links (Arm OLD Model)'!BB23</f>
        <v>-390.52386454174996</v>
      </c>
      <c r="BC134" s="59">
        <f>'Links (Arm OLD Model)'!BC23</f>
        <v>-394.62771230249996</v>
      </c>
      <c r="BD134" s="59">
        <f>'Links (Arm OLD Model)'!BD23</f>
        <v>-398.60064207444378</v>
      </c>
      <c r="BE134" s="59">
        <f>'Links (Arm OLD Model)'!BE23</f>
        <v>-406.94631063082318</v>
      </c>
      <c r="BF134" s="59">
        <f>'Links (Arm OLD Model)'!BF23</f>
        <v>-1590.6985295495169</v>
      </c>
      <c r="BG134" s="59">
        <f>'Links (Arm OLD Model)'!BG23</f>
        <v>-415.25529641425499</v>
      </c>
      <c r="BH134" s="59">
        <f>'Links (Arm OLD Model)'!BH23</f>
        <v>-412.66409791762499</v>
      </c>
      <c r="BI134" s="59">
        <f>'Links (Arm OLD Model)'!BI23</f>
        <v>-410.98177417816601</v>
      </c>
      <c r="BJ134" s="59">
        <f>'Links (Arm OLD Model)'!BJ23</f>
        <v>-413.71554816236426</v>
      </c>
      <c r="BK134" s="59">
        <f>'Links (Arm OLD Model)'!BK23</f>
        <v>-1652.6167166724101</v>
      </c>
      <c r="BL134" s="59">
        <f>'Links (Arm OLD Model)'!BL23</f>
        <v>-421.43061419911027</v>
      </c>
      <c r="BM134" s="59">
        <f>'Links (Arm OLD Model)'!BM23</f>
        <v>-422.19730281350627</v>
      </c>
      <c r="BN134" s="59">
        <f>'Links (Arm OLD Model)'!BN23</f>
        <v>-420.31986288707424</v>
      </c>
      <c r="BO134" s="59">
        <f>'Links (Arm OLD Model)'!BO23</f>
        <v>-423.07821557048248</v>
      </c>
      <c r="BP134" s="59">
        <f>'Links (Arm OLD Model)'!BP23</f>
        <v>-1687.0259954701733</v>
      </c>
      <c r="BQ134" s="59">
        <f>'Links (Arm OLD Model)'!BQ23</f>
        <v>-431.01645105105683</v>
      </c>
      <c r="BR134" s="59">
        <f>'Links (Arm OLD Model)'!BR23</f>
        <v>-431.30716795418158</v>
      </c>
      <c r="BS134" s="59">
        <f>'Links (Arm OLD Model)'!BS23</f>
        <v>-425.0358560314279</v>
      </c>
      <c r="BT134" s="59">
        <f>'Links (Arm OLD Model)'!BT23</f>
        <v>-427.76912634900663</v>
      </c>
      <c r="BU134" s="59">
        <f>'Links (Arm OLD Model)'!BU23</f>
        <v>-1715.1286013856732</v>
      </c>
    </row>
    <row r="135" spans="1:73">
      <c r="A135" s="1" t="s">
        <v>1485</v>
      </c>
      <c r="AB135" s="59">
        <f>'Links (Arm OLD Model)'!AB24</f>
        <v>-802</v>
      </c>
      <c r="AF135" s="59">
        <f>'Links (Arm OLD Model)'!AF24</f>
        <v>-315</v>
      </c>
      <c r="AG135" s="59">
        <f>'Links (Arm OLD Model)'!AG24</f>
        <v>-875</v>
      </c>
      <c r="AH135" s="59">
        <f>'Links (Arm OLD Model)'!AH24</f>
        <v>-153</v>
      </c>
      <c r="AI135" s="59">
        <f>'Links (Arm OLD Model)'!AI24</f>
        <v>-158</v>
      </c>
      <c r="AJ135" s="59">
        <f>'Links (Arm OLD Model)'!AJ24</f>
        <v>-138</v>
      </c>
      <c r="AK135" s="59">
        <f>'Links (Arm OLD Model)'!AK24</f>
        <v>-251</v>
      </c>
      <c r="AL135" s="59">
        <f>'Links (Arm OLD Model)'!AL24</f>
        <v>-700</v>
      </c>
      <c r="AM135" s="59">
        <f>'Links (Arm OLD Model)'!AM24</f>
        <v>-138</v>
      </c>
      <c r="AN135" s="59">
        <f>'Links (Arm OLD Model)'!AN24</f>
        <v>-115</v>
      </c>
      <c r="AO135" s="59">
        <f>'Links (Arm OLD Model)'!AO24</f>
        <v>-157</v>
      </c>
      <c r="AP135" s="59">
        <f>'Links (Arm OLD Model)'!AP24</f>
        <v>-171.15680650000002</v>
      </c>
      <c r="AQ135" s="59">
        <f>'Links (Arm OLD Model)'!AQ24</f>
        <v>-581.15680650000002</v>
      </c>
      <c r="AR135" s="59">
        <f>'Links (Arm OLD Model)'!AR24</f>
        <v>-177.172263125</v>
      </c>
      <c r="AS135" s="59">
        <f>'Links (Arm OLD Model)'!AS24</f>
        <v>-177.24042700000001</v>
      </c>
      <c r="AT135" s="59">
        <f>'Links (Arm OLD Model)'!AT24</f>
        <v>-174.32430747500001</v>
      </c>
      <c r="AU135" s="59">
        <f>'Links (Arm OLD Model)'!AU24</f>
        <v>-178.17473941974998</v>
      </c>
      <c r="AV135" s="59">
        <f>'Links (Arm OLD Model)'!AV24</f>
        <v>-706.91173701975003</v>
      </c>
      <c r="AW135" s="59">
        <f>'Links (Arm OLD Model)'!AW24</f>
        <v>-185.42259891250001</v>
      </c>
      <c r="AX135" s="59">
        <f>'Links (Arm OLD Model)'!AX24</f>
        <v>-188.65244834999996</v>
      </c>
      <c r="AY135" s="59">
        <f>'Links (Arm OLD Model)'!AY24</f>
        <v>-190.53677284874993</v>
      </c>
      <c r="AZ135" s="59">
        <f>'Links (Arm OLD Model)'!AZ24</f>
        <v>-193.58347639073747</v>
      </c>
      <c r="BA135" s="59">
        <f>'Links (Arm OLD Model)'!BA24</f>
        <v>-758.1952965019874</v>
      </c>
      <c r="BB135" s="59">
        <f>'Links (Arm OLD Model)'!BB24</f>
        <v>-200.50795484725001</v>
      </c>
      <c r="BC135" s="59">
        <f>'Links (Arm OLD Model)'!BC24</f>
        <v>-199.24257076749998</v>
      </c>
      <c r="BD135" s="59">
        <f>'Links (Arm OLD Model)'!BD24</f>
        <v>-195.92504899118748</v>
      </c>
      <c r="BE135" s="59">
        <f>'Links (Arm OLD Model)'!BE24</f>
        <v>-197.86265021027435</v>
      </c>
      <c r="BF135" s="59">
        <f>'Links (Arm OLD Model)'!BF24</f>
        <v>-793.53822481621182</v>
      </c>
      <c r="BG135" s="59">
        <f>'Links (Arm OLD Model)'!BG24</f>
        <v>-202.96843213808501</v>
      </c>
      <c r="BH135" s="59">
        <f>'Links (Arm OLD Model)'!BH24</f>
        <v>-203.68019930587496</v>
      </c>
      <c r="BI135" s="59">
        <f>'Links (Arm OLD Model)'!BI24</f>
        <v>-201.74805644074684</v>
      </c>
      <c r="BJ135" s="59">
        <f>'Links (Arm OLD Model)'!BJ24</f>
        <v>-205.35980527078806</v>
      </c>
      <c r="BK135" s="59">
        <f>'Links (Arm OLD Model)'!BK24</f>
        <v>-813.75649315549481</v>
      </c>
      <c r="BL135" s="59">
        <f>'Links (Arm OLD Model)'!BL24</f>
        <v>-210.15110084187009</v>
      </c>
      <c r="BM135" s="59">
        <f>'Links (Arm OLD Model)'!BM24</f>
        <v>-211.42007267442372</v>
      </c>
      <c r="BN135" s="59">
        <f>'Links (Arm OLD Model)'!BN24</f>
        <v>-209.36688130007178</v>
      </c>
      <c r="BO135" s="59">
        <f>'Links (Arm OLD Model)'!BO24</f>
        <v>-213.13453179198791</v>
      </c>
      <c r="BP135" s="59">
        <f>'Links (Arm OLD Model)'!BP24</f>
        <v>-844.0725866083535</v>
      </c>
      <c r="BQ135" s="59">
        <f>'Links (Arm OLD Model)'!BQ24</f>
        <v>-217.56189488486433</v>
      </c>
      <c r="BR135" s="59">
        <f>'Links (Arm OLD Model)'!BR24</f>
        <v>-219.44769796458434</v>
      </c>
      <c r="BS135" s="59">
        <f>'Links (Arm OLD Model)'!BS24</f>
        <v>-217.26641323807917</v>
      </c>
      <c r="BT135" s="59">
        <f>'Links (Arm OLD Model)'!BT24</f>
        <v>-221.19675813332117</v>
      </c>
      <c r="BU135" s="59">
        <f>'Links (Arm OLD Model)'!BU24</f>
        <v>-875.47276422084894</v>
      </c>
    </row>
    <row r="136" spans="1:73">
      <c r="A136" s="436" t="s">
        <v>1935</v>
      </c>
      <c r="AB136" s="59">
        <f>'Links (Arm OLD Model)'!AB25</f>
        <v>3</v>
      </c>
      <c r="AF136" s="59">
        <f>'Links (Arm OLD Model)'!AF25</f>
        <v>0</v>
      </c>
      <c r="AG136" s="59">
        <f>'Links (Arm OLD Model)'!AG25</f>
        <v>0</v>
      </c>
      <c r="AH136" s="59">
        <f>'Links (Arm OLD Model)'!AH25</f>
        <v>-2</v>
      </c>
      <c r="AI136" s="59">
        <f>'Links (Arm OLD Model)'!AI25</f>
        <v>0</v>
      </c>
      <c r="AJ136" s="59">
        <f>'Links (Arm OLD Model)'!AJ25</f>
        <v>0</v>
      </c>
      <c r="AK136" s="59">
        <f>'Links (Arm OLD Model)'!AK25</f>
        <v>0</v>
      </c>
      <c r="AL136" s="59">
        <f>'Links (Arm OLD Model)'!AL25</f>
        <v>-2</v>
      </c>
      <c r="AM136" s="59">
        <f>'Links (Arm OLD Model)'!AM25</f>
        <v>0</v>
      </c>
      <c r="AN136" s="59">
        <f>'Links (Arm OLD Model)'!AN25</f>
        <v>0</v>
      </c>
      <c r="AO136" s="59">
        <f>'Links (Arm OLD Model)'!AO25</f>
        <v>0</v>
      </c>
      <c r="AP136" s="59">
        <f>'Links (Arm OLD Model)'!AP25</f>
        <v>0</v>
      </c>
      <c r="AQ136" s="59">
        <f>'Links (Arm OLD Model)'!AQ25</f>
        <v>0</v>
      </c>
      <c r="AR136" s="59">
        <f>'Links (Arm OLD Model)'!AR25</f>
        <v>0</v>
      </c>
      <c r="AS136" s="59">
        <f>'Links (Arm OLD Model)'!AS25</f>
        <v>0</v>
      </c>
      <c r="AT136" s="59">
        <f>'Links (Arm OLD Model)'!AT25</f>
        <v>0</v>
      </c>
      <c r="AU136" s="59">
        <f>'Links (Arm OLD Model)'!AU25</f>
        <v>0</v>
      </c>
      <c r="AV136" s="59">
        <f>'Links (Arm OLD Model)'!AV25</f>
        <v>0</v>
      </c>
      <c r="AW136" s="59">
        <f>'Links (Arm OLD Model)'!AW25</f>
        <v>0</v>
      </c>
      <c r="AX136" s="59">
        <f>'Links (Arm OLD Model)'!AX25</f>
        <v>0</v>
      </c>
      <c r="AY136" s="59">
        <f>'Links (Arm OLD Model)'!AY25</f>
        <v>0</v>
      </c>
      <c r="AZ136" s="59">
        <f>'Links (Arm OLD Model)'!AZ25</f>
        <v>0</v>
      </c>
      <c r="BA136" s="59">
        <f>'Links (Arm OLD Model)'!BA25</f>
        <v>0</v>
      </c>
      <c r="BB136" s="59">
        <f>'Links (Arm OLD Model)'!BB25</f>
        <v>0</v>
      </c>
      <c r="BC136" s="59">
        <f>'Links (Arm OLD Model)'!BC25</f>
        <v>0</v>
      </c>
      <c r="BD136" s="59">
        <f>'Links (Arm OLD Model)'!BD25</f>
        <v>0</v>
      </c>
      <c r="BE136" s="59">
        <f>'Links (Arm OLD Model)'!BE25</f>
        <v>0</v>
      </c>
      <c r="BF136" s="59">
        <f>'Links (Arm OLD Model)'!BF25</f>
        <v>0</v>
      </c>
      <c r="BG136" s="59">
        <f>'Links (Arm OLD Model)'!BG25</f>
        <v>0</v>
      </c>
      <c r="BH136" s="59">
        <f>'Links (Arm OLD Model)'!BH25</f>
        <v>0</v>
      </c>
      <c r="BI136" s="59">
        <f>'Links (Arm OLD Model)'!BI25</f>
        <v>0</v>
      </c>
      <c r="BJ136" s="59">
        <f>'Links (Arm OLD Model)'!BJ25</f>
        <v>0</v>
      </c>
      <c r="BK136" s="59">
        <f>'Links (Arm OLD Model)'!BK25</f>
        <v>0</v>
      </c>
      <c r="BL136" s="59">
        <f>'Links (Arm OLD Model)'!BL25</f>
        <v>0</v>
      </c>
      <c r="BM136" s="59">
        <f>'Links (Arm OLD Model)'!BM25</f>
        <v>0</v>
      </c>
      <c r="BN136" s="59">
        <f>'Links (Arm OLD Model)'!BN25</f>
        <v>0</v>
      </c>
      <c r="BO136" s="59">
        <f>'Links (Arm OLD Model)'!BO25</f>
        <v>0</v>
      </c>
      <c r="BP136" s="59">
        <f>'Links (Arm OLD Model)'!BP25</f>
        <v>0</v>
      </c>
      <c r="BQ136" s="59">
        <f>'Links (Arm OLD Model)'!BQ25</f>
        <v>0</v>
      </c>
      <c r="BR136" s="59">
        <f>'Links (Arm OLD Model)'!BR25</f>
        <v>0</v>
      </c>
      <c r="BS136" s="59">
        <f>'Links (Arm OLD Model)'!BS25</f>
        <v>0</v>
      </c>
      <c r="BT136" s="59">
        <f>'Links (Arm OLD Model)'!BT25</f>
        <v>0</v>
      </c>
      <c r="BU136" s="59">
        <f>'Links (Arm OLD Model)'!BU25</f>
        <v>0</v>
      </c>
    </row>
    <row r="137" spans="1:73" s="79" customFormat="1">
      <c r="A137" s="314" t="s">
        <v>1948</v>
      </c>
      <c r="B137" s="314"/>
      <c r="C137" s="314"/>
      <c r="D137" s="314"/>
      <c r="E137" s="314"/>
      <c r="F137" s="314"/>
      <c r="G137" s="314"/>
      <c r="H137" s="314"/>
      <c r="I137" s="314"/>
      <c r="J137" s="314"/>
      <c r="K137" s="314"/>
      <c r="L137" s="314"/>
      <c r="M137" s="314"/>
      <c r="N137" s="314"/>
      <c r="O137" s="314"/>
      <c r="P137" s="314"/>
      <c r="Q137" s="314"/>
      <c r="R137" s="314"/>
      <c r="S137" s="314"/>
      <c r="T137" s="314"/>
      <c r="U137" s="314"/>
      <c r="V137" s="314"/>
      <c r="W137" s="314"/>
      <c r="X137" s="81"/>
      <c r="Y137" s="81"/>
      <c r="Z137" s="81"/>
      <c r="AA137" s="81"/>
      <c r="AB137" s="81">
        <f>SUM(AB134:AB136)</f>
        <v>-1590</v>
      </c>
      <c r="AC137" s="81"/>
      <c r="AD137" s="81"/>
      <c r="AE137" s="81"/>
      <c r="AF137" s="81">
        <f t="shared" ref="AF137:BU137" si="474">SUM(AF134:AF136)</f>
        <v>-651</v>
      </c>
      <c r="AG137" s="81">
        <f t="shared" si="474"/>
        <v>-1851</v>
      </c>
      <c r="AH137" s="81">
        <f t="shared" si="474"/>
        <v>-372</v>
      </c>
      <c r="AI137" s="81">
        <f t="shared" si="474"/>
        <v>-408</v>
      </c>
      <c r="AJ137" s="81">
        <f t="shared" si="474"/>
        <v>-408</v>
      </c>
      <c r="AK137" s="81">
        <f t="shared" si="474"/>
        <v>-609</v>
      </c>
      <c r="AL137" s="81">
        <f t="shared" si="474"/>
        <v>-1797</v>
      </c>
      <c r="AM137" s="81">
        <f t="shared" si="474"/>
        <v>-379</v>
      </c>
      <c r="AN137" s="81">
        <f t="shared" si="474"/>
        <v>-396</v>
      </c>
      <c r="AO137" s="81">
        <f t="shared" si="474"/>
        <v>-437</v>
      </c>
      <c r="AP137" s="81">
        <f t="shared" si="474"/>
        <v>-490.26775825000004</v>
      </c>
      <c r="AQ137" s="81">
        <f t="shared" si="474"/>
        <v>-1702.26775825</v>
      </c>
      <c r="AR137" s="81">
        <f t="shared" si="474"/>
        <v>-504.6890525</v>
      </c>
      <c r="AS137" s="81">
        <f t="shared" si="474"/>
        <v>-505.96170799999999</v>
      </c>
      <c r="AT137" s="81">
        <f t="shared" si="474"/>
        <v>-501.56479915250003</v>
      </c>
      <c r="AU137" s="81">
        <f t="shared" si="474"/>
        <v>-512.69895767899993</v>
      </c>
      <c r="AV137" s="81">
        <f t="shared" si="474"/>
        <v>-2024.9145173315001</v>
      </c>
      <c r="AW137" s="81">
        <f t="shared" si="474"/>
        <v>-544.69039565000003</v>
      </c>
      <c r="AX137" s="81">
        <f t="shared" si="474"/>
        <v>-552.68479339999999</v>
      </c>
      <c r="AY137" s="81">
        <f t="shared" si="474"/>
        <v>-560.70491411012495</v>
      </c>
      <c r="AZ137" s="81">
        <f t="shared" si="474"/>
        <v>-574.16367118794983</v>
      </c>
      <c r="BA137" s="81">
        <f t="shared" si="474"/>
        <v>-2232.243774348075</v>
      </c>
      <c r="BB137" s="81">
        <f t="shared" si="474"/>
        <v>-591.03181938900002</v>
      </c>
      <c r="BC137" s="81">
        <f t="shared" si="474"/>
        <v>-593.87028306999991</v>
      </c>
      <c r="BD137" s="81">
        <f t="shared" si="474"/>
        <v>-594.52569106563124</v>
      </c>
      <c r="BE137" s="81">
        <f t="shared" si="474"/>
        <v>-604.80896084109759</v>
      </c>
      <c r="BF137" s="81">
        <f t="shared" si="474"/>
        <v>-2384.2367543657288</v>
      </c>
      <c r="BG137" s="81">
        <f t="shared" si="474"/>
        <v>-618.22372855233994</v>
      </c>
      <c r="BH137" s="81">
        <f t="shared" si="474"/>
        <v>-616.34429722350001</v>
      </c>
      <c r="BI137" s="81">
        <f t="shared" si="474"/>
        <v>-612.72983061891284</v>
      </c>
      <c r="BJ137" s="81">
        <f t="shared" si="474"/>
        <v>-619.07535343315226</v>
      </c>
      <c r="BK137" s="81">
        <f t="shared" si="474"/>
        <v>-2466.3732098279052</v>
      </c>
      <c r="BL137" s="81">
        <f t="shared" si="474"/>
        <v>-631.58171504098038</v>
      </c>
      <c r="BM137" s="81">
        <f t="shared" si="474"/>
        <v>-633.61737548792996</v>
      </c>
      <c r="BN137" s="81">
        <f t="shared" si="474"/>
        <v>-629.68674418714602</v>
      </c>
      <c r="BO137" s="81">
        <f t="shared" si="474"/>
        <v>-636.2127473624704</v>
      </c>
      <c r="BP137" s="81">
        <f t="shared" si="474"/>
        <v>-2531.0985820785268</v>
      </c>
      <c r="BQ137" s="81">
        <f t="shared" si="474"/>
        <v>-648.57834593592111</v>
      </c>
      <c r="BR137" s="81">
        <f t="shared" si="474"/>
        <v>-650.75486591876597</v>
      </c>
      <c r="BS137" s="81">
        <f t="shared" si="474"/>
        <v>-642.30226926950706</v>
      </c>
      <c r="BT137" s="81">
        <f t="shared" si="474"/>
        <v>-648.96588448232774</v>
      </c>
      <c r="BU137" s="81">
        <f t="shared" si="474"/>
        <v>-2590.601365606522</v>
      </c>
    </row>
    <row r="139" spans="1:73">
      <c r="A139" s="1" t="s">
        <v>1115</v>
      </c>
    </row>
    <row r="140" spans="1:73">
      <c r="A140" s="1" t="s">
        <v>1934</v>
      </c>
      <c r="AB140" s="119">
        <f>-AB134/AB$62</f>
        <v>0.39023186975826346</v>
      </c>
      <c r="AF140" s="119">
        <f t="shared" ref="AF140:BU140" si="475">-AF134/AF$62</f>
        <v>0.51141552511415522</v>
      </c>
      <c r="AG140" s="119">
        <f t="shared" si="475"/>
        <v>0.36108028116907143</v>
      </c>
      <c r="AH140" s="119">
        <f t="shared" si="475"/>
        <v>0.31358381502890176</v>
      </c>
      <c r="AI140" s="119">
        <f t="shared" si="475"/>
        <v>0.3968253968253968</v>
      </c>
      <c r="AJ140" s="119">
        <f t="shared" si="475"/>
        <v>0.3729281767955801</v>
      </c>
      <c r="AK140" s="119">
        <f t="shared" si="475"/>
        <v>0.56556082148499209</v>
      </c>
      <c r="AL140" s="119">
        <f t="shared" si="475"/>
        <v>0.40873460246360582</v>
      </c>
      <c r="AM140" s="119">
        <f t="shared" si="475"/>
        <v>0.35703703703703704</v>
      </c>
      <c r="AN140" s="119">
        <f t="shared" si="475"/>
        <v>0.34863523573200994</v>
      </c>
      <c r="AO140" s="119">
        <f t="shared" si="475"/>
        <v>0.33980582524271846</v>
      </c>
      <c r="AP140" s="119">
        <f t="shared" si="475"/>
        <v>0.3693186282014051</v>
      </c>
      <c r="AQ140" s="119">
        <f t="shared" si="475"/>
        <v>0.35376841982513557</v>
      </c>
      <c r="AR140" s="119">
        <f t="shared" si="475"/>
        <v>0.35733467514262895</v>
      </c>
      <c r="AS140" s="119">
        <f t="shared" si="475"/>
        <v>0.33708383890072208</v>
      </c>
      <c r="AT140" s="119">
        <f t="shared" si="475"/>
        <v>0.31061812003913469</v>
      </c>
      <c r="AU140" s="119">
        <f t="shared" si="475"/>
        <v>0.32274243729199237</v>
      </c>
      <c r="AV140" s="119">
        <f t="shared" si="475"/>
        <v>0.33100966390030206</v>
      </c>
      <c r="AW140" s="119">
        <f t="shared" si="475"/>
        <v>0.32068482098099788</v>
      </c>
      <c r="AX140" s="119">
        <f t="shared" si="475"/>
        <v>0.30440992236773939</v>
      </c>
      <c r="AY140" s="119">
        <f t="shared" si="475"/>
        <v>0.29523983053754821</v>
      </c>
      <c r="AZ140" s="119">
        <f t="shared" si="475"/>
        <v>0.31526966171119714</v>
      </c>
      <c r="BA140" s="119">
        <f t="shared" si="475"/>
        <v>0.30856411147094553</v>
      </c>
      <c r="BB140" s="119">
        <f t="shared" si="475"/>
        <v>0.30759791058441743</v>
      </c>
      <c r="BC140" s="119">
        <f t="shared" si="475"/>
        <v>0.29139924439197445</v>
      </c>
      <c r="BD140" s="119">
        <f t="shared" si="475"/>
        <v>0.27824736974428294</v>
      </c>
      <c r="BE140" s="119">
        <f t="shared" si="475"/>
        <v>0.29514244838256343</v>
      </c>
      <c r="BF140" s="119">
        <f t="shared" si="475"/>
        <v>0.29266622395372077</v>
      </c>
      <c r="BG140" s="119">
        <f t="shared" si="475"/>
        <v>0.28269218578872712</v>
      </c>
      <c r="BH140" s="119">
        <f t="shared" si="475"/>
        <v>0.26473920758685043</v>
      </c>
      <c r="BI140" s="119">
        <f t="shared" si="475"/>
        <v>0.25604927601250327</v>
      </c>
      <c r="BJ140" s="119">
        <f t="shared" si="475"/>
        <v>0.27270983844332364</v>
      </c>
      <c r="BK140" s="119">
        <f t="shared" si="475"/>
        <v>0.26872556982676149</v>
      </c>
      <c r="BL140" s="119">
        <f t="shared" si="475"/>
        <v>0.26030835560817761</v>
      </c>
      <c r="BM140" s="119">
        <f t="shared" si="475"/>
        <v>0.24526864509047278</v>
      </c>
      <c r="BN140" s="119">
        <f t="shared" si="475"/>
        <v>0.2377993617430485</v>
      </c>
      <c r="BO140" s="119">
        <f t="shared" si="475"/>
        <v>0.25465780890398848</v>
      </c>
      <c r="BP140" s="119">
        <f t="shared" si="475"/>
        <v>0.24921965611723079</v>
      </c>
      <c r="BQ140" s="119">
        <f t="shared" si="475"/>
        <v>0.24311874002579728</v>
      </c>
      <c r="BR140" s="119">
        <f t="shared" si="475"/>
        <v>0.22931772648613694</v>
      </c>
      <c r="BS140" s="119">
        <f t="shared" si="475"/>
        <v>0.22141529686182151</v>
      </c>
      <c r="BT140" s="119">
        <f t="shared" si="475"/>
        <v>0.23904288215410033</v>
      </c>
      <c r="BU140" s="119">
        <f t="shared" si="475"/>
        <v>0.23294415831836465</v>
      </c>
    </row>
    <row r="141" spans="1:73">
      <c r="A141" s="1" t="s">
        <v>1485</v>
      </c>
      <c r="AB141" s="119">
        <f>-AB135/AB$62</f>
        <v>0.39565860878145043</v>
      </c>
      <c r="AF141" s="119">
        <f t="shared" ref="AF141:BU141" si="476">-AF135/AF$62</f>
        <v>0.47945205479452052</v>
      </c>
      <c r="AG141" s="119">
        <f t="shared" si="476"/>
        <v>0.32371439141694414</v>
      </c>
      <c r="AH141" s="119">
        <f t="shared" si="476"/>
        <v>0.22109826589595374</v>
      </c>
      <c r="AI141" s="119">
        <f t="shared" si="476"/>
        <v>0.25079365079365079</v>
      </c>
      <c r="AJ141" s="119">
        <f t="shared" si="476"/>
        <v>0.19060773480662985</v>
      </c>
      <c r="AK141" s="119">
        <f t="shared" si="476"/>
        <v>0.39652448657187994</v>
      </c>
      <c r="AL141" s="119">
        <f t="shared" si="476"/>
        <v>0.26129152668906308</v>
      </c>
      <c r="AM141" s="119">
        <f t="shared" si="476"/>
        <v>0.20444444444444446</v>
      </c>
      <c r="AN141" s="119">
        <f t="shared" si="476"/>
        <v>0.14267990074441686</v>
      </c>
      <c r="AO141" s="119">
        <f t="shared" si="476"/>
        <v>0.19053398058252427</v>
      </c>
      <c r="AP141" s="119">
        <f t="shared" si="476"/>
        <v>0.19808595298050072</v>
      </c>
      <c r="AQ141" s="119">
        <f t="shared" si="476"/>
        <v>0.18338499395193969</v>
      </c>
      <c r="AR141" s="119">
        <f t="shared" si="476"/>
        <v>0.19330243560603494</v>
      </c>
      <c r="AS141" s="119">
        <f t="shared" si="476"/>
        <v>0.18174936335065939</v>
      </c>
      <c r="AT141" s="119">
        <f t="shared" si="476"/>
        <v>0.16546940260184079</v>
      </c>
      <c r="AU141" s="119">
        <f t="shared" si="476"/>
        <v>0.17189951138195558</v>
      </c>
      <c r="AV141" s="119">
        <f t="shared" si="476"/>
        <v>0.17753727076564962</v>
      </c>
      <c r="AW141" s="119">
        <f t="shared" si="476"/>
        <v>0.16550944303402917</v>
      </c>
      <c r="AX141" s="119">
        <f t="shared" si="476"/>
        <v>0.15775432578338536</v>
      </c>
      <c r="AY141" s="119">
        <f t="shared" si="476"/>
        <v>0.1519688980670959</v>
      </c>
      <c r="AZ141" s="119">
        <f t="shared" si="476"/>
        <v>0.16036304029720977</v>
      </c>
      <c r="BA141" s="119">
        <f t="shared" si="476"/>
        <v>0.15871381538851526</v>
      </c>
      <c r="BB141" s="119">
        <f t="shared" si="476"/>
        <v>0.15793100900233256</v>
      </c>
      <c r="BC141" s="119">
        <f t="shared" si="476"/>
        <v>0.14712381508539127</v>
      </c>
      <c r="BD141" s="119">
        <f t="shared" si="476"/>
        <v>0.13676754072723296</v>
      </c>
      <c r="BE141" s="119">
        <f t="shared" si="476"/>
        <v>0.14350214143973594</v>
      </c>
      <c r="BF141" s="119">
        <f t="shared" si="476"/>
        <v>0.14599990601969687</v>
      </c>
      <c r="BG141" s="119">
        <f t="shared" si="476"/>
        <v>0.1381742514127666</v>
      </c>
      <c r="BH141" s="119">
        <f t="shared" si="476"/>
        <v>0.13066834463543012</v>
      </c>
      <c r="BI141" s="119">
        <f t="shared" si="476"/>
        <v>0.12569278501919331</v>
      </c>
      <c r="BJ141" s="119">
        <f t="shared" si="476"/>
        <v>0.13536749964294351</v>
      </c>
      <c r="BK141" s="119">
        <f t="shared" si="476"/>
        <v>0.13232177498709444</v>
      </c>
      <c r="BL141" s="119">
        <f t="shared" si="476"/>
        <v>0.12980568009601187</v>
      </c>
      <c r="BM141" s="119">
        <f t="shared" si="476"/>
        <v>0.12282104699444409</v>
      </c>
      <c r="BN141" s="119">
        <f t="shared" si="476"/>
        <v>0.1184510063391076</v>
      </c>
      <c r="BO141" s="119">
        <f t="shared" si="476"/>
        <v>0.12828921667530993</v>
      </c>
      <c r="BP141" s="119">
        <f t="shared" si="476"/>
        <v>0.12469249456579255</v>
      </c>
      <c r="BQ141" s="119">
        <f t="shared" si="476"/>
        <v>0.12271776084891847</v>
      </c>
      <c r="BR141" s="119">
        <f t="shared" si="476"/>
        <v>0.11667612068344028</v>
      </c>
      <c r="BS141" s="119">
        <f t="shared" si="476"/>
        <v>0.11318129212528234</v>
      </c>
      <c r="BT141" s="119">
        <f t="shared" si="476"/>
        <v>0.12360758953929896</v>
      </c>
      <c r="BU141" s="119">
        <f t="shared" si="476"/>
        <v>0.11890435855790357</v>
      </c>
    </row>
    <row r="142" spans="1:73">
      <c r="A142" s="436" t="s">
        <v>1935</v>
      </c>
      <c r="AB142" s="119">
        <f>-AB136/AB$62</f>
        <v>-1.4800197335964479E-3</v>
      </c>
      <c r="AF142" s="119">
        <f t="shared" ref="AF142:BU142" si="477">-AF136/AF$62</f>
        <v>0</v>
      </c>
      <c r="AG142" s="119">
        <f t="shared" si="477"/>
        <v>0</v>
      </c>
      <c r="AH142" s="119">
        <f t="shared" si="477"/>
        <v>2.8901734104046241E-3</v>
      </c>
      <c r="AI142" s="119">
        <f t="shared" si="477"/>
        <v>0</v>
      </c>
      <c r="AJ142" s="119">
        <f t="shared" si="477"/>
        <v>0</v>
      </c>
      <c r="AK142" s="119">
        <f t="shared" si="477"/>
        <v>0</v>
      </c>
      <c r="AL142" s="119">
        <f t="shared" si="477"/>
        <v>7.4654721911160881E-4</v>
      </c>
      <c r="AM142" s="119">
        <f t="shared" si="477"/>
        <v>0</v>
      </c>
      <c r="AN142" s="119">
        <f t="shared" si="477"/>
        <v>0</v>
      </c>
      <c r="AO142" s="119">
        <f t="shared" si="477"/>
        <v>0</v>
      </c>
      <c r="AP142" s="119">
        <f t="shared" si="477"/>
        <v>0</v>
      </c>
      <c r="AQ142" s="119">
        <f t="shared" si="477"/>
        <v>0</v>
      </c>
      <c r="AR142" s="119">
        <f t="shared" si="477"/>
        <v>0</v>
      </c>
      <c r="AS142" s="119">
        <f t="shared" si="477"/>
        <v>0</v>
      </c>
      <c r="AT142" s="119">
        <f t="shared" si="477"/>
        <v>0</v>
      </c>
      <c r="AU142" s="119">
        <f t="shared" si="477"/>
        <v>0</v>
      </c>
      <c r="AV142" s="119">
        <f t="shared" si="477"/>
        <v>0</v>
      </c>
      <c r="AW142" s="119">
        <f t="shared" si="477"/>
        <v>0</v>
      </c>
      <c r="AX142" s="119">
        <f t="shared" si="477"/>
        <v>0</v>
      </c>
      <c r="AY142" s="119">
        <f t="shared" si="477"/>
        <v>0</v>
      </c>
      <c r="AZ142" s="119">
        <f t="shared" si="477"/>
        <v>0</v>
      </c>
      <c r="BA142" s="119">
        <f t="shared" si="477"/>
        <v>0</v>
      </c>
      <c r="BB142" s="119">
        <f t="shared" si="477"/>
        <v>0</v>
      </c>
      <c r="BC142" s="119">
        <f t="shared" si="477"/>
        <v>0</v>
      </c>
      <c r="BD142" s="119">
        <f t="shared" si="477"/>
        <v>0</v>
      </c>
      <c r="BE142" s="119">
        <f t="shared" si="477"/>
        <v>0</v>
      </c>
      <c r="BF142" s="119">
        <f t="shared" si="477"/>
        <v>0</v>
      </c>
      <c r="BG142" s="119">
        <f t="shared" si="477"/>
        <v>0</v>
      </c>
      <c r="BH142" s="119">
        <f t="shared" si="477"/>
        <v>0</v>
      </c>
      <c r="BI142" s="119">
        <f t="shared" si="477"/>
        <v>0</v>
      </c>
      <c r="BJ142" s="119">
        <f t="shared" si="477"/>
        <v>0</v>
      </c>
      <c r="BK142" s="119">
        <f t="shared" si="477"/>
        <v>0</v>
      </c>
      <c r="BL142" s="119">
        <f t="shared" si="477"/>
        <v>0</v>
      </c>
      <c r="BM142" s="119">
        <f t="shared" si="477"/>
        <v>0</v>
      </c>
      <c r="BN142" s="119">
        <f t="shared" si="477"/>
        <v>0</v>
      </c>
      <c r="BO142" s="119">
        <f t="shared" si="477"/>
        <v>0</v>
      </c>
      <c r="BP142" s="119">
        <f t="shared" si="477"/>
        <v>0</v>
      </c>
      <c r="BQ142" s="119">
        <f t="shared" si="477"/>
        <v>0</v>
      </c>
      <c r="BR142" s="119">
        <f t="shared" si="477"/>
        <v>0</v>
      </c>
      <c r="BS142" s="119">
        <f t="shared" si="477"/>
        <v>0</v>
      </c>
      <c r="BT142" s="119">
        <f t="shared" si="477"/>
        <v>0</v>
      </c>
      <c r="BU142" s="119">
        <f t="shared" si="477"/>
        <v>0</v>
      </c>
    </row>
    <row r="143" spans="1:73" s="79" customFormat="1">
      <c r="A143" s="314" t="s">
        <v>1948</v>
      </c>
      <c r="B143" s="314"/>
      <c r="C143" s="314"/>
      <c r="D143" s="314"/>
      <c r="E143" s="314"/>
      <c r="F143" s="314"/>
      <c r="G143" s="314"/>
      <c r="H143" s="314"/>
      <c r="I143" s="314"/>
      <c r="J143" s="314"/>
      <c r="K143" s="314"/>
      <c r="L143" s="314"/>
      <c r="M143" s="314"/>
      <c r="N143" s="314"/>
      <c r="O143" s="314"/>
      <c r="P143" s="314"/>
      <c r="Q143" s="314"/>
      <c r="R143" s="314"/>
      <c r="S143" s="314"/>
      <c r="T143" s="314"/>
      <c r="U143" s="314"/>
      <c r="V143" s="314"/>
      <c r="W143" s="314"/>
      <c r="X143" s="81"/>
      <c r="Y143" s="81"/>
      <c r="Z143" s="81"/>
      <c r="AA143" s="81"/>
      <c r="AB143" s="315">
        <f>-AB137/AB$62</f>
        <v>0.78441045880611737</v>
      </c>
      <c r="AC143" s="81"/>
      <c r="AD143" s="81"/>
      <c r="AE143" s="81"/>
      <c r="AF143" s="315">
        <f t="shared" ref="AF143:BU143" si="478">-AF137/AF$62</f>
        <v>0.9908675799086758</v>
      </c>
      <c r="AG143" s="315">
        <f t="shared" si="478"/>
        <v>0.68479467258601556</v>
      </c>
      <c r="AH143" s="315">
        <f t="shared" si="478"/>
        <v>0.53757225433526012</v>
      </c>
      <c r="AI143" s="315">
        <f t="shared" si="478"/>
        <v>0.64761904761904765</v>
      </c>
      <c r="AJ143" s="315">
        <f t="shared" si="478"/>
        <v>0.56353591160220995</v>
      </c>
      <c r="AK143" s="315">
        <f t="shared" si="478"/>
        <v>0.96208530805687209</v>
      </c>
      <c r="AL143" s="315">
        <f t="shared" si="478"/>
        <v>0.67077267637178051</v>
      </c>
      <c r="AM143" s="315">
        <f t="shared" si="478"/>
        <v>0.56148148148148147</v>
      </c>
      <c r="AN143" s="315">
        <f t="shared" si="478"/>
        <v>0.49131513647642677</v>
      </c>
      <c r="AO143" s="315">
        <f t="shared" si="478"/>
        <v>0.53033980582524276</v>
      </c>
      <c r="AP143" s="315">
        <f t="shared" si="478"/>
        <v>0.56740458118190584</v>
      </c>
      <c r="AQ143" s="315">
        <f t="shared" si="478"/>
        <v>0.53715341377707537</v>
      </c>
      <c r="AR143" s="315">
        <f t="shared" si="478"/>
        <v>0.55063711074866384</v>
      </c>
      <c r="AS143" s="315">
        <f t="shared" si="478"/>
        <v>0.51883320225138152</v>
      </c>
      <c r="AT143" s="315">
        <f t="shared" si="478"/>
        <v>0.47608752264097548</v>
      </c>
      <c r="AU143" s="315">
        <f t="shared" si="478"/>
        <v>0.49464194867394784</v>
      </c>
      <c r="AV143" s="315">
        <f t="shared" si="478"/>
        <v>0.50854693466595169</v>
      </c>
      <c r="AW143" s="315">
        <f t="shared" si="478"/>
        <v>0.48619426401502708</v>
      </c>
      <c r="AX143" s="315">
        <f t="shared" si="478"/>
        <v>0.46216424815112478</v>
      </c>
      <c r="AY143" s="315">
        <f t="shared" si="478"/>
        <v>0.44720872860464417</v>
      </c>
      <c r="AZ143" s="315">
        <f t="shared" si="478"/>
        <v>0.47563270200840685</v>
      </c>
      <c r="BA143" s="315">
        <f t="shared" si="478"/>
        <v>0.46727792685946085</v>
      </c>
      <c r="BB143" s="315">
        <f t="shared" si="478"/>
        <v>0.46552891958675008</v>
      </c>
      <c r="BC143" s="315">
        <f t="shared" si="478"/>
        <v>0.4385230594773657</v>
      </c>
      <c r="BD143" s="315">
        <f t="shared" si="478"/>
        <v>0.4150149104715159</v>
      </c>
      <c r="BE143" s="315">
        <f t="shared" si="478"/>
        <v>0.43864458982229942</v>
      </c>
      <c r="BF143" s="315">
        <f t="shared" si="478"/>
        <v>0.43866612997341764</v>
      </c>
      <c r="BG143" s="315">
        <f t="shared" si="478"/>
        <v>0.42086643720149369</v>
      </c>
      <c r="BH143" s="315">
        <f t="shared" si="478"/>
        <v>0.39540755222228058</v>
      </c>
      <c r="BI143" s="315">
        <f t="shared" si="478"/>
        <v>0.38174206103169656</v>
      </c>
      <c r="BJ143" s="315">
        <f t="shared" si="478"/>
        <v>0.40807733808626712</v>
      </c>
      <c r="BK143" s="315">
        <f t="shared" si="478"/>
        <v>0.40104734481385595</v>
      </c>
      <c r="BL143" s="315">
        <f t="shared" si="478"/>
        <v>0.39011403570418951</v>
      </c>
      <c r="BM143" s="315">
        <f t="shared" si="478"/>
        <v>0.36808969208491688</v>
      </c>
      <c r="BN143" s="315">
        <f t="shared" si="478"/>
        <v>0.3562503680821561</v>
      </c>
      <c r="BO143" s="315">
        <f t="shared" si="478"/>
        <v>0.38294702557929838</v>
      </c>
      <c r="BP143" s="315">
        <f t="shared" si="478"/>
        <v>0.37391215068302336</v>
      </c>
      <c r="BQ143" s="315">
        <f t="shared" si="478"/>
        <v>0.36583650087471575</v>
      </c>
      <c r="BR143" s="315">
        <f t="shared" si="478"/>
        <v>0.34599384716957726</v>
      </c>
      <c r="BS143" s="315">
        <f t="shared" si="478"/>
        <v>0.33459658898710387</v>
      </c>
      <c r="BT143" s="315">
        <f t="shared" si="478"/>
        <v>0.36265047169339926</v>
      </c>
      <c r="BU143" s="315">
        <f t="shared" si="478"/>
        <v>0.35184851687626822</v>
      </c>
    </row>
    <row r="145" spans="1:73" s="79" customFormat="1">
      <c r="A145" s="314" t="s">
        <v>1945</v>
      </c>
      <c r="B145" s="314"/>
      <c r="C145" s="314"/>
      <c r="D145" s="314"/>
      <c r="E145" s="314"/>
      <c r="F145" s="314"/>
      <c r="G145" s="314"/>
      <c r="H145" s="314"/>
      <c r="I145" s="314"/>
      <c r="J145" s="314"/>
      <c r="K145" s="314"/>
      <c r="L145" s="314"/>
      <c r="M145" s="314"/>
      <c r="N145" s="314"/>
      <c r="O145" s="314"/>
      <c r="P145" s="314"/>
      <c r="Q145" s="314"/>
      <c r="R145" s="314"/>
      <c r="S145" s="314"/>
      <c r="T145" s="314"/>
      <c r="U145" s="314"/>
      <c r="V145" s="314"/>
      <c r="W145" s="314"/>
      <c r="X145" s="81"/>
      <c r="Y145" s="81"/>
      <c r="Z145" s="81"/>
      <c r="AA145" s="81"/>
      <c r="AB145" s="81">
        <f>AB130+AB137</f>
        <v>304</v>
      </c>
      <c r="AC145" s="81"/>
      <c r="AD145" s="81"/>
      <c r="AE145" s="81"/>
      <c r="AF145" s="81">
        <f t="shared" ref="AF145:BU145" si="479">AF130+AF137</f>
        <v>-31</v>
      </c>
      <c r="AG145" s="81">
        <f t="shared" si="479"/>
        <v>731</v>
      </c>
      <c r="AH145" s="81">
        <f t="shared" si="479"/>
        <v>297</v>
      </c>
      <c r="AI145" s="81">
        <f t="shared" si="479"/>
        <v>198</v>
      </c>
      <c r="AJ145" s="81">
        <f t="shared" si="479"/>
        <v>289</v>
      </c>
      <c r="AK145" s="81">
        <f t="shared" si="479"/>
        <v>-1</v>
      </c>
      <c r="AL145" s="81">
        <f t="shared" si="479"/>
        <v>783</v>
      </c>
      <c r="AM145" s="81">
        <f t="shared" si="479"/>
        <v>272</v>
      </c>
      <c r="AN145" s="81">
        <f t="shared" si="479"/>
        <v>384</v>
      </c>
      <c r="AO145" s="81">
        <f t="shared" si="479"/>
        <v>361</v>
      </c>
      <c r="AP145" s="81">
        <f t="shared" si="479"/>
        <v>344.14686999999992</v>
      </c>
      <c r="AQ145" s="81">
        <f t="shared" si="479"/>
        <v>1361.14687</v>
      </c>
      <c r="AR145" s="81">
        <f t="shared" si="479"/>
        <v>380.95574287500006</v>
      </c>
      <c r="AS145" s="81">
        <f t="shared" si="479"/>
        <v>436.49244219999997</v>
      </c>
      <c r="AT145" s="81">
        <f t="shared" si="479"/>
        <v>516.75762285249994</v>
      </c>
      <c r="AU145" s="81">
        <f t="shared" si="479"/>
        <v>489.08922446805025</v>
      </c>
      <c r="AV145" s="81">
        <f t="shared" si="479"/>
        <v>1823.2950323955502</v>
      </c>
      <c r="AW145" s="81">
        <f t="shared" si="479"/>
        <v>538.35640165639552</v>
      </c>
      <c r="AX145" s="81">
        <f t="shared" si="479"/>
        <v>603.60694936865775</v>
      </c>
      <c r="AY145" s="81">
        <f t="shared" si="479"/>
        <v>651.73777584415484</v>
      </c>
      <c r="AZ145" s="81">
        <f t="shared" si="479"/>
        <v>592.97303081680298</v>
      </c>
      <c r="BA145" s="81">
        <f t="shared" si="479"/>
        <v>2386.6741576860104</v>
      </c>
      <c r="BB145" s="81">
        <f t="shared" si="479"/>
        <v>636.6224537485914</v>
      </c>
      <c r="BC145" s="81">
        <f t="shared" si="479"/>
        <v>715.85886852802423</v>
      </c>
      <c r="BD145" s="81">
        <f t="shared" si="479"/>
        <v>791.09956586834778</v>
      </c>
      <c r="BE145" s="81">
        <f t="shared" si="479"/>
        <v>728.65548295814392</v>
      </c>
      <c r="BF145" s="81">
        <f t="shared" si="479"/>
        <v>2872.2363711031071</v>
      </c>
      <c r="BG145" s="81">
        <f t="shared" si="479"/>
        <v>802.63497225535775</v>
      </c>
      <c r="BH145" s="81">
        <f t="shared" si="479"/>
        <v>891.62568440816017</v>
      </c>
      <c r="BI145" s="81">
        <f t="shared" si="479"/>
        <v>940.16166416844942</v>
      </c>
      <c r="BJ145" s="81">
        <f t="shared" si="479"/>
        <v>848.40234532840259</v>
      </c>
      <c r="BK145" s="81">
        <f t="shared" si="479"/>
        <v>3482.8246661603698</v>
      </c>
      <c r="BL145" s="81">
        <f t="shared" si="479"/>
        <v>934.71087097154748</v>
      </c>
      <c r="BM145" s="81">
        <f t="shared" si="479"/>
        <v>1031.9620506749402</v>
      </c>
      <c r="BN145" s="81">
        <f t="shared" si="479"/>
        <v>1080.6391364517613</v>
      </c>
      <c r="BO145" s="81">
        <f t="shared" si="479"/>
        <v>971.07642877489127</v>
      </c>
      <c r="BP145" s="81">
        <f t="shared" si="479"/>
        <v>4018.3884868731398</v>
      </c>
      <c r="BQ145" s="81">
        <f t="shared" si="479"/>
        <v>1066.8276814203341</v>
      </c>
      <c r="BR145" s="81">
        <f t="shared" si="479"/>
        <v>1169.3334254600093</v>
      </c>
      <c r="BS145" s="81">
        <f t="shared" si="479"/>
        <v>1215.3827489840642</v>
      </c>
      <c r="BT145" s="81">
        <f t="shared" si="479"/>
        <v>1082.4553242729544</v>
      </c>
      <c r="BU145" s="81">
        <f t="shared" si="479"/>
        <v>4533.9991801373617</v>
      </c>
    </row>
    <row r="146" spans="1:73">
      <c r="A146" s="1" t="s">
        <v>1946</v>
      </c>
      <c r="AB146" s="16">
        <f>AB145/AB$62</f>
        <v>0.14997533300444005</v>
      </c>
      <c r="AF146" s="16">
        <f t="shared" ref="AF146:BU146" si="480">AF145/AF$62</f>
        <v>-4.7184170471841702E-2</v>
      </c>
      <c r="AG146" s="16">
        <f t="shared" si="480"/>
        <v>0.27044025157232704</v>
      </c>
      <c r="AH146" s="16">
        <f t="shared" si="480"/>
        <v>0.42919075144508673</v>
      </c>
      <c r="AI146" s="16">
        <f t="shared" si="480"/>
        <v>0.31428571428571428</v>
      </c>
      <c r="AJ146" s="16">
        <f t="shared" si="480"/>
        <v>0.39917127071823205</v>
      </c>
      <c r="AK146" s="16">
        <f t="shared" si="480"/>
        <v>-1.5797788309636651E-3</v>
      </c>
      <c r="AL146" s="16">
        <f t="shared" si="480"/>
        <v>0.29227323628219487</v>
      </c>
      <c r="AM146" s="16">
        <f t="shared" si="480"/>
        <v>0.40296296296296297</v>
      </c>
      <c r="AN146" s="16">
        <f t="shared" si="480"/>
        <v>0.47642679900744417</v>
      </c>
      <c r="AO146" s="16">
        <f t="shared" si="480"/>
        <v>0.43810679611650488</v>
      </c>
      <c r="AP146" s="16">
        <f t="shared" si="480"/>
        <v>0.39829360048971513</v>
      </c>
      <c r="AQ146" s="16">
        <f t="shared" si="480"/>
        <v>0.42951215185096803</v>
      </c>
      <c r="AR146" s="16">
        <f t="shared" si="480"/>
        <v>0.41563883452732692</v>
      </c>
      <c r="AS146" s="16">
        <f t="shared" si="480"/>
        <v>0.44759666189037378</v>
      </c>
      <c r="AT146" s="16">
        <f t="shared" si="480"/>
        <v>0.49050861799989209</v>
      </c>
      <c r="AU146" s="16">
        <f t="shared" si="480"/>
        <v>0.47186373883321714</v>
      </c>
      <c r="AV146" s="16">
        <f t="shared" si="480"/>
        <v>0.45791123120513261</v>
      </c>
      <c r="AW146" s="16">
        <f t="shared" si="480"/>
        <v>0.48054049891729445</v>
      </c>
      <c r="AX146" s="16">
        <f t="shared" si="480"/>
        <v>0.50474620482612276</v>
      </c>
      <c r="AY146" s="16">
        <f t="shared" si="480"/>
        <v>0.51981499498975048</v>
      </c>
      <c r="AZ146" s="16">
        <f t="shared" si="480"/>
        <v>0.49121422865708736</v>
      </c>
      <c r="BA146" s="16">
        <f t="shared" si="480"/>
        <v>0.49960500072097808</v>
      </c>
      <c r="BB146" s="16">
        <f t="shared" si="480"/>
        <v>0.50143859155438786</v>
      </c>
      <c r="BC146" s="16">
        <f t="shared" si="480"/>
        <v>0.52860132949927796</v>
      </c>
      <c r="BD146" s="16">
        <f t="shared" si="480"/>
        <v>0.55223537087931085</v>
      </c>
      <c r="BE146" s="16">
        <f t="shared" si="480"/>
        <v>0.52846569104970487</v>
      </c>
      <c r="BF146" s="16">
        <f t="shared" si="480"/>
        <v>0.52845121650507998</v>
      </c>
      <c r="BG146" s="16">
        <f t="shared" si="480"/>
        <v>0.54640756338719731</v>
      </c>
      <c r="BH146" s="16">
        <f t="shared" si="480"/>
        <v>0.5720106942800216</v>
      </c>
      <c r="BI146" s="16">
        <f t="shared" si="480"/>
        <v>0.58573817276063211</v>
      </c>
      <c r="BJ146" s="16">
        <f t="shared" si="480"/>
        <v>0.55924334378326146</v>
      </c>
      <c r="BK146" s="16">
        <f t="shared" si="480"/>
        <v>0.56632855856931841</v>
      </c>
      <c r="BL146" s="16">
        <f t="shared" si="480"/>
        <v>0.57735020094371847</v>
      </c>
      <c r="BM146" s="16">
        <f t="shared" si="480"/>
        <v>0.59950154173683023</v>
      </c>
      <c r="BN146" s="16">
        <f t="shared" si="480"/>
        <v>0.61138033105951151</v>
      </c>
      <c r="BO146" s="16">
        <f t="shared" si="480"/>
        <v>0.58450704037472789</v>
      </c>
      <c r="BP146" s="16">
        <f t="shared" si="480"/>
        <v>0.59362534989560523</v>
      </c>
      <c r="BQ146" s="16">
        <f t="shared" si="480"/>
        <v>0.60175383352323752</v>
      </c>
      <c r="BR146" s="16">
        <f t="shared" si="480"/>
        <v>0.62171209419645412</v>
      </c>
      <c r="BS146" s="16">
        <f t="shared" si="480"/>
        <v>0.63313324828563455</v>
      </c>
      <c r="BT146" s="16">
        <f t="shared" si="480"/>
        <v>0.60488993847150085</v>
      </c>
      <c r="BU146" s="16">
        <f t="shared" si="480"/>
        <v>0.61579558639507359</v>
      </c>
    </row>
    <row r="148" spans="1:73">
      <c r="A148" s="1" t="s">
        <v>1943</v>
      </c>
    </row>
    <row r="149" spans="1:73">
      <c r="A149" s="1" t="s">
        <v>1941</v>
      </c>
      <c r="AB149" s="59">
        <f>'Links (Arm OLD Model)'!AB33</f>
        <v>-18</v>
      </c>
      <c r="AF149" s="59">
        <f>'Links (Arm OLD Model)'!AF33</f>
        <v>2</v>
      </c>
      <c r="AG149" s="59">
        <f>'Links (Arm OLD Model)'!AG33</f>
        <v>12</v>
      </c>
      <c r="AH149" s="59">
        <f>'Links (Arm OLD Model)'!AH33</f>
        <v>6</v>
      </c>
      <c r="AI149" s="59">
        <f>'Links (Arm OLD Model)'!AI33</f>
        <v>29</v>
      </c>
      <c r="AJ149" s="59">
        <f>'Links (Arm OLD Model)'!AJ33</f>
        <v>-10</v>
      </c>
      <c r="AK149" s="59">
        <f>'Links (Arm OLD Model)'!AK33</f>
        <v>20</v>
      </c>
      <c r="AL149" s="59">
        <f>'Links (Arm OLD Model)'!AL33</f>
        <v>45</v>
      </c>
      <c r="AM149" s="59">
        <f>'Links (Arm OLD Model)'!AM33</f>
        <v>23</v>
      </c>
      <c r="AN149" s="59">
        <f>'Links (Arm OLD Model)'!AN33</f>
        <v>42</v>
      </c>
      <c r="AO149" s="59">
        <f>'Links (Arm OLD Model)'!AO33</f>
        <v>13</v>
      </c>
      <c r="AP149" s="59">
        <f>'Links (Arm OLD Model)'!AP33</f>
        <v>35</v>
      </c>
      <c r="AQ149" s="59">
        <f>'Links (Arm OLD Model)'!AQ33</f>
        <v>113</v>
      </c>
      <c r="AR149" s="59">
        <f>'Links (Arm OLD Model)'!AR33</f>
        <v>25</v>
      </c>
      <c r="AS149" s="59">
        <f>'Links (Arm OLD Model)'!AS33</f>
        <v>25</v>
      </c>
      <c r="AT149" s="59">
        <f>'Links (Arm OLD Model)'!AT33</f>
        <v>25</v>
      </c>
      <c r="AU149" s="59">
        <f>'Links (Arm OLD Model)'!AU33</f>
        <v>25</v>
      </c>
      <c r="AV149" s="59">
        <f>'Links (Arm OLD Model)'!AV33</f>
        <v>100</v>
      </c>
      <c r="AW149" s="59">
        <f>'Links (Arm OLD Model)'!AW33</f>
        <v>30</v>
      </c>
      <c r="AX149" s="59">
        <f>'Links (Arm OLD Model)'!AX33</f>
        <v>30</v>
      </c>
      <c r="AY149" s="59">
        <f>'Links (Arm OLD Model)'!AY33</f>
        <v>30</v>
      </c>
      <c r="AZ149" s="59">
        <f>'Links (Arm OLD Model)'!AZ33</f>
        <v>30</v>
      </c>
      <c r="BA149" s="59">
        <f>'Links (Arm OLD Model)'!BA33</f>
        <v>120</v>
      </c>
      <c r="BB149" s="59">
        <f>'Links (Arm OLD Model)'!BB33</f>
        <v>30</v>
      </c>
      <c r="BC149" s="59">
        <f>'Links (Arm OLD Model)'!BC33</f>
        <v>30</v>
      </c>
      <c r="BD149" s="59">
        <f>'Links (Arm OLD Model)'!BD33</f>
        <v>30</v>
      </c>
      <c r="BE149" s="59">
        <f>'Links (Arm OLD Model)'!BE33</f>
        <v>30</v>
      </c>
      <c r="BF149" s="59">
        <f>'Links (Arm OLD Model)'!BF33</f>
        <v>120</v>
      </c>
      <c r="BG149" s="59">
        <f>'Links (Arm OLD Model)'!BG33</f>
        <v>30</v>
      </c>
      <c r="BH149" s="59">
        <f>'Links (Arm OLD Model)'!BH33</f>
        <v>30</v>
      </c>
      <c r="BI149" s="59">
        <f>'Links (Arm OLD Model)'!BI33</f>
        <v>30</v>
      </c>
      <c r="BJ149" s="59">
        <f>'Links (Arm OLD Model)'!BJ33</f>
        <v>30</v>
      </c>
      <c r="BK149" s="59">
        <f>'Links (Arm OLD Model)'!BK33</f>
        <v>120</v>
      </c>
      <c r="BL149" s="59">
        <f>'Links (Arm OLD Model)'!BL33</f>
        <v>30</v>
      </c>
      <c r="BM149" s="59">
        <f>'Links (Arm OLD Model)'!BM33</f>
        <v>30</v>
      </c>
      <c r="BN149" s="59">
        <f>'Links (Arm OLD Model)'!BN33</f>
        <v>30</v>
      </c>
      <c r="BO149" s="59">
        <f>'Links (Arm OLD Model)'!BO33</f>
        <v>30</v>
      </c>
      <c r="BP149" s="59">
        <f>'Links (Arm OLD Model)'!BP33</f>
        <v>120</v>
      </c>
      <c r="BQ149" s="59">
        <f>'Links (Arm OLD Model)'!BQ33</f>
        <v>30</v>
      </c>
      <c r="BR149" s="59">
        <f>'Links (Arm OLD Model)'!BR33</f>
        <v>30</v>
      </c>
      <c r="BS149" s="59">
        <f>'Links (Arm OLD Model)'!BS33</f>
        <v>30</v>
      </c>
      <c r="BT149" s="59">
        <f>'Links (Arm OLD Model)'!BT33</f>
        <v>30</v>
      </c>
      <c r="BU149" s="59">
        <f>'Links (Arm OLD Model)'!BU33</f>
        <v>120</v>
      </c>
    </row>
    <row r="151" spans="1:73" s="79" customFormat="1">
      <c r="A151" s="314" t="s">
        <v>2018</v>
      </c>
      <c r="B151" s="314"/>
      <c r="C151" s="314"/>
      <c r="D151" s="314"/>
      <c r="E151" s="314"/>
      <c r="F151" s="314"/>
      <c r="G151" s="314"/>
      <c r="H151" s="314"/>
      <c r="I151" s="314"/>
      <c r="J151" s="314"/>
      <c r="K151" s="314"/>
      <c r="L151" s="314"/>
      <c r="M151" s="314"/>
      <c r="N151" s="314"/>
      <c r="O151" s="314"/>
      <c r="P151" s="314"/>
      <c r="Q151" s="314"/>
      <c r="R151" s="314"/>
      <c r="S151" s="314"/>
      <c r="T151" s="314"/>
      <c r="U151" s="314"/>
      <c r="V151" s="314"/>
      <c r="W151" s="314"/>
      <c r="X151" s="81"/>
      <c r="Y151" s="81"/>
      <c r="Z151" s="81"/>
      <c r="AA151" s="81"/>
      <c r="AB151" s="81">
        <f>AB145+AB149</f>
        <v>286</v>
      </c>
      <c r="AC151" s="81"/>
      <c r="AD151" s="81"/>
      <c r="AE151" s="81"/>
      <c r="AF151" s="81">
        <f t="shared" ref="AF151:AL151" si="481">AF145+AF149</f>
        <v>-29</v>
      </c>
      <c r="AG151" s="81">
        <f t="shared" si="481"/>
        <v>743</v>
      </c>
      <c r="AH151" s="81">
        <f t="shared" si="481"/>
        <v>303</v>
      </c>
      <c r="AI151" s="81">
        <f t="shared" si="481"/>
        <v>227</v>
      </c>
      <c r="AJ151" s="81">
        <f t="shared" si="481"/>
        <v>279</v>
      </c>
      <c r="AK151" s="81">
        <f t="shared" si="481"/>
        <v>19</v>
      </c>
      <c r="AL151" s="81">
        <f t="shared" si="481"/>
        <v>828</v>
      </c>
      <c r="AM151" s="81">
        <f t="shared" ref="AM151:BU151" si="482">AM145+AM149</f>
        <v>295</v>
      </c>
      <c r="AN151" s="81">
        <f t="shared" si="482"/>
        <v>426</v>
      </c>
      <c r="AO151" s="81">
        <f t="shared" si="482"/>
        <v>374</v>
      </c>
      <c r="AP151" s="81">
        <f t="shared" si="482"/>
        <v>379.14686999999992</v>
      </c>
      <c r="AQ151" s="81">
        <f t="shared" si="482"/>
        <v>1474.14687</v>
      </c>
      <c r="AR151" s="81">
        <f t="shared" si="482"/>
        <v>405.95574287500006</v>
      </c>
      <c r="AS151" s="81">
        <f t="shared" si="482"/>
        <v>461.49244219999997</v>
      </c>
      <c r="AT151" s="81">
        <f t="shared" si="482"/>
        <v>541.75762285249994</v>
      </c>
      <c r="AU151" s="81">
        <f t="shared" si="482"/>
        <v>514.08922446805025</v>
      </c>
      <c r="AV151" s="81">
        <f t="shared" si="482"/>
        <v>1923.2950323955502</v>
      </c>
      <c r="AW151" s="81">
        <f t="shared" si="482"/>
        <v>568.35640165639552</v>
      </c>
      <c r="AX151" s="81">
        <f t="shared" si="482"/>
        <v>633.60694936865775</v>
      </c>
      <c r="AY151" s="81">
        <f t="shared" si="482"/>
        <v>681.73777584415484</v>
      </c>
      <c r="AZ151" s="81">
        <f t="shared" si="482"/>
        <v>622.97303081680298</v>
      </c>
      <c r="BA151" s="81">
        <f t="shared" si="482"/>
        <v>2506.6741576860104</v>
      </c>
      <c r="BB151" s="81">
        <f t="shared" si="482"/>
        <v>666.6224537485914</v>
      </c>
      <c r="BC151" s="81">
        <f t="shared" si="482"/>
        <v>745.85886852802423</v>
      </c>
      <c r="BD151" s="81">
        <f t="shared" si="482"/>
        <v>821.09956586834778</v>
      </c>
      <c r="BE151" s="81">
        <f t="shared" si="482"/>
        <v>758.65548295814392</v>
      </c>
      <c r="BF151" s="81">
        <f t="shared" si="482"/>
        <v>2992.2363711031071</v>
      </c>
      <c r="BG151" s="81">
        <f t="shared" si="482"/>
        <v>832.63497225535775</v>
      </c>
      <c r="BH151" s="81">
        <f t="shared" si="482"/>
        <v>921.62568440816017</v>
      </c>
      <c r="BI151" s="81">
        <f t="shared" si="482"/>
        <v>970.16166416844942</v>
      </c>
      <c r="BJ151" s="81">
        <f t="shared" si="482"/>
        <v>878.40234532840259</v>
      </c>
      <c r="BK151" s="81">
        <f t="shared" si="482"/>
        <v>3602.8246661603698</v>
      </c>
      <c r="BL151" s="81">
        <f t="shared" si="482"/>
        <v>964.71087097154748</v>
      </c>
      <c r="BM151" s="81">
        <f t="shared" si="482"/>
        <v>1061.9620506749402</v>
      </c>
      <c r="BN151" s="81">
        <f t="shared" si="482"/>
        <v>1110.6391364517613</v>
      </c>
      <c r="BO151" s="81">
        <f t="shared" si="482"/>
        <v>1001.0764287748913</v>
      </c>
      <c r="BP151" s="81">
        <f t="shared" si="482"/>
        <v>4138.3884868731402</v>
      </c>
      <c r="BQ151" s="81">
        <f t="shared" si="482"/>
        <v>1096.8276814203341</v>
      </c>
      <c r="BR151" s="81">
        <f t="shared" si="482"/>
        <v>1199.3334254600093</v>
      </c>
      <c r="BS151" s="81">
        <f t="shared" si="482"/>
        <v>1245.3827489840642</v>
      </c>
      <c r="BT151" s="81">
        <f t="shared" si="482"/>
        <v>1112.4553242729544</v>
      </c>
      <c r="BU151" s="81">
        <f t="shared" si="482"/>
        <v>4653.9991801373617</v>
      </c>
    </row>
    <row r="152" spans="1:73">
      <c r="A152" s="1" t="s">
        <v>2021</v>
      </c>
      <c r="AB152" s="16">
        <f>AB151/AB$62</f>
        <v>0.14109521460286137</v>
      </c>
      <c r="AF152" s="16">
        <f>AF151/AF$62</f>
        <v>-4.4140030441400302E-2</v>
      </c>
      <c r="AG152" s="16">
        <f>AG151/AG$62</f>
        <v>0.27487976322604513</v>
      </c>
      <c r="AH152" s="16">
        <f t="shared" ref="AH152:AL152" si="483">AH151/AH$62</f>
        <v>0.43786127167630057</v>
      </c>
      <c r="AI152" s="16">
        <f t="shared" si="483"/>
        <v>0.36031746031746031</v>
      </c>
      <c r="AJ152" s="16">
        <f t="shared" si="483"/>
        <v>0.38535911602209943</v>
      </c>
      <c r="AK152" s="16">
        <f t="shared" si="483"/>
        <v>3.0015797788309637E-2</v>
      </c>
      <c r="AL152" s="16">
        <f t="shared" si="483"/>
        <v>0.30907054871220607</v>
      </c>
      <c r="AM152" s="16">
        <f t="shared" ref="AM152" si="484">AM151/AM$62</f>
        <v>0.43703703703703706</v>
      </c>
      <c r="AN152" s="16">
        <f t="shared" ref="AN152" si="485">AN151/AN$62</f>
        <v>0.52853598014888337</v>
      </c>
      <c r="AO152" s="16">
        <f t="shared" ref="AO152" si="486">AO151/AO$62</f>
        <v>0.45388349514563109</v>
      </c>
      <c r="AP152" s="16">
        <f t="shared" ref="AP152" si="487">AP151/AP$62</f>
        <v>0.43880036441042153</v>
      </c>
      <c r="AQ152" s="16">
        <f t="shared" ref="AQ152" si="488">AQ151/AQ$62</f>
        <v>0.46516948922497192</v>
      </c>
      <c r="AR152" s="16">
        <f t="shared" ref="AR152" si="489">AR151/AR$62</f>
        <v>0.44291489233069409</v>
      </c>
      <c r="AS152" s="16">
        <f t="shared" ref="AS152" si="490">AS151/AS$62</f>
        <v>0.47323265341146442</v>
      </c>
      <c r="AT152" s="16">
        <f t="shared" ref="AT152" si="491">AT151/AT$62</f>
        <v>0.51423872841859708</v>
      </c>
      <c r="AU152" s="16">
        <f t="shared" ref="AU152" si="492">AU151/AU$62</f>
        <v>0.49598325093995144</v>
      </c>
      <c r="AV152" s="16">
        <f t="shared" ref="AV152" si="493">AV151/AV$62</f>
        <v>0.48302572025211382</v>
      </c>
      <c r="AW152" s="16">
        <f t="shared" ref="AW152" si="494">AW151/AW$62</f>
        <v>0.50731869812355179</v>
      </c>
      <c r="AX152" s="16">
        <f t="shared" ref="AX152" si="495">AX151/AX$62</f>
        <v>0.52983270550445627</v>
      </c>
      <c r="AY152" s="16">
        <f t="shared" ref="AY152" si="496">AY151/AY$62</f>
        <v>0.54374248611836273</v>
      </c>
      <c r="AZ152" s="16">
        <f t="shared" ref="AZ152" si="497">AZ151/AZ$62</f>
        <v>0.51606599441009915</v>
      </c>
      <c r="BA152" s="16">
        <f t="shared" ref="BA152" si="498">BA151/BA$62</f>
        <v>0.52472472638333834</v>
      </c>
      <c r="BB152" s="16">
        <f t="shared" ref="BB152" si="499">BB151/BB$62</f>
        <v>0.52506822896044192</v>
      </c>
      <c r="BC152" s="16">
        <f t="shared" ref="BC152" si="500">BC151/BC$62</f>
        <v>0.55075379639206956</v>
      </c>
      <c r="BD152" s="16">
        <f t="shared" ref="BD152" si="501">BD151/BD$62</f>
        <v>0.5731771863487638</v>
      </c>
      <c r="BE152" s="16">
        <f t="shared" ref="BE152" si="502">BE151/BE$62</f>
        <v>0.55022353285874237</v>
      </c>
      <c r="BF152" s="16">
        <f t="shared" ref="BF152" si="503">BF151/BF$62</f>
        <v>0.55052953381162362</v>
      </c>
      <c r="BG152" s="16">
        <f t="shared" ref="BG152" si="504">BG151/BG$62</f>
        <v>0.56683057941346726</v>
      </c>
      <c r="BH152" s="16">
        <f t="shared" ref="BH152" si="505">BH151/BH$62</f>
        <v>0.591256798478771</v>
      </c>
      <c r="BI152" s="16">
        <f t="shared" ref="BI152" si="506">BI151/BI$62</f>
        <v>0.60442872977069817</v>
      </c>
      <c r="BJ152" s="16">
        <f t="shared" ref="BJ152" si="507">BJ151/BJ$62</f>
        <v>0.57901851343699884</v>
      </c>
      <c r="BK152" s="16">
        <f t="shared" ref="BK152" si="508">BK151/BK$62</f>
        <v>0.58584129134872642</v>
      </c>
      <c r="BL152" s="16">
        <f t="shared" ref="BL152" si="509">BL151/BL$62</f>
        <v>0.59588053643699079</v>
      </c>
      <c r="BM152" s="16">
        <f t="shared" ref="BM152" si="510">BM151/BM$62</f>
        <v>0.6169295530094755</v>
      </c>
      <c r="BN152" s="16">
        <f t="shared" ref="BN152" si="511">BN151/BN$62</f>
        <v>0.6283530736829267</v>
      </c>
      <c r="BO152" s="16">
        <f t="shared" ref="BO152" si="512">BO151/BO$62</f>
        <v>0.60256453893162754</v>
      </c>
      <c r="BP152" s="16">
        <f t="shared" ref="BP152" si="513">BP151/BP$62</f>
        <v>0.61135261599249358</v>
      </c>
      <c r="BQ152" s="16">
        <f t="shared" ref="BQ152" si="514">BQ151/BQ$62</f>
        <v>0.61867560572703195</v>
      </c>
      <c r="BR152" s="16">
        <f t="shared" ref="BR152" si="515">BR151/BR$62</f>
        <v>0.63766251724927692</v>
      </c>
      <c r="BS152" s="16">
        <f t="shared" ref="BS152" si="516">BS151/BS$62</f>
        <v>0.64876124486897102</v>
      </c>
      <c r="BT152" s="16">
        <f t="shared" ref="BT152" si="517">BT151/BT$62</f>
        <v>0.62165432379736496</v>
      </c>
      <c r="BU152" s="16">
        <f t="shared" ref="BU152" si="518">BU151/BU$62</f>
        <v>0.6320936639710758</v>
      </c>
    </row>
    <row r="153" spans="1:73" s="26" customFormat="1">
      <c r="A153" s="26" t="s">
        <v>706</v>
      </c>
      <c r="AB153" s="61">
        <f>AB151-'Links (Arm OLD Model)'!AB37</f>
        <v>0</v>
      </c>
      <c r="AF153" s="61">
        <f>AF151-'Links (Arm OLD Model)'!AF37</f>
        <v>0</v>
      </c>
      <c r="AG153" s="61">
        <f>AG151-'Links (Arm OLD Model)'!AG37</f>
        <v>0</v>
      </c>
      <c r="AH153" s="61">
        <f>AH151-'Links (Arm OLD Model)'!AH37</f>
        <v>0</v>
      </c>
      <c r="AI153" s="61">
        <f>AI151-'Links (Arm OLD Model)'!AI37</f>
        <v>0</v>
      </c>
      <c r="AJ153" s="61">
        <f>AJ151-'Links (Arm OLD Model)'!AJ37</f>
        <v>0</v>
      </c>
      <c r="AK153" s="61">
        <f>AK151-'Links (Arm OLD Model)'!AK37</f>
        <v>0</v>
      </c>
      <c r="AL153" s="61">
        <f>AL151-'Links (Arm OLD Model)'!AL37</f>
        <v>0</v>
      </c>
      <c r="AM153" s="61">
        <f>AM151-'Links (Arm OLD Model)'!AM37</f>
        <v>0</v>
      </c>
      <c r="AN153" s="61">
        <f>AN151-'Links (Arm OLD Model)'!AN37</f>
        <v>0</v>
      </c>
      <c r="AO153" s="61">
        <f>AO151-'Links (Arm OLD Model)'!AO37</f>
        <v>0</v>
      </c>
      <c r="AP153" s="61">
        <f>AP151-'Links (Arm OLD Model)'!AP37</f>
        <v>0</v>
      </c>
      <c r="AQ153" s="61">
        <f>AQ151-'Links (Arm OLD Model)'!AQ37</f>
        <v>0</v>
      </c>
      <c r="AR153" s="61">
        <f>AR151-'Links (Arm OLD Model)'!AR37</f>
        <v>0</v>
      </c>
      <c r="AS153" s="61">
        <f>AS151-'Links (Arm OLD Model)'!AS37</f>
        <v>0</v>
      </c>
      <c r="AT153" s="61">
        <f>AT151-'Links (Arm OLD Model)'!AT37</f>
        <v>0</v>
      </c>
      <c r="AU153" s="61">
        <f>AU151-'Links (Arm OLD Model)'!AU37</f>
        <v>0</v>
      </c>
      <c r="AV153" s="61">
        <f>AV151-'Links (Arm OLD Model)'!AV37</f>
        <v>0</v>
      </c>
      <c r="AW153" s="61">
        <f>AW151-'Links (Arm OLD Model)'!AW37</f>
        <v>0</v>
      </c>
      <c r="AX153" s="61">
        <f>AX151-'Links (Arm OLD Model)'!AX37</f>
        <v>0</v>
      </c>
      <c r="AY153" s="61">
        <f>AY151-'Links (Arm OLD Model)'!AY37</f>
        <v>0</v>
      </c>
      <c r="AZ153" s="61">
        <f>AZ151-'Links (Arm OLD Model)'!AZ37</f>
        <v>0</v>
      </c>
      <c r="BA153" s="61">
        <f>BA151-'Links (Arm OLD Model)'!BA37</f>
        <v>0</v>
      </c>
      <c r="BB153" s="61">
        <f>BB151-'Links (Arm OLD Model)'!BB37</f>
        <v>0</v>
      </c>
      <c r="BC153" s="61">
        <f>BC151-'Links (Arm OLD Model)'!BC37</f>
        <v>0</v>
      </c>
      <c r="BD153" s="61">
        <f>BD151-'Links (Arm OLD Model)'!BD37</f>
        <v>0</v>
      </c>
      <c r="BE153" s="61">
        <f>BE151-'Links (Arm OLD Model)'!BE37</f>
        <v>0</v>
      </c>
      <c r="BF153" s="61">
        <f>BF151-'Links (Arm OLD Model)'!BF37</f>
        <v>0</v>
      </c>
      <c r="BG153" s="61">
        <f>BG151-'Links (Arm OLD Model)'!BG37</f>
        <v>0</v>
      </c>
      <c r="BH153" s="61">
        <f>BH151-'Links (Arm OLD Model)'!BH37</f>
        <v>0</v>
      </c>
      <c r="BI153" s="61">
        <f>BI151-'Links (Arm OLD Model)'!BI37</f>
        <v>0</v>
      </c>
      <c r="BJ153" s="61">
        <f>BJ151-'Links (Arm OLD Model)'!BJ37</f>
        <v>0</v>
      </c>
      <c r="BK153" s="61">
        <f>BK151-'Links (Arm OLD Model)'!BK37</f>
        <v>0</v>
      </c>
      <c r="BL153" s="61">
        <f>BL151-'Links (Arm OLD Model)'!BL37</f>
        <v>0</v>
      </c>
      <c r="BM153" s="61">
        <f>BM151-'Links (Arm OLD Model)'!BM37</f>
        <v>0</v>
      </c>
      <c r="BN153" s="61">
        <f>BN151-'Links (Arm OLD Model)'!BN37</f>
        <v>0</v>
      </c>
      <c r="BO153" s="61">
        <f>BO151-'Links (Arm OLD Model)'!BO37</f>
        <v>0</v>
      </c>
      <c r="BP153" s="61">
        <f>BP151-'Links (Arm OLD Model)'!BP37</f>
        <v>0</v>
      </c>
      <c r="BQ153" s="61">
        <f>BQ151-'Links (Arm OLD Model)'!BQ37</f>
        <v>0</v>
      </c>
      <c r="BR153" s="61">
        <f>BR151-'Links (Arm OLD Model)'!BR37</f>
        <v>0</v>
      </c>
      <c r="BS153" s="61">
        <f>BS151-'Links (Arm OLD Model)'!BS37</f>
        <v>0</v>
      </c>
      <c r="BT153" s="61">
        <f>BT151-'Links (Arm OLD Model)'!BT37</f>
        <v>0</v>
      </c>
      <c r="BU153" s="61">
        <f>BU151-'Links (Arm OLD Model)'!BU37</f>
        <v>0</v>
      </c>
    </row>
    <row r="155" spans="1:73">
      <c r="A155" s="1" t="s">
        <v>2023</v>
      </c>
      <c r="AB155" s="36">
        <f>'Links (Arm OLD Model)'!AB41</f>
        <v>-79</v>
      </c>
      <c r="AF155" s="36">
        <f>'Links (Arm OLD Model)'!AF41</f>
        <v>19</v>
      </c>
      <c r="AG155" s="36">
        <f>'Links (Arm OLD Model)'!AG41</f>
        <v>-80</v>
      </c>
      <c r="AH155" s="36">
        <f>'Links (Arm OLD Model)'!AH41</f>
        <v>-67</v>
      </c>
      <c r="AI155" s="36">
        <f>'Links (Arm OLD Model)'!AI41</f>
        <v>-49</v>
      </c>
      <c r="AJ155" s="36">
        <f>'Links (Arm OLD Model)'!AJ41</f>
        <v>-54</v>
      </c>
      <c r="AK155" s="36">
        <f>'Links (Arm OLD Model)'!AK41</f>
        <v>-1</v>
      </c>
      <c r="AL155" s="36">
        <f>'Links (Arm OLD Model)'!AL41</f>
        <v>-171</v>
      </c>
      <c r="AM155" s="36">
        <f>'Links (Arm OLD Model)'!AM41</f>
        <v>-49</v>
      </c>
      <c r="AN155" s="36">
        <f>'Links (Arm OLD Model)'!AN41</f>
        <v>-48</v>
      </c>
      <c r="AO155" s="36">
        <f>'Links (Arm OLD Model)'!AO41</f>
        <v>-50</v>
      </c>
      <c r="AP155" s="36">
        <f>'Links (Arm OLD Model)'!AP41</f>
        <v>-56.872030499999987</v>
      </c>
      <c r="AQ155" s="36">
        <f>'Links (Arm OLD Model)'!AQ41</f>
        <v>-203.87203049999999</v>
      </c>
      <c r="AR155" s="36">
        <f>'Links (Arm OLD Model)'!AR41</f>
        <v>-60.893361431250007</v>
      </c>
      <c r="AS155" s="36">
        <f>'Links (Arm OLD Model)'!AS41</f>
        <v>-69.223866329999993</v>
      </c>
      <c r="AT155" s="36">
        <f>'Links (Arm OLD Model)'!AT41</f>
        <v>-81.263643427874982</v>
      </c>
      <c r="AU155" s="36">
        <f>'Links (Arm OLD Model)'!AU41</f>
        <v>-77.11338367020754</v>
      </c>
      <c r="AV155" s="36">
        <f>'Links (Arm OLD Model)'!AV41</f>
        <v>-288.49425485933256</v>
      </c>
      <c r="AW155" s="36">
        <f>'Links (Arm OLD Model)'!AW41</f>
        <v>-85.253460248459319</v>
      </c>
      <c r="AX155" s="36">
        <f>'Links (Arm OLD Model)'!AX41</f>
        <v>-95.041042405298654</v>
      </c>
      <c r="AY155" s="36">
        <f>'Links (Arm OLD Model)'!AY41</f>
        <v>-102.26066637662322</v>
      </c>
      <c r="AZ155" s="36">
        <f>'Links (Arm OLD Model)'!AZ41</f>
        <v>-93.445954622520446</v>
      </c>
      <c r="BA155" s="36">
        <f>'Links (Arm OLD Model)'!BA41</f>
        <v>-376.00112365290164</v>
      </c>
      <c r="BB155" s="36">
        <f>'Links (Arm OLD Model)'!BB41</f>
        <v>-99.99336806228871</v>
      </c>
      <c r="BC155" s="36">
        <f>'Links (Arm OLD Model)'!BC41</f>
        <v>-111.87883027920363</v>
      </c>
      <c r="BD155" s="36">
        <f>'Links (Arm OLD Model)'!BD41</f>
        <v>-123.16493488025216</v>
      </c>
      <c r="BE155" s="36">
        <f>'Links (Arm OLD Model)'!BE41</f>
        <v>-113.79832244372159</v>
      </c>
      <c r="BF155" s="36">
        <f>'Links (Arm OLD Model)'!BF41</f>
        <v>-448.8354556654661</v>
      </c>
      <c r="BG155" s="36">
        <f>'Links (Arm OLD Model)'!BG41</f>
        <v>-124.89524583830365</v>
      </c>
      <c r="BH155" s="36">
        <f>'Links (Arm OLD Model)'!BH41</f>
        <v>-138.24385266122403</v>
      </c>
      <c r="BI155" s="36">
        <f>'Links (Arm OLD Model)'!BI41</f>
        <v>-145.5242496252674</v>
      </c>
      <c r="BJ155" s="36">
        <f>'Links (Arm OLD Model)'!BJ41</f>
        <v>-131.76035179926038</v>
      </c>
      <c r="BK155" s="36">
        <f>'Links (Arm OLD Model)'!BK41</f>
        <v>-540.42369992405543</v>
      </c>
      <c r="BL155" s="36">
        <f>'Links (Arm OLD Model)'!BL41</f>
        <v>-144.7066306457321</v>
      </c>
      <c r="BM155" s="36">
        <f>'Links (Arm OLD Model)'!BM41</f>
        <v>-159.29430760124103</v>
      </c>
      <c r="BN155" s="36">
        <f>'Links (Arm OLD Model)'!BN41</f>
        <v>-166.59587046776417</v>
      </c>
      <c r="BO155" s="36">
        <f>'Links (Arm OLD Model)'!BO41</f>
        <v>-150.16146431623369</v>
      </c>
      <c r="BP155" s="36">
        <f>'Links (Arm OLD Model)'!BP41</f>
        <v>-620.75827303097105</v>
      </c>
      <c r="BQ155" s="36">
        <f>'Links (Arm OLD Model)'!BQ41</f>
        <v>-164.52415221305012</v>
      </c>
      <c r="BR155" s="36">
        <f>'Links (Arm OLD Model)'!BR41</f>
        <v>-179.90001381900137</v>
      </c>
      <c r="BS155" s="36">
        <f>'Links (Arm OLD Model)'!BS41</f>
        <v>-186.80741234760961</v>
      </c>
      <c r="BT155" s="36">
        <f>'Links (Arm OLD Model)'!BT41</f>
        <v>-166.86829864094315</v>
      </c>
      <c r="BU155" s="36">
        <f>'Links (Arm OLD Model)'!BU41</f>
        <v>-698.09987702060437</v>
      </c>
    </row>
    <row r="156" spans="1:73">
      <c r="A156" s="1" t="s">
        <v>1502</v>
      </c>
      <c r="AB156" s="16">
        <f>-AB155/AB151</f>
        <v>0.2762237762237762</v>
      </c>
      <c r="AF156" s="16">
        <f>-AF155/AF151</f>
        <v>0.65517241379310343</v>
      </c>
      <c r="AG156" s="16">
        <f>-AG155/AG151</f>
        <v>0.10767160161507403</v>
      </c>
      <c r="AH156" s="16">
        <f t="shared" ref="AH156:AL156" si="519">-AH155/AH151</f>
        <v>0.22112211221122113</v>
      </c>
      <c r="AI156" s="16">
        <f t="shared" si="519"/>
        <v>0.21585903083700442</v>
      </c>
      <c r="AJ156" s="16">
        <f t="shared" si="519"/>
        <v>0.19354838709677419</v>
      </c>
      <c r="AK156" s="16">
        <f t="shared" si="519"/>
        <v>5.2631578947368418E-2</v>
      </c>
      <c r="AL156" s="16">
        <f t="shared" si="519"/>
        <v>0.20652173913043478</v>
      </c>
      <c r="AM156" s="16">
        <f t="shared" ref="AM156" si="520">-AM155/AM151</f>
        <v>0.16610169491525423</v>
      </c>
      <c r="AN156" s="16">
        <f t="shared" ref="AN156" si="521">-AN155/AN151</f>
        <v>0.11267605633802817</v>
      </c>
      <c r="AO156" s="16">
        <f t="shared" ref="AO156:AQ156" si="522">-AO155/AO151</f>
        <v>0.13368983957219252</v>
      </c>
      <c r="AP156" s="16">
        <f t="shared" si="522"/>
        <v>0.15</v>
      </c>
      <c r="AQ156" s="16">
        <f t="shared" si="522"/>
        <v>0.13829831657140104</v>
      </c>
      <c r="AR156" s="16">
        <f t="shared" ref="AR156" si="523">-AR155/AR151</f>
        <v>0.15</v>
      </c>
      <c r="AS156" s="16">
        <f t="shared" ref="AS156" si="524">-AS155/AS151</f>
        <v>0.15</v>
      </c>
      <c r="AT156" s="16">
        <f t="shared" ref="AT156" si="525">-AT155/AT151</f>
        <v>0.15</v>
      </c>
      <c r="AU156" s="16">
        <f t="shared" ref="AU156" si="526">-AU155/AU151</f>
        <v>0.15</v>
      </c>
      <c r="AV156" s="16">
        <f t="shared" ref="AV156" si="527">-AV155/AV151</f>
        <v>0.15000000000000002</v>
      </c>
      <c r="AW156" s="16">
        <f t="shared" ref="AW156" si="528">-AW155/AW151</f>
        <v>0.15</v>
      </c>
      <c r="AX156" s="16">
        <f t="shared" ref="AX156" si="529">-AX155/AX151</f>
        <v>0.15</v>
      </c>
      <c r="AY156" s="16">
        <f t="shared" ref="AY156" si="530">-AY155/AY151</f>
        <v>0.15</v>
      </c>
      <c r="AZ156" s="16">
        <f t="shared" ref="AZ156" si="531">-AZ155/AZ151</f>
        <v>0.15</v>
      </c>
      <c r="BA156" s="16">
        <f t="shared" ref="BA156" si="532">-BA155/BA151</f>
        <v>0.15000000000000002</v>
      </c>
      <c r="BB156" s="16">
        <f t="shared" ref="BB156" si="533">-BB155/BB151</f>
        <v>0.15</v>
      </c>
      <c r="BC156" s="16">
        <f t="shared" ref="BC156" si="534">-BC155/BC151</f>
        <v>0.15</v>
      </c>
      <c r="BD156" s="16">
        <f t="shared" ref="BD156" si="535">-BD155/BD151</f>
        <v>0.15</v>
      </c>
      <c r="BE156" s="16">
        <f t="shared" ref="BE156" si="536">-BE155/BE151</f>
        <v>0.15</v>
      </c>
      <c r="BF156" s="16">
        <f t="shared" ref="BF156" si="537">-BF155/BF151</f>
        <v>0.15000000000000002</v>
      </c>
      <c r="BG156" s="16">
        <f t="shared" ref="BG156" si="538">-BG155/BG151</f>
        <v>0.15</v>
      </c>
      <c r="BH156" s="16">
        <f t="shared" ref="BH156" si="539">-BH155/BH151</f>
        <v>0.15</v>
      </c>
      <c r="BI156" s="16">
        <f t="shared" ref="BI156" si="540">-BI155/BI151</f>
        <v>0.15</v>
      </c>
      <c r="BJ156" s="16">
        <f t="shared" ref="BJ156" si="541">-BJ155/BJ151</f>
        <v>0.15</v>
      </c>
      <c r="BK156" s="16">
        <f t="shared" ref="BK156" si="542">-BK155/BK151</f>
        <v>0.15</v>
      </c>
      <c r="BL156" s="16">
        <f t="shared" ref="BL156" si="543">-BL155/BL151</f>
        <v>0.15</v>
      </c>
      <c r="BM156" s="16">
        <f t="shared" ref="BM156" si="544">-BM155/BM151</f>
        <v>0.15</v>
      </c>
      <c r="BN156" s="16">
        <f t="shared" ref="BN156" si="545">-BN155/BN151</f>
        <v>0.15</v>
      </c>
      <c r="BO156" s="16">
        <f t="shared" ref="BO156" si="546">-BO155/BO151</f>
        <v>0.15</v>
      </c>
      <c r="BP156" s="16">
        <f t="shared" ref="BP156" si="547">-BP155/BP151</f>
        <v>0.15</v>
      </c>
      <c r="BQ156" s="16">
        <f t="shared" ref="BQ156" si="548">-BQ155/BQ151</f>
        <v>0.15</v>
      </c>
      <c r="BR156" s="16">
        <f t="shared" ref="BR156" si="549">-BR155/BR151</f>
        <v>0.15</v>
      </c>
      <c r="BS156" s="16">
        <f t="shared" ref="BS156" si="550">-BS155/BS151</f>
        <v>0.15</v>
      </c>
      <c r="BT156" s="16">
        <f t="shared" ref="BT156" si="551">-BT155/BT151</f>
        <v>0.15</v>
      </c>
      <c r="BU156" s="16">
        <f t="shared" ref="BU156" si="552">-BU155/BU151</f>
        <v>0.15000000000000002</v>
      </c>
    </row>
    <row r="158" spans="1:73" s="79" customFormat="1">
      <c r="A158" s="314" t="s">
        <v>2027</v>
      </c>
      <c r="B158" s="314"/>
      <c r="C158" s="314"/>
      <c r="D158" s="314"/>
      <c r="E158" s="314"/>
      <c r="F158" s="314"/>
      <c r="G158" s="314"/>
      <c r="H158" s="314"/>
      <c r="I158" s="314"/>
      <c r="J158" s="314"/>
      <c r="K158" s="314"/>
      <c r="L158" s="314"/>
      <c r="M158" s="314"/>
      <c r="N158" s="314"/>
      <c r="O158" s="314"/>
      <c r="P158" s="314"/>
      <c r="Q158" s="314"/>
      <c r="R158" s="314"/>
      <c r="S158" s="314"/>
      <c r="T158" s="314"/>
      <c r="U158" s="314"/>
      <c r="V158" s="314"/>
      <c r="W158" s="314"/>
      <c r="X158" s="81"/>
      <c r="Y158" s="81"/>
      <c r="Z158" s="81"/>
      <c r="AA158" s="81"/>
      <c r="AB158" s="81">
        <f>AB151+AB155</f>
        <v>207</v>
      </c>
      <c r="AC158" s="81"/>
      <c r="AD158" s="81"/>
      <c r="AE158" s="81"/>
      <c r="AF158" s="81">
        <f>AF151+AF155</f>
        <v>-10</v>
      </c>
      <c r="AG158" s="81">
        <f>AG151+AG155</f>
        <v>663</v>
      </c>
      <c r="AH158" s="81">
        <f t="shared" ref="AH158:BU158" si="553">AH151+AH155</f>
        <v>236</v>
      </c>
      <c r="AI158" s="81">
        <f t="shared" si="553"/>
        <v>178</v>
      </c>
      <c r="AJ158" s="81">
        <f t="shared" si="553"/>
        <v>225</v>
      </c>
      <c r="AK158" s="81">
        <f t="shared" si="553"/>
        <v>18</v>
      </c>
      <c r="AL158" s="81">
        <f t="shared" si="553"/>
        <v>657</v>
      </c>
      <c r="AM158" s="81">
        <f t="shared" si="553"/>
        <v>246</v>
      </c>
      <c r="AN158" s="81">
        <f t="shared" si="553"/>
        <v>378</v>
      </c>
      <c r="AO158" s="81">
        <f t="shared" si="553"/>
        <v>324</v>
      </c>
      <c r="AP158" s="81">
        <f t="shared" si="553"/>
        <v>322.27483949999993</v>
      </c>
      <c r="AQ158" s="81">
        <f t="shared" si="553"/>
        <v>1270.2748395000001</v>
      </c>
      <c r="AR158" s="81">
        <f t="shared" si="553"/>
        <v>345.06238144375004</v>
      </c>
      <c r="AS158" s="81">
        <f t="shared" si="553"/>
        <v>392.26857586999995</v>
      </c>
      <c r="AT158" s="81">
        <f t="shared" si="553"/>
        <v>460.49397942462497</v>
      </c>
      <c r="AU158" s="81">
        <f t="shared" si="553"/>
        <v>436.97584079784269</v>
      </c>
      <c r="AV158" s="81">
        <f t="shared" si="553"/>
        <v>1634.8007775362175</v>
      </c>
      <c r="AW158" s="81">
        <f t="shared" si="553"/>
        <v>483.10294140793621</v>
      </c>
      <c r="AX158" s="81">
        <f t="shared" si="553"/>
        <v>538.56590696335911</v>
      </c>
      <c r="AY158" s="81">
        <f t="shared" si="553"/>
        <v>579.47710946753159</v>
      </c>
      <c r="AZ158" s="81">
        <f t="shared" si="553"/>
        <v>529.52707619428247</v>
      </c>
      <c r="BA158" s="81">
        <f t="shared" si="553"/>
        <v>2130.6730340331087</v>
      </c>
      <c r="BB158" s="81">
        <f t="shared" si="553"/>
        <v>566.62908568630269</v>
      </c>
      <c r="BC158" s="81">
        <f t="shared" si="553"/>
        <v>633.98003824882062</v>
      </c>
      <c r="BD158" s="81">
        <f t="shared" si="553"/>
        <v>697.93463098809559</v>
      </c>
      <c r="BE158" s="81">
        <f t="shared" si="553"/>
        <v>644.85716051442228</v>
      </c>
      <c r="BF158" s="81">
        <f t="shared" si="553"/>
        <v>2543.4009154376408</v>
      </c>
      <c r="BG158" s="81">
        <f t="shared" si="553"/>
        <v>707.73972641705404</v>
      </c>
      <c r="BH158" s="81">
        <f t="shared" si="553"/>
        <v>783.38183174693609</v>
      </c>
      <c r="BI158" s="81">
        <f t="shared" si="553"/>
        <v>824.63741454318199</v>
      </c>
      <c r="BJ158" s="81">
        <f t="shared" si="553"/>
        <v>746.64199352914216</v>
      </c>
      <c r="BK158" s="81">
        <f t="shared" si="553"/>
        <v>3062.4009662363142</v>
      </c>
      <c r="BL158" s="81">
        <f t="shared" si="553"/>
        <v>820.00424032581532</v>
      </c>
      <c r="BM158" s="81">
        <f t="shared" si="553"/>
        <v>902.66774307369917</v>
      </c>
      <c r="BN158" s="81">
        <f t="shared" si="553"/>
        <v>944.04326598399712</v>
      </c>
      <c r="BO158" s="81">
        <f t="shared" si="553"/>
        <v>850.91496445865755</v>
      </c>
      <c r="BP158" s="81">
        <f t="shared" si="553"/>
        <v>3517.6302138421693</v>
      </c>
      <c r="BQ158" s="81">
        <f t="shared" si="553"/>
        <v>932.30352920728399</v>
      </c>
      <c r="BR158" s="81">
        <f t="shared" si="553"/>
        <v>1019.4334116410079</v>
      </c>
      <c r="BS158" s="81">
        <f t="shared" si="553"/>
        <v>1058.5753366364545</v>
      </c>
      <c r="BT158" s="81">
        <f t="shared" si="553"/>
        <v>945.5870256320112</v>
      </c>
      <c r="BU158" s="81">
        <f t="shared" si="553"/>
        <v>3955.8993031167574</v>
      </c>
    </row>
    <row r="159" spans="1:73">
      <c r="A159" s="1" t="s">
        <v>2028</v>
      </c>
      <c r="AB159" s="16">
        <f>AB158/AB$62</f>
        <v>0.10212136161815491</v>
      </c>
      <c r="AF159" s="16">
        <f t="shared" ref="AF159:BU159" si="554">AF158/AF$62</f>
        <v>-1.5220700152207001E-2</v>
      </c>
      <c r="AG159" s="16">
        <f t="shared" si="554"/>
        <v>0.24528301886792453</v>
      </c>
      <c r="AH159" s="16">
        <f t="shared" si="554"/>
        <v>0.34104046242774566</v>
      </c>
      <c r="AI159" s="16">
        <f t="shared" si="554"/>
        <v>0.28253968253968254</v>
      </c>
      <c r="AJ159" s="16">
        <f t="shared" si="554"/>
        <v>0.31077348066298344</v>
      </c>
      <c r="AK159" s="16">
        <f t="shared" si="554"/>
        <v>2.843601895734597E-2</v>
      </c>
      <c r="AL159" s="16">
        <f t="shared" si="554"/>
        <v>0.24524076147816348</v>
      </c>
      <c r="AM159" s="16">
        <f t="shared" si="554"/>
        <v>0.36444444444444446</v>
      </c>
      <c r="AN159" s="16">
        <f t="shared" si="554"/>
        <v>0.46898263027295284</v>
      </c>
      <c r="AO159" s="16">
        <f t="shared" si="554"/>
        <v>0.39320388349514562</v>
      </c>
      <c r="AP159" s="16">
        <f t="shared" si="554"/>
        <v>0.37298030974885826</v>
      </c>
      <c r="AQ159" s="16">
        <f t="shared" si="554"/>
        <v>0.40083733194477983</v>
      </c>
      <c r="AR159" s="16">
        <f t="shared" si="554"/>
        <v>0.37647765848108994</v>
      </c>
      <c r="AS159" s="16">
        <f t="shared" si="554"/>
        <v>0.40224775539974472</v>
      </c>
      <c r="AT159" s="16">
        <f t="shared" si="554"/>
        <v>0.43710291915580751</v>
      </c>
      <c r="AU159" s="16">
        <f t="shared" si="554"/>
        <v>0.42158576329895869</v>
      </c>
      <c r="AV159" s="16">
        <f t="shared" si="554"/>
        <v>0.4105718622142967</v>
      </c>
      <c r="AW159" s="16">
        <f t="shared" si="554"/>
        <v>0.43122089340501901</v>
      </c>
      <c r="AX159" s="16">
        <f t="shared" si="554"/>
        <v>0.45035779967878792</v>
      </c>
      <c r="AY159" s="16">
        <f t="shared" si="554"/>
        <v>0.46218111320060834</v>
      </c>
      <c r="AZ159" s="16">
        <f t="shared" si="554"/>
        <v>0.43865609524858423</v>
      </c>
      <c r="BA159" s="16">
        <f t="shared" si="554"/>
        <v>0.44601601742583757</v>
      </c>
      <c r="BB159" s="16">
        <f t="shared" si="554"/>
        <v>0.44630799461637566</v>
      </c>
      <c r="BC159" s="16">
        <f t="shared" si="554"/>
        <v>0.46814072693325914</v>
      </c>
      <c r="BD159" s="16">
        <f t="shared" si="554"/>
        <v>0.48720060839644924</v>
      </c>
      <c r="BE159" s="16">
        <f t="shared" si="554"/>
        <v>0.46769000292993101</v>
      </c>
      <c r="BF159" s="16">
        <f t="shared" si="554"/>
        <v>0.46795010373988</v>
      </c>
      <c r="BG159" s="16">
        <f t="shared" si="554"/>
        <v>0.48180599250144718</v>
      </c>
      <c r="BH159" s="16">
        <f t="shared" si="554"/>
        <v>0.50256827870695531</v>
      </c>
      <c r="BI159" s="16">
        <f t="shared" si="554"/>
        <v>0.51376442030509339</v>
      </c>
      <c r="BJ159" s="16">
        <f t="shared" si="554"/>
        <v>0.49216573642144901</v>
      </c>
      <c r="BK159" s="16">
        <f t="shared" si="554"/>
        <v>0.49796509764641739</v>
      </c>
      <c r="BL159" s="16">
        <f t="shared" si="554"/>
        <v>0.50649845597144216</v>
      </c>
      <c r="BM159" s="16">
        <f t="shared" si="554"/>
        <v>0.52439012005805419</v>
      </c>
      <c r="BN159" s="16">
        <f t="shared" si="554"/>
        <v>0.53410011263048773</v>
      </c>
      <c r="BO159" s="16">
        <f t="shared" si="554"/>
        <v>0.51217985809188338</v>
      </c>
      <c r="BP159" s="16">
        <f t="shared" si="554"/>
        <v>0.51964972359361961</v>
      </c>
      <c r="BQ159" s="16">
        <f t="shared" si="554"/>
        <v>0.52587426486797717</v>
      </c>
      <c r="BR159" s="16">
        <f t="shared" si="554"/>
        <v>0.54201313966188536</v>
      </c>
      <c r="BS159" s="16">
        <f t="shared" si="554"/>
        <v>0.55144705813862538</v>
      </c>
      <c r="BT159" s="16">
        <f t="shared" si="554"/>
        <v>0.52840617522776023</v>
      </c>
      <c r="BU159" s="16">
        <f t="shared" si="554"/>
        <v>0.53727961437541438</v>
      </c>
    </row>
    <row r="160" spans="1:73" s="26" customFormat="1">
      <c r="A160" s="26" t="s">
        <v>706</v>
      </c>
      <c r="AB160" s="61">
        <f>AB158-'Links (Arm OLD Model)'!AB45</f>
        <v>0</v>
      </c>
      <c r="AF160" s="61">
        <f>AF158-'Links (Arm OLD Model)'!AF45</f>
        <v>0</v>
      </c>
      <c r="AG160" s="61">
        <f>AG158-'Links (Arm OLD Model)'!AG45</f>
        <v>0</v>
      </c>
      <c r="AH160" s="61">
        <f>AH158-'Links (Arm OLD Model)'!AH45</f>
        <v>0</v>
      </c>
      <c r="AI160" s="61">
        <f>AI158-'Links (Arm OLD Model)'!AI45</f>
        <v>0</v>
      </c>
      <c r="AJ160" s="61">
        <f>AJ158-'Links (Arm OLD Model)'!AJ45</f>
        <v>0</v>
      </c>
      <c r="AK160" s="61">
        <f>AK158-'Links (Arm OLD Model)'!AK45</f>
        <v>0</v>
      </c>
      <c r="AL160" s="61">
        <f>AL158-'Links (Arm OLD Model)'!AL45</f>
        <v>0</v>
      </c>
      <c r="AM160" s="61">
        <f>AM158-'Links (Arm OLD Model)'!AM45</f>
        <v>0</v>
      </c>
      <c r="AN160" s="61">
        <f>AN158-'Links (Arm OLD Model)'!AN45</f>
        <v>0</v>
      </c>
      <c r="AO160" s="61">
        <f>AO158-'Links (Arm OLD Model)'!AO45</f>
        <v>0</v>
      </c>
      <c r="AP160" s="61">
        <f>AP158-'Links (Arm OLD Model)'!AP45</f>
        <v>0</v>
      </c>
      <c r="AQ160" s="61">
        <f>AQ158-'Links (Arm OLD Model)'!AQ45</f>
        <v>0</v>
      </c>
      <c r="AR160" s="61">
        <f>AR158-'Links (Arm OLD Model)'!AR45</f>
        <v>0</v>
      </c>
      <c r="AS160" s="61">
        <f>AS158-'Links (Arm OLD Model)'!AS45</f>
        <v>0</v>
      </c>
      <c r="AT160" s="61">
        <f>AT158-'Links (Arm OLD Model)'!AT45</f>
        <v>0</v>
      </c>
      <c r="AU160" s="61">
        <f>AU158-'Links (Arm OLD Model)'!AU45</f>
        <v>0</v>
      </c>
      <c r="AV160" s="61">
        <f>AV158-'Links (Arm OLD Model)'!AV45</f>
        <v>0</v>
      </c>
      <c r="AW160" s="61">
        <f>AW158-'Links (Arm OLD Model)'!AW45</f>
        <v>0</v>
      </c>
      <c r="AX160" s="61">
        <f>AX158-'Links (Arm OLD Model)'!AX45</f>
        <v>0</v>
      </c>
      <c r="AY160" s="61">
        <f>AY158-'Links (Arm OLD Model)'!AY45</f>
        <v>0</v>
      </c>
      <c r="AZ160" s="61">
        <f>AZ158-'Links (Arm OLD Model)'!AZ45</f>
        <v>0</v>
      </c>
      <c r="BA160" s="61">
        <f>BA158-'Links (Arm OLD Model)'!BA45</f>
        <v>0</v>
      </c>
      <c r="BB160" s="61">
        <f>BB158-'Links (Arm OLD Model)'!BB45</f>
        <v>0</v>
      </c>
      <c r="BC160" s="61">
        <f>BC158-'Links (Arm OLD Model)'!BC45</f>
        <v>0</v>
      </c>
      <c r="BD160" s="61">
        <f>BD158-'Links (Arm OLD Model)'!BD45</f>
        <v>0</v>
      </c>
      <c r="BE160" s="61">
        <f>BE158-'Links (Arm OLD Model)'!BE45</f>
        <v>0</v>
      </c>
      <c r="BF160" s="61">
        <f>BF158-'Links (Arm OLD Model)'!BF45</f>
        <v>0</v>
      </c>
      <c r="BG160" s="61">
        <f>BG158-'Links (Arm OLD Model)'!BG45</f>
        <v>0</v>
      </c>
      <c r="BH160" s="61">
        <f>BH158-'Links (Arm OLD Model)'!BH45</f>
        <v>0</v>
      </c>
      <c r="BI160" s="61">
        <f>BI158-'Links (Arm OLD Model)'!BI45</f>
        <v>0</v>
      </c>
      <c r="BJ160" s="61">
        <f>BJ158-'Links (Arm OLD Model)'!BJ45</f>
        <v>0</v>
      </c>
      <c r="BK160" s="61">
        <f>BK158-'Links (Arm OLD Model)'!BK45</f>
        <v>0</v>
      </c>
      <c r="BL160" s="61">
        <f>BL158-'Links (Arm OLD Model)'!BL45</f>
        <v>0</v>
      </c>
      <c r="BM160" s="61">
        <f>BM158-'Links (Arm OLD Model)'!BM45</f>
        <v>0</v>
      </c>
      <c r="BN160" s="61">
        <f>BN158-'Links (Arm OLD Model)'!BN45</f>
        <v>0</v>
      </c>
      <c r="BO160" s="61">
        <f>BO158-'Links (Arm OLD Model)'!BO45</f>
        <v>0</v>
      </c>
      <c r="BP160" s="61">
        <f>BP158-'Links (Arm OLD Model)'!BP45</f>
        <v>0</v>
      </c>
      <c r="BQ160" s="61">
        <f>BQ158-'Links (Arm OLD Model)'!BQ45</f>
        <v>0</v>
      </c>
      <c r="BR160" s="61">
        <f>BR158-'Links (Arm OLD Model)'!BR45</f>
        <v>0</v>
      </c>
      <c r="BS160" s="61">
        <f>BS158-'Links (Arm OLD Model)'!BS45</f>
        <v>0</v>
      </c>
      <c r="BT160" s="61">
        <f>BT158-'Links (Arm OLD Model)'!BT45</f>
        <v>0</v>
      </c>
      <c r="BU160" s="61">
        <f>BU158-'Links (Arm OLD Model)'!BU45</f>
        <v>0</v>
      </c>
    </row>
    <row r="162" spans="1:73" s="12" customFormat="1">
      <c r="A162" s="13" t="s">
        <v>2008</v>
      </c>
    </row>
    <row r="164" spans="1:73">
      <c r="A164" s="1" t="s">
        <v>3</v>
      </c>
      <c r="AB164" s="59">
        <f>'Links (Arm OLD Model)'!AB51</f>
        <v>1171</v>
      </c>
      <c r="AF164" s="59">
        <f>'Links (Arm OLD Model)'!AF51</f>
        <v>1004</v>
      </c>
      <c r="AG164" s="59">
        <f>'Links (Arm OLD Model)'!AG51</f>
        <v>1004</v>
      </c>
      <c r="AH164" s="59">
        <f>'Links (Arm OLD Model)'!AH51</f>
        <v>788</v>
      </c>
      <c r="AI164" s="59">
        <f>'Links (Arm OLD Model)'!AI51</f>
        <v>690</v>
      </c>
      <c r="AJ164" s="59">
        <f>'Links (Arm OLD Model)'!AJ51</f>
        <v>1101</v>
      </c>
      <c r="AK164" s="59">
        <f>'Links (Arm OLD Model)'!AK51</f>
        <v>1554</v>
      </c>
      <c r="AL164" s="59">
        <f>'Links (Arm OLD Model)'!AL51</f>
        <v>1554</v>
      </c>
      <c r="AM164" s="59">
        <f>'Links (Arm OLD Model)'!AM51</f>
        <v>1248</v>
      </c>
      <c r="AN164" s="59">
        <f>'Links (Arm OLD Model)'!AN51</f>
        <v>1406</v>
      </c>
      <c r="AO164" s="59">
        <f>'Links (Arm OLD Model)'!AO51</f>
        <v>1551</v>
      </c>
      <c r="AP164" s="59"/>
      <c r="AQ164" s="59"/>
      <c r="AR164" s="59"/>
      <c r="AS164" s="59"/>
      <c r="AT164" s="59"/>
      <c r="AU164" s="59"/>
      <c r="AV164" s="59"/>
      <c r="AW164" s="59"/>
      <c r="AX164" s="59"/>
      <c r="AY164" s="59"/>
      <c r="AZ164" s="59"/>
      <c r="BA164" s="59"/>
      <c r="BB164" s="59"/>
      <c r="BC164" s="59"/>
      <c r="BD164" s="59"/>
      <c r="BE164" s="59"/>
      <c r="BF164" s="59"/>
      <c r="BG164" s="59"/>
      <c r="BH164" s="59"/>
      <c r="BI164" s="59"/>
      <c r="BJ164" s="59"/>
      <c r="BK164" s="59"/>
      <c r="BL164" s="59"/>
      <c r="BM164" s="59"/>
      <c r="BN164" s="59"/>
      <c r="BO164" s="59"/>
      <c r="BP164" s="59"/>
      <c r="BQ164" s="59"/>
      <c r="BR164" s="59"/>
      <c r="BS164" s="59"/>
      <c r="BT164" s="59"/>
      <c r="BU164" s="59"/>
    </row>
    <row r="165" spans="1:73">
      <c r="A165" s="1" t="s">
        <v>2012</v>
      </c>
      <c r="AB165" s="59">
        <f>'Links (Arm OLD Model)'!AB52</f>
        <v>126</v>
      </c>
      <c r="AF165" s="59">
        <f>'Links (Arm OLD Model)'!AF52</f>
        <v>631</v>
      </c>
      <c r="AG165" s="59">
        <f>'Links (Arm OLD Model)'!AG52</f>
        <v>631</v>
      </c>
      <c r="AH165" s="59">
        <f>'Links (Arm OLD Model)'!AH52</f>
        <v>566</v>
      </c>
      <c r="AI165" s="59">
        <f>'Links (Arm OLD Model)'!AI52</f>
        <v>686</v>
      </c>
      <c r="AJ165" s="59">
        <f>'Links (Arm OLD Model)'!AJ52</f>
        <v>671</v>
      </c>
      <c r="AK165" s="59">
        <f>'Links (Arm OLD Model)'!AK52</f>
        <v>661</v>
      </c>
      <c r="AL165" s="59">
        <f>'Links (Arm OLD Model)'!AL52</f>
        <v>661</v>
      </c>
      <c r="AM165" s="59">
        <f>'Links (Arm OLD Model)'!AM52</f>
        <v>801</v>
      </c>
      <c r="AN165" s="59">
        <f>'Links (Arm OLD Model)'!AN52</f>
        <v>800</v>
      </c>
      <c r="AO165" s="59">
        <f>'Links (Arm OLD Model)'!AO52</f>
        <v>850</v>
      </c>
      <c r="AP165" s="59"/>
      <c r="AQ165" s="59"/>
      <c r="AR165" s="59"/>
      <c r="AS165" s="59"/>
      <c r="AT165" s="59"/>
      <c r="AU165" s="59"/>
      <c r="AV165" s="59"/>
      <c r="AW165" s="59"/>
      <c r="AX165" s="59"/>
      <c r="AY165" s="59"/>
      <c r="AZ165" s="59"/>
      <c r="BA165" s="59"/>
      <c r="BB165" s="59"/>
      <c r="BC165" s="59"/>
      <c r="BD165" s="59"/>
      <c r="BE165" s="59"/>
      <c r="BF165" s="59"/>
      <c r="BG165" s="59"/>
      <c r="BH165" s="59"/>
      <c r="BI165" s="59"/>
      <c r="BJ165" s="59"/>
      <c r="BK165" s="59"/>
      <c r="BL165" s="59"/>
      <c r="BM165" s="59"/>
      <c r="BN165" s="59"/>
      <c r="BO165" s="59"/>
      <c r="BP165" s="59"/>
      <c r="BQ165" s="59"/>
      <c r="BR165" s="59"/>
      <c r="BS165" s="59"/>
      <c r="BT165" s="59"/>
      <c r="BU165" s="59"/>
    </row>
    <row r="167" spans="1:73" s="46" customFormat="1">
      <c r="A167" s="47" t="s">
        <v>2013</v>
      </c>
    </row>
    <row r="169" spans="1:73">
      <c r="A169" s="1" t="s">
        <v>2016</v>
      </c>
      <c r="AB169" s="36">
        <f>SUM(AB164:AB165)</f>
        <v>1297</v>
      </c>
      <c r="AF169" s="36">
        <f>SUM(AF164:AF165)</f>
        <v>1635</v>
      </c>
      <c r="AG169" s="36">
        <f>SUM(AG164:AG165)</f>
        <v>1635</v>
      </c>
      <c r="AH169" s="36">
        <f t="shared" ref="AH169:AO169" si="555">SUM(AH164:AH165)</f>
        <v>1354</v>
      </c>
      <c r="AI169" s="36">
        <f t="shared" si="555"/>
        <v>1376</v>
      </c>
      <c r="AJ169" s="36">
        <f t="shared" si="555"/>
        <v>1772</v>
      </c>
      <c r="AK169" s="36">
        <f t="shared" si="555"/>
        <v>2215</v>
      </c>
      <c r="AL169" s="36">
        <f t="shared" si="555"/>
        <v>2215</v>
      </c>
      <c r="AM169" s="36">
        <f t="shared" si="555"/>
        <v>2049</v>
      </c>
      <c r="AN169" s="36">
        <f t="shared" si="555"/>
        <v>2206</v>
      </c>
      <c r="AO169" s="36">
        <f t="shared" si="555"/>
        <v>2401</v>
      </c>
    </row>
    <row r="170" spans="1:73">
      <c r="A170" s="1" t="s">
        <v>2014</v>
      </c>
      <c r="AB170" s="36">
        <f>AB149</f>
        <v>-18</v>
      </c>
      <c r="AF170" s="36">
        <f t="shared" ref="AF170:AO170" si="556">AF149</f>
        <v>2</v>
      </c>
      <c r="AG170" s="36">
        <f t="shared" si="556"/>
        <v>12</v>
      </c>
      <c r="AH170" s="36">
        <f t="shared" si="556"/>
        <v>6</v>
      </c>
      <c r="AI170" s="36">
        <f t="shared" si="556"/>
        <v>29</v>
      </c>
      <c r="AJ170" s="36">
        <f t="shared" si="556"/>
        <v>-10</v>
      </c>
      <c r="AK170" s="36">
        <f t="shared" si="556"/>
        <v>20</v>
      </c>
      <c r="AL170" s="36">
        <f t="shared" si="556"/>
        <v>45</v>
      </c>
      <c r="AM170" s="36">
        <f t="shared" si="556"/>
        <v>23</v>
      </c>
      <c r="AN170" s="36">
        <f t="shared" si="556"/>
        <v>42</v>
      </c>
      <c r="AO170" s="36">
        <f t="shared" si="556"/>
        <v>13</v>
      </c>
    </row>
    <row r="171" spans="1:73">
      <c r="A171" s="1" t="s">
        <v>2015</v>
      </c>
      <c r="AB171" s="16">
        <f>4*AB170/AVERAGE(AA169:AB169)</f>
        <v>-5.5512721665381647E-2</v>
      </c>
      <c r="AF171" s="16">
        <f>4*AF170/AVERAGE(AE169:AF169)</f>
        <v>4.8929663608562688E-3</v>
      </c>
      <c r="AG171" s="16">
        <f>AG170/AVERAGE(AB169, AG169)</f>
        <v>8.1855388813096858E-3</v>
      </c>
      <c r="AH171" s="16">
        <f>4*AH170/AVERAGE(AG169:AH169)</f>
        <v>1.6058882569421212E-2</v>
      </c>
      <c r="AI171" s="16">
        <f>4*AI170/AVERAGE(AH169:AI169)</f>
        <v>8.4981684981684985E-2</v>
      </c>
      <c r="AJ171" s="16">
        <f>4*AJ170/AVERAGE(AI169:AJ169)</f>
        <v>-2.5412960609911054E-2</v>
      </c>
      <c r="AK171" s="16">
        <f>4*AK170/AVERAGE(AJ169:AK169)</f>
        <v>4.0130423877602205E-2</v>
      </c>
      <c r="AL171" s="16">
        <f>AL170/AVERAGE(AG169:AK169)</f>
        <v>2.6939655172413791E-2</v>
      </c>
      <c r="AM171" s="16">
        <f>4*AM170/AVERAGE(AL169:AM169)</f>
        <v>4.3151969981238276E-2</v>
      </c>
      <c r="AN171" s="16">
        <f>4*AN170/AVERAGE(AM169:AN169)</f>
        <v>7.8965922444183309E-2</v>
      </c>
      <c r="AO171" s="16">
        <f>4*AO170/AVERAGE(AN169:AO169)</f>
        <v>2.2574343390492729E-2</v>
      </c>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E5BC3-1D12-449B-8C76-E405ED80B1E3}">
  <sheetPr codeName="Sheet1"/>
  <dimension ref="A1:BZ52"/>
  <sheetViews>
    <sheetView zoomScale="90" zoomScaleNormal="90" workbookViewId="0">
      <pane xSplit="8" ySplit="2" topLeftCell="M3" activePane="bottomRight" state="frozen"/>
      <selection pane="topRight" activeCell="I1" sqref="I1"/>
      <selection pane="bottomLeft" activeCell="A3" sqref="A3"/>
      <selection pane="bottomRight"/>
    </sheetView>
  </sheetViews>
  <sheetFormatPr defaultColWidth="9.140625" defaultRowHeight="12" outlineLevelCol="1"/>
  <cols>
    <col min="1" max="1" width="9.140625" style="1"/>
    <col min="2" max="2" width="25.7109375" style="1" customWidth="1"/>
    <col min="3" max="8" width="9.140625" style="1"/>
    <col min="9" max="12" width="11.42578125" style="1" hidden="1" customWidth="1" outlineLevel="1"/>
    <col min="13" max="13" width="11.42578125" style="1" customWidth="1" collapsed="1"/>
    <col min="14" max="17" width="11.42578125" style="1" hidden="1" customWidth="1" outlineLevel="1"/>
    <col min="18" max="18" width="11.42578125" style="1" customWidth="1" collapsed="1"/>
    <col min="19" max="22" width="11.42578125" style="1" hidden="1" customWidth="1" outlineLevel="1"/>
    <col min="23" max="23" width="11.42578125" style="1" customWidth="1" collapsed="1"/>
    <col min="24" max="27" width="11.42578125" style="1" hidden="1" customWidth="1" outlineLevel="1"/>
    <col min="28" max="28" width="11.42578125" style="1" customWidth="1" collapsed="1"/>
    <col min="29" max="32" width="11.42578125" style="1" hidden="1" customWidth="1" outlineLevel="1"/>
    <col min="33" max="33" width="11.42578125" style="1" customWidth="1" collapsed="1"/>
    <col min="34" max="37" width="11.42578125" style="1" hidden="1" customWidth="1" outlineLevel="1"/>
    <col min="38" max="38" width="11.42578125" style="1" customWidth="1" collapsed="1"/>
    <col min="39" max="42" width="11.42578125" style="1" hidden="1" customWidth="1" outlineLevel="1"/>
    <col min="43" max="43" width="11.42578125" style="1" customWidth="1" collapsed="1"/>
    <col min="44" max="47" width="11.42578125" style="1" hidden="1" customWidth="1" outlineLevel="1"/>
    <col min="48" max="48" width="11.42578125" style="1" customWidth="1" collapsed="1"/>
    <col min="49" max="52" width="11.42578125" style="1" hidden="1" customWidth="1" outlineLevel="1"/>
    <col min="53" max="53" width="11.42578125" style="1" customWidth="1" collapsed="1"/>
    <col min="54" max="57" width="11.42578125" style="1" hidden="1" customWidth="1" outlineLevel="1"/>
    <col min="58" max="58" width="11.42578125" style="1" customWidth="1" collapsed="1"/>
    <col min="59" max="62" width="11.42578125" style="1" hidden="1" customWidth="1" outlineLevel="1"/>
    <col min="63" max="63" width="11.42578125" style="1" customWidth="1" collapsed="1"/>
    <col min="64" max="67" width="11.42578125" style="1" hidden="1" customWidth="1" outlineLevel="1"/>
    <col min="68" max="68" width="11.42578125" style="1" customWidth="1" collapsed="1"/>
    <col min="69" max="72" width="11.42578125" style="1" hidden="1" customWidth="1" outlineLevel="1"/>
    <col min="73" max="73" width="11.42578125" style="1" customWidth="1" collapsed="1"/>
    <col min="74" max="77" width="11.42578125" style="1" hidden="1" customWidth="1" outlineLevel="1"/>
    <col min="78" max="78" width="11.42578125" style="1" customWidth="1" collapsed="1"/>
    <col min="79" max="16384" width="9.140625" style="1"/>
  </cols>
  <sheetData>
    <row r="1" spans="1:78" s="2" customFormat="1">
      <c r="A1" s="2" t="s">
        <v>0</v>
      </c>
      <c r="I1" s="43" t="s">
        <v>160</v>
      </c>
      <c r="J1" s="43" t="s">
        <v>161</v>
      </c>
      <c r="K1" s="43" t="s">
        <v>162</v>
      </c>
      <c r="M1" s="18" t="s">
        <v>159</v>
      </c>
      <c r="N1" s="43" t="s">
        <v>150</v>
      </c>
      <c r="O1" s="43" t="s">
        <v>151</v>
      </c>
      <c r="P1" s="43" t="s">
        <v>152</v>
      </c>
      <c r="R1" s="18" t="s">
        <v>153</v>
      </c>
      <c r="S1" s="43" t="s">
        <v>146</v>
      </c>
      <c r="T1" s="43" t="s">
        <v>147</v>
      </c>
      <c r="U1" s="43" t="s">
        <v>148</v>
      </c>
      <c r="W1" s="18" t="s">
        <v>149</v>
      </c>
      <c r="X1" s="43" t="s">
        <v>142</v>
      </c>
      <c r="Y1" s="43" t="s">
        <v>143</v>
      </c>
      <c r="Z1" s="43" t="s">
        <v>144</v>
      </c>
      <c r="AB1" s="18" t="s">
        <v>145</v>
      </c>
      <c r="AC1" s="43" t="s">
        <v>138</v>
      </c>
      <c r="AD1" s="43" t="s">
        <v>139</v>
      </c>
      <c r="AE1" s="43" t="s">
        <v>140</v>
      </c>
      <c r="AG1" s="18" t="s">
        <v>141</v>
      </c>
      <c r="AH1" s="43" t="s">
        <v>126</v>
      </c>
      <c r="AI1" s="43" t="s">
        <v>127</v>
      </c>
      <c r="AJ1" s="43" t="s">
        <v>128</v>
      </c>
      <c r="AL1" s="18" t="s">
        <v>79</v>
      </c>
      <c r="AM1" s="43" t="s">
        <v>129</v>
      </c>
      <c r="AN1" s="43" t="s">
        <v>130</v>
      </c>
      <c r="AO1" s="43" t="s">
        <v>131</v>
      </c>
      <c r="AQ1" s="18" t="s">
        <v>90</v>
      </c>
      <c r="AR1" s="43" t="s">
        <v>700</v>
      </c>
      <c r="AS1" s="43" t="s">
        <v>701</v>
      </c>
      <c r="AT1" s="43" t="s">
        <v>702</v>
      </c>
      <c r="AV1" s="18" t="s">
        <v>699</v>
      </c>
      <c r="AW1" s="43" t="s">
        <v>1177</v>
      </c>
      <c r="AX1" s="43" t="s">
        <v>1178</v>
      </c>
      <c r="AY1" s="43" t="s">
        <v>1179</v>
      </c>
      <c r="BA1" s="18" t="s">
        <v>1180</v>
      </c>
      <c r="BB1" s="43" t="s">
        <v>1189</v>
      </c>
      <c r="BC1" s="43" t="s">
        <v>1190</v>
      </c>
      <c r="BD1" s="43" t="s">
        <v>1191</v>
      </c>
      <c r="BF1" s="18" t="s">
        <v>1198</v>
      </c>
      <c r="BG1" s="43" t="s">
        <v>1192</v>
      </c>
      <c r="BH1" s="43" t="s">
        <v>1199</v>
      </c>
      <c r="BI1" s="43" t="s">
        <v>1200</v>
      </c>
      <c r="BK1" s="18" t="s">
        <v>1209</v>
      </c>
      <c r="BL1" s="43" t="s">
        <v>1201</v>
      </c>
      <c r="BM1" s="43" t="s">
        <v>1203</v>
      </c>
      <c r="BN1" s="43" t="s">
        <v>1205</v>
      </c>
      <c r="BP1" s="18" t="s">
        <v>1210</v>
      </c>
      <c r="BQ1" s="43" t="s">
        <v>1211</v>
      </c>
      <c r="BR1" s="43" t="s">
        <v>1213</v>
      </c>
      <c r="BS1" s="43" t="s">
        <v>1215</v>
      </c>
      <c r="BU1" s="18" t="s">
        <v>1219</v>
      </c>
      <c r="BV1" s="43" t="s">
        <v>1211</v>
      </c>
      <c r="BW1" s="43" t="s">
        <v>1213</v>
      </c>
      <c r="BX1" s="43" t="s">
        <v>1215</v>
      </c>
      <c r="BZ1" s="18" t="s">
        <v>1220</v>
      </c>
    </row>
    <row r="2" spans="1:78" s="2" customFormat="1">
      <c r="A2" s="2" t="s">
        <v>2</v>
      </c>
      <c r="I2" s="6" t="s">
        <v>194</v>
      </c>
      <c r="J2" s="6" t="s">
        <v>195</v>
      </c>
      <c r="K2" s="6" t="s">
        <v>196</v>
      </c>
      <c r="L2" s="6" t="s">
        <v>197</v>
      </c>
      <c r="M2" s="6" t="s">
        <v>198</v>
      </c>
      <c r="N2" s="6" t="s">
        <v>163</v>
      </c>
      <c r="O2" s="6" t="s">
        <v>164</v>
      </c>
      <c r="P2" s="6" t="s">
        <v>165</v>
      </c>
      <c r="Q2" s="6" t="s">
        <v>166</v>
      </c>
      <c r="R2" s="6" t="s">
        <v>167</v>
      </c>
      <c r="S2" s="6" t="s">
        <v>154</v>
      </c>
      <c r="T2" s="6" t="s">
        <v>155</v>
      </c>
      <c r="U2" s="6" t="s">
        <v>156</v>
      </c>
      <c r="V2" s="6" t="s">
        <v>157</v>
      </c>
      <c r="W2" s="6" t="s">
        <v>158</v>
      </c>
      <c r="X2" s="6" t="s">
        <v>133</v>
      </c>
      <c r="Y2" s="6" t="s">
        <v>134</v>
      </c>
      <c r="Z2" s="6" t="s">
        <v>135</v>
      </c>
      <c r="AA2" s="6" t="s">
        <v>136</v>
      </c>
      <c r="AB2" s="6" t="s">
        <v>137</v>
      </c>
      <c r="AC2" s="6" t="s">
        <v>74</v>
      </c>
      <c r="AD2" s="6" t="s">
        <v>75</v>
      </c>
      <c r="AE2" s="6" t="s">
        <v>76</v>
      </c>
      <c r="AF2" s="6" t="s">
        <v>77</v>
      </c>
      <c r="AG2" s="6" t="s">
        <v>78</v>
      </c>
      <c r="AH2" s="6" t="s">
        <v>10</v>
      </c>
      <c r="AI2" s="6" t="s">
        <v>11</v>
      </c>
      <c r="AJ2" s="6" t="s">
        <v>12</v>
      </c>
      <c r="AK2" s="6" t="s">
        <v>13</v>
      </c>
      <c r="AL2" s="6" t="s">
        <v>14</v>
      </c>
      <c r="AM2" s="6" t="s">
        <v>91</v>
      </c>
      <c r="AN2" s="6" t="s">
        <v>92</v>
      </c>
      <c r="AO2" s="6" t="s">
        <v>93</v>
      </c>
      <c r="AP2" s="6" t="s">
        <v>94</v>
      </c>
      <c r="AQ2" s="6" t="s">
        <v>95</v>
      </c>
      <c r="AR2" s="6" t="s">
        <v>686</v>
      </c>
      <c r="AS2" s="6" t="s">
        <v>695</v>
      </c>
      <c r="AT2" s="6" t="s">
        <v>696</v>
      </c>
      <c r="AU2" s="6" t="s">
        <v>697</v>
      </c>
      <c r="AV2" s="6" t="s">
        <v>698</v>
      </c>
      <c r="AW2" s="6" t="s">
        <v>1172</v>
      </c>
      <c r="AX2" s="6" t="s">
        <v>1173</v>
      </c>
      <c r="AY2" s="6" t="s">
        <v>1174</v>
      </c>
      <c r="AZ2" s="6" t="s">
        <v>1175</v>
      </c>
      <c r="BA2" s="6" t="s">
        <v>1176</v>
      </c>
      <c r="BB2" s="6" t="s">
        <v>1184</v>
      </c>
      <c r="BC2" s="6" t="s">
        <v>1185</v>
      </c>
      <c r="BD2" s="6" t="s">
        <v>1186</v>
      </c>
      <c r="BE2" s="6" t="s">
        <v>1187</v>
      </c>
      <c r="BF2" s="6" t="s">
        <v>1188</v>
      </c>
      <c r="BG2" s="6" t="s">
        <v>1193</v>
      </c>
      <c r="BH2" s="6" t="s">
        <v>1194</v>
      </c>
      <c r="BI2" s="6" t="s">
        <v>1195</v>
      </c>
      <c r="BJ2" s="6" t="s">
        <v>1196</v>
      </c>
      <c r="BK2" s="6" t="s">
        <v>1197</v>
      </c>
      <c r="BL2" s="6" t="s">
        <v>1202</v>
      </c>
      <c r="BM2" s="6" t="s">
        <v>1204</v>
      </c>
      <c r="BN2" s="6" t="s">
        <v>1206</v>
      </c>
      <c r="BO2" s="6" t="s">
        <v>1207</v>
      </c>
      <c r="BP2" s="6" t="s">
        <v>1208</v>
      </c>
      <c r="BQ2" s="6" t="s">
        <v>1212</v>
      </c>
      <c r="BR2" s="6" t="s">
        <v>1214</v>
      </c>
      <c r="BS2" s="6" t="s">
        <v>1216</v>
      </c>
      <c r="BT2" s="6" t="s">
        <v>1217</v>
      </c>
      <c r="BU2" s="6" t="s">
        <v>1218</v>
      </c>
      <c r="BV2" s="6" t="s">
        <v>1221</v>
      </c>
      <c r="BW2" s="6" t="s">
        <v>1222</v>
      </c>
      <c r="BX2" s="6" t="s">
        <v>1223</v>
      </c>
      <c r="BY2" s="6" t="s">
        <v>1224</v>
      </c>
      <c r="BZ2" s="6" t="s">
        <v>1225</v>
      </c>
    </row>
    <row r="4" spans="1:78" s="12" customFormat="1">
      <c r="A4" s="13" t="s">
        <v>1909</v>
      </c>
    </row>
    <row r="6" spans="1:78">
      <c r="A6" s="5" t="s">
        <v>1912</v>
      </c>
      <c r="X6" s="38">
        <f>[64]Links!D7</f>
        <v>282</v>
      </c>
      <c r="Y6" s="38">
        <f>[64]Links!E7</f>
        <v>323</v>
      </c>
      <c r="AB6" s="38">
        <f>[64]Links!H7</f>
        <v>1313</v>
      </c>
      <c r="AC6" s="38">
        <f>[64]Links!I7</f>
        <v>371</v>
      </c>
      <c r="AD6" s="38">
        <f>[64]Links!J7</f>
        <v>378</v>
      </c>
      <c r="AE6" s="38">
        <f>[64]Links!K7</f>
        <v>399</v>
      </c>
      <c r="AF6" s="38">
        <f>[64]Links!L7</f>
        <v>424</v>
      </c>
      <c r="AG6" s="38">
        <f>[64]Links!M7</f>
        <v>1562</v>
      </c>
      <c r="AH6" s="38">
        <f>[64]Links!N7</f>
        <v>434</v>
      </c>
      <c r="AI6" s="38">
        <f>[64]Links!O7</f>
        <v>442</v>
      </c>
      <c r="AJ6" s="38">
        <f>[64]Links!P7</f>
        <v>425</v>
      </c>
      <c r="AK6" s="38">
        <f>[64]Links!Q7</f>
        <v>374</v>
      </c>
      <c r="AL6" s="38">
        <f>[64]Links!R7</f>
        <v>1675</v>
      </c>
      <c r="AM6" s="38">
        <f>[64]Links!S7</f>
        <v>400</v>
      </c>
      <c r="AN6" s="38">
        <f>[64]Links!T7</f>
        <v>418</v>
      </c>
      <c r="AO6" s="38">
        <f>[64]Links!U7</f>
        <v>470</v>
      </c>
      <c r="AP6" s="38">
        <f>[64]Links!V7</f>
        <v>492.35322500000001</v>
      </c>
      <c r="AQ6" s="38">
        <f>[64]Links!W7</f>
        <v>1780.3532250000001</v>
      </c>
      <c r="AR6" s="38">
        <f>[64]Links!X7</f>
        <v>575.22473749999995</v>
      </c>
      <c r="AS6" s="38">
        <f>[64]Links!Y7</f>
        <v>627.03485999999998</v>
      </c>
      <c r="AT6" s="38">
        <f>[64]Links!Z7</f>
        <v>694.91255249999995</v>
      </c>
      <c r="AU6" s="38">
        <f>[64]Links!AA7</f>
        <v>674.31790062500011</v>
      </c>
      <c r="AV6" s="38">
        <f>[64]Links!AB7</f>
        <v>2571.4900506250001</v>
      </c>
      <c r="AW6" s="38">
        <f>[64]Links!AC7</f>
        <v>754.50513461875005</v>
      </c>
      <c r="AX6" s="38">
        <f>[64]Links!AD7</f>
        <v>826.39500811875007</v>
      </c>
      <c r="AY6" s="38">
        <f>[64]Links!AE7</f>
        <v>880.62599918750004</v>
      </c>
      <c r="AZ6" s="38">
        <f>[64]Links!AF7</f>
        <v>826.53249674999995</v>
      </c>
      <c r="BA6" s="38">
        <f>[64]Links!AG7</f>
        <v>3288.0586386750001</v>
      </c>
      <c r="BB6" s="38">
        <f>[64]Links!AH7</f>
        <v>884.58968134899999</v>
      </c>
      <c r="BC6" s="38">
        <f>[64]Links!AI7</f>
        <v>964.82107538487503</v>
      </c>
      <c r="BD6" s="38">
        <f>[64]Links!AJ7</f>
        <v>1038.6322085688912</v>
      </c>
      <c r="BE6" s="38">
        <f>[64]Links!AK7</f>
        <v>980.37492887518772</v>
      </c>
      <c r="BF6" s="38">
        <f>[64]Links!AL7</f>
        <v>3868.4178941779542</v>
      </c>
      <c r="BG6" s="38">
        <f>[64]Links!AM7</f>
        <v>1068.5004476324093</v>
      </c>
      <c r="BH6" s="38">
        <f>[64]Links!AN7</f>
        <v>1156.3243800972971</v>
      </c>
      <c r="BI6" s="38">
        <f>[64]Links!AO7</f>
        <v>1200.6437991601997</v>
      </c>
      <c r="BJ6" s="38">
        <f>[64]Links!AP7</f>
        <v>1110.5869630016255</v>
      </c>
      <c r="BK6" s="38">
        <f>[64]Links!AQ7</f>
        <v>4536.0555898915318</v>
      </c>
      <c r="BL6" s="38">
        <f>[64]Links!AR7</f>
        <v>1208.4352143464432</v>
      </c>
      <c r="BM6" s="38">
        <f>[64]Links!AS7</f>
        <v>1306.7297874076573</v>
      </c>
      <c r="BN6" s="38">
        <f>[64]Links!AT7</f>
        <v>1348.7565288017422</v>
      </c>
      <c r="BO6" s="38">
        <f>[64]Links!AU7</f>
        <v>1238.3884618135385</v>
      </c>
      <c r="BP6" s="38">
        <f>[64]Links!AV7</f>
        <v>5102.3099923693808</v>
      </c>
      <c r="BQ6" s="38">
        <f>[64]Links!AW7</f>
        <v>1345.6630262847871</v>
      </c>
      <c r="BR6" s="38">
        <f>[64]Links!AX7</f>
        <v>1449.3549181444982</v>
      </c>
      <c r="BS6" s="38">
        <f>[64]Links!AY7</f>
        <v>1483.8441827496631</v>
      </c>
      <c r="BT6" s="38">
        <f>[64]Links!AZ7</f>
        <v>1349.3623568649693</v>
      </c>
      <c r="BU6" s="38">
        <f>[64]Links!BA7</f>
        <v>5628.224484043918</v>
      </c>
    </row>
    <row r="7" spans="1:78">
      <c r="A7" s="5" t="s">
        <v>1913</v>
      </c>
      <c r="X7" s="38">
        <f>[64]Links!D8</f>
        <v>175</v>
      </c>
      <c r="Y7" s="38">
        <f>[64]Links!E8</f>
        <v>212</v>
      </c>
      <c r="AB7" s="38">
        <f>[64]Links!H8</f>
        <v>714</v>
      </c>
      <c r="AC7" s="38">
        <f>[64]Links!I8</f>
        <v>304</v>
      </c>
      <c r="AD7" s="38">
        <f>[64]Links!J8</f>
        <v>410</v>
      </c>
      <c r="AE7" s="38">
        <f>[64]Links!K8</f>
        <v>182</v>
      </c>
      <c r="AF7" s="38">
        <f>[64]Links!L8</f>
        <v>233</v>
      </c>
      <c r="AG7" s="38">
        <f>[64]Links!M8</f>
        <v>1141</v>
      </c>
      <c r="AH7" s="38">
        <f>[64]Links!N8</f>
        <v>258</v>
      </c>
      <c r="AI7" s="38">
        <f>[64]Links!O8</f>
        <v>188</v>
      </c>
      <c r="AJ7" s="38">
        <f>[64]Links!P8</f>
        <v>299</v>
      </c>
      <c r="AK7" s="38">
        <f>[64]Links!Q8</f>
        <v>259</v>
      </c>
      <c r="AL7" s="38">
        <f>[64]Links!R8</f>
        <v>1004</v>
      </c>
      <c r="AM7" s="38">
        <f>[64]Links!S8</f>
        <v>275</v>
      </c>
      <c r="AN7" s="38">
        <f>[64]Links!T8</f>
        <v>388</v>
      </c>
      <c r="AO7" s="38">
        <f>[64]Links!U8</f>
        <v>354</v>
      </c>
      <c r="AP7" s="38">
        <f>[64]Links!V8</f>
        <v>371.7</v>
      </c>
      <c r="AQ7" s="38">
        <f>[64]Links!W8</f>
        <v>1388.7</v>
      </c>
      <c r="AR7" s="38">
        <f>[64]Links!X8</f>
        <v>341.33000000000004</v>
      </c>
      <c r="AS7" s="38">
        <f>[64]Links!Y8</f>
        <v>348.15660000000003</v>
      </c>
      <c r="AT7" s="38">
        <f>[64]Links!Z8</f>
        <v>358.60129800000004</v>
      </c>
      <c r="AU7" s="38">
        <f>[64]Links!AA8</f>
        <v>362.18731098000006</v>
      </c>
      <c r="AV7" s="38">
        <f>[64]Links!AB8</f>
        <v>1410.2752089800003</v>
      </c>
      <c r="AW7" s="38">
        <f>[64]Links!AC8</f>
        <v>365.80918408980006</v>
      </c>
      <c r="AX7" s="38">
        <f>[64]Links!AD8</f>
        <v>369.46727593069807</v>
      </c>
      <c r="AY7" s="38">
        <f>[64]Links!AE8</f>
        <v>373.16194869000503</v>
      </c>
      <c r="AZ7" s="38">
        <f>[64]Links!AF8</f>
        <v>380.62518766380515</v>
      </c>
      <c r="BA7" s="38">
        <f>[64]Links!AG8</f>
        <v>1489.0635963743084</v>
      </c>
      <c r="BB7" s="38">
        <f>[64]Links!AH8</f>
        <v>385.00237732193892</v>
      </c>
      <c r="BC7" s="38">
        <f>[64]Links!AI8</f>
        <v>389.42990466114122</v>
      </c>
      <c r="BD7" s="38">
        <f>[64]Links!AJ8</f>
        <v>393.90834856474436</v>
      </c>
      <c r="BE7" s="38">
        <f>[64]Links!AK8</f>
        <v>398.43829457323892</v>
      </c>
      <c r="BF7" s="38">
        <f>[64]Links!AL8</f>
        <v>1566.7789251210634</v>
      </c>
      <c r="BG7" s="38">
        <f>[64]Links!AM8</f>
        <v>400.43048604610505</v>
      </c>
      <c r="BH7" s="38">
        <f>[64]Links!AN8</f>
        <v>402.43263847633551</v>
      </c>
      <c r="BI7" s="38">
        <f>[64]Links!AO8</f>
        <v>404.44480166871716</v>
      </c>
      <c r="BJ7" s="38">
        <f>[64]Links!AP8</f>
        <v>406.46702567706069</v>
      </c>
      <c r="BK7" s="38">
        <f>[64]Links!AQ8</f>
        <v>1613.7749518682185</v>
      </c>
      <c r="BL7" s="38">
        <f>[64]Links!AR8</f>
        <v>410.53169593383132</v>
      </c>
      <c r="BM7" s="38">
        <f>[64]Links!AS8</f>
        <v>414.63701289316964</v>
      </c>
      <c r="BN7" s="38">
        <f>[64]Links!AT8</f>
        <v>418.78338302210136</v>
      </c>
      <c r="BO7" s="38">
        <f>[64]Links!AU8</f>
        <v>422.97121685232236</v>
      </c>
      <c r="BP7" s="38">
        <f>[64]Links!AV8</f>
        <v>1666.9233087014247</v>
      </c>
      <c r="BQ7" s="38">
        <f>[64]Links!AW8</f>
        <v>427.20092902084559</v>
      </c>
      <c r="BR7" s="38">
        <f>[64]Links!AX8</f>
        <v>431.47293831105407</v>
      </c>
      <c r="BS7" s="38">
        <f>[64]Links!AY8</f>
        <v>435.78766769416461</v>
      </c>
      <c r="BT7" s="38">
        <f>[64]Links!AZ8</f>
        <v>440.14554437110627</v>
      </c>
      <c r="BU7" s="38">
        <f>[64]Links!BA8</f>
        <v>1734.6070793971705</v>
      </c>
    </row>
    <row r="8" spans="1:78">
      <c r="A8" s="1" t="s">
        <v>1401</v>
      </c>
      <c r="X8" s="38">
        <f>[64]Links!D10</f>
        <v>457</v>
      </c>
      <c r="Y8" s="38">
        <f>[64]Links!E10</f>
        <v>535</v>
      </c>
      <c r="AB8" s="38">
        <f>[64]Links!H10</f>
        <v>2027</v>
      </c>
      <c r="AC8" s="38">
        <f>[64]Links!I10</f>
        <v>675</v>
      </c>
      <c r="AD8" s="38">
        <f>[64]Links!J10</f>
        <v>788</v>
      </c>
      <c r="AE8" s="38">
        <f>[64]Links!K10</f>
        <v>581</v>
      </c>
      <c r="AF8" s="38">
        <f>[64]Links!L10</f>
        <v>657</v>
      </c>
      <c r="AG8" s="38">
        <f>[64]Links!M10</f>
        <v>2703</v>
      </c>
      <c r="AH8" s="38">
        <f>[64]Links!N10</f>
        <v>692</v>
      </c>
      <c r="AI8" s="38">
        <f>[64]Links!O10</f>
        <v>630</v>
      </c>
      <c r="AJ8" s="38">
        <f>[64]Links!P10</f>
        <v>724</v>
      </c>
      <c r="AK8" s="38">
        <f>[64]Links!Q10</f>
        <v>633</v>
      </c>
      <c r="AL8" s="38">
        <f>[64]Links!R10</f>
        <v>2679</v>
      </c>
      <c r="AM8" s="38">
        <f>[64]Links!S10</f>
        <v>675</v>
      </c>
      <c r="AN8" s="38">
        <f>[64]Links!T10</f>
        <v>806</v>
      </c>
      <c r="AO8" s="38">
        <f>[64]Links!U10</f>
        <v>824</v>
      </c>
      <c r="AP8" s="38">
        <f>[64]Links!V10</f>
        <v>864.053225</v>
      </c>
      <c r="AQ8" s="38">
        <f>[64]Links!W10</f>
        <v>3169.0532250000001</v>
      </c>
      <c r="AR8" s="38">
        <f>[64]Links!X10</f>
        <v>916.55473749999999</v>
      </c>
      <c r="AS8" s="38">
        <f>[64]Links!Y10</f>
        <v>975.19146000000001</v>
      </c>
      <c r="AT8" s="38">
        <f>[64]Links!Z10</f>
        <v>1053.5138505</v>
      </c>
      <c r="AU8" s="38">
        <f>[64]Links!AA10</f>
        <v>1036.5052116050001</v>
      </c>
      <c r="AV8" s="38">
        <f>[64]Links!AB10</f>
        <v>3981.7652596050002</v>
      </c>
      <c r="AW8" s="38">
        <f>[64]Links!AC10</f>
        <v>1120.3143187085502</v>
      </c>
      <c r="AX8" s="38">
        <f>[64]Links!AD10</f>
        <v>1195.8622840494481</v>
      </c>
      <c r="AY8" s="38">
        <f>[64]Links!AE10</f>
        <v>1253.7879478775051</v>
      </c>
      <c r="AZ8" s="38">
        <f>[64]Links!AF10</f>
        <v>1207.1576844138051</v>
      </c>
      <c r="BA8" s="38">
        <f>[64]Links!AG10</f>
        <v>4777.122235049309</v>
      </c>
      <c r="BB8" s="38">
        <f>[64]Links!AH10</f>
        <v>1269.592058670939</v>
      </c>
      <c r="BC8" s="38">
        <f>[64]Links!AI10</f>
        <v>1354.2509800460161</v>
      </c>
      <c r="BD8" s="38">
        <f>[64]Links!AJ10</f>
        <v>1432.5405571336355</v>
      </c>
      <c r="BE8" s="38">
        <f>[64]Links!AK10</f>
        <v>1378.8132234484267</v>
      </c>
      <c r="BF8" s="38">
        <f>[64]Links!AL10</f>
        <v>5435.1968192990171</v>
      </c>
      <c r="BG8" s="38">
        <f>[64]Links!AM10</f>
        <v>1468.9309336785143</v>
      </c>
      <c r="BH8" s="38">
        <f>[64]Links!AN10</f>
        <v>1558.7570185736326</v>
      </c>
      <c r="BI8" s="38">
        <f>[64]Links!AO10</f>
        <v>1605.0886008289169</v>
      </c>
      <c r="BJ8" s="38">
        <f>[64]Links!AP10</f>
        <v>1517.0539886786862</v>
      </c>
      <c r="BK8" s="38">
        <f>[64]Links!AQ10</f>
        <v>6149.8305417597503</v>
      </c>
      <c r="BL8" s="38">
        <f>[64]Links!AR10</f>
        <v>1618.9669102802745</v>
      </c>
      <c r="BM8" s="38">
        <f>[64]Links!AS10</f>
        <v>1721.366800300827</v>
      </c>
      <c r="BN8" s="38">
        <f>[64]Links!AT10</f>
        <v>1767.5399118238436</v>
      </c>
      <c r="BO8" s="38">
        <f>[64]Links!AU10</f>
        <v>1661.3596786658609</v>
      </c>
      <c r="BP8" s="38">
        <f>[64]Links!AV10</f>
        <v>6769.2333010708062</v>
      </c>
      <c r="BQ8" s="38">
        <f>[64]Links!AW10</f>
        <v>1772.8639553056328</v>
      </c>
      <c r="BR8" s="38">
        <f>[64]Links!AX10</f>
        <v>1880.8278564555524</v>
      </c>
      <c r="BS8" s="38">
        <f>[64]Links!AY10</f>
        <v>1919.6318504438277</v>
      </c>
      <c r="BT8" s="38">
        <f>[64]Links!AZ10</f>
        <v>1789.5079012360757</v>
      </c>
      <c r="BU8" s="38">
        <f>[64]Links!BA10</f>
        <v>7362.8315634410883</v>
      </c>
    </row>
    <row r="10" spans="1:78">
      <c r="A10" s="436" t="s">
        <v>1918</v>
      </c>
      <c r="X10" s="38"/>
      <c r="Y10" s="38"/>
      <c r="AB10" s="38">
        <f>[64]Links!H12</f>
        <v>1882</v>
      </c>
      <c r="AC10" s="38"/>
      <c r="AD10" s="38"/>
      <c r="AE10" s="38"/>
      <c r="AF10" s="38">
        <f>[64]Links!L12</f>
        <v>620</v>
      </c>
      <c r="AG10" s="38">
        <f>[64]Links!M12</f>
        <v>2572</v>
      </c>
      <c r="AH10" s="38">
        <f>[64]Links!N12</f>
        <v>667</v>
      </c>
      <c r="AI10" s="38">
        <f>[64]Links!O12</f>
        <v>605</v>
      </c>
      <c r="AJ10" s="38">
        <f>[64]Links!P12</f>
        <v>695</v>
      </c>
      <c r="AK10" s="38">
        <f>[64]Links!Q12</f>
        <v>606</v>
      </c>
      <c r="AL10" s="38">
        <f>[64]Links!R12</f>
        <v>2573</v>
      </c>
      <c r="AM10" s="38">
        <f>[64]Links!S12</f>
        <v>644</v>
      </c>
      <c r="AN10" s="38">
        <f>[64]Links!T12</f>
        <v>760</v>
      </c>
      <c r="AO10" s="38">
        <f>[64]Links!U12</f>
        <v>788</v>
      </c>
      <c r="AP10" s="38">
        <f>[64]Links!V12</f>
        <v>834.41462824999996</v>
      </c>
      <c r="AQ10" s="38">
        <f>[64]Links!W12</f>
        <v>3026.4146282500001</v>
      </c>
      <c r="AR10" s="38">
        <f>[64]Links!X12</f>
        <v>885.64479537500006</v>
      </c>
      <c r="AS10" s="38">
        <f>[64]Links!Y12</f>
        <v>942.45415019999996</v>
      </c>
      <c r="AT10" s="38">
        <f>[64]Links!Z12</f>
        <v>1018.3224220049999</v>
      </c>
      <c r="AU10" s="38">
        <f>[64]Links!AA12</f>
        <v>1001.7881821470502</v>
      </c>
      <c r="AV10" s="38">
        <f>[64]Links!AB12</f>
        <v>3848.2095497270502</v>
      </c>
      <c r="AW10" s="38">
        <f>[64]Links!AC12</f>
        <v>1083.0467973063955</v>
      </c>
      <c r="AX10" s="38">
        <f>[64]Links!AD12</f>
        <v>1156.2917427686577</v>
      </c>
      <c r="AY10" s="38">
        <f>[64]Links!AE12</f>
        <v>1212.4426899542798</v>
      </c>
      <c r="AZ10" s="38">
        <f>[64]Links!AF12</f>
        <v>1167.1367020047528</v>
      </c>
      <c r="BA10" s="38">
        <f>[64]Links!AG12</f>
        <v>4618.9179320340854</v>
      </c>
      <c r="BB10" s="38">
        <f>[64]Links!AH12</f>
        <v>1227.6542731375914</v>
      </c>
      <c r="BC10" s="38">
        <f>[64]Links!AI12</f>
        <v>1309.7291515980241</v>
      </c>
      <c r="BD10" s="38">
        <f>[64]Links!AJ12</f>
        <v>1385.625256933979</v>
      </c>
      <c r="BE10" s="38">
        <f>[64]Links!AK12</f>
        <v>1333.4644437992415</v>
      </c>
      <c r="BF10" s="38">
        <f>[64]Links!AL12</f>
        <v>5256.4731254688359</v>
      </c>
      <c r="BG10" s="38">
        <f>[64]Links!AM12</f>
        <v>1420.8587008076977</v>
      </c>
      <c r="BH10" s="38">
        <f>[64]Links!AN12</f>
        <v>1507.9699816316602</v>
      </c>
      <c r="BI10" s="38">
        <f>[64]Links!AO12</f>
        <v>1552.8914947873623</v>
      </c>
      <c r="BJ10" s="38">
        <f>[64]Links!AP12</f>
        <v>1467.4776987615548</v>
      </c>
      <c r="BK10" s="38">
        <f>[64]Links!AQ12</f>
        <v>5949.197875988275</v>
      </c>
      <c r="BL10" s="38">
        <f>[64]Links!AR12</f>
        <v>1566.2925860125279</v>
      </c>
      <c r="BM10" s="38">
        <f>[64]Links!AS12</f>
        <v>1665.5794261628703</v>
      </c>
      <c r="BN10" s="38">
        <f>[64]Links!AT12</f>
        <v>1710.3258806389072</v>
      </c>
      <c r="BO10" s="38">
        <f>[64]Links!AU12</f>
        <v>1607.2891761373617</v>
      </c>
      <c r="BP10" s="38">
        <f>[64]Links!AV12</f>
        <v>6549.4870689516665</v>
      </c>
      <c r="BQ10" s="38">
        <f>[64]Links!AW12</f>
        <v>1715.4060273562552</v>
      </c>
      <c r="BR10" s="38">
        <f>[64]Links!AX12</f>
        <v>1820.0882913787752</v>
      </c>
      <c r="BS10" s="38">
        <f>[64]Links!AY12</f>
        <v>1857.6850182535711</v>
      </c>
      <c r="BT10" s="38">
        <f>[64]Links!AZ12</f>
        <v>1731.4212087552821</v>
      </c>
      <c r="BU10" s="38">
        <f>[64]Links!BA12</f>
        <v>7124.6005457438841</v>
      </c>
    </row>
    <row r="11" spans="1:78">
      <c r="A11" s="436" t="s">
        <v>1919</v>
      </c>
      <c r="AB11" s="16">
        <f>AB10/AB$8</f>
        <v>0.92846571287617163</v>
      </c>
      <c r="AF11" s="16">
        <f>AF10/AF$8</f>
        <v>0.94368340943683404</v>
      </c>
      <c r="AG11" s="16">
        <f>AG10/AG$8</f>
        <v>0.95153533111357746</v>
      </c>
      <c r="AH11" s="16">
        <f t="shared" ref="AH11:BU11" si="0">AH10/AH$8</f>
        <v>0.96387283236994215</v>
      </c>
      <c r="AI11" s="16">
        <f t="shared" si="0"/>
        <v>0.96031746031746035</v>
      </c>
      <c r="AJ11" s="16">
        <f t="shared" si="0"/>
        <v>0.95994475138121549</v>
      </c>
      <c r="AK11" s="16">
        <f t="shared" si="0"/>
        <v>0.95734597156398105</v>
      </c>
      <c r="AL11" s="16">
        <f t="shared" si="0"/>
        <v>0.96043299738708476</v>
      </c>
      <c r="AM11" s="16">
        <f t="shared" si="0"/>
        <v>0.95407407407407407</v>
      </c>
      <c r="AN11" s="16">
        <f t="shared" si="0"/>
        <v>0.94292803970223327</v>
      </c>
      <c r="AO11" s="16">
        <f t="shared" si="0"/>
        <v>0.9563106796116505</v>
      </c>
      <c r="AP11" s="16">
        <f t="shared" si="0"/>
        <v>0.96569818167162091</v>
      </c>
      <c r="AQ11" s="16">
        <f t="shared" si="0"/>
        <v>0.95499015427549339</v>
      </c>
      <c r="AR11" s="16">
        <f t="shared" si="0"/>
        <v>0.9662759452759907</v>
      </c>
      <c r="AS11" s="16">
        <f t="shared" si="0"/>
        <v>0.96642986414175525</v>
      </c>
      <c r="AT11" s="16">
        <f t="shared" si="0"/>
        <v>0.96659614064086752</v>
      </c>
      <c r="AU11" s="16">
        <f t="shared" si="0"/>
        <v>0.96650568750716503</v>
      </c>
      <c r="AV11" s="16">
        <f t="shared" si="0"/>
        <v>0.96645816587108424</v>
      </c>
      <c r="AW11" s="16">
        <f t="shared" si="0"/>
        <v>0.96673476293232152</v>
      </c>
      <c r="AX11" s="16">
        <f t="shared" si="0"/>
        <v>0.96691045297724754</v>
      </c>
      <c r="AY11" s="16">
        <f t="shared" si="0"/>
        <v>0.9670237235943947</v>
      </c>
      <c r="AZ11" s="16">
        <f t="shared" si="0"/>
        <v>0.96684693066549421</v>
      </c>
      <c r="BA11" s="16">
        <f t="shared" si="0"/>
        <v>0.96688292758043892</v>
      </c>
      <c r="BB11" s="16">
        <f t="shared" si="0"/>
        <v>0.96696751114113788</v>
      </c>
      <c r="BC11" s="16">
        <f t="shared" si="0"/>
        <v>0.96712438897664366</v>
      </c>
      <c r="BD11" s="16">
        <f t="shared" si="0"/>
        <v>0.96725028135082669</v>
      </c>
      <c r="BE11" s="16">
        <f t="shared" si="0"/>
        <v>0.96711028087200424</v>
      </c>
      <c r="BF11" s="16">
        <f t="shared" si="0"/>
        <v>0.96711734647849767</v>
      </c>
      <c r="BG11" s="16">
        <f t="shared" si="0"/>
        <v>0.96727400058869106</v>
      </c>
      <c r="BH11" s="16">
        <f t="shared" si="0"/>
        <v>0.96741824650230224</v>
      </c>
      <c r="BI11" s="16">
        <f t="shared" si="0"/>
        <v>0.96748023379232873</v>
      </c>
      <c r="BJ11" s="16">
        <f t="shared" si="0"/>
        <v>0.96732068186952858</v>
      </c>
      <c r="BK11" s="16">
        <f t="shared" si="0"/>
        <v>0.96737590338317436</v>
      </c>
      <c r="BL11" s="16">
        <f t="shared" si="0"/>
        <v>0.96746423664790793</v>
      </c>
      <c r="BM11" s="16">
        <f t="shared" si="0"/>
        <v>0.96759123382174717</v>
      </c>
      <c r="BN11" s="16">
        <f t="shared" si="0"/>
        <v>0.96763069914166755</v>
      </c>
      <c r="BO11" s="16">
        <f t="shared" si="0"/>
        <v>0.96745406595402628</v>
      </c>
      <c r="BP11" s="16">
        <f t="shared" si="0"/>
        <v>0.96753750057862853</v>
      </c>
      <c r="BQ11" s="16">
        <f t="shared" si="0"/>
        <v>0.96759033439795317</v>
      </c>
      <c r="BR11" s="16">
        <f t="shared" si="0"/>
        <v>0.96770594136603139</v>
      </c>
      <c r="BS11" s="16">
        <f t="shared" si="0"/>
        <v>0.96772983727273842</v>
      </c>
      <c r="BT11" s="16">
        <f t="shared" si="0"/>
        <v>0.96754041016490011</v>
      </c>
      <c r="BU11" s="16">
        <f t="shared" si="0"/>
        <v>0.96764410327134187</v>
      </c>
    </row>
    <row r="12" spans="1:78">
      <c r="A12" s="436"/>
    </row>
    <row r="13" spans="1:78">
      <c r="A13" s="436" t="s">
        <v>1920</v>
      </c>
      <c r="X13" s="38"/>
      <c r="Y13" s="38"/>
      <c r="AB13" s="38">
        <f>[64]Links!H15</f>
        <v>1894</v>
      </c>
      <c r="AC13" s="38"/>
      <c r="AD13" s="38"/>
      <c r="AE13" s="38"/>
      <c r="AF13" s="38">
        <f>[64]Links!L15</f>
        <v>620</v>
      </c>
      <c r="AG13" s="38">
        <f>[64]Links!M15</f>
        <v>2582</v>
      </c>
      <c r="AH13" s="38">
        <f>[64]Links!N15</f>
        <v>669</v>
      </c>
      <c r="AI13" s="38">
        <f>[64]Links!O15</f>
        <v>606</v>
      </c>
      <c r="AJ13" s="38">
        <f>[64]Links!P15</f>
        <v>697</v>
      </c>
      <c r="AK13" s="38">
        <f>[64]Links!Q15</f>
        <v>608</v>
      </c>
      <c r="AL13" s="38">
        <f>[64]Links!R15</f>
        <v>2580</v>
      </c>
      <c r="AM13" s="38">
        <f>[64]Links!S15</f>
        <v>651</v>
      </c>
      <c r="AN13" s="38">
        <f>[64]Links!T15</f>
        <v>780</v>
      </c>
      <c r="AO13" s="38">
        <f>[64]Links!U15</f>
        <v>798</v>
      </c>
      <c r="AP13" s="38">
        <f>[64]Links!V15</f>
        <v>834.41462824999996</v>
      </c>
      <c r="AQ13" s="38">
        <f>[64]Links!W15</f>
        <v>3063.4146282500001</v>
      </c>
      <c r="AR13" s="38">
        <f>[64]Links!X15</f>
        <v>885.64479537500006</v>
      </c>
      <c r="AS13" s="38">
        <f>[64]Links!Y15</f>
        <v>942.45415019999996</v>
      </c>
      <c r="AT13" s="38">
        <f>[64]Links!Z15</f>
        <v>1018.3224220049999</v>
      </c>
      <c r="AU13" s="38">
        <f>[64]Links!AA15</f>
        <v>1001.7881821470502</v>
      </c>
      <c r="AV13" s="38">
        <f>[64]Links!AB15</f>
        <v>3848.2095497270502</v>
      </c>
      <c r="AW13" s="38">
        <f>[64]Links!AC15</f>
        <v>1083.0467973063955</v>
      </c>
      <c r="AX13" s="38">
        <f>[64]Links!AD15</f>
        <v>1156.2917427686577</v>
      </c>
      <c r="AY13" s="38">
        <f>[64]Links!AE15</f>
        <v>1212.4426899542798</v>
      </c>
      <c r="AZ13" s="38">
        <f>[64]Links!AF15</f>
        <v>1167.1367020047528</v>
      </c>
      <c r="BA13" s="38">
        <f>[64]Links!AG15</f>
        <v>4618.9179320340854</v>
      </c>
      <c r="BB13" s="38">
        <f>[64]Links!AH15</f>
        <v>1227.6542731375914</v>
      </c>
      <c r="BC13" s="38">
        <f>[64]Links!AI15</f>
        <v>1309.7291515980241</v>
      </c>
      <c r="BD13" s="38">
        <f>[64]Links!AJ15</f>
        <v>1385.625256933979</v>
      </c>
      <c r="BE13" s="38">
        <f>[64]Links!AK15</f>
        <v>1333.4644437992415</v>
      </c>
      <c r="BF13" s="38">
        <f>[64]Links!AL15</f>
        <v>5256.4731254688359</v>
      </c>
      <c r="BG13" s="38">
        <f>[64]Links!AM15</f>
        <v>1420.8587008076977</v>
      </c>
      <c r="BH13" s="38">
        <f>[64]Links!AN15</f>
        <v>1507.9699816316602</v>
      </c>
      <c r="BI13" s="38">
        <f>[64]Links!AO15</f>
        <v>1552.8914947873623</v>
      </c>
      <c r="BJ13" s="38">
        <f>[64]Links!AP15</f>
        <v>1467.4776987615548</v>
      </c>
      <c r="BK13" s="38">
        <f>[64]Links!AQ15</f>
        <v>5949.197875988275</v>
      </c>
      <c r="BL13" s="38">
        <f>[64]Links!AR15</f>
        <v>1566.2925860125279</v>
      </c>
      <c r="BM13" s="38">
        <f>[64]Links!AS15</f>
        <v>1665.5794261628703</v>
      </c>
      <c r="BN13" s="38">
        <f>[64]Links!AT15</f>
        <v>1710.3258806389072</v>
      </c>
      <c r="BO13" s="38">
        <f>[64]Links!AU15</f>
        <v>1607.2891761373617</v>
      </c>
      <c r="BP13" s="38">
        <f>[64]Links!AV15</f>
        <v>6549.4870689516665</v>
      </c>
      <c r="BQ13" s="38">
        <f>[64]Links!AW15</f>
        <v>1715.4060273562552</v>
      </c>
      <c r="BR13" s="38">
        <f>[64]Links!AX15</f>
        <v>1820.0882913787752</v>
      </c>
      <c r="BS13" s="38">
        <f>[64]Links!AY15</f>
        <v>1857.6850182535711</v>
      </c>
      <c r="BT13" s="38">
        <f>[64]Links!AZ15</f>
        <v>1731.4212087552821</v>
      </c>
      <c r="BU13" s="38">
        <f>[64]Links!BA15</f>
        <v>7124.6005457438841</v>
      </c>
    </row>
    <row r="14" spans="1:78">
      <c r="A14" s="436" t="s">
        <v>1921</v>
      </c>
      <c r="AB14" s="16">
        <f>AB13/AB$8</f>
        <v>0.93438579181055748</v>
      </c>
      <c r="AF14" s="16">
        <f>AF13/AF$8</f>
        <v>0.94368340943683404</v>
      </c>
      <c r="AG14" s="16">
        <f>AG13/AG$8</f>
        <v>0.95523492415834255</v>
      </c>
      <c r="AH14" s="16">
        <f t="shared" ref="AH14:BU14" si="1">AH13/AH$8</f>
        <v>0.9667630057803468</v>
      </c>
      <c r="AI14" s="16">
        <f t="shared" si="1"/>
        <v>0.96190476190476193</v>
      </c>
      <c r="AJ14" s="16">
        <f t="shared" si="1"/>
        <v>0.96270718232044195</v>
      </c>
      <c r="AK14" s="16">
        <f t="shared" si="1"/>
        <v>0.96050552922590837</v>
      </c>
      <c r="AL14" s="16">
        <f t="shared" si="1"/>
        <v>0.96304591265397532</v>
      </c>
      <c r="AM14" s="16">
        <f t="shared" si="1"/>
        <v>0.96444444444444444</v>
      </c>
      <c r="AN14" s="16">
        <f t="shared" si="1"/>
        <v>0.967741935483871</v>
      </c>
      <c r="AO14" s="16">
        <f t="shared" si="1"/>
        <v>0.96844660194174759</v>
      </c>
      <c r="AP14" s="16">
        <f t="shared" si="1"/>
        <v>0.96569818167162091</v>
      </c>
      <c r="AQ14" s="16">
        <f t="shared" si="1"/>
        <v>0.9666655656280434</v>
      </c>
      <c r="AR14" s="16">
        <f t="shared" si="1"/>
        <v>0.9662759452759907</v>
      </c>
      <c r="AS14" s="16">
        <f t="shared" si="1"/>
        <v>0.96642986414175525</v>
      </c>
      <c r="AT14" s="16">
        <f t="shared" si="1"/>
        <v>0.96659614064086752</v>
      </c>
      <c r="AU14" s="16">
        <f t="shared" si="1"/>
        <v>0.96650568750716503</v>
      </c>
      <c r="AV14" s="16">
        <f t="shared" si="1"/>
        <v>0.96645816587108424</v>
      </c>
      <c r="AW14" s="16">
        <f t="shared" si="1"/>
        <v>0.96673476293232152</v>
      </c>
      <c r="AX14" s="16">
        <f t="shared" si="1"/>
        <v>0.96691045297724754</v>
      </c>
      <c r="AY14" s="16">
        <f t="shared" si="1"/>
        <v>0.9670237235943947</v>
      </c>
      <c r="AZ14" s="16">
        <f t="shared" si="1"/>
        <v>0.96684693066549421</v>
      </c>
      <c r="BA14" s="16">
        <f t="shared" si="1"/>
        <v>0.96688292758043892</v>
      </c>
      <c r="BB14" s="16">
        <f t="shared" si="1"/>
        <v>0.96696751114113788</v>
      </c>
      <c r="BC14" s="16">
        <f t="shared" si="1"/>
        <v>0.96712438897664366</v>
      </c>
      <c r="BD14" s="16">
        <f t="shared" si="1"/>
        <v>0.96725028135082669</v>
      </c>
      <c r="BE14" s="16">
        <f t="shared" si="1"/>
        <v>0.96711028087200424</v>
      </c>
      <c r="BF14" s="16">
        <f t="shared" si="1"/>
        <v>0.96711734647849767</v>
      </c>
      <c r="BG14" s="16">
        <f t="shared" si="1"/>
        <v>0.96727400058869106</v>
      </c>
      <c r="BH14" s="16">
        <f t="shared" si="1"/>
        <v>0.96741824650230224</v>
      </c>
      <c r="BI14" s="16">
        <f t="shared" si="1"/>
        <v>0.96748023379232873</v>
      </c>
      <c r="BJ14" s="16">
        <f t="shared" si="1"/>
        <v>0.96732068186952858</v>
      </c>
      <c r="BK14" s="16">
        <f t="shared" si="1"/>
        <v>0.96737590338317436</v>
      </c>
      <c r="BL14" s="16">
        <f t="shared" si="1"/>
        <v>0.96746423664790793</v>
      </c>
      <c r="BM14" s="16">
        <f t="shared" si="1"/>
        <v>0.96759123382174717</v>
      </c>
      <c r="BN14" s="16">
        <f t="shared" si="1"/>
        <v>0.96763069914166755</v>
      </c>
      <c r="BO14" s="16">
        <f t="shared" si="1"/>
        <v>0.96745406595402628</v>
      </c>
      <c r="BP14" s="16">
        <f t="shared" si="1"/>
        <v>0.96753750057862853</v>
      </c>
      <c r="BQ14" s="16">
        <f t="shared" si="1"/>
        <v>0.96759033439795317</v>
      </c>
      <c r="BR14" s="16">
        <f t="shared" si="1"/>
        <v>0.96770594136603139</v>
      </c>
      <c r="BS14" s="16">
        <f t="shared" si="1"/>
        <v>0.96772983727273842</v>
      </c>
      <c r="BT14" s="16">
        <f t="shared" si="1"/>
        <v>0.96754041016490011</v>
      </c>
      <c r="BU14" s="16">
        <f t="shared" si="1"/>
        <v>0.96764410327134187</v>
      </c>
    </row>
    <row r="16" spans="1:78">
      <c r="A16" s="1" t="s">
        <v>1936</v>
      </c>
    </row>
    <row r="17" spans="1:73">
      <c r="A17" s="1" t="s">
        <v>1934</v>
      </c>
      <c r="AB17" s="36">
        <f>[64]Links!H19</f>
        <v>-814</v>
      </c>
      <c r="AF17" s="36">
        <f>[64]Links!L19</f>
        <v>-341</v>
      </c>
      <c r="AG17" s="36">
        <f>[64]Links!M19</f>
        <v>-995</v>
      </c>
      <c r="AH17" s="36">
        <f>[64]Links!N19</f>
        <v>-218</v>
      </c>
      <c r="AI17" s="36">
        <f>[64]Links!O19</f>
        <v>-248</v>
      </c>
      <c r="AJ17" s="36">
        <f>[64]Links!P19</f>
        <v>-286</v>
      </c>
      <c r="AK17" s="36">
        <f>[64]Links!Q19</f>
        <v>-381</v>
      </c>
      <c r="AL17" s="36">
        <f>[64]Links!R19</f>
        <v>-1133</v>
      </c>
      <c r="AM17" s="36">
        <f>[64]Links!S19</f>
        <v>-337</v>
      </c>
      <c r="AN17" s="36">
        <f>[64]Links!T19</f>
        <v>-626</v>
      </c>
      <c r="AO17" s="36">
        <f>[64]Links!U19</f>
        <v>-432</v>
      </c>
      <c r="AP17" s="36">
        <f>[64]Links!V19</f>
        <v>-466</v>
      </c>
      <c r="AQ17" s="36">
        <f>[64]Links!W19</f>
        <v>-1861</v>
      </c>
      <c r="AR17" s="36">
        <f>[64]Links!X19</f>
        <v>-465</v>
      </c>
      <c r="AS17" s="36">
        <f>[64]Links!Y19</f>
        <v>-475</v>
      </c>
      <c r="AT17" s="36">
        <f>[64]Links!Z19</f>
        <v>-480</v>
      </c>
      <c r="AU17" s="36">
        <f>[64]Links!AA19</f>
        <v>-490</v>
      </c>
      <c r="AV17" s="36">
        <f>[64]Links!AB19</f>
        <v>-1910</v>
      </c>
      <c r="AW17" s="36">
        <f>[64]Links!AC19</f>
        <v>-505</v>
      </c>
      <c r="AX17" s="36">
        <f>[64]Links!AD19</f>
        <v>-517.625</v>
      </c>
      <c r="AY17" s="36">
        <f>[64]Links!AE19</f>
        <v>-530.56562499999995</v>
      </c>
      <c r="AZ17" s="36">
        <f>[64]Links!AF19</f>
        <v>-543.82976562499994</v>
      </c>
      <c r="BA17" s="36">
        <f>[64]Links!AG19</f>
        <v>-2097.0203906249999</v>
      </c>
      <c r="BB17" s="36">
        <f>[64]Links!AH19</f>
        <v>-545</v>
      </c>
      <c r="BC17" s="36">
        <f>[64]Links!AI19</f>
        <v>-555.9</v>
      </c>
      <c r="BD17" s="36">
        <f>[64]Links!AJ19</f>
        <v>-567.01800000000003</v>
      </c>
      <c r="BE17" s="36">
        <f>[64]Links!AK19</f>
        <v>-578.35836000000006</v>
      </c>
      <c r="BF17" s="36">
        <f>[64]Links!AL19</f>
        <v>-2246.2763600000003</v>
      </c>
      <c r="BG17" s="36">
        <f>[64]Links!AM19</f>
        <v>-579</v>
      </c>
      <c r="BH17" s="36">
        <f>[64]Links!AN19</f>
        <v>-582</v>
      </c>
      <c r="BI17" s="36">
        <f>[64]Links!AO19</f>
        <v>-587.82000000000005</v>
      </c>
      <c r="BJ17" s="36">
        <f>[64]Links!AP19</f>
        <v>-593.69820000000004</v>
      </c>
      <c r="BK17" s="36">
        <f>[64]Links!AQ19</f>
        <v>-2342.5182000000004</v>
      </c>
      <c r="BL17" s="36">
        <f>[64]Links!AR19</f>
        <v>-595</v>
      </c>
      <c r="BM17" s="36">
        <f>[64]Links!AS19</f>
        <v>-600</v>
      </c>
      <c r="BN17" s="36">
        <f>[64]Links!AT19</f>
        <v>-606</v>
      </c>
      <c r="BO17" s="36">
        <f>[64]Links!AU19</f>
        <v>-612.06000000000006</v>
      </c>
      <c r="BP17" s="36">
        <f>[64]Links!AV19</f>
        <v>-2413.06</v>
      </c>
      <c r="BQ17" s="36">
        <f>[64]Links!AW19</f>
        <v>-615</v>
      </c>
      <c r="BR17" s="36">
        <f>[64]Links!AX19</f>
        <v>-618</v>
      </c>
      <c r="BS17" s="36">
        <f>[64]Links!AY19</f>
        <v>-620</v>
      </c>
      <c r="BT17" s="36">
        <f>[64]Links!AZ19</f>
        <v>-626.20000000000005</v>
      </c>
      <c r="BU17" s="36">
        <f>[64]Links!BA19</f>
        <v>-2479.1999999999998</v>
      </c>
    </row>
    <row r="18" spans="1:73">
      <c r="A18" s="1" t="s">
        <v>1485</v>
      </c>
      <c r="AB18" s="36">
        <f>[64]Links!H20</f>
        <v>-826</v>
      </c>
      <c r="AF18" s="36">
        <f>[64]Links!L20</f>
        <v>-321</v>
      </c>
      <c r="AG18" s="36">
        <f>[64]Links!M20</f>
        <v>-897</v>
      </c>
      <c r="AH18" s="36">
        <f>[64]Links!N20</f>
        <v>-153</v>
      </c>
      <c r="AI18" s="36">
        <f>[64]Links!O20</f>
        <v>-172</v>
      </c>
      <c r="AJ18" s="36">
        <f>[64]Links!P20</f>
        <v>-163</v>
      </c>
      <c r="AK18" s="36">
        <f>[64]Links!Q20</f>
        <v>-274</v>
      </c>
      <c r="AL18" s="36">
        <f>[64]Links!R20</f>
        <v>-762</v>
      </c>
      <c r="AM18" s="36">
        <f>[64]Links!S20</f>
        <v>-196</v>
      </c>
      <c r="AN18" s="36">
        <f>[64]Links!T20</f>
        <v>-290</v>
      </c>
      <c r="AO18" s="36">
        <f>[64]Links!U20</f>
        <v>-216</v>
      </c>
      <c r="AP18" s="36">
        <f>[64]Links!V20</f>
        <v>-223</v>
      </c>
      <c r="AQ18" s="36">
        <f>[64]Links!W20</f>
        <v>-925</v>
      </c>
      <c r="AR18" s="36">
        <f>[64]Links!X20</f>
        <v>-223</v>
      </c>
      <c r="AS18" s="36">
        <f>[64]Links!Y20</f>
        <v>-226</v>
      </c>
      <c r="AT18" s="36">
        <f>[64]Links!Z20</f>
        <v>-227</v>
      </c>
      <c r="AU18" s="36">
        <f>[64]Links!AA20</f>
        <v>-230</v>
      </c>
      <c r="AV18" s="36">
        <f>[64]Links!AB20</f>
        <v>-906</v>
      </c>
      <c r="AW18" s="36">
        <f>[64]Links!AC20</f>
        <v>-234</v>
      </c>
      <c r="AX18" s="36">
        <f>[64]Links!AD20</f>
        <v>-239.84999999999997</v>
      </c>
      <c r="AY18" s="36">
        <f>[64]Links!AE20</f>
        <v>-245.84624999999994</v>
      </c>
      <c r="AZ18" s="36">
        <f>[64]Links!AF20</f>
        <v>-248</v>
      </c>
      <c r="BA18" s="36">
        <f>[64]Links!AG20</f>
        <v>-967.69624999999996</v>
      </c>
      <c r="BB18" s="36">
        <f>[64]Links!AH20</f>
        <v>-252</v>
      </c>
      <c r="BC18" s="36">
        <f>[64]Links!AI20</f>
        <v>-253</v>
      </c>
      <c r="BD18" s="36">
        <f>[64]Links!AJ20</f>
        <v>-254</v>
      </c>
      <c r="BE18" s="36">
        <f>[64]Links!AK20</f>
        <v>-255</v>
      </c>
      <c r="BF18" s="36">
        <f>[64]Links!AL20</f>
        <v>-1014</v>
      </c>
      <c r="BG18" s="36">
        <f>[64]Links!AM20</f>
        <v>-257.55</v>
      </c>
      <c r="BH18" s="36">
        <f>[64]Links!AN20</f>
        <v>-260.12549999999999</v>
      </c>
      <c r="BI18" s="36">
        <f>[64]Links!AO20</f>
        <v>-262.72675499999997</v>
      </c>
      <c r="BJ18" s="36">
        <f>[64]Links!AP20</f>
        <v>-265.35402254999997</v>
      </c>
      <c r="BK18" s="36">
        <f>[64]Links!AQ20</f>
        <v>-1045.75627755</v>
      </c>
      <c r="BL18" s="36">
        <f>[64]Links!AR20</f>
        <v>-268.00756277549999</v>
      </c>
      <c r="BM18" s="36">
        <f>[64]Links!AS20</f>
        <v>-270.68763840325499</v>
      </c>
      <c r="BN18" s="36">
        <f>[64]Links!AT20</f>
        <v>-273.39451478728756</v>
      </c>
      <c r="BO18" s="36">
        <f>[64]Links!AU20</f>
        <v>-276.12845993516044</v>
      </c>
      <c r="BP18" s="36">
        <f>[64]Links!AV20</f>
        <v>-1088.218175901203</v>
      </c>
      <c r="BQ18" s="36">
        <f>[64]Links!AW20</f>
        <v>-278.88974453451203</v>
      </c>
      <c r="BR18" s="36">
        <f>[64]Links!AX20</f>
        <v>-281.67864197985716</v>
      </c>
      <c r="BS18" s="36">
        <f>[64]Links!AY20</f>
        <v>-284.49542839965574</v>
      </c>
      <c r="BT18" s="36">
        <f>[64]Links!AZ20</f>
        <v>-287.34038268365231</v>
      </c>
      <c r="BU18" s="36">
        <f>[64]Links!BA20</f>
        <v>-1132.4041975976772</v>
      </c>
    </row>
    <row r="19" spans="1:73">
      <c r="A19" s="436" t="s">
        <v>1955</v>
      </c>
      <c r="AB19" s="36">
        <f>[64]Links!H21</f>
        <v>-3</v>
      </c>
      <c r="AF19" s="36">
        <f>[64]Links!L21</f>
        <v>-42</v>
      </c>
      <c r="AG19" s="36">
        <f>[64]Links!M21</f>
        <v>-47</v>
      </c>
      <c r="AH19" s="36">
        <f>[64]Links!N21</f>
        <v>-2</v>
      </c>
      <c r="AI19" s="36">
        <f>[64]Links!O21</f>
        <v>-2</v>
      </c>
      <c r="AJ19" s="36">
        <f>[64]Links!P21</f>
        <v>-2</v>
      </c>
      <c r="AK19" s="36">
        <f>[64]Links!Q21</f>
        <v>-1</v>
      </c>
      <c r="AL19" s="36">
        <f>[64]Links!R21</f>
        <v>-7</v>
      </c>
      <c r="AM19" s="36">
        <f>[64]Links!S21</f>
        <v>0</v>
      </c>
      <c r="AN19" s="36">
        <f>[64]Links!T21</f>
        <v>0</v>
      </c>
      <c r="AO19" s="36">
        <f>[64]Links!U21</f>
        <v>-6</v>
      </c>
      <c r="AP19" s="36">
        <f>[64]Links!V21</f>
        <v>0</v>
      </c>
      <c r="AQ19" s="36">
        <f>[64]Links!W21</f>
        <v>-6</v>
      </c>
      <c r="AR19" s="36">
        <f>[64]Links!X21</f>
        <v>0</v>
      </c>
      <c r="AS19" s="36">
        <f>[64]Links!Y21</f>
        <v>0</v>
      </c>
      <c r="AT19" s="36">
        <f>[64]Links!Z21</f>
        <v>0</v>
      </c>
      <c r="AU19" s="36">
        <f>[64]Links!AA21</f>
        <v>0</v>
      </c>
      <c r="AV19" s="36">
        <f>[64]Links!AB21</f>
        <v>0</v>
      </c>
      <c r="AW19" s="36">
        <f>[64]Links!AC21</f>
        <v>0</v>
      </c>
      <c r="AX19" s="36">
        <f>[64]Links!AD21</f>
        <v>0</v>
      </c>
      <c r="AY19" s="36">
        <f>[64]Links!AE21</f>
        <v>0</v>
      </c>
      <c r="AZ19" s="36">
        <f>[64]Links!AF21</f>
        <v>0</v>
      </c>
      <c r="BA19" s="36">
        <f>[64]Links!AG21</f>
        <v>0</v>
      </c>
      <c r="BB19" s="36">
        <f>[64]Links!AH21</f>
        <v>0</v>
      </c>
      <c r="BC19" s="36">
        <f>[64]Links!AI21</f>
        <v>0</v>
      </c>
      <c r="BD19" s="36">
        <f>[64]Links!AJ21</f>
        <v>0</v>
      </c>
      <c r="BE19" s="36">
        <f>[64]Links!AK21</f>
        <v>0</v>
      </c>
      <c r="BF19" s="36">
        <f>[64]Links!AL21</f>
        <v>0</v>
      </c>
      <c r="BG19" s="36">
        <f>[64]Links!AM21</f>
        <v>0</v>
      </c>
      <c r="BH19" s="36">
        <f>[64]Links!AN21</f>
        <v>0</v>
      </c>
      <c r="BI19" s="36">
        <f>[64]Links!AO21</f>
        <v>0</v>
      </c>
      <c r="BJ19" s="36">
        <f>[64]Links!AP21</f>
        <v>0</v>
      </c>
      <c r="BK19" s="36">
        <f>[64]Links!AQ21</f>
        <v>0</v>
      </c>
      <c r="BL19" s="36">
        <f>[64]Links!AR21</f>
        <v>0</v>
      </c>
      <c r="BM19" s="36">
        <f>[64]Links!AS21</f>
        <v>0</v>
      </c>
      <c r="BN19" s="36">
        <f>[64]Links!AT21</f>
        <v>0</v>
      </c>
      <c r="BO19" s="36">
        <f>[64]Links!AU21</f>
        <v>0</v>
      </c>
      <c r="BP19" s="36">
        <f>[64]Links!AV21</f>
        <v>0</v>
      </c>
      <c r="BQ19" s="36">
        <f>[64]Links!AW21</f>
        <v>0</v>
      </c>
      <c r="BR19" s="36">
        <f>[64]Links!AX21</f>
        <v>0</v>
      </c>
      <c r="BS19" s="36">
        <f>[64]Links!AY21</f>
        <v>0</v>
      </c>
      <c r="BT19" s="36">
        <f>[64]Links!AZ21</f>
        <v>0</v>
      </c>
      <c r="BU19" s="36">
        <f>[64]Links!BA21</f>
        <v>0</v>
      </c>
    </row>
    <row r="20" spans="1:73">
      <c r="A20" s="436" t="s">
        <v>1938</v>
      </c>
      <c r="AB20" s="36">
        <f>[64]Links!H22</f>
        <v>-1643</v>
      </c>
      <c r="AF20" s="36">
        <f>[64]Links!L22</f>
        <v>-704</v>
      </c>
      <c r="AG20" s="36">
        <f>[64]Links!M22</f>
        <v>-1939</v>
      </c>
      <c r="AH20" s="36">
        <f>[64]Links!N22</f>
        <v>-373</v>
      </c>
      <c r="AI20" s="36">
        <f>[64]Links!O22</f>
        <v>-422</v>
      </c>
      <c r="AJ20" s="36">
        <f>[64]Links!P22</f>
        <v>-451</v>
      </c>
      <c r="AK20" s="36">
        <f>[64]Links!Q22</f>
        <v>-656</v>
      </c>
      <c r="AL20" s="36">
        <f>[64]Links!R22</f>
        <v>-1902</v>
      </c>
      <c r="AM20" s="36">
        <f>[64]Links!S22</f>
        <v>-533</v>
      </c>
      <c r="AN20" s="36">
        <f>[64]Links!T22</f>
        <v>-916</v>
      </c>
      <c r="AO20" s="36">
        <f>[64]Links!U22</f>
        <v>-654</v>
      </c>
      <c r="AP20" s="36">
        <f>[64]Links!V22</f>
        <v>-689</v>
      </c>
      <c r="AQ20" s="36">
        <f>[64]Links!W22</f>
        <v>-2792</v>
      </c>
      <c r="AR20" s="36">
        <f>[64]Links!X22</f>
        <v>-688</v>
      </c>
      <c r="AS20" s="36">
        <f>[64]Links!Y22</f>
        <v>-701</v>
      </c>
      <c r="AT20" s="36">
        <f>[64]Links!Z22</f>
        <v>-707</v>
      </c>
      <c r="AU20" s="36">
        <f>[64]Links!AA22</f>
        <v>-720</v>
      </c>
      <c r="AV20" s="36">
        <f>[64]Links!AB22</f>
        <v>-2816</v>
      </c>
      <c r="AW20" s="36">
        <f>[64]Links!AC22</f>
        <v>-739</v>
      </c>
      <c r="AX20" s="36">
        <f>[64]Links!AD22</f>
        <v>-757.47499999999991</v>
      </c>
      <c r="AY20" s="36">
        <f>[64]Links!AE22</f>
        <v>-776.4118749999999</v>
      </c>
      <c r="AZ20" s="36">
        <f>[64]Links!AF22</f>
        <v>-791.82976562499994</v>
      </c>
      <c r="BA20" s="36">
        <f>[64]Links!AG22</f>
        <v>-3064.7166406249999</v>
      </c>
      <c r="BB20" s="36">
        <f>[64]Links!AH22</f>
        <v>-797</v>
      </c>
      <c r="BC20" s="36">
        <f>[64]Links!AI22</f>
        <v>-808.9</v>
      </c>
      <c r="BD20" s="36">
        <f>[64]Links!AJ22</f>
        <v>-821.01800000000003</v>
      </c>
      <c r="BE20" s="36">
        <f>[64]Links!AK22</f>
        <v>-833.35836000000006</v>
      </c>
      <c r="BF20" s="36">
        <f>[64]Links!AL22</f>
        <v>-3260.2763600000003</v>
      </c>
      <c r="BG20" s="36">
        <f>[64]Links!AM22</f>
        <v>-836.55</v>
      </c>
      <c r="BH20" s="36">
        <f>[64]Links!AN22</f>
        <v>-842.12549999999999</v>
      </c>
      <c r="BI20" s="36">
        <f>[64]Links!AO22</f>
        <v>-850.54675500000008</v>
      </c>
      <c r="BJ20" s="36">
        <f>[64]Links!AP22</f>
        <v>-859.05222255000001</v>
      </c>
      <c r="BK20" s="36">
        <f>[64]Links!AQ22</f>
        <v>-3388.2744775499996</v>
      </c>
      <c r="BL20" s="36">
        <f>[64]Links!AR22</f>
        <v>-863.00756277549999</v>
      </c>
      <c r="BM20" s="36">
        <f>[64]Links!AS22</f>
        <v>-870.68763840325505</v>
      </c>
      <c r="BN20" s="36">
        <f>[64]Links!AT22</f>
        <v>-879.39451478728756</v>
      </c>
      <c r="BO20" s="36">
        <f>[64]Links!AU22</f>
        <v>-888.18845993516049</v>
      </c>
      <c r="BP20" s="36">
        <f>[64]Links!AV22</f>
        <v>-3501.2781759012032</v>
      </c>
      <c r="BQ20" s="36">
        <f>[64]Links!AW22</f>
        <v>-893.88974453451203</v>
      </c>
      <c r="BR20" s="36">
        <f>[64]Links!AX22</f>
        <v>-899.67864197985716</v>
      </c>
      <c r="BS20" s="36">
        <f>[64]Links!AY22</f>
        <v>-904.49542839965579</v>
      </c>
      <c r="BT20" s="36">
        <f>[64]Links!AZ22</f>
        <v>-913.5403826836523</v>
      </c>
      <c r="BU20" s="36">
        <f>[64]Links!BA22</f>
        <v>-3611.6041975976773</v>
      </c>
    </row>
    <row r="22" spans="1:73">
      <c r="A22" s="1" t="s">
        <v>1937</v>
      </c>
    </row>
    <row r="23" spans="1:73">
      <c r="A23" s="1" t="s">
        <v>1934</v>
      </c>
      <c r="AB23" s="36">
        <f>[64]Links!H25</f>
        <v>-791</v>
      </c>
      <c r="AF23" s="36">
        <f>[64]Links!L25</f>
        <v>-336</v>
      </c>
      <c r="AG23" s="36">
        <f>[64]Links!M25</f>
        <v>-976</v>
      </c>
      <c r="AH23" s="36">
        <f>[64]Links!N25</f>
        <v>-217</v>
      </c>
      <c r="AI23" s="36">
        <f>[64]Links!O25</f>
        <v>-250</v>
      </c>
      <c r="AJ23" s="36">
        <f>[64]Links!P25</f>
        <v>-270</v>
      </c>
      <c r="AK23" s="36">
        <f>[64]Links!Q25</f>
        <v>-358</v>
      </c>
      <c r="AL23" s="36">
        <f>[64]Links!R25</f>
        <v>-1095</v>
      </c>
      <c r="AM23" s="36">
        <f>[64]Links!S25</f>
        <v>-241</v>
      </c>
      <c r="AN23" s="36">
        <f>[64]Links!T25</f>
        <v>-281</v>
      </c>
      <c r="AO23" s="36">
        <f>[64]Links!U25</f>
        <v>-280</v>
      </c>
      <c r="AP23" s="36">
        <f>[64]Links!V25</f>
        <v>-319.11095175000003</v>
      </c>
      <c r="AQ23" s="36">
        <f>[64]Links!W25</f>
        <v>-1121.1109517499999</v>
      </c>
      <c r="AR23" s="36">
        <f>[64]Links!X25</f>
        <v>-327.51678937500003</v>
      </c>
      <c r="AS23" s="36">
        <f>[64]Links!Y25</f>
        <v>-328.72128099999998</v>
      </c>
      <c r="AT23" s="36">
        <f>[64]Links!Z25</f>
        <v>-327.24049167750002</v>
      </c>
      <c r="AU23" s="36">
        <f>[64]Links!AA25</f>
        <v>-334.52421825925001</v>
      </c>
      <c r="AV23" s="36">
        <f>[64]Links!AB25</f>
        <v>-1318.00278031175</v>
      </c>
      <c r="AW23" s="36">
        <f>[64]Links!AC25</f>
        <v>-359.26779673750002</v>
      </c>
      <c r="AX23" s="36">
        <f>[64]Links!AD25</f>
        <v>-364.03234505</v>
      </c>
      <c r="AY23" s="36">
        <f>[64]Links!AE25</f>
        <v>-370.16814126137496</v>
      </c>
      <c r="AZ23" s="36">
        <f>[64]Links!AF25</f>
        <v>-380.58019479721241</v>
      </c>
      <c r="BA23" s="36">
        <f>[64]Links!AG25</f>
        <v>-1474.0484778460875</v>
      </c>
      <c r="BB23" s="36">
        <f>[64]Links!AH25</f>
        <v>-390.52386454174996</v>
      </c>
      <c r="BC23" s="36">
        <f>[64]Links!AI25</f>
        <v>-394.62771230249996</v>
      </c>
      <c r="BD23" s="36">
        <f>[64]Links!AJ25</f>
        <v>-398.60064207444378</v>
      </c>
      <c r="BE23" s="36">
        <f>[64]Links!AK25</f>
        <v>-406.94631063082318</v>
      </c>
      <c r="BF23" s="36">
        <f>[64]Links!AL25</f>
        <v>-1590.6985295495169</v>
      </c>
      <c r="BG23" s="36">
        <f>[64]Links!AM25</f>
        <v>-415.25529641425499</v>
      </c>
      <c r="BH23" s="36">
        <f>[64]Links!AN25</f>
        <v>-412.66409791762499</v>
      </c>
      <c r="BI23" s="36">
        <f>[64]Links!AO25</f>
        <v>-410.98177417816601</v>
      </c>
      <c r="BJ23" s="36">
        <f>[64]Links!AP25</f>
        <v>-413.71554816236426</v>
      </c>
      <c r="BK23" s="36">
        <f>[64]Links!AQ25</f>
        <v>-1652.6167166724101</v>
      </c>
      <c r="BL23" s="36">
        <f>[64]Links!AR25</f>
        <v>-421.43061419911027</v>
      </c>
      <c r="BM23" s="36">
        <f>[64]Links!AS25</f>
        <v>-422.19730281350627</v>
      </c>
      <c r="BN23" s="36">
        <f>[64]Links!AT25</f>
        <v>-420.31986288707424</v>
      </c>
      <c r="BO23" s="36">
        <f>[64]Links!AU25</f>
        <v>-423.07821557048248</v>
      </c>
      <c r="BP23" s="36">
        <f>[64]Links!AV25</f>
        <v>-1687.0259954701733</v>
      </c>
      <c r="BQ23" s="36">
        <f>[64]Links!AW25</f>
        <v>-431.01645105105683</v>
      </c>
      <c r="BR23" s="36">
        <f>[64]Links!AX25</f>
        <v>-431.30716795418158</v>
      </c>
      <c r="BS23" s="36">
        <f>[64]Links!AY25</f>
        <v>-425.0358560314279</v>
      </c>
      <c r="BT23" s="36">
        <f>[64]Links!AZ25</f>
        <v>-427.76912634900663</v>
      </c>
      <c r="BU23" s="36">
        <f>[64]Links!BA25</f>
        <v>-1715.1286013856732</v>
      </c>
    </row>
    <row r="24" spans="1:73">
      <c r="A24" s="1" t="s">
        <v>1485</v>
      </c>
      <c r="AB24" s="36">
        <f>[64]Links!H26</f>
        <v>-802</v>
      </c>
      <c r="AF24" s="36">
        <f>[64]Links!L26</f>
        <v>-315</v>
      </c>
      <c r="AG24" s="36">
        <f>[64]Links!M26</f>
        <v>-875</v>
      </c>
      <c r="AH24" s="36">
        <f>[64]Links!N26</f>
        <v>-153</v>
      </c>
      <c r="AI24" s="36">
        <f>[64]Links!O26</f>
        <v>-158</v>
      </c>
      <c r="AJ24" s="36">
        <f>[64]Links!P26</f>
        <v>-138</v>
      </c>
      <c r="AK24" s="36">
        <f>[64]Links!Q26</f>
        <v>-251</v>
      </c>
      <c r="AL24" s="36">
        <f>[64]Links!R26</f>
        <v>-700</v>
      </c>
      <c r="AM24" s="36">
        <f>[64]Links!S26</f>
        <v>-138</v>
      </c>
      <c r="AN24" s="36">
        <f>[64]Links!T26</f>
        <v>-115</v>
      </c>
      <c r="AO24" s="36">
        <f>[64]Links!U26</f>
        <v>-157</v>
      </c>
      <c r="AP24" s="36">
        <f>[64]Links!V26</f>
        <v>-171.15680650000002</v>
      </c>
      <c r="AQ24" s="36">
        <f>[64]Links!W26</f>
        <v>-581.15680650000002</v>
      </c>
      <c r="AR24" s="36">
        <f>[64]Links!X26</f>
        <v>-177.172263125</v>
      </c>
      <c r="AS24" s="36">
        <f>[64]Links!Y26</f>
        <v>-177.24042700000001</v>
      </c>
      <c r="AT24" s="36">
        <f>[64]Links!Z26</f>
        <v>-174.32430747500001</v>
      </c>
      <c r="AU24" s="36">
        <f>[64]Links!AA26</f>
        <v>-178.17473941974998</v>
      </c>
      <c r="AV24" s="36">
        <f>[64]Links!AB26</f>
        <v>-706.91173701975003</v>
      </c>
      <c r="AW24" s="36">
        <f>[64]Links!AC26</f>
        <v>-185.42259891250001</v>
      </c>
      <c r="AX24" s="36">
        <f>[64]Links!AD26</f>
        <v>-188.65244834999996</v>
      </c>
      <c r="AY24" s="36">
        <f>[64]Links!AE26</f>
        <v>-190.53677284874993</v>
      </c>
      <c r="AZ24" s="36">
        <f>[64]Links!AF26</f>
        <v>-193.58347639073747</v>
      </c>
      <c r="BA24" s="36">
        <f>[64]Links!AG26</f>
        <v>-758.1952965019874</v>
      </c>
      <c r="BB24" s="36">
        <f>[64]Links!AH26</f>
        <v>-200.50795484725001</v>
      </c>
      <c r="BC24" s="36">
        <f>[64]Links!AI26</f>
        <v>-199.24257076749998</v>
      </c>
      <c r="BD24" s="36">
        <f>[64]Links!AJ26</f>
        <v>-195.92504899118748</v>
      </c>
      <c r="BE24" s="36">
        <f>[64]Links!AK26</f>
        <v>-197.86265021027435</v>
      </c>
      <c r="BF24" s="36">
        <f>[64]Links!AL26</f>
        <v>-793.53822481621182</v>
      </c>
      <c r="BG24" s="36">
        <f>[64]Links!AM26</f>
        <v>-202.96843213808501</v>
      </c>
      <c r="BH24" s="36">
        <f>[64]Links!AN26</f>
        <v>-203.68019930587496</v>
      </c>
      <c r="BI24" s="36">
        <f>[64]Links!AO26</f>
        <v>-201.74805644074684</v>
      </c>
      <c r="BJ24" s="36">
        <f>[64]Links!AP26</f>
        <v>-205.35980527078806</v>
      </c>
      <c r="BK24" s="36">
        <f>[64]Links!AQ26</f>
        <v>-813.75649315549481</v>
      </c>
      <c r="BL24" s="36">
        <f>[64]Links!AR26</f>
        <v>-210.15110084187009</v>
      </c>
      <c r="BM24" s="36">
        <f>[64]Links!AS26</f>
        <v>-211.42007267442372</v>
      </c>
      <c r="BN24" s="36">
        <f>[64]Links!AT26</f>
        <v>-209.36688130007178</v>
      </c>
      <c r="BO24" s="36">
        <f>[64]Links!AU26</f>
        <v>-213.13453179198791</v>
      </c>
      <c r="BP24" s="36">
        <f>[64]Links!AV26</f>
        <v>-844.0725866083535</v>
      </c>
      <c r="BQ24" s="36">
        <f>[64]Links!AW26</f>
        <v>-217.56189488486433</v>
      </c>
      <c r="BR24" s="36">
        <f>[64]Links!AX26</f>
        <v>-219.44769796458434</v>
      </c>
      <c r="BS24" s="36">
        <f>[64]Links!AY26</f>
        <v>-217.26641323807917</v>
      </c>
      <c r="BT24" s="36">
        <f>[64]Links!AZ26</f>
        <v>-221.19675813332117</v>
      </c>
      <c r="BU24" s="36">
        <f>[64]Links!BA26</f>
        <v>-875.47276422084894</v>
      </c>
    </row>
    <row r="25" spans="1:73">
      <c r="A25" s="436" t="s">
        <v>1935</v>
      </c>
      <c r="AB25" s="36">
        <f>[64]Links!H27</f>
        <v>3</v>
      </c>
      <c r="AF25" s="36">
        <f>[64]Links!L27</f>
        <v>0</v>
      </c>
      <c r="AG25" s="36">
        <f>[64]Links!M27</f>
        <v>0</v>
      </c>
      <c r="AH25" s="36">
        <f>[64]Links!N27</f>
        <v>-2</v>
      </c>
      <c r="AI25" s="36">
        <f>[64]Links!O27</f>
        <v>0</v>
      </c>
      <c r="AJ25" s="36">
        <f>[64]Links!P27</f>
        <v>0</v>
      </c>
      <c r="AK25" s="36">
        <f>[64]Links!Q27</f>
        <v>0</v>
      </c>
      <c r="AL25" s="36">
        <f>[64]Links!R27</f>
        <v>-2</v>
      </c>
      <c r="AM25" s="36">
        <f>[64]Links!S27</f>
        <v>0</v>
      </c>
      <c r="AN25" s="36">
        <f>[64]Links!T27</f>
        <v>0</v>
      </c>
      <c r="AO25" s="36">
        <f>[64]Links!U27</f>
        <v>0</v>
      </c>
      <c r="AP25" s="36">
        <f>[64]Links!V27</f>
        <v>0</v>
      </c>
      <c r="AQ25" s="36">
        <f>[64]Links!W27</f>
        <v>0</v>
      </c>
      <c r="AR25" s="36">
        <f>[64]Links!X27</f>
        <v>0</v>
      </c>
      <c r="AS25" s="36">
        <f>[64]Links!Y27</f>
        <v>0</v>
      </c>
      <c r="AT25" s="36">
        <f>[64]Links!Z27</f>
        <v>0</v>
      </c>
      <c r="AU25" s="36">
        <f>[64]Links!AA27</f>
        <v>0</v>
      </c>
      <c r="AV25" s="36">
        <f>[64]Links!AB27</f>
        <v>0</v>
      </c>
      <c r="AW25" s="36">
        <f>[64]Links!AC27</f>
        <v>0</v>
      </c>
      <c r="AX25" s="36">
        <f>[64]Links!AD27</f>
        <v>0</v>
      </c>
      <c r="AY25" s="36">
        <f>[64]Links!AE27</f>
        <v>0</v>
      </c>
      <c r="AZ25" s="36">
        <f>[64]Links!AF27</f>
        <v>0</v>
      </c>
      <c r="BA25" s="36">
        <f>[64]Links!AG27</f>
        <v>0</v>
      </c>
      <c r="BB25" s="36">
        <f>[64]Links!AH27</f>
        <v>0</v>
      </c>
      <c r="BC25" s="36">
        <f>[64]Links!AI27</f>
        <v>0</v>
      </c>
      <c r="BD25" s="36">
        <f>[64]Links!AJ27</f>
        <v>0</v>
      </c>
      <c r="BE25" s="36">
        <f>[64]Links!AK27</f>
        <v>0</v>
      </c>
      <c r="BF25" s="36">
        <f>[64]Links!AL27</f>
        <v>0</v>
      </c>
      <c r="BG25" s="36">
        <f>[64]Links!AM27</f>
        <v>0</v>
      </c>
      <c r="BH25" s="36">
        <f>[64]Links!AN27</f>
        <v>0</v>
      </c>
      <c r="BI25" s="36">
        <f>[64]Links!AO27</f>
        <v>0</v>
      </c>
      <c r="BJ25" s="36">
        <f>[64]Links!AP27</f>
        <v>0</v>
      </c>
      <c r="BK25" s="36">
        <f>[64]Links!AQ27</f>
        <v>0</v>
      </c>
      <c r="BL25" s="36">
        <f>[64]Links!AR27</f>
        <v>0</v>
      </c>
      <c r="BM25" s="36">
        <f>[64]Links!AS27</f>
        <v>0</v>
      </c>
      <c r="BN25" s="36">
        <f>[64]Links!AT27</f>
        <v>0</v>
      </c>
      <c r="BO25" s="36">
        <f>[64]Links!AU27</f>
        <v>0</v>
      </c>
      <c r="BP25" s="36">
        <f>[64]Links!AV27</f>
        <v>0</v>
      </c>
      <c r="BQ25" s="36">
        <f>[64]Links!AW27</f>
        <v>0</v>
      </c>
      <c r="BR25" s="36">
        <f>[64]Links!AX27</f>
        <v>0</v>
      </c>
      <c r="BS25" s="36">
        <f>[64]Links!AY27</f>
        <v>0</v>
      </c>
      <c r="BT25" s="36">
        <f>[64]Links!AZ27</f>
        <v>0</v>
      </c>
      <c r="BU25" s="36">
        <f>[64]Links!BA27</f>
        <v>0</v>
      </c>
    </row>
    <row r="27" spans="1:73">
      <c r="A27" s="1" t="s">
        <v>1942</v>
      </c>
    </row>
    <row r="28" spans="1:73">
      <c r="A28" s="1" t="s">
        <v>1939</v>
      </c>
      <c r="AB28" s="36">
        <f>[64]Links!H30</f>
        <v>476</v>
      </c>
      <c r="AF28" s="36">
        <f>[64]Links!L30</f>
        <v>41</v>
      </c>
      <c r="AG28" s="36">
        <f>[64]Links!M30</f>
        <v>141</v>
      </c>
      <c r="AH28" s="36">
        <f>[64]Links!N30</f>
        <v>-14</v>
      </c>
      <c r="AI28" s="36">
        <f>[64]Links!O30</f>
        <v>-60</v>
      </c>
      <c r="AJ28" s="36">
        <f>[64]Links!P30</f>
        <v>-6</v>
      </c>
      <c r="AK28" s="36">
        <f>[64]Links!Q30</f>
        <v>35</v>
      </c>
      <c r="AL28" s="36">
        <f>[64]Links!R30</f>
        <v>-45</v>
      </c>
      <c r="AM28" s="36">
        <f>[64]Links!S30</f>
        <v>-7</v>
      </c>
      <c r="AN28" s="36">
        <f>[64]Links!T30</f>
        <v>-5</v>
      </c>
      <c r="AO28" s="36">
        <f>[64]Links!U30</f>
        <v>-1</v>
      </c>
      <c r="AP28" s="36">
        <f>[64]Links!V30</f>
        <v>-1</v>
      </c>
      <c r="AQ28" s="36">
        <f>[64]Links!W30</f>
        <v>-14</v>
      </c>
      <c r="AR28" s="36">
        <f>[64]Links!X30</f>
        <v>0</v>
      </c>
      <c r="AS28" s="36">
        <f>[64]Links!Y30</f>
        <v>0</v>
      </c>
      <c r="AT28" s="36">
        <f>[64]Links!Z30</f>
        <v>0</v>
      </c>
      <c r="AU28" s="36">
        <f>[64]Links!AA30</f>
        <v>0</v>
      </c>
      <c r="AV28" s="36">
        <f>[64]Links!AB30</f>
        <v>0</v>
      </c>
      <c r="AW28" s="36">
        <f>[64]Links!AC30</f>
        <v>0</v>
      </c>
      <c r="AX28" s="36">
        <f>[64]Links!AD30</f>
        <v>0</v>
      </c>
      <c r="AY28" s="36">
        <f>[64]Links!AE30</f>
        <v>0</v>
      </c>
      <c r="AZ28" s="36">
        <f>[64]Links!AF30</f>
        <v>0</v>
      </c>
      <c r="BA28" s="36">
        <f>[64]Links!AG30</f>
        <v>0</v>
      </c>
      <c r="BB28" s="36">
        <f>[64]Links!AH30</f>
        <v>0</v>
      </c>
      <c r="BC28" s="36">
        <f>[64]Links!AI30</f>
        <v>0</v>
      </c>
      <c r="BD28" s="36">
        <f>[64]Links!AJ30</f>
        <v>0</v>
      </c>
      <c r="BE28" s="36">
        <f>[64]Links!AK30</f>
        <v>0</v>
      </c>
      <c r="BF28" s="36">
        <f>[64]Links!AL30</f>
        <v>0</v>
      </c>
      <c r="BG28" s="36">
        <f>[64]Links!AM30</f>
        <v>0</v>
      </c>
      <c r="BH28" s="36">
        <f>[64]Links!AN30</f>
        <v>0</v>
      </c>
      <c r="BI28" s="36">
        <f>[64]Links!AO30</f>
        <v>0</v>
      </c>
      <c r="BJ28" s="36">
        <f>[64]Links!AP30</f>
        <v>0</v>
      </c>
      <c r="BK28" s="36">
        <f>[64]Links!AQ30</f>
        <v>0</v>
      </c>
      <c r="BL28" s="36">
        <f>[64]Links!AR30</f>
        <v>0</v>
      </c>
      <c r="BM28" s="36">
        <f>[64]Links!AS30</f>
        <v>0</v>
      </c>
      <c r="BN28" s="36">
        <f>[64]Links!AT30</f>
        <v>0</v>
      </c>
      <c r="BO28" s="36">
        <f>[64]Links!AU30</f>
        <v>0</v>
      </c>
      <c r="BP28" s="36">
        <f>[64]Links!AV30</f>
        <v>0</v>
      </c>
      <c r="BQ28" s="36">
        <f>[64]Links!AW30</f>
        <v>0</v>
      </c>
      <c r="BR28" s="36">
        <f>[64]Links!AX30</f>
        <v>0</v>
      </c>
      <c r="BS28" s="36">
        <f>[64]Links!AY30</f>
        <v>0</v>
      </c>
      <c r="BT28" s="36">
        <f>[64]Links!AZ30</f>
        <v>0</v>
      </c>
      <c r="BU28" s="36">
        <f>[64]Links!BA30</f>
        <v>0</v>
      </c>
    </row>
    <row r="29" spans="1:73">
      <c r="A29" s="1" t="s">
        <v>1940</v>
      </c>
      <c r="AB29" s="36">
        <f>[64]Links!H31</f>
        <v>-20</v>
      </c>
      <c r="AF29" s="36">
        <f>[64]Links!L31</f>
        <v>0</v>
      </c>
      <c r="AG29" s="36">
        <f>[64]Links!M31</f>
        <v>10</v>
      </c>
      <c r="AH29" s="36">
        <f>[64]Links!N31</f>
        <v>4</v>
      </c>
      <c r="AI29" s="36">
        <f>[64]Links!O31</f>
        <v>23</v>
      </c>
      <c r="AJ29" s="36">
        <f>[64]Links!P31</f>
        <v>-23</v>
      </c>
      <c r="AK29" s="36">
        <f>[64]Links!Q31</f>
        <v>-1</v>
      </c>
      <c r="AL29" s="36">
        <f>[64]Links!R31</f>
        <v>3</v>
      </c>
      <c r="AM29" s="36">
        <f>[64]Links!S31</f>
        <v>24</v>
      </c>
      <c r="AN29" s="36">
        <f>[64]Links!T31</f>
        <v>14</v>
      </c>
      <c r="AO29" s="36">
        <f>[64]Links!U31</f>
        <v>-15</v>
      </c>
      <c r="AP29" s="36">
        <f>[64]Links!V31</f>
        <v>10</v>
      </c>
      <c r="AQ29" s="36">
        <f>[64]Links!W31</f>
        <v>33</v>
      </c>
      <c r="AR29" s="36">
        <f>[64]Links!X31</f>
        <v>0</v>
      </c>
      <c r="AS29" s="36">
        <f>[64]Links!Y31</f>
        <v>0</v>
      </c>
      <c r="AT29" s="36">
        <f>[64]Links!Z31</f>
        <v>0</v>
      </c>
      <c r="AU29" s="36">
        <f>[64]Links!AA31</f>
        <v>0</v>
      </c>
      <c r="AV29" s="36">
        <f>[64]Links!AB31</f>
        <v>0</v>
      </c>
      <c r="AW29" s="36">
        <f>[64]Links!AC31</f>
        <v>0</v>
      </c>
      <c r="AX29" s="36">
        <f>[64]Links!AD31</f>
        <v>0</v>
      </c>
      <c r="AY29" s="36">
        <f>[64]Links!AE31</f>
        <v>0</v>
      </c>
      <c r="AZ29" s="36">
        <f>[64]Links!AF31</f>
        <v>0</v>
      </c>
      <c r="BA29" s="36">
        <f>[64]Links!AG31</f>
        <v>0</v>
      </c>
      <c r="BB29" s="36">
        <f>[64]Links!AH31</f>
        <v>0</v>
      </c>
      <c r="BC29" s="36">
        <f>[64]Links!AI31</f>
        <v>0</v>
      </c>
      <c r="BD29" s="36">
        <f>[64]Links!AJ31</f>
        <v>0</v>
      </c>
      <c r="BE29" s="36">
        <f>[64]Links!AK31</f>
        <v>0</v>
      </c>
      <c r="BF29" s="36">
        <f>[64]Links!AL31</f>
        <v>0</v>
      </c>
      <c r="BG29" s="36">
        <f>[64]Links!AM31</f>
        <v>0</v>
      </c>
      <c r="BH29" s="36">
        <f>[64]Links!AN31</f>
        <v>0</v>
      </c>
      <c r="BI29" s="36">
        <f>[64]Links!AO31</f>
        <v>0</v>
      </c>
      <c r="BJ29" s="36">
        <f>[64]Links!AP31</f>
        <v>0</v>
      </c>
      <c r="BK29" s="36">
        <f>[64]Links!AQ31</f>
        <v>0</v>
      </c>
      <c r="BL29" s="36">
        <f>[64]Links!AR31</f>
        <v>0</v>
      </c>
      <c r="BM29" s="36">
        <f>[64]Links!AS31</f>
        <v>0</v>
      </c>
      <c r="BN29" s="36">
        <f>[64]Links!AT31</f>
        <v>0</v>
      </c>
      <c r="BO29" s="36">
        <f>[64]Links!AU31</f>
        <v>0</v>
      </c>
      <c r="BP29" s="36">
        <f>[64]Links!AV31</f>
        <v>0</v>
      </c>
      <c r="BQ29" s="36">
        <f>[64]Links!AW31</f>
        <v>0</v>
      </c>
      <c r="BR29" s="36">
        <f>[64]Links!AX31</f>
        <v>0</v>
      </c>
      <c r="BS29" s="36">
        <f>[64]Links!AY31</f>
        <v>0</v>
      </c>
      <c r="BT29" s="36">
        <f>[64]Links!AZ31</f>
        <v>0</v>
      </c>
      <c r="BU29" s="36">
        <f>[64]Links!BA31</f>
        <v>0</v>
      </c>
    </row>
    <row r="30" spans="1:73">
      <c r="A30" s="436" t="s">
        <v>1941</v>
      </c>
      <c r="AB30" s="36">
        <f>[64]Links!H32</f>
        <v>2</v>
      </c>
      <c r="AF30" s="36">
        <f>[64]Links!L32</f>
        <v>2</v>
      </c>
      <c r="AG30" s="36">
        <f>[64]Links!M32</f>
        <v>2</v>
      </c>
      <c r="AH30" s="36">
        <f>[64]Links!N32</f>
        <v>2</v>
      </c>
      <c r="AI30" s="36">
        <f>[64]Links!O32</f>
        <v>6</v>
      </c>
      <c r="AJ30" s="36">
        <f>[64]Links!P32</f>
        <v>13</v>
      </c>
      <c r="AK30" s="36">
        <f>[64]Links!Q32</f>
        <v>21</v>
      </c>
      <c r="AL30" s="36">
        <f>[64]Links!R32</f>
        <v>42</v>
      </c>
      <c r="AM30" s="36">
        <f>[64]Links!S32</f>
        <v>-1</v>
      </c>
      <c r="AN30" s="36">
        <f>[64]Links!T32</f>
        <v>28</v>
      </c>
      <c r="AO30" s="36">
        <f>[64]Links!U32</f>
        <v>28</v>
      </c>
      <c r="AP30" s="36">
        <f>[64]Links!V32</f>
        <v>25</v>
      </c>
      <c r="AQ30" s="36">
        <f>[64]Links!W32</f>
        <v>80</v>
      </c>
      <c r="AR30" s="36">
        <f>[64]Links!X32</f>
        <v>25</v>
      </c>
      <c r="AS30" s="36">
        <f>[64]Links!Y32</f>
        <v>25</v>
      </c>
      <c r="AT30" s="36">
        <f>[64]Links!Z32</f>
        <v>25</v>
      </c>
      <c r="AU30" s="36">
        <f>[64]Links!AA32</f>
        <v>25</v>
      </c>
      <c r="AV30" s="36">
        <f>[64]Links!AB32</f>
        <v>100</v>
      </c>
      <c r="AW30" s="36">
        <f>[64]Links!AC32</f>
        <v>30</v>
      </c>
      <c r="AX30" s="36">
        <f>[64]Links!AD32</f>
        <v>30</v>
      </c>
      <c r="AY30" s="36">
        <f>[64]Links!AE32</f>
        <v>30</v>
      </c>
      <c r="AZ30" s="36">
        <f>[64]Links!AF32</f>
        <v>30</v>
      </c>
      <c r="BA30" s="36">
        <f>[64]Links!AG32</f>
        <v>120</v>
      </c>
      <c r="BB30" s="36">
        <f>[64]Links!AH32</f>
        <v>30</v>
      </c>
      <c r="BC30" s="36">
        <f>[64]Links!AI32</f>
        <v>30</v>
      </c>
      <c r="BD30" s="36">
        <f>[64]Links!AJ32</f>
        <v>30</v>
      </c>
      <c r="BE30" s="36">
        <f>[64]Links!AK32</f>
        <v>30</v>
      </c>
      <c r="BF30" s="36">
        <f>[64]Links!AL32</f>
        <v>120</v>
      </c>
      <c r="BG30" s="36">
        <f>[64]Links!AM32</f>
        <v>30</v>
      </c>
      <c r="BH30" s="36">
        <f>[64]Links!AN32</f>
        <v>30</v>
      </c>
      <c r="BI30" s="36">
        <f>[64]Links!AO32</f>
        <v>30</v>
      </c>
      <c r="BJ30" s="36">
        <f>[64]Links!AP32</f>
        <v>30</v>
      </c>
      <c r="BK30" s="36">
        <f>[64]Links!AQ32</f>
        <v>120</v>
      </c>
      <c r="BL30" s="36">
        <f>[64]Links!AR32</f>
        <v>30</v>
      </c>
      <c r="BM30" s="36">
        <f>[64]Links!AS32</f>
        <v>30</v>
      </c>
      <c r="BN30" s="36">
        <f>[64]Links!AT32</f>
        <v>30</v>
      </c>
      <c r="BO30" s="36">
        <f>[64]Links!AU32</f>
        <v>30</v>
      </c>
      <c r="BP30" s="36">
        <f>[64]Links!AV32</f>
        <v>120</v>
      </c>
      <c r="BQ30" s="36">
        <f>[64]Links!AW32</f>
        <v>30</v>
      </c>
      <c r="BR30" s="36">
        <f>[64]Links!AX32</f>
        <v>30</v>
      </c>
      <c r="BS30" s="36">
        <f>[64]Links!AY32</f>
        <v>30</v>
      </c>
      <c r="BT30" s="36">
        <f>[64]Links!AZ32</f>
        <v>30</v>
      </c>
      <c r="BU30" s="36">
        <f>[64]Links!BA32</f>
        <v>120</v>
      </c>
    </row>
    <row r="32" spans="1:73">
      <c r="A32" s="1" t="s">
        <v>1943</v>
      </c>
      <c r="AB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row>
    <row r="33" spans="1:73">
      <c r="A33" s="436" t="s">
        <v>1941</v>
      </c>
      <c r="AB33" s="36">
        <f>[64]Links!H35</f>
        <v>-18</v>
      </c>
      <c r="AF33" s="36">
        <f>[64]Links!L35</f>
        <v>2</v>
      </c>
      <c r="AG33" s="36">
        <f>[64]Links!M35</f>
        <v>12</v>
      </c>
      <c r="AH33" s="36">
        <f>[64]Links!N35</f>
        <v>6</v>
      </c>
      <c r="AI33" s="36">
        <f>[64]Links!O35</f>
        <v>29</v>
      </c>
      <c r="AJ33" s="36">
        <f>[64]Links!P35</f>
        <v>-10</v>
      </c>
      <c r="AK33" s="36">
        <f>[64]Links!Q35</f>
        <v>20</v>
      </c>
      <c r="AL33" s="36">
        <f>[64]Links!R35</f>
        <v>45</v>
      </c>
      <c r="AM33" s="36">
        <f>[64]Links!S35</f>
        <v>23</v>
      </c>
      <c r="AN33" s="36">
        <f>[64]Links!T35</f>
        <v>42</v>
      </c>
      <c r="AO33" s="36">
        <f>[64]Links!U35</f>
        <v>13</v>
      </c>
      <c r="AP33" s="36">
        <f>[64]Links!V35</f>
        <v>35</v>
      </c>
      <c r="AQ33" s="36">
        <f>[64]Links!W35</f>
        <v>113</v>
      </c>
      <c r="AR33" s="36">
        <f>[64]Links!X35</f>
        <v>25</v>
      </c>
      <c r="AS33" s="36">
        <f>[64]Links!Y35</f>
        <v>25</v>
      </c>
      <c r="AT33" s="36">
        <f>[64]Links!Z35</f>
        <v>25</v>
      </c>
      <c r="AU33" s="36">
        <f>[64]Links!AA35</f>
        <v>25</v>
      </c>
      <c r="AV33" s="36">
        <f>[64]Links!AB35</f>
        <v>100</v>
      </c>
      <c r="AW33" s="36">
        <f>[64]Links!AC35</f>
        <v>30</v>
      </c>
      <c r="AX33" s="36">
        <f>[64]Links!AD35</f>
        <v>30</v>
      </c>
      <c r="AY33" s="36">
        <f>[64]Links!AE35</f>
        <v>30</v>
      </c>
      <c r="AZ33" s="36">
        <f>[64]Links!AF35</f>
        <v>30</v>
      </c>
      <c r="BA33" s="36">
        <f>[64]Links!AG35</f>
        <v>120</v>
      </c>
      <c r="BB33" s="36">
        <f>[64]Links!AH35</f>
        <v>30</v>
      </c>
      <c r="BC33" s="36">
        <f>[64]Links!AI35</f>
        <v>30</v>
      </c>
      <c r="BD33" s="36">
        <f>[64]Links!AJ35</f>
        <v>30</v>
      </c>
      <c r="BE33" s="36">
        <f>[64]Links!AK35</f>
        <v>30</v>
      </c>
      <c r="BF33" s="36">
        <f>[64]Links!AL35</f>
        <v>120</v>
      </c>
      <c r="BG33" s="36">
        <f>[64]Links!AM35</f>
        <v>30</v>
      </c>
      <c r="BH33" s="36">
        <f>[64]Links!AN35</f>
        <v>30</v>
      </c>
      <c r="BI33" s="36">
        <f>[64]Links!AO35</f>
        <v>30</v>
      </c>
      <c r="BJ33" s="36">
        <f>[64]Links!AP35</f>
        <v>30</v>
      </c>
      <c r="BK33" s="36">
        <f>[64]Links!AQ35</f>
        <v>120</v>
      </c>
      <c r="BL33" s="36">
        <f>[64]Links!AR35</f>
        <v>30</v>
      </c>
      <c r="BM33" s="36">
        <f>[64]Links!AS35</f>
        <v>30</v>
      </c>
      <c r="BN33" s="36">
        <f>[64]Links!AT35</f>
        <v>30</v>
      </c>
      <c r="BO33" s="36">
        <f>[64]Links!AU35</f>
        <v>30</v>
      </c>
      <c r="BP33" s="36">
        <f>[64]Links!AV35</f>
        <v>120</v>
      </c>
      <c r="BQ33" s="36">
        <f>[64]Links!AW35</f>
        <v>30</v>
      </c>
      <c r="BR33" s="36">
        <f>[64]Links!AX35</f>
        <v>30</v>
      </c>
      <c r="BS33" s="36">
        <f>[64]Links!AY35</f>
        <v>30</v>
      </c>
      <c r="BT33" s="36">
        <f>[64]Links!AZ35</f>
        <v>30</v>
      </c>
      <c r="BU33" s="36">
        <f>[64]Links!BA35</f>
        <v>120</v>
      </c>
    </row>
    <row r="35" spans="1:73">
      <c r="A35" s="436" t="s">
        <v>2017</v>
      </c>
      <c r="AB35" s="36">
        <f>[64]Links!H37</f>
        <v>697</v>
      </c>
      <c r="AF35" s="36">
        <f>[64]Links!L37</f>
        <v>-41</v>
      </c>
      <c r="AG35" s="36">
        <f>[64]Links!M37</f>
        <v>786</v>
      </c>
      <c r="AH35" s="36">
        <f>[64]Links!N37</f>
        <v>286</v>
      </c>
      <c r="AI35" s="36">
        <f>[64]Links!O37</f>
        <v>152</v>
      </c>
      <c r="AJ35" s="36">
        <f>[64]Links!P37</f>
        <v>228</v>
      </c>
      <c r="AK35" s="36">
        <f>[64]Links!Q37</f>
        <v>5</v>
      </c>
      <c r="AL35" s="36">
        <f>[64]Links!R37</f>
        <v>671</v>
      </c>
      <c r="AM35" s="36">
        <f>[64]Links!S37</f>
        <v>127</v>
      </c>
      <c r="AN35" s="36">
        <f>[64]Links!T37</f>
        <v>-119</v>
      </c>
      <c r="AO35" s="36">
        <f>[64]Links!U37</f>
        <v>146</v>
      </c>
      <c r="AP35" s="36">
        <f>[64]Links!V37</f>
        <v>179.41462824999996</v>
      </c>
      <c r="AQ35" s="36">
        <f>[64]Links!W37</f>
        <v>333.41462824999996</v>
      </c>
      <c r="AR35" s="36">
        <f>[64]Links!X37</f>
        <v>222.64479537500006</v>
      </c>
      <c r="AS35" s="36">
        <f>[64]Links!Y37</f>
        <v>266.45415019999996</v>
      </c>
      <c r="AT35" s="36">
        <f>[64]Links!Z37</f>
        <v>336.32242200499991</v>
      </c>
      <c r="AU35" s="36">
        <f>[64]Links!AA37</f>
        <v>306.78818214705018</v>
      </c>
      <c r="AV35" s="36">
        <f>[64]Links!AB37</f>
        <v>1132.2095497270502</v>
      </c>
      <c r="AW35" s="36">
        <f>[64]Links!AC37</f>
        <v>374.04679730639555</v>
      </c>
      <c r="AX35" s="36">
        <f>[64]Links!AD37</f>
        <v>428.81674276865783</v>
      </c>
      <c r="AY35" s="36">
        <f>[64]Links!AE37</f>
        <v>466.03081495427989</v>
      </c>
      <c r="AZ35" s="36">
        <f>[64]Links!AF37</f>
        <v>405.30693637975287</v>
      </c>
      <c r="BA35" s="36">
        <f>[64]Links!AG37</f>
        <v>1674.2012914090863</v>
      </c>
      <c r="BB35" s="36">
        <f>[64]Links!AH37</f>
        <v>460.65427313759142</v>
      </c>
      <c r="BC35" s="36">
        <f>[64]Links!AI37</f>
        <v>530.82915159802417</v>
      </c>
      <c r="BD35" s="36">
        <f>[64]Links!AJ37</f>
        <v>594.60725693397899</v>
      </c>
      <c r="BE35" s="36">
        <f>[64]Links!AK37</f>
        <v>530.10608379924145</v>
      </c>
      <c r="BF35" s="36">
        <f>[64]Links!AL37</f>
        <v>2116.196765468836</v>
      </c>
      <c r="BG35" s="36">
        <f>[64]Links!AM37</f>
        <v>614.30870080769773</v>
      </c>
      <c r="BH35" s="36">
        <f>[64]Links!AN37</f>
        <v>695.84448163166019</v>
      </c>
      <c r="BI35" s="36">
        <f>[64]Links!AO37</f>
        <v>732.34473978736219</v>
      </c>
      <c r="BJ35" s="36">
        <f>[64]Links!AP37</f>
        <v>638.42547621155484</v>
      </c>
      <c r="BK35" s="36">
        <f>[64]Links!AQ37</f>
        <v>2680.9233984382749</v>
      </c>
      <c r="BL35" s="36">
        <f>[64]Links!AR37</f>
        <v>733.28502323702787</v>
      </c>
      <c r="BM35" s="36">
        <f>[64]Links!AS37</f>
        <v>824.89178775961523</v>
      </c>
      <c r="BN35" s="36">
        <f>[64]Links!AT37</f>
        <v>860.9313658516196</v>
      </c>
      <c r="BO35" s="36">
        <f>[64]Links!AU37</f>
        <v>749.10071620220117</v>
      </c>
      <c r="BP35" s="36">
        <f>[64]Links!AV37</f>
        <v>3168.2088930504638</v>
      </c>
      <c r="BQ35" s="36">
        <f>[64]Links!AW37</f>
        <v>851.51628282174318</v>
      </c>
      <c r="BR35" s="36">
        <f>[64]Links!AX37</f>
        <v>950.40964939891808</v>
      </c>
      <c r="BS35" s="36">
        <f>[64]Links!AY37</f>
        <v>983.18958985391532</v>
      </c>
      <c r="BT35" s="36">
        <f>[64]Links!AZ37</f>
        <v>847.88082607162983</v>
      </c>
      <c r="BU35" s="36">
        <f>[64]Links!BA37</f>
        <v>3632.9963481462064</v>
      </c>
    </row>
    <row r="37" spans="1:73">
      <c r="A37" s="436" t="s">
        <v>2018</v>
      </c>
      <c r="AB37" s="36">
        <f>[64]Links!H39</f>
        <v>286</v>
      </c>
      <c r="AF37" s="36">
        <f>[64]Links!L39</f>
        <v>-29</v>
      </c>
      <c r="AG37" s="36">
        <f>[64]Links!M39</f>
        <v>743</v>
      </c>
      <c r="AH37" s="36">
        <f>[64]Links!N39</f>
        <v>303</v>
      </c>
      <c r="AI37" s="36">
        <f>[64]Links!O39</f>
        <v>227</v>
      </c>
      <c r="AJ37" s="36">
        <f>[64]Links!P39</f>
        <v>279</v>
      </c>
      <c r="AK37" s="36">
        <f>[64]Links!Q39</f>
        <v>19</v>
      </c>
      <c r="AL37" s="36">
        <f>[64]Links!R39</f>
        <v>828</v>
      </c>
      <c r="AM37" s="36">
        <f>[64]Links!S39</f>
        <v>295</v>
      </c>
      <c r="AN37" s="36">
        <f>[64]Links!T39</f>
        <v>426</v>
      </c>
      <c r="AO37" s="36">
        <f>[64]Links!U39</f>
        <v>374</v>
      </c>
      <c r="AP37" s="36">
        <f>[64]Links!V39</f>
        <v>379.14686999999992</v>
      </c>
      <c r="AQ37" s="36">
        <f>[64]Links!W39</f>
        <v>1474.14687</v>
      </c>
      <c r="AR37" s="36">
        <f>[64]Links!X39</f>
        <v>405.95574287500006</v>
      </c>
      <c r="AS37" s="36">
        <f>[64]Links!Y39</f>
        <v>461.49244219999997</v>
      </c>
      <c r="AT37" s="36">
        <f>[64]Links!Z39</f>
        <v>541.75762285249994</v>
      </c>
      <c r="AU37" s="36">
        <f>[64]Links!AA39</f>
        <v>514.08922446805025</v>
      </c>
      <c r="AV37" s="36">
        <f>[64]Links!AB39</f>
        <v>1923.2950323955502</v>
      </c>
      <c r="AW37" s="36">
        <f>[64]Links!AC39</f>
        <v>568.35640165639552</v>
      </c>
      <c r="AX37" s="36">
        <f>[64]Links!AD39</f>
        <v>633.60694936865775</v>
      </c>
      <c r="AY37" s="36">
        <f>[64]Links!AE39</f>
        <v>681.73777584415484</v>
      </c>
      <c r="AZ37" s="36">
        <f>[64]Links!AF39</f>
        <v>622.97303081680298</v>
      </c>
      <c r="BA37" s="36">
        <f>[64]Links!AG39</f>
        <v>2506.6741576860113</v>
      </c>
      <c r="BB37" s="36">
        <f>[64]Links!AH39</f>
        <v>666.6224537485914</v>
      </c>
      <c r="BC37" s="36">
        <f>[64]Links!AI39</f>
        <v>745.85886852802423</v>
      </c>
      <c r="BD37" s="36">
        <f>[64]Links!AJ39</f>
        <v>821.09956586834778</v>
      </c>
      <c r="BE37" s="36">
        <f>[64]Links!AK39</f>
        <v>758.65548295814392</v>
      </c>
      <c r="BF37" s="36">
        <f>[64]Links!AL39</f>
        <v>2992.2363711031076</v>
      </c>
      <c r="BG37" s="36">
        <f>[64]Links!AM39</f>
        <v>832.63497225535775</v>
      </c>
      <c r="BH37" s="36">
        <f>[64]Links!AN39</f>
        <v>921.62568440816017</v>
      </c>
      <c r="BI37" s="36">
        <f>[64]Links!AO39</f>
        <v>970.16166416844942</v>
      </c>
      <c r="BJ37" s="36">
        <f>[64]Links!AP39</f>
        <v>878.40234532840259</v>
      </c>
      <c r="BK37" s="36">
        <f>[64]Links!AQ39</f>
        <v>3602.8246661603698</v>
      </c>
      <c r="BL37" s="36">
        <f>[64]Links!AR39</f>
        <v>964.71087097154748</v>
      </c>
      <c r="BM37" s="36">
        <f>[64]Links!AS39</f>
        <v>1061.9620506749402</v>
      </c>
      <c r="BN37" s="36">
        <f>[64]Links!AT39</f>
        <v>1110.6391364517613</v>
      </c>
      <c r="BO37" s="36">
        <f>[64]Links!AU39</f>
        <v>1001.0764287748913</v>
      </c>
      <c r="BP37" s="36">
        <f>[64]Links!AV39</f>
        <v>4138.3884868731402</v>
      </c>
      <c r="BQ37" s="36">
        <f>[64]Links!AW39</f>
        <v>1096.8276814203341</v>
      </c>
      <c r="BR37" s="36">
        <f>[64]Links!AX39</f>
        <v>1199.3334254600093</v>
      </c>
      <c r="BS37" s="36">
        <f>[64]Links!AY39</f>
        <v>1245.3827489840642</v>
      </c>
      <c r="BT37" s="36">
        <f>[64]Links!AZ39</f>
        <v>1112.4553242729544</v>
      </c>
      <c r="BU37" s="36">
        <f>[64]Links!BA39</f>
        <v>4653.9991801373617</v>
      </c>
    </row>
    <row r="39" spans="1:73">
      <c r="A39" s="436" t="s">
        <v>2022</v>
      </c>
      <c r="AB39" s="36">
        <f>[64]Links!H41</f>
        <v>-153</v>
      </c>
      <c r="AF39" s="36">
        <f>[64]Links!L41</f>
        <v>12</v>
      </c>
      <c r="AG39" s="36">
        <f>[64]Links!M41</f>
        <v>-110</v>
      </c>
      <c r="AH39" s="36">
        <f>[64]Links!N41</f>
        <v>-61</v>
      </c>
      <c r="AI39" s="36">
        <f>[64]Links!O41</f>
        <v>-38</v>
      </c>
      <c r="AJ39" s="36">
        <f>[64]Links!P41</f>
        <v>-46</v>
      </c>
      <c r="AK39" s="36">
        <f>[64]Links!Q41</f>
        <v>-2</v>
      </c>
      <c r="AL39" s="36">
        <f>[64]Links!R41</f>
        <v>-147</v>
      </c>
      <c r="AM39" s="36">
        <f>[64]Links!S41</f>
        <v>-22</v>
      </c>
      <c r="AN39" s="36">
        <f>[64]Links!T41</f>
        <v>9</v>
      </c>
      <c r="AO39" s="36">
        <f>[64]Links!U41</f>
        <v>-59</v>
      </c>
      <c r="AP39" s="36">
        <f>[64]Links!V41</f>
        <v>-56.872030499999987</v>
      </c>
      <c r="AQ39" s="36">
        <f>[64]Links!W41</f>
        <v>-128.87203049999999</v>
      </c>
      <c r="AR39" s="36">
        <f>[64]Links!X41</f>
        <v>-60.893361431250007</v>
      </c>
      <c r="AS39" s="36">
        <f>[64]Links!Y41</f>
        <v>-69.223866329999993</v>
      </c>
      <c r="AT39" s="36">
        <f>[64]Links!Z41</f>
        <v>-81.263643427874982</v>
      </c>
      <c r="AU39" s="36">
        <f>[64]Links!AA41</f>
        <v>-77.11338367020754</v>
      </c>
      <c r="AV39" s="36">
        <f>[64]Links!AB41</f>
        <v>-288.49425485933256</v>
      </c>
      <c r="AW39" s="36">
        <f>[64]Links!AC41</f>
        <v>-85.253460248459319</v>
      </c>
      <c r="AX39" s="36">
        <f>[64]Links!AD41</f>
        <v>-95.041042405298654</v>
      </c>
      <c r="AY39" s="36">
        <f>[64]Links!AE41</f>
        <v>-102.26066637662322</v>
      </c>
      <c r="AZ39" s="36">
        <f>[64]Links!AF41</f>
        <v>-93.445954622520446</v>
      </c>
      <c r="BA39" s="36">
        <f>[64]Links!AG41</f>
        <v>-376.00112365290164</v>
      </c>
      <c r="BB39" s="36">
        <f>[64]Links!AH41</f>
        <v>-99.99336806228871</v>
      </c>
      <c r="BC39" s="36">
        <f>[64]Links!AI41</f>
        <v>-111.87883027920363</v>
      </c>
      <c r="BD39" s="36">
        <f>[64]Links!AJ41</f>
        <v>-123.16493488025216</v>
      </c>
      <c r="BE39" s="36">
        <f>[64]Links!AK41</f>
        <v>-113.79832244372159</v>
      </c>
      <c r="BF39" s="36">
        <f>[64]Links!AL41</f>
        <v>-448.8354556654661</v>
      </c>
      <c r="BG39" s="36">
        <f>[64]Links!AM41</f>
        <v>-124.89524583830365</v>
      </c>
      <c r="BH39" s="36">
        <f>[64]Links!AN41</f>
        <v>-138.24385266122403</v>
      </c>
      <c r="BI39" s="36">
        <f>[64]Links!AO41</f>
        <v>-145.5242496252674</v>
      </c>
      <c r="BJ39" s="36">
        <f>[64]Links!AP41</f>
        <v>-131.76035179926038</v>
      </c>
      <c r="BK39" s="36">
        <f>[64]Links!AQ41</f>
        <v>-540.42369992405543</v>
      </c>
      <c r="BL39" s="36">
        <f>[64]Links!AR41</f>
        <v>-144.7066306457321</v>
      </c>
      <c r="BM39" s="36">
        <f>[64]Links!AS41</f>
        <v>-159.29430760124103</v>
      </c>
      <c r="BN39" s="36">
        <f>[64]Links!AT41</f>
        <v>-166.59587046776417</v>
      </c>
      <c r="BO39" s="36">
        <f>[64]Links!AU41</f>
        <v>-150.16146431623369</v>
      </c>
      <c r="BP39" s="36">
        <f>[64]Links!AV41</f>
        <v>-620.75827303097105</v>
      </c>
      <c r="BQ39" s="36">
        <f>[64]Links!AW41</f>
        <v>-164.52415221305012</v>
      </c>
      <c r="BR39" s="36">
        <f>[64]Links!AX41</f>
        <v>-179.90001381900137</v>
      </c>
      <c r="BS39" s="36">
        <f>[64]Links!AY41</f>
        <v>-186.80741234760961</v>
      </c>
      <c r="BT39" s="36">
        <f>[64]Links!AZ41</f>
        <v>-166.86829864094315</v>
      </c>
      <c r="BU39" s="36">
        <f>[64]Links!BA41</f>
        <v>-698.09987702060437</v>
      </c>
    </row>
    <row r="41" spans="1:73">
      <c r="A41" s="436" t="s">
        <v>2023</v>
      </c>
      <c r="AB41" s="36">
        <f>[64]Links!H43</f>
        <v>-79</v>
      </c>
      <c r="AF41" s="36">
        <f>[64]Links!L43</f>
        <v>19</v>
      </c>
      <c r="AG41" s="36">
        <f>[64]Links!M43</f>
        <v>-80</v>
      </c>
      <c r="AH41" s="36">
        <f>[64]Links!N43</f>
        <v>-67</v>
      </c>
      <c r="AI41" s="36">
        <f>[64]Links!O43</f>
        <v>-49</v>
      </c>
      <c r="AJ41" s="36">
        <f>[64]Links!P43</f>
        <v>-54</v>
      </c>
      <c r="AK41" s="36">
        <f>[64]Links!Q43</f>
        <v>-1</v>
      </c>
      <c r="AL41" s="36">
        <f>[64]Links!R43</f>
        <v>-171</v>
      </c>
      <c r="AM41" s="36">
        <f>[64]Links!S43</f>
        <v>-49</v>
      </c>
      <c r="AN41" s="36">
        <f>[64]Links!T43</f>
        <v>-48</v>
      </c>
      <c r="AO41" s="36">
        <f>[64]Links!U43</f>
        <v>-50</v>
      </c>
      <c r="AP41" s="36">
        <f>[64]Links!V43</f>
        <v>-56.872030499999987</v>
      </c>
      <c r="AQ41" s="36">
        <f>[64]Links!W43</f>
        <v>-203.87203049999999</v>
      </c>
      <c r="AR41" s="36">
        <f>[64]Links!X43</f>
        <v>-60.893361431250007</v>
      </c>
      <c r="AS41" s="36">
        <f>[64]Links!Y43</f>
        <v>-69.223866329999993</v>
      </c>
      <c r="AT41" s="36">
        <f>[64]Links!Z43</f>
        <v>-81.263643427874982</v>
      </c>
      <c r="AU41" s="36">
        <f>[64]Links!AA43</f>
        <v>-77.11338367020754</v>
      </c>
      <c r="AV41" s="36">
        <f>[64]Links!AB43</f>
        <v>-288.49425485933256</v>
      </c>
      <c r="AW41" s="36">
        <f>[64]Links!AC43</f>
        <v>-85.253460248459319</v>
      </c>
      <c r="AX41" s="36">
        <f>[64]Links!AD43</f>
        <v>-95.041042405298654</v>
      </c>
      <c r="AY41" s="36">
        <f>[64]Links!AE43</f>
        <v>-102.26066637662322</v>
      </c>
      <c r="AZ41" s="36">
        <f>[64]Links!AF43</f>
        <v>-93.445954622520446</v>
      </c>
      <c r="BA41" s="36">
        <f>[64]Links!AG43</f>
        <v>-376.00112365290164</v>
      </c>
      <c r="BB41" s="36">
        <f>[64]Links!AH43</f>
        <v>-99.99336806228871</v>
      </c>
      <c r="BC41" s="36">
        <f>[64]Links!AI43</f>
        <v>-111.87883027920363</v>
      </c>
      <c r="BD41" s="36">
        <f>[64]Links!AJ43</f>
        <v>-123.16493488025216</v>
      </c>
      <c r="BE41" s="36">
        <f>[64]Links!AK43</f>
        <v>-113.79832244372159</v>
      </c>
      <c r="BF41" s="36">
        <f>[64]Links!AL43</f>
        <v>-448.8354556654661</v>
      </c>
      <c r="BG41" s="36">
        <f>[64]Links!AM43</f>
        <v>-124.89524583830365</v>
      </c>
      <c r="BH41" s="36">
        <f>[64]Links!AN43</f>
        <v>-138.24385266122403</v>
      </c>
      <c r="BI41" s="36">
        <f>[64]Links!AO43</f>
        <v>-145.5242496252674</v>
      </c>
      <c r="BJ41" s="36">
        <f>[64]Links!AP43</f>
        <v>-131.76035179926038</v>
      </c>
      <c r="BK41" s="36">
        <f>[64]Links!AQ43</f>
        <v>-540.42369992405543</v>
      </c>
      <c r="BL41" s="36">
        <f>[64]Links!AR43</f>
        <v>-144.7066306457321</v>
      </c>
      <c r="BM41" s="36">
        <f>[64]Links!AS43</f>
        <v>-159.29430760124103</v>
      </c>
      <c r="BN41" s="36">
        <f>[64]Links!AT43</f>
        <v>-166.59587046776417</v>
      </c>
      <c r="BO41" s="36">
        <f>[64]Links!AU43</f>
        <v>-150.16146431623369</v>
      </c>
      <c r="BP41" s="36">
        <f>[64]Links!AV43</f>
        <v>-620.75827303097105</v>
      </c>
      <c r="BQ41" s="36">
        <f>[64]Links!AW43</f>
        <v>-164.52415221305012</v>
      </c>
      <c r="BR41" s="36">
        <f>[64]Links!AX43</f>
        <v>-179.90001381900137</v>
      </c>
      <c r="BS41" s="36">
        <f>[64]Links!AY43</f>
        <v>-186.80741234760961</v>
      </c>
      <c r="BT41" s="36">
        <f>[64]Links!AZ43</f>
        <v>-166.86829864094315</v>
      </c>
      <c r="BU41" s="36">
        <f>[64]Links!BA43</f>
        <v>-698.09987702060437</v>
      </c>
    </row>
    <row r="43" spans="1:73">
      <c r="A43" s="1" t="s">
        <v>2024</v>
      </c>
      <c r="AB43" s="36">
        <f>[64]Links!H45</f>
        <v>544</v>
      </c>
      <c r="AF43" s="36">
        <f>[64]Links!L45</f>
        <v>-29</v>
      </c>
      <c r="AG43" s="36">
        <f>[64]Links!M45</f>
        <v>676</v>
      </c>
      <c r="AH43" s="36">
        <f>[64]Links!N45</f>
        <v>225</v>
      </c>
      <c r="AI43" s="36">
        <f>[64]Links!O45</f>
        <v>114</v>
      </c>
      <c r="AJ43" s="36">
        <f>[64]Links!P45</f>
        <v>182</v>
      </c>
      <c r="AK43" s="36">
        <f>[64]Links!Q45</f>
        <v>3</v>
      </c>
      <c r="AL43" s="36">
        <f>[64]Links!R45</f>
        <v>524</v>
      </c>
      <c r="AM43" s="36">
        <f>[64]Links!S45</f>
        <v>105</v>
      </c>
      <c r="AN43" s="36">
        <f>[64]Links!T45</f>
        <v>-110</v>
      </c>
      <c r="AO43" s="36">
        <f>[64]Links!U45</f>
        <v>87</v>
      </c>
      <c r="AP43" s="36">
        <f>[64]Links!V45</f>
        <v>122.54259774999997</v>
      </c>
      <c r="AQ43" s="36">
        <f>[64]Links!W45</f>
        <v>204.54259774999997</v>
      </c>
      <c r="AR43" s="36">
        <f>[64]Links!X45</f>
        <v>161.75143394375004</v>
      </c>
      <c r="AS43" s="36">
        <f>[64]Links!Y45</f>
        <v>197.23028386999997</v>
      </c>
      <c r="AT43" s="36">
        <f>[64]Links!Z45</f>
        <v>255.05877857712494</v>
      </c>
      <c r="AU43" s="36">
        <f>[64]Links!AA45</f>
        <v>229.67479847684262</v>
      </c>
      <c r="AV43" s="36">
        <f>[64]Links!AB45</f>
        <v>843.7152948677176</v>
      </c>
      <c r="AW43" s="36">
        <f>[64]Links!AC45</f>
        <v>288.79333705793624</v>
      </c>
      <c r="AX43" s="36">
        <f>[64]Links!AD45</f>
        <v>333.77570036335919</v>
      </c>
      <c r="AY43" s="36">
        <f>[64]Links!AE45</f>
        <v>363.77014857765664</v>
      </c>
      <c r="AZ43" s="36">
        <f>[64]Links!AF45</f>
        <v>311.86098175723242</v>
      </c>
      <c r="BA43" s="36">
        <f>[64]Links!AG45</f>
        <v>1298.2001677561846</v>
      </c>
      <c r="BB43" s="36">
        <f>[64]Links!AH45</f>
        <v>360.66090507530271</v>
      </c>
      <c r="BC43" s="36">
        <f>[64]Links!AI45</f>
        <v>418.95032131882056</v>
      </c>
      <c r="BD43" s="36">
        <f>[64]Links!AJ45</f>
        <v>471.4423220537268</v>
      </c>
      <c r="BE43" s="36">
        <f>[64]Links!AK45</f>
        <v>416.30776135551986</v>
      </c>
      <c r="BF43" s="36">
        <f>[64]Links!AL45</f>
        <v>1667.36130980337</v>
      </c>
      <c r="BG43" s="36">
        <f>[64]Links!AM45</f>
        <v>489.41345496939408</v>
      </c>
      <c r="BH43" s="36">
        <f>[64]Links!AN45</f>
        <v>557.60062897043622</v>
      </c>
      <c r="BI43" s="36">
        <f>[64]Links!AO45</f>
        <v>586.82049016209476</v>
      </c>
      <c r="BJ43" s="36">
        <f>[64]Links!AP45</f>
        <v>506.66512441229446</v>
      </c>
      <c r="BK43" s="36">
        <f>[64]Links!AQ45</f>
        <v>2140.4996985142193</v>
      </c>
      <c r="BL43" s="36">
        <f>[64]Links!AR45</f>
        <v>588.57839259129582</v>
      </c>
      <c r="BM43" s="36">
        <f>[64]Links!AS45</f>
        <v>665.5974801583742</v>
      </c>
      <c r="BN43" s="36">
        <f>[64]Links!AT45</f>
        <v>694.33549538385546</v>
      </c>
      <c r="BO43" s="36">
        <f>[64]Links!AU45</f>
        <v>598.93925188596745</v>
      </c>
      <c r="BP43" s="36">
        <f>[64]Links!AV45</f>
        <v>2547.4506200194928</v>
      </c>
      <c r="BQ43" s="36">
        <f>[64]Links!AW45</f>
        <v>686.99213060869306</v>
      </c>
      <c r="BR43" s="36">
        <f>[64]Links!AX45</f>
        <v>770.50963557991668</v>
      </c>
      <c r="BS43" s="36">
        <f>[64]Links!AY45</f>
        <v>796.38217750630565</v>
      </c>
      <c r="BT43" s="36">
        <f>[64]Links!AZ45</f>
        <v>681.01252743068665</v>
      </c>
      <c r="BU43" s="36">
        <f>[64]Links!BA45</f>
        <v>2934.8964711256021</v>
      </c>
    </row>
    <row r="45" spans="1:73">
      <c r="A45" s="1" t="s">
        <v>2026</v>
      </c>
      <c r="AB45" s="36">
        <f>[64]Links!H47</f>
        <v>207</v>
      </c>
      <c r="AF45" s="36">
        <f>[64]Links!L47</f>
        <v>-10</v>
      </c>
      <c r="AG45" s="36">
        <f>[64]Links!M47</f>
        <v>663</v>
      </c>
      <c r="AH45" s="36">
        <f>[64]Links!N47</f>
        <v>236</v>
      </c>
      <c r="AI45" s="36">
        <f>[64]Links!O47</f>
        <v>178</v>
      </c>
      <c r="AJ45" s="36">
        <f>[64]Links!P47</f>
        <v>225</v>
      </c>
      <c r="AK45" s="36">
        <f>[64]Links!Q47</f>
        <v>18</v>
      </c>
      <c r="AL45" s="36">
        <f>[64]Links!R47</f>
        <v>657</v>
      </c>
      <c r="AM45" s="36">
        <f>[64]Links!S47</f>
        <v>246</v>
      </c>
      <c r="AN45" s="36">
        <f>[64]Links!T47</f>
        <v>378</v>
      </c>
      <c r="AO45" s="36">
        <f>[64]Links!U47</f>
        <v>324</v>
      </c>
      <c r="AP45" s="36">
        <f>[64]Links!V47</f>
        <v>322.27483949999993</v>
      </c>
      <c r="AQ45" s="36">
        <f>[64]Links!W47</f>
        <v>1270.2748394999999</v>
      </c>
      <c r="AR45" s="36">
        <f>[64]Links!X47</f>
        <v>345.06238144375004</v>
      </c>
      <c r="AS45" s="36">
        <f>[64]Links!Y47</f>
        <v>392.26857586999995</v>
      </c>
      <c r="AT45" s="36">
        <f>[64]Links!Z47</f>
        <v>460.49397942462497</v>
      </c>
      <c r="AU45" s="36">
        <f>[64]Links!AA47</f>
        <v>436.97584079784269</v>
      </c>
      <c r="AV45" s="36">
        <f>[64]Links!AB47</f>
        <v>1634.8007775362178</v>
      </c>
      <c r="AW45" s="36">
        <f>[64]Links!AC47</f>
        <v>483.10294140793621</v>
      </c>
      <c r="AX45" s="36">
        <f>[64]Links!AD47</f>
        <v>538.56590696335911</v>
      </c>
      <c r="AY45" s="36">
        <f>[64]Links!AE47</f>
        <v>579.47710946753159</v>
      </c>
      <c r="AZ45" s="36">
        <f>[64]Links!AF47</f>
        <v>529.52707619428247</v>
      </c>
      <c r="BA45" s="36">
        <f>[64]Links!AG47</f>
        <v>2130.6730340331096</v>
      </c>
      <c r="BB45" s="36">
        <f>[64]Links!AH47</f>
        <v>566.62908568630269</v>
      </c>
      <c r="BC45" s="36">
        <f>[64]Links!AI47</f>
        <v>633.98003824882062</v>
      </c>
      <c r="BD45" s="36">
        <f>[64]Links!AJ47</f>
        <v>697.93463098809559</v>
      </c>
      <c r="BE45" s="36">
        <f>[64]Links!AK47</f>
        <v>644.85716051442228</v>
      </c>
      <c r="BF45" s="36">
        <f>[64]Links!AL47</f>
        <v>2543.4009154376408</v>
      </c>
      <c r="BG45" s="36">
        <f>[64]Links!AM47</f>
        <v>707.73972641705404</v>
      </c>
      <c r="BH45" s="36">
        <f>[64]Links!AN47</f>
        <v>783.38183174693609</v>
      </c>
      <c r="BI45" s="36">
        <f>[64]Links!AO47</f>
        <v>824.63741454318199</v>
      </c>
      <c r="BJ45" s="36">
        <f>[64]Links!AP47</f>
        <v>746.64199352914216</v>
      </c>
      <c r="BK45" s="36">
        <f>[64]Links!AQ47</f>
        <v>3062.4009662363142</v>
      </c>
      <c r="BL45" s="36">
        <f>[64]Links!AR47</f>
        <v>820.00424032581532</v>
      </c>
      <c r="BM45" s="36">
        <f>[64]Links!AS47</f>
        <v>902.66774307369917</v>
      </c>
      <c r="BN45" s="36">
        <f>[64]Links!AT47</f>
        <v>944.04326598399712</v>
      </c>
      <c r="BO45" s="36">
        <f>[64]Links!AU47</f>
        <v>850.91496445865755</v>
      </c>
      <c r="BP45" s="36">
        <f>[64]Links!AV47</f>
        <v>3517.6302138421688</v>
      </c>
      <c r="BQ45" s="36">
        <f>[64]Links!AW47</f>
        <v>932.30352920728399</v>
      </c>
      <c r="BR45" s="36">
        <f>[64]Links!AX47</f>
        <v>1019.4334116410079</v>
      </c>
      <c r="BS45" s="36">
        <f>[64]Links!AY47</f>
        <v>1058.5753366364545</v>
      </c>
      <c r="BT45" s="36">
        <f>[64]Links!AZ47</f>
        <v>945.5870256320112</v>
      </c>
      <c r="BU45" s="36">
        <f>[64]Links!BA47</f>
        <v>3955.8993031167574</v>
      </c>
    </row>
    <row r="47" spans="1:73" s="12" customFormat="1">
      <c r="A47" s="13" t="s">
        <v>2009</v>
      </c>
    </row>
    <row r="49" spans="1:73" s="12" customFormat="1">
      <c r="A49" s="13" t="s">
        <v>2008</v>
      </c>
    </row>
    <row r="51" spans="1:73">
      <c r="A51" s="1" t="s">
        <v>3</v>
      </c>
      <c r="AB51" s="36">
        <f>[64]Links!H51</f>
        <v>1171</v>
      </c>
      <c r="AC51" s="36"/>
      <c r="AD51" s="36"/>
      <c r="AE51" s="36"/>
      <c r="AF51" s="36">
        <f>[64]Links!L51</f>
        <v>1004</v>
      </c>
      <c r="AG51" s="36">
        <f>[64]Links!M51</f>
        <v>1004</v>
      </c>
      <c r="AH51" s="36">
        <f>[64]Links!N51</f>
        <v>788</v>
      </c>
      <c r="AI51" s="36">
        <f>[64]Links!O51</f>
        <v>690</v>
      </c>
      <c r="AJ51" s="36">
        <f>[64]Links!P51</f>
        <v>1101</v>
      </c>
      <c r="AK51" s="36">
        <f>[64]Links!Q51</f>
        <v>1554</v>
      </c>
      <c r="AL51" s="36">
        <f>[64]Links!R51</f>
        <v>1554</v>
      </c>
      <c r="AM51" s="36">
        <f>[64]Links!S51</f>
        <v>1248</v>
      </c>
      <c r="AN51" s="36">
        <f>[64]Links!T51</f>
        <v>1406</v>
      </c>
      <c r="AO51" s="36">
        <f>[64]Links!U51</f>
        <v>1551</v>
      </c>
      <c r="AP51" s="36"/>
      <c r="AU51" s="36"/>
      <c r="AV51" s="36"/>
      <c r="AW51" s="36"/>
      <c r="AX51" s="36"/>
      <c r="AY51" s="36"/>
      <c r="AZ51" s="36"/>
      <c r="BA51" s="36"/>
      <c r="BB51" s="36"/>
      <c r="BC51" s="36"/>
      <c r="BD51" s="36"/>
      <c r="BE51" s="36"/>
      <c r="BF51" s="36"/>
      <c r="BG51" s="36"/>
      <c r="BH51" s="36"/>
      <c r="BI51" s="36"/>
      <c r="BJ51" s="36"/>
      <c r="BK51" s="36"/>
      <c r="BL51" s="36"/>
      <c r="BM51" s="36"/>
      <c r="BN51" s="36"/>
      <c r="BO51" s="36"/>
      <c r="BP51" s="36"/>
      <c r="BQ51" s="36"/>
      <c r="BR51" s="36"/>
      <c r="BS51" s="36"/>
      <c r="BT51" s="36"/>
      <c r="BU51" s="36"/>
    </row>
    <row r="52" spans="1:73">
      <c r="A52" s="1" t="s">
        <v>2012</v>
      </c>
      <c r="AB52" s="36">
        <f>[64]Links!H52</f>
        <v>126</v>
      </c>
      <c r="AC52" s="36"/>
      <c r="AD52" s="36"/>
      <c r="AE52" s="36"/>
      <c r="AF52" s="36">
        <f>[64]Links!L52</f>
        <v>631</v>
      </c>
      <c r="AG52" s="36">
        <f>[64]Links!M52</f>
        <v>631</v>
      </c>
      <c r="AH52" s="36">
        <f>[64]Links!N52</f>
        <v>566</v>
      </c>
      <c r="AI52" s="36">
        <f>[64]Links!O52</f>
        <v>686</v>
      </c>
      <c r="AJ52" s="36">
        <f>[64]Links!P52</f>
        <v>671</v>
      </c>
      <c r="AK52" s="36">
        <f>[64]Links!Q52</f>
        <v>661</v>
      </c>
      <c r="AL52" s="36">
        <f>[64]Links!R52</f>
        <v>661</v>
      </c>
      <c r="AM52" s="36">
        <f>[64]Links!S52</f>
        <v>801</v>
      </c>
      <c r="AN52" s="36">
        <f>[64]Links!T52</f>
        <v>800</v>
      </c>
      <c r="AO52" s="36">
        <f>[64]Links!U52</f>
        <v>850</v>
      </c>
      <c r="AP52" s="36"/>
      <c r="AU52" s="36"/>
      <c r="AV52" s="36"/>
      <c r="AW52" s="36"/>
      <c r="AX52" s="36"/>
      <c r="AY52" s="36"/>
      <c r="AZ52" s="36"/>
      <c r="BA52" s="36"/>
      <c r="BB52" s="36"/>
      <c r="BC52" s="36"/>
      <c r="BD52" s="36"/>
      <c r="BE52" s="36"/>
      <c r="BF52" s="36"/>
      <c r="BG52" s="36"/>
      <c r="BH52" s="36"/>
      <c r="BI52" s="36"/>
      <c r="BJ52" s="36"/>
      <c r="BK52" s="36"/>
      <c r="BL52" s="36"/>
      <c r="BM52" s="36"/>
      <c r="BN52" s="36"/>
      <c r="BO52" s="36"/>
      <c r="BP52" s="36"/>
      <c r="BQ52" s="36"/>
      <c r="BR52" s="36"/>
      <c r="BS52" s="36"/>
      <c r="BT52" s="36"/>
      <c r="BU52" s="36"/>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C63B8-6A91-456F-AD8D-D12830345ABC}">
  <sheetPr codeName="Sheet13"/>
  <dimension ref="A1:BV330"/>
  <sheetViews>
    <sheetView zoomScale="90" zoomScaleNormal="90" workbookViewId="0">
      <pane xSplit="8" ySplit="2" topLeftCell="AI70" activePane="bottomRight" state="frozen"/>
      <selection pane="topRight" activeCell="I1" sqref="I1"/>
      <selection pane="bottomLeft" activeCell="A3" sqref="A3"/>
      <selection pane="bottomRight"/>
    </sheetView>
  </sheetViews>
  <sheetFormatPr defaultColWidth="9.140625" defaultRowHeight="12" outlineLevelRow="1"/>
  <cols>
    <col min="1" max="8" width="9.140625" style="1"/>
    <col min="9" max="64" width="9.7109375" style="1" customWidth="1"/>
    <col min="65" max="65" width="9.140625" style="1"/>
    <col min="66" max="66" width="9.140625" style="46"/>
    <col min="67" max="16384" width="9.140625" style="1"/>
  </cols>
  <sheetData>
    <row r="1" spans="1:74" s="2" customFormat="1">
      <c r="A1" s="2" t="s">
        <v>85</v>
      </c>
      <c r="N1" s="18" t="s">
        <v>153</v>
      </c>
      <c r="S1" s="18" t="s">
        <v>149</v>
      </c>
      <c r="X1" s="18" t="s">
        <v>145</v>
      </c>
      <c r="AC1" s="18" t="s">
        <v>141</v>
      </c>
      <c r="AH1" s="18" t="s">
        <v>79</v>
      </c>
      <c r="AM1" s="18" t="s">
        <v>90</v>
      </c>
      <c r="AR1" s="18" t="s">
        <v>699</v>
      </c>
      <c r="AW1" s="18" t="s">
        <v>1180</v>
      </c>
      <c r="BB1" s="18" t="s">
        <v>1198</v>
      </c>
      <c r="BG1" s="18" t="s">
        <v>1209</v>
      </c>
      <c r="BL1" s="18" t="s">
        <v>1210</v>
      </c>
      <c r="BN1" s="46"/>
    </row>
    <row r="2" spans="1:74" s="2" customFormat="1">
      <c r="A2" s="2" t="s">
        <v>1390</v>
      </c>
      <c r="I2" s="6" t="s">
        <v>198</v>
      </c>
      <c r="J2" s="6" t="s">
        <v>163</v>
      </c>
      <c r="K2" s="6" t="s">
        <v>164</v>
      </c>
      <c r="L2" s="6" t="s">
        <v>165</v>
      </c>
      <c r="M2" s="6" t="s">
        <v>166</v>
      </c>
      <c r="N2" s="6" t="s">
        <v>167</v>
      </c>
      <c r="O2" s="6" t="s">
        <v>154</v>
      </c>
      <c r="P2" s="6" t="s">
        <v>155</v>
      </c>
      <c r="Q2" s="6" t="s">
        <v>156</v>
      </c>
      <c r="R2" s="6" t="s">
        <v>157</v>
      </c>
      <c r="S2" s="6" t="s">
        <v>158</v>
      </c>
      <c r="T2" s="6" t="s">
        <v>133</v>
      </c>
      <c r="U2" s="6" t="s">
        <v>134</v>
      </c>
      <c r="V2" s="6" t="s">
        <v>135</v>
      </c>
      <c r="W2" s="6" t="s">
        <v>136</v>
      </c>
      <c r="X2" s="6" t="s">
        <v>137</v>
      </c>
      <c r="Y2" s="6" t="s">
        <v>74</v>
      </c>
      <c r="Z2" s="6" t="s">
        <v>75</v>
      </c>
      <c r="AA2" s="6" t="s">
        <v>76</v>
      </c>
      <c r="AB2" s="6" t="s">
        <v>77</v>
      </c>
      <c r="AC2" s="6" t="s">
        <v>78</v>
      </c>
      <c r="AD2" s="6" t="s">
        <v>10</v>
      </c>
      <c r="AE2" s="6" t="s">
        <v>11</v>
      </c>
      <c r="AF2" s="6" t="s">
        <v>12</v>
      </c>
      <c r="AG2" s="6" t="s">
        <v>13</v>
      </c>
      <c r="AH2" s="6" t="s">
        <v>14</v>
      </c>
      <c r="AI2" s="6" t="s">
        <v>91</v>
      </c>
      <c r="AJ2" s="6" t="s">
        <v>92</v>
      </c>
      <c r="AK2" s="6" t="s">
        <v>93</v>
      </c>
      <c r="AL2" s="6" t="s">
        <v>1450</v>
      </c>
      <c r="AM2" s="6" t="s">
        <v>1451</v>
      </c>
      <c r="AN2" s="6" t="s">
        <v>1452</v>
      </c>
      <c r="AO2" s="6" t="s">
        <v>1453</v>
      </c>
      <c r="AP2" s="6" t="s">
        <v>1454</v>
      </c>
      <c r="AQ2" s="6" t="s">
        <v>1455</v>
      </c>
      <c r="AR2" s="6" t="s">
        <v>1456</v>
      </c>
      <c r="AS2" s="6" t="s">
        <v>1457</v>
      </c>
      <c r="AT2" s="6" t="s">
        <v>1458</v>
      </c>
      <c r="AU2" s="6" t="s">
        <v>1459</v>
      </c>
      <c r="AV2" s="6" t="s">
        <v>1460</v>
      </c>
      <c r="AW2" s="6" t="s">
        <v>1461</v>
      </c>
      <c r="AX2" s="6" t="s">
        <v>1462</v>
      </c>
      <c r="AY2" s="6" t="s">
        <v>1463</v>
      </c>
      <c r="AZ2" s="6" t="s">
        <v>1464</v>
      </c>
      <c r="BA2" s="6" t="s">
        <v>1465</v>
      </c>
      <c r="BB2" s="6" t="s">
        <v>1466</v>
      </c>
      <c r="BC2" s="6" t="s">
        <v>1467</v>
      </c>
      <c r="BD2" s="6" t="s">
        <v>1468</v>
      </c>
      <c r="BE2" s="6" t="s">
        <v>1469</v>
      </c>
      <c r="BF2" s="6" t="s">
        <v>1470</v>
      </c>
      <c r="BG2" s="6" t="s">
        <v>1471</v>
      </c>
      <c r="BH2" s="6" t="s">
        <v>1472</v>
      </c>
      <c r="BI2" s="6" t="s">
        <v>1473</v>
      </c>
      <c r="BJ2" s="6" t="s">
        <v>1474</v>
      </c>
      <c r="BK2" s="6" t="s">
        <v>1475</v>
      </c>
      <c r="BL2" s="6" t="s">
        <v>1476</v>
      </c>
      <c r="BN2" s="241" t="s">
        <v>1477</v>
      </c>
      <c r="BP2" s="6" t="s">
        <v>14</v>
      </c>
      <c r="BQ2" s="6" t="s">
        <v>1451</v>
      </c>
      <c r="BR2" s="6" t="s">
        <v>1456</v>
      </c>
      <c r="BS2" s="6" t="s">
        <v>1461</v>
      </c>
      <c r="BT2" s="6" t="s">
        <v>1466</v>
      </c>
      <c r="BU2" s="6" t="s">
        <v>1471</v>
      </c>
      <c r="BV2" s="6" t="s">
        <v>1476</v>
      </c>
    </row>
    <row r="4" spans="1:74" s="2" customFormat="1">
      <c r="A4" s="4" t="s">
        <v>54</v>
      </c>
      <c r="T4" s="68"/>
      <c r="BN4" s="46"/>
    </row>
    <row r="6" spans="1:74">
      <c r="A6" s="1" t="s">
        <v>1401</v>
      </c>
      <c r="Y6" s="375">
        <f>'Consolidated KK'!Y12</f>
        <v>1356.6</v>
      </c>
      <c r="Z6" s="375">
        <f>'Consolidated KK'!Z12</f>
        <v>1367.7</v>
      </c>
      <c r="AA6" s="375">
        <f>'Consolidated KK'!AA12</f>
        <v>1449.6</v>
      </c>
      <c r="AB6" s="375">
        <f>'Consolidated KK'!AB12</f>
        <v>1516.8</v>
      </c>
      <c r="AC6" s="375">
        <f>'Consolidated KK'!AC12</f>
        <v>5690.7</v>
      </c>
      <c r="AD6" s="375">
        <f>'Consolidated KK'!AD12</f>
        <v>1362</v>
      </c>
      <c r="AE6" s="375">
        <f>'Consolidated KK'!AE12</f>
        <v>1446.6</v>
      </c>
      <c r="AF6" s="375">
        <f>'Consolidated KK'!AF12</f>
        <v>1536.9</v>
      </c>
      <c r="AG6" s="375">
        <f>'Consolidated KK'!AG12</f>
        <v>1566.5</v>
      </c>
      <c r="AH6" s="375">
        <f>'Consolidated KK'!AH12</f>
        <v>5912</v>
      </c>
      <c r="AI6" s="375">
        <f>'Consolidated KK'!AI12</f>
        <v>1429.7</v>
      </c>
      <c r="AJ6" s="375">
        <f>'Consolidated KK'!AJ12</f>
        <v>1504.1</v>
      </c>
      <c r="AK6" s="375">
        <f>'Consolidated KK'!AK12</f>
        <v>1577.8</v>
      </c>
      <c r="AL6" s="375">
        <f>'Consolidated KK'!AL12</f>
        <v>1602.86729063656</v>
      </c>
      <c r="AM6" s="375">
        <f>'Consolidated KK'!AM12</f>
        <v>6114.4672906365604</v>
      </c>
      <c r="AN6" s="375">
        <f>'Consolidated KK'!AN12</f>
        <v>1457.1519594052647</v>
      </c>
      <c r="AO6" s="375">
        <f>'Consolidated KK'!AO12</f>
        <v>1529.5241316600111</v>
      </c>
      <c r="AP6" s="375">
        <f>'Consolidated KK'!AP12</f>
        <v>1604.7762029339717</v>
      </c>
      <c r="AQ6" s="375">
        <f>'Consolidated KK'!AQ12</f>
        <v>1623.8440301450387</v>
      </c>
      <c r="AR6" s="375">
        <f>'Consolidated KK'!AR12</f>
        <v>6215.2963241442867</v>
      </c>
      <c r="AS6" s="375">
        <f>'Consolidated KK'!AS12</f>
        <v>1481.6053731742352</v>
      </c>
      <c r="AT6" s="375">
        <f>'Consolidated KK'!AT12</f>
        <v>1557.2589610231887</v>
      </c>
      <c r="AU6" s="375">
        <f>'Consolidated KK'!AU12</f>
        <v>1632.9422435543227</v>
      </c>
      <c r="AV6" s="375">
        <f>'Consolidated KK'!AV12</f>
        <v>1656.7783839405226</v>
      </c>
      <c r="AW6" s="375">
        <f>'Consolidated KK'!AW12</f>
        <v>6328.5849616922696</v>
      </c>
      <c r="AX6" s="375">
        <f>'Consolidated KK'!AX12</f>
        <v>1516.3594919844413</v>
      </c>
      <c r="AY6" s="375">
        <f>'Consolidated KK'!AY12</f>
        <v>1591.5660946679457</v>
      </c>
      <c r="AZ6" s="375">
        <f>'Consolidated KK'!AZ12</f>
        <v>1671.5490616347029</v>
      </c>
      <c r="BA6" s="375">
        <f>'Consolidated KK'!BA12</f>
        <v>1696.2512128281953</v>
      </c>
      <c r="BB6" s="375">
        <f>'Consolidated KK'!BB12</f>
        <v>6475.7258611152856</v>
      </c>
      <c r="BC6" s="375">
        <f>'Consolidated KK'!BC12</f>
        <v>1553.3715100386905</v>
      </c>
      <c r="BD6" s="375">
        <f>'Consolidated KK'!BD12</f>
        <v>1631.5094543671896</v>
      </c>
      <c r="BE6" s="375">
        <f>'Consolidated KK'!BE12</f>
        <v>1712.2712519320196</v>
      </c>
      <c r="BF6" s="375">
        <f>'Consolidated KK'!BF12</f>
        <v>1741.6600178121012</v>
      </c>
      <c r="BG6" s="375">
        <f>'Consolidated KK'!BG12</f>
        <v>6638.8122341500002</v>
      </c>
      <c r="BH6" s="375">
        <f>'Consolidated KK'!BH12</f>
        <v>1593.2391180954673</v>
      </c>
      <c r="BI6" s="375">
        <f>'Consolidated KK'!BI12</f>
        <v>1673.4415865110973</v>
      </c>
      <c r="BJ6" s="375">
        <f>'Consolidated KK'!BJ12</f>
        <v>1756.8104944560207</v>
      </c>
      <c r="BK6" s="375">
        <f>'Consolidated KK'!BK12</f>
        <v>1790.0450039989289</v>
      </c>
      <c r="BL6" s="375">
        <f>'Consolidated KK'!BL12</f>
        <v>6813.5362030615142</v>
      </c>
      <c r="BP6" s="375">
        <f t="shared" ref="BP6:BV6" si="0">INDEX($AD6:$BL6, MATCH(BP$2, $AD$2:$BL$2, 0))</f>
        <v>5912</v>
      </c>
      <c r="BQ6" s="375">
        <f t="shared" si="0"/>
        <v>6114.4672906365604</v>
      </c>
      <c r="BR6" s="375">
        <f t="shared" si="0"/>
        <v>6215.2963241442867</v>
      </c>
      <c r="BS6" s="375">
        <f t="shared" si="0"/>
        <v>6328.5849616922696</v>
      </c>
      <c r="BT6" s="375">
        <f t="shared" si="0"/>
        <v>6475.7258611152856</v>
      </c>
      <c r="BU6" s="375">
        <f t="shared" si="0"/>
        <v>6638.8122341500002</v>
      </c>
      <c r="BV6" s="375">
        <f t="shared" si="0"/>
        <v>6813.5362030615142</v>
      </c>
    </row>
    <row r="7" spans="1:74">
      <c r="A7" s="1" t="s">
        <v>28</v>
      </c>
      <c r="AD7" s="16">
        <f t="shared" ref="AD7:BL7" si="1">AD6/Y6-1</f>
        <v>3.9805395842549274E-3</v>
      </c>
      <c r="AE7" s="16">
        <f t="shared" si="1"/>
        <v>5.7688089493309835E-2</v>
      </c>
      <c r="AF7" s="16">
        <f t="shared" si="1"/>
        <v>6.0223509933774899E-2</v>
      </c>
      <c r="AG7" s="16">
        <f t="shared" si="1"/>
        <v>3.2766350210970518E-2</v>
      </c>
      <c r="AH7" s="16">
        <f t="shared" si="1"/>
        <v>3.8888010262357886E-2</v>
      </c>
      <c r="AI7" s="16">
        <f t="shared" si="1"/>
        <v>4.9706314243759264E-2</v>
      </c>
      <c r="AJ7" s="16">
        <f t="shared" si="1"/>
        <v>3.9748375501175159E-2</v>
      </c>
      <c r="AK7" s="16">
        <f t="shared" si="1"/>
        <v>2.6612011191359031E-2</v>
      </c>
      <c r="AL7" s="16">
        <f t="shared" si="1"/>
        <v>2.3215633984398298E-2</v>
      </c>
      <c r="AM7" s="16">
        <f t="shared" si="1"/>
        <v>3.4246835358010985E-2</v>
      </c>
      <c r="AN7" s="16">
        <f t="shared" si="1"/>
        <v>1.9201202633604808E-2</v>
      </c>
      <c r="AO7" s="16">
        <f t="shared" si="1"/>
        <v>1.6903218974809731E-2</v>
      </c>
      <c r="AP7" s="16">
        <f t="shared" si="1"/>
        <v>1.7097352601072258E-2</v>
      </c>
      <c r="AQ7" s="16">
        <f t="shared" si="1"/>
        <v>1.3087009530369675E-2</v>
      </c>
      <c r="AR7" s="16">
        <f t="shared" si="1"/>
        <v>1.6490240067541295E-2</v>
      </c>
      <c r="AS7" s="16">
        <f t="shared" si="1"/>
        <v>1.6781649718229152E-2</v>
      </c>
      <c r="AT7" s="16">
        <f t="shared" si="1"/>
        <v>1.813297926399926E-2</v>
      </c>
      <c r="AU7" s="16">
        <f t="shared" si="1"/>
        <v>1.7551382285489803E-2</v>
      </c>
      <c r="AV7" s="16">
        <f t="shared" si="1"/>
        <v>2.0281722372401889E-2</v>
      </c>
      <c r="AW7" s="16">
        <f t="shared" si="1"/>
        <v>1.8227391203842647E-2</v>
      </c>
      <c r="AX7" s="16">
        <f t="shared" si="1"/>
        <v>2.3457068555136074E-2</v>
      </c>
      <c r="AY7" s="16">
        <f t="shared" si="1"/>
        <v>2.2030461537505319E-2</v>
      </c>
      <c r="AZ7" s="16">
        <f t="shared" si="1"/>
        <v>2.3642488417929153E-2</v>
      </c>
      <c r="BA7" s="16">
        <f t="shared" si="1"/>
        <v>2.3825050634587397E-2</v>
      </c>
      <c r="BB7" s="16">
        <f t="shared" si="1"/>
        <v>2.3250205269215618E-2</v>
      </c>
      <c r="BC7" s="16">
        <f t="shared" si="1"/>
        <v>2.4408471902538142E-2</v>
      </c>
      <c r="BD7" s="16">
        <f t="shared" si="1"/>
        <v>2.5096890310155384E-2</v>
      </c>
      <c r="BE7" s="16">
        <f t="shared" si="1"/>
        <v>2.4361947388784388E-2</v>
      </c>
      <c r="BF7" s="16">
        <f t="shared" si="1"/>
        <v>2.6770094335375472E-2</v>
      </c>
      <c r="BG7" s="16">
        <f t="shared" si="1"/>
        <v>2.5184261429903598E-2</v>
      </c>
      <c r="BH7" s="16">
        <f t="shared" si="1"/>
        <v>2.5665211315600844E-2</v>
      </c>
      <c r="BI7" s="16">
        <f t="shared" si="1"/>
        <v>2.5701433743865021E-2</v>
      </c>
      <c r="BJ7" s="16">
        <f t="shared" si="1"/>
        <v>2.6011791340738721E-2</v>
      </c>
      <c r="BK7" s="16">
        <f t="shared" si="1"/>
        <v>2.7780959367494473E-2</v>
      </c>
      <c r="BL7" s="16">
        <f t="shared" si="1"/>
        <v>2.6318558613954268E-2</v>
      </c>
    </row>
    <row r="9" spans="1:74">
      <c r="A9" s="1" t="s">
        <v>1478</v>
      </c>
      <c r="Y9" s="376">
        <v>-654.41399999999999</v>
      </c>
      <c r="Z9" s="376">
        <f>-1322.86-Y9</f>
        <v>-668.44599999999991</v>
      </c>
      <c r="AA9" s="376">
        <f>-2066.256-Z9-Y9</f>
        <v>-743.39599999999996</v>
      </c>
      <c r="AB9" s="375">
        <f>AC9-SUM(Y9:AA9)</f>
        <v>-822.86000000000013</v>
      </c>
      <c r="AC9" s="376">
        <v>-2889.116</v>
      </c>
      <c r="AD9" s="376">
        <v>-676.61900000000003</v>
      </c>
      <c r="AE9" s="376">
        <f>-1431.508-AD9</f>
        <v>-754.88900000000001</v>
      </c>
      <c r="AF9" s="376">
        <f>-2262.005-AE9-AD9</f>
        <v>-830.49699999999996</v>
      </c>
      <c r="AG9" s="375">
        <f>AH9-SUM(AD9:AF9)</f>
        <v>-932.07999999999993</v>
      </c>
      <c r="AH9" s="376">
        <v>-3194.085</v>
      </c>
      <c r="AI9" s="376">
        <v>-713.73900000000003</v>
      </c>
      <c r="AJ9" s="376">
        <f>-1466.511-AI9</f>
        <v>-752.77199999999993</v>
      </c>
      <c r="AK9" s="376">
        <f>-2292.632-AJ9-AI9</f>
        <v>-826.12100000000009</v>
      </c>
      <c r="AL9" s="375">
        <f>AL13-AL6</f>
        <v>-933.68298699122101</v>
      </c>
      <c r="AM9" s="375">
        <f>AM13-AM6</f>
        <v>-3226.3149869912213</v>
      </c>
      <c r="AN9" s="375">
        <f t="shared" ref="AN9:AQ9" si="2">AN13-AN6</f>
        <v>-712.87212757245368</v>
      </c>
      <c r="AO9" s="375">
        <f t="shared" si="2"/>
        <v>-761.67245962495531</v>
      </c>
      <c r="AP9" s="375">
        <f t="shared" si="2"/>
        <v>-832.22160101348061</v>
      </c>
      <c r="AQ9" s="375">
        <f t="shared" si="2"/>
        <v>-937.78288498959398</v>
      </c>
      <c r="AR9" s="375">
        <f>AR13-AR6</f>
        <v>-3244.5490732004841</v>
      </c>
      <c r="AS9" s="375">
        <f t="shared" ref="AS9:BL9" si="3">AS13-AS6</f>
        <v>-724.83529791126341</v>
      </c>
      <c r="AT9" s="375">
        <f t="shared" si="3"/>
        <v>-775.48385054129403</v>
      </c>
      <c r="AU9" s="375">
        <f t="shared" si="3"/>
        <v>-846.8282404791106</v>
      </c>
      <c r="AV9" s="375">
        <f t="shared" si="3"/>
        <v>-956.80273710854306</v>
      </c>
      <c r="AW9" s="375">
        <f t="shared" si="3"/>
        <v>-3303.9501260402112</v>
      </c>
      <c r="AX9" s="375">
        <f t="shared" si="3"/>
        <v>-742.97507880453884</v>
      </c>
      <c r="AY9" s="375">
        <f t="shared" si="3"/>
        <v>-793.76179225460157</v>
      </c>
      <c r="AZ9" s="375">
        <f t="shared" si="3"/>
        <v>-868.1030291428392</v>
      </c>
      <c r="BA9" s="375">
        <f t="shared" si="3"/>
        <v>-980.87079917708695</v>
      </c>
      <c r="BB9" s="375">
        <f t="shared" si="3"/>
        <v>-3385.7106993790671</v>
      </c>
      <c r="BC9" s="375">
        <f t="shared" si="3"/>
        <v>-763.44002240488339</v>
      </c>
      <c r="BD9" s="375">
        <f t="shared" si="3"/>
        <v>-816.13000906875845</v>
      </c>
      <c r="BE9" s="375">
        <f t="shared" si="3"/>
        <v>-891.82011634475953</v>
      </c>
      <c r="BF9" s="375">
        <f t="shared" si="3"/>
        <v>-1009.7412930285908</v>
      </c>
      <c r="BG9" s="375">
        <f t="shared" si="3"/>
        <v>-3481.1314408469916</v>
      </c>
      <c r="BH9" s="375">
        <f t="shared" si="3"/>
        <v>-785.42373058383487</v>
      </c>
      <c r="BI9" s="375">
        <f t="shared" si="3"/>
        <v>-839.61588280298577</v>
      </c>
      <c r="BJ9" s="375">
        <f t="shared" si="3"/>
        <v>-917.65317086627681</v>
      </c>
      <c r="BK9" s="375">
        <f t="shared" si="3"/>
        <v>-1040.4779423678979</v>
      </c>
      <c r="BL9" s="375">
        <f t="shared" si="3"/>
        <v>-3583.1707266209951</v>
      </c>
      <c r="BP9" s="375">
        <f t="shared" ref="BP9:BV9" si="4">INDEX($AD9:$BL9, MATCH(BP$2, $AD$2:$BL$2, 0))</f>
        <v>-3194.085</v>
      </c>
      <c r="BQ9" s="375">
        <f t="shared" si="4"/>
        <v>-3226.3149869912213</v>
      </c>
      <c r="BR9" s="375">
        <f t="shared" si="4"/>
        <v>-3244.5490732004841</v>
      </c>
      <c r="BS9" s="375">
        <f t="shared" si="4"/>
        <v>-3303.9501260402112</v>
      </c>
      <c r="BT9" s="375">
        <f t="shared" si="4"/>
        <v>-3385.7106993790671</v>
      </c>
      <c r="BU9" s="375">
        <f t="shared" si="4"/>
        <v>-3481.1314408469916</v>
      </c>
      <c r="BV9" s="375">
        <f t="shared" si="4"/>
        <v>-3583.1707266209951</v>
      </c>
    </row>
    <row r="10" spans="1:74">
      <c r="A10" s="1" t="s">
        <v>1479</v>
      </c>
      <c r="Y10" s="16"/>
      <c r="Z10" s="16"/>
      <c r="AA10" s="16"/>
      <c r="AB10" s="16"/>
      <c r="AC10" s="16"/>
      <c r="AD10" s="16">
        <f>-AD9/'Consolidated KK'!AD63</f>
        <v>0.66322191727112334</v>
      </c>
      <c r="AE10" s="16">
        <f>-AE9/'Consolidated KK'!AE63</f>
        <v>0.69198734989458244</v>
      </c>
      <c r="AF10" s="16">
        <f>-AF9/'Consolidated KK'!AF63</f>
        <v>0.67317581259625514</v>
      </c>
      <c r="AG10" s="16">
        <f>-AG9/'Consolidated KK'!AG63</f>
        <v>0.67293336221211453</v>
      </c>
      <c r="AH10" s="16">
        <f>-AH9/'Consolidated KK'!AH63</f>
        <v>0.67529651789678435</v>
      </c>
      <c r="AI10" s="16">
        <f>-AI9/'Consolidated KK'!AI63</f>
        <v>0.65546790338874095</v>
      </c>
      <c r="AJ10" s="16">
        <f>-AJ9/'Consolidated KK'!AJ63</f>
        <v>0.65813254065396043</v>
      </c>
      <c r="AK10" s="16">
        <f>-AK9/'Consolidated KK'!AK63</f>
        <v>0.65311170843544952</v>
      </c>
      <c r="AL10" s="16"/>
    </row>
    <row r="11" spans="1:74">
      <c r="A11" s="1" t="s">
        <v>1115</v>
      </c>
      <c r="Y11" s="16">
        <f t="shared" ref="Y11:AC11" si="5">-Y9/Y6</f>
        <v>0.48239274657231318</v>
      </c>
      <c r="Z11" s="16">
        <f t="shared" si="5"/>
        <v>0.48873729619068501</v>
      </c>
      <c r="AA11" s="16">
        <f t="shared" si="5"/>
        <v>0.51282836644591612</v>
      </c>
      <c r="AB11" s="16">
        <f t="shared" si="5"/>
        <v>0.54249736286919836</v>
      </c>
      <c r="AC11" s="16">
        <f t="shared" si="5"/>
        <v>0.50769079375120818</v>
      </c>
      <c r="AD11" s="16">
        <f t="shared" ref="AD11:AK11" si="6">-AD9/AD6</f>
        <v>0.49678340675477239</v>
      </c>
      <c r="AE11" s="16">
        <f t="shared" si="6"/>
        <v>0.52183672058620212</v>
      </c>
      <c r="AF11" s="16">
        <f t="shared" si="6"/>
        <v>0.54037152710000647</v>
      </c>
      <c r="AG11" s="16">
        <f t="shared" si="6"/>
        <v>0.5950079795722949</v>
      </c>
      <c r="AH11" s="16">
        <f t="shared" si="6"/>
        <v>0.5402714817320704</v>
      </c>
      <c r="AI11" s="16">
        <f t="shared" si="6"/>
        <v>0.49922291389802059</v>
      </c>
      <c r="AJ11" s="16">
        <f t="shared" si="6"/>
        <v>0.50048002127518121</v>
      </c>
      <c r="AK11" s="16">
        <f t="shared" si="6"/>
        <v>0.52359044238813546</v>
      </c>
      <c r="AL11" s="16"/>
    </row>
    <row r="13" spans="1:74">
      <c r="A13" s="1" t="s">
        <v>57</v>
      </c>
      <c r="Y13" s="375">
        <f t="shared" ref="Y13:AC13" si="7">Y6+Y9</f>
        <v>702.18599999999992</v>
      </c>
      <c r="Z13" s="375">
        <f t="shared" si="7"/>
        <v>699.25400000000013</v>
      </c>
      <c r="AA13" s="375">
        <f t="shared" si="7"/>
        <v>706.20399999999995</v>
      </c>
      <c r="AB13" s="375">
        <f t="shared" si="7"/>
        <v>693.93999999999983</v>
      </c>
      <c r="AC13" s="375">
        <f t="shared" si="7"/>
        <v>2801.5839999999998</v>
      </c>
      <c r="AD13" s="375">
        <f t="shared" ref="AD13:AK13" si="8">AD6+AD9</f>
        <v>685.38099999999997</v>
      </c>
      <c r="AE13" s="375">
        <f t="shared" si="8"/>
        <v>691.7109999999999</v>
      </c>
      <c r="AF13" s="375">
        <f t="shared" si="8"/>
        <v>706.40300000000013</v>
      </c>
      <c r="AG13" s="375">
        <f t="shared" si="8"/>
        <v>634.42000000000007</v>
      </c>
      <c r="AH13" s="375">
        <f t="shared" si="8"/>
        <v>2717.915</v>
      </c>
      <c r="AI13" s="375">
        <f t="shared" si="8"/>
        <v>715.96100000000001</v>
      </c>
      <c r="AJ13" s="375">
        <f t="shared" si="8"/>
        <v>751.32799999999997</v>
      </c>
      <c r="AK13" s="375">
        <f t="shared" si="8"/>
        <v>751.67899999999986</v>
      </c>
      <c r="AL13" s="375">
        <f>AL14*AL6</f>
        <v>669.18430364533901</v>
      </c>
      <c r="AM13" s="375">
        <f>SUM(AI13:AL13)</f>
        <v>2888.1523036453391</v>
      </c>
      <c r="AN13" s="375">
        <f t="shared" ref="AN13:AQ13" si="9">AN14*AN6</f>
        <v>744.27983183281106</v>
      </c>
      <c r="AO13" s="375">
        <f t="shared" si="9"/>
        <v>767.8516720350558</v>
      </c>
      <c r="AP13" s="375">
        <f t="shared" si="9"/>
        <v>772.55460192049111</v>
      </c>
      <c r="AQ13" s="375">
        <f t="shared" si="9"/>
        <v>686.06114515544471</v>
      </c>
      <c r="AR13" s="375">
        <f>SUM(AN13:AQ13)</f>
        <v>2970.7472509438026</v>
      </c>
      <c r="AS13" s="375">
        <f t="shared" ref="AS13:AV13" si="10">AS14*AS6</f>
        <v>756.77007526297177</v>
      </c>
      <c r="AT13" s="375">
        <f t="shared" si="10"/>
        <v>781.77511048189467</v>
      </c>
      <c r="AU13" s="375">
        <f t="shared" si="10"/>
        <v>786.11400307521205</v>
      </c>
      <c r="AV13" s="375">
        <f t="shared" si="10"/>
        <v>699.97564683197959</v>
      </c>
      <c r="AW13" s="375">
        <f>SUM(AS13:AV13)</f>
        <v>3024.6348356520584</v>
      </c>
      <c r="AX13" s="375">
        <f t="shared" ref="AX13:BA13" si="11">AX14*AX6</f>
        <v>773.38441317990248</v>
      </c>
      <c r="AY13" s="375">
        <f t="shared" si="11"/>
        <v>797.80430241334409</v>
      </c>
      <c r="AZ13" s="375">
        <f t="shared" si="11"/>
        <v>803.44603249186366</v>
      </c>
      <c r="BA13" s="375">
        <f t="shared" si="11"/>
        <v>715.38041365110837</v>
      </c>
      <c r="BB13" s="375">
        <f>SUM(AX13:BA13)</f>
        <v>3090.0151617362185</v>
      </c>
      <c r="BC13" s="375">
        <f t="shared" ref="BC13:BF13" si="12">BC14*BC6</f>
        <v>789.93148763380714</v>
      </c>
      <c r="BD13" s="375">
        <f t="shared" si="12"/>
        <v>815.37944529843116</v>
      </c>
      <c r="BE13" s="375">
        <f t="shared" si="12"/>
        <v>820.45113558726007</v>
      </c>
      <c r="BF13" s="375">
        <f t="shared" si="12"/>
        <v>731.91872478351036</v>
      </c>
      <c r="BG13" s="375">
        <f>SUM(BC13:BF13)</f>
        <v>3157.6807933030086</v>
      </c>
      <c r="BH13" s="375">
        <f t="shared" ref="BH13:BK13" si="13">BH14*BH6</f>
        <v>807.81538751163248</v>
      </c>
      <c r="BI13" s="375">
        <f t="shared" si="13"/>
        <v>833.82570370811152</v>
      </c>
      <c r="BJ13" s="375">
        <f t="shared" si="13"/>
        <v>839.1573235897439</v>
      </c>
      <c r="BK13" s="375">
        <f t="shared" si="13"/>
        <v>749.56706163103104</v>
      </c>
      <c r="BL13" s="375">
        <f>SUM(BH13:BK13)</f>
        <v>3230.3654764405192</v>
      </c>
      <c r="BP13" s="375">
        <f t="shared" ref="BP13:BV13" si="14">INDEX($AD13:$BL13, MATCH(BP$2, $AD$2:$BL$2, 0))</f>
        <v>2717.915</v>
      </c>
      <c r="BQ13" s="375">
        <f t="shared" si="14"/>
        <v>2888.1523036453391</v>
      </c>
      <c r="BR13" s="375">
        <f t="shared" si="14"/>
        <v>2970.7472509438026</v>
      </c>
      <c r="BS13" s="375">
        <f t="shared" si="14"/>
        <v>3024.6348356520584</v>
      </c>
      <c r="BT13" s="375">
        <f t="shared" si="14"/>
        <v>3090.0151617362185</v>
      </c>
      <c r="BU13" s="375">
        <f t="shared" si="14"/>
        <v>3157.6807933030086</v>
      </c>
      <c r="BV13" s="375">
        <f t="shared" si="14"/>
        <v>3230.3654764405192</v>
      </c>
    </row>
    <row r="14" spans="1:74">
      <c r="A14" s="1" t="s">
        <v>709</v>
      </c>
      <c r="Y14" s="16">
        <f t="shared" ref="Y14:AC14" si="15">Y13/Y6</f>
        <v>0.51760725342768688</v>
      </c>
      <c r="Z14" s="16">
        <f t="shared" si="15"/>
        <v>0.51126270380931493</v>
      </c>
      <c r="AA14" s="16">
        <f t="shared" si="15"/>
        <v>0.48717163355408388</v>
      </c>
      <c r="AB14" s="16">
        <f t="shared" si="15"/>
        <v>0.45750263713080158</v>
      </c>
      <c r="AC14" s="16">
        <f t="shared" si="15"/>
        <v>0.49230920624879188</v>
      </c>
      <c r="AD14" s="16">
        <f t="shared" ref="AD14:AK14" si="16">AD13/AD6</f>
        <v>0.50321659324522761</v>
      </c>
      <c r="AE14" s="16">
        <f t="shared" si="16"/>
        <v>0.47816327941379783</v>
      </c>
      <c r="AF14" s="16">
        <f t="shared" si="16"/>
        <v>0.45962847289999353</v>
      </c>
      <c r="AG14" s="16">
        <f t="shared" si="16"/>
        <v>0.4049920204277051</v>
      </c>
      <c r="AH14" s="16">
        <f t="shared" si="16"/>
        <v>0.45972851826792965</v>
      </c>
      <c r="AI14" s="16">
        <f t="shared" si="16"/>
        <v>0.50077708610197946</v>
      </c>
      <c r="AJ14" s="16">
        <f t="shared" si="16"/>
        <v>0.49951997872481885</v>
      </c>
      <c r="AK14" s="16">
        <f t="shared" si="16"/>
        <v>0.47640955761186454</v>
      </c>
      <c r="AL14" s="16">
        <f>AG14+AL15</f>
        <v>0.41749202042770511</v>
      </c>
      <c r="AM14" s="16">
        <f>AM13/AM6</f>
        <v>0.47234733074263635</v>
      </c>
      <c r="AN14" s="16">
        <f t="shared" ref="AN14:AQ14" si="17">AI14+AN15</f>
        <v>0.51077708610197947</v>
      </c>
      <c r="AO14" s="16">
        <f t="shared" si="17"/>
        <v>0.50201997872481885</v>
      </c>
      <c r="AP14" s="16">
        <f t="shared" si="17"/>
        <v>0.48140955761186455</v>
      </c>
      <c r="AQ14" s="16">
        <f t="shared" si="17"/>
        <v>0.42249202042770512</v>
      </c>
      <c r="AR14" s="16">
        <f>AR13/AR6</f>
        <v>0.4779735504168115</v>
      </c>
      <c r="AS14" s="16">
        <f t="shared" ref="AS14:AV14" si="18">AN14+AS15</f>
        <v>0.51077708610197947</v>
      </c>
      <c r="AT14" s="16">
        <f t="shared" si="18"/>
        <v>0.50201997872481885</v>
      </c>
      <c r="AU14" s="16">
        <f t="shared" si="18"/>
        <v>0.48140955761186455</v>
      </c>
      <c r="AV14" s="16">
        <f t="shared" si="18"/>
        <v>0.42249202042770512</v>
      </c>
      <c r="AW14" s="16">
        <f>AW13/AW6</f>
        <v>0.47793224772371046</v>
      </c>
      <c r="AX14" s="16">
        <f t="shared" ref="AX14:BA14" si="19">AS14+AX15</f>
        <v>0.51002708610197944</v>
      </c>
      <c r="AY14" s="16">
        <f t="shared" si="19"/>
        <v>0.50126997872481882</v>
      </c>
      <c r="AZ14" s="16">
        <f t="shared" si="19"/>
        <v>0.48065955761186457</v>
      </c>
      <c r="BA14" s="16">
        <f t="shared" si="19"/>
        <v>0.42174202042770514</v>
      </c>
      <c r="BB14" s="16">
        <f>BB13/BB6</f>
        <v>0.47716892716086023</v>
      </c>
      <c r="BC14" s="16">
        <f t="shared" ref="BC14:BF14" si="20">AX14+BC15</f>
        <v>0.5085270861019795</v>
      </c>
      <c r="BD14" s="16">
        <f t="shared" si="20"/>
        <v>0.49976997872481882</v>
      </c>
      <c r="BE14" s="16">
        <f t="shared" si="20"/>
        <v>0.47915955761186457</v>
      </c>
      <c r="BF14" s="16">
        <f t="shared" si="20"/>
        <v>0.42024202042770514</v>
      </c>
      <c r="BG14" s="16">
        <f>BG13/BG6</f>
        <v>0.47563941890989508</v>
      </c>
      <c r="BH14" s="16">
        <f t="shared" ref="BH14:BK14" si="21">BC14+BH15</f>
        <v>0.50702708610197955</v>
      </c>
      <c r="BI14" s="16">
        <f t="shared" si="21"/>
        <v>0.49826997872481882</v>
      </c>
      <c r="BJ14" s="16">
        <f t="shared" si="21"/>
        <v>0.47765955761186457</v>
      </c>
      <c r="BK14" s="16">
        <f t="shared" si="21"/>
        <v>0.41874202042770514</v>
      </c>
      <c r="BL14" s="16">
        <f>BL13/BL6</f>
        <v>0.47410997463975091</v>
      </c>
    </row>
    <row r="15" spans="1:74">
      <c r="A15" s="1" t="s">
        <v>1480</v>
      </c>
      <c r="AI15" s="85">
        <f>AI14-AD14</f>
        <v>-2.439507143248143E-3</v>
      </c>
      <c r="AJ15" s="85">
        <f>AJ14-AE14</f>
        <v>2.1356699311021021E-2</v>
      </c>
      <c r="AK15" s="85">
        <f>AK14-AF14</f>
        <v>1.6781084711871008E-2</v>
      </c>
      <c r="AL15" s="371">
        <v>1.2500000000000001E-2</v>
      </c>
      <c r="AN15" s="371">
        <v>0.01</v>
      </c>
      <c r="AO15" s="371">
        <v>2.5000000000000001E-3</v>
      </c>
      <c r="AP15" s="371">
        <v>5.0000000000000001E-3</v>
      </c>
      <c r="AQ15" s="371">
        <v>5.0000000000000001E-3</v>
      </c>
      <c r="AS15" s="371">
        <v>0</v>
      </c>
      <c r="AT15" s="371">
        <v>0</v>
      </c>
      <c r="AU15" s="371">
        <v>0</v>
      </c>
      <c r="AV15" s="371">
        <v>0</v>
      </c>
      <c r="AX15" s="371">
        <v>-7.5000000000000002E-4</v>
      </c>
      <c r="AY15" s="371">
        <v>-7.5000000000000002E-4</v>
      </c>
      <c r="AZ15" s="371">
        <v>-7.5000000000000002E-4</v>
      </c>
      <c r="BA15" s="371">
        <v>-7.5000000000000002E-4</v>
      </c>
      <c r="BC15" s="371">
        <v>-1.5E-3</v>
      </c>
      <c r="BD15" s="371">
        <v>-1.5E-3</v>
      </c>
      <c r="BE15" s="371">
        <v>-1.5E-3</v>
      </c>
      <c r="BF15" s="371">
        <v>-1.5E-3</v>
      </c>
      <c r="BH15" s="371">
        <v>-1.5E-3</v>
      </c>
      <c r="BI15" s="371">
        <v>-1.5E-3</v>
      </c>
      <c r="BJ15" s="371">
        <v>-1.5E-3</v>
      </c>
      <c r="BK15" s="371">
        <v>-1.5E-3</v>
      </c>
    </row>
    <row r="17" spans="1:74">
      <c r="A17" s="1" t="s">
        <v>1481</v>
      </c>
      <c r="Y17" s="376"/>
      <c r="Z17" s="376"/>
      <c r="AA17" s="376"/>
      <c r="AB17" s="375"/>
      <c r="AC17" s="376"/>
      <c r="AD17" s="376">
        <v>-448.596</v>
      </c>
      <c r="AE17" s="376">
        <f>-902.33-AD17</f>
        <v>-453.73400000000004</v>
      </c>
      <c r="AF17" s="376">
        <f>-1411.439-AE17-AD17</f>
        <v>-509.10900000000004</v>
      </c>
      <c r="AG17" s="375">
        <f>AH17-SUM(AD17:AF17)</f>
        <v>-553.14099999999985</v>
      </c>
      <c r="AH17" s="376">
        <v>-1964.58</v>
      </c>
      <c r="AI17" s="376">
        <v>-478.51600000000002</v>
      </c>
      <c r="AJ17" s="376">
        <f>-970.792-AI17</f>
        <v>-492.27600000000001</v>
      </c>
      <c r="AK17" s="376">
        <f>-1506.28-AJ17-AI17</f>
        <v>-535.48799999999983</v>
      </c>
      <c r="AL17" s="375">
        <f>AL27-AL13</f>
        <v>-586.89109978372539</v>
      </c>
      <c r="AM17" s="375">
        <f>AM27-AM13</f>
        <v>-2093.1710997837254</v>
      </c>
      <c r="AN17" s="375">
        <f>AN27-AN13</f>
        <v>-489.89045298602309</v>
      </c>
      <c r="AO17" s="375">
        <f t="shared" ref="AO17:AR17" si="22">AO27-AO13</f>
        <v>-508.52854876109427</v>
      </c>
      <c r="AP17" s="375">
        <f t="shared" si="22"/>
        <v>-556.74673341082666</v>
      </c>
      <c r="AQ17" s="375">
        <f t="shared" si="22"/>
        <v>-582.82659983463009</v>
      </c>
      <c r="AR17" s="375">
        <f t="shared" si="22"/>
        <v>-2137.9923349925739</v>
      </c>
      <c r="AS17" s="375">
        <f>AS27-AS13</f>
        <v>-497.87359525109775</v>
      </c>
      <c r="AT17" s="375">
        <f t="shared" ref="AT17:AW17" si="23">AT27-AT13</f>
        <v>-521.35527697264399</v>
      </c>
      <c r="AU17" s="375">
        <f t="shared" si="23"/>
        <v>-566.14507566187604</v>
      </c>
      <c r="AV17" s="375">
        <f t="shared" si="23"/>
        <v>-579.78830128369441</v>
      </c>
      <c r="AW17" s="375">
        <f t="shared" si="23"/>
        <v>-2165.1622491693129</v>
      </c>
      <c r="AX17" s="375">
        <f>AX27-AX13</f>
        <v>-504.0210353617345</v>
      </c>
      <c r="AY17" s="375">
        <f t="shared" ref="AY17:BB17" si="24">AY27-AY13</f>
        <v>-520.12844267859236</v>
      </c>
      <c r="AZ17" s="375">
        <f t="shared" si="24"/>
        <v>-569.86793155735393</v>
      </c>
      <c r="BA17" s="375">
        <f t="shared" si="24"/>
        <v>-581.03576314657357</v>
      </c>
      <c r="BB17" s="375">
        <f t="shared" si="24"/>
        <v>-2175.0531727442544</v>
      </c>
      <c r="BC17" s="375">
        <f>BC27-BC13</f>
        <v>-503.95784449767524</v>
      </c>
      <c r="BD17" s="375">
        <f t="shared" ref="BD17:BG17" si="25">BD27-BD13</f>
        <v>-521.35871090933801</v>
      </c>
      <c r="BE17" s="375">
        <f t="shared" si="25"/>
        <v>-567.73159457200472</v>
      </c>
      <c r="BF17" s="375">
        <f t="shared" si="25"/>
        <v>-577.5381894734312</v>
      </c>
      <c r="BG17" s="375">
        <f t="shared" si="25"/>
        <v>-2170.586339452449</v>
      </c>
      <c r="BH17" s="375">
        <f>BH27-BH13</f>
        <v>-500.48553276764062</v>
      </c>
      <c r="BI17" s="375">
        <f t="shared" ref="BI17:BL17" si="26">BI27-BI13</f>
        <v>-518.14740139401329</v>
      </c>
      <c r="BJ17" s="375">
        <f t="shared" si="26"/>
        <v>-563.48234435507811</v>
      </c>
      <c r="BK17" s="375">
        <f t="shared" si="26"/>
        <v>-572.21238944784648</v>
      </c>
      <c r="BL17" s="375">
        <f t="shared" si="26"/>
        <v>-2154.3276679645787</v>
      </c>
      <c r="BP17" s="375">
        <f t="shared" ref="BP17:BV17" si="27">INDEX($AD17:$BL17, MATCH(BP$2, $AD$2:$BL$2, 0))</f>
        <v>-1964.58</v>
      </c>
      <c r="BQ17" s="375">
        <f t="shared" si="27"/>
        <v>-2093.1710997837254</v>
      </c>
      <c r="BR17" s="375">
        <f t="shared" si="27"/>
        <v>-2137.9923349925739</v>
      </c>
      <c r="BS17" s="375">
        <f t="shared" si="27"/>
        <v>-2165.1622491693129</v>
      </c>
      <c r="BT17" s="375">
        <f t="shared" si="27"/>
        <v>-2175.0531727442544</v>
      </c>
      <c r="BU17" s="375">
        <f t="shared" si="27"/>
        <v>-2170.586339452449</v>
      </c>
      <c r="BV17" s="375">
        <f t="shared" si="27"/>
        <v>-2154.3276679645787</v>
      </c>
    </row>
    <row r="18" spans="1:74">
      <c r="A18" s="1" t="s">
        <v>1115</v>
      </c>
      <c r="Y18" s="16"/>
      <c r="Z18" s="16"/>
      <c r="AA18" s="16"/>
      <c r="AB18" s="16"/>
      <c r="AC18" s="16"/>
      <c r="AD18" s="16">
        <f t="shared" ref="AD18:AR18" si="28">-AD17/AD6</f>
        <v>0.32936563876651981</v>
      </c>
      <c r="AE18" s="16">
        <f t="shared" si="28"/>
        <v>0.3136554679939168</v>
      </c>
      <c r="AF18" s="16">
        <f t="shared" si="28"/>
        <v>0.33125707593207104</v>
      </c>
      <c r="AG18" s="16">
        <f t="shared" si="28"/>
        <v>0.35310628790296833</v>
      </c>
      <c r="AH18" s="16">
        <f t="shared" si="28"/>
        <v>0.3323037889039242</v>
      </c>
      <c r="AI18" s="16">
        <f t="shared" si="28"/>
        <v>0.33469678953626636</v>
      </c>
      <c r="AJ18" s="16">
        <f t="shared" si="28"/>
        <v>0.3272894089488731</v>
      </c>
      <c r="AK18" s="16">
        <f t="shared" si="28"/>
        <v>0.33938902268982118</v>
      </c>
      <c r="AL18" s="16">
        <f t="shared" si="28"/>
        <v>0.36615077443538602</v>
      </c>
      <c r="AM18" s="16">
        <f t="shared" si="28"/>
        <v>0.34233090149801276</v>
      </c>
      <c r="AN18" s="16">
        <f t="shared" si="28"/>
        <v>0.33619723037394911</v>
      </c>
      <c r="AO18" s="16">
        <f t="shared" si="28"/>
        <v>0.3324750085565385</v>
      </c>
      <c r="AP18" s="16">
        <f t="shared" si="28"/>
        <v>0.34693107511997046</v>
      </c>
      <c r="AQ18" s="16">
        <f t="shared" si="28"/>
        <v>0.35891784495003076</v>
      </c>
      <c r="AR18" s="16">
        <f t="shared" si="28"/>
        <v>0.34398880173857677</v>
      </c>
      <c r="AS18" s="16">
        <f>-AS17/AS6</f>
        <v>0.33603657509991247</v>
      </c>
      <c r="AT18" s="16">
        <f t="shared" ref="AT18:AW18" si="29">-AT17/AT6</f>
        <v>0.33479035280688979</v>
      </c>
      <c r="AU18" s="16">
        <f t="shared" si="29"/>
        <v>0.34670244945686729</v>
      </c>
      <c r="AV18" s="16">
        <f t="shared" si="29"/>
        <v>0.34994921885974367</v>
      </c>
      <c r="AW18" s="16">
        <f t="shared" si="29"/>
        <v>0.34212422876129744</v>
      </c>
      <c r="AX18" s="16">
        <f>-AX17/AX6</f>
        <v>0.33238888141368661</v>
      </c>
      <c r="AY18" s="16">
        <f t="shared" ref="AY18:BB18" si="30">-AY17/AY6</f>
        <v>0.32680291721539134</v>
      </c>
      <c r="AZ18" s="16">
        <f t="shared" si="30"/>
        <v>0.34092204927568664</v>
      </c>
      <c r="BA18" s="16">
        <f t="shared" si="30"/>
        <v>0.34254110402538812</v>
      </c>
      <c r="BB18" s="16">
        <f t="shared" si="30"/>
        <v>0.33587789529584172</v>
      </c>
      <c r="BC18" s="16">
        <f>-BC17/BC6</f>
        <v>0.32442840701071113</v>
      </c>
      <c r="BD18" s="16">
        <f t="shared" ref="BD18:BG18" si="31">-BD17/BD6</f>
        <v>0.31955604640462004</v>
      </c>
      <c r="BE18" s="16">
        <f t="shared" si="31"/>
        <v>0.33156638817092327</v>
      </c>
      <c r="BF18" s="16">
        <f t="shared" si="31"/>
        <v>0.33160214023799156</v>
      </c>
      <c r="BG18" s="16">
        <f t="shared" si="31"/>
        <v>0.32695401871542157</v>
      </c>
      <c r="BH18" s="16">
        <f>-BH17/BH6</f>
        <v>0.31413083389887708</v>
      </c>
      <c r="BI18" s="16">
        <f t="shared" ref="BI18:BL18" si="32">-BI17/BI6</f>
        <v>0.30962981054766398</v>
      </c>
      <c r="BJ18" s="16">
        <f t="shared" si="32"/>
        <v>0.32074167710932017</v>
      </c>
      <c r="BK18" s="16">
        <f t="shared" si="32"/>
        <v>0.31966368899638509</v>
      </c>
      <c r="BL18" s="16">
        <f t="shared" si="32"/>
        <v>0.3161834917669592</v>
      </c>
    </row>
    <row r="19" spans="1:74">
      <c r="A19" s="1" t="s">
        <v>1482</v>
      </c>
      <c r="AI19" s="85">
        <f t="shared" ref="AI19:AR19" si="33">AI18-AD18</f>
        <v>5.331150769746551E-3</v>
      </c>
      <c r="AJ19" s="85">
        <f t="shared" si="33"/>
        <v>1.3633940954956292E-2</v>
      </c>
      <c r="AK19" s="85">
        <f t="shared" si="33"/>
        <v>8.1319467577501414E-3</v>
      </c>
      <c r="AL19" s="85">
        <f t="shared" si="33"/>
        <v>1.3044486532417687E-2</v>
      </c>
      <c r="AM19" s="85">
        <f t="shared" si="33"/>
        <v>1.0027112594088561E-2</v>
      </c>
      <c r="AN19" s="85">
        <f t="shared" si="33"/>
        <v>1.5004408376827483E-3</v>
      </c>
      <c r="AO19" s="85">
        <f t="shared" si="33"/>
        <v>5.1855996076654032E-3</v>
      </c>
      <c r="AP19" s="85">
        <f t="shared" si="33"/>
        <v>7.5420524301492708E-3</v>
      </c>
      <c r="AQ19" s="85">
        <f t="shared" si="33"/>
        <v>-7.232929485355255E-3</v>
      </c>
      <c r="AR19" s="85">
        <f t="shared" si="33"/>
        <v>1.6579002405640031E-3</v>
      </c>
      <c r="AS19" s="85">
        <f>AS18-AN18</f>
        <v>-1.6065527403663626E-4</v>
      </c>
      <c r="AT19" s="85">
        <f t="shared" ref="AT19:AW19" si="34">AT18-AO18</f>
        <v>2.3153442503512922E-3</v>
      </c>
      <c r="AU19" s="85">
        <f t="shared" si="34"/>
        <v>-2.2862566310316579E-4</v>
      </c>
      <c r="AV19" s="85">
        <f t="shared" si="34"/>
        <v>-8.9686260902870907E-3</v>
      </c>
      <c r="AW19" s="85">
        <f t="shared" si="34"/>
        <v>-1.8645729772793218E-3</v>
      </c>
      <c r="AX19" s="85">
        <f>AX18-AS18</f>
        <v>-3.6476936862258613E-3</v>
      </c>
      <c r="AY19" s="85">
        <f t="shared" ref="AY19:BB19" si="35">AY18-AT18</f>
        <v>-7.9874355914984485E-3</v>
      </c>
      <c r="AZ19" s="85">
        <f t="shared" si="35"/>
        <v>-5.7804001811806449E-3</v>
      </c>
      <c r="BA19" s="85">
        <f t="shared" si="35"/>
        <v>-7.4081148343555503E-3</v>
      </c>
      <c r="BB19" s="85">
        <f t="shared" si="35"/>
        <v>-6.2463334654557223E-3</v>
      </c>
      <c r="BC19" s="85">
        <f>BC18-AX18</f>
        <v>-7.9604744029754815E-3</v>
      </c>
      <c r="BD19" s="85">
        <f t="shared" ref="BD19:BG19" si="36">BD18-AY18</f>
        <v>-7.2468708107712998E-3</v>
      </c>
      <c r="BE19" s="85">
        <f t="shared" si="36"/>
        <v>-9.3556611047633798E-3</v>
      </c>
      <c r="BF19" s="85">
        <f t="shared" si="36"/>
        <v>-1.0938963787396561E-2</v>
      </c>
      <c r="BG19" s="85">
        <f t="shared" si="36"/>
        <v>-8.9238765804201536E-3</v>
      </c>
      <c r="BH19" s="85">
        <f>BH18-BC18</f>
        <v>-1.0297573111834046E-2</v>
      </c>
      <c r="BI19" s="85">
        <f t="shared" ref="BI19:BL19" si="37">BI18-BD18</f>
        <v>-9.9262358569560671E-3</v>
      </c>
      <c r="BJ19" s="85">
        <f t="shared" si="37"/>
        <v>-1.0824711061603098E-2</v>
      </c>
      <c r="BK19" s="85">
        <f t="shared" si="37"/>
        <v>-1.1938451241606474E-2</v>
      </c>
      <c r="BL19" s="85">
        <f t="shared" si="37"/>
        <v>-1.0770526948462367E-2</v>
      </c>
    </row>
    <row r="21" spans="1:74">
      <c r="A21" s="1" t="s">
        <v>1483</v>
      </c>
    </row>
    <row r="22" spans="1:74">
      <c r="A22" s="1" t="s">
        <v>1484</v>
      </c>
      <c r="AI22" s="16">
        <f t="shared" ref="AI22:BL22" si="38">AI9/AD9-1</f>
        <v>5.4861007450278443E-2</v>
      </c>
      <c r="AJ22" s="16">
        <f t="shared" si="38"/>
        <v>-2.8043858103642405E-3</v>
      </c>
      <c r="AK22" s="16">
        <f t="shared" si="38"/>
        <v>-5.269134024565858E-3</v>
      </c>
      <c r="AL22" s="16">
        <f t="shared" si="38"/>
        <v>1.7197955016963196E-3</v>
      </c>
      <c r="AM22" s="16">
        <f t="shared" si="38"/>
        <v>1.0090522635190169E-2</v>
      </c>
      <c r="AN22" s="16">
        <f t="shared" si="38"/>
        <v>-1.2145510159125017E-3</v>
      </c>
      <c r="AO22" s="16">
        <f t="shared" si="38"/>
        <v>1.1823579549923968E-2</v>
      </c>
      <c r="AP22" s="16">
        <f t="shared" si="38"/>
        <v>7.3846337443068677E-3</v>
      </c>
      <c r="AQ22" s="16">
        <f t="shared" si="38"/>
        <v>4.3911028212957337E-3</v>
      </c>
      <c r="AR22" s="16">
        <f t="shared" si="38"/>
        <v>5.6516757609794688E-3</v>
      </c>
      <c r="AS22" s="16">
        <f t="shared" si="38"/>
        <v>1.6781649718229152E-2</v>
      </c>
      <c r="AT22" s="16">
        <f t="shared" si="38"/>
        <v>1.8132979263999482E-2</v>
      </c>
      <c r="AU22" s="16">
        <f t="shared" si="38"/>
        <v>1.7551382285489803E-2</v>
      </c>
      <c r="AV22" s="16">
        <f t="shared" si="38"/>
        <v>2.0281722372401889E-2</v>
      </c>
      <c r="AW22" s="16">
        <f t="shared" si="38"/>
        <v>1.8307953277813427E-2</v>
      </c>
      <c r="AX22" s="16">
        <f t="shared" si="38"/>
        <v>2.5026072744454231E-2</v>
      </c>
      <c r="AY22" s="16">
        <f t="shared" si="38"/>
        <v>2.3569725791903195E-2</v>
      </c>
      <c r="AZ22" s="16">
        <f t="shared" si="38"/>
        <v>2.5122908810518485E-2</v>
      </c>
      <c r="BA22" s="16">
        <f t="shared" si="38"/>
        <v>2.5154675185480313E-2</v>
      </c>
      <c r="BB22" s="16">
        <f t="shared" si="38"/>
        <v>2.4746309786717768E-2</v>
      </c>
      <c r="BC22" s="16">
        <f t="shared" si="38"/>
        <v>2.7544589561837141E-2</v>
      </c>
      <c r="BD22" s="16">
        <f t="shared" si="38"/>
        <v>2.8180011978936603E-2</v>
      </c>
      <c r="BE22" s="16">
        <f t="shared" si="38"/>
        <v>2.7320590305206505E-2</v>
      </c>
      <c r="BF22" s="16">
        <f t="shared" si="38"/>
        <v>2.9433533831086711E-2</v>
      </c>
      <c r="BG22" s="16">
        <f t="shared" si="38"/>
        <v>2.8183371215214637E-2</v>
      </c>
      <c r="BH22" s="16">
        <f t="shared" si="38"/>
        <v>2.8795593018167143E-2</v>
      </c>
      <c r="BI22" s="16">
        <f t="shared" si="38"/>
        <v>2.8777123097122326E-2</v>
      </c>
      <c r="BJ22" s="16">
        <f t="shared" si="38"/>
        <v>2.8966664967591704E-2</v>
      </c>
      <c r="BK22" s="16">
        <f t="shared" si="38"/>
        <v>3.044012317958833E-2</v>
      </c>
      <c r="BL22" s="16">
        <f t="shared" si="38"/>
        <v>2.9312103696141012E-2</v>
      </c>
    </row>
    <row r="23" spans="1:74">
      <c r="A23" s="1" t="s">
        <v>1485</v>
      </c>
      <c r="AI23" s="16">
        <f t="shared" ref="AI23:BL23" si="39">AI17/AD17-1</f>
        <v>6.6696983477338323E-2</v>
      </c>
      <c r="AJ23" s="16">
        <f t="shared" si="39"/>
        <v>8.4944042103964001E-2</v>
      </c>
      <c r="AK23" s="16">
        <f t="shared" si="39"/>
        <v>5.1814051607808498E-2</v>
      </c>
      <c r="AL23" s="16">
        <f t="shared" si="39"/>
        <v>6.1015364588279608E-2</v>
      </c>
      <c r="AM23" s="16">
        <f t="shared" si="39"/>
        <v>6.5454753577724123E-2</v>
      </c>
      <c r="AN23" s="16">
        <f t="shared" si="39"/>
        <v>2.3770266795724915E-2</v>
      </c>
      <c r="AO23" s="16">
        <f t="shared" si="39"/>
        <v>3.3015115019002117E-2</v>
      </c>
      <c r="AP23" s="16">
        <f t="shared" si="39"/>
        <v>3.9699738202960466E-2</v>
      </c>
      <c r="AQ23" s="16">
        <f t="shared" si="39"/>
        <v>-6.925475527901348E-3</v>
      </c>
      <c r="AR23" s="16">
        <f t="shared" si="39"/>
        <v>2.1413077609125919E-2</v>
      </c>
      <c r="AS23" s="16">
        <f t="shared" si="39"/>
        <v>1.6295770240908114E-2</v>
      </c>
      <c r="AT23" s="16">
        <f t="shared" si="39"/>
        <v>2.5223221474583779E-2</v>
      </c>
      <c r="AU23" s="16">
        <f t="shared" si="39"/>
        <v>1.6880821542448521E-2</v>
      </c>
      <c r="AV23" s="16">
        <f t="shared" si="39"/>
        <v>-5.2130402967156542E-3</v>
      </c>
      <c r="AW23" s="16">
        <f t="shared" si="39"/>
        <v>1.2708143865648225E-2</v>
      </c>
      <c r="AX23" s="16">
        <f t="shared" si="39"/>
        <v>1.2347391324370793E-2</v>
      </c>
      <c r="AY23" s="16">
        <f t="shared" si="39"/>
        <v>-2.353163664469804E-3</v>
      </c>
      <c r="AZ23" s="16">
        <f t="shared" si="39"/>
        <v>6.5757984225607302E-3</v>
      </c>
      <c r="BA23" s="16">
        <f t="shared" si="39"/>
        <v>2.1515816378447905E-3</v>
      </c>
      <c r="BB23" s="16">
        <f t="shared" si="39"/>
        <v>4.5682135732489915E-3</v>
      </c>
      <c r="BC23" s="16">
        <f t="shared" si="39"/>
        <v>-1.2537346583940678E-4</v>
      </c>
      <c r="BD23" s="16">
        <f t="shared" si="39"/>
        <v>2.3653161984564797E-3</v>
      </c>
      <c r="BE23" s="16">
        <f t="shared" si="39"/>
        <v>-3.7488282232532866E-3</v>
      </c>
      <c r="BF23" s="16">
        <f t="shared" si="39"/>
        <v>-6.0195497333958015E-3</v>
      </c>
      <c r="BG23" s="16">
        <f t="shared" si="39"/>
        <v>-2.0536662495334035E-3</v>
      </c>
      <c r="BH23" s="16">
        <f t="shared" si="39"/>
        <v>-6.8900837003453841E-3</v>
      </c>
      <c r="BI23" s="16">
        <f t="shared" si="39"/>
        <v>-6.1595010270829587E-3</v>
      </c>
      <c r="BJ23" s="16">
        <f t="shared" si="39"/>
        <v>-7.4846111394064607E-3</v>
      </c>
      <c r="BK23" s="16">
        <f t="shared" si="39"/>
        <v>-9.2215547346583548E-3</v>
      </c>
      <c r="BL23" s="16">
        <f t="shared" si="39"/>
        <v>-7.4904514012429368E-3</v>
      </c>
    </row>
    <row r="25" spans="1:74">
      <c r="A25" s="1" t="s">
        <v>1486</v>
      </c>
      <c r="AD25" s="375">
        <f>'Consolidated KK'!AD161</f>
        <v>283.90000000000003</v>
      </c>
      <c r="AE25" s="375">
        <f>'Consolidated KK'!AE161</f>
        <v>279.90000000000003</v>
      </c>
      <c r="AF25" s="375">
        <f>'Consolidated KK'!AF161</f>
        <v>256.2</v>
      </c>
      <c r="AG25" s="375">
        <f>'Consolidated KK'!AG161</f>
        <v>153</v>
      </c>
      <c r="AH25" s="375">
        <f>'Consolidated KK'!AH161</f>
        <v>972.99999999999989</v>
      </c>
      <c r="AI25" s="375">
        <f>'Consolidated KK'!AI161</f>
        <v>289.2</v>
      </c>
      <c r="AJ25" s="375">
        <f>'Consolidated KK'!AJ161</f>
        <v>320.79999999999995</v>
      </c>
      <c r="AK25" s="375">
        <f>'Consolidated KK'!AK161</f>
        <v>274.39999999999998</v>
      </c>
      <c r="AL25" s="375">
        <f>'Consolidated KK'!AL161</f>
        <v>152.29320386161359</v>
      </c>
      <c r="AM25" s="375">
        <f>'Consolidated KK'!AM161</f>
        <v>1036.6932038616137</v>
      </c>
      <c r="AN25" s="375">
        <f>'Consolidated KK'!AN161</f>
        <v>299.38937884678796</v>
      </c>
      <c r="AO25" s="375">
        <f>'Consolidated KK'!AO161</f>
        <v>311.82312327396153</v>
      </c>
      <c r="AP25" s="375">
        <f>'Consolidated KK'!AP161</f>
        <v>268.30786850966444</v>
      </c>
      <c r="AQ25" s="375">
        <f>'Consolidated KK'!AQ161</f>
        <v>158.23454532081465</v>
      </c>
      <c r="AR25" s="375">
        <f>'Consolidated KK'!AR161</f>
        <v>1037.7549159512284</v>
      </c>
      <c r="AS25" s="375">
        <f>'Consolidated KK'!AS161</f>
        <v>302.77148001187402</v>
      </c>
      <c r="AT25" s="375">
        <f>'Consolidated KK'!AT161</f>
        <v>311.60733350925068</v>
      </c>
      <c r="AU25" s="375">
        <f>'Consolidated KK'!AU161</f>
        <v>271.15642741333602</v>
      </c>
      <c r="AV25" s="375">
        <f>'Consolidated KK'!AV161</f>
        <v>173.81234554828512</v>
      </c>
      <c r="AW25" s="375">
        <f>'Consolidated KK'!AW161</f>
        <v>1059.3475864827456</v>
      </c>
      <c r="AX25" s="375">
        <f>'Consolidated KK'!AX161</f>
        <v>312.14150281816796</v>
      </c>
      <c r="AY25" s="375">
        <f>'Consolidated KK'!AY161</f>
        <v>327.5836722347517</v>
      </c>
      <c r="AZ25" s="375">
        <f>'Consolidated KK'!AZ161</f>
        <v>283.48591343450971</v>
      </c>
      <c r="BA25" s="375">
        <f>'Consolidated KK'!BA161</f>
        <v>186.62902550453472</v>
      </c>
      <c r="BB25" s="375">
        <f>'Consolidated KK'!BB161</f>
        <v>1109.840113991964</v>
      </c>
      <c r="BC25" s="375">
        <f>'Consolidated KK'!BC161</f>
        <v>327.68231501113189</v>
      </c>
      <c r="BD25" s="375">
        <f>'Consolidated KK'!BD161</f>
        <v>342.68085157659311</v>
      </c>
      <c r="BE25" s="375">
        <f>'Consolidated KK'!BE161</f>
        <v>301.37965820275537</v>
      </c>
      <c r="BF25" s="375">
        <f>'Consolidated KK'!BF161</f>
        <v>205.35780093507913</v>
      </c>
      <c r="BG25" s="375">
        <f>'Consolidated KK'!BG161</f>
        <v>1177.1006257255594</v>
      </c>
      <c r="BH25" s="375">
        <f>'Consolidated KK'!BH161</f>
        <v>347.99580982211683</v>
      </c>
      <c r="BI25" s="375">
        <f>'Consolidated KK'!BI161</f>
        <v>363.12191657191079</v>
      </c>
      <c r="BJ25" s="375">
        <f>'Consolidated KK'!BJ161</f>
        <v>323.11859349247828</v>
      </c>
      <c r="BK25" s="375">
        <f>'Consolidated KK'!BK161</f>
        <v>227.05750616755952</v>
      </c>
      <c r="BL25" s="375">
        <f>'Consolidated KK'!BL161</f>
        <v>1261.2938260540654</v>
      </c>
    </row>
    <row r="26" spans="1:74">
      <c r="A26" s="1" t="s">
        <v>1487</v>
      </c>
      <c r="AD26" s="375">
        <f t="shared" ref="AD26:AK26" si="40">AD27-AD25</f>
        <v>-47.115000000000066</v>
      </c>
      <c r="AE26" s="375">
        <f t="shared" si="40"/>
        <v>-41.923000000000172</v>
      </c>
      <c r="AF26" s="375">
        <f t="shared" si="40"/>
        <v>-58.905999999999892</v>
      </c>
      <c r="AG26" s="375">
        <f t="shared" si="40"/>
        <v>-71.720999999999776</v>
      </c>
      <c r="AH26" s="375">
        <f t="shared" si="40"/>
        <v>-219.66499999999985</v>
      </c>
      <c r="AI26" s="375">
        <f t="shared" si="40"/>
        <v>-51.754999999999995</v>
      </c>
      <c r="AJ26" s="375">
        <f t="shared" si="40"/>
        <v>-61.74799999999999</v>
      </c>
      <c r="AK26" s="375">
        <f t="shared" si="40"/>
        <v>-58.208999999999946</v>
      </c>
      <c r="AL26" s="377">
        <v>-70</v>
      </c>
      <c r="AM26" s="375">
        <f>SUM(AI26:AL26)</f>
        <v>-241.71199999999993</v>
      </c>
      <c r="AN26" s="377">
        <v>-45</v>
      </c>
      <c r="AO26" s="377">
        <v>-52.5</v>
      </c>
      <c r="AP26" s="377">
        <v>-52.5</v>
      </c>
      <c r="AQ26" s="377">
        <v>-55</v>
      </c>
      <c r="AR26" s="375">
        <f>SUM(AN26:AQ26)</f>
        <v>-205</v>
      </c>
      <c r="AS26" s="377">
        <f>AN26*0.975</f>
        <v>-43.875</v>
      </c>
      <c r="AT26" s="377">
        <f>AO26*0.975</f>
        <v>-51.1875</v>
      </c>
      <c r="AU26" s="377">
        <f>AP26*0.975</f>
        <v>-51.1875</v>
      </c>
      <c r="AV26" s="377">
        <f>AQ26*0.975</f>
        <v>-53.625</v>
      </c>
      <c r="AW26" s="375">
        <f>SUM(AS26:AV26)</f>
        <v>-199.875</v>
      </c>
      <c r="AX26" s="377">
        <f>AS26*0.975</f>
        <v>-42.778124999999996</v>
      </c>
      <c r="AY26" s="377">
        <f>AT26*0.975</f>
        <v>-49.907812499999999</v>
      </c>
      <c r="AZ26" s="377">
        <f>AU26*0.975</f>
        <v>-49.907812499999999</v>
      </c>
      <c r="BA26" s="377">
        <f>AV26*0.975</f>
        <v>-52.284374999999997</v>
      </c>
      <c r="BB26" s="375">
        <f>SUM(AX26:BA26)</f>
        <v>-194.87812500000001</v>
      </c>
      <c r="BC26" s="377">
        <f>AX26*0.975</f>
        <v>-41.708671874999993</v>
      </c>
      <c r="BD26" s="377">
        <f>AY26*0.975</f>
        <v>-48.660117187499999</v>
      </c>
      <c r="BE26" s="377">
        <f>AZ26*0.975</f>
        <v>-48.660117187499999</v>
      </c>
      <c r="BF26" s="377">
        <f>BA26*0.975</f>
        <v>-50.977265624999994</v>
      </c>
      <c r="BG26" s="375">
        <f>SUM(BC26:BF26)</f>
        <v>-190.00617187499998</v>
      </c>
      <c r="BH26" s="377">
        <f>BC26*0.975</f>
        <v>-40.665955078124995</v>
      </c>
      <c r="BI26" s="377">
        <f>BD26*0.975</f>
        <v>-47.443614257812499</v>
      </c>
      <c r="BJ26" s="377">
        <f>BE26*0.975</f>
        <v>-47.443614257812499</v>
      </c>
      <c r="BK26" s="377">
        <f>BF26*0.975</f>
        <v>-49.70283398437499</v>
      </c>
      <c r="BL26" s="375">
        <f>SUM(BH26:BK26)</f>
        <v>-185.25601757812498</v>
      </c>
    </row>
    <row r="27" spans="1:74">
      <c r="A27" s="9" t="s">
        <v>1488</v>
      </c>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378">
        <f t="shared" ref="AD27:AK27" si="41">AD13+AD17</f>
        <v>236.78499999999997</v>
      </c>
      <c r="AE27" s="378">
        <f t="shared" si="41"/>
        <v>237.97699999999986</v>
      </c>
      <c r="AF27" s="378">
        <f t="shared" si="41"/>
        <v>197.2940000000001</v>
      </c>
      <c r="AG27" s="378">
        <f t="shared" si="41"/>
        <v>81.279000000000224</v>
      </c>
      <c r="AH27" s="378">
        <f t="shared" si="41"/>
        <v>753.33500000000004</v>
      </c>
      <c r="AI27" s="378">
        <f t="shared" si="41"/>
        <v>237.44499999999999</v>
      </c>
      <c r="AJ27" s="378">
        <f t="shared" si="41"/>
        <v>259.05199999999996</v>
      </c>
      <c r="AK27" s="378">
        <f t="shared" si="41"/>
        <v>216.19100000000003</v>
      </c>
      <c r="AL27" s="378">
        <f>SUM(AL25:AL26)</f>
        <v>82.293203861613591</v>
      </c>
      <c r="AM27" s="378">
        <f>SUM(AM25:AM26)</f>
        <v>794.98120386161372</v>
      </c>
      <c r="AN27" s="378">
        <f t="shared" ref="AN27:BL27" si="42">SUM(AN25:AN26)</f>
        <v>254.38937884678796</v>
      </c>
      <c r="AO27" s="378">
        <f t="shared" si="42"/>
        <v>259.32312327396153</v>
      </c>
      <c r="AP27" s="378">
        <f t="shared" si="42"/>
        <v>215.80786850966444</v>
      </c>
      <c r="AQ27" s="378">
        <f t="shared" si="42"/>
        <v>103.23454532081465</v>
      </c>
      <c r="AR27" s="378">
        <f t="shared" si="42"/>
        <v>832.75491595122844</v>
      </c>
      <c r="AS27" s="378">
        <f t="shared" si="42"/>
        <v>258.89648001187402</v>
      </c>
      <c r="AT27" s="378">
        <f t="shared" si="42"/>
        <v>260.41983350925068</v>
      </c>
      <c r="AU27" s="378">
        <f t="shared" si="42"/>
        <v>219.96892741333602</v>
      </c>
      <c r="AV27" s="378">
        <f t="shared" si="42"/>
        <v>120.18734554828512</v>
      </c>
      <c r="AW27" s="378">
        <f t="shared" si="42"/>
        <v>859.47258648274556</v>
      </c>
      <c r="AX27" s="378">
        <f t="shared" si="42"/>
        <v>269.36337781816798</v>
      </c>
      <c r="AY27" s="378">
        <f t="shared" si="42"/>
        <v>277.67585973475173</v>
      </c>
      <c r="AZ27" s="378">
        <f t="shared" si="42"/>
        <v>233.57810093450971</v>
      </c>
      <c r="BA27" s="378">
        <f t="shared" si="42"/>
        <v>134.34465050453474</v>
      </c>
      <c r="BB27" s="378">
        <f t="shared" si="42"/>
        <v>914.96198899196406</v>
      </c>
      <c r="BC27" s="378">
        <f t="shared" si="42"/>
        <v>285.9736431361319</v>
      </c>
      <c r="BD27" s="378">
        <f t="shared" si="42"/>
        <v>294.02073438909309</v>
      </c>
      <c r="BE27" s="378">
        <f t="shared" si="42"/>
        <v>252.71954101525537</v>
      </c>
      <c r="BF27" s="378">
        <f t="shared" si="42"/>
        <v>154.38053531007913</v>
      </c>
      <c r="BG27" s="378">
        <f t="shared" si="42"/>
        <v>987.09445385055949</v>
      </c>
      <c r="BH27" s="378">
        <f t="shared" si="42"/>
        <v>307.32985474399186</v>
      </c>
      <c r="BI27" s="378">
        <f t="shared" si="42"/>
        <v>315.67830231409829</v>
      </c>
      <c r="BJ27" s="378">
        <f t="shared" si="42"/>
        <v>275.67497923466578</v>
      </c>
      <c r="BK27" s="378">
        <f t="shared" si="42"/>
        <v>177.35467218318453</v>
      </c>
      <c r="BL27" s="378">
        <f t="shared" si="42"/>
        <v>1076.0378084759404</v>
      </c>
      <c r="BP27" s="375">
        <f t="shared" ref="BP27:BV27" si="43">INDEX($AD27:$BL27, MATCH(BP$2, $AD$2:$BL$2, 0))</f>
        <v>753.33500000000004</v>
      </c>
      <c r="BQ27" s="375">
        <f t="shared" si="43"/>
        <v>794.98120386161372</v>
      </c>
      <c r="BR27" s="375">
        <f t="shared" si="43"/>
        <v>832.75491595122844</v>
      </c>
      <c r="BS27" s="375">
        <f t="shared" si="43"/>
        <v>859.47258648274556</v>
      </c>
      <c r="BT27" s="375">
        <f t="shared" si="43"/>
        <v>914.96198899196406</v>
      </c>
      <c r="BU27" s="375">
        <f t="shared" si="43"/>
        <v>987.09445385055949</v>
      </c>
      <c r="BV27" s="375">
        <f t="shared" si="43"/>
        <v>1076.0378084759404</v>
      </c>
    </row>
    <row r="28" spans="1:74">
      <c r="A28" s="1" t="s">
        <v>1489</v>
      </c>
      <c r="AD28" s="16">
        <f t="shared" ref="AD28:BL28" si="44">AD27/AD6</f>
        <v>0.17385095447870777</v>
      </c>
      <c r="AE28" s="16">
        <f t="shared" si="44"/>
        <v>0.16450781141988102</v>
      </c>
      <c r="AF28" s="16">
        <f t="shared" si="44"/>
        <v>0.12837139696792249</v>
      </c>
      <c r="AG28" s="16">
        <f t="shared" si="44"/>
        <v>5.188573252473682E-2</v>
      </c>
      <c r="AH28" s="16">
        <f t="shared" si="44"/>
        <v>0.12742472936400542</v>
      </c>
      <c r="AI28" s="16">
        <f t="shared" si="44"/>
        <v>0.16608029656571308</v>
      </c>
      <c r="AJ28" s="16">
        <f t="shared" si="44"/>
        <v>0.17223056977594572</v>
      </c>
      <c r="AK28" s="16">
        <f t="shared" si="44"/>
        <v>0.13702053492204339</v>
      </c>
      <c r="AL28" s="16">
        <f t="shared" si="44"/>
        <v>5.1341245992319054E-2</v>
      </c>
      <c r="AM28" s="16">
        <f t="shared" si="44"/>
        <v>0.13001642924462359</v>
      </c>
      <c r="AN28" s="16">
        <f t="shared" si="44"/>
        <v>0.17457985572803042</v>
      </c>
      <c r="AO28" s="16">
        <f t="shared" si="44"/>
        <v>0.16954497016828038</v>
      </c>
      <c r="AP28" s="16">
        <f t="shared" si="44"/>
        <v>0.13447848249189412</v>
      </c>
      <c r="AQ28" s="16">
        <f t="shared" si="44"/>
        <v>6.3574175477674369E-2</v>
      </c>
      <c r="AR28" s="16">
        <f t="shared" si="44"/>
        <v>0.13398474867823473</v>
      </c>
      <c r="AS28" s="16">
        <f t="shared" si="44"/>
        <v>0.174740511002067</v>
      </c>
      <c r="AT28" s="16">
        <f t="shared" si="44"/>
        <v>0.16722962591792903</v>
      </c>
      <c r="AU28" s="16">
        <f t="shared" si="44"/>
        <v>0.13470710815499726</v>
      </c>
      <c r="AV28" s="16">
        <f t="shared" si="44"/>
        <v>7.2542801567961418E-2</v>
      </c>
      <c r="AW28" s="16">
        <f t="shared" si="44"/>
        <v>0.13580801896241301</v>
      </c>
      <c r="AX28" s="16">
        <f t="shared" si="44"/>
        <v>0.17763820468829286</v>
      </c>
      <c r="AY28" s="16">
        <f t="shared" si="44"/>
        <v>0.17446706150942745</v>
      </c>
      <c r="AZ28" s="16">
        <f t="shared" si="44"/>
        <v>0.13973750833617793</v>
      </c>
      <c r="BA28" s="16">
        <f t="shared" si="44"/>
        <v>7.9200916402317009E-2</v>
      </c>
      <c r="BB28" s="16">
        <f t="shared" si="44"/>
        <v>0.14129103186501848</v>
      </c>
      <c r="BC28" s="16">
        <f t="shared" si="44"/>
        <v>0.1840986790912684</v>
      </c>
      <c r="BD28" s="16">
        <f t="shared" si="44"/>
        <v>0.18021393232019875</v>
      </c>
      <c r="BE28" s="16">
        <f t="shared" si="44"/>
        <v>0.14759316944094136</v>
      </c>
      <c r="BF28" s="16">
        <f t="shared" si="44"/>
        <v>8.863988018971361E-2</v>
      </c>
      <c r="BG28" s="16">
        <f t="shared" si="44"/>
        <v>0.14868540019447349</v>
      </c>
      <c r="BH28" s="16">
        <f t="shared" si="44"/>
        <v>0.1928962522031025</v>
      </c>
      <c r="BI28" s="16">
        <f t="shared" si="44"/>
        <v>0.1886401681771549</v>
      </c>
      <c r="BJ28" s="16">
        <f t="shared" si="44"/>
        <v>0.1569178805025444</v>
      </c>
      <c r="BK28" s="16">
        <f t="shared" si="44"/>
        <v>9.9078331431320069E-2</v>
      </c>
      <c r="BL28" s="16">
        <f t="shared" si="44"/>
        <v>0.15792648287279171</v>
      </c>
    </row>
    <row r="29" spans="1:74">
      <c r="A29" s="1" t="s">
        <v>28</v>
      </c>
      <c r="AI29" s="16">
        <f>AI27/AD27-1</f>
        <v>2.7873387250036963E-3</v>
      </c>
      <c r="AJ29" s="16">
        <f>AJ27/AE27-1</f>
        <v>8.8558978388668219E-2</v>
      </c>
      <c r="AK29" s="16">
        <f>AK27/AF27-1</f>
        <v>9.578091579064707E-2</v>
      </c>
      <c r="AL29" s="16">
        <f>AL27/AG27-1</f>
        <v>1.2478055360097606E-2</v>
      </c>
      <c r="AM29" s="16">
        <f>AM27/AH27-1</f>
        <v>5.5282449191413674E-2</v>
      </c>
      <c r="AN29" s="16">
        <f t="shared" ref="AN29:BL29" si="45">AN27/AI27-1</f>
        <v>7.1361278808936612E-2</v>
      </c>
      <c r="AO29" s="16">
        <f t="shared" si="45"/>
        <v>1.0465978798139819E-3</v>
      </c>
      <c r="AP29" s="16">
        <f t="shared" si="45"/>
        <v>-1.7721898244403844E-3</v>
      </c>
      <c r="AQ29" s="16">
        <f t="shared" si="45"/>
        <v>0.25447230726873338</v>
      </c>
      <c r="AR29" s="16">
        <f t="shared" si="45"/>
        <v>4.7515226657094844E-2</v>
      </c>
      <c r="AS29" s="16">
        <f t="shared" si="45"/>
        <v>1.7717332325421387E-2</v>
      </c>
      <c r="AT29" s="16">
        <f t="shared" si="45"/>
        <v>4.2291262786100514E-3</v>
      </c>
      <c r="AU29" s="16">
        <f t="shared" si="45"/>
        <v>1.9281312272843465E-2</v>
      </c>
      <c r="AV29" s="16">
        <f t="shared" si="45"/>
        <v>0.16421635000946111</v>
      </c>
      <c r="AW29" s="16">
        <f t="shared" si="45"/>
        <v>3.2083473804532803E-2</v>
      </c>
      <c r="AX29" s="16">
        <f t="shared" si="45"/>
        <v>4.042889191005572E-2</v>
      </c>
      <c r="AY29" s="16">
        <f t="shared" si="45"/>
        <v>6.6262334911169729E-2</v>
      </c>
      <c r="AZ29" s="16">
        <f t="shared" si="45"/>
        <v>6.1868617905296963E-2</v>
      </c>
      <c r="BA29" s="16">
        <f t="shared" si="45"/>
        <v>0.1177936403509463</v>
      </c>
      <c r="BB29" s="16">
        <f t="shared" si="45"/>
        <v>6.4562155189032966E-2</v>
      </c>
      <c r="BC29" s="16">
        <f t="shared" si="45"/>
        <v>6.1664898370767274E-2</v>
      </c>
      <c r="BD29" s="16">
        <f t="shared" si="45"/>
        <v>5.8863145935533323E-2</v>
      </c>
      <c r="BE29" s="16">
        <f t="shared" si="45"/>
        <v>8.1948778606229622E-2</v>
      </c>
      <c r="BF29" s="16">
        <f t="shared" si="45"/>
        <v>0.1491379428231725</v>
      </c>
      <c r="BG29" s="16">
        <f t="shared" si="45"/>
        <v>7.883656996293964E-2</v>
      </c>
      <c r="BH29" s="16">
        <f t="shared" si="45"/>
        <v>7.4678950737057104E-2</v>
      </c>
      <c r="BI29" s="16">
        <f t="shared" si="45"/>
        <v>7.3660002142381664E-2</v>
      </c>
      <c r="BJ29" s="16">
        <f t="shared" si="45"/>
        <v>9.0833649535730698E-2</v>
      </c>
      <c r="BK29" s="16">
        <f t="shared" si="45"/>
        <v>0.14881498387708647</v>
      </c>
      <c r="BL29" s="16">
        <f t="shared" si="45"/>
        <v>9.0106224666161916E-2</v>
      </c>
    </row>
    <row r="31" spans="1:74">
      <c r="A31" s="1" t="s">
        <v>1490</v>
      </c>
      <c r="AD31" s="376">
        <v>4.4950000000000001</v>
      </c>
      <c r="AE31" s="376">
        <f>21.116-AD31</f>
        <v>16.620999999999999</v>
      </c>
      <c r="AF31" s="376">
        <f>321.422-AE31-AD31</f>
        <v>300.30600000000004</v>
      </c>
      <c r="AG31" s="375">
        <f t="shared" ref="AG31:AG32" si="46">AH31-SUM(AD31:AF31)</f>
        <v>0</v>
      </c>
      <c r="AH31" s="376">
        <v>321.42200000000003</v>
      </c>
      <c r="AI31" s="376">
        <v>10.459</v>
      </c>
      <c r="AJ31" s="376">
        <f>19.484-AI31</f>
        <v>9.0250000000000021</v>
      </c>
      <c r="AK31" s="376">
        <f>20.832-AJ31-AI31</f>
        <v>1.347999999999999</v>
      </c>
      <c r="AL31" s="377">
        <v>5</v>
      </c>
      <c r="AM31" s="375">
        <f>SUM(AI31:AL31)</f>
        <v>25.832000000000001</v>
      </c>
      <c r="AN31" s="377">
        <v>7.5</v>
      </c>
      <c r="AO31" s="377">
        <v>7.5</v>
      </c>
      <c r="AP31" s="377">
        <v>7.5</v>
      </c>
      <c r="AQ31" s="377">
        <v>7.5</v>
      </c>
      <c r="AR31" s="375">
        <f>SUM(AN31:AQ31)</f>
        <v>30</v>
      </c>
      <c r="AS31" s="377">
        <v>7.5</v>
      </c>
      <c r="AT31" s="377">
        <v>7.5</v>
      </c>
      <c r="AU31" s="377">
        <v>7.5</v>
      </c>
      <c r="AV31" s="377">
        <v>7.5</v>
      </c>
      <c r="AW31" s="375">
        <f>SUM(AS31:AV31)</f>
        <v>30</v>
      </c>
      <c r="AX31" s="377">
        <v>7.5</v>
      </c>
      <c r="AY31" s="377">
        <v>7.5</v>
      </c>
      <c r="AZ31" s="377">
        <v>7.5</v>
      </c>
      <c r="BA31" s="377">
        <v>7.5</v>
      </c>
      <c r="BB31" s="375">
        <f>SUM(AX31:BA31)</f>
        <v>30</v>
      </c>
      <c r="BC31" s="377">
        <v>7.5</v>
      </c>
      <c r="BD31" s="377">
        <v>7.5</v>
      </c>
      <c r="BE31" s="377">
        <v>7.5</v>
      </c>
      <c r="BF31" s="377">
        <v>7.5</v>
      </c>
      <c r="BG31" s="375">
        <f>SUM(BC31:BF31)</f>
        <v>30</v>
      </c>
      <c r="BH31" s="377">
        <v>7.5</v>
      </c>
      <c r="BI31" s="377">
        <v>7.5</v>
      </c>
      <c r="BJ31" s="377">
        <v>7.5</v>
      </c>
      <c r="BK31" s="377">
        <v>7.5</v>
      </c>
      <c r="BL31" s="375">
        <f>SUM(BH31:BK31)</f>
        <v>30</v>
      </c>
      <c r="BP31" s="375"/>
      <c r="BQ31" s="375"/>
      <c r="BR31" s="375"/>
      <c r="BS31" s="375"/>
      <c r="BT31" s="375"/>
      <c r="BU31" s="375"/>
      <c r="BV31" s="375"/>
    </row>
    <row r="32" spans="1:74">
      <c r="A32" s="1" t="s">
        <v>1491</v>
      </c>
      <c r="AD32" s="376"/>
      <c r="AE32" s="376">
        <f>-8.984-AD32</f>
        <v>-8.984</v>
      </c>
      <c r="AF32" s="376">
        <f>-11.434-AE32</f>
        <v>-2.4499999999999993</v>
      </c>
      <c r="AG32" s="375">
        <f t="shared" si="46"/>
        <v>-3.1539999999999999</v>
      </c>
      <c r="AH32" s="376">
        <v>-14.587999999999999</v>
      </c>
      <c r="AI32" s="376">
        <v>-1.5509999999999999</v>
      </c>
      <c r="AJ32" s="376">
        <f>-1.551-AI32</f>
        <v>0</v>
      </c>
      <c r="AK32" s="376">
        <f>-1.551-AJ32-AI32</f>
        <v>0</v>
      </c>
      <c r="AM32" s="375">
        <f>SUM(AI32:AL32)</f>
        <v>-1.5509999999999999</v>
      </c>
      <c r="BP32" s="375"/>
      <c r="BQ32" s="375"/>
      <c r="BR32" s="375"/>
      <c r="BS32" s="375"/>
      <c r="BT32" s="375"/>
      <c r="BU32" s="375"/>
      <c r="BV32" s="375"/>
    </row>
    <row r="33" spans="1:74">
      <c r="A33" s="9" t="s">
        <v>1492</v>
      </c>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378">
        <f t="shared" ref="AD33:AL33" si="47">AD27+SUM(AD31:AD32)</f>
        <v>241.27999999999997</v>
      </c>
      <c r="AE33" s="378">
        <f t="shared" si="47"/>
        <v>245.61399999999986</v>
      </c>
      <c r="AF33" s="378">
        <f t="shared" si="47"/>
        <v>495.15000000000015</v>
      </c>
      <c r="AG33" s="378">
        <f t="shared" si="47"/>
        <v>78.125000000000227</v>
      </c>
      <c r="AH33" s="378">
        <f t="shared" si="47"/>
        <v>1060.1690000000001</v>
      </c>
      <c r="AI33" s="378">
        <f t="shared" si="47"/>
        <v>246.35299999999998</v>
      </c>
      <c r="AJ33" s="378">
        <f t="shared" si="47"/>
        <v>268.07699999999994</v>
      </c>
      <c r="AK33" s="378">
        <f t="shared" si="47"/>
        <v>217.53900000000004</v>
      </c>
      <c r="AL33" s="378">
        <f t="shared" si="47"/>
        <v>87.293203861613591</v>
      </c>
      <c r="AM33" s="378">
        <f>SUM(AI33:AL33)</f>
        <v>819.26220386161367</v>
      </c>
      <c r="AN33" s="378">
        <f>AN27+SUM(AN31:AN32)</f>
        <v>261.88937884678796</v>
      </c>
      <c r="AO33" s="378">
        <f>AO27+SUM(AO31:AO32)</f>
        <v>266.82312327396153</v>
      </c>
      <c r="AP33" s="378">
        <f>AP27+SUM(AP31:AP32)</f>
        <v>223.30786850966444</v>
      </c>
      <c r="AQ33" s="378">
        <f>AQ27+SUM(AQ31:AQ32)</f>
        <v>110.73454532081465</v>
      </c>
      <c r="AR33" s="378">
        <f>SUM(AN33:AQ33)</f>
        <v>862.75491595122855</v>
      </c>
      <c r="AS33" s="378">
        <f>AS27+SUM(AS31:AS32)</f>
        <v>266.39648001187402</v>
      </c>
      <c r="AT33" s="378">
        <f>AT27+SUM(AT31:AT32)</f>
        <v>267.91983350925068</v>
      </c>
      <c r="AU33" s="378">
        <f>AU27+SUM(AU31:AU32)</f>
        <v>227.46892741333602</v>
      </c>
      <c r="AV33" s="378">
        <f>AV27+SUM(AV31:AV32)</f>
        <v>127.68734554828512</v>
      </c>
      <c r="AW33" s="378">
        <f>SUM(AS33:AV33)</f>
        <v>889.47258648274578</v>
      </c>
      <c r="AX33" s="378">
        <f>AX27+SUM(AX31:AX32)</f>
        <v>276.86337781816798</v>
      </c>
      <c r="AY33" s="378">
        <f>AY27+SUM(AY31:AY32)</f>
        <v>285.17585973475173</v>
      </c>
      <c r="AZ33" s="378">
        <f>AZ27+SUM(AZ31:AZ32)</f>
        <v>241.07810093450971</v>
      </c>
      <c r="BA33" s="378">
        <f>BA27+SUM(BA31:BA32)</f>
        <v>141.84465050453474</v>
      </c>
      <c r="BB33" s="378">
        <f>SUM(AX33:BA33)</f>
        <v>944.96198899196429</v>
      </c>
      <c r="BC33" s="378">
        <f>BC27+SUM(BC31:BC32)</f>
        <v>293.4736431361319</v>
      </c>
      <c r="BD33" s="378">
        <f>BD27+SUM(BD31:BD32)</f>
        <v>301.52073438909309</v>
      </c>
      <c r="BE33" s="378">
        <f>BE27+SUM(BE31:BE32)</f>
        <v>260.21954101525534</v>
      </c>
      <c r="BF33" s="378">
        <f>BF27+SUM(BF31:BF32)</f>
        <v>161.88053531007913</v>
      </c>
      <c r="BG33" s="378">
        <f>SUM(BC33:BF33)</f>
        <v>1017.0944538505595</v>
      </c>
      <c r="BH33" s="378">
        <f>BH27+SUM(BH31:BH32)</f>
        <v>314.82985474399186</v>
      </c>
      <c r="BI33" s="378">
        <f>BI27+SUM(BI31:BI32)</f>
        <v>323.17830231409829</v>
      </c>
      <c r="BJ33" s="378">
        <f>BJ27+SUM(BJ31:BJ32)</f>
        <v>283.17497923466578</v>
      </c>
      <c r="BK33" s="378">
        <f>BK27+SUM(BK31:BK32)</f>
        <v>184.85467218318453</v>
      </c>
      <c r="BL33" s="378">
        <f>SUM(BH33:BK33)</f>
        <v>1106.0378084759404</v>
      </c>
      <c r="BP33" s="375">
        <f t="shared" ref="BP33:BV33" si="48">INDEX($AD33:$BL33, MATCH(BP$2, $AD$2:$BL$2, 0))</f>
        <v>1060.1690000000001</v>
      </c>
      <c r="BQ33" s="375">
        <f t="shared" si="48"/>
        <v>819.26220386161367</v>
      </c>
      <c r="BR33" s="375">
        <f t="shared" si="48"/>
        <v>862.75491595122855</v>
      </c>
      <c r="BS33" s="375">
        <f t="shared" si="48"/>
        <v>889.47258648274578</v>
      </c>
      <c r="BT33" s="375">
        <f t="shared" si="48"/>
        <v>944.96198899196429</v>
      </c>
      <c r="BU33" s="375">
        <f t="shared" si="48"/>
        <v>1017.0944538505595</v>
      </c>
      <c r="BV33" s="375">
        <f t="shared" si="48"/>
        <v>1106.0378084759404</v>
      </c>
    </row>
    <row r="34" spans="1:74">
      <c r="A34" s="1" t="s">
        <v>1489</v>
      </c>
      <c r="AD34" s="16">
        <f t="shared" ref="AD34:BL34" si="49">AD33/AD6</f>
        <v>0.17715124816446401</v>
      </c>
      <c r="AE34" s="16">
        <f t="shared" si="49"/>
        <v>0.16978708696253275</v>
      </c>
      <c r="AF34" s="16">
        <f t="shared" si="49"/>
        <v>0.32217450712473167</v>
      </c>
      <c r="AG34" s="16">
        <f t="shared" si="49"/>
        <v>4.9872326843281342E-2</v>
      </c>
      <c r="AH34" s="16">
        <f t="shared" si="49"/>
        <v>0.17932493234100136</v>
      </c>
      <c r="AI34" s="16">
        <f t="shared" si="49"/>
        <v>0.17231097433027906</v>
      </c>
      <c r="AJ34" s="16">
        <f t="shared" si="49"/>
        <v>0.17823083571571036</v>
      </c>
      <c r="AK34" s="16">
        <f t="shared" si="49"/>
        <v>0.13787488908606924</v>
      </c>
      <c r="AL34" s="16">
        <f t="shared" si="49"/>
        <v>5.4460655833176379E-2</v>
      </c>
      <c r="AM34" s="16">
        <f t="shared" si="49"/>
        <v>0.13398750290416919</v>
      </c>
      <c r="AN34" s="16">
        <f t="shared" si="49"/>
        <v>0.17972688239988222</v>
      </c>
      <c r="AO34" s="16">
        <f t="shared" si="49"/>
        <v>0.17444845605958184</v>
      </c>
      <c r="AP34" s="16">
        <f t="shared" si="49"/>
        <v>0.13915203135577181</v>
      </c>
      <c r="AQ34" s="16">
        <f t="shared" si="49"/>
        <v>6.8192845658289022E-2</v>
      </c>
      <c r="AR34" s="16">
        <f t="shared" si="49"/>
        <v>0.13881154991753533</v>
      </c>
      <c r="AS34" s="16">
        <f t="shared" si="49"/>
        <v>0.17980258767632457</v>
      </c>
      <c r="AT34" s="16">
        <f t="shared" si="49"/>
        <v>0.17204578057667133</v>
      </c>
      <c r="AU34" s="16">
        <f t="shared" si="49"/>
        <v>0.13930004463490314</v>
      </c>
      <c r="AV34" s="16">
        <f t="shared" si="49"/>
        <v>7.7069659277295963E-2</v>
      </c>
      <c r="AW34" s="16">
        <f t="shared" si="49"/>
        <v>0.14054841514601393</v>
      </c>
      <c r="AX34" s="16">
        <f t="shared" si="49"/>
        <v>0.18258426137184675</v>
      </c>
      <c r="AY34" s="16">
        <f t="shared" si="49"/>
        <v>0.17917940115094561</v>
      </c>
      <c r="AZ34" s="16">
        <f t="shared" si="49"/>
        <v>0.1442243643741726</v>
      </c>
      <c r="BA34" s="16">
        <f t="shared" si="49"/>
        <v>8.3622431295441293E-2</v>
      </c>
      <c r="BB34" s="16">
        <f t="shared" si="49"/>
        <v>0.1459237171644597</v>
      </c>
      <c r="BC34" s="16">
        <f t="shared" si="49"/>
        <v>0.18892688660732693</v>
      </c>
      <c r="BD34" s="16">
        <f t="shared" si="49"/>
        <v>0.18481090231012076</v>
      </c>
      <c r="BE34" s="16">
        <f t="shared" si="49"/>
        <v>0.15197331656514113</v>
      </c>
      <c r="BF34" s="16">
        <f t="shared" si="49"/>
        <v>9.2946116724569372E-2</v>
      </c>
      <c r="BG34" s="16">
        <f t="shared" si="49"/>
        <v>0.15320428082280038</v>
      </c>
      <c r="BH34" s="16">
        <f t="shared" si="49"/>
        <v>0.19760364352611079</v>
      </c>
      <c r="BI34" s="16">
        <f t="shared" si="49"/>
        <v>0.19312194994979298</v>
      </c>
      <c r="BJ34" s="16">
        <f t="shared" si="49"/>
        <v>0.16118698068362131</v>
      </c>
      <c r="BK34" s="16">
        <f t="shared" si="49"/>
        <v>0.10326817022489516</v>
      </c>
      <c r="BL34" s="16">
        <f t="shared" si="49"/>
        <v>0.16232948288716312</v>
      </c>
    </row>
    <row r="35" spans="1:74">
      <c r="A35" s="1" t="s">
        <v>28</v>
      </c>
      <c r="AI35" s="16">
        <f>AI33/AD33-1</f>
        <v>2.1025364721485529E-2</v>
      </c>
      <c r="AJ35" s="16">
        <f>AJ33/AE33-1</f>
        <v>9.1456513065216516E-2</v>
      </c>
      <c r="AK35" s="16">
        <f>AK33/AF33-1</f>
        <v>-0.5606604059375947</v>
      </c>
      <c r="AL35" s="16">
        <f>AL33/AG33-1</f>
        <v>0.11735300942865079</v>
      </c>
      <c r="AM35" s="16">
        <f>AM33/AH33-1</f>
        <v>-0.22723433352454792</v>
      </c>
      <c r="AN35" s="16">
        <f t="shared" ref="AN35:BL35" si="50">AN33/AI33-1</f>
        <v>6.3065515121748073E-2</v>
      </c>
      <c r="AO35" s="16">
        <f t="shared" si="50"/>
        <v>-4.6773006488375346E-3</v>
      </c>
      <c r="AP35" s="16">
        <f t="shared" si="50"/>
        <v>2.6518778286488409E-2</v>
      </c>
      <c r="AQ35" s="16">
        <f t="shared" si="50"/>
        <v>0.26853569833870172</v>
      </c>
      <c r="AR35" s="16">
        <f t="shared" si="50"/>
        <v>5.3087658486636879E-2</v>
      </c>
      <c r="AS35" s="16">
        <f t="shared" si="50"/>
        <v>1.7209942552587565E-2</v>
      </c>
      <c r="AT35" s="16">
        <f t="shared" si="50"/>
        <v>4.110251847112556E-3</v>
      </c>
      <c r="AU35" s="16">
        <f t="shared" si="50"/>
        <v>1.8633731679237764E-2</v>
      </c>
      <c r="AV35" s="16">
        <f t="shared" si="50"/>
        <v>0.15309405189099445</v>
      </c>
      <c r="AW35" s="16">
        <f t="shared" si="50"/>
        <v>3.0967856615525369E-2</v>
      </c>
      <c r="AX35" s="16">
        <f t="shared" si="50"/>
        <v>3.929067608486192E-2</v>
      </c>
      <c r="AY35" s="16">
        <f t="shared" si="50"/>
        <v>6.4407423666547059E-2</v>
      </c>
      <c r="AZ35" s="16">
        <f t="shared" si="50"/>
        <v>5.9828714523475712E-2</v>
      </c>
      <c r="BA35" s="16">
        <f t="shared" si="50"/>
        <v>0.11087476911246474</v>
      </c>
      <c r="BB35" s="16">
        <f t="shared" si="50"/>
        <v>6.2384612356229052E-2</v>
      </c>
      <c r="BC35" s="16">
        <f t="shared" si="50"/>
        <v>5.9994447257205819E-2</v>
      </c>
      <c r="BD35" s="16">
        <f t="shared" si="50"/>
        <v>5.7315071021593722E-2</v>
      </c>
      <c r="BE35" s="16">
        <f t="shared" si="50"/>
        <v>7.939933161305901E-2</v>
      </c>
      <c r="BF35" s="16">
        <f t="shared" si="50"/>
        <v>0.14125231183747622</v>
      </c>
      <c r="BG35" s="16">
        <f t="shared" si="50"/>
        <v>7.6333721037332269E-2</v>
      </c>
      <c r="BH35" s="16">
        <f t="shared" si="50"/>
        <v>7.2770458633498514E-2</v>
      </c>
      <c r="BI35" s="16">
        <f t="shared" si="50"/>
        <v>7.1827789783297291E-2</v>
      </c>
      <c r="BJ35" s="16">
        <f t="shared" si="50"/>
        <v>8.8215658708216127E-2</v>
      </c>
      <c r="BK35" s="16">
        <f t="shared" si="50"/>
        <v>0.14192031691209128</v>
      </c>
      <c r="BL35" s="16">
        <f t="shared" si="50"/>
        <v>8.7448470777375054E-2</v>
      </c>
    </row>
    <row r="37" spans="1:74">
      <c r="A37" s="5" t="s">
        <v>1493</v>
      </c>
      <c r="AD37" s="376">
        <v>4.1719999999999997</v>
      </c>
      <c r="AE37" s="376">
        <f>5.343-AD37</f>
        <v>1.1710000000000003</v>
      </c>
      <c r="AF37" s="376">
        <f>5.343-AE37-AD37</f>
        <v>0</v>
      </c>
      <c r="AG37" s="375">
        <f t="shared" ref="AG37:AG42" si="51">AH37-SUM(AD37:AF37)</f>
        <v>-5.343</v>
      </c>
      <c r="AH37" s="376"/>
      <c r="AI37" s="376">
        <v>19.763000000000002</v>
      </c>
      <c r="AJ37" s="376">
        <f>20.333-AI37</f>
        <v>0.56999999999999673</v>
      </c>
      <c r="AK37" s="376">
        <f>20.435-AJ37-AI37</f>
        <v>0.10200000000000031</v>
      </c>
      <c r="AL37" s="377">
        <v>0.15</v>
      </c>
      <c r="AM37" s="375">
        <f>SUM(AI37:AL37)</f>
        <v>20.584999999999997</v>
      </c>
      <c r="AN37" s="19">
        <v>0.15</v>
      </c>
      <c r="AO37" s="19">
        <v>0.15</v>
      </c>
      <c r="AP37" s="19">
        <v>0.15</v>
      </c>
      <c r="AQ37" s="19">
        <v>0.15</v>
      </c>
      <c r="AR37" s="375">
        <f>SUM(AN37:AQ37)</f>
        <v>0.6</v>
      </c>
      <c r="AS37" s="19">
        <v>0.15</v>
      </c>
      <c r="AT37" s="19">
        <v>0.15</v>
      </c>
      <c r="AU37" s="19">
        <v>0.15</v>
      </c>
      <c r="AV37" s="19">
        <v>0.15</v>
      </c>
      <c r="AW37" s="375">
        <f>SUM(AS37:AV37)</f>
        <v>0.6</v>
      </c>
      <c r="AX37" s="19">
        <v>0.15</v>
      </c>
      <c r="AY37" s="19">
        <v>0.15</v>
      </c>
      <c r="AZ37" s="19">
        <v>0.15</v>
      </c>
      <c r="BA37" s="19">
        <v>0.15</v>
      </c>
      <c r="BB37" s="375">
        <f>SUM(AX37:BA37)</f>
        <v>0.6</v>
      </c>
      <c r="BC37" s="19">
        <v>0.15</v>
      </c>
      <c r="BD37" s="19">
        <v>0.15</v>
      </c>
      <c r="BE37" s="19">
        <v>0.15</v>
      </c>
      <c r="BF37" s="19">
        <v>0.15</v>
      </c>
      <c r="BG37" s="375">
        <f>SUM(BC37:BF37)</f>
        <v>0.6</v>
      </c>
      <c r="BH37" s="19">
        <v>0.15</v>
      </c>
      <c r="BI37" s="19">
        <v>0.15</v>
      </c>
      <c r="BJ37" s="19">
        <v>0.15</v>
      </c>
      <c r="BK37" s="19">
        <v>0.15</v>
      </c>
      <c r="BL37" s="375">
        <f>SUM(BH37:BK37)</f>
        <v>0.6</v>
      </c>
    </row>
    <row r="38" spans="1:74">
      <c r="A38" s="5" t="s">
        <v>1494</v>
      </c>
      <c r="AD38" s="376">
        <v>-13.286</v>
      </c>
      <c r="AE38" s="376">
        <f>-28.539-AD38</f>
        <v>-15.253000000000002</v>
      </c>
      <c r="AF38" s="376">
        <f>-39.017-AE38-AD38</f>
        <v>-10.478000000000003</v>
      </c>
      <c r="AG38" s="375">
        <f t="shared" si="51"/>
        <v>-8.857999999999997</v>
      </c>
      <c r="AH38" s="376">
        <v>-47.875</v>
      </c>
      <c r="AI38" s="376">
        <v>-7.5890000000000004</v>
      </c>
      <c r="AJ38" s="376">
        <f>-12.116-AI38</f>
        <v>-4.5269999999999992</v>
      </c>
      <c r="AK38" s="376">
        <f>-17.629-AJ38-AI38</f>
        <v>-5.5130000000000017</v>
      </c>
      <c r="AL38" s="377">
        <v>-3.5</v>
      </c>
      <c r="AM38" s="375">
        <f>SUM(AI38:AL38)</f>
        <v>-21.129000000000001</v>
      </c>
      <c r="AN38" s="377">
        <v>-3.5</v>
      </c>
      <c r="AO38" s="377">
        <v>-3.5</v>
      </c>
      <c r="AP38" s="377">
        <v>-3.5</v>
      </c>
      <c r="AQ38" s="377">
        <v>-3.5</v>
      </c>
      <c r="AR38" s="375">
        <f>SUM(AN38:AQ38)</f>
        <v>-14</v>
      </c>
      <c r="AS38" s="377">
        <f>AN38+1.25</f>
        <v>-2.25</v>
      </c>
      <c r="AT38" s="377">
        <f>AO38+1.25</f>
        <v>-2.25</v>
      </c>
      <c r="AU38" s="377">
        <f>AP38+1.25</f>
        <v>-2.25</v>
      </c>
      <c r="AV38" s="377">
        <f>AQ38+1.25</f>
        <v>-2.25</v>
      </c>
      <c r="AW38" s="375">
        <f>SUM(AS38:AV38)</f>
        <v>-9</v>
      </c>
      <c r="AX38" s="377">
        <f>AS38+1.25</f>
        <v>-1</v>
      </c>
      <c r="AY38" s="377">
        <f>AT38+1.25</f>
        <v>-1</v>
      </c>
      <c r="AZ38" s="377">
        <f>AU38+1.25</f>
        <v>-1</v>
      </c>
      <c r="BA38" s="377">
        <f>AV38+1.25</f>
        <v>-1</v>
      </c>
      <c r="BB38" s="375">
        <f>SUM(AX38:BA38)</f>
        <v>-4</v>
      </c>
      <c r="BC38" s="377">
        <f>AX38+1.25</f>
        <v>0.25</v>
      </c>
      <c r="BD38" s="377">
        <f>AY38+1.25</f>
        <v>0.25</v>
      </c>
      <c r="BE38" s="377">
        <f>AZ38+1.25</f>
        <v>0.25</v>
      </c>
      <c r="BF38" s="377">
        <f>BA38+1.25</f>
        <v>0.25</v>
      </c>
      <c r="BG38" s="375">
        <f>SUM(BC38:BF38)</f>
        <v>1</v>
      </c>
      <c r="BH38" s="377">
        <f>BC38+1.25</f>
        <v>1.5</v>
      </c>
      <c r="BI38" s="377">
        <f>BD38+1.25</f>
        <v>1.5</v>
      </c>
      <c r="BJ38" s="377">
        <f>BE38+1.25</f>
        <v>1.5</v>
      </c>
      <c r="BK38" s="377">
        <f>BF38+1.25</f>
        <v>1.5</v>
      </c>
      <c r="BL38" s="375">
        <f>SUM(BH38:BK38)</f>
        <v>6</v>
      </c>
    </row>
    <row r="39" spans="1:74">
      <c r="A39" s="5" t="s">
        <v>1495</v>
      </c>
      <c r="AD39" s="376">
        <v>4.2850000000000001</v>
      </c>
      <c r="AE39" s="376">
        <f>8.511-AD39</f>
        <v>4.2259999999999991</v>
      </c>
      <c r="AF39" s="376">
        <f>6.057-AE39-AD39</f>
        <v>-2.4539999999999988</v>
      </c>
      <c r="AG39" s="375">
        <f t="shared" si="51"/>
        <v>5.847999999999999</v>
      </c>
      <c r="AH39" s="376">
        <v>11.904999999999999</v>
      </c>
      <c r="AI39" s="376">
        <v>7.7720000000000002</v>
      </c>
      <c r="AJ39" s="376">
        <f>9.235-AI39</f>
        <v>1.4629999999999992</v>
      </c>
      <c r="AK39" s="376">
        <f>7.248-AJ39-AI39</f>
        <v>-1.9869999999999992</v>
      </c>
      <c r="AL39" s="379">
        <f>AL300</f>
        <v>4.2181874999999991</v>
      </c>
      <c r="AM39" s="375">
        <f>SUM(AI39:AL39)</f>
        <v>11.4661875</v>
      </c>
      <c r="AN39" s="379">
        <f>AN300</f>
        <v>1.4276683410351272</v>
      </c>
      <c r="AO39" s="379">
        <f t="shared" ref="AO39:AQ39" si="52">AO300</f>
        <v>3.9361193363190226</v>
      </c>
      <c r="AP39" s="379">
        <f t="shared" si="52"/>
        <v>1.4233562615761963</v>
      </c>
      <c r="AQ39" s="379">
        <f t="shared" si="52"/>
        <v>4.2417880679807309</v>
      </c>
      <c r="AR39" s="375">
        <f>SUM(AN39:AQ39)</f>
        <v>11.028932006911077</v>
      </c>
      <c r="AS39" s="379">
        <f>AS300</f>
        <v>1.4555275580267</v>
      </c>
      <c r="AT39" s="379">
        <f t="shared" ref="AT39:AV39" si="53">AT300</f>
        <v>4.0377649309298107</v>
      </c>
      <c r="AU39" s="379">
        <f t="shared" si="53"/>
        <v>1.4616090394813768</v>
      </c>
      <c r="AV39" s="379">
        <f t="shared" si="53"/>
        <v>4.3663574909259388</v>
      </c>
      <c r="AW39" s="375">
        <f>SUM(AS39:AV39)</f>
        <v>11.321259019363826</v>
      </c>
      <c r="AX39" s="379">
        <f>AX300</f>
        <v>1.5091204580809183</v>
      </c>
      <c r="AY39" s="379">
        <f t="shared" ref="AY39:BA39" si="54">AY300</f>
        <v>4.217190814168748</v>
      </c>
      <c r="AZ39" s="379">
        <f t="shared" si="54"/>
        <v>1.5085966335371708</v>
      </c>
      <c r="BA39" s="379">
        <f t="shared" si="54"/>
        <v>4.522280701876138</v>
      </c>
      <c r="BB39" s="375">
        <f>SUM(AX39:BA39)</f>
        <v>11.757188607662975</v>
      </c>
      <c r="BC39" s="379">
        <f>BC300</f>
        <v>1.5694238385265922</v>
      </c>
      <c r="BD39" s="379">
        <f t="shared" ref="BD39:BF39" si="55">BD300</f>
        <v>4.3975359188743912</v>
      </c>
      <c r="BE39" s="379">
        <f t="shared" si="55"/>
        <v>1.5936309129107178</v>
      </c>
      <c r="BF39" s="379">
        <f t="shared" si="55"/>
        <v>4.7731332222813077</v>
      </c>
      <c r="BG39" s="375">
        <f>SUM(BC39:BF39)</f>
        <v>12.33372389259301</v>
      </c>
      <c r="BH39" s="379">
        <f>BH300</f>
        <v>1.6585283483791076</v>
      </c>
      <c r="BI39" s="379">
        <f t="shared" ref="BI39:BK39" si="56">BI300</f>
        <v>4.6866004385089797</v>
      </c>
      <c r="BJ39" s="379">
        <f t="shared" si="56"/>
        <v>1.6970297939481964</v>
      </c>
      <c r="BK39" s="379">
        <f t="shared" si="56"/>
        <v>5.1003310077111355</v>
      </c>
      <c r="BL39" s="375">
        <f>SUM(BH39:BK39)</f>
        <v>13.142489588547418</v>
      </c>
    </row>
    <row r="40" spans="1:74">
      <c r="A40" s="5" t="s">
        <v>1496</v>
      </c>
      <c r="AD40" s="376">
        <v>-21.004000000000001</v>
      </c>
      <c r="AE40" s="376">
        <f>-52.091-AD40</f>
        <v>-31.087</v>
      </c>
      <c r="AF40" s="376">
        <f>-89.515-AE40-AD40</f>
        <v>-37.423999999999992</v>
      </c>
      <c r="AG40" s="375">
        <f t="shared" si="51"/>
        <v>-27.697000000000017</v>
      </c>
      <c r="AH40" s="376">
        <v>-117.212</v>
      </c>
      <c r="AI40" s="376">
        <v>-17.643999999999998</v>
      </c>
      <c r="AJ40" s="376">
        <f>-36.094-AI40</f>
        <v>-18.450000000000003</v>
      </c>
      <c r="AK40" s="376">
        <f>-56.753-AJ40-AI40</f>
        <v>-20.658999999999999</v>
      </c>
      <c r="AL40" s="379">
        <f>AL303</f>
        <v>-24.268874999999998</v>
      </c>
      <c r="AM40" s="375">
        <f t="shared" ref="AM40:AM42" si="57">SUM(AI40:AL40)</f>
        <v>-81.021874999999994</v>
      </c>
      <c r="AN40" s="379">
        <f t="shared" ref="AN40:AQ40" si="58">AN303</f>
        <v>-17.13053329482436</v>
      </c>
      <c r="AO40" s="379">
        <f t="shared" si="58"/>
        <v>-25.798301106134964</v>
      </c>
      <c r="AP40" s="379">
        <f t="shared" si="58"/>
        <v>-17.152093692119017</v>
      </c>
      <c r="AQ40" s="379">
        <f t="shared" si="58"/>
        <v>-25.288853220032113</v>
      </c>
      <c r="AR40" s="375">
        <f t="shared" ref="AR40" si="59">SUM(AN40:AQ40)</f>
        <v>-85.369781313110451</v>
      </c>
      <c r="AS40" s="379">
        <f t="shared" ref="AS40:AV40" si="60">AS303</f>
        <v>-18.544808175050481</v>
      </c>
      <c r="AT40" s="379">
        <f t="shared" si="60"/>
        <v>-27.248226295597686</v>
      </c>
      <c r="AU40" s="379">
        <f t="shared" si="60"/>
        <v>-18.510751878904291</v>
      </c>
      <c r="AV40" s="379">
        <f t="shared" si="60"/>
        <v>-26.63485351693825</v>
      </c>
      <c r="AW40" s="375">
        <f t="shared" ref="AW40" si="61">SUM(AS40:AV40)</f>
        <v>-90.938639866490703</v>
      </c>
      <c r="AX40" s="379">
        <f t="shared" ref="AX40:BA40" si="62">AX303</f>
        <v>-19.766103159898307</v>
      </c>
      <c r="AY40" s="379">
        <f t="shared" si="62"/>
        <v>-28.496747317384592</v>
      </c>
      <c r="AZ40" s="379">
        <f t="shared" si="62"/>
        <v>-19.769350872069541</v>
      </c>
      <c r="BA40" s="379">
        <f t="shared" si="62"/>
        <v>-27.86622821612265</v>
      </c>
      <c r="BB40" s="375">
        <f t="shared" ref="BB40" si="63">SUM(AX40:BA40)</f>
        <v>-95.898429565475084</v>
      </c>
      <c r="BC40" s="379">
        <f t="shared" ref="BC40:BF40" si="64">BC303</f>
        <v>-20.877455398019176</v>
      </c>
      <c r="BD40" s="379">
        <f t="shared" si="64"/>
        <v>-29.671414417218045</v>
      </c>
      <c r="BE40" s="379">
        <f t="shared" si="64"/>
        <v>-20.712847292207123</v>
      </c>
      <c r="BF40" s="379">
        <f t="shared" si="64"/>
        <v>-28.820060529495706</v>
      </c>
      <c r="BG40" s="375">
        <f t="shared" ref="BG40" si="65">SUM(BC40:BF40)</f>
        <v>-100.08177763694006</v>
      </c>
      <c r="BH40" s="379">
        <f t="shared" ref="BH40:BK40" si="66">BH303</f>
        <v>-21.703315221994607</v>
      </c>
      <c r="BI40" s="379">
        <f t="shared" si="66"/>
        <v>-30.505768918344522</v>
      </c>
      <c r="BJ40" s="379">
        <f t="shared" si="66"/>
        <v>-21.418404524783352</v>
      </c>
      <c r="BK40" s="379">
        <f t="shared" si="66"/>
        <v>-29.485233514312533</v>
      </c>
      <c r="BL40" s="375">
        <f t="shared" ref="BL40" si="67">SUM(BH40:BK40)</f>
        <v>-103.11272217943502</v>
      </c>
    </row>
    <row r="41" spans="1:74">
      <c r="A41" s="5" t="s">
        <v>1497</v>
      </c>
      <c r="AD41" s="376">
        <v>0.59099999999999997</v>
      </c>
      <c r="AE41" s="376">
        <f>0.591-AD41</f>
        <v>0</v>
      </c>
      <c r="AF41" s="376">
        <f>1.109-AE41-AD41</f>
        <v>0.51800000000000002</v>
      </c>
      <c r="AG41" s="375">
        <f t="shared" si="51"/>
        <v>0</v>
      </c>
      <c r="AH41" s="376">
        <v>1.109</v>
      </c>
      <c r="AI41" s="376">
        <v>0</v>
      </c>
      <c r="AJ41" s="376">
        <f>5.227-AI41</f>
        <v>5.2270000000000003</v>
      </c>
      <c r="AK41" s="376">
        <f>5.227-AJ41-AI41</f>
        <v>0</v>
      </c>
      <c r="AL41" s="379"/>
      <c r="AM41" s="375">
        <f t="shared" si="57"/>
        <v>5.2270000000000003</v>
      </c>
    </row>
    <row r="42" spans="1:74">
      <c r="A42" s="5" t="s">
        <v>1498</v>
      </c>
      <c r="AD42" s="376"/>
      <c r="AE42" s="376">
        <v>-10.327</v>
      </c>
      <c r="AF42" s="376">
        <f>-41.631-AE42</f>
        <v>-31.304000000000002</v>
      </c>
      <c r="AG42" s="375">
        <f t="shared" si="51"/>
        <v>-3.5959999999999965</v>
      </c>
      <c r="AH42" s="376">
        <v>-45.226999999999997</v>
      </c>
      <c r="AI42" s="376"/>
      <c r="AJ42" s="376"/>
      <c r="AK42" s="376"/>
      <c r="AL42" s="379"/>
      <c r="AM42" s="375">
        <f t="shared" si="57"/>
        <v>0</v>
      </c>
    </row>
    <row r="43" spans="1:74">
      <c r="A43" s="9" t="s">
        <v>1499</v>
      </c>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378">
        <f t="shared" ref="AD43:BL43" si="68">AD33+SUM(AD37:AD42)</f>
        <v>216.03799999999998</v>
      </c>
      <c r="AE43" s="378">
        <f t="shared" si="68"/>
        <v>194.34399999999988</v>
      </c>
      <c r="AF43" s="378">
        <f t="shared" si="68"/>
        <v>414.00800000000015</v>
      </c>
      <c r="AG43" s="378">
        <f t="shared" si="68"/>
        <v>38.479000000000219</v>
      </c>
      <c r="AH43" s="378">
        <f t="shared" si="68"/>
        <v>862.86900000000014</v>
      </c>
      <c r="AI43" s="378">
        <f t="shared" si="68"/>
        <v>248.65499999999997</v>
      </c>
      <c r="AJ43" s="378">
        <f t="shared" si="68"/>
        <v>252.35999999999993</v>
      </c>
      <c r="AK43" s="378">
        <f t="shared" si="68"/>
        <v>189.48200000000006</v>
      </c>
      <c r="AL43" s="378">
        <f t="shared" si="68"/>
        <v>63.892516361613588</v>
      </c>
      <c r="AM43" s="378">
        <f t="shared" si="68"/>
        <v>754.38951636161369</v>
      </c>
      <c r="AN43" s="378">
        <f t="shared" si="68"/>
        <v>242.83651389299874</v>
      </c>
      <c r="AO43" s="378">
        <f t="shared" si="68"/>
        <v>241.61094150414559</v>
      </c>
      <c r="AP43" s="378">
        <f t="shared" si="68"/>
        <v>204.22913107912163</v>
      </c>
      <c r="AQ43" s="378">
        <f t="shared" si="68"/>
        <v>86.337480168763264</v>
      </c>
      <c r="AR43" s="378">
        <f t="shared" si="68"/>
        <v>775.01406664502917</v>
      </c>
      <c r="AS43" s="378">
        <f t="shared" si="68"/>
        <v>247.20719939485025</v>
      </c>
      <c r="AT43" s="378">
        <f t="shared" si="68"/>
        <v>242.60937214458281</v>
      </c>
      <c r="AU43" s="378">
        <f t="shared" si="68"/>
        <v>208.3197845739131</v>
      </c>
      <c r="AV43" s="378">
        <f t="shared" si="68"/>
        <v>103.31884952227281</v>
      </c>
      <c r="AW43" s="378">
        <f t="shared" si="68"/>
        <v>801.45520563561888</v>
      </c>
      <c r="AX43" s="378">
        <f t="shared" si="68"/>
        <v>257.75639511635057</v>
      </c>
      <c r="AY43" s="378">
        <f t="shared" si="68"/>
        <v>260.04630323153589</v>
      </c>
      <c r="AZ43" s="378">
        <f t="shared" si="68"/>
        <v>221.96734669597734</v>
      </c>
      <c r="BA43" s="378">
        <f t="shared" si="68"/>
        <v>117.65070299028822</v>
      </c>
      <c r="BB43" s="378">
        <f t="shared" si="68"/>
        <v>857.42074803415221</v>
      </c>
      <c r="BC43" s="378">
        <f t="shared" si="68"/>
        <v>274.5656115766393</v>
      </c>
      <c r="BD43" s="378">
        <f t="shared" si="68"/>
        <v>276.64685589074946</v>
      </c>
      <c r="BE43" s="378">
        <f t="shared" si="68"/>
        <v>241.50032463595895</v>
      </c>
      <c r="BF43" s="378">
        <f t="shared" si="68"/>
        <v>138.23360800286474</v>
      </c>
      <c r="BG43" s="378">
        <f t="shared" si="68"/>
        <v>930.94640010621242</v>
      </c>
      <c r="BH43" s="378">
        <f t="shared" si="68"/>
        <v>296.43506787037637</v>
      </c>
      <c r="BI43" s="378">
        <f t="shared" si="68"/>
        <v>299.00913383426274</v>
      </c>
      <c r="BJ43" s="378">
        <f t="shared" si="68"/>
        <v>265.10360450383064</v>
      </c>
      <c r="BK43" s="378">
        <f t="shared" si="68"/>
        <v>162.11976967658313</v>
      </c>
      <c r="BL43" s="378">
        <f t="shared" si="68"/>
        <v>1022.6675758850529</v>
      </c>
    </row>
    <row r="44" spans="1:74">
      <c r="A44" s="1" t="s">
        <v>1500</v>
      </c>
      <c r="AD44" s="16">
        <f t="shared" ref="AD44:BL44" si="69">AD43/AD6</f>
        <v>0.1586182085168869</v>
      </c>
      <c r="AE44" s="16">
        <f t="shared" si="69"/>
        <v>0.13434536153739796</v>
      </c>
      <c r="AF44" s="16">
        <f t="shared" si="69"/>
        <v>0.26937861929858814</v>
      </c>
      <c r="AG44" s="16">
        <f t="shared" si="69"/>
        <v>2.4563676986913641E-2</v>
      </c>
      <c r="AH44" s="16">
        <f t="shared" si="69"/>
        <v>0.14595213125845741</v>
      </c>
      <c r="AI44" s="16">
        <f t="shared" si="69"/>
        <v>0.17392110232915994</v>
      </c>
      <c r="AJ44" s="16">
        <f t="shared" si="69"/>
        <v>0.16778139751346316</v>
      </c>
      <c r="AK44" s="16">
        <f t="shared" si="69"/>
        <v>0.12009253390797317</v>
      </c>
      <c r="AL44" s="16">
        <f t="shared" si="69"/>
        <v>3.9861388859110988E-2</v>
      </c>
      <c r="AM44" s="16">
        <f t="shared" si="69"/>
        <v>0.1233777989976092</v>
      </c>
      <c r="AN44" s="16">
        <f t="shared" si="69"/>
        <v>0.1666514685209031</v>
      </c>
      <c r="AO44" s="16">
        <f t="shared" si="69"/>
        <v>0.1579647790466191</v>
      </c>
      <c r="AP44" s="16">
        <f t="shared" si="69"/>
        <v>0.12726330980340728</v>
      </c>
      <c r="AQ44" s="16">
        <f t="shared" si="69"/>
        <v>5.3168579349983362E-2</v>
      </c>
      <c r="AR44" s="16">
        <f t="shared" si="69"/>
        <v>0.12469462857858704</v>
      </c>
      <c r="AS44" s="16">
        <f t="shared" si="69"/>
        <v>0.16685090636869535</v>
      </c>
      <c r="AT44" s="16">
        <f t="shared" si="69"/>
        <v>0.15579256772115641</v>
      </c>
      <c r="AU44" s="16">
        <f t="shared" si="69"/>
        <v>0.12757327174075461</v>
      </c>
      <c r="AV44" s="16">
        <f t="shared" si="69"/>
        <v>6.2361297397263663E-2</v>
      </c>
      <c r="AW44" s="16">
        <f t="shared" si="69"/>
        <v>0.12664050660407172</v>
      </c>
      <c r="AX44" s="16">
        <f t="shared" si="69"/>
        <v>0.16998369877253044</v>
      </c>
      <c r="AY44" s="16">
        <f t="shared" si="69"/>
        <v>0.16339020044642905</v>
      </c>
      <c r="AZ44" s="16">
        <f t="shared" si="69"/>
        <v>0.1327914039680671</v>
      </c>
      <c r="BA44" s="16">
        <f t="shared" si="69"/>
        <v>6.9359244727746863E-2</v>
      </c>
      <c r="BB44" s="16">
        <f t="shared" si="69"/>
        <v>0.1324053498284565</v>
      </c>
      <c r="BC44" s="16">
        <f t="shared" si="69"/>
        <v>0.17675463326207172</v>
      </c>
      <c r="BD44" s="16">
        <f t="shared" si="69"/>
        <v>0.16956497257814049</v>
      </c>
      <c r="BE44" s="16">
        <f t="shared" si="69"/>
        <v>0.14104092699300133</v>
      </c>
      <c r="BF44" s="16">
        <f t="shared" si="69"/>
        <v>7.9368881750248726E-2</v>
      </c>
      <c r="BG44" s="16">
        <f t="shared" si="69"/>
        <v>0.14022785511502059</v>
      </c>
      <c r="BH44" s="16">
        <f t="shared" si="69"/>
        <v>0.18605811551045151</v>
      </c>
      <c r="BI44" s="16">
        <f t="shared" si="69"/>
        <v>0.17867915811609353</v>
      </c>
      <c r="BJ44" s="16">
        <f t="shared" si="69"/>
        <v>0.15090051279885905</v>
      </c>
      <c r="BK44" s="16">
        <f t="shared" si="69"/>
        <v>9.0567426692854336E-2</v>
      </c>
      <c r="BL44" s="16">
        <f t="shared" si="69"/>
        <v>0.15009351171063559</v>
      </c>
    </row>
    <row r="46" spans="1:74">
      <c r="A46" s="1" t="s">
        <v>1501</v>
      </c>
      <c r="AD46" s="376">
        <v>-70.299000000000007</v>
      </c>
      <c r="AE46" s="376">
        <f>-146.85-AD46</f>
        <v>-76.550999999999988</v>
      </c>
      <c r="AF46" s="376">
        <f>-192.564-AE46-AD46</f>
        <v>-45.713999999999999</v>
      </c>
      <c r="AG46" s="375">
        <f t="shared" ref="AG46" si="70">AH46-SUM(AD46:AF46)</f>
        <v>-16.179000000000002</v>
      </c>
      <c r="AH46" s="376">
        <v>-208.74299999999999</v>
      </c>
      <c r="AI46" s="376">
        <v>-75.037000000000006</v>
      </c>
      <c r="AJ46" s="376">
        <f>-128.161-AI46</f>
        <v>-53.123999999999995</v>
      </c>
      <c r="AK46" s="376">
        <f>-187.79-AJ46-AI46</f>
        <v>-59.628999999999991</v>
      </c>
      <c r="AL46" s="375">
        <f>-AL47*(AL43-AL38)</f>
        <v>-20.217754908484075</v>
      </c>
      <c r="AM46" s="375">
        <f>SUM(AI46:AL46)</f>
        <v>-208.00775490848406</v>
      </c>
      <c r="AN46" s="375">
        <f>-AN47*(AN43-AN38)</f>
        <v>-73.900954167899613</v>
      </c>
      <c r="AO46" s="375">
        <f>-AO47*(AO43-AO38)</f>
        <v>-73.533282451243679</v>
      </c>
      <c r="AP46" s="375">
        <f>-AP47*(AP43-AP38)</f>
        <v>-62.318739323736487</v>
      </c>
      <c r="AQ46" s="375">
        <f>-AQ47*(AQ43-AQ38)</f>
        <v>-26.951244050628979</v>
      </c>
      <c r="AR46" s="375">
        <f>SUM(AN46:AQ46)</f>
        <v>-236.70421999350876</v>
      </c>
      <c r="AS46" s="375">
        <f>-AS47*(AS43-AS38)</f>
        <v>-74.837159818455078</v>
      </c>
      <c r="AT46" s="375">
        <f>-AT47*(AT43-AT38)</f>
        <v>-73.457811643374839</v>
      </c>
      <c r="AU46" s="375">
        <f>-AU47*(AU43-AU38)</f>
        <v>-63.170935372173929</v>
      </c>
      <c r="AV46" s="375">
        <f>-AV47*(AV43-AV38)</f>
        <v>-31.670654856681843</v>
      </c>
      <c r="AW46" s="375">
        <f>SUM(AS46:AV46)</f>
        <v>-243.13656169068565</v>
      </c>
      <c r="AX46" s="375">
        <f>-AX47*(AX43-AX38)</f>
        <v>-77.626918534905172</v>
      </c>
      <c r="AY46" s="375">
        <f>-AY47*(AY43-AY38)</f>
        <v>-78.313890969460758</v>
      </c>
      <c r="AZ46" s="375">
        <f>-AZ47*(AZ43-AZ38)</f>
        <v>-66.890204008793205</v>
      </c>
      <c r="BA46" s="375">
        <f>-BA47*(BA43-BA38)</f>
        <v>-35.595210897086467</v>
      </c>
      <c r="BB46" s="375">
        <f>SUM(AX46:BA46)</f>
        <v>-258.4262244102456</v>
      </c>
      <c r="BC46" s="375">
        <f>-BC47*(BC43-BC38)</f>
        <v>-82.294683472991792</v>
      </c>
      <c r="BD46" s="375">
        <f>-BD47*(BD43-BD38)</f>
        <v>-82.919056767224831</v>
      </c>
      <c r="BE46" s="375">
        <f>-BE47*(BE43-BE38)</f>
        <v>-72.375097390787687</v>
      </c>
      <c r="BF46" s="375">
        <f>-BF47*(BF43-BF38)</f>
        <v>-41.395082400859422</v>
      </c>
      <c r="BG46" s="375">
        <f>SUM(BC46:BF46)</f>
        <v>-278.9839200318637</v>
      </c>
      <c r="BH46" s="375">
        <f>-BH47*(BH43-BH38)</f>
        <v>-88.480520361112909</v>
      </c>
      <c r="BI46" s="375">
        <f>-BI47*(BI43-BI38)</f>
        <v>-89.252740150278825</v>
      </c>
      <c r="BJ46" s="375">
        <f>-BJ47*(BJ43-BJ38)</f>
        <v>-79.081081351149194</v>
      </c>
      <c r="BK46" s="375">
        <f>-BK47*(BK43-BK38)</f>
        <v>-48.185930902974938</v>
      </c>
      <c r="BL46" s="375">
        <f>SUM(BH46:BK46)</f>
        <v>-305.00027276551583</v>
      </c>
    </row>
    <row r="47" spans="1:74">
      <c r="A47" s="1" t="s">
        <v>1502</v>
      </c>
      <c r="AD47" s="16">
        <f>-AD46/(AD43-AD38)</f>
        <v>0.30654881303308862</v>
      </c>
      <c r="AE47" s="16">
        <f>-AE46/(AE43-AE38)</f>
        <v>0.365229464162178</v>
      </c>
      <c r="AF47" s="16">
        <f>-AF46/(AF43-AF38)</f>
        <v>0.10769259763572882</v>
      </c>
      <c r="AG47" s="16">
        <f>-AG46/(AG43-AG38)</f>
        <v>0.34178338297737348</v>
      </c>
      <c r="AH47" s="16">
        <f>-AH46/(AH43-AH38)</f>
        <v>0.2292005217712112</v>
      </c>
      <c r="AI47" s="16">
        <f t="shared" ref="AI47:AK47" si="71">-AI46/(AI43-AI38)</f>
        <v>0.29283417367821302</v>
      </c>
      <c r="AJ47" s="16">
        <f t="shared" si="71"/>
        <v>0.20679909843627745</v>
      </c>
      <c r="AK47" s="16">
        <f t="shared" si="71"/>
        <v>0.30579758455344996</v>
      </c>
      <c r="AL47" s="303">
        <v>0.3</v>
      </c>
      <c r="AN47" s="303">
        <v>0.3</v>
      </c>
      <c r="AO47" s="303">
        <v>0.3</v>
      </c>
      <c r="AP47" s="303">
        <v>0.3</v>
      </c>
      <c r="AQ47" s="303">
        <v>0.3</v>
      </c>
      <c r="AS47" s="303">
        <v>0.3</v>
      </c>
      <c r="AT47" s="303">
        <v>0.3</v>
      </c>
      <c r="AU47" s="303">
        <v>0.3</v>
      </c>
      <c r="AV47" s="303">
        <v>0.3</v>
      </c>
      <c r="AX47" s="303">
        <v>0.3</v>
      </c>
      <c r="AY47" s="303">
        <v>0.3</v>
      </c>
      <c r="AZ47" s="303">
        <v>0.3</v>
      </c>
      <c r="BA47" s="303">
        <v>0.3</v>
      </c>
      <c r="BC47" s="303">
        <v>0.3</v>
      </c>
      <c r="BD47" s="303">
        <v>0.3</v>
      </c>
      <c r="BE47" s="303">
        <v>0.3</v>
      </c>
      <c r="BF47" s="303">
        <v>0.3</v>
      </c>
      <c r="BH47" s="303">
        <v>0.3</v>
      </c>
      <c r="BI47" s="303">
        <v>0.3</v>
      </c>
      <c r="BJ47" s="303">
        <v>0.3</v>
      </c>
      <c r="BK47" s="303">
        <v>0.3</v>
      </c>
    </row>
    <row r="49" spans="1:74">
      <c r="A49" s="9" t="s">
        <v>71</v>
      </c>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378">
        <f t="shared" ref="AD49:BL49" si="72">AD43+AD46</f>
        <v>145.73899999999998</v>
      </c>
      <c r="AE49" s="378">
        <f t="shared" si="72"/>
        <v>117.79299999999989</v>
      </c>
      <c r="AF49" s="378">
        <f t="shared" si="72"/>
        <v>368.29400000000015</v>
      </c>
      <c r="AG49" s="378">
        <f t="shared" si="72"/>
        <v>22.300000000000217</v>
      </c>
      <c r="AH49" s="378">
        <f t="shared" si="72"/>
        <v>654.1260000000002</v>
      </c>
      <c r="AI49" s="378">
        <f t="shared" si="72"/>
        <v>173.61799999999997</v>
      </c>
      <c r="AJ49" s="378">
        <f t="shared" si="72"/>
        <v>199.23599999999993</v>
      </c>
      <c r="AK49" s="378">
        <f t="shared" si="72"/>
        <v>129.85300000000007</v>
      </c>
      <c r="AL49" s="378">
        <f t="shared" si="72"/>
        <v>43.674761453129513</v>
      </c>
      <c r="AM49" s="378">
        <f t="shared" si="72"/>
        <v>546.38176145312968</v>
      </c>
      <c r="AN49" s="378">
        <f t="shared" si="72"/>
        <v>168.93555972509913</v>
      </c>
      <c r="AO49" s="378">
        <f t="shared" si="72"/>
        <v>168.07765905290191</v>
      </c>
      <c r="AP49" s="378">
        <f t="shared" si="72"/>
        <v>141.91039175538515</v>
      </c>
      <c r="AQ49" s="378">
        <f t="shared" si="72"/>
        <v>59.386236118134285</v>
      </c>
      <c r="AR49" s="378">
        <f t="shared" si="72"/>
        <v>538.30984665152039</v>
      </c>
      <c r="AS49" s="378">
        <f t="shared" si="72"/>
        <v>172.37003957639519</v>
      </c>
      <c r="AT49" s="378">
        <f t="shared" si="72"/>
        <v>169.15156050120797</v>
      </c>
      <c r="AU49" s="378">
        <f t="shared" si="72"/>
        <v>145.14884920173915</v>
      </c>
      <c r="AV49" s="378">
        <f t="shared" si="72"/>
        <v>71.648194665590978</v>
      </c>
      <c r="AW49" s="378">
        <f t="shared" si="72"/>
        <v>558.31864394493323</v>
      </c>
      <c r="AX49" s="378">
        <f t="shared" si="72"/>
        <v>180.1294765814454</v>
      </c>
      <c r="AY49" s="378">
        <f t="shared" si="72"/>
        <v>181.73241226207512</v>
      </c>
      <c r="AZ49" s="378">
        <f t="shared" si="72"/>
        <v>155.07714268718414</v>
      </c>
      <c r="BA49" s="378">
        <f t="shared" si="72"/>
        <v>82.055492093201764</v>
      </c>
      <c r="BB49" s="378">
        <f t="shared" si="72"/>
        <v>598.99452362390662</v>
      </c>
      <c r="BC49" s="378">
        <f t="shared" si="72"/>
        <v>192.27092810364752</v>
      </c>
      <c r="BD49" s="378">
        <f t="shared" si="72"/>
        <v>193.72779912352462</v>
      </c>
      <c r="BE49" s="378">
        <f t="shared" si="72"/>
        <v>169.12522724517126</v>
      </c>
      <c r="BF49" s="378">
        <f t="shared" si="72"/>
        <v>96.838525602005319</v>
      </c>
      <c r="BG49" s="378">
        <f t="shared" si="72"/>
        <v>651.96248007434872</v>
      </c>
      <c r="BH49" s="378">
        <f t="shared" si="72"/>
        <v>207.95454750926348</v>
      </c>
      <c r="BI49" s="378">
        <f t="shared" si="72"/>
        <v>209.7563936839839</v>
      </c>
      <c r="BJ49" s="378">
        <f t="shared" si="72"/>
        <v>186.02252315268146</v>
      </c>
      <c r="BK49" s="378">
        <f t="shared" si="72"/>
        <v>113.93383877360819</v>
      </c>
      <c r="BL49" s="378">
        <f t="shared" si="72"/>
        <v>717.66730311953711</v>
      </c>
      <c r="BP49" s="375">
        <f t="shared" ref="BP49:BV49" si="73">INDEX($AD49:$BL49, MATCH(BP$2, $AD$2:$BL$2, 0))</f>
        <v>654.1260000000002</v>
      </c>
      <c r="BQ49" s="375">
        <f t="shared" si="73"/>
        <v>546.38176145312968</v>
      </c>
      <c r="BR49" s="375">
        <f t="shared" si="73"/>
        <v>538.30984665152039</v>
      </c>
      <c r="BS49" s="375">
        <f t="shared" si="73"/>
        <v>558.31864394493323</v>
      </c>
      <c r="BT49" s="375">
        <f t="shared" si="73"/>
        <v>598.99452362390662</v>
      </c>
      <c r="BU49" s="375">
        <f t="shared" si="73"/>
        <v>651.96248007434872</v>
      </c>
      <c r="BV49" s="375">
        <f t="shared" si="73"/>
        <v>717.66730311953711</v>
      </c>
    </row>
    <row r="50" spans="1:74">
      <c r="A50" s="1" t="s">
        <v>1503</v>
      </c>
      <c r="AD50" s="16">
        <f t="shared" ref="AD50:BL50" si="74">AD49/AD6</f>
        <v>0.10700367107195299</v>
      </c>
      <c r="AE50" s="16">
        <f t="shared" si="74"/>
        <v>8.1427485137563871E-2</v>
      </c>
      <c r="AF50" s="16">
        <f t="shared" si="74"/>
        <v>0.23963432884377653</v>
      </c>
      <c r="AG50" s="16">
        <f t="shared" si="74"/>
        <v>1.4235556974146324E-2</v>
      </c>
      <c r="AH50" s="16">
        <f t="shared" si="74"/>
        <v>0.11064377537212453</v>
      </c>
      <c r="AI50" s="16">
        <f t="shared" si="74"/>
        <v>0.12143666503462262</v>
      </c>
      <c r="AJ50" s="16">
        <f t="shared" si="74"/>
        <v>0.13246193737118539</v>
      </c>
      <c r="AK50" s="16">
        <f t="shared" si="74"/>
        <v>8.2300038027633457E-2</v>
      </c>
      <c r="AL50" s="16">
        <f t="shared" si="74"/>
        <v>2.7247896134797653E-2</v>
      </c>
      <c r="AM50" s="16">
        <f t="shared" si="74"/>
        <v>8.9358849345688038E-2</v>
      </c>
      <c r="AN50" s="16">
        <f t="shared" si="74"/>
        <v>0.11593544423057292</v>
      </c>
      <c r="AO50" s="16">
        <f t="shared" si="74"/>
        <v>0.10988885730785115</v>
      </c>
      <c r="AP50" s="16">
        <f t="shared" si="74"/>
        <v>8.8430020021442221E-2</v>
      </c>
      <c r="AQ50" s="16">
        <f t="shared" si="74"/>
        <v>3.6571391719702306E-2</v>
      </c>
      <c r="AR50" s="16">
        <f t="shared" si="74"/>
        <v>8.6610487831508848E-2</v>
      </c>
      <c r="AS50" s="16">
        <f t="shared" si="74"/>
        <v>0.11634004755740357</v>
      </c>
      <c r="AT50" s="16">
        <f t="shared" si="74"/>
        <v>0.10862134348552269</v>
      </c>
      <c r="AU50" s="16">
        <f t="shared" si="74"/>
        <v>8.888792593533669E-2</v>
      </c>
      <c r="AV50" s="16">
        <f t="shared" si="74"/>
        <v>4.3245490984244461E-2</v>
      </c>
      <c r="AW50" s="16">
        <f t="shared" si="74"/>
        <v>8.8221718966326135E-2</v>
      </c>
      <c r="AX50" s="16">
        <f t="shared" si="74"/>
        <v>0.11879074687342916</v>
      </c>
      <c r="AY50" s="16">
        <f t="shared" si="74"/>
        <v>0.11418464672683959</v>
      </c>
      <c r="AZ50" s="16">
        <f t="shared" si="74"/>
        <v>9.277450853612719E-2</v>
      </c>
      <c r="BA50" s="16">
        <f t="shared" si="74"/>
        <v>4.8374610713697835E-2</v>
      </c>
      <c r="BB50" s="16">
        <f t="shared" si="74"/>
        <v>9.2498437467941924E-2</v>
      </c>
      <c r="BC50" s="16">
        <f t="shared" si="74"/>
        <v>0.12377652535861079</v>
      </c>
      <c r="BD50" s="16">
        <f t="shared" si="74"/>
        <v>0.11874145050459756</v>
      </c>
      <c r="BE50" s="16">
        <f t="shared" si="74"/>
        <v>9.8772450366342926E-2</v>
      </c>
      <c r="BF50" s="16">
        <f t="shared" si="74"/>
        <v>5.5601279590522662E-2</v>
      </c>
      <c r="BG50" s="16">
        <f t="shared" si="74"/>
        <v>9.820468738679769E-2</v>
      </c>
      <c r="BH50" s="16">
        <f t="shared" si="74"/>
        <v>0.13052312433669658</v>
      </c>
      <c r="BI50" s="16">
        <f t="shared" si="74"/>
        <v>0.12534431758762374</v>
      </c>
      <c r="BJ50" s="16">
        <f t="shared" si="74"/>
        <v>0.10588650497006595</v>
      </c>
      <c r="BK50" s="16">
        <f t="shared" si="74"/>
        <v>6.3648589012612541E-2</v>
      </c>
      <c r="BL50" s="16">
        <f t="shared" si="74"/>
        <v>0.10532963819830721</v>
      </c>
    </row>
    <row r="52" spans="1:74">
      <c r="A52" s="1" t="s">
        <v>1504</v>
      </c>
    </row>
    <row r="53" spans="1:74">
      <c r="A53" s="1" t="s">
        <v>1505</v>
      </c>
      <c r="AD53" s="376">
        <v>127.111</v>
      </c>
      <c r="AE53" s="376">
        <f>234.233-AD53</f>
        <v>107.122</v>
      </c>
      <c r="AF53" s="376">
        <f>508.606-AE53-AD53</f>
        <v>274.37299999999999</v>
      </c>
      <c r="AG53" s="375">
        <f>AH53-SUM(AD53:AF53)</f>
        <v>22.759999999999991</v>
      </c>
      <c r="AH53" s="376">
        <v>531.36599999999999</v>
      </c>
      <c r="AI53" s="376">
        <v>146.71899999999999</v>
      </c>
      <c r="AJ53" s="376">
        <f>302.141-AI53</f>
        <v>155.42200000000003</v>
      </c>
      <c r="AK53" s="376">
        <f>406.682-AJ53-AI53</f>
        <v>104.541</v>
      </c>
      <c r="AL53" s="375">
        <f>AL49-AL54</f>
        <v>42.582892416801272</v>
      </c>
      <c r="AM53" s="375">
        <f t="shared" ref="AM53:BL53" si="75">AM49-AM54</f>
        <v>449.30089241680145</v>
      </c>
      <c r="AN53" s="375">
        <f t="shared" si="75"/>
        <v>143.59522576633427</v>
      </c>
      <c r="AO53" s="375">
        <f t="shared" si="75"/>
        <v>130.26018576599898</v>
      </c>
      <c r="AP53" s="375">
        <f t="shared" si="75"/>
        <v>117.07607319819274</v>
      </c>
      <c r="AQ53" s="375">
        <f t="shared" si="75"/>
        <v>54.932268409274215</v>
      </c>
      <c r="AR53" s="375">
        <f t="shared" si="75"/>
        <v>445.86375313980011</v>
      </c>
      <c r="AS53" s="375">
        <f t="shared" si="75"/>
        <v>145.22175834311295</v>
      </c>
      <c r="AT53" s="375">
        <f t="shared" si="75"/>
        <v>129.82382268467711</v>
      </c>
      <c r="AU53" s="375">
        <f t="shared" si="75"/>
        <v>118.65918422242176</v>
      </c>
      <c r="AV53" s="375">
        <f t="shared" si="75"/>
        <v>65.737218605679729</v>
      </c>
      <c r="AW53" s="375">
        <f t="shared" si="75"/>
        <v>459.44198385589152</v>
      </c>
      <c r="AX53" s="375">
        <f t="shared" si="75"/>
        <v>150.4081129455069</v>
      </c>
      <c r="AY53" s="375">
        <f t="shared" si="75"/>
        <v>138.11663331917708</v>
      </c>
      <c r="AZ53" s="375">
        <f t="shared" si="75"/>
        <v>125.61248557661915</v>
      </c>
      <c r="BA53" s="375">
        <f t="shared" si="75"/>
        <v>74.670497804813607</v>
      </c>
      <c r="BB53" s="375">
        <f t="shared" si="75"/>
        <v>488.80772964611697</v>
      </c>
      <c r="BC53" s="375">
        <f t="shared" si="75"/>
        <v>159.10419300576831</v>
      </c>
      <c r="BD53" s="375">
        <f t="shared" si="75"/>
        <v>145.78016884045226</v>
      </c>
      <c r="BE53" s="375">
        <f t="shared" si="75"/>
        <v>135.72299486424993</v>
      </c>
      <c r="BF53" s="375">
        <f t="shared" si="75"/>
        <v>87.396769355809795</v>
      </c>
      <c r="BG53" s="375">
        <f t="shared" si="75"/>
        <v>528.00412606628038</v>
      </c>
      <c r="BH53" s="375">
        <f t="shared" si="75"/>
        <v>170.52272895759603</v>
      </c>
      <c r="BI53" s="375">
        <f t="shared" si="75"/>
        <v>156.26851329456801</v>
      </c>
      <c r="BJ53" s="375">
        <f t="shared" si="75"/>
        <v>147.88790590638175</v>
      </c>
      <c r="BK53" s="375">
        <f t="shared" si="75"/>
        <v>101.97078570237933</v>
      </c>
      <c r="BL53" s="375">
        <f t="shared" si="75"/>
        <v>576.64993386092522</v>
      </c>
      <c r="BP53" s="375">
        <f t="shared" ref="BP53:BV54" si="76">INDEX($AD53:$BL53, MATCH(BP$2, $AD$2:$BL$2, 0))</f>
        <v>531.36599999999999</v>
      </c>
      <c r="BQ53" s="375">
        <f t="shared" si="76"/>
        <v>449.30089241680145</v>
      </c>
      <c r="BR53" s="375">
        <f t="shared" si="76"/>
        <v>445.86375313980011</v>
      </c>
      <c r="BS53" s="375">
        <f t="shared" si="76"/>
        <v>459.44198385589152</v>
      </c>
      <c r="BT53" s="375">
        <f t="shared" si="76"/>
        <v>488.80772964611697</v>
      </c>
      <c r="BU53" s="375">
        <f t="shared" si="76"/>
        <v>528.00412606628038</v>
      </c>
      <c r="BV53" s="375">
        <f t="shared" si="76"/>
        <v>576.64993386092522</v>
      </c>
    </row>
    <row r="54" spans="1:74">
      <c r="A54" s="1" t="s">
        <v>1506</v>
      </c>
      <c r="AD54" s="376">
        <v>18.626999999999999</v>
      </c>
      <c r="AE54" s="376">
        <f>29.254-AD54</f>
        <v>10.627000000000002</v>
      </c>
      <c r="AF54" s="376">
        <f>123.179-AE54-AD54</f>
        <v>93.924999999999997</v>
      </c>
      <c r="AG54" s="375">
        <f>AH54-SUM(AD54:AF54)</f>
        <v>-0.42000000000000171</v>
      </c>
      <c r="AH54" s="376">
        <v>122.759</v>
      </c>
      <c r="AI54" s="376">
        <v>26.864999999999998</v>
      </c>
      <c r="AJ54" s="376">
        <f>70.671-AI54</f>
        <v>43.806000000000012</v>
      </c>
      <c r="AK54" s="376">
        <f>95.989-AJ54-AI54</f>
        <v>25.317999999999994</v>
      </c>
      <c r="AL54" s="375">
        <f>AL55*AL49</f>
        <v>1.091869036328238</v>
      </c>
      <c r="AM54" s="375">
        <f>SUM(AI54:AL54)</f>
        <v>97.080869036328238</v>
      </c>
      <c r="AN54" s="375">
        <f>AN55*AN49</f>
        <v>25.340333958764869</v>
      </c>
      <c r="AO54" s="375">
        <f>AO55*AO49</f>
        <v>37.817473286902931</v>
      </c>
      <c r="AP54" s="375">
        <f>AP55*AP49</f>
        <v>24.8343185571924</v>
      </c>
      <c r="AQ54" s="375">
        <f>AQ55*AQ49</f>
        <v>4.4539677088600715</v>
      </c>
      <c r="AR54" s="375">
        <f>SUM(AN54:AQ54)</f>
        <v>92.446093511720278</v>
      </c>
      <c r="AS54" s="375">
        <f>AS55*AS49</f>
        <v>27.148281233282241</v>
      </c>
      <c r="AT54" s="375">
        <f>AT55*AT49</f>
        <v>39.327737816530856</v>
      </c>
      <c r="AU54" s="375">
        <f>AU55*AU49</f>
        <v>26.489664979317396</v>
      </c>
      <c r="AV54" s="375">
        <f>AV55*AV49</f>
        <v>5.9109760599112553</v>
      </c>
      <c r="AW54" s="375">
        <f>SUM(AS54:AV54)</f>
        <v>98.876660089041735</v>
      </c>
      <c r="AX54" s="375">
        <f>AX55*AX49</f>
        <v>29.721363635938491</v>
      </c>
      <c r="AY54" s="375">
        <f>AY55*AY49</f>
        <v>43.615778942898032</v>
      </c>
      <c r="AZ54" s="375">
        <f>AZ55*AZ49</f>
        <v>29.464657110564985</v>
      </c>
      <c r="BA54" s="375">
        <f>BA55*BA49</f>
        <v>7.3849942883881585</v>
      </c>
      <c r="BB54" s="375">
        <f>SUM(AX54:BA54)</f>
        <v>110.18679397778966</v>
      </c>
      <c r="BC54" s="375">
        <f>BC55*BC49</f>
        <v>33.166735097879197</v>
      </c>
      <c r="BD54" s="375">
        <f>BD55*BD49</f>
        <v>47.94763028307235</v>
      </c>
      <c r="BE54" s="375">
        <f>BE55*BE49</f>
        <v>33.402232380921326</v>
      </c>
      <c r="BF54" s="375">
        <f>BF55*BF49</f>
        <v>9.4417562461955189</v>
      </c>
      <c r="BG54" s="375">
        <f>SUM(BC54:BF54)</f>
        <v>123.9583540080684</v>
      </c>
      <c r="BH54" s="375">
        <f>BH55*BH49</f>
        <v>37.431818551667433</v>
      </c>
      <c r="BI54" s="375">
        <f>BI55*BI49</f>
        <v>53.487880389415899</v>
      </c>
      <c r="BJ54" s="375">
        <f>BJ55*BJ49</f>
        <v>38.134617246299705</v>
      </c>
      <c r="BK54" s="375">
        <f>BK55*BK49</f>
        <v>11.963053071228861</v>
      </c>
      <c r="BL54" s="375">
        <f>SUM(BH54:BK54)</f>
        <v>141.01736925861192</v>
      </c>
      <c r="BP54" s="375">
        <f t="shared" si="76"/>
        <v>122.759</v>
      </c>
      <c r="BQ54" s="375">
        <f t="shared" si="76"/>
        <v>97.080869036328238</v>
      </c>
      <c r="BR54" s="375">
        <f t="shared" si="76"/>
        <v>92.446093511720278</v>
      </c>
      <c r="BS54" s="375">
        <f t="shared" si="76"/>
        <v>98.876660089041735</v>
      </c>
      <c r="BT54" s="375">
        <f t="shared" si="76"/>
        <v>110.18679397778966</v>
      </c>
      <c r="BU54" s="375">
        <f t="shared" si="76"/>
        <v>123.9583540080684</v>
      </c>
      <c r="BV54" s="375">
        <f t="shared" si="76"/>
        <v>141.01736925861192</v>
      </c>
    </row>
    <row r="55" spans="1:74">
      <c r="A55" s="1" t="s">
        <v>1507</v>
      </c>
      <c r="AD55" s="16">
        <f t="shared" ref="AD55:AK55" si="77">AD54/AD49</f>
        <v>0.12781067524821771</v>
      </c>
      <c r="AE55" s="16">
        <f t="shared" si="77"/>
        <v>9.0217585085701296E-2</v>
      </c>
      <c r="AF55" s="16">
        <f t="shared" si="77"/>
        <v>0.25502723367744234</v>
      </c>
      <c r="AG55" s="16">
        <f t="shared" si="77"/>
        <v>-1.8834080717488683E-2</v>
      </c>
      <c r="AH55" s="16">
        <f t="shared" si="77"/>
        <v>0.18766873660426273</v>
      </c>
      <c r="AI55" s="16">
        <f t="shared" si="77"/>
        <v>0.15473626006520064</v>
      </c>
      <c r="AJ55" s="16">
        <f t="shared" si="77"/>
        <v>0.2198699030295731</v>
      </c>
      <c r="AK55" s="16">
        <f t="shared" si="77"/>
        <v>0.19497431711242699</v>
      </c>
      <c r="AL55" s="303">
        <v>2.5000000000000001E-2</v>
      </c>
      <c r="AM55" s="16">
        <f>AM54/AM49</f>
        <v>0.17767955646641059</v>
      </c>
      <c r="AN55" s="303">
        <v>0.15</v>
      </c>
      <c r="AO55" s="303">
        <v>0.22500000000000001</v>
      </c>
      <c r="AP55" s="303">
        <v>0.17499999999999999</v>
      </c>
      <c r="AQ55" s="303">
        <v>7.4999999999999997E-2</v>
      </c>
      <c r="AR55" s="16">
        <f>AR54/AR49</f>
        <v>0.17173398199339659</v>
      </c>
      <c r="AS55" s="303">
        <f>AN55+0.75%</f>
        <v>0.1575</v>
      </c>
      <c r="AT55" s="303">
        <f t="shared" ref="AT55:AV55" si="78">AO55+0.75%</f>
        <v>0.23250000000000001</v>
      </c>
      <c r="AU55" s="303">
        <f t="shared" si="78"/>
        <v>0.1825</v>
      </c>
      <c r="AV55" s="303">
        <f t="shared" si="78"/>
        <v>8.249999999999999E-2</v>
      </c>
      <c r="AW55" s="16">
        <f>AW54/AW49</f>
        <v>0.17709718484484982</v>
      </c>
      <c r="AX55" s="303">
        <f>AS55+0.75%</f>
        <v>0.16500000000000001</v>
      </c>
      <c r="AY55" s="303">
        <f t="shared" ref="AY55:BA55" si="79">AT55+0.75%</f>
        <v>0.24000000000000002</v>
      </c>
      <c r="AZ55" s="303">
        <f t="shared" si="79"/>
        <v>0.19</v>
      </c>
      <c r="BA55" s="303">
        <f t="shared" si="79"/>
        <v>0.09</v>
      </c>
      <c r="BB55" s="16">
        <f>BB54/BB49</f>
        <v>0.18395292382835396</v>
      </c>
      <c r="BC55" s="303">
        <f>AX55+0.75%</f>
        <v>0.17250000000000001</v>
      </c>
      <c r="BD55" s="303">
        <f t="shared" ref="BD55:BF55" si="80">AY55+0.75%</f>
        <v>0.24750000000000003</v>
      </c>
      <c r="BE55" s="303">
        <f t="shared" si="80"/>
        <v>0.19750000000000001</v>
      </c>
      <c r="BF55" s="303">
        <f t="shared" si="80"/>
        <v>9.7500000000000003E-2</v>
      </c>
      <c r="BG55" s="16">
        <f>BG54/BG49</f>
        <v>0.19013111612486103</v>
      </c>
      <c r="BH55" s="303">
        <f>BC55+0.75%</f>
        <v>0.18000000000000002</v>
      </c>
      <c r="BI55" s="303">
        <f t="shared" ref="BI55:BK55" si="81">BD55+0.75%</f>
        <v>0.255</v>
      </c>
      <c r="BJ55" s="303">
        <f t="shared" si="81"/>
        <v>0.20500000000000002</v>
      </c>
      <c r="BK55" s="303">
        <f t="shared" si="81"/>
        <v>0.10500000000000001</v>
      </c>
      <c r="BL55" s="380">
        <f>BL54/BL49</f>
        <v>0.19649406994806839</v>
      </c>
    </row>
    <row r="56" spans="1:74">
      <c r="BG56" s="44"/>
      <c r="BH56" s="44"/>
      <c r="BI56" s="44"/>
      <c r="BJ56" s="44"/>
      <c r="BK56" s="44"/>
      <c r="BL56" s="311" t="s">
        <v>1508</v>
      </c>
    </row>
    <row r="57" spans="1:74">
      <c r="A57" s="1" t="s">
        <v>1509</v>
      </c>
      <c r="AD57" s="376">
        <v>4711.4661880000003</v>
      </c>
      <c r="AE57" s="376">
        <v>4715.8063549999997</v>
      </c>
      <c r="AF57" s="376">
        <v>4719.6130819999998</v>
      </c>
      <c r="AG57" s="376">
        <v>4721.9669210000002</v>
      </c>
      <c r="AH57" s="375">
        <f>AG57</f>
        <v>4721.9669210000002</v>
      </c>
      <c r="AI57" s="376">
        <v>4735.0345889999999</v>
      </c>
      <c r="AJ57" s="376">
        <v>4736.0325769999999</v>
      </c>
      <c r="AK57" s="376">
        <v>4734.0394290000004</v>
      </c>
    </row>
    <row r="58" spans="1:74">
      <c r="A58" s="1" t="s">
        <v>1510</v>
      </c>
      <c r="AD58" s="376">
        <v>4711.4661880000003</v>
      </c>
      <c r="AE58" s="375">
        <f>2*AE57-AD57</f>
        <v>4720.1465219999991</v>
      </c>
      <c r="AF58" s="375">
        <f>3*AF57-AE57-AD57</f>
        <v>4731.5667029999986</v>
      </c>
      <c r="AG58" s="375">
        <f>4*AG57-AF57-AE57-AD57</f>
        <v>4740.9820589999999</v>
      </c>
      <c r="AH58" s="375">
        <f>AH57</f>
        <v>4721.9669210000002</v>
      </c>
      <c r="AI58" s="376">
        <v>4735.0345889999999</v>
      </c>
      <c r="AJ58" s="375">
        <f>2*AJ57-AI57</f>
        <v>4737.030565</v>
      </c>
      <c r="AK58" s="375">
        <f>3*AK57-AJ57-AI57</f>
        <v>4731.0511210000013</v>
      </c>
      <c r="AL58" s="377">
        <f>AK58</f>
        <v>4731.0511210000013</v>
      </c>
      <c r="AM58" s="375">
        <f>AVERAGE(AI58:AL58)</f>
        <v>4733.5418490000002</v>
      </c>
      <c r="AN58" s="377">
        <f>AL58</f>
        <v>4731.0511210000013</v>
      </c>
      <c r="AO58" s="377">
        <f>AN58</f>
        <v>4731.0511210000013</v>
      </c>
      <c r="AP58" s="377">
        <f>AO58</f>
        <v>4731.0511210000013</v>
      </c>
      <c r="AQ58" s="377">
        <f>AP58</f>
        <v>4731.0511210000013</v>
      </c>
      <c r="AR58" s="375">
        <f>AVERAGE(AN58:AQ58)</f>
        <v>4731.0511210000013</v>
      </c>
      <c r="AS58" s="377">
        <f>AQ58</f>
        <v>4731.0511210000013</v>
      </c>
      <c r="AT58" s="377">
        <f>AS58</f>
        <v>4731.0511210000013</v>
      </c>
      <c r="AU58" s="377">
        <f>AT58</f>
        <v>4731.0511210000013</v>
      </c>
      <c r="AV58" s="377">
        <f>AU58</f>
        <v>4731.0511210000013</v>
      </c>
      <c r="AW58" s="375">
        <f>AVERAGE(AS58:AV58)</f>
        <v>4731.0511210000013</v>
      </c>
      <c r="AX58" s="377">
        <f>AV58</f>
        <v>4731.0511210000013</v>
      </c>
      <c r="AY58" s="377">
        <f>AX58</f>
        <v>4731.0511210000013</v>
      </c>
      <c r="AZ58" s="377">
        <f>AY58</f>
        <v>4731.0511210000013</v>
      </c>
      <c r="BA58" s="377">
        <f>AZ58</f>
        <v>4731.0511210000013</v>
      </c>
      <c r="BB58" s="375">
        <f>AVERAGE(AX58:BA58)</f>
        <v>4731.0511210000013</v>
      </c>
      <c r="BC58" s="377">
        <f>BA58</f>
        <v>4731.0511210000013</v>
      </c>
      <c r="BD58" s="377">
        <f>BC58</f>
        <v>4731.0511210000013</v>
      </c>
      <c r="BE58" s="377">
        <f>BD58</f>
        <v>4731.0511210000013</v>
      </c>
      <c r="BF58" s="377">
        <f>BE58</f>
        <v>4731.0511210000013</v>
      </c>
      <c r="BG58" s="375">
        <f>AVERAGE(BC58:BF58)</f>
        <v>4731.0511210000013</v>
      </c>
      <c r="BH58" s="377">
        <f>BF58</f>
        <v>4731.0511210000013</v>
      </c>
      <c r="BI58" s="377">
        <f>BH58</f>
        <v>4731.0511210000013</v>
      </c>
      <c r="BJ58" s="377">
        <f>BI58</f>
        <v>4731.0511210000013</v>
      </c>
      <c r="BK58" s="377">
        <f>BJ58</f>
        <v>4731.0511210000013</v>
      </c>
      <c r="BL58" s="375">
        <f>AVERAGE(BH58:BK58)</f>
        <v>4731.0511210000013</v>
      </c>
      <c r="BP58" s="375">
        <f t="shared" ref="BP58:BV59" si="82">INDEX($AD58:$BL58, MATCH(BP$2, $AD$2:$BL$2, 0))</f>
        <v>4721.9669210000002</v>
      </c>
      <c r="BQ58" s="375">
        <f t="shared" si="82"/>
        <v>4733.5418490000002</v>
      </c>
      <c r="BR58" s="375">
        <f t="shared" si="82"/>
        <v>4731.0511210000013</v>
      </c>
      <c r="BS58" s="375">
        <f t="shared" si="82"/>
        <v>4731.0511210000013</v>
      </c>
      <c r="BT58" s="375">
        <f t="shared" si="82"/>
        <v>4731.0511210000013</v>
      </c>
      <c r="BU58" s="375">
        <f t="shared" si="82"/>
        <v>4731.0511210000013</v>
      </c>
      <c r="BV58" s="375">
        <f t="shared" si="82"/>
        <v>4731.0511210000013</v>
      </c>
    </row>
    <row r="59" spans="1:74">
      <c r="A59" s="1" t="s">
        <v>1511</v>
      </c>
      <c r="AD59" s="24">
        <f>1000*AD53/AD58</f>
        <v>26.979075075132428</v>
      </c>
      <c r="AE59" s="24">
        <f>1000*AE53/AE58</f>
        <v>22.694634478128606</v>
      </c>
      <c r="AF59" s="24">
        <f>1000*AF53/AF58</f>
        <v>57.9877696379165</v>
      </c>
      <c r="AG59" s="24">
        <f>1000*AG53/AG58</f>
        <v>4.8006931299800542</v>
      </c>
      <c r="AH59" s="24">
        <f>SUM(AD59:AG59)</f>
        <v>112.4621723211576</v>
      </c>
      <c r="AI59" s="24">
        <f>1000*AI53/AI58</f>
        <v>30.985834895661416</v>
      </c>
      <c r="AJ59" s="24">
        <f>1000*AJ53/AJ58</f>
        <v>32.81000573404576</v>
      </c>
      <c r="AK59" s="24">
        <f>1000*AK53/AK58</f>
        <v>22.096780889973388</v>
      </c>
      <c r="AL59" s="24">
        <f>1000*AL53/AL58</f>
        <v>9.0007254894765403</v>
      </c>
      <c r="AM59" s="24">
        <f>SUM(AI59:AL59)</f>
        <v>94.893347009157097</v>
      </c>
      <c r="AN59" s="24">
        <f>1000*AN53/AN58</f>
        <v>30.3516538066878</v>
      </c>
      <c r="AO59" s="24">
        <f>1000*AO53/AO58</f>
        <v>27.53303281543614</v>
      </c>
      <c r="AP59" s="24">
        <f>1000*AP53/AP58</f>
        <v>24.74631328300811</v>
      </c>
      <c r="AQ59" s="24">
        <f>1000*AQ53/AQ58</f>
        <v>11.611007153451174</v>
      </c>
      <c r="AR59" s="24">
        <f>SUM(AN59:AQ59)</f>
        <v>94.242007058583212</v>
      </c>
      <c r="AS59" s="24">
        <f>1000*AS53/AS58</f>
        <v>30.6954532151446</v>
      </c>
      <c r="AT59" s="24">
        <f>1000*AT53/AT58</f>
        <v>27.440798960810273</v>
      </c>
      <c r="AU59" s="24">
        <f>1000*AU53/AU58</f>
        <v>25.08093469878651</v>
      </c>
      <c r="AV59" s="24">
        <f>1000*AV53/AV58</f>
        <v>13.894844279717878</v>
      </c>
      <c r="AW59" s="24">
        <f>SUM(AS59:AV59)</f>
        <v>97.11203115445926</v>
      </c>
      <c r="AX59" s="24">
        <f>1000*AX53/AX58</f>
        <v>31.791690493024131</v>
      </c>
      <c r="AY59" s="24">
        <f>1000*AY53/AY58</f>
        <v>29.193646356115341</v>
      </c>
      <c r="AZ59" s="24">
        <f>1000*AZ53/AZ58</f>
        <v>26.550650661764241</v>
      </c>
      <c r="BA59" s="24">
        <f>1000*BA53/BA58</f>
        <v>15.783067207489934</v>
      </c>
      <c r="BB59" s="24">
        <f>SUM(AX59:BA59)</f>
        <v>103.31905471839364</v>
      </c>
      <c r="BC59" s="24">
        <f>1000*BC53/BC58</f>
        <v>33.629776752895985</v>
      </c>
      <c r="BD59" s="24">
        <f>1000*BD53/BD58</f>
        <v>30.813484173394166</v>
      </c>
      <c r="BE59" s="24">
        <f>1000*BE53/BE58</f>
        <v>28.687704147141446</v>
      </c>
      <c r="BF59" s="24">
        <f>1000*BF53/BF58</f>
        <v>18.473013104397985</v>
      </c>
      <c r="BG59" s="24">
        <f>SUM(BC59:BF59)</f>
        <v>111.60397817782959</v>
      </c>
      <c r="BH59" s="24">
        <f>1000*BH53/BH58</f>
        <v>36.043307205176148</v>
      </c>
      <c r="BI59" s="24">
        <f>1000*BI53/BI58</f>
        <v>33.030400496187745</v>
      </c>
      <c r="BJ59" s="24">
        <f>1000*BJ53/BJ58</f>
        <v>31.258995543282719</v>
      </c>
      <c r="BK59" s="24">
        <f>1000*BK53/BK58</f>
        <v>21.553515930055262</v>
      </c>
      <c r="BL59" s="24">
        <f>SUM(BH59:BK59)</f>
        <v>121.88621917470189</v>
      </c>
      <c r="BP59" s="375">
        <f t="shared" si="82"/>
        <v>112.4621723211576</v>
      </c>
      <c r="BQ59" s="375">
        <f t="shared" si="82"/>
        <v>94.893347009157097</v>
      </c>
      <c r="BR59" s="375">
        <f t="shared" si="82"/>
        <v>94.242007058583212</v>
      </c>
      <c r="BS59" s="375">
        <f t="shared" si="82"/>
        <v>97.11203115445926</v>
      </c>
      <c r="BT59" s="375">
        <f t="shared" si="82"/>
        <v>103.31905471839364</v>
      </c>
      <c r="BU59" s="375">
        <f t="shared" si="82"/>
        <v>111.60397817782959</v>
      </c>
      <c r="BV59" s="375">
        <f t="shared" si="82"/>
        <v>121.88621917470189</v>
      </c>
    </row>
    <row r="61" spans="1:74">
      <c r="A61" s="3" t="s">
        <v>1512</v>
      </c>
    </row>
    <row r="62" spans="1:74" outlineLevel="1"/>
    <row r="63" spans="1:74" outlineLevel="1">
      <c r="A63" s="1" t="s">
        <v>1513</v>
      </c>
      <c r="AD63" s="375">
        <f>'Consolidated KK'!AD93</f>
        <v>344.1</v>
      </c>
      <c r="AE63" s="375">
        <f>'Consolidated KK'!AE93</f>
        <v>347</v>
      </c>
      <c r="AF63" s="375">
        <f>'Consolidated KK'!AF93</f>
        <v>311.29999999999995</v>
      </c>
      <c r="AG63" s="375">
        <f>'Consolidated KK'!AG93</f>
        <v>231.39999999999998</v>
      </c>
      <c r="AH63" s="375">
        <f>'Consolidated KK'!AH93</f>
        <v>1233.7999999999997</v>
      </c>
      <c r="AI63" s="375">
        <f>'Consolidated KK'!AI93</f>
        <v>331</v>
      </c>
      <c r="AJ63" s="375">
        <f>'Consolidated KK'!AJ93</f>
        <v>356.29999999999995</v>
      </c>
      <c r="AK63" s="375">
        <f>'Consolidated KK'!AK93</f>
        <v>308.59999999999997</v>
      </c>
      <c r="AL63" s="375">
        <f>'Consolidated KK'!AL93</f>
        <v>215.85222921389479</v>
      </c>
      <c r="AM63" s="375">
        <f>'Consolidated KK'!AM93</f>
        <v>1211.7522292138949</v>
      </c>
      <c r="AN63" s="375">
        <f>'Consolidated KK'!AN93</f>
        <v>332.04255110034842</v>
      </c>
      <c r="AO63" s="375">
        <f>'Consolidated KK'!AO93</f>
        <v>344.26381137796852</v>
      </c>
      <c r="AP63" s="375">
        <f>'Consolidated KK'!AP93</f>
        <v>302.00410149422976</v>
      </c>
      <c r="AQ63" s="375">
        <f>'Consolidated KK'!AQ93</f>
        <v>221.10745959050286</v>
      </c>
      <c r="AR63" s="375">
        <f>'Consolidated KK'!AR93</f>
        <v>1199.4179235630495</v>
      </c>
      <c r="AS63" s="375">
        <f>'Consolidated KK'!AS93</f>
        <v>331.31598054637681</v>
      </c>
      <c r="AT63" s="375">
        <f>'Consolidated KK'!AT93</f>
        <v>343.10268931536791</v>
      </c>
      <c r="AU63" s="375">
        <f>'Consolidated KK'!AU93</f>
        <v>301.07961493411415</v>
      </c>
      <c r="AV63" s="375">
        <f>'Consolidated KK'!AV93</f>
        <v>224.92246071243733</v>
      </c>
      <c r="AW63" s="375">
        <f>'Consolidated KK'!AW93</f>
        <v>1200.420745508296</v>
      </c>
      <c r="AX63" s="375">
        <f>'Consolidated KK'!AX93</f>
        <v>334.79947119513974</v>
      </c>
      <c r="AY63" s="375">
        <f>'Consolidated KK'!AY93</f>
        <v>346.3720272607826</v>
      </c>
      <c r="AZ63" s="375">
        <f>'Consolidated KK'!AZ93</f>
        <v>304.83140413024017</v>
      </c>
      <c r="BA63" s="375">
        <f>'Consolidated KK'!BA93</f>
        <v>232.1903651331703</v>
      </c>
      <c r="BB63" s="375">
        <f>'Consolidated KK'!BB93</f>
        <v>1218.1932677193327</v>
      </c>
      <c r="BC63" s="375">
        <f>'Consolidated KK'!BC93</f>
        <v>341.70130730565813</v>
      </c>
      <c r="BD63" s="375">
        <f>'Consolidated KK'!BD93</f>
        <v>353.90919604524129</v>
      </c>
      <c r="BE63" s="375">
        <f>'Consolidated KK'!BE93</f>
        <v>312.75737007330775</v>
      </c>
      <c r="BF63" s="375">
        <f>'Consolidated KK'!BF93</f>
        <v>241.65008459201218</v>
      </c>
      <c r="BG63" s="375">
        <f>'Consolidated KK'!BG93</f>
        <v>1250.0179580162194</v>
      </c>
      <c r="BH63" s="375">
        <f>'Consolidated KK'!BH93</f>
        <v>351.30421952344136</v>
      </c>
      <c r="BI63" s="375">
        <f>'Consolidated KK'!BI93</f>
        <v>364.61267443160875</v>
      </c>
      <c r="BJ63" s="375">
        <f>'Consolidated KK'!BJ93</f>
        <v>324.16024830873113</v>
      </c>
      <c r="BK63" s="375">
        <f>'Consolidated KK'!BK93</f>
        <v>252.77898820380324</v>
      </c>
      <c r="BL63" s="375">
        <f>'Consolidated KK'!BL93</f>
        <v>1292.8561304675845</v>
      </c>
    </row>
    <row r="64" spans="1:74" outlineLevel="1">
      <c r="A64" s="1" t="s">
        <v>1514</v>
      </c>
      <c r="AD64" s="375">
        <f>'Consolidated KK'!AD154</f>
        <v>112.06199999999998</v>
      </c>
      <c r="AE64" s="375">
        <f>'Consolidated KK'!AE154</f>
        <v>112.577</v>
      </c>
      <c r="AF64" s="375">
        <f>'Consolidated KK'!AF154</f>
        <v>110.393</v>
      </c>
      <c r="AG64" s="375">
        <f>'Consolidated KK'!AG154</f>
        <v>109.59199999999998</v>
      </c>
      <c r="AH64" s="375">
        <f>'Consolidated KK'!AH154</f>
        <v>444.62399999999997</v>
      </c>
      <c r="AI64" s="375">
        <f>'Consolidated KK'!AI154</f>
        <v>99.336999999999989</v>
      </c>
      <c r="AJ64" s="375">
        <f>'Consolidated KK'!AJ154</f>
        <v>95.321000000000012</v>
      </c>
      <c r="AK64" s="375">
        <f>'Consolidated KK'!AK154</f>
        <v>104.09699999999999</v>
      </c>
      <c r="AL64" s="375">
        <f>'Consolidated KK'!AL154</f>
        <v>100.07540212401292</v>
      </c>
      <c r="AM64" s="375">
        <f>'Consolidated KK'!AM154</f>
        <v>398.83040212401295</v>
      </c>
      <c r="AN64" s="375">
        <f>'Consolidated KK'!AN154</f>
        <v>99.315516859767058</v>
      </c>
      <c r="AO64" s="375">
        <f>'Consolidated KK'!AO154</f>
        <v>99.655166720878171</v>
      </c>
      <c r="AP64" s="375">
        <f>'Consolidated KK'!AP154</f>
        <v>99.970529529643485</v>
      </c>
      <c r="AQ64" s="375">
        <f>'Consolidated KK'!AQ154</f>
        <v>100.60970184510812</v>
      </c>
      <c r="AR64" s="375">
        <f>'Consolidated KK'!AR154</f>
        <v>399.55091495539682</v>
      </c>
      <c r="AS64" s="375">
        <f>'Consolidated KK'!AS154</f>
        <v>99.194001514469576</v>
      </c>
      <c r="AT64" s="375">
        <f>'Consolidated KK'!AT154</f>
        <v>99.544552204907859</v>
      </c>
      <c r="AU64" s="375">
        <f>'Consolidated KK'!AU154</f>
        <v>99.858834603892092</v>
      </c>
      <c r="AV64" s="375">
        <f>'Consolidated KK'!AV154</f>
        <v>100.51154950159128</v>
      </c>
      <c r="AW64" s="375">
        <f>'Consolidated KK'!AW154</f>
        <v>399.1089378248609</v>
      </c>
      <c r="AX64" s="375">
        <f>'Consolidated KK'!AX154</f>
        <v>99.054588588156875</v>
      </c>
      <c r="AY64" s="375">
        <f>'Consolidated KK'!AY154</f>
        <v>99.411540622676341</v>
      </c>
      <c r="AZ64" s="375">
        <f>'Consolidated KK'!AZ154</f>
        <v>99.730112683525078</v>
      </c>
      <c r="BA64" s="375">
        <f>'Consolidated KK'!BA154</f>
        <v>100.39137810918643</v>
      </c>
      <c r="BB64" s="375">
        <f>'Consolidated KK'!BB154</f>
        <v>398.58762000354471</v>
      </c>
      <c r="BC64" s="375">
        <f>'Consolidated KK'!BC154</f>
        <v>98.892617134838844</v>
      </c>
      <c r="BD64" s="375">
        <f>'Consolidated KK'!BD154</f>
        <v>99.253622649347307</v>
      </c>
      <c r="BE64" s="375">
        <f>'Consolidated KK'!BE154</f>
        <v>99.57667055654278</v>
      </c>
      <c r="BF64" s="375">
        <f>'Consolidated KK'!BF154</f>
        <v>100.2439630022165</v>
      </c>
      <c r="BG64" s="375">
        <f>'Consolidated KK'!BG154</f>
        <v>397.96687334294541</v>
      </c>
      <c r="BH64" s="375">
        <f>'Consolidated KK'!BH154</f>
        <v>98.71634413578974</v>
      </c>
      <c r="BI64" s="375">
        <f>'Consolidated KK'!BI154</f>
        <v>99.078926344952237</v>
      </c>
      <c r="BJ64" s="375">
        <f>'Consolidated KK'!BJ154</f>
        <v>99.407209679328332</v>
      </c>
      <c r="BK64" s="375">
        <f>'Consolidated KK'!BK154</f>
        <v>100.07756636181375</v>
      </c>
      <c r="BL64" s="375">
        <f>'Consolidated KK'!BL154</f>
        <v>397.28004652188406</v>
      </c>
    </row>
    <row r="65" spans="1:74" outlineLevel="1">
      <c r="A65" s="9" t="s">
        <v>1515</v>
      </c>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378">
        <f t="shared" ref="AD65:BL65" si="83">AD63-AD64</f>
        <v>232.03800000000004</v>
      </c>
      <c r="AE65" s="378">
        <f t="shared" si="83"/>
        <v>234.423</v>
      </c>
      <c r="AF65" s="378">
        <f t="shared" si="83"/>
        <v>200.90699999999995</v>
      </c>
      <c r="AG65" s="378">
        <f t="shared" si="83"/>
        <v>121.80799999999999</v>
      </c>
      <c r="AH65" s="378">
        <f t="shared" si="83"/>
        <v>789.1759999999997</v>
      </c>
      <c r="AI65" s="378">
        <f t="shared" si="83"/>
        <v>231.66300000000001</v>
      </c>
      <c r="AJ65" s="378">
        <f t="shared" si="83"/>
        <v>260.97899999999993</v>
      </c>
      <c r="AK65" s="378">
        <f t="shared" si="83"/>
        <v>204.50299999999999</v>
      </c>
      <c r="AL65" s="378">
        <f t="shared" si="83"/>
        <v>115.77682708988186</v>
      </c>
      <c r="AM65" s="378">
        <f t="shared" si="83"/>
        <v>812.92182708988196</v>
      </c>
      <c r="AN65" s="378">
        <f t="shared" si="83"/>
        <v>232.72703424058136</v>
      </c>
      <c r="AO65" s="378">
        <f t="shared" si="83"/>
        <v>244.60864465709034</v>
      </c>
      <c r="AP65" s="378">
        <f t="shared" si="83"/>
        <v>202.03357196458626</v>
      </c>
      <c r="AQ65" s="378">
        <f t="shared" si="83"/>
        <v>120.49775774539474</v>
      </c>
      <c r="AR65" s="378">
        <f t="shared" si="83"/>
        <v>799.86700860765268</v>
      </c>
      <c r="AS65" s="378">
        <f t="shared" si="83"/>
        <v>232.12197903190724</v>
      </c>
      <c r="AT65" s="378">
        <f t="shared" si="83"/>
        <v>243.55813711046005</v>
      </c>
      <c r="AU65" s="378">
        <f t="shared" si="83"/>
        <v>201.22078033022206</v>
      </c>
      <c r="AV65" s="378">
        <f t="shared" si="83"/>
        <v>124.41091121084605</v>
      </c>
      <c r="AW65" s="378">
        <f t="shared" si="83"/>
        <v>801.31180768343506</v>
      </c>
      <c r="AX65" s="378">
        <f t="shared" si="83"/>
        <v>235.74488260698286</v>
      </c>
      <c r="AY65" s="378">
        <f t="shared" si="83"/>
        <v>246.96048663810626</v>
      </c>
      <c r="AZ65" s="378">
        <f t="shared" si="83"/>
        <v>205.10129144671509</v>
      </c>
      <c r="BA65" s="378">
        <f t="shared" si="83"/>
        <v>131.79898702398387</v>
      </c>
      <c r="BB65" s="378">
        <f t="shared" si="83"/>
        <v>819.60564771578788</v>
      </c>
      <c r="BC65" s="378">
        <f t="shared" si="83"/>
        <v>242.80869017081929</v>
      </c>
      <c r="BD65" s="378">
        <f t="shared" si="83"/>
        <v>254.65557339589398</v>
      </c>
      <c r="BE65" s="378">
        <f t="shared" si="83"/>
        <v>213.18069951676497</v>
      </c>
      <c r="BF65" s="378">
        <f t="shared" si="83"/>
        <v>141.40612158979567</v>
      </c>
      <c r="BG65" s="378">
        <f t="shared" si="83"/>
        <v>852.05108467327398</v>
      </c>
      <c r="BH65" s="378">
        <f t="shared" si="83"/>
        <v>252.58787538765162</v>
      </c>
      <c r="BI65" s="378">
        <f t="shared" si="83"/>
        <v>265.53374808665649</v>
      </c>
      <c r="BJ65" s="378">
        <f t="shared" si="83"/>
        <v>224.75303862940279</v>
      </c>
      <c r="BK65" s="378">
        <f t="shared" si="83"/>
        <v>152.70142184198949</v>
      </c>
      <c r="BL65" s="378">
        <f t="shared" si="83"/>
        <v>895.57608394570047</v>
      </c>
    </row>
    <row r="66" spans="1:74" outlineLevel="1"/>
    <row r="67" spans="1:74" outlineLevel="1">
      <c r="A67" s="1" t="s">
        <v>1516</v>
      </c>
      <c r="AD67" s="375">
        <f>'Consolidated KK'!AD94</f>
        <v>86.5</v>
      </c>
      <c r="AE67" s="375">
        <f>'Consolidated KK'!AE94</f>
        <v>80.599999999999994</v>
      </c>
      <c r="AF67" s="375">
        <f>'Consolidated KK'!AF94</f>
        <v>93.6</v>
      </c>
      <c r="AG67" s="375">
        <f>'Consolidated KK'!AG94</f>
        <v>71.900000000000034</v>
      </c>
      <c r="AH67" s="375">
        <f>'Consolidated KK'!AH94</f>
        <v>332.6</v>
      </c>
      <c r="AI67" s="375">
        <f>'Consolidated KK'!AI94</f>
        <v>99.9</v>
      </c>
      <c r="AJ67" s="375">
        <f>'Consolidated KK'!AJ94</f>
        <v>103.4</v>
      </c>
      <c r="AK67" s="375">
        <f>'Consolidated KK'!AK94</f>
        <v>109.80000000000001</v>
      </c>
      <c r="AL67" s="375">
        <f>'Consolidated KK'!AL94</f>
        <v>80.319593763835343</v>
      </c>
      <c r="AM67" s="375">
        <f>'Consolidated KK'!AM94</f>
        <v>393.41959376383534</v>
      </c>
      <c r="AN67" s="375">
        <f>'Consolidated KK'!AN94</f>
        <v>108.34363948434314</v>
      </c>
      <c r="AO67" s="375">
        <f>'Consolidated KK'!AO94</f>
        <v>110.72417238389657</v>
      </c>
      <c r="AP67" s="375">
        <f>'Consolidated KK'!AP94</f>
        <v>108.97389278222609</v>
      </c>
      <c r="AQ67" s="375">
        <f>'Consolidated KK'!AQ94</f>
        <v>83.130004336284756</v>
      </c>
      <c r="AR67" s="375">
        <f>'Consolidated KK'!AR94</f>
        <v>411.17170898675056</v>
      </c>
      <c r="AS67" s="375">
        <f>'Consolidated KK'!AS94</f>
        <v>113.49824469572326</v>
      </c>
      <c r="AT67" s="375">
        <f>'Consolidated KK'!AT94</f>
        <v>112.80465763805361</v>
      </c>
      <c r="AU67" s="375">
        <f>'Consolidated KK'!AU94</f>
        <v>113.83903751425073</v>
      </c>
      <c r="AV67" s="375">
        <f>'Consolidated KK'!AV94</f>
        <v>96.082588370169447</v>
      </c>
      <c r="AW67" s="375">
        <f>'Consolidated KK'!AW94</f>
        <v>436.22452821819707</v>
      </c>
      <c r="AX67" s="375">
        <f>'Consolidated KK'!AX94</f>
        <v>120.07552783244003</v>
      </c>
      <c r="AY67" s="375">
        <f>'Consolidated KK'!AY94</f>
        <v>126.25104461405623</v>
      </c>
      <c r="AZ67" s="375">
        <f>'Consolidated KK'!AZ94</f>
        <v>123.16106419199559</v>
      </c>
      <c r="BA67" s="375">
        <f>'Consolidated KK'!BA94</f>
        <v>102.42820895424256</v>
      </c>
      <c r="BB67" s="375">
        <f>'Consolidated KK'!BB94</f>
        <v>471.9158455927344</v>
      </c>
      <c r="BC67" s="375">
        <f>'Consolidated KK'!BC94</f>
        <v>129.00329532418331</v>
      </c>
      <c r="BD67" s="375">
        <f>'Consolidated KK'!BD94</f>
        <v>134.12726125183744</v>
      </c>
      <c r="BE67" s="375">
        <f>'Consolidated KK'!BE94</f>
        <v>133.45133178169272</v>
      </c>
      <c r="BF67" s="375">
        <f>'Consolidated KK'!BF94</f>
        <v>112.04931291921739</v>
      </c>
      <c r="BG67" s="375">
        <f>'Consolidated KK'!BG94</f>
        <v>508.63120127693082</v>
      </c>
      <c r="BH67" s="375">
        <f>'Consolidated KK'!BH94</f>
        <v>139.67007357249472</v>
      </c>
      <c r="BI67" s="375">
        <f>'Consolidated KK'!BI94</f>
        <v>143.82607645249573</v>
      </c>
      <c r="BJ67" s="375">
        <f>'Consolidated KK'!BJ94</f>
        <v>143.76139633999583</v>
      </c>
      <c r="BK67" s="375">
        <f>'Consolidated KK'!BK94</f>
        <v>122.59676938434397</v>
      </c>
      <c r="BL67" s="375">
        <f>'Consolidated KK'!BL94</f>
        <v>549.85431574933023</v>
      </c>
    </row>
    <row r="68" spans="1:74" outlineLevel="1">
      <c r="A68" s="1" t="s">
        <v>1517</v>
      </c>
      <c r="AD68" s="375">
        <f>'Consolidated KK'!AD155</f>
        <v>34.637999999999998</v>
      </c>
      <c r="AE68" s="375">
        <f>'Consolidated KK'!AE155</f>
        <v>35.122999999999998</v>
      </c>
      <c r="AF68" s="375">
        <f>'Consolidated KK'!AF155</f>
        <v>38.306999999999995</v>
      </c>
      <c r="AG68" s="375">
        <f>'Consolidated KK'!AG155</f>
        <v>40.708000000000034</v>
      </c>
      <c r="AH68" s="375">
        <f>'Consolidated KK'!AH155</f>
        <v>148.77600000000001</v>
      </c>
      <c r="AI68" s="375">
        <f>'Consolidated KK'!AI155</f>
        <v>42.363</v>
      </c>
      <c r="AJ68" s="375">
        <f>'Consolidated KK'!AJ155</f>
        <v>43.578999999999994</v>
      </c>
      <c r="AK68" s="375">
        <f>'Consolidated KK'!AK155</f>
        <v>39.903000000000006</v>
      </c>
      <c r="AL68" s="375">
        <f>'Consolidated KK'!AL155</f>
        <v>43.803216992103607</v>
      </c>
      <c r="AM68" s="375">
        <f>'Consolidated KK'!AM155</f>
        <v>169.64821699210361</v>
      </c>
      <c r="AN68" s="375">
        <f>'Consolidated KK'!AN155</f>
        <v>41.681294878136526</v>
      </c>
      <c r="AO68" s="375">
        <f>'Consolidated KK'!AO155</f>
        <v>43.509693767025411</v>
      </c>
      <c r="AP68" s="375">
        <f>'Consolidated KK'!AP155</f>
        <v>42.699596237147901</v>
      </c>
      <c r="AQ68" s="375">
        <f>'Consolidated KK'!AQ155</f>
        <v>45.393216760864831</v>
      </c>
      <c r="AR68" s="375">
        <f>'Consolidated KK'!AR155</f>
        <v>173.28380164317468</v>
      </c>
      <c r="AS68" s="375">
        <f>'Consolidated KK'!AS155</f>
        <v>42.84874371575647</v>
      </c>
      <c r="AT68" s="375">
        <f>'Consolidated KK'!AT155</f>
        <v>44.755461239262985</v>
      </c>
      <c r="AU68" s="375">
        <f>'Consolidated KK'!AU155</f>
        <v>43.903390431136785</v>
      </c>
      <c r="AV68" s="375">
        <f>'Consolidated KK'!AV155</f>
        <v>46.681154032730383</v>
      </c>
      <c r="AW68" s="375">
        <f>'Consolidated KK'!AW155</f>
        <v>178.18874941888663</v>
      </c>
      <c r="AX68" s="375">
        <f>'Consolidated KK'!AX155</f>
        <v>43.678907621254908</v>
      </c>
      <c r="AY68" s="375">
        <f>'Consolidated KK'!AY155</f>
        <v>45.62785901741082</v>
      </c>
      <c r="AZ68" s="375">
        <f>'Consolidated KK'!AZ155</f>
        <v>44.776442204200997</v>
      </c>
      <c r="BA68" s="375">
        <f>'Consolidated KK'!BA155</f>
        <v>47.598170473691717</v>
      </c>
      <c r="BB68" s="375">
        <f>'Consolidated KK'!BB155</f>
        <v>181.68137931655843</v>
      </c>
      <c r="BC68" s="375">
        <f>'Consolidated KK'!BC155</f>
        <v>44.129670483870775</v>
      </c>
      <c r="BD68" s="375">
        <f>'Consolidated KK'!BD155</f>
        <v>46.101983071138342</v>
      </c>
      <c r="BE68" s="375">
        <f>'Consolidated KK'!BE155</f>
        <v>45.252373095702325</v>
      </c>
      <c r="BF68" s="375">
        <f>'Consolidated KK'!BF155</f>
        <v>48.09763357393394</v>
      </c>
      <c r="BG68" s="375">
        <f>'Consolidated KK'!BG155</f>
        <v>183.58166022464536</v>
      </c>
      <c r="BH68" s="375">
        <f>'Consolidated KK'!BH155</f>
        <v>44.262139138029511</v>
      </c>
      <c r="BI68" s="375">
        <f>'Consolidated KK'!BI155</f>
        <v>46.237907967241433</v>
      </c>
      <c r="BJ68" s="375">
        <f>'Consolidated KK'!BJ155</f>
        <v>45.395841476920346</v>
      </c>
      <c r="BK68" s="375">
        <f>'Consolidated KK'!BK155</f>
        <v>48.240685058773956</v>
      </c>
      <c r="BL68" s="375">
        <f>'Consolidated KK'!BL155</f>
        <v>184.13657364096522</v>
      </c>
    </row>
    <row r="69" spans="1:74" outlineLevel="1">
      <c r="A69" s="9" t="s">
        <v>1518</v>
      </c>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378">
        <f>AD67-AD68</f>
        <v>51.862000000000002</v>
      </c>
      <c r="AE69" s="378">
        <f t="shared" ref="AE69:AH69" si="84">AE67-AE68</f>
        <v>45.476999999999997</v>
      </c>
      <c r="AF69" s="378">
        <f t="shared" si="84"/>
        <v>55.292999999999999</v>
      </c>
      <c r="AG69" s="378">
        <f t="shared" si="84"/>
        <v>31.192</v>
      </c>
      <c r="AH69" s="378">
        <f t="shared" si="84"/>
        <v>183.82400000000001</v>
      </c>
      <c r="AI69" s="378">
        <f>AI67-AI68</f>
        <v>57.537000000000006</v>
      </c>
      <c r="AJ69" s="378">
        <f t="shared" ref="AJ69:AM69" si="85">AJ67-AJ68</f>
        <v>59.821000000000012</v>
      </c>
      <c r="AK69" s="378">
        <f t="shared" si="85"/>
        <v>69.897000000000006</v>
      </c>
      <c r="AL69" s="378">
        <f t="shared" si="85"/>
        <v>36.516376771731736</v>
      </c>
      <c r="AM69" s="378">
        <f t="shared" si="85"/>
        <v>223.77137677173172</v>
      </c>
      <c r="AN69" s="378">
        <f>AN67-AN68</f>
        <v>66.662344606206617</v>
      </c>
      <c r="AO69" s="378">
        <f t="shared" ref="AO69:AR69" si="86">AO67-AO68</f>
        <v>67.214478616871162</v>
      </c>
      <c r="AP69" s="378">
        <f t="shared" si="86"/>
        <v>66.274296545078187</v>
      </c>
      <c r="AQ69" s="378">
        <f t="shared" si="86"/>
        <v>37.736787575419925</v>
      </c>
      <c r="AR69" s="378">
        <f t="shared" si="86"/>
        <v>237.88790734357588</v>
      </c>
      <c r="AS69" s="378">
        <f>AS67-AS68</f>
        <v>70.649500979966788</v>
      </c>
      <c r="AT69" s="378">
        <f t="shared" ref="AT69:AW69" si="87">AT67-AT68</f>
        <v>68.049196398790627</v>
      </c>
      <c r="AU69" s="378">
        <f t="shared" si="87"/>
        <v>69.935647083113949</v>
      </c>
      <c r="AV69" s="378">
        <f t="shared" si="87"/>
        <v>49.401434337439063</v>
      </c>
      <c r="AW69" s="378">
        <f t="shared" si="87"/>
        <v>258.03577879931044</v>
      </c>
      <c r="AX69" s="378">
        <f>AX67-AX68</f>
        <v>76.396620211185123</v>
      </c>
      <c r="AY69" s="378">
        <f t="shared" ref="AY69:BB69" si="88">AY67-AY68</f>
        <v>80.623185596645413</v>
      </c>
      <c r="AZ69" s="378">
        <f t="shared" si="88"/>
        <v>78.384621987794588</v>
      </c>
      <c r="BA69" s="378">
        <f t="shared" si="88"/>
        <v>54.830038480550847</v>
      </c>
      <c r="BB69" s="378">
        <f t="shared" si="88"/>
        <v>290.23446627617597</v>
      </c>
      <c r="BC69" s="378">
        <f>BC67-BC68</f>
        <v>84.873624840312544</v>
      </c>
      <c r="BD69" s="378">
        <f t="shared" ref="BD69:BG69" si="89">BD67-BD68</f>
        <v>88.025278180699104</v>
      </c>
      <c r="BE69" s="378">
        <f t="shared" si="89"/>
        <v>88.198958685990391</v>
      </c>
      <c r="BF69" s="378">
        <f t="shared" si="89"/>
        <v>63.951679345283445</v>
      </c>
      <c r="BG69" s="378">
        <f t="shared" si="89"/>
        <v>325.04954105228546</v>
      </c>
      <c r="BH69" s="378">
        <f>BH67-BH68</f>
        <v>95.407934434465204</v>
      </c>
      <c r="BI69" s="378">
        <f t="shared" ref="BI69:BL69" si="90">BI67-BI68</f>
        <v>97.5881684852543</v>
      </c>
      <c r="BJ69" s="378">
        <f t="shared" si="90"/>
        <v>98.365554863075488</v>
      </c>
      <c r="BK69" s="378">
        <f t="shared" si="90"/>
        <v>74.356084325570009</v>
      </c>
      <c r="BL69" s="378">
        <f t="shared" si="90"/>
        <v>365.71774210836497</v>
      </c>
    </row>
    <row r="70" spans="1:74" outlineLevel="1"/>
    <row r="71" spans="1:74" outlineLevel="1">
      <c r="A71" s="9" t="s">
        <v>1519</v>
      </c>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381">
        <f t="shared" ref="AD71:BL71" si="91">AD65+AD69</f>
        <v>283.90000000000003</v>
      </c>
      <c r="AE71" s="381">
        <f t="shared" si="91"/>
        <v>279.89999999999998</v>
      </c>
      <c r="AF71" s="381">
        <f t="shared" si="91"/>
        <v>256.19999999999993</v>
      </c>
      <c r="AG71" s="381">
        <f t="shared" si="91"/>
        <v>153</v>
      </c>
      <c r="AH71" s="381">
        <f t="shared" si="91"/>
        <v>972.99999999999977</v>
      </c>
      <c r="AI71" s="381">
        <f t="shared" si="91"/>
        <v>289.20000000000005</v>
      </c>
      <c r="AJ71" s="381">
        <f t="shared" si="91"/>
        <v>320.79999999999995</v>
      </c>
      <c r="AK71" s="381">
        <f t="shared" si="91"/>
        <v>274.39999999999998</v>
      </c>
      <c r="AL71" s="381">
        <f t="shared" si="91"/>
        <v>152.29320386161359</v>
      </c>
      <c r="AM71" s="381">
        <f t="shared" si="91"/>
        <v>1036.6932038616137</v>
      </c>
      <c r="AN71" s="381">
        <f t="shared" si="91"/>
        <v>299.38937884678796</v>
      </c>
      <c r="AO71" s="381">
        <f t="shared" si="91"/>
        <v>311.82312327396153</v>
      </c>
      <c r="AP71" s="381">
        <f t="shared" si="91"/>
        <v>268.30786850966444</v>
      </c>
      <c r="AQ71" s="381">
        <f t="shared" si="91"/>
        <v>158.23454532081468</v>
      </c>
      <c r="AR71" s="381">
        <f t="shared" si="91"/>
        <v>1037.7549159512287</v>
      </c>
      <c r="AS71" s="381">
        <f t="shared" si="91"/>
        <v>302.77148001187402</v>
      </c>
      <c r="AT71" s="381">
        <f t="shared" si="91"/>
        <v>311.60733350925068</v>
      </c>
      <c r="AU71" s="381">
        <f t="shared" si="91"/>
        <v>271.15642741333602</v>
      </c>
      <c r="AV71" s="381">
        <f t="shared" si="91"/>
        <v>173.81234554828512</v>
      </c>
      <c r="AW71" s="381">
        <f t="shared" si="91"/>
        <v>1059.3475864827456</v>
      </c>
      <c r="AX71" s="381">
        <f t="shared" si="91"/>
        <v>312.14150281816796</v>
      </c>
      <c r="AY71" s="381">
        <f t="shared" si="91"/>
        <v>327.5836722347517</v>
      </c>
      <c r="AZ71" s="381">
        <f t="shared" si="91"/>
        <v>283.48591343450971</v>
      </c>
      <c r="BA71" s="381">
        <f t="shared" si="91"/>
        <v>186.62902550453472</v>
      </c>
      <c r="BB71" s="381">
        <f t="shared" si="91"/>
        <v>1109.8401139919638</v>
      </c>
      <c r="BC71" s="381">
        <f t="shared" si="91"/>
        <v>327.68231501113183</v>
      </c>
      <c r="BD71" s="381">
        <f t="shared" si="91"/>
        <v>342.68085157659311</v>
      </c>
      <c r="BE71" s="381">
        <f t="shared" si="91"/>
        <v>301.37965820275537</v>
      </c>
      <c r="BF71" s="381">
        <f t="shared" si="91"/>
        <v>205.35780093507913</v>
      </c>
      <c r="BG71" s="381">
        <f t="shared" si="91"/>
        <v>1177.1006257255594</v>
      </c>
      <c r="BH71" s="381">
        <f t="shared" si="91"/>
        <v>347.99580982211683</v>
      </c>
      <c r="BI71" s="381">
        <f t="shared" si="91"/>
        <v>363.12191657191079</v>
      </c>
      <c r="BJ71" s="381">
        <f t="shared" si="91"/>
        <v>323.11859349247828</v>
      </c>
      <c r="BK71" s="381">
        <f t="shared" si="91"/>
        <v>227.0575061675595</v>
      </c>
      <c r="BL71" s="381">
        <f t="shared" si="91"/>
        <v>1261.2938260540654</v>
      </c>
    </row>
    <row r="72" spans="1:74" outlineLevel="1">
      <c r="A72" s="1" t="s">
        <v>706</v>
      </c>
      <c r="AD72" s="375">
        <f t="shared" ref="AD72:BL72" si="92">AD71-AD25</f>
        <v>0</v>
      </c>
      <c r="AE72" s="375">
        <f t="shared" si="92"/>
        <v>0</v>
      </c>
      <c r="AF72" s="375">
        <f t="shared" si="92"/>
        <v>0</v>
      </c>
      <c r="AG72" s="375">
        <f t="shared" si="92"/>
        <v>0</v>
      </c>
      <c r="AH72" s="375">
        <f t="shared" si="92"/>
        <v>0</v>
      </c>
      <c r="AI72" s="375">
        <f t="shared" si="92"/>
        <v>0</v>
      </c>
      <c r="AJ72" s="375">
        <f t="shared" si="92"/>
        <v>0</v>
      </c>
      <c r="AK72" s="375">
        <f t="shared" si="92"/>
        <v>0</v>
      </c>
      <c r="AL72" s="375">
        <f t="shared" si="92"/>
        <v>0</v>
      </c>
      <c r="AM72" s="375">
        <f t="shared" si="92"/>
        <v>0</v>
      </c>
      <c r="AN72" s="375">
        <f t="shared" si="92"/>
        <v>0</v>
      </c>
      <c r="AO72" s="375">
        <f t="shared" si="92"/>
        <v>0</v>
      </c>
      <c r="AP72" s="375">
        <f t="shared" si="92"/>
        <v>0</v>
      </c>
      <c r="AQ72" s="375">
        <f t="shared" si="92"/>
        <v>0</v>
      </c>
      <c r="AR72" s="375">
        <f t="shared" si="92"/>
        <v>0</v>
      </c>
      <c r="AS72" s="375">
        <f t="shared" si="92"/>
        <v>0</v>
      </c>
      <c r="AT72" s="375">
        <f t="shared" si="92"/>
        <v>0</v>
      </c>
      <c r="AU72" s="375">
        <f t="shared" si="92"/>
        <v>0</v>
      </c>
      <c r="AV72" s="375">
        <f t="shared" si="92"/>
        <v>0</v>
      </c>
      <c r="AW72" s="375">
        <f t="shared" si="92"/>
        <v>0</v>
      </c>
      <c r="AX72" s="375">
        <f t="shared" si="92"/>
        <v>0</v>
      </c>
      <c r="AY72" s="375">
        <f t="shared" si="92"/>
        <v>0</v>
      </c>
      <c r="AZ72" s="375">
        <f t="shared" si="92"/>
        <v>0</v>
      </c>
      <c r="BA72" s="375">
        <f t="shared" si="92"/>
        <v>0</v>
      </c>
      <c r="BB72" s="375">
        <f t="shared" si="92"/>
        <v>0</v>
      </c>
      <c r="BC72" s="375">
        <f t="shared" si="92"/>
        <v>0</v>
      </c>
      <c r="BD72" s="375">
        <f t="shared" si="92"/>
        <v>0</v>
      </c>
      <c r="BE72" s="375">
        <f t="shared" si="92"/>
        <v>0</v>
      </c>
      <c r="BF72" s="375">
        <f t="shared" si="92"/>
        <v>0</v>
      </c>
      <c r="BG72" s="375">
        <f t="shared" si="92"/>
        <v>0</v>
      </c>
      <c r="BH72" s="375">
        <f t="shared" si="92"/>
        <v>0</v>
      </c>
      <c r="BI72" s="375">
        <f t="shared" si="92"/>
        <v>0</v>
      </c>
      <c r="BJ72" s="375">
        <f t="shared" si="92"/>
        <v>0</v>
      </c>
      <c r="BK72" s="375">
        <f t="shared" si="92"/>
        <v>0</v>
      </c>
      <c r="BL72" s="375">
        <f t="shared" si="92"/>
        <v>0</v>
      </c>
    </row>
    <row r="73" spans="1:74" outlineLevel="1">
      <c r="BG73" s="44"/>
      <c r="BH73" s="44"/>
      <c r="BI73" s="44"/>
      <c r="BJ73" s="44"/>
      <c r="BK73" s="44"/>
      <c r="BL73" s="311" t="s">
        <v>1520</v>
      </c>
    </row>
    <row r="74" spans="1:74" outlineLevel="1">
      <c r="A74" s="1" t="s">
        <v>1521</v>
      </c>
      <c r="AD74" s="21">
        <f t="shared" ref="AD74:BL74" si="93">AD65/AD71</f>
        <v>0.81732300105671019</v>
      </c>
      <c r="AE74" s="21">
        <f t="shared" si="93"/>
        <v>0.83752411575562713</v>
      </c>
      <c r="AF74" s="21">
        <f t="shared" si="93"/>
        <v>0.7841803278688525</v>
      </c>
      <c r="AG74" s="21">
        <f t="shared" si="93"/>
        <v>0.79613071895424836</v>
      </c>
      <c r="AH74" s="21">
        <f t="shared" si="93"/>
        <v>0.81107502569373058</v>
      </c>
      <c r="AI74" s="21">
        <f t="shared" si="93"/>
        <v>0.80104771784232354</v>
      </c>
      <c r="AJ74" s="21">
        <f t="shared" si="93"/>
        <v>0.81352556109725671</v>
      </c>
      <c r="AK74" s="21">
        <f t="shared" si="93"/>
        <v>0.74527332361516041</v>
      </c>
      <c r="AL74" s="21">
        <f t="shared" si="93"/>
        <v>0.76022320204837524</v>
      </c>
      <c r="AM74" s="21">
        <f t="shared" si="93"/>
        <v>0.78414889194006654</v>
      </c>
      <c r="AN74" s="21">
        <f t="shared" si="93"/>
        <v>0.77733897954903419</v>
      </c>
      <c r="AO74" s="21">
        <f t="shared" si="93"/>
        <v>0.78444677895866655</v>
      </c>
      <c r="AP74" s="21">
        <f t="shared" si="93"/>
        <v>0.75299160284339184</v>
      </c>
      <c r="AQ74" s="21">
        <f t="shared" si="93"/>
        <v>0.76151359680081232</v>
      </c>
      <c r="AR74" s="21">
        <f t="shared" si="93"/>
        <v>0.77076677384320291</v>
      </c>
      <c r="AS74" s="21">
        <f t="shared" si="93"/>
        <v>0.76665734508020356</v>
      </c>
      <c r="AT74" s="21">
        <f t="shared" si="93"/>
        <v>0.78161875835065853</v>
      </c>
      <c r="AU74" s="21">
        <f t="shared" si="93"/>
        <v>0.74208375678107052</v>
      </c>
      <c r="AV74" s="21">
        <f t="shared" si="93"/>
        <v>0.71577718382659228</v>
      </c>
      <c r="AW74" s="21">
        <f t="shared" si="93"/>
        <v>0.75642010036003104</v>
      </c>
      <c r="AX74" s="21">
        <f t="shared" si="93"/>
        <v>0.7552500403777177</v>
      </c>
      <c r="AY74" s="21">
        <f t="shared" si="93"/>
        <v>0.75388521336658809</v>
      </c>
      <c r="AZ74" s="21">
        <f t="shared" si="93"/>
        <v>0.7234972946692716</v>
      </c>
      <c r="BA74" s="21">
        <f t="shared" si="93"/>
        <v>0.70620840819201192</v>
      </c>
      <c r="BB74" s="21">
        <f t="shared" si="93"/>
        <v>0.73848983955694592</v>
      </c>
      <c r="BC74" s="21">
        <f t="shared" si="93"/>
        <v>0.74098808219958634</v>
      </c>
      <c r="BD74" s="21">
        <f t="shared" si="93"/>
        <v>0.7431275258722051</v>
      </c>
      <c r="BE74" s="21">
        <f t="shared" si="93"/>
        <v>0.70734933070149708</v>
      </c>
      <c r="BF74" s="21">
        <f t="shared" si="93"/>
        <v>0.68858412461525709</v>
      </c>
      <c r="BG74" s="21">
        <f t="shared" si="93"/>
        <v>0.72385577413831859</v>
      </c>
      <c r="BH74" s="21">
        <f t="shared" si="93"/>
        <v>0.72583596772836323</v>
      </c>
      <c r="BI74" s="21">
        <f t="shared" si="93"/>
        <v>0.73125233143032153</v>
      </c>
      <c r="BJ74" s="21">
        <f t="shared" si="93"/>
        <v>0.69557445209241642</v>
      </c>
      <c r="BK74" s="21">
        <f t="shared" si="93"/>
        <v>0.67252311724635017</v>
      </c>
      <c r="BL74" s="21">
        <f t="shared" si="93"/>
        <v>0.71004556229970128</v>
      </c>
    </row>
    <row r="75" spans="1:74" outlineLevel="1">
      <c r="A75" s="1" t="s">
        <v>1522</v>
      </c>
      <c r="AD75" s="21">
        <f t="shared" ref="AD75:BL75" si="94">AD69/AD71</f>
        <v>0.18267699894328987</v>
      </c>
      <c r="AE75" s="21">
        <f t="shared" si="94"/>
        <v>0.16247588424437298</v>
      </c>
      <c r="AF75" s="21">
        <f t="shared" si="94"/>
        <v>0.21581967213114758</v>
      </c>
      <c r="AG75" s="21">
        <f t="shared" si="94"/>
        <v>0.20386928104575164</v>
      </c>
      <c r="AH75" s="21">
        <f t="shared" si="94"/>
        <v>0.18892497430626934</v>
      </c>
      <c r="AI75" s="21">
        <f t="shared" si="94"/>
        <v>0.19895228215767635</v>
      </c>
      <c r="AJ75" s="21">
        <f t="shared" si="94"/>
        <v>0.18647443890274321</v>
      </c>
      <c r="AK75" s="21">
        <f t="shared" si="94"/>
        <v>0.2547266763848397</v>
      </c>
      <c r="AL75" s="21">
        <f t="shared" si="94"/>
        <v>0.23977679795162485</v>
      </c>
      <c r="AM75" s="21">
        <f t="shared" si="94"/>
        <v>0.21585110805993338</v>
      </c>
      <c r="AN75" s="21">
        <f t="shared" si="94"/>
        <v>0.22266102045096584</v>
      </c>
      <c r="AO75" s="21">
        <f t="shared" si="94"/>
        <v>0.21555322104133334</v>
      </c>
      <c r="AP75" s="21">
        <f t="shared" si="94"/>
        <v>0.24700839715660813</v>
      </c>
      <c r="AQ75" s="21">
        <f t="shared" si="94"/>
        <v>0.23848640319918754</v>
      </c>
      <c r="AR75" s="21">
        <f t="shared" si="94"/>
        <v>0.229233226156797</v>
      </c>
      <c r="AS75" s="21">
        <f t="shared" si="94"/>
        <v>0.23334265491979653</v>
      </c>
      <c r="AT75" s="21">
        <f t="shared" si="94"/>
        <v>0.21838124164934153</v>
      </c>
      <c r="AU75" s="21">
        <f t="shared" si="94"/>
        <v>0.25791624321892942</v>
      </c>
      <c r="AV75" s="21">
        <f t="shared" si="94"/>
        <v>0.28422281617340772</v>
      </c>
      <c r="AW75" s="21">
        <f t="shared" si="94"/>
        <v>0.2435798996399689</v>
      </c>
      <c r="AX75" s="21">
        <f t="shared" si="94"/>
        <v>0.2447499596222823</v>
      </c>
      <c r="AY75" s="21">
        <f t="shared" si="94"/>
        <v>0.24611478663341177</v>
      </c>
      <c r="AZ75" s="21">
        <f t="shared" si="94"/>
        <v>0.27650270533072829</v>
      </c>
      <c r="BA75" s="21">
        <f t="shared" si="94"/>
        <v>0.29379159180798797</v>
      </c>
      <c r="BB75" s="21">
        <f t="shared" si="94"/>
        <v>0.26151016044305414</v>
      </c>
      <c r="BC75" s="21">
        <f t="shared" si="94"/>
        <v>0.25901191780041372</v>
      </c>
      <c r="BD75" s="21">
        <f t="shared" si="94"/>
        <v>0.25687247412779479</v>
      </c>
      <c r="BE75" s="21">
        <f t="shared" si="94"/>
        <v>0.29265066929850286</v>
      </c>
      <c r="BF75" s="21">
        <f t="shared" si="94"/>
        <v>0.31141587538474291</v>
      </c>
      <c r="BG75" s="21">
        <f t="shared" si="94"/>
        <v>0.27614422586168147</v>
      </c>
      <c r="BH75" s="21">
        <f t="shared" si="94"/>
        <v>0.27416403227163677</v>
      </c>
      <c r="BI75" s="21">
        <f t="shared" si="94"/>
        <v>0.26874766856967841</v>
      </c>
      <c r="BJ75" s="21">
        <f t="shared" si="94"/>
        <v>0.30442554790758364</v>
      </c>
      <c r="BK75" s="21">
        <f t="shared" si="94"/>
        <v>0.32747688275364983</v>
      </c>
      <c r="BL75" s="21">
        <f t="shared" si="94"/>
        <v>0.28995443770029877</v>
      </c>
    </row>
    <row r="76" spans="1:74" outlineLevel="1">
      <c r="A76" s="25" t="s">
        <v>1399</v>
      </c>
      <c r="AD76" s="21">
        <f t="shared" ref="AD76:BL76" si="95">0.67*AD75</f>
        <v>0.12239358929200422</v>
      </c>
      <c r="AE76" s="21">
        <f t="shared" si="95"/>
        <v>0.1088588424437299</v>
      </c>
      <c r="AF76" s="21">
        <f t="shared" si="95"/>
        <v>0.14459918032786889</v>
      </c>
      <c r="AG76" s="21">
        <f t="shared" si="95"/>
        <v>0.13659241830065361</v>
      </c>
      <c r="AH76" s="21">
        <f t="shared" si="95"/>
        <v>0.12657973278520046</v>
      </c>
      <c r="AI76" s="21">
        <f t="shared" si="95"/>
        <v>0.13329802904564317</v>
      </c>
      <c r="AJ76" s="21">
        <f t="shared" si="95"/>
        <v>0.12493787406483796</v>
      </c>
      <c r="AK76" s="21">
        <f t="shared" si="95"/>
        <v>0.1706668731778426</v>
      </c>
      <c r="AL76" s="21">
        <f t="shared" si="95"/>
        <v>0.16065045462758865</v>
      </c>
      <c r="AM76" s="21">
        <f t="shared" si="95"/>
        <v>0.14462024240015536</v>
      </c>
      <c r="AN76" s="21">
        <f t="shared" si="95"/>
        <v>0.14918288370214711</v>
      </c>
      <c r="AO76" s="21">
        <f t="shared" si="95"/>
        <v>0.14442065809769336</v>
      </c>
      <c r="AP76" s="21">
        <f t="shared" si="95"/>
        <v>0.16549562609492746</v>
      </c>
      <c r="AQ76" s="21">
        <f t="shared" si="95"/>
        <v>0.15978589014345565</v>
      </c>
      <c r="AR76" s="21">
        <f t="shared" si="95"/>
        <v>0.153586261525054</v>
      </c>
      <c r="AS76" s="21">
        <f t="shared" si="95"/>
        <v>0.15633957879626367</v>
      </c>
      <c r="AT76" s="21">
        <f t="shared" si="95"/>
        <v>0.14631543190505883</v>
      </c>
      <c r="AU76" s="21">
        <f t="shared" si="95"/>
        <v>0.17280388295668273</v>
      </c>
      <c r="AV76" s="21">
        <f t="shared" si="95"/>
        <v>0.19042928683618318</v>
      </c>
      <c r="AW76" s="21">
        <f t="shared" si="95"/>
        <v>0.16319853275877919</v>
      </c>
      <c r="AX76" s="21">
        <f t="shared" si="95"/>
        <v>0.16398247294692914</v>
      </c>
      <c r="AY76" s="21">
        <f t="shared" si="95"/>
        <v>0.16489690704438589</v>
      </c>
      <c r="AZ76" s="21">
        <f t="shared" si="95"/>
        <v>0.18525681257158796</v>
      </c>
      <c r="BA76" s="21">
        <f t="shared" si="95"/>
        <v>0.19684036651135195</v>
      </c>
      <c r="BB76" s="21">
        <f t="shared" si="95"/>
        <v>0.17521180749684628</v>
      </c>
      <c r="BC76" s="21">
        <f t="shared" si="95"/>
        <v>0.1735379849262772</v>
      </c>
      <c r="BD76" s="21">
        <f t="shared" si="95"/>
        <v>0.17210455766562252</v>
      </c>
      <c r="BE76" s="21">
        <f t="shared" si="95"/>
        <v>0.19607594842999693</v>
      </c>
      <c r="BF76" s="21">
        <f t="shared" si="95"/>
        <v>0.20864863650777776</v>
      </c>
      <c r="BG76" s="21">
        <f t="shared" si="95"/>
        <v>0.1850166313273266</v>
      </c>
      <c r="BH76" s="21">
        <f t="shared" si="95"/>
        <v>0.18368990162199664</v>
      </c>
      <c r="BI76" s="21">
        <f t="shared" si="95"/>
        <v>0.18006093794168454</v>
      </c>
      <c r="BJ76" s="21">
        <f t="shared" si="95"/>
        <v>0.20396511709808104</v>
      </c>
      <c r="BK76" s="21">
        <f t="shared" si="95"/>
        <v>0.21940951144494542</v>
      </c>
      <c r="BL76" s="382">
        <f t="shared" si="95"/>
        <v>0.19426947325920019</v>
      </c>
    </row>
    <row r="78" spans="1:74">
      <c r="A78" s="1" t="s">
        <v>1523</v>
      </c>
      <c r="AH78" s="375">
        <f>AH156</f>
        <v>764.21</v>
      </c>
      <c r="AI78" s="375">
        <f>AI156</f>
        <v>186.48</v>
      </c>
      <c r="AJ78" s="375">
        <f>AJ156</f>
        <v>185.18899999999999</v>
      </c>
      <c r="AK78" s="375">
        <f>AK156</f>
        <v>189.07500000000007</v>
      </c>
      <c r="AL78" s="375">
        <f>AL79*AL6</f>
        <v>192.3440748763872</v>
      </c>
      <c r="AM78" s="375">
        <f>SUM(AI78:AL78)</f>
        <v>753.08807487638728</v>
      </c>
      <c r="AN78" s="375">
        <f>AN79*AN6</f>
        <v>174.85823512863175</v>
      </c>
      <c r="AO78" s="375">
        <f>AO79*AO6</f>
        <v>183.54289579920132</v>
      </c>
      <c r="AP78" s="375">
        <f>AP79*AP6</f>
        <v>192.57314435207661</v>
      </c>
      <c r="AQ78" s="375">
        <f>AQ79*AQ6</f>
        <v>194.86128361740464</v>
      </c>
      <c r="AR78" s="375">
        <f>SUM(AN78:AQ78)</f>
        <v>745.83555889731429</v>
      </c>
      <c r="AS78" s="375">
        <f>AS79*AS6</f>
        <v>174.08863134797264</v>
      </c>
      <c r="AT78" s="375">
        <f>AT79*AT6</f>
        <v>182.97792792022466</v>
      </c>
      <c r="AU78" s="375">
        <f>AU79*AU6</f>
        <v>191.8707136176329</v>
      </c>
      <c r="AV78" s="375">
        <f>AV79*AV6</f>
        <v>194.67146011301139</v>
      </c>
      <c r="AW78" s="375">
        <f>SUM(AS78:AV78)</f>
        <v>743.60873299884156</v>
      </c>
      <c r="AX78" s="375">
        <f>AX79*AX6</f>
        <v>174.38134157821074</v>
      </c>
      <c r="AY78" s="375">
        <f>AY79*AY6</f>
        <v>183.03010088681373</v>
      </c>
      <c r="AZ78" s="375">
        <f>AZ79*AZ6</f>
        <v>192.22814208799082</v>
      </c>
      <c r="BA78" s="375">
        <f>BA79*BA6</f>
        <v>195.06888947524246</v>
      </c>
      <c r="BB78" s="375">
        <f>SUM(AX78:BA78)</f>
        <v>744.7084740282578</v>
      </c>
      <c r="BC78" s="375">
        <f>BC79*BC6</f>
        <v>176.30766638939136</v>
      </c>
      <c r="BD78" s="375">
        <f>BD79*BD6</f>
        <v>185.17632307067601</v>
      </c>
      <c r="BE78" s="375">
        <f>BE79*BE6</f>
        <v>194.3427870942842</v>
      </c>
      <c r="BF78" s="375">
        <f>BF79*BF6</f>
        <v>197.67841202167347</v>
      </c>
      <c r="BG78" s="375">
        <f>SUM(BC78:BF78)</f>
        <v>753.50518857602503</v>
      </c>
      <c r="BH78" s="375">
        <f>BH79*BH6</f>
        <v>178.44278122669232</v>
      </c>
      <c r="BI78" s="375">
        <f>BI79*BI6</f>
        <v>187.42545768924288</v>
      </c>
      <c r="BJ78" s="375">
        <f>BJ79*BJ6</f>
        <v>196.7627753790743</v>
      </c>
      <c r="BK78" s="375">
        <f>BK79*BK6</f>
        <v>200.48504044788001</v>
      </c>
      <c r="BL78" s="375">
        <f>SUM(BH78:BK78)</f>
        <v>763.11605474288945</v>
      </c>
      <c r="BP78" s="375">
        <f t="shared" ref="BP78:BV78" si="96">INDEX($AD78:$BL78, MATCH(BP$2, $AD$2:$BL$2, 0))</f>
        <v>764.21</v>
      </c>
      <c r="BQ78" s="375">
        <f t="shared" si="96"/>
        <v>753.08807487638728</v>
      </c>
      <c r="BR78" s="375">
        <f t="shared" si="96"/>
        <v>745.83555889731429</v>
      </c>
      <c r="BS78" s="375">
        <f t="shared" si="96"/>
        <v>743.60873299884156</v>
      </c>
      <c r="BT78" s="375">
        <f t="shared" si="96"/>
        <v>744.7084740282578</v>
      </c>
      <c r="BU78" s="375">
        <f t="shared" si="96"/>
        <v>753.50518857602503</v>
      </c>
      <c r="BV78" s="375">
        <f t="shared" si="96"/>
        <v>763.11605474288945</v>
      </c>
    </row>
    <row r="79" spans="1:74">
      <c r="A79" s="1" t="s">
        <v>1115</v>
      </c>
      <c r="AH79" s="16">
        <f>AH78/AH6</f>
        <v>0.12926420838971583</v>
      </c>
      <c r="AI79" s="16">
        <f>AI78/AI6</f>
        <v>0.13043295796320906</v>
      </c>
      <c r="AJ79" s="16">
        <f>AJ78/AJ6</f>
        <v>0.12312279768632405</v>
      </c>
      <c r="AK79" s="16">
        <f>AK78/AK6</f>
        <v>0.11983457979465083</v>
      </c>
      <c r="AL79" s="303">
        <v>0.12</v>
      </c>
      <c r="AM79" s="16">
        <f>AM78/AM6</f>
        <v>0.12316495273915928</v>
      </c>
      <c r="AN79" s="303">
        <v>0.12</v>
      </c>
      <c r="AO79" s="303">
        <v>0.12</v>
      </c>
      <c r="AP79" s="303">
        <v>0.12</v>
      </c>
      <c r="AQ79" s="303">
        <v>0.12</v>
      </c>
      <c r="AR79" s="16">
        <f>AR78/AR6</f>
        <v>0.11999999999999998</v>
      </c>
      <c r="AS79" s="303">
        <f>AN79-0.25%</f>
        <v>0.11749999999999999</v>
      </c>
      <c r="AT79" s="303">
        <f t="shared" ref="AT79:AV79" si="97">AO79-0.25%</f>
        <v>0.11749999999999999</v>
      </c>
      <c r="AU79" s="303">
        <f t="shared" si="97"/>
        <v>0.11749999999999999</v>
      </c>
      <c r="AV79" s="303">
        <f t="shared" si="97"/>
        <v>0.11749999999999999</v>
      </c>
      <c r="AW79" s="16">
        <f>AW78/AW6</f>
        <v>0.11749999999999998</v>
      </c>
      <c r="AX79" s="303">
        <f>AS79-0.25%</f>
        <v>0.11499999999999999</v>
      </c>
      <c r="AY79" s="303">
        <f t="shared" ref="AY79:BA79" si="98">AT79-0.25%</f>
        <v>0.11499999999999999</v>
      </c>
      <c r="AZ79" s="303">
        <f t="shared" si="98"/>
        <v>0.11499999999999999</v>
      </c>
      <c r="BA79" s="303">
        <f t="shared" si="98"/>
        <v>0.11499999999999999</v>
      </c>
      <c r="BB79" s="16">
        <f>BB78/BB6</f>
        <v>0.11499999999999999</v>
      </c>
      <c r="BC79" s="303">
        <f>AX79-0.15%</f>
        <v>0.11349999999999999</v>
      </c>
      <c r="BD79" s="303">
        <f t="shared" ref="BD79:BF79" si="99">AY79-0.15%</f>
        <v>0.11349999999999999</v>
      </c>
      <c r="BE79" s="303">
        <f t="shared" si="99"/>
        <v>0.11349999999999999</v>
      </c>
      <c r="BF79" s="303">
        <f t="shared" si="99"/>
        <v>0.11349999999999999</v>
      </c>
      <c r="BG79" s="16">
        <f>BG78/BG6</f>
        <v>0.1135</v>
      </c>
      <c r="BH79" s="303">
        <f>BC79-0.15%</f>
        <v>0.11199999999999999</v>
      </c>
      <c r="BI79" s="303">
        <f t="shared" ref="BI79:BK79" si="100">BD79-0.15%</f>
        <v>0.11199999999999999</v>
      </c>
      <c r="BJ79" s="303">
        <f t="shared" si="100"/>
        <v>0.11199999999999999</v>
      </c>
      <c r="BK79" s="303">
        <f t="shared" si="100"/>
        <v>0.11199999999999999</v>
      </c>
      <c r="BL79" s="16">
        <f>BL78/BL6</f>
        <v>0.11199999999999997</v>
      </c>
    </row>
    <row r="80" spans="1:74">
      <c r="A80" s="1" t="s">
        <v>1524</v>
      </c>
      <c r="AH80" s="21">
        <f t="shared" ref="AH80:BL80" si="101">-AH78/AH183</f>
        <v>1.2544031568131158</v>
      </c>
      <c r="AI80" s="21">
        <f t="shared" si="101"/>
        <v>1.1123770438019338</v>
      </c>
      <c r="AJ80" s="21">
        <f t="shared" si="101"/>
        <v>1.2345521815939466</v>
      </c>
      <c r="AK80" s="21">
        <f t="shared" si="101"/>
        <v>1.4016145532179876</v>
      </c>
      <c r="AL80" s="21">
        <f t="shared" si="101"/>
        <v>1.3709534792557412</v>
      </c>
      <c r="AM80" s="21">
        <f t="shared" si="101"/>
        <v>1.271465005010038</v>
      </c>
      <c r="AN80" s="21">
        <f t="shared" si="101"/>
        <v>1.0140487936064873</v>
      </c>
      <c r="AO80" s="21">
        <f t="shared" si="101"/>
        <v>1.1899515510024796</v>
      </c>
      <c r="AP80" s="21">
        <f t="shared" si="101"/>
        <v>1.1985270882699137</v>
      </c>
      <c r="AQ80" s="21">
        <f t="shared" si="101"/>
        <v>1.3516508702627641</v>
      </c>
      <c r="AR80" s="21">
        <f t="shared" si="101"/>
        <v>1.181016600943017</v>
      </c>
      <c r="AS80" s="21">
        <f t="shared" si="101"/>
        <v>0.98254415504089065</v>
      </c>
      <c r="AT80" s="21">
        <f t="shared" si="101"/>
        <v>1.1508951698111978</v>
      </c>
      <c r="AU80" s="21">
        <f t="shared" si="101"/>
        <v>1.159086970474968</v>
      </c>
      <c r="AV80" s="21">
        <f t="shared" si="101"/>
        <v>1.3051158420931346</v>
      </c>
      <c r="AW80" s="21">
        <f t="shared" si="101"/>
        <v>1.1424924431888597</v>
      </c>
      <c r="AX80" s="21">
        <f t="shared" si="101"/>
        <v>0.94194736706416815</v>
      </c>
      <c r="AY80" s="21">
        <f t="shared" si="101"/>
        <v>1.0994848096719749</v>
      </c>
      <c r="AZ80" s="21">
        <f t="shared" si="101"/>
        <v>1.1071223313377254</v>
      </c>
      <c r="BA80" s="21">
        <f t="shared" si="101"/>
        <v>1.2428358299053976</v>
      </c>
      <c r="BB80" s="21">
        <f t="shared" si="101"/>
        <v>1.0916584798235334</v>
      </c>
      <c r="BC80" s="21">
        <f t="shared" si="101"/>
        <v>0.91100631446572633</v>
      </c>
      <c r="BD80" s="21">
        <f t="shared" si="101"/>
        <v>1.0598122370301848</v>
      </c>
      <c r="BE80" s="21">
        <f t="shared" si="101"/>
        <v>1.0670011530145058</v>
      </c>
      <c r="BF80" s="21">
        <f t="shared" si="101"/>
        <v>1.1943556242232896</v>
      </c>
      <c r="BG80" s="21">
        <f t="shared" si="101"/>
        <v>1.0525196852806196</v>
      </c>
      <c r="BH80" s="21">
        <f t="shared" si="101"/>
        <v>0.88128257483612804</v>
      </c>
      <c r="BI80" s="21">
        <f t="shared" si="101"/>
        <v>1.0219496363162075</v>
      </c>
      <c r="BJ80" s="21">
        <f t="shared" si="101"/>
        <v>1.0287225443630499</v>
      </c>
      <c r="BK80" s="21">
        <f t="shared" si="101"/>
        <v>1.1483608099815912</v>
      </c>
      <c r="BL80" s="21">
        <f t="shared" si="101"/>
        <v>1.0151419005596327</v>
      </c>
    </row>
    <row r="82" spans="1:74" s="44" customFormat="1">
      <c r="A82" s="49" t="s">
        <v>1525</v>
      </c>
      <c r="BN82" s="46"/>
    </row>
    <row r="84" spans="1:74">
      <c r="A84" s="1" t="s">
        <v>1526</v>
      </c>
      <c r="AE84" s="383">
        <v>43</v>
      </c>
      <c r="AG84" s="383">
        <v>43</v>
      </c>
      <c r="AH84" s="1">
        <f>SUM(AD84:AG84)</f>
        <v>86</v>
      </c>
      <c r="AJ84" s="383">
        <v>43</v>
      </c>
      <c r="AL84" s="384">
        <v>43</v>
      </c>
      <c r="AM84" s="1">
        <f>SUM(AI84:AL84)</f>
        <v>86</v>
      </c>
      <c r="AO84" s="384">
        <v>43</v>
      </c>
      <c r="AQ84" s="384">
        <v>43</v>
      </c>
      <c r="AR84" s="1">
        <f>SUM(AN84:AQ84)</f>
        <v>86</v>
      </c>
      <c r="AT84" s="384">
        <v>43</v>
      </c>
      <c r="AV84" s="384">
        <v>43</v>
      </c>
      <c r="AW84" s="1">
        <f>SUM(AS84:AV84)</f>
        <v>86</v>
      </c>
      <c r="AY84" s="384">
        <v>43</v>
      </c>
      <c r="BA84" s="384">
        <v>43</v>
      </c>
      <c r="BB84" s="1">
        <f>SUM(AX84:BA84)</f>
        <v>86</v>
      </c>
      <c r="BD84" s="384">
        <v>43</v>
      </c>
      <c r="BF84" s="384">
        <v>43</v>
      </c>
      <c r="BG84" s="1">
        <f>SUM(BC84:BF84)</f>
        <v>86</v>
      </c>
      <c r="BI84" s="384">
        <v>43</v>
      </c>
      <c r="BK84" s="384">
        <v>43</v>
      </c>
      <c r="BL84" s="1">
        <f>SUM(BH84:BK84)</f>
        <v>86</v>
      </c>
      <c r="BP84" s="375">
        <f t="shared" ref="BP84:BV84" si="102">INDEX($AD84:$BL84, MATCH(BP$2, $AD$2:$BL$2, 0))</f>
        <v>86</v>
      </c>
      <c r="BQ84" s="375">
        <f t="shared" si="102"/>
        <v>86</v>
      </c>
      <c r="BR84" s="375">
        <f t="shared" si="102"/>
        <v>86</v>
      </c>
      <c r="BS84" s="375">
        <f t="shared" si="102"/>
        <v>86</v>
      </c>
      <c r="BT84" s="375">
        <f t="shared" si="102"/>
        <v>86</v>
      </c>
      <c r="BU84" s="375">
        <f t="shared" si="102"/>
        <v>86</v>
      </c>
      <c r="BV84" s="375">
        <f t="shared" si="102"/>
        <v>86</v>
      </c>
    </row>
    <row r="85" spans="1:74">
      <c r="A85" s="12" t="s">
        <v>1527</v>
      </c>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385">
        <f>SUM(AD59:AE59)/AE84</f>
        <v>1.1552025477502565</v>
      </c>
      <c r="AF85" s="12"/>
      <c r="AG85" s="385">
        <f>SUM(AF59:AG59)/AG84</f>
        <v>1.4601968085557337</v>
      </c>
      <c r="AH85" s="385">
        <f>AH59/AH84</f>
        <v>1.3076996781529953</v>
      </c>
      <c r="AI85" s="12"/>
      <c r="AJ85" s="385">
        <f>SUM(AI59:AJ59)/AJ84</f>
        <v>1.4836242006908644</v>
      </c>
      <c r="AK85" s="12"/>
      <c r="AL85" s="385">
        <f>SUM(AK59:AL59)/AL84</f>
        <v>0.72319782277790534</v>
      </c>
      <c r="AM85" s="385">
        <f>AM59/AM84</f>
        <v>1.1034110117343849</v>
      </c>
      <c r="AN85" s="12"/>
      <c r="AO85" s="385">
        <f>SUM(AN59:AO59)/AO84</f>
        <v>1.3461555028400916</v>
      </c>
      <c r="AP85" s="12"/>
      <c r="AQ85" s="385">
        <f>SUM(AP59:AQ59)/AQ84</f>
        <v>0.84551907991765773</v>
      </c>
      <c r="AR85" s="385">
        <f>AR59/AR84</f>
        <v>1.0958372913788745</v>
      </c>
      <c r="AS85" s="12"/>
      <c r="AT85" s="385">
        <f>SUM(AS59:AT59)/AT84</f>
        <v>1.35200586455709</v>
      </c>
      <c r="AU85" s="12"/>
      <c r="AV85" s="385">
        <f>SUM(AU59:AV59)/AV84</f>
        <v>0.90641346461638106</v>
      </c>
      <c r="AW85" s="385">
        <f>AW59/AW84</f>
        <v>1.1292096645867356</v>
      </c>
      <c r="AX85" s="12"/>
      <c r="AY85" s="385">
        <f>SUM(AX59:AY59)/AY84</f>
        <v>1.4182636476544064</v>
      </c>
      <c r="AZ85" s="12"/>
      <c r="BA85" s="385">
        <f>SUM(AZ59:BA59)/BA84</f>
        <v>0.98450506672684124</v>
      </c>
      <c r="BB85" s="385">
        <f>BB59/BB84</f>
        <v>1.2013843571906238</v>
      </c>
      <c r="BC85" s="12"/>
      <c r="BD85" s="385">
        <f>SUM(BC59:BD59)/BD84</f>
        <v>1.4986804866579104</v>
      </c>
      <c r="BE85" s="12"/>
      <c r="BF85" s="385">
        <f>SUM(BE59:BF59)/BF84</f>
        <v>1.0967608663148705</v>
      </c>
      <c r="BG85" s="385">
        <f>BG59/BG84</f>
        <v>1.2977206764863907</v>
      </c>
      <c r="BH85" s="12"/>
      <c r="BI85" s="385">
        <f>SUM(BH59:BI59)/BI84</f>
        <v>1.6063652953805558</v>
      </c>
      <c r="BJ85" s="12"/>
      <c r="BK85" s="385">
        <f>SUM(BJ59:BK59)/BK84</f>
        <v>1.228197941240418</v>
      </c>
      <c r="BL85" s="385">
        <f>BL59/BL84</f>
        <v>1.417281618310487</v>
      </c>
    </row>
    <row r="86" spans="1:74">
      <c r="A86" s="25" t="s">
        <v>1528</v>
      </c>
    </row>
    <row r="87" spans="1:74">
      <c r="A87" s="1" t="s">
        <v>1529</v>
      </c>
      <c r="AF87" s="375">
        <f>AE84*AE58/1000</f>
        <v>202.96630044599996</v>
      </c>
      <c r="AI87" s="375">
        <f>AG84*AG58/1000</f>
        <v>203.86222853699999</v>
      </c>
      <c r="AK87" s="375">
        <f>AJ84*AJ58/1000</f>
        <v>203.69231429499999</v>
      </c>
      <c r="AM87" s="375">
        <f>SUM(AI87:AL87)</f>
        <v>407.55454283199998</v>
      </c>
      <c r="AN87" s="375">
        <f>AL84*AL58/1000</f>
        <v>203.43519820300006</v>
      </c>
      <c r="AP87" s="375">
        <f>AO84*AO58/1000</f>
        <v>203.43519820300006</v>
      </c>
      <c r="AR87" s="375">
        <f>SUM(AN87:AQ87)</f>
        <v>406.87039640600011</v>
      </c>
      <c r="AS87" s="375">
        <f>AQ84*AQ58/1000</f>
        <v>203.43519820300006</v>
      </c>
      <c r="AU87" s="375">
        <f>AT84*AT58/1000</f>
        <v>203.43519820300006</v>
      </c>
      <c r="AW87" s="375">
        <f>SUM(AS87:AV87)</f>
        <v>406.87039640600011</v>
      </c>
      <c r="AX87" s="375">
        <f>AV84*AV58/1000</f>
        <v>203.43519820300006</v>
      </c>
      <c r="AZ87" s="375">
        <f>AY84*AY58/1000</f>
        <v>203.43519820300006</v>
      </c>
      <c r="BB87" s="375">
        <f>SUM(AX87:BA87)</f>
        <v>406.87039640600011</v>
      </c>
      <c r="BC87" s="375">
        <f>BA84*BA58/1000</f>
        <v>203.43519820300006</v>
      </c>
      <c r="BE87" s="375">
        <f>BD84*BD58/1000</f>
        <v>203.43519820300006</v>
      </c>
      <c r="BG87" s="375">
        <f>SUM(BC87:BF87)</f>
        <v>406.87039640600011</v>
      </c>
      <c r="BH87" s="375">
        <f>BF84*BF58/1000</f>
        <v>203.43519820300006</v>
      </c>
      <c r="BJ87" s="375">
        <f>BI84*BI58/1000</f>
        <v>203.43519820300006</v>
      </c>
      <c r="BL87" s="375">
        <f>SUM(BH87:BK87)</f>
        <v>406.87039640600011</v>
      </c>
      <c r="BP87" s="375"/>
      <c r="BQ87" s="375">
        <f t="shared" ref="BQ87:BV87" si="103">INDEX($AD87:$BL87, MATCH(BQ$2, $AD$2:$BL$2, 0))</f>
        <v>407.55454283199998</v>
      </c>
      <c r="BR87" s="375">
        <f t="shared" si="103"/>
        <v>406.87039640600011</v>
      </c>
      <c r="BS87" s="375">
        <f t="shared" si="103"/>
        <v>406.87039640600011</v>
      </c>
      <c r="BT87" s="375">
        <f t="shared" si="103"/>
        <v>406.87039640600011</v>
      </c>
      <c r="BU87" s="375">
        <f t="shared" si="103"/>
        <v>406.87039640600011</v>
      </c>
      <c r="BV87" s="375">
        <f t="shared" si="103"/>
        <v>406.87039640600011</v>
      </c>
    </row>
    <row r="88" spans="1:74">
      <c r="A88" s="1" t="s">
        <v>276</v>
      </c>
      <c r="AI88" s="375">
        <f>AI89-AI87</f>
        <v>-2.6512285369999802</v>
      </c>
      <c r="AJ88" s="375">
        <f>AJ89-AJ87</f>
        <v>2.1289999999999907</v>
      </c>
      <c r="AK88" s="375">
        <f>AK89-AK87</f>
        <v>-1.3103142950000404</v>
      </c>
      <c r="AL88" s="377">
        <v>1.5</v>
      </c>
      <c r="AM88" s="375">
        <f>SUM(AI88:AL88)</f>
        <v>-0.33254283200002988</v>
      </c>
      <c r="AN88" s="377">
        <v>-2.5</v>
      </c>
      <c r="AO88" s="377">
        <f>-AN88</f>
        <v>2.5</v>
      </c>
      <c r="AP88" s="377">
        <v>-1.5</v>
      </c>
      <c r="AQ88" s="377">
        <f>-AP88</f>
        <v>1.5</v>
      </c>
      <c r="AR88" s="375">
        <f>SUM(AN88:AQ88)</f>
        <v>0</v>
      </c>
      <c r="AS88" s="377">
        <v>-2.5</v>
      </c>
      <c r="AT88" s="377">
        <f>-AS88</f>
        <v>2.5</v>
      </c>
      <c r="AU88" s="377">
        <v>-1.5</v>
      </c>
      <c r="AV88" s="377">
        <f>-AU88</f>
        <v>1.5</v>
      </c>
      <c r="AW88" s="375">
        <f>SUM(AS88:AV88)</f>
        <v>0</v>
      </c>
      <c r="AX88" s="377">
        <v>-2.5</v>
      </c>
      <c r="AY88" s="377">
        <f>-AX88</f>
        <v>2.5</v>
      </c>
      <c r="AZ88" s="377">
        <v>-1.5</v>
      </c>
      <c r="BA88" s="377">
        <f>-AZ88</f>
        <v>1.5</v>
      </c>
      <c r="BB88" s="375">
        <f>SUM(AX88:BA88)</f>
        <v>0</v>
      </c>
      <c r="BC88" s="377">
        <v>-2.5</v>
      </c>
      <c r="BD88" s="377">
        <f>-BC88</f>
        <v>2.5</v>
      </c>
      <c r="BE88" s="377">
        <v>-1.5</v>
      </c>
      <c r="BF88" s="377">
        <f>-BE88</f>
        <v>1.5</v>
      </c>
      <c r="BG88" s="375">
        <f>SUM(BC88:BF88)</f>
        <v>0</v>
      </c>
      <c r="BH88" s="377">
        <v>-2.5</v>
      </c>
      <c r="BI88" s="377">
        <f>-BH88</f>
        <v>2.5</v>
      </c>
      <c r="BJ88" s="377">
        <v>-1.5</v>
      </c>
      <c r="BK88" s="377">
        <f>-BJ88</f>
        <v>1.5</v>
      </c>
      <c r="BL88" s="375">
        <f>SUM(BH88:BK88)</f>
        <v>0</v>
      </c>
    </row>
    <row r="89" spans="1:74">
      <c r="A89" s="9" t="s">
        <v>1530</v>
      </c>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378">
        <f>-AI201</f>
        <v>201.21100000000001</v>
      </c>
      <c r="AJ89" s="378">
        <f>-AJ201</f>
        <v>2.1289999999999907</v>
      </c>
      <c r="AK89" s="378">
        <f>-AK201</f>
        <v>202.38199999999995</v>
      </c>
      <c r="AL89" s="378">
        <f t="shared" ref="AL89:BL89" si="104">SUM(AL87:AL88)</f>
        <v>1.5</v>
      </c>
      <c r="AM89" s="378">
        <f t="shared" si="104"/>
        <v>407.22199999999998</v>
      </c>
      <c r="AN89" s="378">
        <f t="shared" si="104"/>
        <v>200.93519820300006</v>
      </c>
      <c r="AO89" s="378">
        <f t="shared" si="104"/>
        <v>2.5</v>
      </c>
      <c r="AP89" s="378">
        <f t="shared" si="104"/>
        <v>201.93519820300006</v>
      </c>
      <c r="AQ89" s="378">
        <f t="shared" si="104"/>
        <v>1.5</v>
      </c>
      <c r="AR89" s="378">
        <f t="shared" si="104"/>
        <v>406.87039640600011</v>
      </c>
      <c r="AS89" s="378">
        <f t="shared" si="104"/>
        <v>200.93519820300006</v>
      </c>
      <c r="AT89" s="378">
        <f t="shared" si="104"/>
        <v>2.5</v>
      </c>
      <c r="AU89" s="378">
        <f t="shared" si="104"/>
        <v>201.93519820300006</v>
      </c>
      <c r="AV89" s="378">
        <f t="shared" si="104"/>
        <v>1.5</v>
      </c>
      <c r="AW89" s="378">
        <f t="shared" si="104"/>
        <v>406.87039640600011</v>
      </c>
      <c r="AX89" s="378">
        <f t="shared" si="104"/>
        <v>200.93519820300006</v>
      </c>
      <c r="AY89" s="378">
        <f t="shared" si="104"/>
        <v>2.5</v>
      </c>
      <c r="AZ89" s="378">
        <f t="shared" si="104"/>
        <v>201.93519820300006</v>
      </c>
      <c r="BA89" s="378">
        <f t="shared" si="104"/>
        <v>1.5</v>
      </c>
      <c r="BB89" s="378">
        <f t="shared" si="104"/>
        <v>406.87039640600011</v>
      </c>
      <c r="BC89" s="378">
        <f t="shared" si="104"/>
        <v>200.93519820300006</v>
      </c>
      <c r="BD89" s="378">
        <f t="shared" si="104"/>
        <v>2.5</v>
      </c>
      <c r="BE89" s="378">
        <f t="shared" si="104"/>
        <v>201.93519820300006</v>
      </c>
      <c r="BF89" s="378">
        <f t="shared" si="104"/>
        <v>1.5</v>
      </c>
      <c r="BG89" s="378">
        <f t="shared" si="104"/>
        <v>406.87039640600011</v>
      </c>
      <c r="BH89" s="378">
        <f t="shared" si="104"/>
        <v>200.93519820300006</v>
      </c>
      <c r="BI89" s="378">
        <f t="shared" si="104"/>
        <v>2.5</v>
      </c>
      <c r="BJ89" s="378">
        <f t="shared" si="104"/>
        <v>201.93519820300006</v>
      </c>
      <c r="BK89" s="378">
        <f t="shared" si="104"/>
        <v>1.5</v>
      </c>
      <c r="BL89" s="378">
        <f t="shared" si="104"/>
        <v>406.87039640600011</v>
      </c>
    </row>
    <row r="90" spans="1:74">
      <c r="AI90" s="375"/>
      <c r="AJ90" s="375"/>
      <c r="AK90" s="375"/>
      <c r="AL90" s="375"/>
      <c r="AM90" s="375"/>
    </row>
    <row r="91" spans="1:74">
      <c r="A91" s="1" t="s">
        <v>1531</v>
      </c>
      <c r="AI91" s="375">
        <f t="shared" ref="AI91:BL91" si="105">AI218</f>
        <v>4.535000000000025</v>
      </c>
      <c r="AJ91" s="375">
        <f t="shared" si="105"/>
        <v>264.84199999999998</v>
      </c>
      <c r="AK91" s="375">
        <f t="shared" si="105"/>
        <v>267.50200000000018</v>
      </c>
      <c r="AL91" s="375">
        <f t="shared" si="105"/>
        <v>52.569345656203495</v>
      </c>
      <c r="AM91" s="375">
        <f t="shared" si="105"/>
        <v>589.99234565620304</v>
      </c>
      <c r="AN91" s="375">
        <f t="shared" si="105"/>
        <v>78.226323583608917</v>
      </c>
      <c r="AO91" s="375">
        <f t="shared" si="105"/>
        <v>220.60637248510173</v>
      </c>
      <c r="AP91" s="375">
        <f t="shared" si="105"/>
        <v>248.3494742708092</v>
      </c>
      <c r="AQ91" s="375">
        <f t="shared" si="105"/>
        <v>108.05712325299669</v>
      </c>
      <c r="AR91" s="375">
        <f t="shared" si="105"/>
        <v>655.23929359251679</v>
      </c>
      <c r="AS91" s="375">
        <f t="shared" si="105"/>
        <v>80.419980814512684</v>
      </c>
      <c r="AT91" s="375">
        <f t="shared" si="105"/>
        <v>219.59983334097012</v>
      </c>
      <c r="AU91" s="375">
        <f t="shared" si="105"/>
        <v>246.11948831829781</v>
      </c>
      <c r="AV91" s="375">
        <f t="shared" si="105"/>
        <v>119.36873776896837</v>
      </c>
      <c r="AW91" s="375">
        <f t="shared" si="105"/>
        <v>665.50804024274885</v>
      </c>
      <c r="AX91" s="375">
        <f t="shared" si="105"/>
        <v>84.536501262488457</v>
      </c>
      <c r="AY91" s="375">
        <f t="shared" si="105"/>
        <v>227.68617943614069</v>
      </c>
      <c r="AZ91" s="375">
        <f t="shared" si="105"/>
        <v>248.24925262225898</v>
      </c>
      <c r="BA91" s="375">
        <f t="shared" si="105"/>
        <v>126.29510064194039</v>
      </c>
      <c r="BB91" s="375">
        <f t="shared" si="105"/>
        <v>686.76703396282846</v>
      </c>
      <c r="BC91" s="375">
        <f t="shared" si="105"/>
        <v>79.700788436560089</v>
      </c>
      <c r="BD91" s="375">
        <f t="shared" si="105"/>
        <v>227.43697059080645</v>
      </c>
      <c r="BE91" s="375">
        <f t="shared" si="105"/>
        <v>241.42705718429406</v>
      </c>
      <c r="BF91" s="375">
        <f t="shared" si="105"/>
        <v>129.95430552320803</v>
      </c>
      <c r="BG91" s="375">
        <f t="shared" si="105"/>
        <v>678.51912173486858</v>
      </c>
      <c r="BH91" s="375">
        <f t="shared" si="105"/>
        <v>87.805597522893237</v>
      </c>
      <c r="BI91" s="375">
        <f t="shared" si="105"/>
        <v>234.6114364456584</v>
      </c>
      <c r="BJ91" s="375">
        <f t="shared" si="105"/>
        <v>246.97708978078029</v>
      </c>
      <c r="BK91" s="375">
        <f t="shared" si="105"/>
        <v>139.28689675410504</v>
      </c>
      <c r="BL91" s="375">
        <f t="shared" si="105"/>
        <v>708.68102050343714</v>
      </c>
    </row>
    <row r="92" spans="1:74">
      <c r="A92" s="1" t="s">
        <v>1532</v>
      </c>
      <c r="AI92" s="375">
        <f t="shared" ref="AI92:BL92" si="106">AI224</f>
        <v>45.984000000000016</v>
      </c>
      <c r="AJ92" s="375">
        <f t="shared" si="106"/>
        <v>286</v>
      </c>
      <c r="AK92" s="375">
        <f t="shared" si="106"/>
        <v>142.37400000000014</v>
      </c>
      <c r="AL92" s="375">
        <f t="shared" si="106"/>
        <v>89.069345656203495</v>
      </c>
      <c r="AM92" s="375">
        <f t="shared" si="106"/>
        <v>563.97134565620297</v>
      </c>
      <c r="AN92" s="375">
        <f t="shared" si="106"/>
        <v>121.70807358360891</v>
      </c>
      <c r="AO92" s="375">
        <f t="shared" si="106"/>
        <v>214.72654748510175</v>
      </c>
      <c r="AP92" s="375">
        <f t="shared" si="106"/>
        <v>142.15869927080917</v>
      </c>
      <c r="AQ92" s="375">
        <f t="shared" si="106"/>
        <v>122.43212325299669</v>
      </c>
      <c r="AR92" s="375">
        <f t="shared" si="106"/>
        <v>601.02544359251681</v>
      </c>
      <c r="AS92" s="375">
        <f t="shared" si="106"/>
        <v>118.37718706451268</v>
      </c>
      <c r="AT92" s="375">
        <f t="shared" si="106"/>
        <v>209.24200396597013</v>
      </c>
      <c r="AU92" s="375">
        <f t="shared" si="106"/>
        <v>138.58348269329778</v>
      </c>
      <c r="AV92" s="375">
        <f t="shared" si="106"/>
        <v>128.25936276896837</v>
      </c>
      <c r="AW92" s="375">
        <f t="shared" si="106"/>
        <v>594.46203649274889</v>
      </c>
      <c r="AX92" s="375">
        <f t="shared" si="106"/>
        <v>117.23227735623844</v>
      </c>
      <c r="AY92" s="375">
        <f t="shared" si="106"/>
        <v>213.14354579551568</v>
      </c>
      <c r="AZ92" s="375">
        <f t="shared" si="106"/>
        <v>139.52664713788394</v>
      </c>
      <c r="BA92" s="375">
        <f t="shared" si="106"/>
        <v>130.01971001694039</v>
      </c>
      <c r="BB92" s="375">
        <f t="shared" si="106"/>
        <v>599.92218030657841</v>
      </c>
      <c r="BC92" s="375">
        <f t="shared" si="106"/>
        <v>121.64792012796633</v>
      </c>
      <c r="BD92" s="375">
        <f t="shared" si="106"/>
        <v>217.77852779119706</v>
      </c>
      <c r="BE92" s="375">
        <f t="shared" si="106"/>
        <v>145.92876683702838</v>
      </c>
      <c r="BF92" s="375">
        <f t="shared" si="106"/>
        <v>137.60642466383308</v>
      </c>
      <c r="BG92" s="375">
        <f t="shared" si="106"/>
        <v>622.96163942002477</v>
      </c>
      <c r="BH92" s="375">
        <f t="shared" si="106"/>
        <v>129.26655092201432</v>
      </c>
      <c r="BI92" s="375">
        <f t="shared" si="106"/>
        <v>226.13195471603925</v>
      </c>
      <c r="BJ92" s="375">
        <f t="shared" si="106"/>
        <v>154.86625669219626</v>
      </c>
      <c r="BK92" s="375">
        <f t="shared" si="106"/>
        <v>147.18521291621445</v>
      </c>
      <c r="BL92" s="375">
        <f t="shared" si="106"/>
        <v>657.44997524646442</v>
      </c>
    </row>
    <row r="93" spans="1:74">
      <c r="AI93" s="375"/>
      <c r="AJ93" s="375"/>
      <c r="AK93" s="375"/>
      <c r="AL93" s="375"/>
      <c r="AM93" s="375"/>
    </row>
    <row r="94" spans="1:74">
      <c r="A94" s="12" t="s">
        <v>1533</v>
      </c>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385">
        <f>AM91/AM89</f>
        <v>1.4488223761393124</v>
      </c>
      <c r="AN94" s="12"/>
      <c r="AO94" s="12"/>
      <c r="AP94" s="12"/>
      <c r="AQ94" s="12"/>
      <c r="AR94" s="385">
        <f>AR91/AR89</f>
        <v>1.6104373760795294</v>
      </c>
      <c r="AS94" s="12"/>
      <c r="AT94" s="12"/>
      <c r="AU94" s="12"/>
      <c r="AV94" s="12"/>
      <c r="AW94" s="385">
        <f>AW91/AW89</f>
        <v>1.6356757486446969</v>
      </c>
      <c r="AX94" s="12"/>
      <c r="AY94" s="12"/>
      <c r="AZ94" s="12"/>
      <c r="BA94" s="12"/>
      <c r="BB94" s="385">
        <f>BB91/BB89</f>
        <v>1.6879257867596993</v>
      </c>
      <c r="BC94" s="12"/>
      <c r="BD94" s="12"/>
      <c r="BE94" s="12"/>
      <c r="BF94" s="12"/>
      <c r="BG94" s="385">
        <f>BG91/BG89</f>
        <v>1.6676541909375013</v>
      </c>
      <c r="BH94" s="12"/>
      <c r="BI94" s="12"/>
      <c r="BJ94" s="12"/>
      <c r="BK94" s="12"/>
      <c r="BL94" s="385">
        <f>BL91/BL89</f>
        <v>1.741785656472957</v>
      </c>
    </row>
    <row r="95" spans="1:74">
      <c r="A95" s="12" t="s">
        <v>1534</v>
      </c>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385">
        <f>AM92/AM89</f>
        <v>1.3849235691003998</v>
      </c>
      <c r="AN95" s="12"/>
      <c r="AO95" s="12"/>
      <c r="AP95" s="12"/>
      <c r="AQ95" s="12"/>
      <c r="AR95" s="385">
        <f>AR92/AR89</f>
        <v>1.4771913830584444</v>
      </c>
      <c r="AS95" s="12"/>
      <c r="AT95" s="12"/>
      <c r="AU95" s="12"/>
      <c r="AV95" s="12"/>
      <c r="AW95" s="385">
        <f>AW92/AW89</f>
        <v>1.4610599388498111</v>
      </c>
      <c r="AX95" s="12"/>
      <c r="AY95" s="12"/>
      <c r="AZ95" s="12"/>
      <c r="BA95" s="12"/>
      <c r="BB95" s="385">
        <f>BB92/BB89</f>
        <v>1.4744797989872418</v>
      </c>
      <c r="BC95" s="12"/>
      <c r="BD95" s="12"/>
      <c r="BE95" s="12"/>
      <c r="BF95" s="12"/>
      <c r="BG95" s="385">
        <f>BG92/BG89</f>
        <v>1.5311058384262384</v>
      </c>
      <c r="BH95" s="12"/>
      <c r="BI95" s="12"/>
      <c r="BJ95" s="12"/>
      <c r="BK95" s="12"/>
      <c r="BL95" s="385">
        <f>BL92/BL89</f>
        <v>1.6158707565207588</v>
      </c>
    </row>
    <row r="97" spans="1:66" s="2" customFormat="1">
      <c r="A97" s="4" t="s">
        <v>1</v>
      </c>
      <c r="BN97" s="46"/>
    </row>
    <row r="99" spans="1:66">
      <c r="A99" s="5" t="s">
        <v>3</v>
      </c>
      <c r="AG99" s="376">
        <v>2059.1669999999999</v>
      </c>
      <c r="AH99" s="375">
        <f t="shared" ref="AH99:AH104" si="107">AG99</f>
        <v>2059.1669999999999</v>
      </c>
      <c r="AI99" s="376">
        <v>1838.348</v>
      </c>
      <c r="AJ99" s="376">
        <v>2011.3420000000001</v>
      </c>
      <c r="AK99" s="376">
        <v>2194.8820000000001</v>
      </c>
      <c r="AL99" s="375">
        <f>AK99+AL207</f>
        <v>2229.4513456562036</v>
      </c>
      <c r="AM99" s="375">
        <f>AL99</f>
        <v>2229.4513456562036</v>
      </c>
      <c r="AN99" s="375">
        <f t="shared" ref="AN99:AQ99" si="108">AM99+AN207</f>
        <v>2044.4456460368124</v>
      </c>
      <c r="AO99" s="375">
        <f t="shared" si="108"/>
        <v>2222.5520185219143</v>
      </c>
      <c r="AP99" s="375">
        <f t="shared" si="108"/>
        <v>2207.4689695897237</v>
      </c>
      <c r="AQ99" s="375">
        <f t="shared" si="108"/>
        <v>2274.0260928427206</v>
      </c>
      <c r="AR99" s="375">
        <f>AQ99</f>
        <v>2274.0260928427206</v>
      </c>
      <c r="AS99" s="375">
        <f t="shared" ref="AS99:AV99" si="109">AR99+AS207</f>
        <v>2098.6566298292332</v>
      </c>
      <c r="AT99" s="375">
        <f t="shared" si="109"/>
        <v>2283.7564631702035</v>
      </c>
      <c r="AU99" s="375">
        <f t="shared" si="109"/>
        <v>2273.9059951605013</v>
      </c>
      <c r="AV99" s="375">
        <f t="shared" si="109"/>
        <v>2359.7747329294698</v>
      </c>
      <c r="AW99" s="375">
        <f>AV99</f>
        <v>2359.7747329294698</v>
      </c>
      <c r="AX99" s="375">
        <f t="shared" ref="AX99:BA99" si="110">AW99+AX207</f>
        <v>2194.3504342233332</v>
      </c>
      <c r="AY99" s="375">
        <f t="shared" si="110"/>
        <v>2358.936613659474</v>
      </c>
      <c r="AZ99" s="375">
        <f t="shared" si="110"/>
        <v>2357.0650410006078</v>
      </c>
      <c r="BA99" s="375">
        <f t="shared" si="110"/>
        <v>2456.2601416425482</v>
      </c>
      <c r="BB99" s="375">
        <f>BA99</f>
        <v>2456.2601416425482</v>
      </c>
      <c r="BC99" s="375">
        <f t="shared" ref="BC99:BF99" si="111">BB99+BC207</f>
        <v>2290.5344900663426</v>
      </c>
      <c r="BD99" s="375">
        <f t="shared" si="111"/>
        <v>2494.9914606571492</v>
      </c>
      <c r="BE99" s="375">
        <f t="shared" si="111"/>
        <v>2490.853051883365</v>
      </c>
      <c r="BF99" s="375">
        <f t="shared" si="111"/>
        <v>2598.8273574065729</v>
      </c>
      <c r="BG99" s="375">
        <f>BF99</f>
        <v>2598.8273574065729</v>
      </c>
      <c r="BH99" s="375">
        <f t="shared" ref="BH99:BK99" si="112">BG99+BH207</f>
        <v>2444.7022338714564</v>
      </c>
      <c r="BI99" s="375">
        <f t="shared" si="112"/>
        <v>2660.4296703171149</v>
      </c>
      <c r="BJ99" s="375">
        <f t="shared" si="112"/>
        <v>2665.3585374459399</v>
      </c>
      <c r="BK99" s="375">
        <f t="shared" si="112"/>
        <v>2786.7614342000447</v>
      </c>
      <c r="BL99" s="375">
        <f>BK99</f>
        <v>2786.7614342000447</v>
      </c>
    </row>
    <row r="100" spans="1:66">
      <c r="A100" s="5" t="s">
        <v>4</v>
      </c>
      <c r="AG100" s="376">
        <v>2389.7310000000002</v>
      </c>
      <c r="AH100" s="375">
        <f t="shared" si="107"/>
        <v>2389.7310000000002</v>
      </c>
      <c r="AI100" s="376">
        <v>2273.5030000000002</v>
      </c>
      <c r="AJ100" s="376">
        <v>2458.4810000000002</v>
      </c>
      <c r="AK100" s="376">
        <v>2594.268</v>
      </c>
      <c r="AL100" s="375">
        <f>AK100-AL167</f>
        <v>2419.268</v>
      </c>
      <c r="AM100" s="375">
        <f>AL100</f>
        <v>2419.268</v>
      </c>
      <c r="AN100" s="375">
        <f t="shared" ref="AN100:AQ100" si="113">AM100-AN167</f>
        <v>2310.3497750000001</v>
      </c>
      <c r="AO100" s="375">
        <f t="shared" si="113"/>
        <v>2487.1504250000003</v>
      </c>
      <c r="AP100" s="375">
        <f t="shared" si="113"/>
        <v>2637.8162000000002</v>
      </c>
      <c r="AQ100" s="375">
        <f t="shared" si="113"/>
        <v>2467.1912000000002</v>
      </c>
      <c r="AR100" s="375">
        <f>AQ100</f>
        <v>2467.1912000000002</v>
      </c>
      <c r="AS100" s="375">
        <f t="shared" ref="AS100:AV100" si="114">AR100-AS167</f>
        <v>2360.9959306250003</v>
      </c>
      <c r="AT100" s="375">
        <f t="shared" si="114"/>
        <v>2533.3765643750003</v>
      </c>
      <c r="AU100" s="375">
        <f t="shared" si="114"/>
        <v>2680.2756950000003</v>
      </c>
      <c r="AV100" s="375">
        <f t="shared" si="114"/>
        <v>2513.9163200000003</v>
      </c>
      <c r="AW100" s="375">
        <f>AV100</f>
        <v>2513.9163200000003</v>
      </c>
      <c r="AX100" s="375">
        <f t="shared" ref="AX100:BA100" si="115">AW100-AX167</f>
        <v>2410.3759323593754</v>
      </c>
      <c r="AY100" s="375">
        <f t="shared" si="115"/>
        <v>2578.4470502656254</v>
      </c>
      <c r="AZ100" s="375">
        <f t="shared" si="115"/>
        <v>2721.6737026250003</v>
      </c>
      <c r="BA100" s="375">
        <f t="shared" si="115"/>
        <v>2559.4733120000001</v>
      </c>
      <c r="BB100" s="375">
        <f>BA100</f>
        <v>2559.4733120000001</v>
      </c>
      <c r="BC100" s="375">
        <f t="shared" ref="BC100:BF100" si="116">BB100-BC167</f>
        <v>2458.5214340503908</v>
      </c>
      <c r="BD100" s="375">
        <f t="shared" si="116"/>
        <v>2622.3907740089844</v>
      </c>
      <c r="BE100" s="375">
        <f t="shared" si="116"/>
        <v>2762.036760059375</v>
      </c>
      <c r="BF100" s="375">
        <f t="shared" si="116"/>
        <v>2603.8913791999998</v>
      </c>
      <c r="BG100" s="375">
        <f>BF100</f>
        <v>2603.8913791999998</v>
      </c>
      <c r="BH100" s="375">
        <f t="shared" ref="BH100:BK100" si="117">BG100-BH167</f>
        <v>2505.4632981991308</v>
      </c>
      <c r="BI100" s="375">
        <f t="shared" si="117"/>
        <v>2665.2359046587599</v>
      </c>
      <c r="BJ100" s="375">
        <f t="shared" si="117"/>
        <v>2801.3907410578909</v>
      </c>
      <c r="BK100" s="375">
        <f t="shared" si="117"/>
        <v>2647.1989947200004</v>
      </c>
      <c r="BL100" s="375">
        <f>BK100</f>
        <v>2647.1989947200004</v>
      </c>
    </row>
    <row r="101" spans="1:66">
      <c r="A101" s="5" t="s">
        <v>6</v>
      </c>
      <c r="AG101" s="376">
        <v>194.92400000000001</v>
      </c>
      <c r="AH101" s="375">
        <f t="shared" si="107"/>
        <v>194.92400000000001</v>
      </c>
      <c r="AI101" s="376">
        <v>194.553</v>
      </c>
      <c r="AJ101" s="376">
        <v>178.63499999999999</v>
      </c>
      <c r="AK101" s="376">
        <v>182.006</v>
      </c>
      <c r="AL101" s="386">
        <f>AK101</f>
        <v>182.006</v>
      </c>
      <c r="AM101" s="386">
        <f>AL101</f>
        <v>182.006</v>
      </c>
      <c r="AN101" s="386">
        <f t="shared" ref="AN101:AQ101" si="118">AM101</f>
        <v>182.006</v>
      </c>
      <c r="AO101" s="386">
        <f t="shared" si="118"/>
        <v>182.006</v>
      </c>
      <c r="AP101" s="386">
        <f t="shared" si="118"/>
        <v>182.006</v>
      </c>
      <c r="AQ101" s="386">
        <f t="shared" si="118"/>
        <v>182.006</v>
      </c>
      <c r="AR101" s="386">
        <f>AQ101</f>
        <v>182.006</v>
      </c>
      <c r="AS101" s="386">
        <f t="shared" ref="AS101:AV101" si="119">AR101</f>
        <v>182.006</v>
      </c>
      <c r="AT101" s="386">
        <f t="shared" si="119"/>
        <v>182.006</v>
      </c>
      <c r="AU101" s="386">
        <f t="shared" si="119"/>
        <v>182.006</v>
      </c>
      <c r="AV101" s="386">
        <f t="shared" si="119"/>
        <v>182.006</v>
      </c>
      <c r="AW101" s="386">
        <f>AV101</f>
        <v>182.006</v>
      </c>
      <c r="AX101" s="386">
        <f t="shared" ref="AX101:BA101" si="120">AW101</f>
        <v>182.006</v>
      </c>
      <c r="AY101" s="386">
        <f t="shared" si="120"/>
        <v>182.006</v>
      </c>
      <c r="AZ101" s="386">
        <f t="shared" si="120"/>
        <v>182.006</v>
      </c>
      <c r="BA101" s="386">
        <f t="shared" si="120"/>
        <v>182.006</v>
      </c>
      <c r="BB101" s="386">
        <f>BA101</f>
        <v>182.006</v>
      </c>
      <c r="BC101" s="386">
        <f t="shared" ref="BC101:BF101" si="121">BB101</f>
        <v>182.006</v>
      </c>
      <c r="BD101" s="386">
        <f t="shared" si="121"/>
        <v>182.006</v>
      </c>
      <c r="BE101" s="386">
        <f t="shared" si="121"/>
        <v>182.006</v>
      </c>
      <c r="BF101" s="386">
        <f t="shared" si="121"/>
        <v>182.006</v>
      </c>
      <c r="BG101" s="386">
        <f>BF101</f>
        <v>182.006</v>
      </c>
      <c r="BH101" s="386">
        <f t="shared" ref="BH101:BK101" si="122">BG101</f>
        <v>182.006</v>
      </c>
      <c r="BI101" s="386">
        <f t="shared" si="122"/>
        <v>182.006</v>
      </c>
      <c r="BJ101" s="386">
        <f t="shared" si="122"/>
        <v>182.006</v>
      </c>
      <c r="BK101" s="386">
        <f t="shared" si="122"/>
        <v>182.006</v>
      </c>
      <c r="BL101" s="386">
        <f>BK101</f>
        <v>182.006</v>
      </c>
    </row>
    <row r="102" spans="1:66">
      <c r="A102" s="5" t="s">
        <v>7</v>
      </c>
      <c r="AG102" s="376">
        <v>159.13900000000001</v>
      </c>
      <c r="AH102" s="375">
        <f t="shared" si="107"/>
        <v>159.13900000000001</v>
      </c>
      <c r="AI102" s="376">
        <v>157.70699999999999</v>
      </c>
      <c r="AJ102" s="376">
        <v>164.31100000000001</v>
      </c>
      <c r="AK102" s="376">
        <v>173.65100000000001</v>
      </c>
      <c r="AL102" s="375">
        <f>AK102-AL168-AL169</f>
        <v>180.15100000000001</v>
      </c>
      <c r="AM102" s="375">
        <f>AL102</f>
        <v>180.15100000000001</v>
      </c>
      <c r="AN102" s="375">
        <f t="shared" ref="AN102:AQ102" si="123">AM102-AN168-AN169</f>
        <v>177.65100000000001</v>
      </c>
      <c r="AO102" s="375">
        <f t="shared" si="123"/>
        <v>190.15100000000001</v>
      </c>
      <c r="AP102" s="375">
        <f t="shared" si="123"/>
        <v>205.15100000000001</v>
      </c>
      <c r="AQ102" s="375">
        <f t="shared" si="123"/>
        <v>197.65100000000001</v>
      </c>
      <c r="AR102" s="375">
        <f>AQ102</f>
        <v>197.65100000000001</v>
      </c>
      <c r="AS102" s="375">
        <f t="shared" ref="AS102:AV102" si="124">AR102-AS168-AS169</f>
        <v>192.65100000000001</v>
      </c>
      <c r="AT102" s="375">
        <f t="shared" si="124"/>
        <v>202.65100000000001</v>
      </c>
      <c r="AU102" s="375">
        <f t="shared" si="124"/>
        <v>215.15100000000001</v>
      </c>
      <c r="AV102" s="375">
        <f t="shared" si="124"/>
        <v>205.15100000000001</v>
      </c>
      <c r="AW102" s="375">
        <f>AV102</f>
        <v>205.15100000000001</v>
      </c>
      <c r="AX102" s="375">
        <f t="shared" ref="AX102:BA102" si="125">AW102-AX168-AX169</f>
        <v>197.65100000000001</v>
      </c>
      <c r="AY102" s="375">
        <f t="shared" si="125"/>
        <v>205.15100000000001</v>
      </c>
      <c r="AZ102" s="375">
        <f t="shared" si="125"/>
        <v>215.15100000000001</v>
      </c>
      <c r="BA102" s="375">
        <f t="shared" si="125"/>
        <v>202.65100000000001</v>
      </c>
      <c r="BB102" s="375">
        <f>BA102</f>
        <v>202.65100000000001</v>
      </c>
      <c r="BC102" s="375">
        <f t="shared" ref="BC102:BF102" si="126">BB102-BC168-BC169</f>
        <v>195.15100000000001</v>
      </c>
      <c r="BD102" s="375">
        <f t="shared" si="126"/>
        <v>202.65100000000001</v>
      </c>
      <c r="BE102" s="375">
        <f t="shared" si="126"/>
        <v>212.65100000000001</v>
      </c>
      <c r="BF102" s="375">
        <f t="shared" si="126"/>
        <v>200.15100000000001</v>
      </c>
      <c r="BG102" s="375">
        <f>BF102</f>
        <v>200.15100000000001</v>
      </c>
      <c r="BH102" s="375">
        <f t="shared" ref="BH102:BK102" si="127">BG102-BH168-BH169</f>
        <v>192.65100000000001</v>
      </c>
      <c r="BI102" s="375">
        <f t="shared" si="127"/>
        <v>200.15100000000001</v>
      </c>
      <c r="BJ102" s="375">
        <f t="shared" si="127"/>
        <v>210.15100000000001</v>
      </c>
      <c r="BK102" s="375">
        <f t="shared" si="127"/>
        <v>197.65100000000001</v>
      </c>
      <c r="BL102" s="375">
        <f>BK102</f>
        <v>197.65100000000001</v>
      </c>
    </row>
    <row r="103" spans="1:66">
      <c r="A103" s="5" t="s">
        <v>8</v>
      </c>
      <c r="AG103" s="376">
        <v>145.13399999999999</v>
      </c>
      <c r="AH103" s="375">
        <f t="shared" si="107"/>
        <v>145.13399999999999</v>
      </c>
      <c r="AI103" s="376">
        <v>174.47200000000001</v>
      </c>
      <c r="AJ103" s="376">
        <v>181.36699999999999</v>
      </c>
      <c r="AK103" s="376">
        <v>182.892</v>
      </c>
      <c r="AL103" s="386">
        <f>AK103</f>
        <v>182.892</v>
      </c>
      <c r="AM103" s="386">
        <f>AL103</f>
        <v>182.892</v>
      </c>
      <c r="AN103" s="386">
        <f t="shared" ref="AN103:AQ103" si="128">AM103</f>
        <v>182.892</v>
      </c>
      <c r="AO103" s="386">
        <f t="shared" si="128"/>
        <v>182.892</v>
      </c>
      <c r="AP103" s="386">
        <f t="shared" si="128"/>
        <v>182.892</v>
      </c>
      <c r="AQ103" s="386">
        <f t="shared" si="128"/>
        <v>182.892</v>
      </c>
      <c r="AR103" s="386">
        <f>AQ103</f>
        <v>182.892</v>
      </c>
      <c r="AS103" s="386">
        <f t="shared" ref="AS103:AV103" si="129">AR103</f>
        <v>182.892</v>
      </c>
      <c r="AT103" s="386">
        <f t="shared" si="129"/>
        <v>182.892</v>
      </c>
      <c r="AU103" s="386">
        <f t="shared" si="129"/>
        <v>182.892</v>
      </c>
      <c r="AV103" s="386">
        <f t="shared" si="129"/>
        <v>182.892</v>
      </c>
      <c r="AW103" s="386">
        <f>AV103</f>
        <v>182.892</v>
      </c>
      <c r="AX103" s="386">
        <f t="shared" ref="AX103:BA103" si="130">AW103</f>
        <v>182.892</v>
      </c>
      <c r="AY103" s="386">
        <f t="shared" si="130"/>
        <v>182.892</v>
      </c>
      <c r="AZ103" s="386">
        <f t="shared" si="130"/>
        <v>182.892</v>
      </c>
      <c r="BA103" s="386">
        <f t="shared" si="130"/>
        <v>182.892</v>
      </c>
      <c r="BB103" s="386">
        <f>BA103</f>
        <v>182.892</v>
      </c>
      <c r="BC103" s="386">
        <f t="shared" ref="BC103:BF103" si="131">BB103</f>
        <v>182.892</v>
      </c>
      <c r="BD103" s="386">
        <f t="shared" si="131"/>
        <v>182.892</v>
      </c>
      <c r="BE103" s="386">
        <f t="shared" si="131"/>
        <v>182.892</v>
      </c>
      <c r="BF103" s="386">
        <f t="shared" si="131"/>
        <v>182.892</v>
      </c>
      <c r="BG103" s="386">
        <f>BF103</f>
        <v>182.892</v>
      </c>
      <c r="BH103" s="386">
        <f t="shared" ref="BH103:BK103" si="132">BG103</f>
        <v>182.892</v>
      </c>
      <c r="BI103" s="386">
        <f t="shared" si="132"/>
        <v>182.892</v>
      </c>
      <c r="BJ103" s="386">
        <f t="shared" si="132"/>
        <v>182.892</v>
      </c>
      <c r="BK103" s="386">
        <f t="shared" si="132"/>
        <v>182.892</v>
      </c>
      <c r="BL103" s="386">
        <f>BK103</f>
        <v>182.892</v>
      </c>
    </row>
    <row r="104" spans="1:66">
      <c r="A104" s="9" t="s">
        <v>9</v>
      </c>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378"/>
      <c r="AE104" s="378"/>
      <c r="AF104" s="378"/>
      <c r="AG104" s="378">
        <f>SUM(AG99:AG103)</f>
        <v>4948.0950000000003</v>
      </c>
      <c r="AH104" s="378">
        <f t="shared" si="107"/>
        <v>4948.0950000000003</v>
      </c>
      <c r="AI104" s="378">
        <f>SUM(AI99:AI103)</f>
        <v>4638.5830000000005</v>
      </c>
      <c r="AJ104" s="378">
        <f>SUM(AJ99:AJ103)</f>
        <v>4994.1360000000004</v>
      </c>
      <c r="AK104" s="378">
        <f>SUM(AK99:AK103)</f>
        <v>5327.6989999999996</v>
      </c>
      <c r="AL104" s="378">
        <f>SUM(AL99:AL103)</f>
        <v>5193.7683456562036</v>
      </c>
      <c r="AM104" s="378">
        <f>SUM(AM99:AM103)</f>
        <v>5193.7683456562036</v>
      </c>
      <c r="AN104" s="378">
        <f t="shared" ref="AN104:AQ104" si="133">SUM(AN99:AN103)</f>
        <v>4897.3444210368125</v>
      </c>
      <c r="AO104" s="378">
        <f t="shared" si="133"/>
        <v>5264.7514435219146</v>
      </c>
      <c r="AP104" s="378">
        <f t="shared" si="133"/>
        <v>5415.3341695897243</v>
      </c>
      <c r="AQ104" s="378">
        <f t="shared" si="133"/>
        <v>5303.7662928427208</v>
      </c>
      <c r="AR104" s="378">
        <f>SUM(AR99:AR103)</f>
        <v>5303.7662928427208</v>
      </c>
      <c r="AS104" s="378">
        <f t="shared" ref="AS104:AV104" si="134">SUM(AS99:AS103)</f>
        <v>5017.201560454233</v>
      </c>
      <c r="AT104" s="378">
        <f t="shared" si="134"/>
        <v>5384.6820275452037</v>
      </c>
      <c r="AU104" s="378">
        <f t="shared" si="134"/>
        <v>5534.2306901605016</v>
      </c>
      <c r="AV104" s="378">
        <f t="shared" si="134"/>
        <v>5443.74005292947</v>
      </c>
      <c r="AW104" s="378">
        <f>SUM(AW99:AW103)</f>
        <v>5443.74005292947</v>
      </c>
      <c r="AX104" s="378">
        <f t="shared" ref="AX104:BA104" si="135">SUM(AX99:AX103)</f>
        <v>5167.2753665827086</v>
      </c>
      <c r="AY104" s="378">
        <f t="shared" si="135"/>
        <v>5507.4326639250994</v>
      </c>
      <c r="AZ104" s="378">
        <f t="shared" si="135"/>
        <v>5658.7877436256085</v>
      </c>
      <c r="BA104" s="378">
        <f t="shared" si="135"/>
        <v>5583.2824536425478</v>
      </c>
      <c r="BB104" s="378">
        <f>SUM(BB99:BB103)</f>
        <v>5583.2824536425478</v>
      </c>
      <c r="BC104" s="378">
        <f t="shared" ref="BC104:BF104" si="136">SUM(BC99:BC103)</f>
        <v>5309.1049241167339</v>
      </c>
      <c r="BD104" s="378">
        <f t="shared" si="136"/>
        <v>5684.9312346661336</v>
      </c>
      <c r="BE104" s="378">
        <f t="shared" si="136"/>
        <v>5830.4388119427394</v>
      </c>
      <c r="BF104" s="378">
        <f t="shared" si="136"/>
        <v>5767.7677366065727</v>
      </c>
      <c r="BG104" s="378">
        <f>SUM(BG99:BG103)</f>
        <v>5767.7677366065727</v>
      </c>
      <c r="BH104" s="378">
        <f t="shared" ref="BH104:BK104" si="137">SUM(BH99:BH103)</f>
        <v>5507.7145320705868</v>
      </c>
      <c r="BI104" s="378">
        <f t="shared" si="137"/>
        <v>5890.7145749758747</v>
      </c>
      <c r="BJ104" s="378">
        <f t="shared" si="137"/>
        <v>6041.7982785038303</v>
      </c>
      <c r="BK104" s="378">
        <f t="shared" si="137"/>
        <v>5996.5094289200451</v>
      </c>
      <c r="BL104" s="378">
        <f>SUM(BL99:BL103)</f>
        <v>5996.5094289200451</v>
      </c>
    </row>
    <row r="106" spans="1:66">
      <c r="A106" s="5" t="s">
        <v>1535</v>
      </c>
      <c r="AG106" s="376">
        <v>1673.7049999999999</v>
      </c>
      <c r="AH106" s="375">
        <f t="shared" ref="AH106:AH115" si="138">AG106</f>
        <v>1673.7049999999999</v>
      </c>
      <c r="AI106" s="376">
        <v>1677.309</v>
      </c>
      <c r="AJ106" s="376">
        <v>1717.575</v>
      </c>
      <c r="AK106" s="376">
        <v>1733.835</v>
      </c>
      <c r="AL106" s="375">
        <f>AK106-AL183-AL78+'Consolidated KK'!AL150</f>
        <v>1711.9824157969263</v>
      </c>
      <c r="AM106" s="375">
        <f>AL106</f>
        <v>1711.9824157969263</v>
      </c>
      <c r="AN106" s="375">
        <f>AM106-AN183-AN78+'Consolidated KK'!AN150</f>
        <v>1740.1293019384166</v>
      </c>
      <c r="AO106" s="375">
        <f>AN106-AO183-AO78+'Consolidated KK'!AO150</f>
        <v>1741.399813506217</v>
      </c>
      <c r="AP106" s="375">
        <f>AO106-AP183-AP78+'Consolidated KK'!AP150</f>
        <v>1740.5872809907928</v>
      </c>
      <c r="AQ106" s="375">
        <f>AP106-AQ183-AQ78+'Consolidated KK'!AQ150</f>
        <v>1720.4607938559304</v>
      </c>
      <c r="AR106" s="375">
        <f>AQ106</f>
        <v>1720.4607938559304</v>
      </c>
      <c r="AS106" s="375">
        <f>AR106-AS183-AS78+'Consolidated KK'!AS150</f>
        <v>1754.5051638678131</v>
      </c>
      <c r="AT106" s="375">
        <f>AS106-AT183-AT78+'Consolidated KK'!AT150</f>
        <v>1761.4662379030508</v>
      </c>
      <c r="AU106" s="375">
        <f>AT106-AU183-AU78+'Consolidated KK'!AU150</f>
        <v>1766.6059515989921</v>
      </c>
      <c r="AV106" s="375">
        <f>AU106-AV183-AV78+'Consolidated KK'!AV150</f>
        <v>1752.0463009956147</v>
      </c>
      <c r="AW106" s="375">
        <f>AV106</f>
        <v>1752.0463009956147</v>
      </c>
      <c r="AX106" s="375">
        <f>AW106-AX183-AX78+'Consolidated KK'!AX150</f>
        <v>1794.1319116895718</v>
      </c>
      <c r="AY106" s="375">
        <f>AX106-AY183-AY78+'Consolidated KK'!AY150</f>
        <v>1808.9091896248815</v>
      </c>
      <c r="AZ106" s="375">
        <f>AY106-AZ183-AZ78+'Consolidated KK'!AZ150</f>
        <v>1822.1774617015255</v>
      </c>
      <c r="BA106" s="375">
        <f>AZ106-BA183-BA78+'Consolidated KK'!BA150</f>
        <v>1815.4016552465371</v>
      </c>
      <c r="BB106" s="375">
        <f>BA106</f>
        <v>1815.4016552465371</v>
      </c>
      <c r="BC106" s="375">
        <f>BB106-BC183-BC78+'Consolidated KK'!BC150</f>
        <v>1864.3548048343275</v>
      </c>
      <c r="BD106" s="375">
        <f>BC106-BD183-BD78+'Consolidated KK'!BD150</f>
        <v>1885.6342177787644</v>
      </c>
      <c r="BE106" s="375">
        <f>BD106-BE183-BE78+'Consolidated KK'!BE150</f>
        <v>1905.6968019208427</v>
      </c>
      <c r="BF106" s="375">
        <f>BE106-BF183-BF78+'Consolidated KK'!BF150</f>
        <v>1905.2590444711243</v>
      </c>
      <c r="BG106" s="375">
        <f>BF106</f>
        <v>1905.2590444711243</v>
      </c>
      <c r="BH106" s="375">
        <f>BG106-BH183-BH78+'Consolidated KK'!BH150</f>
        <v>1961.4238094406342</v>
      </c>
      <c r="BI106" s="375">
        <f>BH106-BI183-BI78+'Consolidated KK'!BI150</f>
        <v>1989.5250167908396</v>
      </c>
      <c r="BJ106" s="375">
        <f>BI106-BJ183-BJ78+'Consolidated KK'!BJ150</f>
        <v>2016.7007335319342</v>
      </c>
      <c r="BK106" s="375">
        <f>BJ106-BK183-BK78+'Consolidated KK'!BK150</f>
        <v>2022.9261277715889</v>
      </c>
      <c r="BL106" s="375">
        <f>BK106</f>
        <v>2022.9261277715889</v>
      </c>
    </row>
    <row r="107" spans="1:66">
      <c r="A107" s="5" t="s">
        <v>17</v>
      </c>
      <c r="AG107" s="376">
        <v>763.59799999999996</v>
      </c>
      <c r="AH107" s="375">
        <f t="shared" si="138"/>
        <v>763.59799999999996</v>
      </c>
      <c r="AI107" s="376">
        <v>751.01400000000001</v>
      </c>
      <c r="AJ107" s="376">
        <v>739.38900000000001</v>
      </c>
      <c r="AK107" s="376">
        <v>706.01099999999997</v>
      </c>
      <c r="AL107" s="375">
        <f>AK107-'Consolidated KK'!AL150</f>
        <v>675.81899999999996</v>
      </c>
      <c r="AM107" s="375">
        <f>AL107</f>
        <v>675.81899999999996</v>
      </c>
      <c r="AN107" s="375">
        <f>AM107-'Consolidated KK'!AN150</f>
        <v>645.24959999999999</v>
      </c>
      <c r="AO107" s="375">
        <f>AN107-'Consolidated KK'!AO150</f>
        <v>614.68020000000001</v>
      </c>
      <c r="AP107" s="375">
        <f>AO107-'Consolidated KK'!AP150</f>
        <v>583.594425</v>
      </c>
      <c r="AQ107" s="375">
        <f>AP107-'Consolidated KK'!AQ150</f>
        <v>553.02502500000003</v>
      </c>
      <c r="AR107" s="375">
        <f t="shared" ref="AR107" si="139">AQ107</f>
        <v>553.02502500000003</v>
      </c>
      <c r="AS107" s="375">
        <f>AR107-'Consolidated KK'!AS150</f>
        <v>522.07350750000001</v>
      </c>
      <c r="AT107" s="375">
        <f>AS107-'Consolidated KK'!AT150</f>
        <v>491.12198999999998</v>
      </c>
      <c r="AU107" s="375">
        <f>AT107-'Consolidated KK'!AU150</f>
        <v>459.64764281249995</v>
      </c>
      <c r="AV107" s="375">
        <f>AU107-'Consolidated KK'!AV150</f>
        <v>428.69612531249993</v>
      </c>
      <c r="AW107" s="375">
        <f t="shared" ref="AW107:BA109" si="140">AV107</f>
        <v>428.69612531249993</v>
      </c>
      <c r="AX107" s="375">
        <f>AW107-'Consolidated KK'!AX150</f>
        <v>397.35771384374993</v>
      </c>
      <c r="AY107" s="375">
        <f>AX107-'Consolidated KK'!AY150</f>
        <v>366.01930237499994</v>
      </c>
      <c r="AZ107" s="375">
        <f>AY107-'Consolidated KK'!AZ150</f>
        <v>334.15152584765622</v>
      </c>
      <c r="BA107" s="375">
        <f>AZ107-'Consolidated KK'!BA150</f>
        <v>302.81311437890622</v>
      </c>
      <c r="BB107" s="375">
        <f t="shared" ref="BB107:BF109" si="141">BA107</f>
        <v>302.81311437890622</v>
      </c>
      <c r="BC107" s="375">
        <f>BB107-'Consolidated KK'!BC150</f>
        <v>271.08297276679684</v>
      </c>
      <c r="BD107" s="375">
        <f>BC107-'Consolidated KK'!BD150</f>
        <v>239.35283115468746</v>
      </c>
      <c r="BE107" s="375">
        <f>BD107-'Consolidated KK'!BE150</f>
        <v>207.08670742075191</v>
      </c>
      <c r="BF107" s="375">
        <f>BE107-'Consolidated KK'!BF150</f>
        <v>175.35656580864253</v>
      </c>
      <c r="BG107" s="375">
        <f t="shared" ref="BG107:BK109" si="142">BF107</f>
        <v>175.35656580864253</v>
      </c>
      <c r="BH107" s="375">
        <f>BG107-'Consolidated KK'!BH150</f>
        <v>143.22979742638179</v>
      </c>
      <c r="BI107" s="375">
        <f>BH107-'Consolidated KK'!BI150</f>
        <v>111.10302904412106</v>
      </c>
      <c r="BJ107" s="375">
        <f>BI107-'Consolidated KK'!BJ150</f>
        <v>78.433578763511321</v>
      </c>
      <c r="BK107" s="375">
        <f>BJ107-'Consolidated KK'!BK150</f>
        <v>46.306810381250578</v>
      </c>
      <c r="BL107" s="375">
        <f t="shared" ref="BL107:BL110" si="143">BK107</f>
        <v>46.306810381250578</v>
      </c>
    </row>
    <row r="108" spans="1:66">
      <c r="A108" s="5" t="s">
        <v>18</v>
      </c>
      <c r="AG108" s="376">
        <v>1994.298</v>
      </c>
      <c r="AH108" s="375">
        <f t="shared" si="138"/>
        <v>1994.298</v>
      </c>
      <c r="AI108" s="376">
        <v>1989.8130000000001</v>
      </c>
      <c r="AJ108" s="376">
        <v>1989.76</v>
      </c>
      <c r="AK108" s="376">
        <v>1988.952</v>
      </c>
      <c r="AL108" s="386">
        <f>AK108</f>
        <v>1988.952</v>
      </c>
      <c r="AM108" s="386">
        <f t="shared" ref="AM108:BB110" si="144">AL108</f>
        <v>1988.952</v>
      </c>
      <c r="AN108" s="386">
        <f t="shared" si="144"/>
        <v>1988.952</v>
      </c>
      <c r="AO108" s="386">
        <f t="shared" si="144"/>
        <v>1988.952</v>
      </c>
      <c r="AP108" s="386">
        <f t="shared" si="144"/>
        <v>1988.952</v>
      </c>
      <c r="AQ108" s="386">
        <f t="shared" si="144"/>
        <v>1988.952</v>
      </c>
      <c r="AR108" s="386">
        <f t="shared" si="144"/>
        <v>1988.952</v>
      </c>
      <c r="AS108" s="386">
        <f t="shared" si="144"/>
        <v>1988.952</v>
      </c>
      <c r="AT108" s="386">
        <f t="shared" si="144"/>
        <v>1988.952</v>
      </c>
      <c r="AU108" s="386">
        <f t="shared" si="144"/>
        <v>1988.952</v>
      </c>
      <c r="AV108" s="386">
        <f t="shared" si="144"/>
        <v>1988.952</v>
      </c>
      <c r="AW108" s="386">
        <f t="shared" si="140"/>
        <v>1988.952</v>
      </c>
      <c r="AX108" s="386">
        <f t="shared" si="140"/>
        <v>1988.952</v>
      </c>
      <c r="AY108" s="386">
        <f t="shared" si="140"/>
        <v>1988.952</v>
      </c>
      <c r="AZ108" s="386">
        <f t="shared" si="140"/>
        <v>1988.952</v>
      </c>
      <c r="BA108" s="386">
        <f t="shared" si="140"/>
        <v>1988.952</v>
      </c>
      <c r="BB108" s="386">
        <f t="shared" si="141"/>
        <v>1988.952</v>
      </c>
      <c r="BC108" s="386">
        <f t="shared" si="141"/>
        <v>1988.952</v>
      </c>
      <c r="BD108" s="386">
        <f t="shared" si="141"/>
        <v>1988.952</v>
      </c>
      <c r="BE108" s="386">
        <f t="shared" si="141"/>
        <v>1988.952</v>
      </c>
      <c r="BF108" s="386">
        <f t="shared" si="141"/>
        <v>1988.952</v>
      </c>
      <c r="BG108" s="386">
        <f t="shared" si="142"/>
        <v>1988.952</v>
      </c>
      <c r="BH108" s="386">
        <f t="shared" si="142"/>
        <v>1988.952</v>
      </c>
      <c r="BI108" s="386">
        <f t="shared" si="142"/>
        <v>1988.952</v>
      </c>
      <c r="BJ108" s="386">
        <f t="shared" si="142"/>
        <v>1988.952</v>
      </c>
      <c r="BK108" s="386">
        <f t="shared" si="142"/>
        <v>1988.952</v>
      </c>
      <c r="BL108" s="386">
        <f t="shared" si="143"/>
        <v>1988.952</v>
      </c>
    </row>
    <row r="109" spans="1:66">
      <c r="A109" s="5" t="s">
        <v>19</v>
      </c>
      <c r="AG109" s="376">
        <v>2529.116</v>
      </c>
      <c r="AH109" s="375">
        <f t="shared" si="138"/>
        <v>2529.116</v>
      </c>
      <c r="AI109" s="376">
        <v>2520.2449999999999</v>
      </c>
      <c r="AJ109" s="376">
        <v>2500.3429999999998</v>
      </c>
      <c r="AK109" s="376">
        <v>2495.4589999999998</v>
      </c>
      <c r="AL109" s="375">
        <f>AK109-AL185</f>
        <v>2495.4589999999998</v>
      </c>
      <c r="AM109" s="375">
        <f t="shared" si="144"/>
        <v>2495.4589999999998</v>
      </c>
      <c r="AN109" s="375">
        <f t="shared" ref="AN109:BK109" si="145">AM109-AN185</f>
        <v>2495.4589999999998</v>
      </c>
      <c r="AO109" s="375">
        <f t="shared" si="145"/>
        <v>2495.4589999999998</v>
      </c>
      <c r="AP109" s="375">
        <f t="shared" si="145"/>
        <v>2495.4589999999998</v>
      </c>
      <c r="AQ109" s="375">
        <f t="shared" si="145"/>
        <v>2495.4589999999998</v>
      </c>
      <c r="AR109" s="375">
        <f t="shared" si="144"/>
        <v>2495.4589999999998</v>
      </c>
      <c r="AS109" s="375">
        <f t="shared" si="145"/>
        <v>2495.4589999999998</v>
      </c>
      <c r="AT109" s="375">
        <f t="shared" si="145"/>
        <v>2495.4589999999998</v>
      </c>
      <c r="AU109" s="375">
        <f t="shared" si="145"/>
        <v>2495.4589999999998</v>
      </c>
      <c r="AV109" s="375">
        <f t="shared" si="145"/>
        <v>2495.4589999999998</v>
      </c>
      <c r="AW109" s="375">
        <f t="shared" si="140"/>
        <v>2495.4589999999998</v>
      </c>
      <c r="AX109" s="375">
        <f t="shared" si="145"/>
        <v>2495.4589999999998</v>
      </c>
      <c r="AY109" s="375">
        <f t="shared" si="145"/>
        <v>2530.4589999999998</v>
      </c>
      <c r="AZ109" s="375">
        <f t="shared" si="145"/>
        <v>2530.4589999999998</v>
      </c>
      <c r="BA109" s="375">
        <f t="shared" si="145"/>
        <v>2530.4589999999998</v>
      </c>
      <c r="BB109" s="375">
        <f t="shared" si="141"/>
        <v>2530.4589999999998</v>
      </c>
      <c r="BC109" s="375">
        <f t="shared" si="145"/>
        <v>2530.4589999999998</v>
      </c>
      <c r="BD109" s="375">
        <f t="shared" si="145"/>
        <v>2530.4589999999998</v>
      </c>
      <c r="BE109" s="375">
        <f t="shared" si="145"/>
        <v>2530.4589999999998</v>
      </c>
      <c r="BF109" s="375">
        <f t="shared" si="145"/>
        <v>2530.4589999999998</v>
      </c>
      <c r="BG109" s="375">
        <f t="shared" si="142"/>
        <v>2530.4589999999998</v>
      </c>
      <c r="BH109" s="375">
        <f t="shared" si="145"/>
        <v>2530.4589999999998</v>
      </c>
      <c r="BI109" s="375">
        <f t="shared" si="145"/>
        <v>2530.4589999999998</v>
      </c>
      <c r="BJ109" s="375">
        <f t="shared" si="145"/>
        <v>2530.4589999999998</v>
      </c>
      <c r="BK109" s="375">
        <f t="shared" si="145"/>
        <v>2530.4589999999998</v>
      </c>
      <c r="BL109" s="375">
        <f t="shared" si="143"/>
        <v>2530.4589999999998</v>
      </c>
    </row>
    <row r="110" spans="1:66">
      <c r="A110" s="5" t="s">
        <v>1536</v>
      </c>
      <c r="AG110" s="376">
        <v>334.34500000000003</v>
      </c>
      <c r="AH110" s="375">
        <f t="shared" si="138"/>
        <v>334.34500000000003</v>
      </c>
      <c r="AI110" s="376">
        <v>334.56599999999997</v>
      </c>
      <c r="AJ110" s="376">
        <v>335.01400000000001</v>
      </c>
      <c r="AK110" s="376">
        <v>322.29199999999997</v>
      </c>
      <c r="AL110" s="386">
        <f>AK110</f>
        <v>322.29199999999997</v>
      </c>
      <c r="AM110" s="386">
        <f t="shared" si="144"/>
        <v>322.29199999999997</v>
      </c>
      <c r="AN110" s="386">
        <f t="shared" si="144"/>
        <v>322.29199999999997</v>
      </c>
      <c r="AO110" s="386">
        <f t="shared" si="144"/>
        <v>322.29199999999997</v>
      </c>
      <c r="AP110" s="386">
        <f t="shared" si="144"/>
        <v>322.29199999999997</v>
      </c>
      <c r="AQ110" s="386">
        <f t="shared" si="144"/>
        <v>322.29199999999997</v>
      </c>
      <c r="AR110" s="386">
        <f t="shared" si="144"/>
        <v>322.29199999999997</v>
      </c>
      <c r="AS110" s="386">
        <f t="shared" si="144"/>
        <v>322.29199999999997</v>
      </c>
      <c r="AT110" s="386">
        <f t="shared" si="144"/>
        <v>322.29199999999997</v>
      </c>
      <c r="AU110" s="386">
        <f t="shared" si="144"/>
        <v>322.29199999999997</v>
      </c>
      <c r="AV110" s="386">
        <f t="shared" si="144"/>
        <v>322.29199999999997</v>
      </c>
      <c r="AW110" s="386">
        <f t="shared" si="144"/>
        <v>322.29199999999997</v>
      </c>
      <c r="AX110" s="386">
        <f t="shared" si="144"/>
        <v>322.29199999999997</v>
      </c>
      <c r="AY110" s="386">
        <f t="shared" si="144"/>
        <v>322.29199999999997</v>
      </c>
      <c r="AZ110" s="386">
        <f t="shared" si="144"/>
        <v>322.29199999999997</v>
      </c>
      <c r="BA110" s="386">
        <f t="shared" si="144"/>
        <v>322.29199999999997</v>
      </c>
      <c r="BB110" s="386">
        <f t="shared" si="144"/>
        <v>322.29199999999997</v>
      </c>
      <c r="BC110" s="386">
        <f t="shared" ref="BC110:BK110" si="146">BB110</f>
        <v>322.29199999999997</v>
      </c>
      <c r="BD110" s="386">
        <f t="shared" si="146"/>
        <v>322.29199999999997</v>
      </c>
      <c r="BE110" s="386">
        <f t="shared" si="146"/>
        <v>322.29199999999997</v>
      </c>
      <c r="BF110" s="386">
        <f t="shared" si="146"/>
        <v>322.29199999999997</v>
      </c>
      <c r="BG110" s="386">
        <f t="shared" si="146"/>
        <v>322.29199999999997</v>
      </c>
      <c r="BH110" s="386">
        <f t="shared" si="146"/>
        <v>322.29199999999997</v>
      </c>
      <c r="BI110" s="386">
        <f t="shared" si="146"/>
        <v>322.29199999999997</v>
      </c>
      <c r="BJ110" s="386">
        <f t="shared" si="146"/>
        <v>322.29199999999997</v>
      </c>
      <c r="BK110" s="386">
        <f t="shared" si="146"/>
        <v>322.29199999999997</v>
      </c>
      <c r="BL110" s="386">
        <f t="shared" si="143"/>
        <v>322.29199999999997</v>
      </c>
    </row>
    <row r="111" spans="1:66">
      <c r="A111" s="5" t="s">
        <v>21</v>
      </c>
      <c r="AG111" s="376">
        <v>218.17</v>
      </c>
      <c r="AH111" s="375">
        <f t="shared" si="138"/>
        <v>218.17</v>
      </c>
      <c r="AI111" s="376">
        <v>268.88799999999998</v>
      </c>
      <c r="AJ111" s="376">
        <v>272.529</v>
      </c>
      <c r="AK111" s="376">
        <v>264.31599999999997</v>
      </c>
      <c r="AL111" s="375">
        <f>AK111+SUM(AL37:AL38)</f>
        <v>260.96599999999995</v>
      </c>
      <c r="AM111" s="375">
        <f>AL111</f>
        <v>260.96599999999995</v>
      </c>
      <c r="AN111" s="375">
        <f>AM111+SUM(AN37:AN38)</f>
        <v>257.61599999999993</v>
      </c>
      <c r="AO111" s="375">
        <f t="shared" ref="AO111:BK111" si="147">AN111+SUM(AO37:AO38)</f>
        <v>254.26599999999993</v>
      </c>
      <c r="AP111" s="375">
        <f t="shared" si="147"/>
        <v>250.91599999999994</v>
      </c>
      <c r="AQ111" s="375">
        <f t="shared" si="147"/>
        <v>247.56599999999995</v>
      </c>
      <c r="AR111" s="375">
        <f>AQ111</f>
        <v>247.56599999999995</v>
      </c>
      <c r="AS111" s="375">
        <f t="shared" si="147"/>
        <v>245.46599999999995</v>
      </c>
      <c r="AT111" s="375">
        <f t="shared" si="147"/>
        <v>243.36599999999996</v>
      </c>
      <c r="AU111" s="375">
        <f t="shared" si="147"/>
        <v>241.26599999999996</v>
      </c>
      <c r="AV111" s="375">
        <f t="shared" si="147"/>
        <v>239.16599999999997</v>
      </c>
      <c r="AW111" s="375">
        <f>AV111</f>
        <v>239.16599999999997</v>
      </c>
      <c r="AX111" s="375">
        <f t="shared" si="147"/>
        <v>238.31599999999997</v>
      </c>
      <c r="AY111" s="375">
        <f t="shared" si="147"/>
        <v>237.46599999999998</v>
      </c>
      <c r="AZ111" s="375">
        <f t="shared" si="147"/>
        <v>236.61599999999999</v>
      </c>
      <c r="BA111" s="375">
        <f t="shared" si="147"/>
        <v>235.76599999999999</v>
      </c>
      <c r="BB111" s="375">
        <f>BA111</f>
        <v>235.76599999999999</v>
      </c>
      <c r="BC111" s="375">
        <f t="shared" si="147"/>
        <v>236.166</v>
      </c>
      <c r="BD111" s="375">
        <f t="shared" si="147"/>
        <v>236.566</v>
      </c>
      <c r="BE111" s="375">
        <f t="shared" si="147"/>
        <v>236.96600000000001</v>
      </c>
      <c r="BF111" s="375">
        <f t="shared" si="147"/>
        <v>237.36600000000001</v>
      </c>
      <c r="BG111" s="375">
        <f>BF111</f>
        <v>237.36600000000001</v>
      </c>
      <c r="BH111" s="375">
        <f t="shared" si="147"/>
        <v>239.01600000000002</v>
      </c>
      <c r="BI111" s="375">
        <f t="shared" si="147"/>
        <v>240.66600000000003</v>
      </c>
      <c r="BJ111" s="375">
        <f t="shared" si="147"/>
        <v>242.31600000000003</v>
      </c>
      <c r="BK111" s="375">
        <f t="shared" si="147"/>
        <v>243.96600000000004</v>
      </c>
      <c r="BL111" s="375">
        <f>BK111</f>
        <v>243.96600000000004</v>
      </c>
    </row>
    <row r="112" spans="1:66">
      <c r="A112" s="5" t="s">
        <v>23</v>
      </c>
      <c r="AG112" s="376">
        <v>241.29400000000001</v>
      </c>
      <c r="AH112" s="375">
        <f t="shared" si="138"/>
        <v>241.29400000000001</v>
      </c>
      <c r="AI112" s="376">
        <v>247.935</v>
      </c>
      <c r="AJ112" s="376">
        <v>266.08300000000003</v>
      </c>
      <c r="AK112" s="376">
        <v>249.30799999999999</v>
      </c>
      <c r="AL112" s="386">
        <f>AK112</f>
        <v>249.30799999999999</v>
      </c>
      <c r="AM112" s="386">
        <f t="shared" ref="AM112:BB114" si="148">AL112</f>
        <v>249.30799999999999</v>
      </c>
      <c r="AN112" s="386">
        <f t="shared" si="148"/>
        <v>249.30799999999999</v>
      </c>
      <c r="AO112" s="386">
        <f t="shared" si="148"/>
        <v>249.30799999999999</v>
      </c>
      <c r="AP112" s="386">
        <f t="shared" si="148"/>
        <v>249.30799999999999</v>
      </c>
      <c r="AQ112" s="386">
        <f t="shared" si="148"/>
        <v>249.30799999999999</v>
      </c>
      <c r="AR112" s="386">
        <f t="shared" si="148"/>
        <v>249.30799999999999</v>
      </c>
      <c r="AS112" s="386">
        <f t="shared" si="148"/>
        <v>249.30799999999999</v>
      </c>
      <c r="AT112" s="386">
        <f t="shared" si="148"/>
        <v>249.30799999999999</v>
      </c>
      <c r="AU112" s="386">
        <f t="shared" si="148"/>
        <v>249.30799999999999</v>
      </c>
      <c r="AV112" s="386">
        <f t="shared" si="148"/>
        <v>249.30799999999999</v>
      </c>
      <c r="AW112" s="386">
        <f t="shared" si="148"/>
        <v>249.30799999999999</v>
      </c>
      <c r="AX112" s="386">
        <f t="shared" si="148"/>
        <v>249.30799999999999</v>
      </c>
      <c r="AY112" s="386">
        <f t="shared" si="148"/>
        <v>249.30799999999999</v>
      </c>
      <c r="AZ112" s="386">
        <f t="shared" si="148"/>
        <v>249.30799999999999</v>
      </c>
      <c r="BA112" s="386">
        <f t="shared" si="148"/>
        <v>249.30799999999999</v>
      </c>
      <c r="BB112" s="386">
        <f t="shared" si="148"/>
        <v>249.30799999999999</v>
      </c>
      <c r="BC112" s="386">
        <f t="shared" ref="BC112:BL114" si="149">BB112</f>
        <v>249.30799999999999</v>
      </c>
      <c r="BD112" s="386">
        <f t="shared" si="149"/>
        <v>249.30799999999999</v>
      </c>
      <c r="BE112" s="386">
        <f t="shared" si="149"/>
        <v>249.30799999999999</v>
      </c>
      <c r="BF112" s="386">
        <f t="shared" si="149"/>
        <v>249.30799999999999</v>
      </c>
      <c r="BG112" s="386">
        <f t="shared" si="149"/>
        <v>249.30799999999999</v>
      </c>
      <c r="BH112" s="386">
        <f t="shared" si="149"/>
        <v>249.30799999999999</v>
      </c>
      <c r="BI112" s="386">
        <f t="shared" si="149"/>
        <v>249.30799999999999</v>
      </c>
      <c r="BJ112" s="386">
        <f t="shared" si="149"/>
        <v>249.30799999999999</v>
      </c>
      <c r="BK112" s="386">
        <f t="shared" si="149"/>
        <v>249.30799999999999</v>
      </c>
      <c r="BL112" s="386">
        <f t="shared" si="149"/>
        <v>249.30799999999999</v>
      </c>
    </row>
    <row r="113" spans="1:64">
      <c r="A113" s="5" t="s">
        <v>1537</v>
      </c>
      <c r="AG113" s="376">
        <v>288.78300000000002</v>
      </c>
      <c r="AH113" s="375">
        <f t="shared" si="138"/>
        <v>288.78300000000002</v>
      </c>
      <c r="AI113" s="376">
        <v>334.12099999999998</v>
      </c>
      <c r="AJ113" s="376">
        <v>432.53199999999998</v>
      </c>
      <c r="AK113" s="376">
        <v>496.57</v>
      </c>
      <c r="AL113" s="375">
        <f>AK113-SUM(AL188:AL189)</f>
        <v>511.57</v>
      </c>
      <c r="AM113" s="375">
        <f t="shared" si="148"/>
        <v>511.57</v>
      </c>
      <c r="AN113" s="375">
        <f>AM113-SUM(AN188:AN189)</f>
        <v>551.56999999999994</v>
      </c>
      <c r="AO113" s="375">
        <f t="shared" ref="AO113:AQ113" si="150">AN113-SUM(AO188:AO189)</f>
        <v>591.56999999999994</v>
      </c>
      <c r="AP113" s="375">
        <f t="shared" si="150"/>
        <v>631.56999999999994</v>
      </c>
      <c r="AQ113" s="375">
        <f t="shared" si="150"/>
        <v>671.56999999999994</v>
      </c>
      <c r="AR113" s="375">
        <f t="shared" si="148"/>
        <v>671.56999999999994</v>
      </c>
      <c r="AS113" s="375">
        <f>AR113-SUM(AS188:AS189)</f>
        <v>703.56999999999994</v>
      </c>
      <c r="AT113" s="375">
        <f t="shared" ref="AT113:AV113" si="151">AS113-SUM(AT188:AT189)</f>
        <v>735.56999999999994</v>
      </c>
      <c r="AU113" s="375">
        <f t="shared" si="151"/>
        <v>767.56999999999994</v>
      </c>
      <c r="AV113" s="375">
        <f t="shared" si="151"/>
        <v>799.56999999999994</v>
      </c>
      <c r="AW113" s="375">
        <f t="shared" si="148"/>
        <v>799.56999999999994</v>
      </c>
      <c r="AX113" s="375">
        <f>AW113-SUM(AX188:AX189)</f>
        <v>825.17</v>
      </c>
      <c r="AY113" s="375">
        <f t="shared" ref="AY113:BA113" si="152">AX113-SUM(AY188:AY189)</f>
        <v>850.77</v>
      </c>
      <c r="AZ113" s="375">
        <f t="shared" si="152"/>
        <v>876.37</v>
      </c>
      <c r="BA113" s="375">
        <f t="shared" si="152"/>
        <v>901.97</v>
      </c>
      <c r="BB113" s="375">
        <f t="shared" si="148"/>
        <v>901.97</v>
      </c>
      <c r="BC113" s="375">
        <f>BB113-SUM(BC188:BC189)</f>
        <v>922.45</v>
      </c>
      <c r="BD113" s="375">
        <f t="shared" ref="BD113:BF113" si="153">BC113-SUM(BD188:BD189)</f>
        <v>942.93000000000006</v>
      </c>
      <c r="BE113" s="375">
        <f t="shared" si="153"/>
        <v>963.41000000000008</v>
      </c>
      <c r="BF113" s="375">
        <f t="shared" si="153"/>
        <v>983.8900000000001</v>
      </c>
      <c r="BG113" s="375">
        <f t="shared" si="149"/>
        <v>983.8900000000001</v>
      </c>
      <c r="BH113" s="375">
        <f>BG113-SUM(BH188:BH189)</f>
        <v>1000.2740000000001</v>
      </c>
      <c r="BI113" s="375">
        <f t="shared" ref="BI113:BK113" si="154">BH113-SUM(BI188:BI189)</f>
        <v>1016.6580000000001</v>
      </c>
      <c r="BJ113" s="375">
        <f t="shared" si="154"/>
        <v>1033.0420000000001</v>
      </c>
      <c r="BK113" s="375">
        <f t="shared" si="154"/>
        <v>1049.4260000000002</v>
      </c>
      <c r="BL113" s="375">
        <f t="shared" si="149"/>
        <v>1049.4260000000002</v>
      </c>
    </row>
    <row r="114" spans="1:64">
      <c r="A114" s="5" t="s">
        <v>6</v>
      </c>
      <c r="AG114" s="376">
        <v>1528.65</v>
      </c>
      <c r="AH114" s="375">
        <f t="shared" si="138"/>
        <v>1528.65</v>
      </c>
      <c r="AI114" s="376">
        <v>1579.6289999999999</v>
      </c>
      <c r="AJ114" s="376">
        <v>1635.7339999999999</v>
      </c>
      <c r="AK114" s="376">
        <v>1668.316</v>
      </c>
      <c r="AL114" s="375">
        <f>AK114-AL173</f>
        <v>1708.316</v>
      </c>
      <c r="AM114" s="375">
        <f t="shared" si="148"/>
        <v>1708.316</v>
      </c>
      <c r="AN114" s="375">
        <f t="shared" ref="AN114:BK114" si="155">AM114-AN173</f>
        <v>1733.316</v>
      </c>
      <c r="AO114" s="375">
        <f t="shared" si="155"/>
        <v>1765.816</v>
      </c>
      <c r="AP114" s="375">
        <f t="shared" si="155"/>
        <v>1790.816</v>
      </c>
      <c r="AQ114" s="375">
        <f t="shared" si="155"/>
        <v>1823.316</v>
      </c>
      <c r="AR114" s="375">
        <f t="shared" si="148"/>
        <v>1823.316</v>
      </c>
      <c r="AS114" s="375">
        <f t="shared" si="155"/>
        <v>1845.816</v>
      </c>
      <c r="AT114" s="375">
        <f t="shared" si="155"/>
        <v>1875.066</v>
      </c>
      <c r="AU114" s="375">
        <f t="shared" si="155"/>
        <v>1897.566</v>
      </c>
      <c r="AV114" s="375">
        <f t="shared" si="155"/>
        <v>1926.816</v>
      </c>
      <c r="AW114" s="375">
        <f t="shared" si="148"/>
        <v>1926.816</v>
      </c>
      <c r="AX114" s="375">
        <f t="shared" si="155"/>
        <v>1947.066</v>
      </c>
      <c r="AY114" s="375">
        <f t="shared" si="155"/>
        <v>1973.3910000000001</v>
      </c>
      <c r="AZ114" s="375">
        <f t="shared" si="155"/>
        <v>1993.6410000000001</v>
      </c>
      <c r="BA114" s="375">
        <f t="shared" si="155"/>
        <v>2019.9660000000001</v>
      </c>
      <c r="BB114" s="375">
        <f t="shared" si="148"/>
        <v>2019.9660000000001</v>
      </c>
      <c r="BC114" s="375">
        <f t="shared" si="155"/>
        <v>2049.9660000000003</v>
      </c>
      <c r="BD114" s="375">
        <f t="shared" si="155"/>
        <v>2079.9660000000003</v>
      </c>
      <c r="BE114" s="375">
        <f t="shared" si="155"/>
        <v>2109.9660000000003</v>
      </c>
      <c r="BF114" s="375">
        <f t="shared" si="155"/>
        <v>2139.9660000000003</v>
      </c>
      <c r="BG114" s="375">
        <f t="shared" si="149"/>
        <v>2139.9660000000003</v>
      </c>
      <c r="BH114" s="375">
        <f t="shared" si="155"/>
        <v>2169.9660000000003</v>
      </c>
      <c r="BI114" s="375">
        <f t="shared" si="155"/>
        <v>2199.9660000000003</v>
      </c>
      <c r="BJ114" s="375">
        <f t="shared" si="155"/>
        <v>2229.9660000000003</v>
      </c>
      <c r="BK114" s="375">
        <f t="shared" si="155"/>
        <v>2259.9660000000003</v>
      </c>
      <c r="BL114" s="375">
        <f t="shared" si="149"/>
        <v>2259.9660000000003</v>
      </c>
    </row>
    <row r="115" spans="1:64">
      <c r="A115" s="5" t="s">
        <v>24</v>
      </c>
      <c r="AG115" s="376">
        <v>59.607999999999997</v>
      </c>
      <c r="AH115" s="375">
        <f t="shared" si="138"/>
        <v>59.607999999999997</v>
      </c>
      <c r="AI115" s="376">
        <v>58.512999999999998</v>
      </c>
      <c r="AJ115" s="376">
        <v>60.561999999999998</v>
      </c>
      <c r="AK115" s="376">
        <v>41.061999999999998</v>
      </c>
      <c r="AL115" s="375">
        <f>AL321</f>
        <v>41.061999999999998</v>
      </c>
      <c r="AM115" s="375">
        <f>AM321</f>
        <v>41.061999999999998</v>
      </c>
      <c r="AN115" s="375">
        <f t="shared" ref="AN115:BL115" si="156">AN321</f>
        <v>41.061999999999998</v>
      </c>
      <c r="AO115" s="375">
        <f t="shared" si="156"/>
        <v>41.061999999999998</v>
      </c>
      <c r="AP115" s="375">
        <f t="shared" si="156"/>
        <v>41.061999999999998</v>
      </c>
      <c r="AQ115" s="375">
        <f t="shared" si="156"/>
        <v>41.061999999999998</v>
      </c>
      <c r="AR115" s="375">
        <f t="shared" si="156"/>
        <v>41.061999999999998</v>
      </c>
      <c r="AS115" s="375">
        <f t="shared" si="156"/>
        <v>41.061999999999998</v>
      </c>
      <c r="AT115" s="375">
        <f t="shared" si="156"/>
        <v>41.061999999999998</v>
      </c>
      <c r="AU115" s="375">
        <f t="shared" si="156"/>
        <v>41.061999999999998</v>
      </c>
      <c r="AV115" s="375">
        <f t="shared" si="156"/>
        <v>41.061999999999998</v>
      </c>
      <c r="AW115" s="375">
        <f t="shared" si="156"/>
        <v>41.061999999999998</v>
      </c>
      <c r="AX115" s="375">
        <f t="shared" si="156"/>
        <v>41.061999999999998</v>
      </c>
      <c r="AY115" s="375">
        <f t="shared" si="156"/>
        <v>41.061999999999998</v>
      </c>
      <c r="AZ115" s="375">
        <f t="shared" si="156"/>
        <v>41.061999999999998</v>
      </c>
      <c r="BA115" s="375">
        <f t="shared" si="156"/>
        <v>41.061999999999998</v>
      </c>
      <c r="BB115" s="375">
        <f t="shared" si="156"/>
        <v>41.061999999999998</v>
      </c>
      <c r="BC115" s="375">
        <f t="shared" si="156"/>
        <v>41.061999999999998</v>
      </c>
      <c r="BD115" s="375">
        <f t="shared" si="156"/>
        <v>41.061999999999998</v>
      </c>
      <c r="BE115" s="375">
        <f t="shared" si="156"/>
        <v>41.061999999999998</v>
      </c>
      <c r="BF115" s="375">
        <f t="shared" si="156"/>
        <v>41.061999999999998</v>
      </c>
      <c r="BG115" s="375">
        <f t="shared" si="156"/>
        <v>41.061999999999998</v>
      </c>
      <c r="BH115" s="375">
        <f t="shared" si="156"/>
        <v>41.061999999999998</v>
      </c>
      <c r="BI115" s="375">
        <f t="shared" si="156"/>
        <v>41.061999999999998</v>
      </c>
      <c r="BJ115" s="375">
        <f t="shared" si="156"/>
        <v>41.061999999999998</v>
      </c>
      <c r="BK115" s="375">
        <f t="shared" si="156"/>
        <v>41.061999999999998</v>
      </c>
      <c r="BL115" s="375">
        <f t="shared" si="156"/>
        <v>41.061999999999998</v>
      </c>
    </row>
    <row r="116" spans="1:64">
      <c r="A116" s="5" t="s">
        <v>25</v>
      </c>
      <c r="AG116" s="376">
        <v>102.51900000000001</v>
      </c>
      <c r="AH116" s="375">
        <f>AG116</f>
        <v>102.51900000000001</v>
      </c>
      <c r="AI116" s="376">
        <v>100.596</v>
      </c>
      <c r="AJ116" s="376">
        <v>99.525999999999996</v>
      </c>
      <c r="AK116" s="376">
        <v>99.153999999999996</v>
      </c>
      <c r="AL116" s="386">
        <f>AK116</f>
        <v>99.153999999999996</v>
      </c>
      <c r="AM116" s="386">
        <f t="shared" ref="AM116:BL116" si="157">AL116</f>
        <v>99.153999999999996</v>
      </c>
      <c r="AN116" s="386">
        <f t="shared" si="157"/>
        <v>99.153999999999996</v>
      </c>
      <c r="AO116" s="386">
        <f t="shared" si="157"/>
        <v>99.153999999999996</v>
      </c>
      <c r="AP116" s="386">
        <f t="shared" si="157"/>
        <v>99.153999999999996</v>
      </c>
      <c r="AQ116" s="386">
        <f t="shared" si="157"/>
        <v>99.153999999999996</v>
      </c>
      <c r="AR116" s="386">
        <f t="shared" si="157"/>
        <v>99.153999999999996</v>
      </c>
      <c r="AS116" s="386">
        <f t="shared" si="157"/>
        <v>99.153999999999996</v>
      </c>
      <c r="AT116" s="386">
        <f t="shared" si="157"/>
        <v>99.153999999999996</v>
      </c>
      <c r="AU116" s="386">
        <f t="shared" si="157"/>
        <v>99.153999999999996</v>
      </c>
      <c r="AV116" s="386">
        <f t="shared" si="157"/>
        <v>99.153999999999996</v>
      </c>
      <c r="AW116" s="386">
        <f t="shared" si="157"/>
        <v>99.153999999999996</v>
      </c>
      <c r="AX116" s="386">
        <f t="shared" si="157"/>
        <v>99.153999999999996</v>
      </c>
      <c r="AY116" s="386">
        <f t="shared" si="157"/>
        <v>99.153999999999996</v>
      </c>
      <c r="AZ116" s="386">
        <f t="shared" si="157"/>
        <v>99.153999999999996</v>
      </c>
      <c r="BA116" s="386">
        <f t="shared" si="157"/>
        <v>99.153999999999996</v>
      </c>
      <c r="BB116" s="386">
        <f t="shared" si="157"/>
        <v>99.153999999999996</v>
      </c>
      <c r="BC116" s="386">
        <f t="shared" si="157"/>
        <v>99.153999999999996</v>
      </c>
      <c r="BD116" s="386">
        <f t="shared" si="157"/>
        <v>99.153999999999996</v>
      </c>
      <c r="BE116" s="386">
        <f t="shared" si="157"/>
        <v>99.153999999999996</v>
      </c>
      <c r="BF116" s="386">
        <f t="shared" si="157"/>
        <v>99.153999999999996</v>
      </c>
      <c r="BG116" s="386">
        <f t="shared" si="157"/>
        <v>99.153999999999996</v>
      </c>
      <c r="BH116" s="386">
        <f t="shared" si="157"/>
        <v>99.153999999999996</v>
      </c>
      <c r="BI116" s="386">
        <f t="shared" si="157"/>
        <v>99.153999999999996</v>
      </c>
      <c r="BJ116" s="386">
        <f t="shared" si="157"/>
        <v>99.153999999999996</v>
      </c>
      <c r="BK116" s="386">
        <f t="shared" si="157"/>
        <v>99.153999999999996</v>
      </c>
      <c r="BL116" s="386">
        <f t="shared" si="157"/>
        <v>99.153999999999996</v>
      </c>
    </row>
    <row r="117" spans="1:64">
      <c r="A117" s="9" t="s">
        <v>26</v>
      </c>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378"/>
      <c r="AE117" s="378"/>
      <c r="AF117" s="378"/>
      <c r="AG117" s="378">
        <f>SUM(AG106:AG116)</f>
        <v>9734.0860000000011</v>
      </c>
      <c r="AH117" s="378">
        <f>AG117</f>
        <v>9734.0860000000011</v>
      </c>
      <c r="AI117" s="378">
        <f t="shared" ref="AI117:BL117" si="158">SUM(AI106:AI116)</f>
        <v>9862.6290000000008</v>
      </c>
      <c r="AJ117" s="378">
        <f t="shared" si="158"/>
        <v>10049.047</v>
      </c>
      <c r="AK117" s="378">
        <f t="shared" si="158"/>
        <v>10065.275000000001</v>
      </c>
      <c r="AL117" s="378">
        <f t="shared" si="158"/>
        <v>10064.880415796928</v>
      </c>
      <c r="AM117" s="378">
        <f t="shared" si="158"/>
        <v>10064.880415796928</v>
      </c>
      <c r="AN117" s="378">
        <f t="shared" si="158"/>
        <v>10124.107901938418</v>
      </c>
      <c r="AO117" s="378">
        <f t="shared" si="158"/>
        <v>10163.959013506219</v>
      </c>
      <c r="AP117" s="378">
        <f t="shared" si="158"/>
        <v>10193.710705990794</v>
      </c>
      <c r="AQ117" s="378">
        <f t="shared" si="158"/>
        <v>10212.164818855932</v>
      </c>
      <c r="AR117" s="378">
        <f t="shared" si="158"/>
        <v>10212.164818855932</v>
      </c>
      <c r="AS117" s="378">
        <f t="shared" si="158"/>
        <v>10267.657671367815</v>
      </c>
      <c r="AT117" s="378">
        <f t="shared" si="158"/>
        <v>10302.817227903051</v>
      </c>
      <c r="AU117" s="378">
        <f t="shared" si="158"/>
        <v>10328.882594411492</v>
      </c>
      <c r="AV117" s="378">
        <f t="shared" si="158"/>
        <v>10342.521426308116</v>
      </c>
      <c r="AW117" s="378">
        <f t="shared" si="158"/>
        <v>10342.521426308116</v>
      </c>
      <c r="AX117" s="378">
        <f t="shared" si="158"/>
        <v>10398.268625533323</v>
      </c>
      <c r="AY117" s="378">
        <f t="shared" si="158"/>
        <v>10467.782491999882</v>
      </c>
      <c r="AZ117" s="378">
        <f t="shared" si="158"/>
        <v>10494.182987549182</v>
      </c>
      <c r="BA117" s="378">
        <f t="shared" si="158"/>
        <v>10507.143769625443</v>
      </c>
      <c r="BB117" s="378">
        <f t="shared" si="158"/>
        <v>10507.143769625443</v>
      </c>
      <c r="BC117" s="378">
        <f t="shared" si="158"/>
        <v>10575.246777601125</v>
      </c>
      <c r="BD117" s="378">
        <f t="shared" si="158"/>
        <v>10615.676048933452</v>
      </c>
      <c r="BE117" s="378">
        <f t="shared" si="158"/>
        <v>10654.352509341596</v>
      </c>
      <c r="BF117" s="378">
        <f t="shared" si="158"/>
        <v>10673.064610279767</v>
      </c>
      <c r="BG117" s="378">
        <f t="shared" si="158"/>
        <v>10673.064610279767</v>
      </c>
      <c r="BH117" s="378">
        <f t="shared" si="158"/>
        <v>10745.136606867016</v>
      </c>
      <c r="BI117" s="378">
        <f t="shared" si="158"/>
        <v>10789.145045834961</v>
      </c>
      <c r="BJ117" s="378">
        <f t="shared" si="158"/>
        <v>10831.685312295445</v>
      </c>
      <c r="BK117" s="378">
        <f t="shared" si="158"/>
        <v>10853.817938152841</v>
      </c>
      <c r="BL117" s="378">
        <f t="shared" si="158"/>
        <v>10853.817938152841</v>
      </c>
    </row>
    <row r="119" spans="1:64">
      <c r="A119" s="9" t="s">
        <v>27</v>
      </c>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378">
        <f t="shared" ref="AG119:BL119" si="159">AG104+AG117</f>
        <v>14682.181</v>
      </c>
      <c r="AH119" s="378">
        <f t="shared" si="159"/>
        <v>14682.181</v>
      </c>
      <c r="AI119" s="378">
        <f t="shared" si="159"/>
        <v>14501.212000000001</v>
      </c>
      <c r="AJ119" s="378">
        <f t="shared" si="159"/>
        <v>15043.183000000001</v>
      </c>
      <c r="AK119" s="378">
        <f t="shared" si="159"/>
        <v>15392.974000000002</v>
      </c>
      <c r="AL119" s="378">
        <f t="shared" si="159"/>
        <v>15258.648761453132</v>
      </c>
      <c r="AM119" s="378">
        <f t="shared" si="159"/>
        <v>15258.648761453132</v>
      </c>
      <c r="AN119" s="378">
        <f t="shared" si="159"/>
        <v>15021.45232297523</v>
      </c>
      <c r="AO119" s="378">
        <f t="shared" si="159"/>
        <v>15428.710457028134</v>
      </c>
      <c r="AP119" s="378">
        <f t="shared" si="159"/>
        <v>15609.044875580519</v>
      </c>
      <c r="AQ119" s="378">
        <f t="shared" si="159"/>
        <v>15515.931111698654</v>
      </c>
      <c r="AR119" s="378">
        <f t="shared" si="159"/>
        <v>15515.931111698654</v>
      </c>
      <c r="AS119" s="378">
        <f t="shared" si="159"/>
        <v>15284.859231822047</v>
      </c>
      <c r="AT119" s="378">
        <f t="shared" si="159"/>
        <v>15687.499255448256</v>
      </c>
      <c r="AU119" s="378">
        <f t="shared" si="159"/>
        <v>15863.113284571995</v>
      </c>
      <c r="AV119" s="378">
        <f t="shared" si="159"/>
        <v>15786.261479237586</v>
      </c>
      <c r="AW119" s="378">
        <f t="shared" si="159"/>
        <v>15786.261479237586</v>
      </c>
      <c r="AX119" s="378">
        <f t="shared" si="159"/>
        <v>15565.543992116032</v>
      </c>
      <c r="AY119" s="378">
        <f t="shared" si="159"/>
        <v>15975.215155924981</v>
      </c>
      <c r="AZ119" s="378">
        <f t="shared" si="159"/>
        <v>16152.970731174792</v>
      </c>
      <c r="BA119" s="378">
        <f t="shared" si="159"/>
        <v>16090.42622326799</v>
      </c>
      <c r="BB119" s="378">
        <f t="shared" si="159"/>
        <v>16090.42622326799</v>
      </c>
      <c r="BC119" s="378">
        <f t="shared" si="159"/>
        <v>15884.35170171786</v>
      </c>
      <c r="BD119" s="378">
        <f t="shared" si="159"/>
        <v>16300.607283599586</v>
      </c>
      <c r="BE119" s="378">
        <f t="shared" si="159"/>
        <v>16484.791321284334</v>
      </c>
      <c r="BF119" s="378">
        <f t="shared" si="159"/>
        <v>16440.832346886338</v>
      </c>
      <c r="BG119" s="378">
        <f t="shared" si="159"/>
        <v>16440.832346886338</v>
      </c>
      <c r="BH119" s="378">
        <f t="shared" si="159"/>
        <v>16252.851138937604</v>
      </c>
      <c r="BI119" s="378">
        <f t="shared" si="159"/>
        <v>16679.859620810836</v>
      </c>
      <c r="BJ119" s="378">
        <f t="shared" si="159"/>
        <v>16873.483590799275</v>
      </c>
      <c r="BK119" s="378">
        <f t="shared" si="159"/>
        <v>16850.327367072885</v>
      </c>
      <c r="BL119" s="378">
        <f t="shared" si="159"/>
        <v>16850.327367072885</v>
      </c>
    </row>
    <row r="121" spans="1:64">
      <c r="A121" s="5" t="s">
        <v>29</v>
      </c>
      <c r="AG121" s="376">
        <v>2064.154</v>
      </c>
      <c r="AH121" s="375">
        <f t="shared" ref="AH121:AH128" si="160">AG121</f>
        <v>2064.154</v>
      </c>
      <c r="AI121" s="376">
        <v>2106.63</v>
      </c>
      <c r="AJ121" s="376">
        <v>2620.5659999999998</v>
      </c>
      <c r="AK121" s="376">
        <v>2530.8879999999999</v>
      </c>
      <c r="AL121" s="375">
        <f>AK121-AL314</f>
        <v>2533.3879999999999</v>
      </c>
      <c r="AM121" s="375">
        <f>AL121</f>
        <v>2533.3879999999999</v>
      </c>
      <c r="AN121" s="375">
        <f>AM121-AN314</f>
        <v>2530.3879999999999</v>
      </c>
      <c r="AO121" s="375">
        <f t="shared" ref="AO121:AQ121" si="161">AN121-AO314</f>
        <v>2531.8879999999999</v>
      </c>
      <c r="AP121" s="375">
        <f t="shared" si="161"/>
        <v>2536.8879999999999</v>
      </c>
      <c r="AQ121" s="375">
        <f t="shared" si="161"/>
        <v>2533.3879999999999</v>
      </c>
      <c r="AR121" s="375">
        <f t="shared" ref="AR121" si="162">AQ121</f>
        <v>2533.3879999999999</v>
      </c>
      <c r="AS121" s="375">
        <f>AR121-AS314</f>
        <v>2530.3879999999999</v>
      </c>
      <c r="AT121" s="375">
        <f t="shared" ref="AT121:AV121" si="163">AS121-AT314</f>
        <v>2531.8879999999999</v>
      </c>
      <c r="AU121" s="375">
        <f t="shared" si="163"/>
        <v>2536.8879999999999</v>
      </c>
      <c r="AV121" s="375">
        <f t="shared" si="163"/>
        <v>2533.3879999999999</v>
      </c>
      <c r="AW121" s="375">
        <f t="shared" ref="AW121" si="164">AV121</f>
        <v>2533.3879999999999</v>
      </c>
      <c r="AX121" s="375">
        <f>AW121-AX314</f>
        <v>2530.3879999999999</v>
      </c>
      <c r="AY121" s="375">
        <f t="shared" ref="AY121:BA121" si="165">AX121-AY314</f>
        <v>2531.8879999999999</v>
      </c>
      <c r="AZ121" s="375">
        <f t="shared" si="165"/>
        <v>2536.8879999999999</v>
      </c>
      <c r="BA121" s="375">
        <f t="shared" si="165"/>
        <v>2533.3879999999999</v>
      </c>
      <c r="BB121" s="375">
        <f t="shared" ref="BB121" si="166">BA121</f>
        <v>2533.3879999999999</v>
      </c>
      <c r="BC121" s="375">
        <f>BB121-BC314</f>
        <v>2530.3879999999999</v>
      </c>
      <c r="BD121" s="375">
        <f t="shared" ref="BD121:BF121" si="167">BC121-BD314</f>
        <v>2531.8879999999999</v>
      </c>
      <c r="BE121" s="375">
        <f t="shared" si="167"/>
        <v>2536.8879999999999</v>
      </c>
      <c r="BF121" s="375">
        <f t="shared" si="167"/>
        <v>2533.3879999999999</v>
      </c>
      <c r="BG121" s="375">
        <f t="shared" ref="BG121" si="168">BF121</f>
        <v>2533.3879999999999</v>
      </c>
      <c r="BH121" s="375">
        <f>BG121-BH314</f>
        <v>2530.3879999999999</v>
      </c>
      <c r="BI121" s="375">
        <f t="shared" ref="BI121:BK121" si="169">BH121-BI314</f>
        <v>2531.8879999999999</v>
      </c>
      <c r="BJ121" s="375">
        <f t="shared" si="169"/>
        <v>2536.8879999999999</v>
      </c>
      <c r="BK121" s="375">
        <f t="shared" si="169"/>
        <v>2533.3879999999999</v>
      </c>
      <c r="BL121" s="375">
        <f t="shared" ref="BL121" si="170">BK121</f>
        <v>2533.3879999999999</v>
      </c>
    </row>
    <row r="122" spans="1:64">
      <c r="A122" s="5" t="s">
        <v>32</v>
      </c>
      <c r="AG122" s="376">
        <v>2317.402</v>
      </c>
      <c r="AH122" s="375">
        <f t="shared" si="160"/>
        <v>2317.402</v>
      </c>
      <c r="AI122" s="376">
        <v>2027.463</v>
      </c>
      <c r="AJ122" s="376">
        <v>2202.9259999999999</v>
      </c>
      <c r="AK122" s="376">
        <v>2451.3240000000001</v>
      </c>
      <c r="AL122" s="375">
        <f>AK122+AL170</f>
        <v>2251.3240000000001</v>
      </c>
      <c r="AM122" s="375">
        <f>AL122</f>
        <v>2251.3240000000001</v>
      </c>
      <c r="AN122" s="375">
        <f t="shared" ref="AN122:BJ122" si="171">AM122+AN170</f>
        <v>2066.4240250000003</v>
      </c>
      <c r="AO122" s="375">
        <f t="shared" si="171"/>
        <v>2259.1045000000004</v>
      </c>
      <c r="AP122" s="375">
        <f t="shared" si="171"/>
        <v>2500.9610500000003</v>
      </c>
      <c r="AQ122" s="375">
        <f t="shared" si="171"/>
        <v>2305.9610500000003</v>
      </c>
      <c r="AR122" s="375">
        <f>AQ122</f>
        <v>2305.9610500000003</v>
      </c>
      <c r="AS122" s="375">
        <f t="shared" si="171"/>
        <v>2125.6835743750003</v>
      </c>
      <c r="AT122" s="375">
        <f t="shared" si="171"/>
        <v>2313.5470375000004</v>
      </c>
      <c r="AU122" s="375">
        <f t="shared" si="171"/>
        <v>2549.3571737500006</v>
      </c>
      <c r="AV122" s="375">
        <f t="shared" si="171"/>
        <v>2359.2321737500006</v>
      </c>
      <c r="AW122" s="375">
        <f>AV122</f>
        <v>2359.2321737500006</v>
      </c>
      <c r="AX122" s="375">
        <f t="shared" si="171"/>
        <v>2183.4616350156257</v>
      </c>
      <c r="AY122" s="375">
        <f t="shared" si="171"/>
        <v>2366.6285115625005</v>
      </c>
      <c r="AZ122" s="375">
        <f t="shared" si="171"/>
        <v>2596.5433944062506</v>
      </c>
      <c r="BA122" s="375">
        <f t="shared" si="171"/>
        <v>2411.1715194062508</v>
      </c>
      <c r="BB122" s="375">
        <f>BA122</f>
        <v>2411.1715194062508</v>
      </c>
      <c r="BC122" s="375">
        <f t="shared" si="171"/>
        <v>2239.7952441402354</v>
      </c>
      <c r="BD122" s="375">
        <f t="shared" si="171"/>
        <v>2418.3829487734383</v>
      </c>
      <c r="BE122" s="375">
        <f t="shared" si="171"/>
        <v>2642.5499595460947</v>
      </c>
      <c r="BF122" s="375">
        <f t="shared" si="171"/>
        <v>2461.8123814210949</v>
      </c>
      <c r="BG122" s="375">
        <f>BF122</f>
        <v>2461.8123814210949</v>
      </c>
      <c r="BH122" s="375">
        <f t="shared" si="171"/>
        <v>2294.7205130367297</v>
      </c>
      <c r="BI122" s="375">
        <f t="shared" si="171"/>
        <v>2468.8435250541029</v>
      </c>
      <c r="BJ122" s="375">
        <f t="shared" si="171"/>
        <v>2687.4063605574429</v>
      </c>
      <c r="BK122" s="375">
        <f>BJ122+BK170</f>
        <v>2511.1872218855679</v>
      </c>
      <c r="BL122" s="375">
        <f>BK122</f>
        <v>2511.1872218855679</v>
      </c>
    </row>
    <row r="123" spans="1:64">
      <c r="A123" s="5" t="s">
        <v>1538</v>
      </c>
      <c r="AG123" s="376">
        <v>116.21299999999999</v>
      </c>
      <c r="AH123" s="375">
        <f t="shared" si="160"/>
        <v>116.21299999999999</v>
      </c>
      <c r="AI123" s="376">
        <v>128.114</v>
      </c>
      <c r="AJ123" s="376">
        <v>123.46299999999999</v>
      </c>
      <c r="AK123" s="376">
        <v>126.751</v>
      </c>
      <c r="AL123" s="386">
        <f>AK123</f>
        <v>126.751</v>
      </c>
      <c r="AM123" s="386">
        <f t="shared" ref="AM123:BL123" si="172">AL123</f>
        <v>126.751</v>
      </c>
      <c r="AN123" s="386">
        <f t="shared" si="172"/>
        <v>126.751</v>
      </c>
      <c r="AO123" s="386">
        <f t="shared" si="172"/>
        <v>126.751</v>
      </c>
      <c r="AP123" s="386">
        <f t="shared" si="172"/>
        <v>126.751</v>
      </c>
      <c r="AQ123" s="386">
        <f t="shared" si="172"/>
        <v>126.751</v>
      </c>
      <c r="AR123" s="386">
        <f t="shared" si="172"/>
        <v>126.751</v>
      </c>
      <c r="AS123" s="386">
        <f t="shared" si="172"/>
        <v>126.751</v>
      </c>
      <c r="AT123" s="386">
        <f t="shared" si="172"/>
        <v>126.751</v>
      </c>
      <c r="AU123" s="386">
        <f t="shared" si="172"/>
        <v>126.751</v>
      </c>
      <c r="AV123" s="386">
        <f t="shared" si="172"/>
        <v>126.751</v>
      </c>
      <c r="AW123" s="386">
        <f t="shared" si="172"/>
        <v>126.751</v>
      </c>
      <c r="AX123" s="386">
        <f t="shared" si="172"/>
        <v>126.751</v>
      </c>
      <c r="AY123" s="386">
        <f t="shared" si="172"/>
        <v>126.751</v>
      </c>
      <c r="AZ123" s="386">
        <f t="shared" si="172"/>
        <v>126.751</v>
      </c>
      <c r="BA123" s="386">
        <f t="shared" si="172"/>
        <v>126.751</v>
      </c>
      <c r="BB123" s="386">
        <f t="shared" si="172"/>
        <v>126.751</v>
      </c>
      <c r="BC123" s="386">
        <f t="shared" si="172"/>
        <v>126.751</v>
      </c>
      <c r="BD123" s="386">
        <f t="shared" si="172"/>
        <v>126.751</v>
      </c>
      <c r="BE123" s="386">
        <f t="shared" si="172"/>
        <v>126.751</v>
      </c>
      <c r="BF123" s="386">
        <f t="shared" si="172"/>
        <v>126.751</v>
      </c>
      <c r="BG123" s="386">
        <f t="shared" si="172"/>
        <v>126.751</v>
      </c>
      <c r="BH123" s="386">
        <f t="shared" si="172"/>
        <v>126.751</v>
      </c>
      <c r="BI123" s="386">
        <f t="shared" si="172"/>
        <v>126.751</v>
      </c>
      <c r="BJ123" s="386">
        <f t="shared" si="172"/>
        <v>126.751</v>
      </c>
      <c r="BK123" s="386">
        <f t="shared" si="172"/>
        <v>126.751</v>
      </c>
      <c r="BL123" s="386">
        <f t="shared" si="172"/>
        <v>126.751</v>
      </c>
    </row>
    <row r="124" spans="1:64">
      <c r="A124" s="5" t="s">
        <v>31</v>
      </c>
      <c r="AG124" s="376">
        <v>1472.26</v>
      </c>
      <c r="AH124" s="375">
        <f t="shared" si="160"/>
        <v>1472.26</v>
      </c>
      <c r="AI124" s="376">
        <v>1533.675</v>
      </c>
      <c r="AJ124" s="376">
        <v>1552.0519999999999</v>
      </c>
      <c r="AK124" s="376">
        <v>1625.53</v>
      </c>
      <c r="AL124" s="375">
        <f>AK124+AL172</f>
        <v>1660.53</v>
      </c>
      <c r="AM124" s="375">
        <f>AL124</f>
        <v>1660.53</v>
      </c>
      <c r="AN124" s="375">
        <f t="shared" ref="AN124:BK124" si="173">AM124+AN172</f>
        <v>1715.53</v>
      </c>
      <c r="AO124" s="375">
        <f t="shared" si="173"/>
        <v>1750.53</v>
      </c>
      <c r="AP124" s="375">
        <f t="shared" si="173"/>
        <v>1805.53</v>
      </c>
      <c r="AQ124" s="375">
        <f t="shared" si="173"/>
        <v>1840.53</v>
      </c>
      <c r="AR124" s="375">
        <f>AQ124</f>
        <v>1840.53</v>
      </c>
      <c r="AS124" s="375">
        <f t="shared" si="173"/>
        <v>1894.155</v>
      </c>
      <c r="AT124" s="375">
        <f t="shared" si="173"/>
        <v>1928.28</v>
      </c>
      <c r="AU124" s="375">
        <f t="shared" si="173"/>
        <v>1981.905</v>
      </c>
      <c r="AV124" s="375">
        <f t="shared" si="173"/>
        <v>2016.03</v>
      </c>
      <c r="AW124" s="375">
        <f>AV124</f>
        <v>2016.03</v>
      </c>
      <c r="AX124" s="375">
        <f t="shared" si="173"/>
        <v>2068.3143749999999</v>
      </c>
      <c r="AY124" s="375">
        <f t="shared" si="173"/>
        <v>2101.5862499999998</v>
      </c>
      <c r="AZ124" s="375">
        <f t="shared" si="173"/>
        <v>2153.870625</v>
      </c>
      <c r="BA124" s="375">
        <f t="shared" si="173"/>
        <v>2187.1424999999999</v>
      </c>
      <c r="BB124" s="375">
        <f>BA124</f>
        <v>2187.1424999999999</v>
      </c>
      <c r="BC124" s="375">
        <f t="shared" si="173"/>
        <v>2238.1197656250001</v>
      </c>
      <c r="BD124" s="375">
        <f t="shared" si="173"/>
        <v>2270.5598437500003</v>
      </c>
      <c r="BE124" s="375">
        <f t="shared" si="173"/>
        <v>2321.5371093750005</v>
      </c>
      <c r="BF124" s="375">
        <f t="shared" si="173"/>
        <v>2353.9771875000006</v>
      </c>
      <c r="BG124" s="375">
        <f>BF124</f>
        <v>2353.9771875000006</v>
      </c>
      <c r="BH124" s="375">
        <f t="shared" si="173"/>
        <v>2403.6800214843756</v>
      </c>
      <c r="BI124" s="375">
        <f t="shared" si="173"/>
        <v>2435.3090976562507</v>
      </c>
      <c r="BJ124" s="375">
        <f t="shared" si="173"/>
        <v>2485.0119316406258</v>
      </c>
      <c r="BK124" s="375">
        <f t="shared" si="173"/>
        <v>2516.6410078125009</v>
      </c>
      <c r="BL124" s="375">
        <f>BK124</f>
        <v>2516.6410078125009</v>
      </c>
    </row>
    <row r="125" spans="1:64">
      <c r="A125" s="5" t="s">
        <v>34</v>
      </c>
      <c r="AG125" s="376">
        <v>6.7290000000000001</v>
      </c>
      <c r="AH125" s="375">
        <f t="shared" si="160"/>
        <v>6.7290000000000001</v>
      </c>
      <c r="AI125" s="376">
        <v>2.3959999999999999</v>
      </c>
      <c r="AJ125" s="376">
        <v>3.7570000000000001</v>
      </c>
      <c r="AK125" s="376">
        <v>8.1709999999999994</v>
      </c>
      <c r="AL125" s="386">
        <f>AK125</f>
        <v>8.1709999999999994</v>
      </c>
      <c r="AM125" s="386">
        <f t="shared" ref="AM125:BL128" si="174">AL125</f>
        <v>8.1709999999999994</v>
      </c>
      <c r="AN125" s="386">
        <f t="shared" si="174"/>
        <v>8.1709999999999994</v>
      </c>
      <c r="AO125" s="386">
        <f t="shared" si="174"/>
        <v>8.1709999999999994</v>
      </c>
      <c r="AP125" s="386">
        <f t="shared" si="174"/>
        <v>8.1709999999999994</v>
      </c>
      <c r="AQ125" s="386">
        <f t="shared" si="174"/>
        <v>8.1709999999999994</v>
      </c>
      <c r="AR125" s="386">
        <f t="shared" si="174"/>
        <v>8.1709999999999994</v>
      </c>
      <c r="AS125" s="386">
        <f t="shared" si="174"/>
        <v>8.1709999999999994</v>
      </c>
      <c r="AT125" s="386">
        <f t="shared" si="174"/>
        <v>8.1709999999999994</v>
      </c>
      <c r="AU125" s="386">
        <f t="shared" si="174"/>
        <v>8.1709999999999994</v>
      </c>
      <c r="AV125" s="386">
        <f t="shared" si="174"/>
        <v>8.1709999999999994</v>
      </c>
      <c r="AW125" s="386">
        <f t="shared" si="174"/>
        <v>8.1709999999999994</v>
      </c>
      <c r="AX125" s="386">
        <f t="shared" si="174"/>
        <v>8.1709999999999994</v>
      </c>
      <c r="AY125" s="386">
        <f t="shared" si="174"/>
        <v>8.1709999999999994</v>
      </c>
      <c r="AZ125" s="386">
        <f t="shared" si="174"/>
        <v>8.1709999999999994</v>
      </c>
      <c r="BA125" s="386">
        <f t="shared" si="174"/>
        <v>8.1709999999999994</v>
      </c>
      <c r="BB125" s="386">
        <f t="shared" si="174"/>
        <v>8.1709999999999994</v>
      </c>
      <c r="BC125" s="386">
        <f t="shared" si="174"/>
        <v>8.1709999999999994</v>
      </c>
      <c r="BD125" s="386">
        <f t="shared" si="174"/>
        <v>8.1709999999999994</v>
      </c>
      <c r="BE125" s="386">
        <f t="shared" si="174"/>
        <v>8.1709999999999994</v>
      </c>
      <c r="BF125" s="386">
        <f t="shared" si="174"/>
        <v>8.1709999999999994</v>
      </c>
      <c r="BG125" s="386">
        <f t="shared" si="174"/>
        <v>8.1709999999999994</v>
      </c>
      <c r="BH125" s="386">
        <f t="shared" si="174"/>
        <v>8.1709999999999994</v>
      </c>
      <c r="BI125" s="386">
        <f t="shared" si="174"/>
        <v>8.1709999999999994</v>
      </c>
      <c r="BJ125" s="386">
        <f t="shared" si="174"/>
        <v>8.1709999999999994</v>
      </c>
      <c r="BK125" s="386">
        <f t="shared" si="174"/>
        <v>8.1709999999999994</v>
      </c>
      <c r="BL125" s="386">
        <f t="shared" si="174"/>
        <v>8.1709999999999994</v>
      </c>
    </row>
    <row r="126" spans="1:64">
      <c r="A126" s="5" t="s">
        <v>35</v>
      </c>
      <c r="AG126" s="376">
        <v>116.22</v>
      </c>
      <c r="AH126" s="375">
        <f t="shared" si="160"/>
        <v>116.22</v>
      </c>
      <c r="AI126" s="376">
        <v>58.302999999999997</v>
      </c>
      <c r="AJ126" s="376">
        <v>143.71100000000001</v>
      </c>
      <c r="AK126" s="376">
        <v>83.478999999999999</v>
      </c>
      <c r="AL126" s="386">
        <f>AK126</f>
        <v>83.478999999999999</v>
      </c>
      <c r="AM126" s="386">
        <f t="shared" si="174"/>
        <v>83.478999999999999</v>
      </c>
      <c r="AN126" s="386">
        <f t="shared" si="174"/>
        <v>83.478999999999999</v>
      </c>
      <c r="AO126" s="386">
        <f t="shared" si="174"/>
        <v>83.478999999999999</v>
      </c>
      <c r="AP126" s="386">
        <f t="shared" si="174"/>
        <v>83.478999999999999</v>
      </c>
      <c r="AQ126" s="386">
        <f t="shared" si="174"/>
        <v>83.478999999999999</v>
      </c>
      <c r="AR126" s="386">
        <f t="shared" si="174"/>
        <v>83.478999999999999</v>
      </c>
      <c r="AS126" s="386">
        <f t="shared" si="174"/>
        <v>83.478999999999999</v>
      </c>
      <c r="AT126" s="386">
        <f t="shared" si="174"/>
        <v>83.478999999999999</v>
      </c>
      <c r="AU126" s="386">
        <f t="shared" si="174"/>
        <v>83.478999999999999</v>
      </c>
      <c r="AV126" s="386">
        <f t="shared" si="174"/>
        <v>83.478999999999999</v>
      </c>
      <c r="AW126" s="386">
        <f t="shared" si="174"/>
        <v>83.478999999999999</v>
      </c>
      <c r="AX126" s="386">
        <f t="shared" si="174"/>
        <v>83.478999999999999</v>
      </c>
      <c r="AY126" s="386">
        <f t="shared" si="174"/>
        <v>83.478999999999999</v>
      </c>
      <c r="AZ126" s="386">
        <f t="shared" si="174"/>
        <v>83.478999999999999</v>
      </c>
      <c r="BA126" s="386">
        <f t="shared" si="174"/>
        <v>83.478999999999999</v>
      </c>
      <c r="BB126" s="386">
        <f t="shared" si="174"/>
        <v>83.478999999999999</v>
      </c>
      <c r="BC126" s="386">
        <f t="shared" si="174"/>
        <v>83.478999999999999</v>
      </c>
      <c r="BD126" s="386">
        <f t="shared" si="174"/>
        <v>83.478999999999999</v>
      </c>
      <c r="BE126" s="386">
        <f t="shared" si="174"/>
        <v>83.478999999999999</v>
      </c>
      <c r="BF126" s="386">
        <f t="shared" si="174"/>
        <v>83.478999999999999</v>
      </c>
      <c r="BG126" s="386">
        <f t="shared" si="174"/>
        <v>83.478999999999999</v>
      </c>
      <c r="BH126" s="386">
        <f t="shared" si="174"/>
        <v>83.478999999999999</v>
      </c>
      <c r="BI126" s="386">
        <f t="shared" si="174"/>
        <v>83.478999999999999</v>
      </c>
      <c r="BJ126" s="386">
        <f t="shared" si="174"/>
        <v>83.478999999999999</v>
      </c>
      <c r="BK126" s="386">
        <f t="shared" si="174"/>
        <v>83.478999999999999</v>
      </c>
      <c r="BL126" s="386">
        <f t="shared" si="174"/>
        <v>83.478999999999999</v>
      </c>
    </row>
    <row r="127" spans="1:64">
      <c r="A127" s="5" t="s">
        <v>36</v>
      </c>
      <c r="AG127" s="376">
        <v>63.642000000000003</v>
      </c>
      <c r="AH127" s="375">
        <f t="shared" si="160"/>
        <v>63.642000000000003</v>
      </c>
      <c r="AI127" s="376">
        <v>61.277000000000001</v>
      </c>
      <c r="AJ127" s="376">
        <v>52.38</v>
      </c>
      <c r="AK127" s="376">
        <v>51.3</v>
      </c>
      <c r="AL127" s="386">
        <f>AK127</f>
        <v>51.3</v>
      </c>
      <c r="AM127" s="386">
        <f t="shared" si="174"/>
        <v>51.3</v>
      </c>
      <c r="AN127" s="386">
        <f t="shared" si="174"/>
        <v>51.3</v>
      </c>
      <c r="AO127" s="386">
        <f t="shared" si="174"/>
        <v>51.3</v>
      </c>
      <c r="AP127" s="386">
        <f t="shared" si="174"/>
        <v>51.3</v>
      </c>
      <c r="AQ127" s="386">
        <f t="shared" si="174"/>
        <v>51.3</v>
      </c>
      <c r="AR127" s="386">
        <f t="shared" si="174"/>
        <v>51.3</v>
      </c>
      <c r="AS127" s="386">
        <f t="shared" si="174"/>
        <v>51.3</v>
      </c>
      <c r="AT127" s="386">
        <f t="shared" si="174"/>
        <v>51.3</v>
      </c>
      <c r="AU127" s="386">
        <f t="shared" si="174"/>
        <v>51.3</v>
      </c>
      <c r="AV127" s="386">
        <f t="shared" si="174"/>
        <v>51.3</v>
      </c>
      <c r="AW127" s="386">
        <f t="shared" si="174"/>
        <v>51.3</v>
      </c>
      <c r="AX127" s="386">
        <f t="shared" si="174"/>
        <v>51.3</v>
      </c>
      <c r="AY127" s="386">
        <f t="shared" si="174"/>
        <v>51.3</v>
      </c>
      <c r="AZ127" s="386">
        <f t="shared" si="174"/>
        <v>51.3</v>
      </c>
      <c r="BA127" s="386">
        <f t="shared" si="174"/>
        <v>51.3</v>
      </c>
      <c r="BB127" s="386">
        <f t="shared" si="174"/>
        <v>51.3</v>
      </c>
      <c r="BC127" s="386">
        <f t="shared" si="174"/>
        <v>51.3</v>
      </c>
      <c r="BD127" s="386">
        <f t="shared" si="174"/>
        <v>51.3</v>
      </c>
      <c r="BE127" s="386">
        <f t="shared" si="174"/>
        <v>51.3</v>
      </c>
      <c r="BF127" s="386">
        <f t="shared" si="174"/>
        <v>51.3</v>
      </c>
      <c r="BG127" s="386">
        <f t="shared" si="174"/>
        <v>51.3</v>
      </c>
      <c r="BH127" s="386">
        <f t="shared" si="174"/>
        <v>51.3</v>
      </c>
      <c r="BI127" s="386">
        <f t="shared" si="174"/>
        <v>51.3</v>
      </c>
      <c r="BJ127" s="386">
        <f t="shared" si="174"/>
        <v>51.3</v>
      </c>
      <c r="BK127" s="386">
        <f t="shared" si="174"/>
        <v>51.3</v>
      </c>
      <c r="BL127" s="386">
        <f t="shared" si="174"/>
        <v>51.3</v>
      </c>
    </row>
    <row r="128" spans="1:64">
      <c r="A128" s="5" t="s">
        <v>37</v>
      </c>
      <c r="AG128" s="376">
        <v>216.018</v>
      </c>
      <c r="AH128" s="375">
        <f t="shared" si="160"/>
        <v>216.018</v>
      </c>
      <c r="AI128" s="376">
        <v>190.839</v>
      </c>
      <c r="AJ128" s="376">
        <v>219.61500000000001</v>
      </c>
      <c r="AK128" s="376">
        <v>179.54499999999999</v>
      </c>
      <c r="AL128" s="386">
        <f>AK128</f>
        <v>179.54499999999999</v>
      </c>
      <c r="AM128" s="386">
        <f t="shared" si="174"/>
        <v>179.54499999999999</v>
      </c>
      <c r="AN128" s="386">
        <f t="shared" si="174"/>
        <v>179.54499999999999</v>
      </c>
      <c r="AO128" s="386">
        <f t="shared" si="174"/>
        <v>179.54499999999999</v>
      </c>
      <c r="AP128" s="386">
        <f t="shared" si="174"/>
        <v>179.54499999999999</v>
      </c>
      <c r="AQ128" s="386">
        <f t="shared" si="174"/>
        <v>179.54499999999999</v>
      </c>
      <c r="AR128" s="386">
        <f t="shared" si="174"/>
        <v>179.54499999999999</v>
      </c>
      <c r="AS128" s="386">
        <f t="shared" si="174"/>
        <v>179.54499999999999</v>
      </c>
      <c r="AT128" s="386">
        <f t="shared" si="174"/>
        <v>179.54499999999999</v>
      </c>
      <c r="AU128" s="386">
        <f t="shared" si="174"/>
        <v>179.54499999999999</v>
      </c>
      <c r="AV128" s="386">
        <f t="shared" si="174"/>
        <v>179.54499999999999</v>
      </c>
      <c r="AW128" s="386">
        <f t="shared" si="174"/>
        <v>179.54499999999999</v>
      </c>
      <c r="AX128" s="386">
        <f t="shared" si="174"/>
        <v>179.54499999999999</v>
      </c>
      <c r="AY128" s="386">
        <f t="shared" si="174"/>
        <v>179.54499999999999</v>
      </c>
      <c r="AZ128" s="386">
        <f t="shared" si="174"/>
        <v>179.54499999999999</v>
      </c>
      <c r="BA128" s="386">
        <f t="shared" si="174"/>
        <v>179.54499999999999</v>
      </c>
      <c r="BB128" s="386">
        <f t="shared" si="174"/>
        <v>179.54499999999999</v>
      </c>
      <c r="BC128" s="386">
        <f t="shared" si="174"/>
        <v>179.54499999999999</v>
      </c>
      <c r="BD128" s="386">
        <f t="shared" si="174"/>
        <v>179.54499999999999</v>
      </c>
      <c r="BE128" s="386">
        <f t="shared" si="174"/>
        <v>179.54499999999999</v>
      </c>
      <c r="BF128" s="386">
        <f t="shared" si="174"/>
        <v>179.54499999999999</v>
      </c>
      <c r="BG128" s="386">
        <f t="shared" si="174"/>
        <v>179.54499999999999</v>
      </c>
      <c r="BH128" s="386">
        <f t="shared" si="174"/>
        <v>179.54499999999999</v>
      </c>
      <c r="BI128" s="386">
        <f t="shared" si="174"/>
        <v>179.54499999999999</v>
      </c>
      <c r="BJ128" s="386">
        <f t="shared" si="174"/>
        <v>179.54499999999999</v>
      </c>
      <c r="BK128" s="386">
        <f t="shared" si="174"/>
        <v>179.54499999999999</v>
      </c>
      <c r="BL128" s="386">
        <f t="shared" si="174"/>
        <v>179.54499999999999</v>
      </c>
    </row>
    <row r="129" spans="1:64">
      <c r="A129" s="9" t="s">
        <v>38</v>
      </c>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378"/>
      <c r="AE129" s="378"/>
      <c r="AF129" s="378"/>
      <c r="AG129" s="378">
        <f>SUM(AG121:AG128)</f>
        <v>6372.6380000000008</v>
      </c>
      <c r="AH129" s="378">
        <f>AG129</f>
        <v>6372.6380000000008</v>
      </c>
      <c r="AI129" s="378">
        <f>SUM(AI121:AI128)</f>
        <v>6108.6969999999992</v>
      </c>
      <c r="AJ129" s="378">
        <f>SUM(AJ121:AJ128)</f>
        <v>6918.4699999999993</v>
      </c>
      <c r="AK129" s="378">
        <f>SUM(AK121:AK128)</f>
        <v>7056.9880000000003</v>
      </c>
      <c r="AL129" s="378">
        <f>SUM(AL121:AL128)</f>
        <v>6894.4880000000003</v>
      </c>
      <c r="AM129" s="378">
        <f t="shared" ref="AM129:BL129" si="175">SUM(AM121:AM128)</f>
        <v>6894.4880000000003</v>
      </c>
      <c r="AN129" s="378">
        <f t="shared" si="175"/>
        <v>6761.5880250000009</v>
      </c>
      <c r="AO129" s="378">
        <f t="shared" si="175"/>
        <v>6990.768500000001</v>
      </c>
      <c r="AP129" s="378">
        <f t="shared" si="175"/>
        <v>7292.6250500000015</v>
      </c>
      <c r="AQ129" s="378">
        <f t="shared" si="175"/>
        <v>7129.1250500000015</v>
      </c>
      <c r="AR129" s="378">
        <f t="shared" si="175"/>
        <v>7129.1250500000015</v>
      </c>
      <c r="AS129" s="378">
        <f t="shared" si="175"/>
        <v>6999.4725743750014</v>
      </c>
      <c r="AT129" s="378">
        <f t="shared" si="175"/>
        <v>7222.9610375000011</v>
      </c>
      <c r="AU129" s="378">
        <f t="shared" si="175"/>
        <v>7517.3961737500013</v>
      </c>
      <c r="AV129" s="378">
        <f t="shared" si="175"/>
        <v>7357.8961737500013</v>
      </c>
      <c r="AW129" s="378">
        <f t="shared" si="175"/>
        <v>7357.8961737500013</v>
      </c>
      <c r="AX129" s="378">
        <f t="shared" si="175"/>
        <v>7231.4100100156265</v>
      </c>
      <c r="AY129" s="378">
        <f t="shared" si="175"/>
        <v>7449.3487615625017</v>
      </c>
      <c r="AZ129" s="378">
        <f t="shared" si="175"/>
        <v>7736.5480194062511</v>
      </c>
      <c r="BA129" s="378">
        <f t="shared" si="175"/>
        <v>7580.9480194062517</v>
      </c>
      <c r="BB129" s="378">
        <f t="shared" si="175"/>
        <v>7580.9480194062517</v>
      </c>
      <c r="BC129" s="378">
        <f t="shared" si="175"/>
        <v>7457.5490097652364</v>
      </c>
      <c r="BD129" s="378">
        <f t="shared" si="175"/>
        <v>7670.0767925234395</v>
      </c>
      <c r="BE129" s="378">
        <f t="shared" si="175"/>
        <v>7950.2210689210951</v>
      </c>
      <c r="BF129" s="378">
        <f t="shared" si="175"/>
        <v>7798.4235689210964</v>
      </c>
      <c r="BG129" s="378">
        <f t="shared" si="175"/>
        <v>7798.4235689210964</v>
      </c>
      <c r="BH129" s="378">
        <f t="shared" si="175"/>
        <v>7678.0345345211063</v>
      </c>
      <c r="BI129" s="378">
        <f t="shared" si="175"/>
        <v>7885.286622710355</v>
      </c>
      <c r="BJ129" s="378">
        <f t="shared" si="175"/>
        <v>8158.5522921980701</v>
      </c>
      <c r="BK129" s="378">
        <f t="shared" si="175"/>
        <v>8010.4622296980697</v>
      </c>
      <c r="BL129" s="378">
        <f t="shared" si="175"/>
        <v>8010.4622296980697</v>
      </c>
    </row>
    <row r="131" spans="1:64">
      <c r="A131" s="5" t="s">
        <v>29</v>
      </c>
      <c r="AG131" s="376">
        <v>4070.3470000000002</v>
      </c>
      <c r="AH131" s="375">
        <f t="shared" ref="AH131:AH136" si="176">AG131</f>
        <v>4070.3470000000002</v>
      </c>
      <c r="AI131" s="376">
        <v>4134.0050000000001</v>
      </c>
      <c r="AJ131" s="376">
        <v>3705.4140000000002</v>
      </c>
      <c r="AK131" s="376">
        <v>3941.0030000000002</v>
      </c>
      <c r="AL131" s="386">
        <f t="shared" ref="AL131:BL133" si="177">AK131</f>
        <v>3941.0030000000002</v>
      </c>
      <c r="AM131" s="386">
        <f t="shared" si="177"/>
        <v>3941.0030000000002</v>
      </c>
      <c r="AN131" s="386">
        <f t="shared" si="177"/>
        <v>3941.0030000000002</v>
      </c>
      <c r="AO131" s="386">
        <f t="shared" si="177"/>
        <v>3941.0030000000002</v>
      </c>
      <c r="AP131" s="386">
        <f t="shared" si="177"/>
        <v>3941.0030000000002</v>
      </c>
      <c r="AQ131" s="386">
        <f t="shared" si="177"/>
        <v>3941.0030000000002</v>
      </c>
      <c r="AR131" s="386">
        <f t="shared" si="177"/>
        <v>3941.0030000000002</v>
      </c>
      <c r="AS131" s="386">
        <f t="shared" si="177"/>
        <v>3941.0030000000002</v>
      </c>
      <c r="AT131" s="386">
        <f t="shared" si="177"/>
        <v>3941.0030000000002</v>
      </c>
      <c r="AU131" s="386">
        <f t="shared" si="177"/>
        <v>3941.0030000000002</v>
      </c>
      <c r="AV131" s="386">
        <f t="shared" si="177"/>
        <v>3941.0030000000002</v>
      </c>
      <c r="AW131" s="386">
        <f t="shared" si="177"/>
        <v>3941.0030000000002</v>
      </c>
      <c r="AX131" s="386">
        <f t="shared" si="177"/>
        <v>3941.0030000000002</v>
      </c>
      <c r="AY131" s="386">
        <f t="shared" si="177"/>
        <v>3941.0030000000002</v>
      </c>
      <c r="AZ131" s="386">
        <f t="shared" si="177"/>
        <v>3941.0030000000002</v>
      </c>
      <c r="BA131" s="386">
        <f t="shared" si="177"/>
        <v>3941.0030000000002</v>
      </c>
      <c r="BB131" s="386">
        <f t="shared" si="177"/>
        <v>3941.0030000000002</v>
      </c>
      <c r="BC131" s="386">
        <f t="shared" si="177"/>
        <v>3941.0030000000002</v>
      </c>
      <c r="BD131" s="386">
        <f t="shared" si="177"/>
        <v>3941.0030000000002</v>
      </c>
      <c r="BE131" s="386">
        <f t="shared" si="177"/>
        <v>3941.0030000000002</v>
      </c>
      <c r="BF131" s="386">
        <f t="shared" si="177"/>
        <v>3941.0030000000002</v>
      </c>
      <c r="BG131" s="386">
        <f t="shared" si="177"/>
        <v>3941.0030000000002</v>
      </c>
      <c r="BH131" s="386">
        <f t="shared" si="177"/>
        <v>3941.0030000000002</v>
      </c>
      <c r="BI131" s="386">
        <f t="shared" si="177"/>
        <v>3941.0030000000002</v>
      </c>
      <c r="BJ131" s="386">
        <f t="shared" si="177"/>
        <v>3941.0030000000002</v>
      </c>
      <c r="BK131" s="386">
        <f t="shared" si="177"/>
        <v>3941.0030000000002</v>
      </c>
      <c r="BL131" s="386">
        <f t="shared" si="177"/>
        <v>3941.0030000000002</v>
      </c>
    </row>
    <row r="132" spans="1:64">
      <c r="A132" s="5" t="s">
        <v>34</v>
      </c>
      <c r="AG132" s="376">
        <v>30.236000000000001</v>
      </c>
      <c r="AH132" s="375">
        <f t="shared" si="176"/>
        <v>30.236000000000001</v>
      </c>
      <c r="AI132" s="376">
        <v>31.388999999999999</v>
      </c>
      <c r="AJ132" s="376">
        <v>26.486999999999998</v>
      </c>
      <c r="AK132" s="376">
        <v>29.408999999999999</v>
      </c>
      <c r="AL132" s="386">
        <f t="shared" si="177"/>
        <v>29.408999999999999</v>
      </c>
      <c r="AM132" s="386">
        <f t="shared" si="177"/>
        <v>29.408999999999999</v>
      </c>
      <c r="AN132" s="386">
        <f t="shared" si="177"/>
        <v>29.408999999999999</v>
      </c>
      <c r="AO132" s="386">
        <f t="shared" si="177"/>
        <v>29.408999999999999</v>
      </c>
      <c r="AP132" s="386">
        <f t="shared" si="177"/>
        <v>29.408999999999999</v>
      </c>
      <c r="AQ132" s="386">
        <f t="shared" si="177"/>
        <v>29.408999999999999</v>
      </c>
      <c r="AR132" s="386">
        <f t="shared" si="177"/>
        <v>29.408999999999999</v>
      </c>
      <c r="AS132" s="386">
        <f t="shared" si="177"/>
        <v>29.408999999999999</v>
      </c>
      <c r="AT132" s="386">
        <f t="shared" si="177"/>
        <v>29.408999999999999</v>
      </c>
      <c r="AU132" s="386">
        <f t="shared" si="177"/>
        <v>29.408999999999999</v>
      </c>
      <c r="AV132" s="386">
        <f t="shared" si="177"/>
        <v>29.408999999999999</v>
      </c>
      <c r="AW132" s="386">
        <f t="shared" si="177"/>
        <v>29.408999999999999</v>
      </c>
      <c r="AX132" s="386">
        <f t="shared" si="177"/>
        <v>29.408999999999999</v>
      </c>
      <c r="AY132" s="386">
        <f t="shared" si="177"/>
        <v>29.408999999999999</v>
      </c>
      <c r="AZ132" s="386">
        <f t="shared" si="177"/>
        <v>29.408999999999999</v>
      </c>
      <c r="BA132" s="386">
        <f t="shared" si="177"/>
        <v>29.408999999999999</v>
      </c>
      <c r="BB132" s="386">
        <f t="shared" si="177"/>
        <v>29.408999999999999</v>
      </c>
      <c r="BC132" s="386">
        <f t="shared" si="177"/>
        <v>29.408999999999999</v>
      </c>
      <c r="BD132" s="386">
        <f t="shared" si="177"/>
        <v>29.408999999999999</v>
      </c>
      <c r="BE132" s="386">
        <f t="shared" si="177"/>
        <v>29.408999999999999</v>
      </c>
      <c r="BF132" s="386">
        <f t="shared" si="177"/>
        <v>29.408999999999999</v>
      </c>
      <c r="BG132" s="386">
        <f t="shared" si="177"/>
        <v>29.408999999999999</v>
      </c>
      <c r="BH132" s="386">
        <f t="shared" si="177"/>
        <v>29.408999999999999</v>
      </c>
      <c r="BI132" s="386">
        <f t="shared" si="177"/>
        <v>29.408999999999999</v>
      </c>
      <c r="BJ132" s="386">
        <f t="shared" si="177"/>
        <v>29.408999999999999</v>
      </c>
      <c r="BK132" s="386">
        <f t="shared" si="177"/>
        <v>29.408999999999999</v>
      </c>
      <c r="BL132" s="386">
        <f t="shared" si="177"/>
        <v>29.408999999999999</v>
      </c>
    </row>
    <row r="133" spans="1:64">
      <c r="A133" s="5" t="s">
        <v>36</v>
      </c>
      <c r="AG133" s="376">
        <v>94.084000000000003</v>
      </c>
      <c r="AH133" s="375">
        <f t="shared" si="176"/>
        <v>94.084000000000003</v>
      </c>
      <c r="AI133" s="376">
        <v>98.141000000000005</v>
      </c>
      <c r="AJ133" s="376">
        <v>101.026</v>
      </c>
      <c r="AK133" s="376">
        <v>102.09</v>
      </c>
      <c r="AL133" s="386">
        <f t="shared" si="177"/>
        <v>102.09</v>
      </c>
      <c r="AM133" s="386">
        <f t="shared" si="177"/>
        <v>102.09</v>
      </c>
      <c r="AN133" s="386">
        <f t="shared" si="177"/>
        <v>102.09</v>
      </c>
      <c r="AO133" s="386">
        <f t="shared" si="177"/>
        <v>102.09</v>
      </c>
      <c r="AP133" s="386">
        <f t="shared" si="177"/>
        <v>102.09</v>
      </c>
      <c r="AQ133" s="386">
        <f t="shared" si="177"/>
        <v>102.09</v>
      </c>
      <c r="AR133" s="386">
        <f t="shared" si="177"/>
        <v>102.09</v>
      </c>
      <c r="AS133" s="386">
        <f t="shared" si="177"/>
        <v>102.09</v>
      </c>
      <c r="AT133" s="386">
        <f t="shared" si="177"/>
        <v>102.09</v>
      </c>
      <c r="AU133" s="386">
        <f t="shared" si="177"/>
        <v>102.09</v>
      </c>
      <c r="AV133" s="386">
        <f t="shared" si="177"/>
        <v>102.09</v>
      </c>
      <c r="AW133" s="386">
        <f t="shared" si="177"/>
        <v>102.09</v>
      </c>
      <c r="AX133" s="386">
        <f t="shared" si="177"/>
        <v>102.09</v>
      </c>
      <c r="AY133" s="386">
        <f t="shared" si="177"/>
        <v>102.09</v>
      </c>
      <c r="AZ133" s="386">
        <f t="shared" si="177"/>
        <v>102.09</v>
      </c>
      <c r="BA133" s="386">
        <f t="shared" si="177"/>
        <v>102.09</v>
      </c>
      <c r="BB133" s="386">
        <f t="shared" si="177"/>
        <v>102.09</v>
      </c>
      <c r="BC133" s="386">
        <f t="shared" si="177"/>
        <v>102.09</v>
      </c>
      <c r="BD133" s="386">
        <f t="shared" si="177"/>
        <v>102.09</v>
      </c>
      <c r="BE133" s="386">
        <f t="shared" si="177"/>
        <v>102.09</v>
      </c>
      <c r="BF133" s="386">
        <f t="shared" si="177"/>
        <v>102.09</v>
      </c>
      <c r="BG133" s="386">
        <f t="shared" si="177"/>
        <v>102.09</v>
      </c>
      <c r="BH133" s="386">
        <f t="shared" si="177"/>
        <v>102.09</v>
      </c>
      <c r="BI133" s="386">
        <f t="shared" si="177"/>
        <v>102.09</v>
      </c>
      <c r="BJ133" s="386">
        <f t="shared" si="177"/>
        <v>102.09</v>
      </c>
      <c r="BK133" s="386">
        <f t="shared" si="177"/>
        <v>102.09</v>
      </c>
      <c r="BL133" s="386">
        <f t="shared" si="177"/>
        <v>102.09</v>
      </c>
    </row>
    <row r="134" spans="1:64">
      <c r="A134" s="5" t="s">
        <v>40</v>
      </c>
      <c r="AG134" s="376">
        <v>341.17</v>
      </c>
      <c r="AH134" s="375">
        <f t="shared" si="176"/>
        <v>341.17</v>
      </c>
      <c r="AI134" s="376">
        <v>364.26400000000001</v>
      </c>
      <c r="AJ134" s="376">
        <v>332.06299999999999</v>
      </c>
      <c r="AK134" s="376">
        <v>309.75200000000001</v>
      </c>
      <c r="AL134" s="375">
        <f>-AL322</f>
        <v>297.25200000000001</v>
      </c>
      <c r="AM134" s="375">
        <f>-AM322</f>
        <v>297.25200000000001</v>
      </c>
      <c r="AN134" s="375">
        <f t="shared" ref="AN134:BL134" si="178">-AN322</f>
        <v>247.25200000000001</v>
      </c>
      <c r="AO134" s="375">
        <f t="shared" si="178"/>
        <v>259.75200000000001</v>
      </c>
      <c r="AP134" s="375">
        <f t="shared" si="178"/>
        <v>219.75200000000001</v>
      </c>
      <c r="AQ134" s="375">
        <f t="shared" si="178"/>
        <v>232.25200000000001</v>
      </c>
      <c r="AR134" s="375">
        <f t="shared" si="178"/>
        <v>232.25200000000001</v>
      </c>
      <c r="AS134" s="375">
        <f t="shared" si="178"/>
        <v>182.25200000000001</v>
      </c>
      <c r="AT134" s="375">
        <f t="shared" si="178"/>
        <v>194.75200000000001</v>
      </c>
      <c r="AU134" s="375">
        <f t="shared" si="178"/>
        <v>154.75200000000001</v>
      </c>
      <c r="AV134" s="375">
        <f t="shared" si="178"/>
        <v>167.25200000000001</v>
      </c>
      <c r="AW134" s="375">
        <f t="shared" si="178"/>
        <v>167.25200000000001</v>
      </c>
      <c r="AX134" s="375">
        <f t="shared" si="178"/>
        <v>117.25200000000001</v>
      </c>
      <c r="AY134" s="375">
        <f t="shared" si="178"/>
        <v>129.75200000000001</v>
      </c>
      <c r="AZ134" s="375">
        <f t="shared" si="178"/>
        <v>89.75200000000001</v>
      </c>
      <c r="BA134" s="375">
        <f t="shared" si="178"/>
        <v>102.25200000000001</v>
      </c>
      <c r="BB134" s="375">
        <f t="shared" si="178"/>
        <v>102.25200000000001</v>
      </c>
      <c r="BC134" s="375">
        <f t="shared" si="178"/>
        <v>52.25200000000001</v>
      </c>
      <c r="BD134" s="375">
        <f t="shared" si="178"/>
        <v>64.75200000000001</v>
      </c>
      <c r="BE134" s="375">
        <f t="shared" si="178"/>
        <v>24.75200000000001</v>
      </c>
      <c r="BF134" s="375">
        <f t="shared" si="178"/>
        <v>37.25200000000001</v>
      </c>
      <c r="BG134" s="375">
        <f t="shared" si="178"/>
        <v>37.25200000000001</v>
      </c>
      <c r="BH134" s="375">
        <f t="shared" si="178"/>
        <v>-12.74799999999999</v>
      </c>
      <c r="BI134" s="375">
        <f t="shared" si="178"/>
        <v>-0.24799999999999045</v>
      </c>
      <c r="BJ134" s="375">
        <f t="shared" si="178"/>
        <v>-40.24799999999999</v>
      </c>
      <c r="BK134" s="375">
        <f t="shared" si="178"/>
        <v>-27.74799999999999</v>
      </c>
      <c r="BL134" s="375">
        <f t="shared" si="178"/>
        <v>-27.74799999999999</v>
      </c>
    </row>
    <row r="135" spans="1:64">
      <c r="A135" s="5" t="s">
        <v>41</v>
      </c>
      <c r="AG135" s="376">
        <v>90.638999999999996</v>
      </c>
      <c r="AH135" s="375">
        <f t="shared" si="176"/>
        <v>90.638999999999996</v>
      </c>
      <c r="AI135" s="376">
        <v>97.957999999999998</v>
      </c>
      <c r="AJ135" s="376">
        <v>102.989</v>
      </c>
      <c r="AK135" s="376">
        <v>108.636</v>
      </c>
      <c r="AL135" s="386">
        <f>AK135</f>
        <v>108.636</v>
      </c>
      <c r="AM135" s="386">
        <f>AL135</f>
        <v>108.636</v>
      </c>
      <c r="AN135" s="386">
        <f t="shared" ref="AN135:BL135" si="179">AM135</f>
        <v>108.636</v>
      </c>
      <c r="AO135" s="386">
        <f t="shared" si="179"/>
        <v>108.636</v>
      </c>
      <c r="AP135" s="386">
        <f t="shared" si="179"/>
        <v>108.636</v>
      </c>
      <c r="AQ135" s="386">
        <f t="shared" si="179"/>
        <v>108.636</v>
      </c>
      <c r="AR135" s="386">
        <f t="shared" si="179"/>
        <v>108.636</v>
      </c>
      <c r="AS135" s="386">
        <f t="shared" si="179"/>
        <v>108.636</v>
      </c>
      <c r="AT135" s="386">
        <f t="shared" si="179"/>
        <v>108.636</v>
      </c>
      <c r="AU135" s="386">
        <f t="shared" si="179"/>
        <v>108.636</v>
      </c>
      <c r="AV135" s="386">
        <f t="shared" si="179"/>
        <v>108.636</v>
      </c>
      <c r="AW135" s="386">
        <f t="shared" si="179"/>
        <v>108.636</v>
      </c>
      <c r="AX135" s="386">
        <f t="shared" si="179"/>
        <v>108.636</v>
      </c>
      <c r="AY135" s="386">
        <f t="shared" si="179"/>
        <v>108.636</v>
      </c>
      <c r="AZ135" s="386">
        <f t="shared" si="179"/>
        <v>108.636</v>
      </c>
      <c r="BA135" s="386">
        <f t="shared" si="179"/>
        <v>108.636</v>
      </c>
      <c r="BB135" s="386">
        <f t="shared" si="179"/>
        <v>108.636</v>
      </c>
      <c r="BC135" s="386">
        <f t="shared" si="179"/>
        <v>108.636</v>
      </c>
      <c r="BD135" s="386">
        <f t="shared" si="179"/>
        <v>108.636</v>
      </c>
      <c r="BE135" s="386">
        <f t="shared" si="179"/>
        <v>108.636</v>
      </c>
      <c r="BF135" s="386">
        <f t="shared" si="179"/>
        <v>108.636</v>
      </c>
      <c r="BG135" s="386">
        <f t="shared" si="179"/>
        <v>108.636</v>
      </c>
      <c r="BH135" s="386">
        <f t="shared" si="179"/>
        <v>108.636</v>
      </c>
      <c r="BI135" s="386">
        <f t="shared" si="179"/>
        <v>108.636</v>
      </c>
      <c r="BJ135" s="386">
        <f t="shared" si="179"/>
        <v>108.636</v>
      </c>
      <c r="BK135" s="386">
        <f t="shared" si="179"/>
        <v>108.636</v>
      </c>
      <c r="BL135" s="386">
        <f t="shared" si="179"/>
        <v>108.636</v>
      </c>
    </row>
    <row r="136" spans="1:64">
      <c r="A136" s="9" t="s">
        <v>42</v>
      </c>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378"/>
      <c r="AE136" s="378"/>
      <c r="AF136" s="378"/>
      <c r="AG136" s="378">
        <f>SUM(AG131:AG135)</f>
        <v>4626.4760000000006</v>
      </c>
      <c r="AH136" s="378">
        <f t="shared" si="176"/>
        <v>4626.4760000000006</v>
      </c>
      <c r="AI136" s="378">
        <f>SUM(AI131:AI135)</f>
        <v>4725.7569999999996</v>
      </c>
      <c r="AJ136" s="378">
        <f>SUM(AJ131:AJ135)</f>
        <v>4267.9789999999994</v>
      </c>
      <c r="AK136" s="378">
        <f>SUM(AK131:AK135)</f>
        <v>4490.8900000000012</v>
      </c>
      <c r="AL136" s="378">
        <f t="shared" ref="AL136:BL136" si="180">SUM(AL131:AL135)</f>
        <v>4478.3900000000012</v>
      </c>
      <c r="AM136" s="378">
        <f t="shared" si="180"/>
        <v>4478.3900000000012</v>
      </c>
      <c r="AN136" s="378">
        <f t="shared" si="180"/>
        <v>4428.3900000000012</v>
      </c>
      <c r="AO136" s="378">
        <f t="shared" si="180"/>
        <v>4440.8900000000012</v>
      </c>
      <c r="AP136" s="378">
        <f t="shared" si="180"/>
        <v>4400.8900000000012</v>
      </c>
      <c r="AQ136" s="378">
        <f t="shared" si="180"/>
        <v>4413.3900000000012</v>
      </c>
      <c r="AR136" s="378">
        <f t="shared" si="180"/>
        <v>4413.3900000000012</v>
      </c>
      <c r="AS136" s="378">
        <f t="shared" si="180"/>
        <v>4363.3900000000012</v>
      </c>
      <c r="AT136" s="378">
        <f t="shared" si="180"/>
        <v>4375.8900000000012</v>
      </c>
      <c r="AU136" s="378">
        <f t="shared" si="180"/>
        <v>4335.8900000000012</v>
      </c>
      <c r="AV136" s="378">
        <f t="shared" si="180"/>
        <v>4348.3900000000012</v>
      </c>
      <c r="AW136" s="378">
        <f t="shared" si="180"/>
        <v>4348.3900000000012</v>
      </c>
      <c r="AX136" s="378">
        <f t="shared" si="180"/>
        <v>4298.3900000000012</v>
      </c>
      <c r="AY136" s="378">
        <f t="shared" si="180"/>
        <v>4310.8900000000012</v>
      </c>
      <c r="AZ136" s="378">
        <f t="shared" si="180"/>
        <v>4270.8900000000012</v>
      </c>
      <c r="BA136" s="378">
        <f t="shared" si="180"/>
        <v>4283.3900000000012</v>
      </c>
      <c r="BB136" s="378">
        <f t="shared" si="180"/>
        <v>4283.3900000000012</v>
      </c>
      <c r="BC136" s="378">
        <f t="shared" si="180"/>
        <v>4233.3900000000012</v>
      </c>
      <c r="BD136" s="378">
        <f t="shared" si="180"/>
        <v>4245.8900000000012</v>
      </c>
      <c r="BE136" s="378">
        <f t="shared" si="180"/>
        <v>4205.8900000000012</v>
      </c>
      <c r="BF136" s="378">
        <f t="shared" si="180"/>
        <v>4218.3900000000012</v>
      </c>
      <c r="BG136" s="378">
        <f t="shared" si="180"/>
        <v>4218.3900000000012</v>
      </c>
      <c r="BH136" s="378">
        <f t="shared" si="180"/>
        <v>4168.3900000000003</v>
      </c>
      <c r="BI136" s="378">
        <f t="shared" si="180"/>
        <v>4180.8900000000003</v>
      </c>
      <c r="BJ136" s="378">
        <f t="shared" si="180"/>
        <v>4140.8900000000003</v>
      </c>
      <c r="BK136" s="378">
        <f t="shared" si="180"/>
        <v>4153.3900000000003</v>
      </c>
      <c r="BL136" s="378">
        <f t="shared" si="180"/>
        <v>4153.3900000000003</v>
      </c>
    </row>
    <row r="138" spans="1:64">
      <c r="A138" s="9" t="s">
        <v>53</v>
      </c>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378">
        <f>AG129+AG136</f>
        <v>10999.114000000001</v>
      </c>
      <c r="AH138" s="378">
        <f>AH129+AH136</f>
        <v>10999.114000000001</v>
      </c>
      <c r="AI138" s="378">
        <f>AI129+AI136</f>
        <v>10834.453999999998</v>
      </c>
      <c r="AJ138" s="378">
        <f>AJ129+AJ136</f>
        <v>11186.448999999999</v>
      </c>
      <c r="AK138" s="378">
        <f>AK129+AK136</f>
        <v>11547.878000000001</v>
      </c>
      <c r="AL138" s="378">
        <f t="shared" ref="AL138:BL138" si="181">AL129+AL136</f>
        <v>11372.878000000001</v>
      </c>
      <c r="AM138" s="378">
        <f t="shared" si="181"/>
        <v>11372.878000000001</v>
      </c>
      <c r="AN138" s="378">
        <f t="shared" si="181"/>
        <v>11189.978025000002</v>
      </c>
      <c r="AO138" s="378">
        <f t="shared" si="181"/>
        <v>11431.658500000001</v>
      </c>
      <c r="AP138" s="378">
        <f t="shared" si="181"/>
        <v>11693.515050000002</v>
      </c>
      <c r="AQ138" s="378">
        <f t="shared" si="181"/>
        <v>11542.515050000002</v>
      </c>
      <c r="AR138" s="378">
        <f t="shared" si="181"/>
        <v>11542.515050000002</v>
      </c>
      <c r="AS138" s="378">
        <f t="shared" si="181"/>
        <v>11362.862574375002</v>
      </c>
      <c r="AT138" s="378">
        <f t="shared" si="181"/>
        <v>11598.851037500002</v>
      </c>
      <c r="AU138" s="378">
        <f t="shared" si="181"/>
        <v>11853.286173750002</v>
      </c>
      <c r="AV138" s="378">
        <f t="shared" si="181"/>
        <v>11706.286173750002</v>
      </c>
      <c r="AW138" s="378">
        <f t="shared" si="181"/>
        <v>11706.286173750002</v>
      </c>
      <c r="AX138" s="378">
        <f t="shared" si="181"/>
        <v>11529.800010015628</v>
      </c>
      <c r="AY138" s="378">
        <f t="shared" si="181"/>
        <v>11760.238761562503</v>
      </c>
      <c r="AZ138" s="378">
        <f t="shared" si="181"/>
        <v>12007.438019406252</v>
      </c>
      <c r="BA138" s="378">
        <f t="shared" si="181"/>
        <v>11864.338019406252</v>
      </c>
      <c r="BB138" s="378">
        <f t="shared" si="181"/>
        <v>11864.338019406252</v>
      </c>
      <c r="BC138" s="378">
        <f t="shared" si="181"/>
        <v>11690.939009765238</v>
      </c>
      <c r="BD138" s="378">
        <f t="shared" si="181"/>
        <v>11915.966792523441</v>
      </c>
      <c r="BE138" s="378">
        <f t="shared" si="181"/>
        <v>12156.111068921096</v>
      </c>
      <c r="BF138" s="378">
        <f t="shared" si="181"/>
        <v>12016.813568921098</v>
      </c>
      <c r="BG138" s="378">
        <f t="shared" si="181"/>
        <v>12016.813568921098</v>
      </c>
      <c r="BH138" s="378">
        <f t="shared" si="181"/>
        <v>11846.424534521106</v>
      </c>
      <c r="BI138" s="378">
        <f t="shared" si="181"/>
        <v>12066.176622710354</v>
      </c>
      <c r="BJ138" s="378">
        <f t="shared" si="181"/>
        <v>12299.442292198069</v>
      </c>
      <c r="BK138" s="378">
        <f t="shared" si="181"/>
        <v>12163.85222969807</v>
      </c>
      <c r="BL138" s="378">
        <f t="shared" si="181"/>
        <v>12163.85222969807</v>
      </c>
    </row>
    <row r="140" spans="1:64">
      <c r="A140" s="5" t="s">
        <v>43</v>
      </c>
      <c r="AG140" s="376">
        <v>204.309</v>
      </c>
      <c r="AH140" s="375">
        <f t="shared" ref="AH140:AH144" si="182">AG140</f>
        <v>204.309</v>
      </c>
      <c r="AI140" s="376">
        <v>205.98500000000001</v>
      </c>
      <c r="AJ140" s="376">
        <v>209.37799999999999</v>
      </c>
      <c r="AK140" s="376">
        <v>210.523</v>
      </c>
      <c r="AL140" s="386">
        <f>AK140</f>
        <v>210.523</v>
      </c>
      <c r="AM140" s="386">
        <f t="shared" ref="AM140:BL141" si="183">AL140</f>
        <v>210.523</v>
      </c>
      <c r="AN140" s="386">
        <f t="shared" si="183"/>
        <v>210.523</v>
      </c>
      <c r="AO140" s="386">
        <f t="shared" si="183"/>
        <v>210.523</v>
      </c>
      <c r="AP140" s="386">
        <f t="shared" si="183"/>
        <v>210.523</v>
      </c>
      <c r="AQ140" s="386">
        <f t="shared" si="183"/>
        <v>210.523</v>
      </c>
      <c r="AR140" s="386">
        <f t="shared" si="183"/>
        <v>210.523</v>
      </c>
      <c r="AS140" s="386">
        <f t="shared" si="183"/>
        <v>210.523</v>
      </c>
      <c r="AT140" s="386">
        <f t="shared" si="183"/>
        <v>210.523</v>
      </c>
      <c r="AU140" s="386">
        <f t="shared" si="183"/>
        <v>210.523</v>
      </c>
      <c r="AV140" s="386">
        <f t="shared" si="183"/>
        <v>210.523</v>
      </c>
      <c r="AW140" s="386">
        <f t="shared" si="183"/>
        <v>210.523</v>
      </c>
      <c r="AX140" s="386">
        <f t="shared" si="183"/>
        <v>210.523</v>
      </c>
      <c r="AY140" s="386">
        <f t="shared" si="183"/>
        <v>210.523</v>
      </c>
      <c r="AZ140" s="386">
        <f t="shared" si="183"/>
        <v>210.523</v>
      </c>
      <c r="BA140" s="386">
        <f t="shared" si="183"/>
        <v>210.523</v>
      </c>
      <c r="BB140" s="386">
        <f t="shared" si="183"/>
        <v>210.523</v>
      </c>
      <c r="BC140" s="386">
        <f t="shared" si="183"/>
        <v>210.523</v>
      </c>
      <c r="BD140" s="386">
        <f t="shared" si="183"/>
        <v>210.523</v>
      </c>
      <c r="BE140" s="386">
        <f t="shared" si="183"/>
        <v>210.523</v>
      </c>
      <c r="BF140" s="386">
        <f t="shared" si="183"/>
        <v>210.523</v>
      </c>
      <c r="BG140" s="386">
        <f t="shared" si="183"/>
        <v>210.523</v>
      </c>
      <c r="BH140" s="386">
        <f t="shared" si="183"/>
        <v>210.523</v>
      </c>
      <c r="BI140" s="386">
        <f t="shared" si="183"/>
        <v>210.523</v>
      </c>
      <c r="BJ140" s="386">
        <f t="shared" si="183"/>
        <v>210.523</v>
      </c>
      <c r="BK140" s="386">
        <f t="shared" si="183"/>
        <v>210.523</v>
      </c>
      <c r="BL140" s="386">
        <f t="shared" si="183"/>
        <v>210.523</v>
      </c>
    </row>
    <row r="141" spans="1:64">
      <c r="A141" s="5" t="s">
        <v>44</v>
      </c>
      <c r="AG141" s="376">
        <v>685.06600000000003</v>
      </c>
      <c r="AH141" s="375">
        <f t="shared" si="182"/>
        <v>685.06600000000003</v>
      </c>
      <c r="AI141" s="376">
        <v>688.572</v>
      </c>
      <c r="AJ141" s="376">
        <v>693.01599999999996</v>
      </c>
      <c r="AK141" s="376">
        <v>802.43200000000002</v>
      </c>
      <c r="AL141" s="386">
        <f>AK141</f>
        <v>802.43200000000002</v>
      </c>
      <c r="AM141" s="386">
        <f t="shared" si="183"/>
        <v>802.43200000000002</v>
      </c>
      <c r="AN141" s="386">
        <f t="shared" si="183"/>
        <v>802.43200000000002</v>
      </c>
      <c r="AO141" s="386">
        <f t="shared" si="183"/>
        <v>802.43200000000002</v>
      </c>
      <c r="AP141" s="386">
        <f t="shared" si="183"/>
        <v>802.43200000000002</v>
      </c>
      <c r="AQ141" s="386">
        <f t="shared" si="183"/>
        <v>802.43200000000002</v>
      </c>
      <c r="AR141" s="386">
        <f t="shared" si="183"/>
        <v>802.43200000000002</v>
      </c>
      <c r="AS141" s="386">
        <f t="shared" si="183"/>
        <v>802.43200000000002</v>
      </c>
      <c r="AT141" s="386">
        <f t="shared" si="183"/>
        <v>802.43200000000002</v>
      </c>
      <c r="AU141" s="386">
        <f t="shared" si="183"/>
        <v>802.43200000000002</v>
      </c>
      <c r="AV141" s="386">
        <f t="shared" si="183"/>
        <v>802.43200000000002</v>
      </c>
      <c r="AW141" s="386">
        <f t="shared" si="183"/>
        <v>802.43200000000002</v>
      </c>
      <c r="AX141" s="386">
        <f t="shared" si="183"/>
        <v>802.43200000000002</v>
      </c>
      <c r="AY141" s="386">
        <f t="shared" si="183"/>
        <v>802.43200000000002</v>
      </c>
      <c r="AZ141" s="386">
        <f t="shared" si="183"/>
        <v>802.43200000000002</v>
      </c>
      <c r="BA141" s="386">
        <f t="shared" si="183"/>
        <v>802.43200000000002</v>
      </c>
      <c r="BB141" s="386">
        <f t="shared" si="183"/>
        <v>802.43200000000002</v>
      </c>
      <c r="BC141" s="386">
        <f t="shared" si="183"/>
        <v>802.43200000000002</v>
      </c>
      <c r="BD141" s="386">
        <f t="shared" si="183"/>
        <v>802.43200000000002</v>
      </c>
      <c r="BE141" s="386">
        <f t="shared" si="183"/>
        <v>802.43200000000002</v>
      </c>
      <c r="BF141" s="386">
        <f t="shared" si="183"/>
        <v>802.43200000000002</v>
      </c>
      <c r="BG141" s="386">
        <f t="shared" si="183"/>
        <v>802.43200000000002</v>
      </c>
      <c r="BH141" s="386">
        <f t="shared" si="183"/>
        <v>802.43200000000002</v>
      </c>
      <c r="BI141" s="386">
        <f t="shared" si="183"/>
        <v>802.43200000000002</v>
      </c>
      <c r="BJ141" s="386">
        <f t="shared" si="183"/>
        <v>802.43200000000002</v>
      </c>
      <c r="BK141" s="386">
        <f t="shared" si="183"/>
        <v>802.43200000000002</v>
      </c>
      <c r="BL141" s="386">
        <f t="shared" si="183"/>
        <v>802.43200000000002</v>
      </c>
    </row>
    <row r="142" spans="1:64">
      <c r="A142" s="5" t="s">
        <v>46</v>
      </c>
      <c r="AG142" s="376">
        <v>1392.0429999999999</v>
      </c>
      <c r="AH142" s="375">
        <f t="shared" si="182"/>
        <v>1392.0429999999999</v>
      </c>
      <c r="AI142" s="376">
        <v>1332.384</v>
      </c>
      <c r="AJ142" s="376">
        <v>1484.412</v>
      </c>
      <c r="AK142" s="376">
        <v>1394.1310000000001</v>
      </c>
      <c r="AL142" s="375">
        <f>AK142+AL53-AL89</f>
        <v>1435.2138924168014</v>
      </c>
      <c r="AM142" s="375">
        <f>AL142</f>
        <v>1435.2138924168014</v>
      </c>
      <c r="AN142" s="375">
        <f>AM142+AN53-AN89</f>
        <v>1377.8739199801357</v>
      </c>
      <c r="AO142" s="375">
        <f t="shared" ref="AO142:AQ142" si="184">AN142+AO53-AO89</f>
        <v>1505.6341057461348</v>
      </c>
      <c r="AP142" s="375">
        <f t="shared" si="184"/>
        <v>1420.7749807413275</v>
      </c>
      <c r="AQ142" s="375">
        <f t="shared" si="184"/>
        <v>1474.2072491506017</v>
      </c>
      <c r="AR142" s="375">
        <f>AQ142</f>
        <v>1474.2072491506017</v>
      </c>
      <c r="AS142" s="375">
        <f>AR142+AS53-AS89</f>
        <v>1418.4938092907146</v>
      </c>
      <c r="AT142" s="375">
        <f t="shared" ref="AT142:AV142" si="185">AS142+AT53-AT89</f>
        <v>1545.8176319753916</v>
      </c>
      <c r="AU142" s="375">
        <f t="shared" si="185"/>
        <v>1462.5416179948134</v>
      </c>
      <c r="AV142" s="375">
        <f t="shared" si="185"/>
        <v>1526.7788366004932</v>
      </c>
      <c r="AW142" s="375">
        <f>AV142</f>
        <v>1526.7788366004932</v>
      </c>
      <c r="AX142" s="375">
        <f>AW142+AX53-AX89</f>
        <v>1476.251751343</v>
      </c>
      <c r="AY142" s="375">
        <f t="shared" ref="AY142:BA142" si="186">AX142+AY53-AY89</f>
        <v>1611.868384662177</v>
      </c>
      <c r="AZ142" s="375">
        <f t="shared" si="186"/>
        <v>1535.5456720357961</v>
      </c>
      <c r="BA142" s="375">
        <f t="shared" si="186"/>
        <v>1608.7161698406096</v>
      </c>
      <c r="BB142" s="375">
        <f>BA142</f>
        <v>1608.7161698406096</v>
      </c>
      <c r="BC142" s="375">
        <f>BB142+BC53-BC89</f>
        <v>1566.8851646433779</v>
      </c>
      <c r="BD142" s="375">
        <f t="shared" ref="BD142:BF142" si="187">BC142+BD53-BD89</f>
        <v>1710.1653334838302</v>
      </c>
      <c r="BE142" s="375">
        <f t="shared" si="187"/>
        <v>1643.95313014508</v>
      </c>
      <c r="BF142" s="375">
        <f t="shared" si="187"/>
        <v>1729.8498995008897</v>
      </c>
      <c r="BG142" s="375">
        <f>BF142</f>
        <v>1729.8498995008897</v>
      </c>
      <c r="BH142" s="375">
        <f>BG142+BH53-BH89</f>
        <v>1699.4374302554857</v>
      </c>
      <c r="BI142" s="375">
        <f t="shared" ref="BI142:BK142" si="188">BH142+BI53-BI89</f>
        <v>1853.2059435500537</v>
      </c>
      <c r="BJ142" s="375">
        <f t="shared" si="188"/>
        <v>1799.1586512534354</v>
      </c>
      <c r="BK142" s="375">
        <f t="shared" si="188"/>
        <v>1899.6294369558148</v>
      </c>
      <c r="BL142" s="375">
        <f>BK142</f>
        <v>1899.6294369558148</v>
      </c>
    </row>
    <row r="143" spans="1:64">
      <c r="A143" s="5" t="s">
        <v>47</v>
      </c>
      <c r="AG143" s="376">
        <v>-74.131</v>
      </c>
      <c r="AH143" s="375">
        <f t="shared" si="182"/>
        <v>-74.131</v>
      </c>
      <c r="AI143" s="376">
        <v>-67.23</v>
      </c>
      <c r="AJ143" s="376">
        <v>-88.009</v>
      </c>
      <c r="AK143" s="376">
        <v>-112.07299999999999</v>
      </c>
      <c r="AL143" s="386">
        <f>AK143</f>
        <v>-112.07299999999999</v>
      </c>
      <c r="AM143" s="386">
        <f t="shared" ref="AM143:BB144" si="189">AL143</f>
        <v>-112.07299999999999</v>
      </c>
      <c r="AN143" s="386">
        <f t="shared" si="189"/>
        <v>-112.07299999999999</v>
      </c>
      <c r="AO143" s="386">
        <f t="shared" si="189"/>
        <v>-112.07299999999999</v>
      </c>
      <c r="AP143" s="386">
        <f t="shared" si="189"/>
        <v>-112.07299999999999</v>
      </c>
      <c r="AQ143" s="386">
        <f t="shared" si="189"/>
        <v>-112.07299999999999</v>
      </c>
      <c r="AR143" s="386">
        <f t="shared" si="189"/>
        <v>-112.07299999999999</v>
      </c>
      <c r="AS143" s="386">
        <f t="shared" si="189"/>
        <v>-112.07299999999999</v>
      </c>
      <c r="AT143" s="386">
        <f t="shared" si="189"/>
        <v>-112.07299999999999</v>
      </c>
      <c r="AU143" s="386">
        <f t="shared" si="189"/>
        <v>-112.07299999999999</v>
      </c>
      <c r="AV143" s="386">
        <f t="shared" si="189"/>
        <v>-112.07299999999999</v>
      </c>
      <c r="AW143" s="386">
        <f t="shared" si="189"/>
        <v>-112.07299999999999</v>
      </c>
      <c r="AX143" s="386">
        <f t="shared" si="189"/>
        <v>-112.07299999999999</v>
      </c>
      <c r="AY143" s="386">
        <f t="shared" si="189"/>
        <v>-112.07299999999999</v>
      </c>
      <c r="AZ143" s="386">
        <f t="shared" si="189"/>
        <v>-112.07299999999999</v>
      </c>
      <c r="BA143" s="386">
        <f t="shared" si="189"/>
        <v>-112.07299999999999</v>
      </c>
      <c r="BB143" s="386">
        <f t="shared" si="189"/>
        <v>-112.07299999999999</v>
      </c>
      <c r="BC143" s="386">
        <f t="shared" ref="BC143:BL144" si="190">BB143</f>
        <v>-112.07299999999999</v>
      </c>
      <c r="BD143" s="386">
        <f t="shared" si="190"/>
        <v>-112.07299999999999</v>
      </c>
      <c r="BE143" s="386">
        <f t="shared" si="190"/>
        <v>-112.07299999999999</v>
      </c>
      <c r="BF143" s="386">
        <f t="shared" si="190"/>
        <v>-112.07299999999999</v>
      </c>
      <c r="BG143" s="386">
        <f t="shared" si="190"/>
        <v>-112.07299999999999</v>
      </c>
      <c r="BH143" s="386">
        <f t="shared" si="190"/>
        <v>-112.07299999999999</v>
      </c>
      <c r="BI143" s="386">
        <f t="shared" si="190"/>
        <v>-112.07299999999999</v>
      </c>
      <c r="BJ143" s="386">
        <f t="shared" si="190"/>
        <v>-112.07299999999999</v>
      </c>
      <c r="BK143" s="386">
        <f t="shared" si="190"/>
        <v>-112.07299999999999</v>
      </c>
      <c r="BL143" s="386">
        <f t="shared" si="190"/>
        <v>-112.07299999999999</v>
      </c>
    </row>
    <row r="144" spans="1:64">
      <c r="A144" s="5" t="s">
        <v>1539</v>
      </c>
      <c r="AG144" s="376">
        <v>17.658000000000001</v>
      </c>
      <c r="AH144" s="375">
        <f t="shared" si="182"/>
        <v>17.658000000000001</v>
      </c>
      <c r="AI144" s="376">
        <v>22.135999999999999</v>
      </c>
      <c r="AJ144" s="376">
        <v>27.068000000000001</v>
      </c>
      <c r="AK144" s="376">
        <v>17.29</v>
      </c>
      <c r="AL144" s="386">
        <f>AK144</f>
        <v>17.29</v>
      </c>
      <c r="AM144" s="386">
        <f t="shared" si="189"/>
        <v>17.29</v>
      </c>
      <c r="AN144" s="386">
        <f t="shared" si="189"/>
        <v>17.29</v>
      </c>
      <c r="AO144" s="386">
        <f t="shared" si="189"/>
        <v>17.29</v>
      </c>
      <c r="AP144" s="386">
        <f t="shared" si="189"/>
        <v>17.29</v>
      </c>
      <c r="AQ144" s="386">
        <f t="shared" si="189"/>
        <v>17.29</v>
      </c>
      <c r="AR144" s="386">
        <f t="shared" si="189"/>
        <v>17.29</v>
      </c>
      <c r="AS144" s="386">
        <f t="shared" si="189"/>
        <v>17.29</v>
      </c>
      <c r="AT144" s="386">
        <f t="shared" si="189"/>
        <v>17.29</v>
      </c>
      <c r="AU144" s="386">
        <f t="shared" si="189"/>
        <v>17.29</v>
      </c>
      <c r="AV144" s="386">
        <f t="shared" si="189"/>
        <v>17.29</v>
      </c>
      <c r="AW144" s="386">
        <f t="shared" si="189"/>
        <v>17.29</v>
      </c>
      <c r="AX144" s="386">
        <f t="shared" si="189"/>
        <v>17.29</v>
      </c>
      <c r="AY144" s="386">
        <f t="shared" si="189"/>
        <v>17.29</v>
      </c>
      <c r="AZ144" s="386">
        <f t="shared" si="189"/>
        <v>17.29</v>
      </c>
      <c r="BA144" s="386">
        <f t="shared" si="189"/>
        <v>17.29</v>
      </c>
      <c r="BB144" s="386">
        <f t="shared" si="189"/>
        <v>17.29</v>
      </c>
      <c r="BC144" s="386">
        <f t="shared" si="190"/>
        <v>17.29</v>
      </c>
      <c r="BD144" s="386">
        <f t="shared" si="190"/>
        <v>17.29</v>
      </c>
      <c r="BE144" s="386">
        <f t="shared" si="190"/>
        <v>17.29</v>
      </c>
      <c r="BF144" s="386">
        <f t="shared" si="190"/>
        <v>17.29</v>
      </c>
      <c r="BG144" s="386">
        <f t="shared" si="190"/>
        <v>17.29</v>
      </c>
      <c r="BH144" s="386">
        <f t="shared" si="190"/>
        <v>17.29</v>
      </c>
      <c r="BI144" s="386">
        <f t="shared" si="190"/>
        <v>17.29</v>
      </c>
      <c r="BJ144" s="386">
        <f t="shared" si="190"/>
        <v>17.29</v>
      </c>
      <c r="BK144" s="386">
        <f t="shared" si="190"/>
        <v>17.29</v>
      </c>
      <c r="BL144" s="386">
        <f t="shared" si="190"/>
        <v>17.29</v>
      </c>
    </row>
    <row r="145" spans="1:66">
      <c r="A145" s="9" t="s">
        <v>1540</v>
      </c>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378">
        <f>SUM(AG140:AG144)</f>
        <v>2224.9449999999997</v>
      </c>
      <c r="AH145" s="378">
        <f>AG145</f>
        <v>2224.9449999999997</v>
      </c>
      <c r="AI145" s="378">
        <f>SUM(AI140:AI144)</f>
        <v>2181.8469999999998</v>
      </c>
      <c r="AJ145" s="378">
        <f>SUM(AJ140:AJ144)</f>
        <v>2325.8650000000002</v>
      </c>
      <c r="AK145" s="378">
        <f>SUM(AK140:AK144)</f>
        <v>2312.3030000000003</v>
      </c>
      <c r="AL145" s="378">
        <f t="shared" ref="AL145:BL145" si="191">SUM(AL140:AL144)</f>
        <v>2353.3858924168017</v>
      </c>
      <c r="AM145" s="378">
        <f t="shared" si="191"/>
        <v>2353.3858924168017</v>
      </c>
      <c r="AN145" s="378">
        <f t="shared" si="191"/>
        <v>2296.0459199801357</v>
      </c>
      <c r="AO145" s="378">
        <f t="shared" si="191"/>
        <v>2423.806105746135</v>
      </c>
      <c r="AP145" s="378">
        <f t="shared" si="191"/>
        <v>2338.9469807413275</v>
      </c>
      <c r="AQ145" s="378">
        <f t="shared" si="191"/>
        <v>2392.3792491506019</v>
      </c>
      <c r="AR145" s="378">
        <f t="shared" si="191"/>
        <v>2392.3792491506019</v>
      </c>
      <c r="AS145" s="378">
        <f t="shared" si="191"/>
        <v>2336.6658092907146</v>
      </c>
      <c r="AT145" s="378">
        <f t="shared" si="191"/>
        <v>2463.9896319753916</v>
      </c>
      <c r="AU145" s="378">
        <f t="shared" si="191"/>
        <v>2380.7136179948134</v>
      </c>
      <c r="AV145" s="378">
        <f t="shared" si="191"/>
        <v>2444.9508366004934</v>
      </c>
      <c r="AW145" s="378">
        <f t="shared" si="191"/>
        <v>2444.9508366004934</v>
      </c>
      <c r="AX145" s="378">
        <f t="shared" si="191"/>
        <v>2394.4237513430003</v>
      </c>
      <c r="AY145" s="378">
        <f t="shared" si="191"/>
        <v>2530.0403846621771</v>
      </c>
      <c r="AZ145" s="378">
        <f t="shared" si="191"/>
        <v>2453.7176720357961</v>
      </c>
      <c r="BA145" s="378">
        <f t="shared" si="191"/>
        <v>2526.8881698406099</v>
      </c>
      <c r="BB145" s="378">
        <f t="shared" si="191"/>
        <v>2526.8881698406099</v>
      </c>
      <c r="BC145" s="378">
        <f t="shared" si="191"/>
        <v>2485.0571646433782</v>
      </c>
      <c r="BD145" s="378">
        <f t="shared" si="191"/>
        <v>2628.3373334838302</v>
      </c>
      <c r="BE145" s="378">
        <f t="shared" si="191"/>
        <v>2562.1251301450802</v>
      </c>
      <c r="BF145" s="378">
        <f t="shared" si="191"/>
        <v>2648.02189950089</v>
      </c>
      <c r="BG145" s="378">
        <f t="shared" si="191"/>
        <v>2648.02189950089</v>
      </c>
      <c r="BH145" s="378">
        <f t="shared" si="191"/>
        <v>2617.6094302554857</v>
      </c>
      <c r="BI145" s="378">
        <f t="shared" si="191"/>
        <v>2771.3779435500537</v>
      </c>
      <c r="BJ145" s="378">
        <f t="shared" si="191"/>
        <v>2717.3306512534355</v>
      </c>
      <c r="BK145" s="378">
        <f t="shared" si="191"/>
        <v>2817.801436955815</v>
      </c>
      <c r="BL145" s="378">
        <f t="shared" si="191"/>
        <v>2817.801436955815</v>
      </c>
    </row>
    <row r="146" spans="1:66">
      <c r="A146" s="1" t="s">
        <v>50</v>
      </c>
      <c r="AG146" s="376">
        <v>1458.1220000000001</v>
      </c>
      <c r="AH146" s="375">
        <f>AG146</f>
        <v>1458.1220000000001</v>
      </c>
      <c r="AI146" s="376">
        <v>1484.9110000000001</v>
      </c>
      <c r="AJ146" s="376">
        <v>1530.8689999999999</v>
      </c>
      <c r="AK146" s="376">
        <v>1532.7929999999999</v>
      </c>
      <c r="AL146" s="375">
        <f>AK146+AL54+AL202</f>
        <v>1532.3848690363282</v>
      </c>
      <c r="AM146" s="375">
        <f>AL146</f>
        <v>1532.3848690363282</v>
      </c>
      <c r="AN146" s="375">
        <f>AM146+AN54+AN202</f>
        <v>1535.4283779950931</v>
      </c>
      <c r="AO146" s="375">
        <f t="shared" ref="AO146:AQ146" si="192">AN146+AO54+AO202</f>
        <v>1573.245851281996</v>
      </c>
      <c r="AP146" s="375">
        <f t="shared" si="192"/>
        <v>1576.5828448391883</v>
      </c>
      <c r="AQ146" s="375">
        <f t="shared" si="192"/>
        <v>1581.0368125480484</v>
      </c>
      <c r="AR146" s="375">
        <f>AQ146</f>
        <v>1581.0368125480484</v>
      </c>
      <c r="AS146" s="375">
        <f>AR146+AS54+AS202</f>
        <v>1585.3308481563306</v>
      </c>
      <c r="AT146" s="375">
        <f t="shared" ref="AT146:AV146" si="193">AS146+AT54+AT202</f>
        <v>1624.6585859728614</v>
      </c>
      <c r="AU146" s="375">
        <f t="shared" si="193"/>
        <v>1629.1134928271788</v>
      </c>
      <c r="AV146" s="375">
        <f t="shared" si="193"/>
        <v>1635.0244688870901</v>
      </c>
      <c r="AW146" s="375">
        <f>AV146</f>
        <v>1635.0244688870901</v>
      </c>
      <c r="AX146" s="375">
        <f>AW146+AX54+AX202</f>
        <v>1641.3202307574036</v>
      </c>
      <c r="AY146" s="375">
        <f t="shared" ref="AY146:BA146" si="194">AX146+AY54+AY202</f>
        <v>1684.9360097003016</v>
      </c>
      <c r="AZ146" s="375">
        <f t="shared" si="194"/>
        <v>1691.8150397327415</v>
      </c>
      <c r="BA146" s="375">
        <f t="shared" si="194"/>
        <v>1699.2000340211298</v>
      </c>
      <c r="BB146" s="375">
        <f>BA146</f>
        <v>1699.2000340211298</v>
      </c>
      <c r="BC146" s="375">
        <f>BB146+BC54+BC202</f>
        <v>1708.3555273092434</v>
      </c>
      <c r="BD146" s="375">
        <f t="shared" ref="BD146:BF146" si="195">BC146+BD54+BD202</f>
        <v>1756.3031575923158</v>
      </c>
      <c r="BE146" s="375">
        <f t="shared" si="195"/>
        <v>1766.5551222181589</v>
      </c>
      <c r="BF146" s="375">
        <f t="shared" si="195"/>
        <v>1775.9968784643545</v>
      </c>
      <c r="BG146" s="375">
        <f>BF146</f>
        <v>1775.9968784643545</v>
      </c>
      <c r="BH146" s="375">
        <f>BG146+BH54+BH202</f>
        <v>1788.8171741610122</v>
      </c>
      <c r="BI146" s="375">
        <f t="shared" ref="BI146:BK146" si="196">BH146+BI54+BI202</f>
        <v>1842.3050545504282</v>
      </c>
      <c r="BJ146" s="375">
        <f t="shared" si="196"/>
        <v>1856.7106473477729</v>
      </c>
      <c r="BK146" s="375">
        <f t="shared" si="196"/>
        <v>1868.6737004190018</v>
      </c>
      <c r="BL146" s="375">
        <f>BK146</f>
        <v>1868.6737004190018</v>
      </c>
    </row>
    <row r="147" spans="1:66">
      <c r="A147" s="9" t="s">
        <v>51</v>
      </c>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378">
        <f>SUM(AG145:AG146)</f>
        <v>3683.067</v>
      </c>
      <c r="AH147" s="378">
        <f>SUM(AH145:AH146)</f>
        <v>3683.067</v>
      </c>
      <c r="AI147" s="378">
        <f>SUM(AI145:AI146)</f>
        <v>3666.7579999999998</v>
      </c>
      <c r="AJ147" s="378">
        <f>SUM(AJ145:AJ146)</f>
        <v>3856.7340000000004</v>
      </c>
      <c r="AK147" s="378">
        <f t="shared" ref="AK147:BL147" si="197">SUM(AK145:AK146)</f>
        <v>3845.0960000000005</v>
      </c>
      <c r="AL147" s="378">
        <f t="shared" si="197"/>
        <v>3885.77076145313</v>
      </c>
      <c r="AM147" s="378">
        <f t="shared" si="197"/>
        <v>3885.77076145313</v>
      </c>
      <c r="AN147" s="378">
        <f t="shared" si="197"/>
        <v>3831.4742979752291</v>
      </c>
      <c r="AO147" s="378">
        <f t="shared" si="197"/>
        <v>3997.0519570281313</v>
      </c>
      <c r="AP147" s="378">
        <f t="shared" si="197"/>
        <v>3915.5298255805155</v>
      </c>
      <c r="AQ147" s="378">
        <f t="shared" si="197"/>
        <v>3973.4160616986501</v>
      </c>
      <c r="AR147" s="378">
        <f t="shared" si="197"/>
        <v>3973.4160616986501</v>
      </c>
      <c r="AS147" s="378">
        <f t="shared" si="197"/>
        <v>3921.9966574470454</v>
      </c>
      <c r="AT147" s="378">
        <f t="shared" si="197"/>
        <v>4088.6482179482527</v>
      </c>
      <c r="AU147" s="378">
        <f t="shared" si="197"/>
        <v>4009.8271108219924</v>
      </c>
      <c r="AV147" s="378">
        <f t="shared" si="197"/>
        <v>4079.9753054875837</v>
      </c>
      <c r="AW147" s="378">
        <f t="shared" si="197"/>
        <v>4079.9753054875837</v>
      </c>
      <c r="AX147" s="378">
        <f t="shared" si="197"/>
        <v>4035.7439821004036</v>
      </c>
      <c r="AY147" s="378">
        <f t="shared" si="197"/>
        <v>4214.9763943624785</v>
      </c>
      <c r="AZ147" s="378">
        <f t="shared" si="197"/>
        <v>4145.5327117685374</v>
      </c>
      <c r="BA147" s="378">
        <f t="shared" si="197"/>
        <v>4226.0882038617401</v>
      </c>
      <c r="BB147" s="378">
        <f t="shared" si="197"/>
        <v>4226.0882038617401</v>
      </c>
      <c r="BC147" s="378">
        <f t="shared" si="197"/>
        <v>4193.4126919526216</v>
      </c>
      <c r="BD147" s="378">
        <f t="shared" si="197"/>
        <v>4384.6404910761457</v>
      </c>
      <c r="BE147" s="378">
        <f t="shared" si="197"/>
        <v>4328.6802523632396</v>
      </c>
      <c r="BF147" s="378">
        <f t="shared" si="197"/>
        <v>4424.0187779652442</v>
      </c>
      <c r="BG147" s="378">
        <f t="shared" si="197"/>
        <v>4424.0187779652442</v>
      </c>
      <c r="BH147" s="378">
        <f t="shared" si="197"/>
        <v>4406.4266044164979</v>
      </c>
      <c r="BI147" s="378">
        <f t="shared" si="197"/>
        <v>4613.6829981004821</v>
      </c>
      <c r="BJ147" s="378">
        <f t="shared" si="197"/>
        <v>4574.0412986012088</v>
      </c>
      <c r="BK147" s="378">
        <f t="shared" si="197"/>
        <v>4686.4751373748168</v>
      </c>
      <c r="BL147" s="378">
        <f t="shared" si="197"/>
        <v>4686.4751373748168</v>
      </c>
    </row>
    <row r="149" spans="1:66">
      <c r="A149" s="9" t="s">
        <v>1541</v>
      </c>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378">
        <f t="shared" ref="AG149:BL149" si="198">AG138+AG147</f>
        <v>14682.181</v>
      </c>
      <c r="AH149" s="378">
        <f t="shared" si="198"/>
        <v>14682.181</v>
      </c>
      <c r="AI149" s="378">
        <f t="shared" si="198"/>
        <v>14501.211999999998</v>
      </c>
      <c r="AJ149" s="378">
        <f t="shared" si="198"/>
        <v>15043.182999999999</v>
      </c>
      <c r="AK149" s="378">
        <f t="shared" si="198"/>
        <v>15392.974000000002</v>
      </c>
      <c r="AL149" s="378">
        <f t="shared" si="198"/>
        <v>15258.648761453131</v>
      </c>
      <c r="AM149" s="378">
        <f t="shared" si="198"/>
        <v>15258.648761453131</v>
      </c>
      <c r="AN149" s="378">
        <f t="shared" si="198"/>
        <v>15021.45232297523</v>
      </c>
      <c r="AO149" s="378">
        <f t="shared" si="198"/>
        <v>15428.710457028134</v>
      </c>
      <c r="AP149" s="378">
        <f t="shared" si="198"/>
        <v>15609.044875580517</v>
      </c>
      <c r="AQ149" s="378">
        <f t="shared" si="198"/>
        <v>15515.931111698652</v>
      </c>
      <c r="AR149" s="378">
        <f t="shared" si="198"/>
        <v>15515.931111698652</v>
      </c>
      <c r="AS149" s="378">
        <f t="shared" si="198"/>
        <v>15284.859231822047</v>
      </c>
      <c r="AT149" s="378">
        <f t="shared" si="198"/>
        <v>15687.499255448256</v>
      </c>
      <c r="AU149" s="378">
        <f t="shared" si="198"/>
        <v>15863.113284571995</v>
      </c>
      <c r="AV149" s="378">
        <f t="shared" si="198"/>
        <v>15786.261479237586</v>
      </c>
      <c r="AW149" s="378">
        <f t="shared" si="198"/>
        <v>15786.261479237586</v>
      </c>
      <c r="AX149" s="378">
        <f t="shared" si="198"/>
        <v>15565.543992116032</v>
      </c>
      <c r="AY149" s="378">
        <f t="shared" si="198"/>
        <v>15975.215155924981</v>
      </c>
      <c r="AZ149" s="378">
        <f t="shared" si="198"/>
        <v>16152.97073117479</v>
      </c>
      <c r="BA149" s="378">
        <f t="shared" si="198"/>
        <v>16090.426223267992</v>
      </c>
      <c r="BB149" s="378">
        <f t="shared" si="198"/>
        <v>16090.426223267992</v>
      </c>
      <c r="BC149" s="378">
        <f t="shared" si="198"/>
        <v>15884.35170171786</v>
      </c>
      <c r="BD149" s="378">
        <f t="shared" si="198"/>
        <v>16300.607283599587</v>
      </c>
      <c r="BE149" s="378">
        <f t="shared" si="198"/>
        <v>16484.791321284334</v>
      </c>
      <c r="BF149" s="378">
        <f t="shared" si="198"/>
        <v>16440.832346886342</v>
      </c>
      <c r="BG149" s="378">
        <f t="shared" si="198"/>
        <v>16440.832346886342</v>
      </c>
      <c r="BH149" s="378">
        <f t="shared" si="198"/>
        <v>16252.851138937604</v>
      </c>
      <c r="BI149" s="378">
        <f t="shared" si="198"/>
        <v>16679.859620810836</v>
      </c>
      <c r="BJ149" s="378">
        <f t="shared" si="198"/>
        <v>16873.483590799278</v>
      </c>
      <c r="BK149" s="378">
        <f t="shared" si="198"/>
        <v>16850.327367072889</v>
      </c>
      <c r="BL149" s="378">
        <f t="shared" si="198"/>
        <v>16850.327367072889</v>
      </c>
    </row>
    <row r="150" spans="1:66">
      <c r="A150" s="1" t="s">
        <v>706</v>
      </c>
      <c r="AG150" s="375">
        <f t="shared" ref="AG150:BL150" si="199">AG119-AG149</f>
        <v>0</v>
      </c>
      <c r="AH150" s="375">
        <f t="shared" si="199"/>
        <v>0</v>
      </c>
      <c r="AI150" s="375">
        <f t="shared" si="199"/>
        <v>0</v>
      </c>
      <c r="AJ150" s="375">
        <f t="shared" si="199"/>
        <v>0</v>
      </c>
      <c r="AK150" s="375">
        <f t="shared" si="199"/>
        <v>0</v>
      </c>
      <c r="AL150" s="375">
        <f t="shared" si="199"/>
        <v>0</v>
      </c>
      <c r="AM150" s="375">
        <f t="shared" si="199"/>
        <v>0</v>
      </c>
      <c r="AN150" s="375">
        <f t="shared" si="199"/>
        <v>0</v>
      </c>
      <c r="AO150" s="375">
        <f t="shared" si="199"/>
        <v>0</v>
      </c>
      <c r="AP150" s="375">
        <f t="shared" si="199"/>
        <v>0</v>
      </c>
      <c r="AQ150" s="375">
        <f t="shared" si="199"/>
        <v>0</v>
      </c>
      <c r="AR150" s="375">
        <f t="shared" si="199"/>
        <v>0</v>
      </c>
      <c r="AS150" s="375">
        <f t="shared" si="199"/>
        <v>0</v>
      </c>
      <c r="AT150" s="375">
        <f t="shared" si="199"/>
        <v>0</v>
      </c>
      <c r="AU150" s="375">
        <f t="shared" si="199"/>
        <v>0</v>
      </c>
      <c r="AV150" s="375">
        <f t="shared" si="199"/>
        <v>0</v>
      </c>
      <c r="AW150" s="375">
        <f t="shared" si="199"/>
        <v>0</v>
      </c>
      <c r="AX150" s="375">
        <f t="shared" si="199"/>
        <v>0</v>
      </c>
      <c r="AY150" s="375">
        <f t="shared" si="199"/>
        <v>0</v>
      </c>
      <c r="AZ150" s="375">
        <f t="shared" si="199"/>
        <v>0</v>
      </c>
      <c r="BA150" s="375">
        <f t="shared" si="199"/>
        <v>0</v>
      </c>
      <c r="BB150" s="375">
        <f t="shared" si="199"/>
        <v>0</v>
      </c>
      <c r="BC150" s="375">
        <f t="shared" si="199"/>
        <v>0</v>
      </c>
      <c r="BD150" s="375">
        <f t="shared" si="199"/>
        <v>0</v>
      </c>
      <c r="BE150" s="375">
        <f t="shared" si="199"/>
        <v>0</v>
      </c>
      <c r="BF150" s="375">
        <f t="shared" si="199"/>
        <v>0</v>
      </c>
      <c r="BG150" s="375">
        <f t="shared" si="199"/>
        <v>0</v>
      </c>
      <c r="BH150" s="375">
        <f t="shared" si="199"/>
        <v>0</v>
      </c>
      <c r="BI150" s="375">
        <f t="shared" si="199"/>
        <v>0</v>
      </c>
      <c r="BJ150" s="375">
        <f t="shared" si="199"/>
        <v>0</v>
      </c>
      <c r="BK150" s="375">
        <f t="shared" si="199"/>
        <v>0</v>
      </c>
      <c r="BL150" s="375">
        <f t="shared" si="199"/>
        <v>0</v>
      </c>
    </row>
    <row r="152" spans="1:66" s="2" customFormat="1">
      <c r="A152" s="4" t="s">
        <v>712</v>
      </c>
      <c r="BN152" s="46"/>
    </row>
    <row r="154" spans="1:66">
      <c r="A154" s="1" t="s">
        <v>1542</v>
      </c>
    </row>
    <row r="155" spans="1:66">
      <c r="A155" s="5" t="s">
        <v>71</v>
      </c>
      <c r="AH155" s="375">
        <f t="shared" ref="AH155:BL155" si="200">AH49</f>
        <v>654.1260000000002</v>
      </c>
      <c r="AI155" s="375">
        <f t="shared" si="200"/>
        <v>173.61799999999997</v>
      </c>
      <c r="AJ155" s="375">
        <f t="shared" si="200"/>
        <v>199.23599999999993</v>
      </c>
      <c r="AK155" s="375">
        <f t="shared" si="200"/>
        <v>129.85300000000007</v>
      </c>
      <c r="AL155" s="375">
        <f t="shared" si="200"/>
        <v>43.674761453129513</v>
      </c>
      <c r="AM155" s="375">
        <f t="shared" si="200"/>
        <v>546.38176145312968</v>
      </c>
      <c r="AN155" s="375">
        <f t="shared" si="200"/>
        <v>168.93555972509913</v>
      </c>
      <c r="AO155" s="375">
        <f t="shared" si="200"/>
        <v>168.07765905290191</v>
      </c>
      <c r="AP155" s="375">
        <f t="shared" si="200"/>
        <v>141.91039175538515</v>
      </c>
      <c r="AQ155" s="375">
        <f t="shared" si="200"/>
        <v>59.386236118134285</v>
      </c>
      <c r="AR155" s="375">
        <f t="shared" si="200"/>
        <v>538.30984665152039</v>
      </c>
      <c r="AS155" s="375">
        <f t="shared" si="200"/>
        <v>172.37003957639519</v>
      </c>
      <c r="AT155" s="375">
        <f t="shared" si="200"/>
        <v>169.15156050120797</v>
      </c>
      <c r="AU155" s="375">
        <f t="shared" si="200"/>
        <v>145.14884920173915</v>
      </c>
      <c r="AV155" s="375">
        <f t="shared" si="200"/>
        <v>71.648194665590978</v>
      </c>
      <c r="AW155" s="375">
        <f t="shared" si="200"/>
        <v>558.31864394493323</v>
      </c>
      <c r="AX155" s="375">
        <f t="shared" si="200"/>
        <v>180.1294765814454</v>
      </c>
      <c r="AY155" s="375">
        <f t="shared" si="200"/>
        <v>181.73241226207512</v>
      </c>
      <c r="AZ155" s="375">
        <f t="shared" si="200"/>
        <v>155.07714268718414</v>
      </c>
      <c r="BA155" s="375">
        <f t="shared" si="200"/>
        <v>82.055492093201764</v>
      </c>
      <c r="BB155" s="375">
        <f t="shared" si="200"/>
        <v>598.99452362390662</v>
      </c>
      <c r="BC155" s="375">
        <f t="shared" si="200"/>
        <v>192.27092810364752</v>
      </c>
      <c r="BD155" s="375">
        <f t="shared" si="200"/>
        <v>193.72779912352462</v>
      </c>
      <c r="BE155" s="375">
        <f t="shared" si="200"/>
        <v>169.12522724517126</v>
      </c>
      <c r="BF155" s="375">
        <f t="shared" si="200"/>
        <v>96.838525602005319</v>
      </c>
      <c r="BG155" s="375">
        <f t="shared" si="200"/>
        <v>651.96248007434872</v>
      </c>
      <c r="BH155" s="375">
        <f t="shared" si="200"/>
        <v>207.95454750926348</v>
      </c>
      <c r="BI155" s="375">
        <f t="shared" si="200"/>
        <v>209.7563936839839</v>
      </c>
      <c r="BJ155" s="375">
        <f t="shared" si="200"/>
        <v>186.02252315268146</v>
      </c>
      <c r="BK155" s="375">
        <f t="shared" si="200"/>
        <v>113.93383877360819</v>
      </c>
      <c r="BL155" s="375">
        <f t="shared" si="200"/>
        <v>717.66730311953711</v>
      </c>
    </row>
    <row r="156" spans="1:66">
      <c r="A156" s="34" t="s">
        <v>713</v>
      </c>
      <c r="AH156" s="376">
        <v>764.21</v>
      </c>
      <c r="AI156" s="376">
        <v>186.48</v>
      </c>
      <c r="AJ156" s="376">
        <f>371.669-AI156</f>
        <v>185.18899999999999</v>
      </c>
      <c r="AK156" s="376">
        <f>560.744-AJ156-AI156</f>
        <v>189.07500000000007</v>
      </c>
      <c r="AL156" s="375">
        <f t="shared" ref="AL156:BL156" si="201">AL78</f>
        <v>192.3440748763872</v>
      </c>
      <c r="AM156" s="375">
        <f t="shared" si="201"/>
        <v>753.08807487638728</v>
      </c>
      <c r="AN156" s="375">
        <f t="shared" si="201"/>
        <v>174.85823512863175</v>
      </c>
      <c r="AO156" s="375">
        <f t="shared" si="201"/>
        <v>183.54289579920132</v>
      </c>
      <c r="AP156" s="375">
        <f t="shared" si="201"/>
        <v>192.57314435207661</v>
      </c>
      <c r="AQ156" s="375">
        <f t="shared" si="201"/>
        <v>194.86128361740464</v>
      </c>
      <c r="AR156" s="375">
        <f t="shared" si="201"/>
        <v>745.83555889731429</v>
      </c>
      <c r="AS156" s="375">
        <f t="shared" si="201"/>
        <v>174.08863134797264</v>
      </c>
      <c r="AT156" s="375">
        <f t="shared" si="201"/>
        <v>182.97792792022466</v>
      </c>
      <c r="AU156" s="375">
        <f t="shared" si="201"/>
        <v>191.8707136176329</v>
      </c>
      <c r="AV156" s="375">
        <f t="shared" si="201"/>
        <v>194.67146011301139</v>
      </c>
      <c r="AW156" s="375">
        <f t="shared" si="201"/>
        <v>743.60873299884156</v>
      </c>
      <c r="AX156" s="375">
        <f t="shared" si="201"/>
        <v>174.38134157821074</v>
      </c>
      <c r="AY156" s="375">
        <f t="shared" si="201"/>
        <v>183.03010088681373</v>
      </c>
      <c r="AZ156" s="375">
        <f t="shared" si="201"/>
        <v>192.22814208799082</v>
      </c>
      <c r="BA156" s="375">
        <f t="shared" si="201"/>
        <v>195.06888947524246</v>
      </c>
      <c r="BB156" s="375">
        <f t="shared" si="201"/>
        <v>744.7084740282578</v>
      </c>
      <c r="BC156" s="375">
        <f t="shared" si="201"/>
        <v>176.30766638939136</v>
      </c>
      <c r="BD156" s="375">
        <f t="shared" si="201"/>
        <v>185.17632307067601</v>
      </c>
      <c r="BE156" s="375">
        <f t="shared" si="201"/>
        <v>194.3427870942842</v>
      </c>
      <c r="BF156" s="375">
        <f t="shared" si="201"/>
        <v>197.67841202167347</v>
      </c>
      <c r="BG156" s="375">
        <f t="shared" si="201"/>
        <v>753.50518857602503</v>
      </c>
      <c r="BH156" s="375">
        <f t="shared" si="201"/>
        <v>178.44278122669232</v>
      </c>
      <c r="BI156" s="375">
        <f t="shared" si="201"/>
        <v>187.42545768924288</v>
      </c>
      <c r="BJ156" s="375">
        <f t="shared" si="201"/>
        <v>196.7627753790743</v>
      </c>
      <c r="BK156" s="375">
        <f t="shared" si="201"/>
        <v>200.48504044788001</v>
      </c>
      <c r="BL156" s="375">
        <f t="shared" si="201"/>
        <v>763.11605474288945</v>
      </c>
    </row>
    <row r="157" spans="1:66">
      <c r="A157" s="34" t="s">
        <v>1543</v>
      </c>
      <c r="AH157" s="376">
        <v>30.927</v>
      </c>
      <c r="AI157" s="376">
        <v>2.65</v>
      </c>
      <c r="AJ157" s="376">
        <f>6.385-AI157</f>
        <v>3.7349999999999999</v>
      </c>
      <c r="AK157" s="376">
        <f>14.117-AJ157-AI157</f>
        <v>7.7320000000000011</v>
      </c>
      <c r="AL157" s="377"/>
      <c r="AM157" s="375">
        <f>SUM(AI157:AL157)</f>
        <v>14.117000000000001</v>
      </c>
    </row>
    <row r="158" spans="1:66">
      <c r="A158" s="34" t="s">
        <v>1544</v>
      </c>
      <c r="AH158" s="376">
        <v>-310.084</v>
      </c>
      <c r="AI158" s="376">
        <v>0</v>
      </c>
      <c r="AJ158" s="376">
        <v>0</v>
      </c>
      <c r="AK158" s="376">
        <v>0</v>
      </c>
      <c r="AL158" s="377"/>
      <c r="AM158" s="375">
        <f>SUM(AI158:AL158)</f>
        <v>0</v>
      </c>
    </row>
    <row r="159" spans="1:66">
      <c r="A159" s="34" t="s">
        <v>1545</v>
      </c>
      <c r="AH159" s="376">
        <v>-8.6549999999999994</v>
      </c>
      <c r="AI159" s="376">
        <v>0</v>
      </c>
      <c r="AJ159" s="376">
        <f>-9.025-AI159</f>
        <v>-9.0250000000000004</v>
      </c>
      <c r="AK159" s="376">
        <f>-10.373-AJ159-AI159</f>
        <v>-1.347999999999999</v>
      </c>
      <c r="AL159" s="377"/>
      <c r="AM159" s="375">
        <f>SUM(AI159:AL159)</f>
        <v>-10.372999999999999</v>
      </c>
    </row>
    <row r="160" spans="1:66">
      <c r="A160" s="34" t="s">
        <v>1495</v>
      </c>
      <c r="AH160" s="375">
        <f t="shared" ref="AH160:BL161" si="202">-AH39</f>
        <v>-11.904999999999999</v>
      </c>
      <c r="AI160" s="375">
        <f t="shared" si="202"/>
        <v>-7.7720000000000002</v>
      </c>
      <c r="AJ160" s="375">
        <f t="shared" si="202"/>
        <v>-1.4629999999999992</v>
      </c>
      <c r="AK160" s="375">
        <f t="shared" si="202"/>
        <v>1.9869999999999992</v>
      </c>
      <c r="AL160" s="375">
        <f t="shared" si="202"/>
        <v>-4.2181874999999991</v>
      </c>
      <c r="AM160" s="375">
        <f t="shared" si="202"/>
        <v>-11.4661875</v>
      </c>
      <c r="AN160" s="375">
        <f t="shared" si="202"/>
        <v>-1.4276683410351272</v>
      </c>
      <c r="AO160" s="375">
        <f t="shared" si="202"/>
        <v>-3.9361193363190226</v>
      </c>
      <c r="AP160" s="375">
        <f t="shared" si="202"/>
        <v>-1.4233562615761963</v>
      </c>
      <c r="AQ160" s="375">
        <f t="shared" si="202"/>
        <v>-4.2417880679807309</v>
      </c>
      <c r="AR160" s="375">
        <f t="shared" si="202"/>
        <v>-11.028932006911077</v>
      </c>
      <c r="AS160" s="375">
        <f t="shared" si="202"/>
        <v>-1.4555275580267</v>
      </c>
      <c r="AT160" s="375">
        <f t="shared" si="202"/>
        <v>-4.0377649309298107</v>
      </c>
      <c r="AU160" s="375">
        <f t="shared" si="202"/>
        <v>-1.4616090394813768</v>
      </c>
      <c r="AV160" s="375">
        <f t="shared" si="202"/>
        <v>-4.3663574909259388</v>
      </c>
      <c r="AW160" s="375">
        <f t="shared" si="202"/>
        <v>-11.321259019363826</v>
      </c>
      <c r="AX160" s="375">
        <f t="shared" si="202"/>
        <v>-1.5091204580809183</v>
      </c>
      <c r="AY160" s="375">
        <f t="shared" si="202"/>
        <v>-4.217190814168748</v>
      </c>
      <c r="AZ160" s="375">
        <f t="shared" si="202"/>
        <v>-1.5085966335371708</v>
      </c>
      <c r="BA160" s="375">
        <f t="shared" si="202"/>
        <v>-4.522280701876138</v>
      </c>
      <c r="BB160" s="375">
        <f t="shared" si="202"/>
        <v>-11.757188607662975</v>
      </c>
      <c r="BC160" s="375">
        <f t="shared" si="202"/>
        <v>-1.5694238385265922</v>
      </c>
      <c r="BD160" s="375">
        <f t="shared" si="202"/>
        <v>-4.3975359188743912</v>
      </c>
      <c r="BE160" s="375">
        <f t="shared" si="202"/>
        <v>-1.5936309129107178</v>
      </c>
      <c r="BF160" s="375">
        <f t="shared" si="202"/>
        <v>-4.7731332222813077</v>
      </c>
      <c r="BG160" s="375">
        <f t="shared" si="202"/>
        <v>-12.33372389259301</v>
      </c>
      <c r="BH160" s="375">
        <f t="shared" si="202"/>
        <v>-1.6585283483791076</v>
      </c>
      <c r="BI160" s="375">
        <f t="shared" si="202"/>
        <v>-4.6866004385089797</v>
      </c>
      <c r="BJ160" s="375">
        <f t="shared" si="202"/>
        <v>-1.6970297939481964</v>
      </c>
      <c r="BK160" s="375">
        <f t="shared" si="202"/>
        <v>-5.1003310077111355</v>
      </c>
      <c r="BL160" s="375">
        <f t="shared" si="202"/>
        <v>-13.142489588547418</v>
      </c>
    </row>
    <row r="161" spans="1:74">
      <c r="A161" s="34" t="s">
        <v>1496</v>
      </c>
      <c r="AH161" s="375">
        <f t="shared" si="202"/>
        <v>117.212</v>
      </c>
      <c r="AI161" s="375">
        <f t="shared" si="202"/>
        <v>17.643999999999998</v>
      </c>
      <c r="AJ161" s="375">
        <f t="shared" si="202"/>
        <v>18.450000000000003</v>
      </c>
      <c r="AK161" s="375">
        <f t="shared" si="202"/>
        <v>20.658999999999999</v>
      </c>
      <c r="AL161" s="375">
        <f t="shared" si="202"/>
        <v>24.268874999999998</v>
      </c>
      <c r="AM161" s="375">
        <f t="shared" si="202"/>
        <v>81.021874999999994</v>
      </c>
      <c r="AN161" s="375">
        <f t="shared" si="202"/>
        <v>17.13053329482436</v>
      </c>
      <c r="AO161" s="375">
        <f t="shared" si="202"/>
        <v>25.798301106134964</v>
      </c>
      <c r="AP161" s="375">
        <f t="shared" si="202"/>
        <v>17.152093692119017</v>
      </c>
      <c r="AQ161" s="375">
        <f t="shared" si="202"/>
        <v>25.288853220032113</v>
      </c>
      <c r="AR161" s="375">
        <f t="shared" si="202"/>
        <v>85.369781313110451</v>
      </c>
      <c r="AS161" s="375">
        <f t="shared" si="202"/>
        <v>18.544808175050481</v>
      </c>
      <c r="AT161" s="375">
        <f t="shared" si="202"/>
        <v>27.248226295597686</v>
      </c>
      <c r="AU161" s="375">
        <f t="shared" si="202"/>
        <v>18.510751878904291</v>
      </c>
      <c r="AV161" s="375">
        <f t="shared" si="202"/>
        <v>26.63485351693825</v>
      </c>
      <c r="AW161" s="375">
        <f t="shared" si="202"/>
        <v>90.938639866490703</v>
      </c>
      <c r="AX161" s="375">
        <f t="shared" si="202"/>
        <v>19.766103159898307</v>
      </c>
      <c r="AY161" s="375">
        <f t="shared" si="202"/>
        <v>28.496747317384592</v>
      </c>
      <c r="AZ161" s="375">
        <f t="shared" si="202"/>
        <v>19.769350872069541</v>
      </c>
      <c r="BA161" s="375">
        <f t="shared" si="202"/>
        <v>27.86622821612265</v>
      </c>
      <c r="BB161" s="375">
        <f t="shared" si="202"/>
        <v>95.898429565475084</v>
      </c>
      <c r="BC161" s="375">
        <f t="shared" si="202"/>
        <v>20.877455398019176</v>
      </c>
      <c r="BD161" s="375">
        <f t="shared" si="202"/>
        <v>29.671414417218045</v>
      </c>
      <c r="BE161" s="375">
        <f t="shared" si="202"/>
        <v>20.712847292207123</v>
      </c>
      <c r="BF161" s="375">
        <f t="shared" si="202"/>
        <v>28.820060529495706</v>
      </c>
      <c r="BG161" s="375">
        <f t="shared" si="202"/>
        <v>100.08177763694006</v>
      </c>
      <c r="BH161" s="375">
        <f t="shared" si="202"/>
        <v>21.703315221994607</v>
      </c>
      <c r="BI161" s="375">
        <f t="shared" si="202"/>
        <v>30.505768918344522</v>
      </c>
      <c r="BJ161" s="375">
        <f t="shared" si="202"/>
        <v>21.418404524783352</v>
      </c>
      <c r="BK161" s="375">
        <f t="shared" si="202"/>
        <v>29.485233514312533</v>
      </c>
      <c r="BL161" s="375">
        <f t="shared" si="202"/>
        <v>103.11272217943502</v>
      </c>
    </row>
    <row r="162" spans="1:74">
      <c r="A162" s="34" t="s">
        <v>1546</v>
      </c>
      <c r="AH162" s="375">
        <f t="shared" ref="AH162:BL162" si="203">-AH38</f>
        <v>47.875</v>
      </c>
      <c r="AI162" s="375">
        <f t="shared" si="203"/>
        <v>7.5890000000000004</v>
      </c>
      <c r="AJ162" s="375">
        <f t="shared" si="203"/>
        <v>4.5269999999999992</v>
      </c>
      <c r="AK162" s="375">
        <f t="shared" si="203"/>
        <v>5.5130000000000017</v>
      </c>
      <c r="AL162" s="375">
        <f t="shared" si="203"/>
        <v>3.5</v>
      </c>
      <c r="AM162" s="375">
        <f t="shared" si="203"/>
        <v>21.129000000000001</v>
      </c>
      <c r="AN162" s="375">
        <f t="shared" si="203"/>
        <v>3.5</v>
      </c>
      <c r="AO162" s="375">
        <f t="shared" si="203"/>
        <v>3.5</v>
      </c>
      <c r="AP162" s="375">
        <f t="shared" si="203"/>
        <v>3.5</v>
      </c>
      <c r="AQ162" s="375">
        <f t="shared" si="203"/>
        <v>3.5</v>
      </c>
      <c r="AR162" s="375">
        <f t="shared" si="203"/>
        <v>14</v>
      </c>
      <c r="AS162" s="375">
        <f t="shared" si="203"/>
        <v>2.25</v>
      </c>
      <c r="AT162" s="375">
        <f t="shared" si="203"/>
        <v>2.25</v>
      </c>
      <c r="AU162" s="375">
        <f t="shared" si="203"/>
        <v>2.25</v>
      </c>
      <c r="AV162" s="375">
        <f t="shared" si="203"/>
        <v>2.25</v>
      </c>
      <c r="AW162" s="375">
        <f t="shared" si="203"/>
        <v>9</v>
      </c>
      <c r="AX162" s="375">
        <f t="shared" si="203"/>
        <v>1</v>
      </c>
      <c r="AY162" s="375">
        <f t="shared" si="203"/>
        <v>1</v>
      </c>
      <c r="AZ162" s="375">
        <f t="shared" si="203"/>
        <v>1</v>
      </c>
      <c r="BA162" s="375">
        <f t="shared" si="203"/>
        <v>1</v>
      </c>
      <c r="BB162" s="375">
        <f t="shared" si="203"/>
        <v>4</v>
      </c>
      <c r="BC162" s="375">
        <f t="shared" si="203"/>
        <v>-0.25</v>
      </c>
      <c r="BD162" s="375">
        <f t="shared" si="203"/>
        <v>-0.25</v>
      </c>
      <c r="BE162" s="375">
        <f t="shared" si="203"/>
        <v>-0.25</v>
      </c>
      <c r="BF162" s="375">
        <f t="shared" si="203"/>
        <v>-0.25</v>
      </c>
      <c r="BG162" s="375">
        <f t="shared" si="203"/>
        <v>-1</v>
      </c>
      <c r="BH162" s="375">
        <f t="shared" si="203"/>
        <v>-1.5</v>
      </c>
      <c r="BI162" s="375">
        <f t="shared" si="203"/>
        <v>-1.5</v>
      </c>
      <c r="BJ162" s="375">
        <f t="shared" si="203"/>
        <v>-1.5</v>
      </c>
      <c r="BK162" s="375">
        <f t="shared" si="203"/>
        <v>-1.5</v>
      </c>
      <c r="BL162" s="375">
        <f t="shared" si="203"/>
        <v>-6</v>
      </c>
    </row>
    <row r="163" spans="1:74">
      <c r="A163" s="34" t="s">
        <v>1547</v>
      </c>
      <c r="AH163" s="376">
        <v>-1.109</v>
      </c>
      <c r="AI163" s="376">
        <v>0</v>
      </c>
      <c r="AJ163" s="376">
        <f>-5.227-AI163</f>
        <v>-5.2270000000000003</v>
      </c>
      <c r="AK163" s="376">
        <f>-5.227-AJ163-AI163</f>
        <v>0</v>
      </c>
      <c r="AL163" s="377"/>
      <c r="AM163" s="375">
        <f>SUM(AI163:AL163)</f>
        <v>-5.2270000000000003</v>
      </c>
    </row>
    <row r="164" spans="1:74">
      <c r="A164" s="34" t="s">
        <v>1493</v>
      </c>
      <c r="AH164" s="375">
        <f t="shared" ref="AH164:BL164" si="204">-AH37</f>
        <v>0</v>
      </c>
      <c r="AI164" s="375">
        <f t="shared" si="204"/>
        <v>-19.763000000000002</v>
      </c>
      <c r="AJ164" s="375">
        <f t="shared" si="204"/>
        <v>-0.56999999999999673</v>
      </c>
      <c r="AK164" s="375">
        <f t="shared" si="204"/>
        <v>-0.10200000000000031</v>
      </c>
      <c r="AL164" s="375">
        <f t="shared" si="204"/>
        <v>-0.15</v>
      </c>
      <c r="AM164" s="375">
        <f t="shared" si="204"/>
        <v>-20.584999999999997</v>
      </c>
      <c r="AN164" s="375">
        <f t="shared" si="204"/>
        <v>-0.15</v>
      </c>
      <c r="AO164" s="375">
        <f t="shared" si="204"/>
        <v>-0.15</v>
      </c>
      <c r="AP164" s="375">
        <f t="shared" si="204"/>
        <v>-0.15</v>
      </c>
      <c r="AQ164" s="375">
        <f t="shared" si="204"/>
        <v>-0.15</v>
      </c>
      <c r="AR164" s="375">
        <f t="shared" si="204"/>
        <v>-0.6</v>
      </c>
      <c r="AS164" s="375">
        <f t="shared" si="204"/>
        <v>-0.15</v>
      </c>
      <c r="AT164" s="375">
        <f t="shared" si="204"/>
        <v>-0.15</v>
      </c>
      <c r="AU164" s="375">
        <f t="shared" si="204"/>
        <v>-0.15</v>
      </c>
      <c r="AV164" s="375">
        <f t="shared" si="204"/>
        <v>-0.15</v>
      </c>
      <c r="AW164" s="375">
        <f t="shared" si="204"/>
        <v>-0.6</v>
      </c>
      <c r="AX164" s="375">
        <f t="shared" si="204"/>
        <v>-0.15</v>
      </c>
      <c r="AY164" s="375">
        <f t="shared" si="204"/>
        <v>-0.15</v>
      </c>
      <c r="AZ164" s="375">
        <f t="shared" si="204"/>
        <v>-0.15</v>
      </c>
      <c r="BA164" s="375">
        <f t="shared" si="204"/>
        <v>-0.15</v>
      </c>
      <c r="BB164" s="375">
        <f t="shared" si="204"/>
        <v>-0.6</v>
      </c>
      <c r="BC164" s="375">
        <f t="shared" si="204"/>
        <v>-0.15</v>
      </c>
      <c r="BD164" s="375">
        <f t="shared" si="204"/>
        <v>-0.15</v>
      </c>
      <c r="BE164" s="375">
        <f t="shared" si="204"/>
        <v>-0.15</v>
      </c>
      <c r="BF164" s="375">
        <f t="shared" si="204"/>
        <v>-0.15</v>
      </c>
      <c r="BG164" s="375">
        <f t="shared" si="204"/>
        <v>-0.6</v>
      </c>
      <c r="BH164" s="375">
        <f t="shared" si="204"/>
        <v>-0.15</v>
      </c>
      <c r="BI164" s="375">
        <f t="shared" si="204"/>
        <v>-0.15</v>
      </c>
      <c r="BJ164" s="375">
        <f t="shared" si="204"/>
        <v>-0.15</v>
      </c>
      <c r="BK164" s="375">
        <f t="shared" si="204"/>
        <v>-0.15</v>
      </c>
      <c r="BL164" s="375">
        <f t="shared" si="204"/>
        <v>-0.6</v>
      </c>
    </row>
    <row r="165" spans="1:74">
      <c r="A165" s="34" t="s">
        <v>1498</v>
      </c>
      <c r="AH165" s="376">
        <v>45.226999999999997</v>
      </c>
      <c r="AI165" s="376">
        <v>0</v>
      </c>
      <c r="AJ165" s="376">
        <v>0</v>
      </c>
      <c r="AK165" s="376">
        <v>0</v>
      </c>
      <c r="AL165" s="377"/>
      <c r="AM165" s="375">
        <f>SUM(AI165:AL165)</f>
        <v>0</v>
      </c>
    </row>
    <row r="166" spans="1:74">
      <c r="A166" s="34" t="s">
        <v>720</v>
      </c>
      <c r="AH166" s="375">
        <f t="shared" ref="AH166:BL166" si="205">-AH46</f>
        <v>208.74299999999999</v>
      </c>
      <c r="AI166" s="375">
        <f t="shared" si="205"/>
        <v>75.037000000000006</v>
      </c>
      <c r="AJ166" s="375">
        <f t="shared" si="205"/>
        <v>53.123999999999995</v>
      </c>
      <c r="AK166" s="375">
        <f t="shared" si="205"/>
        <v>59.628999999999991</v>
      </c>
      <c r="AL166" s="375">
        <f>-AL46</f>
        <v>20.217754908484075</v>
      </c>
      <c r="AM166" s="375">
        <f t="shared" si="205"/>
        <v>208.00775490848406</v>
      </c>
      <c r="AN166" s="375">
        <f t="shared" si="205"/>
        <v>73.900954167899613</v>
      </c>
      <c r="AO166" s="375">
        <f t="shared" si="205"/>
        <v>73.533282451243679</v>
      </c>
      <c r="AP166" s="375">
        <f t="shared" si="205"/>
        <v>62.318739323736487</v>
      </c>
      <c r="AQ166" s="375">
        <f t="shared" si="205"/>
        <v>26.951244050628979</v>
      </c>
      <c r="AR166" s="375">
        <f t="shared" si="205"/>
        <v>236.70421999350876</v>
      </c>
      <c r="AS166" s="375">
        <f t="shared" si="205"/>
        <v>74.837159818455078</v>
      </c>
      <c r="AT166" s="375">
        <f t="shared" si="205"/>
        <v>73.457811643374839</v>
      </c>
      <c r="AU166" s="375">
        <f t="shared" si="205"/>
        <v>63.170935372173929</v>
      </c>
      <c r="AV166" s="375">
        <f t="shared" si="205"/>
        <v>31.670654856681843</v>
      </c>
      <c r="AW166" s="375">
        <f t="shared" si="205"/>
        <v>243.13656169068565</v>
      </c>
      <c r="AX166" s="375">
        <f t="shared" si="205"/>
        <v>77.626918534905172</v>
      </c>
      <c r="AY166" s="375">
        <f t="shared" si="205"/>
        <v>78.313890969460758</v>
      </c>
      <c r="AZ166" s="375">
        <f t="shared" si="205"/>
        <v>66.890204008793205</v>
      </c>
      <c r="BA166" s="375">
        <f t="shared" si="205"/>
        <v>35.595210897086467</v>
      </c>
      <c r="BB166" s="375">
        <f t="shared" si="205"/>
        <v>258.4262244102456</v>
      </c>
      <c r="BC166" s="375">
        <f t="shared" si="205"/>
        <v>82.294683472991792</v>
      </c>
      <c r="BD166" s="375">
        <f t="shared" si="205"/>
        <v>82.919056767224831</v>
      </c>
      <c r="BE166" s="375">
        <f t="shared" si="205"/>
        <v>72.375097390787687</v>
      </c>
      <c r="BF166" s="375">
        <f t="shared" si="205"/>
        <v>41.395082400859422</v>
      </c>
      <c r="BG166" s="375">
        <f t="shared" si="205"/>
        <v>278.9839200318637</v>
      </c>
      <c r="BH166" s="375">
        <f t="shared" si="205"/>
        <v>88.480520361112909</v>
      </c>
      <c r="BI166" s="375">
        <f t="shared" si="205"/>
        <v>89.252740150278825</v>
      </c>
      <c r="BJ166" s="375">
        <f t="shared" si="205"/>
        <v>79.081081351149194</v>
      </c>
      <c r="BK166" s="375">
        <f t="shared" si="205"/>
        <v>48.185930902974938</v>
      </c>
      <c r="BL166" s="375">
        <f t="shared" si="205"/>
        <v>305.00027276551583</v>
      </c>
    </row>
    <row r="167" spans="1:74">
      <c r="A167" s="34" t="s">
        <v>724</v>
      </c>
      <c r="AH167" s="376">
        <v>-125.607</v>
      </c>
      <c r="AI167" s="376">
        <v>111.711</v>
      </c>
      <c r="AJ167" s="376">
        <f>-69.623-AI167</f>
        <v>-181.334</v>
      </c>
      <c r="AK167" s="376">
        <f>-224.152-AJ167-AI167</f>
        <v>-154.529</v>
      </c>
      <c r="AL167" s="377">
        <v>175</v>
      </c>
      <c r="AM167" s="375">
        <f t="shared" ref="AM167:AM174" si="206">SUM(AI167:AL167)</f>
        <v>-49.151999999999987</v>
      </c>
      <c r="AN167" s="377">
        <f>AI167*0.975</f>
        <v>108.91822499999999</v>
      </c>
      <c r="AO167" s="377">
        <f>AJ167*0.975</f>
        <v>-176.80064999999999</v>
      </c>
      <c r="AP167" s="377">
        <f>AK167*0.975</f>
        <v>-150.665775</v>
      </c>
      <c r="AQ167" s="377">
        <f>AL167*0.975</f>
        <v>170.625</v>
      </c>
      <c r="AR167" s="375">
        <f>SUM(AN167:AQ167)</f>
        <v>-47.923200000000008</v>
      </c>
      <c r="AS167" s="377">
        <f>AN167*0.975</f>
        <v>106.195269375</v>
      </c>
      <c r="AT167" s="377">
        <f>AO167*0.975</f>
        <v>-172.38063374999999</v>
      </c>
      <c r="AU167" s="377">
        <f>AP167*0.975</f>
        <v>-146.899130625</v>
      </c>
      <c r="AV167" s="377">
        <f>AQ167*0.975</f>
        <v>166.359375</v>
      </c>
      <c r="AW167" s="375">
        <f>SUM(AS167:AV167)</f>
        <v>-46.725120000000004</v>
      </c>
      <c r="AX167" s="377">
        <f>AS167*0.975</f>
        <v>103.540387640625</v>
      </c>
      <c r="AY167" s="377">
        <f>AT167*0.975</f>
        <v>-168.07111790624998</v>
      </c>
      <c r="AZ167" s="377">
        <f>AU167*0.975</f>
        <v>-143.22665235937498</v>
      </c>
      <c r="BA167" s="377">
        <f>AV167*0.975</f>
        <v>162.20039062499998</v>
      </c>
      <c r="BB167" s="375">
        <f>SUM(AX167:BA167)</f>
        <v>-45.55699199999998</v>
      </c>
      <c r="BC167" s="377">
        <f>AX167*0.975</f>
        <v>100.95187794960937</v>
      </c>
      <c r="BD167" s="377">
        <f>AY167*0.975</f>
        <v>-163.86933995859374</v>
      </c>
      <c r="BE167" s="377">
        <f>AZ167*0.975</f>
        <v>-139.6459860503906</v>
      </c>
      <c r="BF167" s="377">
        <f>BA167*0.975</f>
        <v>158.14538085937497</v>
      </c>
      <c r="BG167" s="375">
        <f>SUM(BC167:BF167)</f>
        <v>-44.418067200000024</v>
      </c>
      <c r="BH167" s="377">
        <f>BC167*0.975</f>
        <v>98.428081000869128</v>
      </c>
      <c r="BI167" s="377">
        <f>BD167*0.975</f>
        <v>-159.77260645962889</v>
      </c>
      <c r="BJ167" s="377">
        <f>BE167*0.975</f>
        <v>-136.15483639913083</v>
      </c>
      <c r="BK167" s="377">
        <f>BF167*0.975</f>
        <v>154.19174633789058</v>
      </c>
      <c r="BL167" s="375">
        <f>SUM(BH167:BK167)</f>
        <v>-43.307615520000013</v>
      </c>
    </row>
    <row r="168" spans="1:74">
      <c r="A168" s="34" t="s">
        <v>725</v>
      </c>
      <c r="AH168" s="376">
        <v>-21.331</v>
      </c>
      <c r="AI168" s="376">
        <v>1.3520000000000001</v>
      </c>
      <c r="AJ168" s="376">
        <f>-5.206-AI168</f>
        <v>-6.5580000000000007</v>
      </c>
      <c r="AK168" s="376">
        <f>-15.225-AJ168-AI168</f>
        <v>-10.018999999999998</v>
      </c>
      <c r="AL168" s="377">
        <v>5</v>
      </c>
      <c r="AM168" s="375">
        <f t="shared" si="206"/>
        <v>-10.224999999999998</v>
      </c>
      <c r="AN168" s="377">
        <v>10</v>
      </c>
      <c r="AO168" s="377">
        <v>-5</v>
      </c>
      <c r="AP168" s="377">
        <v>-7.5</v>
      </c>
      <c r="AQ168" s="377">
        <v>15</v>
      </c>
      <c r="AR168" s="375">
        <f>SUM(AN168:AQ168)</f>
        <v>12.5</v>
      </c>
      <c r="AS168" s="377">
        <v>10</v>
      </c>
      <c r="AT168" s="377">
        <v>-5</v>
      </c>
      <c r="AU168" s="377">
        <v>-7.5</v>
      </c>
      <c r="AV168" s="377">
        <v>15</v>
      </c>
      <c r="AW168" s="375">
        <f>SUM(AS168:AV168)</f>
        <v>12.5</v>
      </c>
      <c r="AX168" s="377">
        <v>10</v>
      </c>
      <c r="AY168" s="377">
        <v>-5</v>
      </c>
      <c r="AZ168" s="377">
        <v>-7.5</v>
      </c>
      <c r="BA168" s="377">
        <v>15</v>
      </c>
      <c r="BB168" s="375">
        <f>SUM(AX168:BA168)</f>
        <v>12.5</v>
      </c>
      <c r="BC168" s="377">
        <v>10</v>
      </c>
      <c r="BD168" s="377">
        <v>-5</v>
      </c>
      <c r="BE168" s="377">
        <v>-7.5</v>
      </c>
      <c r="BF168" s="377">
        <v>15</v>
      </c>
      <c r="BG168" s="375">
        <f>SUM(BC168:BF168)</f>
        <v>12.5</v>
      </c>
      <c r="BH168" s="377">
        <v>10</v>
      </c>
      <c r="BI168" s="377">
        <v>-5</v>
      </c>
      <c r="BJ168" s="377">
        <v>-7.5</v>
      </c>
      <c r="BK168" s="377">
        <v>15</v>
      </c>
      <c r="BL168" s="375">
        <f>SUM(BH168:BK168)</f>
        <v>12.5</v>
      </c>
    </row>
    <row r="169" spans="1:74">
      <c r="A169" s="34" t="s">
        <v>1548</v>
      </c>
      <c r="AH169" s="376">
        <v>-49.798999999999999</v>
      </c>
      <c r="AI169" s="376">
        <v>-11.255000000000001</v>
      </c>
      <c r="AJ169" s="376">
        <f>-24.183-AI169</f>
        <v>-12.927999999999999</v>
      </c>
      <c r="AK169" s="376">
        <f>-35.05-AJ169-AI169</f>
        <v>-10.866999999999999</v>
      </c>
      <c r="AL169" s="377">
        <v>-11.5</v>
      </c>
      <c r="AM169" s="375">
        <f t="shared" si="206"/>
        <v>-46.55</v>
      </c>
      <c r="AN169" s="377">
        <v>-7.5</v>
      </c>
      <c r="AO169" s="377">
        <v>-7.5</v>
      </c>
      <c r="AP169" s="377">
        <v>-7.5</v>
      </c>
      <c r="AQ169" s="377">
        <v>-7.5</v>
      </c>
      <c r="AR169" s="375">
        <f>SUM(AN169:AQ169)</f>
        <v>-30</v>
      </c>
      <c r="AS169" s="377">
        <v>-5</v>
      </c>
      <c r="AT169" s="377">
        <v>-5</v>
      </c>
      <c r="AU169" s="377">
        <v>-5</v>
      </c>
      <c r="AV169" s="377">
        <v>-5</v>
      </c>
      <c r="AW169" s="375">
        <f>SUM(AS169:AV169)</f>
        <v>-20</v>
      </c>
      <c r="AX169" s="377">
        <v>-2.5</v>
      </c>
      <c r="AY169" s="377">
        <v>-2.5</v>
      </c>
      <c r="AZ169" s="377">
        <v>-2.5</v>
      </c>
      <c r="BA169" s="377">
        <v>-2.5</v>
      </c>
      <c r="BB169" s="375">
        <f>SUM(AX169:BA169)</f>
        <v>-10</v>
      </c>
      <c r="BC169" s="377">
        <v>-2.5</v>
      </c>
      <c r="BD169" s="377">
        <v>-2.5</v>
      </c>
      <c r="BE169" s="377">
        <v>-2.5</v>
      </c>
      <c r="BF169" s="377">
        <v>-2.5</v>
      </c>
      <c r="BG169" s="375">
        <f>SUM(BC169:BF169)</f>
        <v>-10</v>
      </c>
      <c r="BH169" s="377">
        <v>-2.5</v>
      </c>
      <c r="BI169" s="377">
        <v>-2.5</v>
      </c>
      <c r="BJ169" s="377">
        <v>-2.5</v>
      </c>
      <c r="BK169" s="377">
        <v>-2.5</v>
      </c>
      <c r="BL169" s="375">
        <f>SUM(BH169:BK169)</f>
        <v>-10</v>
      </c>
    </row>
    <row r="170" spans="1:74">
      <c r="A170" s="34" t="s">
        <v>726</v>
      </c>
      <c r="AH170" s="376">
        <v>269.80599999999998</v>
      </c>
      <c r="AI170" s="376">
        <v>-189.64099999999999</v>
      </c>
      <c r="AJ170" s="376">
        <f>7.98-AI170</f>
        <v>197.62099999999998</v>
      </c>
      <c r="AK170" s="376">
        <f>256.038-AJ170-AI170</f>
        <v>248.05800000000002</v>
      </c>
      <c r="AL170" s="377">
        <f>-200</f>
        <v>-200</v>
      </c>
      <c r="AM170" s="375">
        <f t="shared" si="206"/>
        <v>56.038000000000011</v>
      </c>
      <c r="AN170" s="377">
        <f>AI170*0.975</f>
        <v>-184.89997499999998</v>
      </c>
      <c r="AO170" s="377">
        <f>AJ170*0.975</f>
        <v>192.68047499999997</v>
      </c>
      <c r="AP170" s="377">
        <f>AK170*0.975</f>
        <v>241.85655000000003</v>
      </c>
      <c r="AQ170" s="377">
        <f>AL170*0.975</f>
        <v>-195</v>
      </c>
      <c r="AR170" s="375">
        <f>SUM(AN170:AQ170)</f>
        <v>54.637050000000016</v>
      </c>
      <c r="AS170" s="377">
        <f>AN170*0.975</f>
        <v>-180.27747562499999</v>
      </c>
      <c r="AT170" s="377">
        <f>AO170*0.975</f>
        <v>187.86346312499998</v>
      </c>
      <c r="AU170" s="377">
        <f>AP170*0.975</f>
        <v>235.81013625000003</v>
      </c>
      <c r="AV170" s="377">
        <f>AQ170*0.975</f>
        <v>-190.125</v>
      </c>
      <c r="AW170" s="375">
        <f>SUM(AS170:AV170)</f>
        <v>53.271123750000015</v>
      </c>
      <c r="AX170" s="377">
        <f>AS170*0.975</f>
        <v>-175.77053873437498</v>
      </c>
      <c r="AY170" s="377">
        <f>AT170*0.975</f>
        <v>183.16687654687499</v>
      </c>
      <c r="AZ170" s="377">
        <f>AU170*0.975</f>
        <v>229.91488284375004</v>
      </c>
      <c r="BA170" s="377">
        <f>AV170*0.975</f>
        <v>-185.37187499999999</v>
      </c>
      <c r="BB170" s="375">
        <f>SUM(AX170:BA170)</f>
        <v>51.939345656250055</v>
      </c>
      <c r="BC170" s="377">
        <f>AX170*0.975</f>
        <v>-171.3762752660156</v>
      </c>
      <c r="BD170" s="377">
        <f>AY170*0.975</f>
        <v>178.58770463320312</v>
      </c>
      <c r="BE170" s="377">
        <f>AZ170*0.975</f>
        <v>224.16701077265628</v>
      </c>
      <c r="BF170" s="377">
        <f>BA170*0.975</f>
        <v>-180.737578125</v>
      </c>
      <c r="BG170" s="375">
        <f>SUM(BC170:BF170)</f>
        <v>50.640862014843805</v>
      </c>
      <c r="BH170" s="377">
        <f>BC170*0.975</f>
        <v>-167.0918683843652</v>
      </c>
      <c r="BI170" s="377">
        <f>BD170*0.975</f>
        <v>174.12301201737304</v>
      </c>
      <c r="BJ170" s="377">
        <f>BE170*0.975</f>
        <v>218.56283550333987</v>
      </c>
      <c r="BK170" s="377">
        <f>BF170*0.975</f>
        <v>-176.21913867187499</v>
      </c>
      <c r="BL170" s="375">
        <f>SUM(BH170:BK170)</f>
        <v>49.374840464472726</v>
      </c>
    </row>
    <row r="171" spans="1:74">
      <c r="A171" s="34" t="s">
        <v>1549</v>
      </c>
      <c r="AH171" s="376">
        <v>11.079000000000001</v>
      </c>
      <c r="AI171" s="376">
        <v>11.468999999999999</v>
      </c>
      <c r="AJ171" s="376">
        <f>7.44-AI171</f>
        <v>-4.028999999999999</v>
      </c>
      <c r="AK171" s="376">
        <f>12.917-AJ171-AI171</f>
        <v>5.4769999999999985</v>
      </c>
      <c r="AL171" s="377"/>
      <c r="AM171" s="375">
        <f t="shared" si="206"/>
        <v>12.916999999999998</v>
      </c>
    </row>
    <row r="172" spans="1:74">
      <c r="A172" s="34" t="s">
        <v>1550</v>
      </c>
      <c r="AH172" s="376">
        <v>66.055000000000007</v>
      </c>
      <c r="AI172" s="376">
        <v>61.414999999999999</v>
      </c>
      <c r="AJ172" s="376">
        <f>79.792-AI172</f>
        <v>18.377000000000002</v>
      </c>
      <c r="AK172" s="376">
        <f>153.27-AJ172-AI172</f>
        <v>73.478000000000009</v>
      </c>
      <c r="AL172" s="377">
        <v>35</v>
      </c>
      <c r="AM172" s="375">
        <f t="shared" si="206"/>
        <v>188.27</v>
      </c>
      <c r="AN172" s="377">
        <v>55</v>
      </c>
      <c r="AO172" s="377">
        <v>35</v>
      </c>
      <c r="AP172" s="377">
        <v>55</v>
      </c>
      <c r="AQ172" s="377">
        <v>35</v>
      </c>
      <c r="AR172" s="375">
        <f>SUM(AN172:AQ172)</f>
        <v>180</v>
      </c>
      <c r="AS172" s="377">
        <f>AN172*0.975</f>
        <v>53.625</v>
      </c>
      <c r="AT172" s="377">
        <f t="shared" ref="AT172:AV172" si="207">AO172*0.975</f>
        <v>34.125</v>
      </c>
      <c r="AU172" s="377">
        <f t="shared" si="207"/>
        <v>53.625</v>
      </c>
      <c r="AV172" s="377">
        <f t="shared" si="207"/>
        <v>34.125</v>
      </c>
      <c r="AW172" s="375">
        <f>SUM(AS172:AV172)</f>
        <v>175.5</v>
      </c>
      <c r="AX172" s="377">
        <f>AS172*0.975</f>
        <v>52.284374999999997</v>
      </c>
      <c r="AY172" s="377">
        <f t="shared" ref="AY172:BA172" si="208">AT172*0.975</f>
        <v>33.271875000000001</v>
      </c>
      <c r="AZ172" s="377">
        <f t="shared" si="208"/>
        <v>52.284374999999997</v>
      </c>
      <c r="BA172" s="377">
        <f t="shared" si="208"/>
        <v>33.271875000000001</v>
      </c>
      <c r="BB172" s="375">
        <f>SUM(AX172:BA172)</f>
        <v>171.11249999999998</v>
      </c>
      <c r="BC172" s="377">
        <f>AX172*0.975</f>
        <v>50.977265624999994</v>
      </c>
      <c r="BD172" s="377">
        <f t="shared" ref="BD172:BF172" si="209">AY172*0.975</f>
        <v>32.440078124999999</v>
      </c>
      <c r="BE172" s="377">
        <f t="shared" si="209"/>
        <v>50.977265624999994</v>
      </c>
      <c r="BF172" s="377">
        <f t="shared" si="209"/>
        <v>32.440078124999999</v>
      </c>
      <c r="BG172" s="375">
        <f>SUM(BC172:BF172)</f>
        <v>166.83468749999997</v>
      </c>
      <c r="BH172" s="377">
        <f>BC172*0.975</f>
        <v>49.70283398437499</v>
      </c>
      <c r="BI172" s="377">
        <f t="shared" ref="BI172:BK172" si="210">BD172*0.975</f>
        <v>31.629076171874999</v>
      </c>
      <c r="BJ172" s="377">
        <f t="shared" si="210"/>
        <v>49.70283398437499</v>
      </c>
      <c r="BK172" s="377">
        <f t="shared" si="210"/>
        <v>31.629076171874999</v>
      </c>
      <c r="BL172" s="375">
        <f>SUM(BH172:BK172)</f>
        <v>162.66382031249998</v>
      </c>
    </row>
    <row r="173" spans="1:74">
      <c r="A173" s="34" t="s">
        <v>1551</v>
      </c>
      <c r="AH173" s="376">
        <v>-229.91300000000001</v>
      </c>
      <c r="AI173" s="376">
        <v>-26.5</v>
      </c>
      <c r="AJ173" s="376">
        <f>-58.807-AI173</f>
        <v>-32.307000000000002</v>
      </c>
      <c r="AK173" s="376">
        <f>-85.277-AJ173-AI173</f>
        <v>-26.47</v>
      </c>
      <c r="AL173" s="377">
        <v>-40</v>
      </c>
      <c r="AM173" s="375">
        <f t="shared" si="206"/>
        <v>-125.277</v>
      </c>
      <c r="AN173" s="377">
        <v>-25</v>
      </c>
      <c r="AO173" s="377">
        <v>-32.5</v>
      </c>
      <c r="AP173" s="377">
        <v>-25</v>
      </c>
      <c r="AQ173" s="377">
        <v>-32.5</v>
      </c>
      <c r="AR173" s="375">
        <f>SUM(AN173:AQ173)</f>
        <v>-115</v>
      </c>
      <c r="AS173" s="377">
        <f>AN173*0.9</f>
        <v>-22.5</v>
      </c>
      <c r="AT173" s="377">
        <f t="shared" ref="AT173:AV173" si="211">AO173*0.9</f>
        <v>-29.25</v>
      </c>
      <c r="AU173" s="377">
        <f t="shared" si="211"/>
        <v>-22.5</v>
      </c>
      <c r="AV173" s="377">
        <f t="shared" si="211"/>
        <v>-29.25</v>
      </c>
      <c r="AW173" s="375">
        <f>SUM(AS173:AV173)</f>
        <v>-103.5</v>
      </c>
      <c r="AX173" s="377">
        <f>AS173*0.9</f>
        <v>-20.25</v>
      </c>
      <c r="AY173" s="377">
        <f t="shared" ref="AY173:BA173" si="212">AT173*0.9</f>
        <v>-26.324999999999999</v>
      </c>
      <c r="AZ173" s="377">
        <f t="shared" si="212"/>
        <v>-20.25</v>
      </c>
      <c r="BA173" s="377">
        <f t="shared" si="212"/>
        <v>-26.324999999999999</v>
      </c>
      <c r="BB173" s="375">
        <f>SUM(AX173:BA173)</f>
        <v>-93.15</v>
      </c>
      <c r="BC173" s="377">
        <v>-30</v>
      </c>
      <c r="BD173" s="377">
        <v>-30</v>
      </c>
      <c r="BE173" s="377">
        <v>-30</v>
      </c>
      <c r="BF173" s="377">
        <v>-30</v>
      </c>
      <c r="BG173" s="375">
        <f>SUM(BC173:BF173)</f>
        <v>-120</v>
      </c>
      <c r="BH173" s="377">
        <v>-30</v>
      </c>
      <c r="BI173" s="377">
        <v>-30</v>
      </c>
      <c r="BJ173" s="377">
        <v>-30</v>
      </c>
      <c r="BK173" s="377">
        <v>-30</v>
      </c>
      <c r="BL173" s="375">
        <f>SUM(BH173:BK173)</f>
        <v>-120</v>
      </c>
    </row>
    <row r="174" spans="1:74">
      <c r="A174" s="34" t="s">
        <v>192</v>
      </c>
      <c r="AH174" s="376">
        <v>18.664999999999999</v>
      </c>
      <c r="AI174" s="376">
        <v>-81.680999999999997</v>
      </c>
      <c r="AJ174" s="376">
        <f>-89.79-AI174</f>
        <v>-8.1090000000000089</v>
      </c>
      <c r="AK174" s="376">
        <f>-52.816-AJ174-AI174</f>
        <v>36.974000000000004</v>
      </c>
      <c r="AL174" s="377"/>
      <c r="AM174" s="375">
        <f t="shared" si="206"/>
        <v>-52.816000000000003</v>
      </c>
    </row>
    <row r="175" spans="1:74">
      <c r="A175" s="33" t="s">
        <v>727</v>
      </c>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378">
        <f t="shared" ref="AH175:AM175" si="213">SUM(AH155:AH174)</f>
        <v>1475.5220000000004</v>
      </c>
      <c r="AI175" s="378">
        <f t="shared" si="213"/>
        <v>312.35300000000001</v>
      </c>
      <c r="AJ175" s="378">
        <f t="shared" si="213"/>
        <v>418.70899999999995</v>
      </c>
      <c r="AK175" s="378">
        <f t="shared" si="213"/>
        <v>575.10000000000025</v>
      </c>
      <c r="AL175" s="378">
        <f t="shared" si="213"/>
        <v>243.13727873800082</v>
      </c>
      <c r="AM175" s="378">
        <f t="shared" si="213"/>
        <v>1549.2992787380006</v>
      </c>
      <c r="AN175" s="378">
        <f t="shared" ref="AN175:BL175" si="214">SUM(AN155:AN174)</f>
        <v>393.26586397541979</v>
      </c>
      <c r="AO175" s="378">
        <f t="shared" si="214"/>
        <v>456.24584407316286</v>
      </c>
      <c r="AP175" s="378">
        <f t="shared" si="214"/>
        <v>522.07178786174109</v>
      </c>
      <c r="AQ175" s="378">
        <f t="shared" si="214"/>
        <v>291.22082893821931</v>
      </c>
      <c r="AR175" s="378">
        <f t="shared" si="214"/>
        <v>1662.8043248485433</v>
      </c>
      <c r="AS175" s="378">
        <f t="shared" si="214"/>
        <v>402.52790510984676</v>
      </c>
      <c r="AT175" s="378">
        <f t="shared" si="214"/>
        <v>461.25559080447533</v>
      </c>
      <c r="AU175" s="378">
        <f t="shared" si="214"/>
        <v>526.87564665596892</v>
      </c>
      <c r="AV175" s="378">
        <f t="shared" si="214"/>
        <v>313.46818066129651</v>
      </c>
      <c r="AW175" s="378">
        <f t="shared" si="214"/>
        <v>1704.1273232315873</v>
      </c>
      <c r="AX175" s="378">
        <f t="shared" si="214"/>
        <v>418.54894330262874</v>
      </c>
      <c r="AY175" s="378">
        <f t="shared" si="214"/>
        <v>482.74859426219047</v>
      </c>
      <c r="AZ175" s="378">
        <f t="shared" si="214"/>
        <v>542.02884850687565</v>
      </c>
      <c r="BA175" s="378">
        <f t="shared" si="214"/>
        <v>333.18893060477728</v>
      </c>
      <c r="BB175" s="378">
        <f t="shared" si="214"/>
        <v>1776.5153166764719</v>
      </c>
      <c r="BC175" s="378">
        <f t="shared" si="214"/>
        <v>427.83417783411699</v>
      </c>
      <c r="BD175" s="378">
        <f t="shared" si="214"/>
        <v>496.35550025937857</v>
      </c>
      <c r="BE175" s="378">
        <f t="shared" si="214"/>
        <v>550.06061845680529</v>
      </c>
      <c r="BF175" s="378">
        <f t="shared" si="214"/>
        <v>351.9068281911276</v>
      </c>
      <c r="BG175" s="378">
        <f t="shared" si="214"/>
        <v>1826.1571247414283</v>
      </c>
      <c r="BH175" s="378">
        <f t="shared" si="214"/>
        <v>451.81168257156315</v>
      </c>
      <c r="BI175" s="378">
        <f t="shared" si="214"/>
        <v>519.08324173296035</v>
      </c>
      <c r="BJ175" s="378">
        <f t="shared" si="214"/>
        <v>572.04858770232408</v>
      </c>
      <c r="BK175" s="378">
        <f t="shared" si="214"/>
        <v>377.44139646895513</v>
      </c>
      <c r="BL175" s="378">
        <f t="shared" si="214"/>
        <v>1920.3849084758026</v>
      </c>
    </row>
    <row r="176" spans="1:74">
      <c r="A176" s="5" t="s">
        <v>1552</v>
      </c>
      <c r="AH176" s="376">
        <v>7.2530000000000001</v>
      </c>
      <c r="AI176" s="376">
        <v>1.349</v>
      </c>
      <c r="AJ176" s="376">
        <f>3.72-AI176</f>
        <v>2.3710000000000004</v>
      </c>
      <c r="AK176" s="376">
        <f>5.048-AJ176-AI176</f>
        <v>1.3279999999999996</v>
      </c>
      <c r="AL176" s="377">
        <v>2.25</v>
      </c>
      <c r="AM176" s="375">
        <f>SUM(AI176:AL176)</f>
        <v>7.298</v>
      </c>
      <c r="AN176" s="377">
        <f>AN300</f>
        <v>1.4276683410351272</v>
      </c>
      <c r="AO176" s="377">
        <f t="shared" ref="AO176:AQ176" si="215">AO300</f>
        <v>3.9361193363190226</v>
      </c>
      <c r="AP176" s="377">
        <f t="shared" si="215"/>
        <v>1.4233562615761963</v>
      </c>
      <c r="AQ176" s="377">
        <f t="shared" si="215"/>
        <v>4.2417880679807309</v>
      </c>
      <c r="AR176" s="375">
        <f>SUM(AN176:AQ176)</f>
        <v>11.028932006911077</v>
      </c>
      <c r="AS176" s="377">
        <f>AS300</f>
        <v>1.4555275580267</v>
      </c>
      <c r="AT176" s="377">
        <f t="shared" ref="AT176:AV176" si="216">AT300</f>
        <v>4.0377649309298107</v>
      </c>
      <c r="AU176" s="377">
        <f t="shared" si="216"/>
        <v>1.4616090394813768</v>
      </c>
      <c r="AV176" s="377">
        <f t="shared" si="216"/>
        <v>4.3663574909259388</v>
      </c>
      <c r="AW176" s="375">
        <f>SUM(AS176:AV176)</f>
        <v>11.321259019363826</v>
      </c>
      <c r="AX176" s="377">
        <f>AX300</f>
        <v>1.5091204580809183</v>
      </c>
      <c r="AY176" s="377">
        <f t="shared" ref="AY176:BA176" si="217">AY300</f>
        <v>4.217190814168748</v>
      </c>
      <c r="AZ176" s="377">
        <f t="shared" si="217"/>
        <v>1.5085966335371708</v>
      </c>
      <c r="BA176" s="377">
        <f t="shared" si="217"/>
        <v>4.522280701876138</v>
      </c>
      <c r="BB176" s="375">
        <f>SUM(AX176:BA176)</f>
        <v>11.757188607662975</v>
      </c>
      <c r="BC176" s="377">
        <f>BC300</f>
        <v>1.5694238385265922</v>
      </c>
      <c r="BD176" s="377">
        <f t="shared" ref="BD176:BF176" si="218">BD300</f>
        <v>4.3975359188743912</v>
      </c>
      <c r="BE176" s="377">
        <f t="shared" si="218"/>
        <v>1.5936309129107178</v>
      </c>
      <c r="BF176" s="377">
        <f t="shared" si="218"/>
        <v>4.7731332222813077</v>
      </c>
      <c r="BG176" s="375">
        <f>SUM(BC176:BF176)</f>
        <v>12.33372389259301</v>
      </c>
      <c r="BH176" s="377">
        <f>BH300</f>
        <v>1.6585283483791076</v>
      </c>
      <c r="BI176" s="377">
        <f t="shared" ref="BI176:BK176" si="219">BI300</f>
        <v>4.6866004385089797</v>
      </c>
      <c r="BJ176" s="377">
        <f t="shared" si="219"/>
        <v>1.6970297939481964</v>
      </c>
      <c r="BK176" s="377">
        <f t="shared" si="219"/>
        <v>5.1003310077111355</v>
      </c>
      <c r="BL176" s="375">
        <f>SUM(BH176:BK176)</f>
        <v>13.142489588547418</v>
      </c>
      <c r="BP176" s="375">
        <f t="shared" ref="BP176:BV179" si="220">INDEX($AD176:$BL176, MATCH(BP$2, $AD$2:$BL$2, 0))</f>
        <v>7.2530000000000001</v>
      </c>
      <c r="BQ176" s="375">
        <f t="shared" si="220"/>
        <v>7.298</v>
      </c>
      <c r="BR176" s="375">
        <f t="shared" si="220"/>
        <v>11.028932006911077</v>
      </c>
      <c r="BS176" s="375">
        <f t="shared" si="220"/>
        <v>11.321259019363826</v>
      </c>
      <c r="BT176" s="375">
        <f t="shared" si="220"/>
        <v>11.757188607662975</v>
      </c>
      <c r="BU176" s="375">
        <f t="shared" si="220"/>
        <v>12.33372389259301</v>
      </c>
      <c r="BV176" s="375">
        <f t="shared" si="220"/>
        <v>13.142489588547418</v>
      </c>
    </row>
    <row r="177" spans="1:74">
      <c r="A177" s="5" t="s">
        <v>1553</v>
      </c>
      <c r="AH177" s="376">
        <v>-61.362000000000002</v>
      </c>
      <c r="AI177" s="376">
        <v>-14.097</v>
      </c>
      <c r="AJ177" s="376">
        <f>-29.756-AI177</f>
        <v>-15.659000000000001</v>
      </c>
      <c r="AK177" s="376">
        <f>-43.77-AJ177-AI177</f>
        <v>-14.014000000000005</v>
      </c>
      <c r="AL177" s="377">
        <f>-AL315-AL176</f>
        <v>-19.800687499999999</v>
      </c>
      <c r="AM177" s="375">
        <f>SUM(AI177:AL177)</f>
        <v>-63.570687500000005</v>
      </c>
      <c r="AN177" s="377">
        <f>-AN315</f>
        <v>-20.13053329482436</v>
      </c>
      <c r="AO177" s="377">
        <f t="shared" ref="AO177:AQ177" si="221">-AO315</f>
        <v>-24.298301106134964</v>
      </c>
      <c r="AP177" s="377">
        <f t="shared" si="221"/>
        <v>-12.152093692119017</v>
      </c>
      <c r="AQ177" s="377">
        <f t="shared" si="221"/>
        <v>-28.788853220032113</v>
      </c>
      <c r="AR177" s="375">
        <f>SUM(AN177:AQ177)</f>
        <v>-85.369781313110451</v>
      </c>
      <c r="AS177" s="377">
        <f>-AS315</f>
        <v>-21.544808175050481</v>
      </c>
      <c r="AT177" s="377">
        <f t="shared" ref="AT177:AV177" si="222">-AT315</f>
        <v>-25.748226295597686</v>
      </c>
      <c r="AU177" s="377">
        <f t="shared" si="222"/>
        <v>-13.510751878904291</v>
      </c>
      <c r="AV177" s="377">
        <f t="shared" si="222"/>
        <v>-30.13485351693825</v>
      </c>
      <c r="AW177" s="375">
        <f>SUM(AS177:AV177)</f>
        <v>-90.938639866490703</v>
      </c>
      <c r="AX177" s="377">
        <f>-AX315</f>
        <v>-22.766103159898307</v>
      </c>
      <c r="AY177" s="377">
        <f t="shared" ref="AY177:BA177" si="223">-AY315</f>
        <v>-26.996747317384592</v>
      </c>
      <c r="AZ177" s="377">
        <f t="shared" si="223"/>
        <v>-14.769350872069541</v>
      </c>
      <c r="BA177" s="377">
        <f t="shared" si="223"/>
        <v>-31.36622821612265</v>
      </c>
      <c r="BB177" s="375">
        <f>SUM(AX177:BA177)</f>
        <v>-95.898429565475084</v>
      </c>
      <c r="BC177" s="377">
        <f>-BC315</f>
        <v>-23.877455398019176</v>
      </c>
      <c r="BD177" s="377">
        <f t="shared" ref="BD177:BF177" si="224">-BD315</f>
        <v>-28.171414417218045</v>
      </c>
      <c r="BE177" s="377">
        <f t="shared" si="224"/>
        <v>-15.712847292207123</v>
      </c>
      <c r="BF177" s="377">
        <f t="shared" si="224"/>
        <v>-32.320060529495706</v>
      </c>
      <c r="BG177" s="375">
        <f>SUM(BC177:BF177)</f>
        <v>-100.08177763694006</v>
      </c>
      <c r="BH177" s="377">
        <f>-BH315</f>
        <v>-24.703315221994607</v>
      </c>
      <c r="BI177" s="377">
        <f t="shared" ref="BI177:BK177" si="225">-BI315</f>
        <v>-29.005768918344522</v>
      </c>
      <c r="BJ177" s="377">
        <f t="shared" si="225"/>
        <v>-16.418404524783352</v>
      </c>
      <c r="BK177" s="377">
        <f t="shared" si="225"/>
        <v>-32.985233514312533</v>
      </c>
      <c r="BL177" s="375">
        <f>SUM(BH177:BK177)</f>
        <v>-103.11272217943502</v>
      </c>
      <c r="BP177" s="375">
        <f t="shared" si="220"/>
        <v>-61.362000000000002</v>
      </c>
      <c r="BQ177" s="375">
        <f t="shared" si="220"/>
        <v>-63.570687500000005</v>
      </c>
      <c r="BR177" s="375">
        <f t="shared" si="220"/>
        <v>-85.369781313110451</v>
      </c>
      <c r="BS177" s="375">
        <f t="shared" si="220"/>
        <v>-90.938639866490703</v>
      </c>
      <c r="BT177" s="375">
        <f t="shared" si="220"/>
        <v>-95.898429565475084</v>
      </c>
      <c r="BU177" s="375">
        <f t="shared" si="220"/>
        <v>-100.08177763694006</v>
      </c>
      <c r="BV177" s="375">
        <f t="shared" si="220"/>
        <v>-103.11272217943502</v>
      </c>
    </row>
    <row r="178" spans="1:74">
      <c r="A178" s="5" t="s">
        <v>1554</v>
      </c>
      <c r="AH178" s="376">
        <v>-287.74099999999999</v>
      </c>
      <c r="AI178" s="376">
        <v>-143.31200000000001</v>
      </c>
      <c r="AJ178" s="376">
        <f>-157.011-AI178</f>
        <v>-13.698999999999984</v>
      </c>
      <c r="AK178" s="376">
        <f>-317.112-AJ178-AI178</f>
        <v>-160.101</v>
      </c>
      <c r="AL178" s="377">
        <f>-AL330</f>
        <v>-32.717754908484075</v>
      </c>
      <c r="AM178" s="375">
        <f>SUM(AI178:AL178)</f>
        <v>-349.82975490848406</v>
      </c>
      <c r="AN178" s="377">
        <f>-AN330</f>
        <v>-123.90095416789961</v>
      </c>
      <c r="AO178" s="377">
        <f t="shared" ref="AO178:AQ178" si="226">-AO330</f>
        <v>-61.033282451243679</v>
      </c>
      <c r="AP178" s="377">
        <f t="shared" si="226"/>
        <v>-102.31873932373648</v>
      </c>
      <c r="AQ178" s="377">
        <f t="shared" si="226"/>
        <v>-14.451244050628979</v>
      </c>
      <c r="AR178" s="375">
        <f>SUM(AN178:AQ178)</f>
        <v>-301.70421999350873</v>
      </c>
      <c r="AS178" s="377">
        <f>-AS330</f>
        <v>-124.83715981845508</v>
      </c>
      <c r="AT178" s="377">
        <f t="shared" ref="AT178:AV178" si="227">-AT330</f>
        <v>-60.957811643374839</v>
      </c>
      <c r="AU178" s="377">
        <f t="shared" si="227"/>
        <v>-103.17093537217393</v>
      </c>
      <c r="AV178" s="377">
        <f t="shared" si="227"/>
        <v>-19.170654856681843</v>
      </c>
      <c r="AW178" s="375">
        <f>SUM(AS178:AV178)</f>
        <v>-308.13656169068565</v>
      </c>
      <c r="AX178" s="377">
        <f>-AX330</f>
        <v>-127.62691853490517</v>
      </c>
      <c r="AY178" s="377">
        <f t="shared" ref="AY178:BA178" si="228">-AY330</f>
        <v>-65.813890969460758</v>
      </c>
      <c r="AZ178" s="377">
        <f t="shared" si="228"/>
        <v>-106.89020400879321</v>
      </c>
      <c r="BA178" s="377">
        <f t="shared" si="228"/>
        <v>-23.095210897086467</v>
      </c>
      <c r="BB178" s="375">
        <f>SUM(AX178:BA178)</f>
        <v>-323.4262244102456</v>
      </c>
      <c r="BC178" s="377">
        <f>-BC330</f>
        <v>-132.29468347299178</v>
      </c>
      <c r="BD178" s="377">
        <f t="shared" ref="BD178:BF178" si="229">-BD330</f>
        <v>-70.419056767224831</v>
      </c>
      <c r="BE178" s="377">
        <f t="shared" si="229"/>
        <v>-112.37509739078769</v>
      </c>
      <c r="BF178" s="377">
        <f t="shared" si="229"/>
        <v>-28.895082400859422</v>
      </c>
      <c r="BG178" s="375">
        <f>SUM(BC178:BF178)</f>
        <v>-343.9839200318637</v>
      </c>
      <c r="BH178" s="377">
        <f>-BH330</f>
        <v>-138.48052036111289</v>
      </c>
      <c r="BI178" s="377">
        <f t="shared" ref="BI178:BK178" si="230">-BI330</f>
        <v>-76.752740150278825</v>
      </c>
      <c r="BJ178" s="377">
        <f t="shared" si="230"/>
        <v>-119.08108135114919</v>
      </c>
      <c r="BK178" s="377">
        <f t="shared" si="230"/>
        <v>-35.685930902974938</v>
      </c>
      <c r="BL178" s="375">
        <f>SUM(BH178:BK178)</f>
        <v>-370.00027276551583</v>
      </c>
      <c r="BP178" s="375">
        <f t="shared" si="220"/>
        <v>-287.74099999999999</v>
      </c>
      <c r="BQ178" s="375">
        <f t="shared" si="220"/>
        <v>-349.82975490848406</v>
      </c>
      <c r="BR178" s="375">
        <f t="shared" si="220"/>
        <v>-301.70421999350873</v>
      </c>
      <c r="BS178" s="375">
        <f t="shared" si="220"/>
        <v>-308.13656169068565</v>
      </c>
      <c r="BT178" s="375">
        <f t="shared" si="220"/>
        <v>-323.4262244102456</v>
      </c>
      <c r="BU178" s="375">
        <f t="shared" si="220"/>
        <v>-343.9839200318637</v>
      </c>
      <c r="BV178" s="375">
        <f t="shared" si="220"/>
        <v>-370.00027276551583</v>
      </c>
    </row>
    <row r="179" spans="1:74">
      <c r="A179" s="5" t="s">
        <v>1555</v>
      </c>
      <c r="AH179" s="376">
        <v>22.079000000000001</v>
      </c>
      <c r="AI179" s="376">
        <v>15.882999999999999</v>
      </c>
      <c r="AJ179" s="376">
        <f>39.008-AI179</f>
        <v>23.125000000000004</v>
      </c>
      <c r="AK179" s="376">
        <f>39.095-AJ179-AI179</f>
        <v>8.6999999999996191E-2</v>
      </c>
      <c r="AL179" s="377"/>
      <c r="AM179" s="375">
        <f>SUM(AI179:AL179)</f>
        <v>39.094999999999999</v>
      </c>
      <c r="BP179" s="375">
        <f t="shared" si="220"/>
        <v>22.079000000000001</v>
      </c>
      <c r="BQ179" s="375">
        <f t="shared" si="220"/>
        <v>39.094999999999999</v>
      </c>
      <c r="BR179" s="375">
        <f t="shared" si="220"/>
        <v>0</v>
      </c>
      <c r="BS179" s="375">
        <f t="shared" si="220"/>
        <v>0</v>
      </c>
      <c r="BT179" s="375">
        <f t="shared" si="220"/>
        <v>0</v>
      </c>
      <c r="BU179" s="375">
        <f t="shared" si="220"/>
        <v>0</v>
      </c>
      <c r="BV179" s="375">
        <f t="shared" si="220"/>
        <v>0</v>
      </c>
    </row>
    <row r="180" spans="1:74">
      <c r="A180" s="288" t="s">
        <v>1556</v>
      </c>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378">
        <f t="shared" ref="AH180:BL180" si="231">SUM(AH175:AH179)</f>
        <v>1155.7510000000002</v>
      </c>
      <c r="AI180" s="378">
        <f t="shared" si="231"/>
        <v>172.17600000000002</v>
      </c>
      <c r="AJ180" s="378">
        <f t="shared" si="231"/>
        <v>414.84699999999998</v>
      </c>
      <c r="AK180" s="378">
        <f t="shared" si="231"/>
        <v>402.4000000000002</v>
      </c>
      <c r="AL180" s="378">
        <f t="shared" si="231"/>
        <v>192.86883632951674</v>
      </c>
      <c r="AM180" s="378">
        <f t="shared" si="231"/>
        <v>1182.2918363295164</v>
      </c>
      <c r="AN180" s="378">
        <f t="shared" si="231"/>
        <v>250.66204485373095</v>
      </c>
      <c r="AO180" s="378">
        <f>SUM(AO175:AO179)</f>
        <v>374.85037985210323</v>
      </c>
      <c r="AP180" s="378">
        <f t="shared" si="231"/>
        <v>409.0243111074617</v>
      </c>
      <c r="AQ180" s="378">
        <f t="shared" si="231"/>
        <v>252.22251973553892</v>
      </c>
      <c r="AR180" s="378">
        <f t="shared" si="231"/>
        <v>1286.759255548835</v>
      </c>
      <c r="AS180" s="378">
        <f t="shared" si="231"/>
        <v>257.60146467436789</v>
      </c>
      <c r="AT180" s="378">
        <f t="shared" si="231"/>
        <v>378.58731779643261</v>
      </c>
      <c r="AU180" s="378">
        <f t="shared" si="231"/>
        <v>411.65556844437202</v>
      </c>
      <c r="AV180" s="378">
        <f t="shared" si="231"/>
        <v>268.52902977860242</v>
      </c>
      <c r="AW180" s="378">
        <f t="shared" si="231"/>
        <v>1316.3733806937748</v>
      </c>
      <c r="AX180" s="378">
        <f t="shared" si="231"/>
        <v>269.66504206590616</v>
      </c>
      <c r="AY180" s="378">
        <f t="shared" si="231"/>
        <v>394.15514678951388</v>
      </c>
      <c r="AZ180" s="378">
        <f t="shared" si="231"/>
        <v>421.87789025955004</v>
      </c>
      <c r="BA180" s="378">
        <f t="shared" si="231"/>
        <v>283.2497721934443</v>
      </c>
      <c r="BB180" s="378">
        <f t="shared" si="231"/>
        <v>1368.9478513084143</v>
      </c>
      <c r="BC180" s="378">
        <f t="shared" si="231"/>
        <v>273.23146280163263</v>
      </c>
      <c r="BD180" s="378">
        <f t="shared" si="231"/>
        <v>402.16256499381007</v>
      </c>
      <c r="BE180" s="378">
        <f t="shared" si="231"/>
        <v>423.5663046867212</v>
      </c>
      <c r="BF180" s="378">
        <f t="shared" si="231"/>
        <v>295.46481848305382</v>
      </c>
      <c r="BG180" s="378">
        <f t="shared" si="231"/>
        <v>1394.4251509652177</v>
      </c>
      <c r="BH180" s="378">
        <f t="shared" si="231"/>
        <v>290.28637533683474</v>
      </c>
      <c r="BI180" s="378">
        <f t="shared" si="231"/>
        <v>418.01133310284598</v>
      </c>
      <c r="BJ180" s="378">
        <f t="shared" si="231"/>
        <v>438.24613162033978</v>
      </c>
      <c r="BK180" s="378">
        <f t="shared" si="231"/>
        <v>313.87056305937881</v>
      </c>
      <c r="BL180" s="378">
        <f t="shared" si="231"/>
        <v>1460.4144031193994</v>
      </c>
    </row>
    <row r="182" spans="1:74">
      <c r="A182" s="1" t="s">
        <v>1557</v>
      </c>
    </row>
    <row r="183" spans="1:74">
      <c r="A183" s="5" t="s">
        <v>1558</v>
      </c>
      <c r="AH183" s="376">
        <v>-609.22199999999998</v>
      </c>
      <c r="AI183" s="376">
        <v>-167.64099999999999</v>
      </c>
      <c r="AJ183" s="376">
        <f>-317.646-AI183</f>
        <v>-150.00500000000002</v>
      </c>
      <c r="AK183" s="376">
        <f>-452.544-AJ183-AI183</f>
        <v>-134.898</v>
      </c>
      <c r="AL183" s="375">
        <f>'Consolidated KK'!AL172</f>
        <v>-140.29949067331324</v>
      </c>
      <c r="AM183" s="375">
        <f>'Consolidated KK'!AM172</f>
        <v>-592.29949067331336</v>
      </c>
      <c r="AN183" s="375">
        <f>'Consolidated KK'!AN172</f>
        <v>-172.43572127012203</v>
      </c>
      <c r="AO183" s="375">
        <f>'Consolidated KK'!AO172</f>
        <v>-154.2440073670015</v>
      </c>
      <c r="AP183" s="375">
        <f>'Consolidated KK'!AP172</f>
        <v>-160.6748368366525</v>
      </c>
      <c r="AQ183" s="375">
        <f>'Consolidated KK'!AQ172</f>
        <v>-144.16539648254223</v>
      </c>
      <c r="AR183" s="375">
        <f>'Consolidated KK'!AR172</f>
        <v>-631.51996195631818</v>
      </c>
      <c r="AS183" s="375">
        <f>'Consolidated KK'!AS172</f>
        <v>-177.18148385985521</v>
      </c>
      <c r="AT183" s="375">
        <f>'Consolidated KK'!AT172</f>
        <v>-158.98748445546249</v>
      </c>
      <c r="AU183" s="375">
        <f>'Consolidated KK'!AU172</f>
        <v>-165.53608012607421</v>
      </c>
      <c r="AV183" s="375">
        <f>'Consolidated KK'!AV172</f>
        <v>-149.16029200963405</v>
      </c>
      <c r="AW183" s="375">
        <f>'Consolidated KK'!AW172</f>
        <v>-650.86534045102599</v>
      </c>
      <c r="AX183" s="375">
        <f>'Consolidated KK'!AX172</f>
        <v>-185.12854080341771</v>
      </c>
      <c r="AY183" s="375">
        <f>'Consolidated KK'!AY172</f>
        <v>-166.46896735337319</v>
      </c>
      <c r="AZ183" s="375">
        <f>'Consolidated KK'!AZ172</f>
        <v>-173.62863763729106</v>
      </c>
      <c r="BA183" s="375">
        <f>'Consolidated KK'!BA172</f>
        <v>-156.95467155150391</v>
      </c>
      <c r="BB183" s="375">
        <f>'Consolidated KK'!BB172</f>
        <v>-682.18081734558587</v>
      </c>
      <c r="BC183" s="375">
        <f>'Consolidated KK'!BC172</f>
        <v>-193.53067436507254</v>
      </c>
      <c r="BD183" s="375">
        <f>'Consolidated KK'!BD172</f>
        <v>-174.72559440300361</v>
      </c>
      <c r="BE183" s="375">
        <f>'Consolidated KK'!BE172</f>
        <v>-182.13924750242714</v>
      </c>
      <c r="BF183" s="375">
        <f>'Consolidated KK'!BF172</f>
        <v>-165.51051295984578</v>
      </c>
      <c r="BG183" s="375">
        <f>'Consolidated KK'!BG172</f>
        <v>-715.90602923034908</v>
      </c>
      <c r="BH183" s="375">
        <f>'Consolidated KK'!BH172</f>
        <v>-202.4807778139415</v>
      </c>
      <c r="BI183" s="375">
        <f>'Consolidated KK'!BI172</f>
        <v>-183.39989665718758</v>
      </c>
      <c r="BJ183" s="375">
        <f>'Consolidated KK'!BJ172</f>
        <v>-191.26904183955949</v>
      </c>
      <c r="BK183" s="375">
        <f>'Consolidated KK'!BK172</f>
        <v>-174.58366630527377</v>
      </c>
      <c r="BL183" s="375">
        <f>'Consolidated KK'!BL172</f>
        <v>-751.73338261596223</v>
      </c>
      <c r="BP183" s="375">
        <f t="shared" ref="BP183:BV183" si="232">INDEX($AD183:$BL183, MATCH(BP$2, $AD$2:$BL$2, 0))</f>
        <v>-609.22199999999998</v>
      </c>
      <c r="BQ183" s="375">
        <f t="shared" si="232"/>
        <v>-592.29949067331336</v>
      </c>
      <c r="BR183" s="375">
        <f t="shared" si="232"/>
        <v>-631.51996195631818</v>
      </c>
      <c r="BS183" s="375">
        <f t="shared" si="232"/>
        <v>-650.86534045102599</v>
      </c>
      <c r="BT183" s="375">
        <f t="shared" si="232"/>
        <v>-682.18081734558587</v>
      </c>
      <c r="BU183" s="375">
        <f t="shared" si="232"/>
        <v>-715.90602923034908</v>
      </c>
      <c r="BV183" s="375">
        <f t="shared" si="232"/>
        <v>-751.73338261596223</v>
      </c>
    </row>
    <row r="184" spans="1:74">
      <c r="A184" s="5" t="s">
        <v>1559</v>
      </c>
      <c r="AH184" s="376">
        <v>1.6759999999999999</v>
      </c>
      <c r="AI184" s="376">
        <v>0.255</v>
      </c>
      <c r="AJ184" s="376">
        <f>0.411-AI184</f>
        <v>0.15599999999999997</v>
      </c>
      <c r="AK184" s="376">
        <f>0.489-AJ184-AI184</f>
        <v>7.8000000000000014E-2</v>
      </c>
      <c r="AL184" s="377"/>
      <c r="AM184" s="375">
        <f>SUM(AI184:AL184)</f>
        <v>0.48899999999999999</v>
      </c>
    </row>
    <row r="185" spans="1:74">
      <c r="A185" s="5" t="s">
        <v>1560</v>
      </c>
      <c r="AH185" s="375"/>
      <c r="AI185" s="375"/>
      <c r="AJ185" s="375"/>
      <c r="AK185" s="375"/>
      <c r="AL185" s="375"/>
      <c r="AM185" s="375"/>
      <c r="AN185" s="375"/>
      <c r="AO185" s="375"/>
      <c r="AY185" s="377">
        <v>-35</v>
      </c>
    </row>
    <row r="186" spans="1:74">
      <c r="A186" s="5" t="s">
        <v>1561</v>
      </c>
      <c r="AH186" s="376">
        <v>-64.894000000000005</v>
      </c>
      <c r="AI186" s="376">
        <v>-34.737000000000002</v>
      </c>
      <c r="AJ186" s="376">
        <f>-52.71-AI186</f>
        <v>-17.972999999999999</v>
      </c>
      <c r="AK186" s="376">
        <f>-63.122-AJ186-AI186</f>
        <v>-10.411999999999999</v>
      </c>
      <c r="AL186" s="377"/>
      <c r="AM186" s="375">
        <f>SUM(AI186:AL186)</f>
        <v>-63.122</v>
      </c>
    </row>
    <row r="187" spans="1:74">
      <c r="A187" s="5" t="s">
        <v>1562</v>
      </c>
      <c r="AH187" s="376">
        <v>17.09</v>
      </c>
      <c r="AI187" s="376">
        <v>5.3659999999999997</v>
      </c>
      <c r="AJ187" s="376">
        <f>7.744-AI187</f>
        <v>2.3780000000000001</v>
      </c>
      <c r="AK187" s="376">
        <f>19.161-AJ187-AI187</f>
        <v>11.417000000000002</v>
      </c>
      <c r="AL187" s="377"/>
      <c r="AM187" s="375">
        <f>SUM(AI187:AL187)</f>
        <v>19.161000000000001</v>
      </c>
    </row>
    <row r="188" spans="1:74">
      <c r="A188" s="5" t="s">
        <v>1563</v>
      </c>
      <c r="AH188" s="376">
        <v>-166.22200000000001</v>
      </c>
      <c r="AI188" s="376">
        <v>-81.031000000000006</v>
      </c>
      <c r="AJ188" s="376">
        <f>-205.414-AI188</f>
        <v>-124.38299999999998</v>
      </c>
      <c r="AK188" s="376">
        <f>-286.656-AJ188-AI188</f>
        <v>-81.242000000000019</v>
      </c>
      <c r="AL188" s="377">
        <v>-50</v>
      </c>
      <c r="AM188" s="375">
        <f t="shared" ref="AM188:AM191" si="233">SUM(AI188:AL188)</f>
        <v>-336.65600000000001</v>
      </c>
      <c r="AN188" s="377">
        <v>-75</v>
      </c>
      <c r="AO188" s="377">
        <v>-75</v>
      </c>
      <c r="AP188" s="377">
        <v>-75</v>
      </c>
      <c r="AQ188" s="377">
        <v>-75</v>
      </c>
      <c r="AR188" s="375">
        <f t="shared" ref="AR188:AR189" si="234">SUM(AN188:AQ188)</f>
        <v>-300</v>
      </c>
      <c r="AS188" s="377">
        <f>AN188*0.8</f>
        <v>-60</v>
      </c>
      <c r="AT188" s="377">
        <f t="shared" ref="AT188:AV189" si="235">AO188*0.8</f>
        <v>-60</v>
      </c>
      <c r="AU188" s="377">
        <f t="shared" si="235"/>
        <v>-60</v>
      </c>
      <c r="AV188" s="377">
        <f t="shared" si="235"/>
        <v>-60</v>
      </c>
      <c r="AW188" s="375">
        <f>SUM(AS188:AV188)</f>
        <v>-240</v>
      </c>
      <c r="AX188" s="377">
        <f>AS188*0.8</f>
        <v>-48</v>
      </c>
      <c r="AY188" s="377">
        <f t="shared" ref="AY188:BA189" si="236">AT188*0.8</f>
        <v>-48</v>
      </c>
      <c r="AZ188" s="377">
        <f t="shared" si="236"/>
        <v>-48</v>
      </c>
      <c r="BA188" s="377">
        <f t="shared" si="236"/>
        <v>-48</v>
      </c>
      <c r="BB188" s="375">
        <f>SUM(AX188:BA188)</f>
        <v>-192</v>
      </c>
      <c r="BC188" s="377">
        <f>AX188*0.8</f>
        <v>-38.400000000000006</v>
      </c>
      <c r="BD188" s="377">
        <f t="shared" ref="BD188:BF189" si="237">AY188*0.8</f>
        <v>-38.400000000000006</v>
      </c>
      <c r="BE188" s="377">
        <f t="shared" si="237"/>
        <v>-38.400000000000006</v>
      </c>
      <c r="BF188" s="377">
        <f t="shared" si="237"/>
        <v>-38.400000000000006</v>
      </c>
      <c r="BG188" s="375">
        <f>SUM(BC188:BF188)</f>
        <v>-153.60000000000002</v>
      </c>
      <c r="BH188" s="377">
        <f>BC188*0.8</f>
        <v>-30.720000000000006</v>
      </c>
      <c r="BI188" s="377">
        <f t="shared" ref="BI188:BK189" si="238">BD188*0.8</f>
        <v>-30.720000000000006</v>
      </c>
      <c r="BJ188" s="377">
        <f t="shared" si="238"/>
        <v>-30.720000000000006</v>
      </c>
      <c r="BK188" s="377">
        <f t="shared" si="238"/>
        <v>-30.720000000000006</v>
      </c>
      <c r="BL188" s="375">
        <f>SUM(BH188:BK188)</f>
        <v>-122.88000000000002</v>
      </c>
    </row>
    <row r="189" spans="1:74">
      <c r="A189" s="5" t="s">
        <v>1564</v>
      </c>
      <c r="AH189" s="376">
        <v>209.24700000000001</v>
      </c>
      <c r="AI189" s="376">
        <v>43.856999999999999</v>
      </c>
      <c r="AJ189" s="376">
        <f>90.961-AI189</f>
        <v>47.103999999999999</v>
      </c>
      <c r="AK189" s="376">
        <f>110.435-AJ189-AI189</f>
        <v>19.474000000000004</v>
      </c>
      <c r="AL189" s="377">
        <v>35</v>
      </c>
      <c r="AM189" s="375">
        <f t="shared" si="233"/>
        <v>145.435</v>
      </c>
      <c r="AN189" s="377">
        <v>35</v>
      </c>
      <c r="AO189" s="377">
        <v>35</v>
      </c>
      <c r="AP189" s="377">
        <v>35</v>
      </c>
      <c r="AQ189" s="377">
        <v>35</v>
      </c>
      <c r="AR189" s="375">
        <f t="shared" si="234"/>
        <v>140</v>
      </c>
      <c r="AS189" s="377">
        <f>AN189*0.8</f>
        <v>28</v>
      </c>
      <c r="AT189" s="377">
        <f t="shared" si="235"/>
        <v>28</v>
      </c>
      <c r="AU189" s="377">
        <f t="shared" si="235"/>
        <v>28</v>
      </c>
      <c r="AV189" s="377">
        <f t="shared" si="235"/>
        <v>28</v>
      </c>
      <c r="AW189" s="375">
        <f t="shared" ref="AW189" si="239">SUM(AS189:AV189)</f>
        <v>112</v>
      </c>
      <c r="AX189" s="377">
        <f>AS189*0.8</f>
        <v>22.400000000000002</v>
      </c>
      <c r="AY189" s="377">
        <f t="shared" si="236"/>
        <v>22.400000000000002</v>
      </c>
      <c r="AZ189" s="377">
        <f t="shared" si="236"/>
        <v>22.400000000000002</v>
      </c>
      <c r="BA189" s="377">
        <f t="shared" si="236"/>
        <v>22.400000000000002</v>
      </c>
      <c r="BB189" s="375">
        <f t="shared" ref="BB189" si="240">SUM(AX189:BA189)</f>
        <v>89.600000000000009</v>
      </c>
      <c r="BC189" s="377">
        <f>AX189*0.8</f>
        <v>17.920000000000002</v>
      </c>
      <c r="BD189" s="377">
        <f t="shared" si="237"/>
        <v>17.920000000000002</v>
      </c>
      <c r="BE189" s="377">
        <f t="shared" si="237"/>
        <v>17.920000000000002</v>
      </c>
      <c r="BF189" s="377">
        <f t="shared" si="237"/>
        <v>17.920000000000002</v>
      </c>
      <c r="BG189" s="375">
        <f t="shared" ref="BG189" si="241">SUM(BC189:BF189)</f>
        <v>71.680000000000007</v>
      </c>
      <c r="BH189" s="377">
        <f>BC189*0.8</f>
        <v>14.336000000000002</v>
      </c>
      <c r="BI189" s="377">
        <f t="shared" si="238"/>
        <v>14.336000000000002</v>
      </c>
      <c r="BJ189" s="377">
        <f t="shared" si="238"/>
        <v>14.336000000000002</v>
      </c>
      <c r="BK189" s="377">
        <f t="shared" si="238"/>
        <v>14.336000000000002</v>
      </c>
      <c r="BL189" s="375">
        <f t="shared" ref="BL189" si="242">SUM(BH189:BK189)</f>
        <v>57.344000000000008</v>
      </c>
    </row>
    <row r="190" spans="1:74">
      <c r="A190" s="5" t="s">
        <v>1565</v>
      </c>
      <c r="AH190" s="376">
        <v>382.45499999999998</v>
      </c>
      <c r="AI190" s="376">
        <v>0</v>
      </c>
      <c r="AJ190" s="376">
        <v>0</v>
      </c>
      <c r="AK190" s="376">
        <v>0</v>
      </c>
      <c r="AL190" s="377"/>
      <c r="AM190" s="375">
        <f t="shared" si="233"/>
        <v>0</v>
      </c>
    </row>
    <row r="191" spans="1:74">
      <c r="A191" s="5" t="s">
        <v>192</v>
      </c>
      <c r="AH191" s="376">
        <v>75.096999999999994</v>
      </c>
      <c r="AI191" s="376">
        <v>-21.251000000000001</v>
      </c>
      <c r="AJ191" s="376">
        <f>-25.525-AI191</f>
        <v>-4.2739999999999974</v>
      </c>
      <c r="AK191" s="376">
        <f>-23.551-AJ191-AI191</f>
        <v>1.9740000000000002</v>
      </c>
      <c r="AL191" s="377"/>
      <c r="AM191" s="375">
        <f t="shared" si="233"/>
        <v>-23.550999999999998</v>
      </c>
    </row>
    <row r="192" spans="1:74">
      <c r="A192" s="288" t="s">
        <v>1566</v>
      </c>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378">
        <f t="shared" ref="AH192:AM192" si="243">SUM(AH183:AH191)</f>
        <v>-154.77299999999985</v>
      </c>
      <c r="AI192" s="378">
        <f t="shared" si="243"/>
        <v>-255.18200000000002</v>
      </c>
      <c r="AJ192" s="378">
        <f t="shared" si="243"/>
        <v>-246.99700000000001</v>
      </c>
      <c r="AK192" s="378">
        <f t="shared" si="243"/>
        <v>-193.60900000000004</v>
      </c>
      <c r="AL192" s="378">
        <f t="shared" si="243"/>
        <v>-155.29949067331324</v>
      </c>
      <c r="AM192" s="378">
        <f t="shared" si="243"/>
        <v>-850.54349067331339</v>
      </c>
      <c r="AN192" s="378">
        <f t="shared" ref="AN192:BL192" si="244">SUM(AN183:AN191)</f>
        <v>-212.43572127012203</v>
      </c>
      <c r="AO192" s="378">
        <f t="shared" si="244"/>
        <v>-194.2440073670015</v>
      </c>
      <c r="AP192" s="378">
        <f t="shared" si="244"/>
        <v>-200.6748368366525</v>
      </c>
      <c r="AQ192" s="378">
        <f t="shared" si="244"/>
        <v>-184.16539648254223</v>
      </c>
      <c r="AR192" s="378">
        <f t="shared" si="244"/>
        <v>-791.51996195631818</v>
      </c>
      <c r="AS192" s="378">
        <f t="shared" si="244"/>
        <v>-209.18148385985521</v>
      </c>
      <c r="AT192" s="378">
        <f t="shared" si="244"/>
        <v>-190.98748445546249</v>
      </c>
      <c r="AU192" s="378">
        <f t="shared" si="244"/>
        <v>-197.53608012607421</v>
      </c>
      <c r="AV192" s="378">
        <f t="shared" si="244"/>
        <v>-181.16029200963405</v>
      </c>
      <c r="AW192" s="378">
        <f t="shared" si="244"/>
        <v>-778.86534045102599</v>
      </c>
      <c r="AX192" s="378">
        <f t="shared" si="244"/>
        <v>-210.7285408034177</v>
      </c>
      <c r="AY192" s="378">
        <f t="shared" si="244"/>
        <v>-227.06896735337318</v>
      </c>
      <c r="AZ192" s="378">
        <f t="shared" si="244"/>
        <v>-199.22863763729106</v>
      </c>
      <c r="BA192" s="378">
        <f t="shared" si="244"/>
        <v>-182.5546715515039</v>
      </c>
      <c r="BB192" s="378">
        <f t="shared" si="244"/>
        <v>-784.58081734558584</v>
      </c>
      <c r="BC192" s="378">
        <f t="shared" si="244"/>
        <v>-214.01067436507253</v>
      </c>
      <c r="BD192" s="378">
        <f t="shared" si="244"/>
        <v>-195.2055944030036</v>
      </c>
      <c r="BE192" s="378">
        <f t="shared" si="244"/>
        <v>-202.61924750242713</v>
      </c>
      <c r="BF192" s="378">
        <f t="shared" si="244"/>
        <v>-185.99051295984577</v>
      </c>
      <c r="BG192" s="378">
        <f t="shared" si="244"/>
        <v>-797.82602923034915</v>
      </c>
      <c r="BH192" s="378">
        <f t="shared" si="244"/>
        <v>-218.86477781394149</v>
      </c>
      <c r="BI192" s="378">
        <f t="shared" si="244"/>
        <v>-199.78389665718757</v>
      </c>
      <c r="BJ192" s="378">
        <f t="shared" si="244"/>
        <v>-207.65304183955948</v>
      </c>
      <c r="BK192" s="378">
        <f t="shared" si="244"/>
        <v>-190.96766630527375</v>
      </c>
      <c r="BL192" s="378">
        <f t="shared" si="244"/>
        <v>-817.26938261596217</v>
      </c>
    </row>
    <row r="194" spans="1:64">
      <c r="A194" s="1" t="s">
        <v>1567</v>
      </c>
    </row>
    <row r="195" spans="1:64">
      <c r="A195" s="5" t="s">
        <v>1568</v>
      </c>
      <c r="AH195" s="376">
        <v>54.55</v>
      </c>
      <c r="AI195" s="376">
        <v>50.850999999999999</v>
      </c>
      <c r="AJ195" s="376">
        <f>258.917-AI195</f>
        <v>208.06599999999997</v>
      </c>
      <c r="AK195" s="376">
        <f>130.349-AJ195-AI195</f>
        <v>-128.56799999999998</v>
      </c>
      <c r="AM195" s="375">
        <f t="shared" ref="AM195:AM203" si="245">SUM(AI195:AL195)</f>
        <v>130.34899999999999</v>
      </c>
    </row>
    <row r="196" spans="1:64">
      <c r="A196" s="5" t="s">
        <v>1569</v>
      </c>
      <c r="AH196" s="376">
        <v>2087.1210000000001</v>
      </c>
      <c r="AI196" s="376">
        <v>570.89499999999998</v>
      </c>
      <c r="AJ196" s="376">
        <f>1337.994-AI196</f>
        <v>767.09899999999993</v>
      </c>
      <c r="AK196" s="376">
        <f>2080.809-AJ196-AI196</f>
        <v>742.81500000000028</v>
      </c>
      <c r="AM196" s="375">
        <f t="shared" si="245"/>
        <v>2080.8090000000002</v>
      </c>
    </row>
    <row r="197" spans="1:64">
      <c r="A197" s="5" t="s">
        <v>1570</v>
      </c>
      <c r="AH197" s="376">
        <v>-2223.9349999999999</v>
      </c>
      <c r="AI197" s="376">
        <v>-562.21699999999998</v>
      </c>
      <c r="AJ197" s="376">
        <f>-1504.408-AI197</f>
        <v>-942.19099999999992</v>
      </c>
      <c r="AK197" s="376">
        <f>-2014.227-AJ197-AI197</f>
        <v>-509.81900000000007</v>
      </c>
      <c r="AM197" s="375">
        <f t="shared" si="245"/>
        <v>-2014.2269999999999</v>
      </c>
    </row>
    <row r="198" spans="1:64">
      <c r="A198" s="5" t="s">
        <v>1571</v>
      </c>
      <c r="AH198" s="376"/>
      <c r="AI198" s="376"/>
      <c r="AJ198" s="376"/>
      <c r="AK198" s="376">
        <v>130.999</v>
      </c>
      <c r="AM198" s="375">
        <f t="shared" si="245"/>
        <v>130.999</v>
      </c>
    </row>
    <row r="199" spans="1:64">
      <c r="A199" s="5" t="s">
        <v>1572</v>
      </c>
      <c r="AH199" s="376">
        <v>30.907</v>
      </c>
      <c r="AI199" s="376">
        <v>10.528</v>
      </c>
      <c r="AJ199" s="376">
        <f>12.193-AI199</f>
        <v>1.6649999999999991</v>
      </c>
      <c r="AK199" s="376">
        <f>19.34-AJ199-AI199</f>
        <v>7.1470000000000002</v>
      </c>
      <c r="AM199" s="375">
        <f t="shared" si="245"/>
        <v>19.34</v>
      </c>
    </row>
    <row r="200" spans="1:64">
      <c r="A200" s="5" t="s">
        <v>1573</v>
      </c>
      <c r="AH200" s="376"/>
      <c r="AI200" s="376"/>
      <c r="AJ200" s="376"/>
      <c r="AK200" s="376">
        <v>-58.213999999999999</v>
      </c>
      <c r="AM200" s="375">
        <f t="shared" si="245"/>
        <v>-58.213999999999999</v>
      </c>
    </row>
    <row r="201" spans="1:64">
      <c r="A201" s="5" t="s">
        <v>1574</v>
      </c>
      <c r="AH201" s="376">
        <v>-405.55900000000003</v>
      </c>
      <c r="AI201" s="376">
        <v>-201.21100000000001</v>
      </c>
      <c r="AJ201" s="376">
        <f>-203.34-AI201</f>
        <v>-2.1289999999999907</v>
      </c>
      <c r="AK201" s="376">
        <f>-405.722-AJ201-AI201</f>
        <v>-202.38199999999995</v>
      </c>
      <c r="AL201" s="377">
        <f>-AL89</f>
        <v>-1.5</v>
      </c>
      <c r="AM201" s="375">
        <f t="shared" si="245"/>
        <v>-407.22199999999998</v>
      </c>
      <c r="AN201" s="377">
        <f>-AN89</f>
        <v>-200.93519820300006</v>
      </c>
      <c r="AO201" s="377">
        <f>-AO89</f>
        <v>-2.5</v>
      </c>
      <c r="AP201" s="377">
        <f>-AP89</f>
        <v>-201.93519820300006</v>
      </c>
      <c r="AQ201" s="377">
        <f>-AQ89</f>
        <v>-1.5</v>
      </c>
      <c r="AR201" s="375">
        <f t="shared" ref="AR201:AR202" si="246">SUM(AN201:AQ201)</f>
        <v>-406.87039640600011</v>
      </c>
      <c r="AS201" s="377">
        <f>-AS89</f>
        <v>-200.93519820300006</v>
      </c>
      <c r="AT201" s="377">
        <f>-AT89</f>
        <v>-2.5</v>
      </c>
      <c r="AU201" s="377">
        <f>-AU89</f>
        <v>-201.93519820300006</v>
      </c>
      <c r="AV201" s="377">
        <f>-AV89</f>
        <v>-1.5</v>
      </c>
      <c r="AW201" s="375">
        <f t="shared" ref="AW201:AW202" si="247">SUM(AS201:AV201)</f>
        <v>-406.87039640600011</v>
      </c>
      <c r="AX201" s="377">
        <f>-AX89</f>
        <v>-200.93519820300006</v>
      </c>
      <c r="AY201" s="377">
        <f>-AY89</f>
        <v>-2.5</v>
      </c>
      <c r="AZ201" s="377">
        <f>-AZ89</f>
        <v>-201.93519820300006</v>
      </c>
      <c r="BA201" s="377">
        <f>-BA89</f>
        <v>-1.5</v>
      </c>
      <c r="BB201" s="375">
        <f t="shared" ref="BB201:BB202" si="248">SUM(AX201:BA201)</f>
        <v>-406.87039640600011</v>
      </c>
      <c r="BC201" s="377">
        <f>-BC89</f>
        <v>-200.93519820300006</v>
      </c>
      <c r="BD201" s="377">
        <f>-BD89</f>
        <v>-2.5</v>
      </c>
      <c r="BE201" s="377">
        <f>-BE89</f>
        <v>-201.93519820300006</v>
      </c>
      <c r="BF201" s="377">
        <f>-BF89</f>
        <v>-1.5</v>
      </c>
      <c r="BG201" s="375">
        <f t="shared" ref="BG201:BG202" si="249">SUM(BC201:BF201)</f>
        <v>-406.87039640600011</v>
      </c>
      <c r="BH201" s="377">
        <f>-BH89</f>
        <v>-200.93519820300006</v>
      </c>
      <c r="BI201" s="377">
        <f>-BI89</f>
        <v>-2.5</v>
      </c>
      <c r="BJ201" s="377">
        <f>-BJ89</f>
        <v>-201.93519820300006</v>
      </c>
      <c r="BK201" s="377">
        <f>-BK89</f>
        <v>-1.5</v>
      </c>
      <c r="BL201" s="375">
        <f t="shared" ref="BL201:BL202" si="250">SUM(BH201:BK201)</f>
        <v>-406.87039640600011</v>
      </c>
    </row>
    <row r="202" spans="1:64">
      <c r="A202" s="5" t="s">
        <v>1575</v>
      </c>
      <c r="AH202" s="376">
        <v>-47.212000000000003</v>
      </c>
      <c r="AI202" s="376">
        <v>-21.753</v>
      </c>
      <c r="AJ202" s="376">
        <f>-23.181-AI202</f>
        <v>-1.4280000000000008</v>
      </c>
      <c r="AK202" s="376">
        <f>-44.154-AJ202-AI202</f>
        <v>-20.972999999999999</v>
      </c>
      <c r="AL202" s="377">
        <v>-1.5</v>
      </c>
      <c r="AM202" s="375">
        <f t="shared" si="245"/>
        <v>-45.653999999999996</v>
      </c>
      <c r="AN202" s="377">
        <f>AI202*1.025</f>
        <v>-22.296824999999998</v>
      </c>
      <c r="AP202" s="377">
        <f>AK202*1.025</f>
        <v>-21.497324999999996</v>
      </c>
      <c r="AR202" s="375">
        <f t="shared" si="246"/>
        <v>-43.794149999999995</v>
      </c>
      <c r="AS202" s="377">
        <f>AN202*1.025</f>
        <v>-22.854245624999997</v>
      </c>
      <c r="AU202" s="377">
        <f>AP202*1.025</f>
        <v>-22.034758124999996</v>
      </c>
      <c r="AW202" s="375">
        <f t="shared" si="247"/>
        <v>-44.889003749999993</v>
      </c>
      <c r="AX202" s="377">
        <f>AS202*1.025</f>
        <v>-23.425601765624997</v>
      </c>
      <c r="AZ202" s="377">
        <f>AU202*1.025</f>
        <v>-22.585627078124993</v>
      </c>
      <c r="BB202" s="375">
        <f t="shared" si="248"/>
        <v>-46.01122884374999</v>
      </c>
      <c r="BC202" s="377">
        <f>AX202*1.025</f>
        <v>-24.011241809765618</v>
      </c>
      <c r="BE202" s="377">
        <f>AZ202*1.025</f>
        <v>-23.150267755078115</v>
      </c>
      <c r="BG202" s="375">
        <f t="shared" si="249"/>
        <v>-47.161509564843733</v>
      </c>
      <c r="BH202" s="377">
        <f>BC202*1.025</f>
        <v>-24.611522855009756</v>
      </c>
      <c r="BJ202" s="377">
        <f>BE202*1.025</f>
        <v>-23.729024448955066</v>
      </c>
      <c r="BL202" s="375">
        <f t="shared" si="250"/>
        <v>-48.340547303964826</v>
      </c>
    </row>
    <row r="203" spans="1:64">
      <c r="A203" s="5" t="s">
        <v>192</v>
      </c>
      <c r="AH203" s="376">
        <v>8.8680000000000003</v>
      </c>
      <c r="AI203" s="376">
        <v>8.0890000000000004</v>
      </c>
      <c r="AJ203" s="376">
        <f>-19.51-AI203</f>
        <v>-27.599000000000004</v>
      </c>
      <c r="AK203" s="376">
        <f>-3.365-AJ203-AI203</f>
        <v>16.145000000000003</v>
      </c>
      <c r="AM203" s="375">
        <f t="shared" si="245"/>
        <v>-3.365000000000002</v>
      </c>
    </row>
    <row r="204" spans="1:64">
      <c r="A204" s="288" t="s">
        <v>1576</v>
      </c>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378">
        <f t="shared" ref="AH204:AM204" si="251">SUM(AH195:AH203)</f>
        <v>-495.25999999999971</v>
      </c>
      <c r="AI204" s="378">
        <f t="shared" si="251"/>
        <v>-144.81799999999998</v>
      </c>
      <c r="AJ204" s="378">
        <f t="shared" si="251"/>
        <v>3.4830000000000503</v>
      </c>
      <c r="AK204" s="378">
        <f t="shared" si="251"/>
        <v>-22.849999999999731</v>
      </c>
      <c r="AL204" s="378">
        <f t="shared" si="251"/>
        <v>-3</v>
      </c>
      <c r="AM204" s="378">
        <f t="shared" si="251"/>
        <v>-167.18499999999949</v>
      </c>
      <c r="AN204" s="378">
        <f t="shared" ref="AN204:BL204" si="252">SUM(AN195:AN203)</f>
        <v>-223.23202320300004</v>
      </c>
      <c r="AO204" s="378">
        <f t="shared" si="252"/>
        <v>-2.5</v>
      </c>
      <c r="AP204" s="378">
        <f t="shared" si="252"/>
        <v>-223.43252320300004</v>
      </c>
      <c r="AQ204" s="378">
        <f t="shared" si="252"/>
        <v>-1.5</v>
      </c>
      <c r="AR204" s="378">
        <f t="shared" si="252"/>
        <v>-450.66454640600011</v>
      </c>
      <c r="AS204" s="378">
        <f t="shared" si="252"/>
        <v>-223.78944382800006</v>
      </c>
      <c r="AT204" s="378">
        <f t="shared" si="252"/>
        <v>-2.5</v>
      </c>
      <c r="AU204" s="378">
        <f t="shared" si="252"/>
        <v>-223.96995632800005</v>
      </c>
      <c r="AV204" s="378">
        <f t="shared" si="252"/>
        <v>-1.5</v>
      </c>
      <c r="AW204" s="378">
        <f t="shared" si="252"/>
        <v>-451.75940015600008</v>
      </c>
      <c r="AX204" s="378">
        <f t="shared" si="252"/>
        <v>-224.36079996862506</v>
      </c>
      <c r="AY204" s="378">
        <f t="shared" si="252"/>
        <v>-2.5</v>
      </c>
      <c r="AZ204" s="378">
        <f t="shared" si="252"/>
        <v>-224.52082528112504</v>
      </c>
      <c r="BA204" s="378">
        <f t="shared" si="252"/>
        <v>-1.5</v>
      </c>
      <c r="BB204" s="378">
        <f t="shared" si="252"/>
        <v>-452.88162524975007</v>
      </c>
      <c r="BC204" s="378">
        <f t="shared" si="252"/>
        <v>-224.94644001276566</v>
      </c>
      <c r="BD204" s="378">
        <f t="shared" si="252"/>
        <v>-2.5</v>
      </c>
      <c r="BE204" s="378">
        <f t="shared" si="252"/>
        <v>-225.08546595807817</v>
      </c>
      <c r="BF204" s="378">
        <f t="shared" si="252"/>
        <v>-1.5</v>
      </c>
      <c r="BG204" s="378">
        <f t="shared" si="252"/>
        <v>-454.03190597084387</v>
      </c>
      <c r="BH204" s="378">
        <f t="shared" si="252"/>
        <v>-225.54672105800981</v>
      </c>
      <c r="BI204" s="378">
        <f t="shared" si="252"/>
        <v>-2.5</v>
      </c>
      <c r="BJ204" s="378">
        <f t="shared" si="252"/>
        <v>-225.66422265195513</v>
      </c>
      <c r="BK204" s="378">
        <f t="shared" si="252"/>
        <v>-1.5</v>
      </c>
      <c r="BL204" s="378">
        <f t="shared" si="252"/>
        <v>-455.21094370996491</v>
      </c>
    </row>
    <row r="205" spans="1:64">
      <c r="A205" s="28"/>
    </row>
    <row r="206" spans="1:64">
      <c r="A206" s="28" t="s">
        <v>1577</v>
      </c>
      <c r="AH206" s="376">
        <v>6.6580000000000004</v>
      </c>
      <c r="AI206" s="376">
        <v>7.0389999999999997</v>
      </c>
      <c r="AJ206" s="376">
        <f>8.708-AI206</f>
        <v>1.6690000000000005</v>
      </c>
      <c r="AK206" s="376">
        <f>6.301-AJ206-AI206</f>
        <v>-2.407</v>
      </c>
      <c r="AM206" s="375">
        <f t="shared" ref="AM206" si="253">SUM(AI206:AL206)</f>
        <v>6.3010000000000002</v>
      </c>
    </row>
    <row r="207" spans="1:64">
      <c r="A207" s="288" t="s">
        <v>1578</v>
      </c>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378">
        <f t="shared" ref="AH207:AS207" si="254">AH180+AH192+AH204+AH206</f>
        <v>512.37600000000054</v>
      </c>
      <c r="AI207" s="378">
        <f t="shared" si="254"/>
        <v>-220.785</v>
      </c>
      <c r="AJ207" s="378">
        <f t="shared" si="254"/>
        <v>173.00200000000004</v>
      </c>
      <c r="AK207" s="378">
        <f t="shared" si="254"/>
        <v>183.53400000000042</v>
      </c>
      <c r="AL207" s="378">
        <f t="shared" si="254"/>
        <v>34.569345656203495</v>
      </c>
      <c r="AM207" s="378">
        <f t="shared" si="254"/>
        <v>170.86434565620351</v>
      </c>
      <c r="AN207" s="378">
        <f t="shared" si="254"/>
        <v>-185.00569961939112</v>
      </c>
      <c r="AO207" s="378">
        <f>AO180+AO192+AO204+AO206</f>
        <v>178.10637248510173</v>
      </c>
      <c r="AP207" s="378">
        <f t="shared" si="254"/>
        <v>-15.083048932190849</v>
      </c>
      <c r="AQ207" s="378">
        <f t="shared" si="254"/>
        <v>66.557123252996689</v>
      </c>
      <c r="AR207" s="378">
        <f t="shared" si="254"/>
        <v>44.574747186516674</v>
      </c>
      <c r="AS207" s="378">
        <f t="shared" si="254"/>
        <v>-175.36946301348738</v>
      </c>
      <c r="AT207" s="378">
        <f>AT180+AT192+AT204+AT206</f>
        <v>185.09983334097012</v>
      </c>
      <c r="AU207" s="378">
        <f t="shared" ref="AU207:AX207" si="255">AU180+AU192+AU204+AU206</f>
        <v>-9.8504680097022401</v>
      </c>
      <c r="AV207" s="378">
        <f t="shared" si="255"/>
        <v>85.868737768968373</v>
      </c>
      <c r="AW207" s="378">
        <f t="shared" si="255"/>
        <v>85.748640086748765</v>
      </c>
      <c r="AX207" s="378">
        <f t="shared" si="255"/>
        <v>-165.4242987061366</v>
      </c>
      <c r="AY207" s="378">
        <f>AY180+AY192+AY204+AY206</f>
        <v>164.5861794361407</v>
      </c>
      <c r="AZ207" s="378">
        <f t="shared" ref="AZ207:BC207" si="256">AZ180+AZ192+AZ204+AZ206</f>
        <v>-1.8715726588660573</v>
      </c>
      <c r="BA207" s="378">
        <f t="shared" si="256"/>
        <v>99.1951006419404</v>
      </c>
      <c r="BB207" s="378">
        <f t="shared" si="256"/>
        <v>131.48540871307841</v>
      </c>
      <c r="BC207" s="378">
        <f t="shared" si="256"/>
        <v>-165.72565157620556</v>
      </c>
      <c r="BD207" s="378">
        <f>BD180+BD192+BD204+BD206</f>
        <v>204.45697059080646</v>
      </c>
      <c r="BE207" s="378">
        <f t="shared" ref="BE207:BH207" si="257">BE180+BE192+BE204+BE206</f>
        <v>-4.1384087737841071</v>
      </c>
      <c r="BF207" s="378">
        <f t="shared" si="257"/>
        <v>107.97430552320805</v>
      </c>
      <c r="BG207" s="378">
        <f t="shared" si="257"/>
        <v>142.56721576402464</v>
      </c>
      <c r="BH207" s="378">
        <f t="shared" si="257"/>
        <v>-154.12512353511656</v>
      </c>
      <c r="BI207" s="378">
        <f>BI180+BI192+BI204+BI206</f>
        <v>215.72743644565841</v>
      </c>
      <c r="BJ207" s="378">
        <f t="shared" ref="BJ207:BL207" si="258">BJ180+BJ192+BJ204+BJ206</f>
        <v>4.9288671288251749</v>
      </c>
      <c r="BK207" s="378">
        <f t="shared" si="258"/>
        <v>121.40289675410506</v>
      </c>
      <c r="BL207" s="378">
        <f t="shared" si="258"/>
        <v>187.93407679347229</v>
      </c>
    </row>
    <row r="208" spans="1:64">
      <c r="A208" s="28"/>
      <c r="AH208" s="375"/>
      <c r="AI208" s="375"/>
      <c r="AJ208" s="375"/>
      <c r="AK208" s="375"/>
    </row>
    <row r="209" spans="1:74">
      <c r="A209" s="28" t="s">
        <v>1579</v>
      </c>
      <c r="AH209" s="376">
        <v>1546.7919999999999</v>
      </c>
      <c r="AI209" s="375">
        <f>AH210</f>
        <v>2059.1680000000006</v>
      </c>
      <c r="AJ209" s="375">
        <f>AI210</f>
        <v>1838.3830000000005</v>
      </c>
      <c r="AK209" s="375">
        <f>AJ210</f>
        <v>2011.3850000000004</v>
      </c>
      <c r="AL209" s="375">
        <f>AK210</f>
        <v>2194.9190000000008</v>
      </c>
      <c r="AM209" s="375">
        <f>AH210</f>
        <v>2059.1680000000006</v>
      </c>
      <c r="AN209" s="375">
        <f t="shared" ref="AN209:BK209" si="259">AM210</f>
        <v>2230.0323456562041</v>
      </c>
      <c r="AO209" s="375">
        <f t="shared" si="259"/>
        <v>2045.026646036813</v>
      </c>
      <c r="AP209" s="375">
        <f t="shared" si="259"/>
        <v>2223.1330185219149</v>
      </c>
      <c r="AQ209" s="375">
        <f t="shared" si="259"/>
        <v>2208.0499695897242</v>
      </c>
      <c r="AR209" s="375">
        <f>AM210</f>
        <v>2230.0323456562041</v>
      </c>
      <c r="AS209" s="375">
        <f t="shared" si="259"/>
        <v>2274.6070928427207</v>
      </c>
      <c r="AT209" s="375">
        <f t="shared" si="259"/>
        <v>2099.2376298292334</v>
      </c>
      <c r="AU209" s="375">
        <f t="shared" si="259"/>
        <v>2284.3374631702036</v>
      </c>
      <c r="AV209" s="375">
        <f t="shared" si="259"/>
        <v>2274.4869951605015</v>
      </c>
      <c r="AW209" s="375">
        <f>AR210</f>
        <v>2274.6070928427207</v>
      </c>
      <c r="AX209" s="375">
        <f t="shared" si="259"/>
        <v>2360.3557329294695</v>
      </c>
      <c r="AY209" s="375">
        <f t="shared" si="259"/>
        <v>2194.9314342233329</v>
      </c>
      <c r="AZ209" s="375">
        <f t="shared" si="259"/>
        <v>2359.5176136594737</v>
      </c>
      <c r="BA209" s="375">
        <f t="shared" si="259"/>
        <v>2357.6460410006075</v>
      </c>
      <c r="BB209" s="375">
        <f>AW210</f>
        <v>2360.3557329294695</v>
      </c>
      <c r="BC209" s="375">
        <f t="shared" si="259"/>
        <v>2491.8411416425479</v>
      </c>
      <c r="BD209" s="375">
        <f t="shared" si="259"/>
        <v>2326.1154900663423</v>
      </c>
      <c r="BE209" s="375">
        <f t="shared" si="259"/>
        <v>2530.5724606571489</v>
      </c>
      <c r="BF209" s="375">
        <f t="shared" si="259"/>
        <v>2526.4340518833646</v>
      </c>
      <c r="BG209" s="375">
        <f>BB210</f>
        <v>2491.8411416425479</v>
      </c>
      <c r="BH209" s="375">
        <f t="shared" si="259"/>
        <v>2634.4083574065726</v>
      </c>
      <c r="BI209" s="375">
        <f t="shared" si="259"/>
        <v>2480.2832338714561</v>
      </c>
      <c r="BJ209" s="375">
        <f t="shared" si="259"/>
        <v>2696.0106703171145</v>
      </c>
      <c r="BK209" s="375">
        <f t="shared" si="259"/>
        <v>2700.9395374459395</v>
      </c>
      <c r="BL209" s="375">
        <f>BG210</f>
        <v>2634.4083574065726</v>
      </c>
    </row>
    <row r="210" spans="1:74">
      <c r="A210" s="288" t="s">
        <v>1580</v>
      </c>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381">
        <f t="shared" ref="AH210:BL210" si="260">AH207+AH209</f>
        <v>2059.1680000000006</v>
      </c>
      <c r="AI210" s="381">
        <f t="shared" si="260"/>
        <v>1838.3830000000005</v>
      </c>
      <c r="AJ210" s="381">
        <f t="shared" si="260"/>
        <v>2011.3850000000004</v>
      </c>
      <c r="AK210" s="381">
        <f t="shared" si="260"/>
        <v>2194.9190000000008</v>
      </c>
      <c r="AL210" s="381">
        <f t="shared" si="260"/>
        <v>2229.4883456562043</v>
      </c>
      <c r="AM210" s="381">
        <f t="shared" si="260"/>
        <v>2230.0323456562041</v>
      </c>
      <c r="AN210" s="381">
        <f t="shared" si="260"/>
        <v>2045.026646036813</v>
      </c>
      <c r="AO210" s="381">
        <f t="shared" si="260"/>
        <v>2223.1330185219149</v>
      </c>
      <c r="AP210" s="381">
        <f t="shared" si="260"/>
        <v>2208.0499695897242</v>
      </c>
      <c r="AQ210" s="381">
        <f t="shared" si="260"/>
        <v>2274.6070928427207</v>
      </c>
      <c r="AR210" s="381">
        <f t="shared" si="260"/>
        <v>2274.6070928427207</v>
      </c>
      <c r="AS210" s="381">
        <f t="shared" si="260"/>
        <v>2099.2376298292334</v>
      </c>
      <c r="AT210" s="381">
        <f t="shared" si="260"/>
        <v>2284.3374631702036</v>
      </c>
      <c r="AU210" s="381">
        <f t="shared" si="260"/>
        <v>2274.4869951605015</v>
      </c>
      <c r="AV210" s="381">
        <f t="shared" si="260"/>
        <v>2360.3557329294699</v>
      </c>
      <c r="AW210" s="381">
        <f t="shared" si="260"/>
        <v>2360.3557329294695</v>
      </c>
      <c r="AX210" s="381">
        <f t="shared" si="260"/>
        <v>2194.9314342233329</v>
      </c>
      <c r="AY210" s="381">
        <f t="shared" si="260"/>
        <v>2359.5176136594737</v>
      </c>
      <c r="AZ210" s="381">
        <f t="shared" si="260"/>
        <v>2357.6460410006075</v>
      </c>
      <c r="BA210" s="381">
        <f t="shared" si="260"/>
        <v>2456.8411416425479</v>
      </c>
      <c r="BB210" s="381">
        <f t="shared" si="260"/>
        <v>2491.8411416425479</v>
      </c>
      <c r="BC210" s="381">
        <f t="shared" si="260"/>
        <v>2326.1154900663423</v>
      </c>
      <c r="BD210" s="381">
        <f t="shared" si="260"/>
        <v>2530.5724606571489</v>
      </c>
      <c r="BE210" s="381">
        <f t="shared" si="260"/>
        <v>2526.4340518833646</v>
      </c>
      <c r="BF210" s="381">
        <f t="shared" si="260"/>
        <v>2634.4083574065726</v>
      </c>
      <c r="BG210" s="381">
        <f t="shared" si="260"/>
        <v>2634.4083574065726</v>
      </c>
      <c r="BH210" s="381">
        <f t="shared" si="260"/>
        <v>2480.2832338714561</v>
      </c>
      <c r="BI210" s="381">
        <f t="shared" si="260"/>
        <v>2696.0106703171145</v>
      </c>
      <c r="BJ210" s="381">
        <f t="shared" si="260"/>
        <v>2700.9395374459395</v>
      </c>
      <c r="BK210" s="381">
        <f t="shared" si="260"/>
        <v>2822.3424342000444</v>
      </c>
      <c r="BL210" s="381">
        <f t="shared" si="260"/>
        <v>2822.3424342000449</v>
      </c>
    </row>
    <row r="211" spans="1:74">
      <c r="A211" s="28"/>
    </row>
    <row r="212" spans="1:74">
      <c r="A212" s="3" t="s">
        <v>1581</v>
      </c>
    </row>
    <row r="213" spans="1:74">
      <c r="A213" s="25" t="s">
        <v>1582</v>
      </c>
    </row>
    <row r="214" spans="1:74">
      <c r="A214" s="3" t="s">
        <v>1583</v>
      </c>
    </row>
    <row r="216" spans="1:74">
      <c r="A216" s="1" t="s">
        <v>1556</v>
      </c>
      <c r="AH216" s="375">
        <f t="shared" ref="AH216:BL216" si="261">AH180</f>
        <v>1155.7510000000002</v>
      </c>
      <c r="AI216" s="375">
        <f t="shared" si="261"/>
        <v>172.17600000000002</v>
      </c>
      <c r="AJ216" s="375">
        <f t="shared" si="261"/>
        <v>414.84699999999998</v>
      </c>
      <c r="AK216" s="375">
        <f t="shared" si="261"/>
        <v>402.4000000000002</v>
      </c>
      <c r="AL216" s="375">
        <f t="shared" si="261"/>
        <v>192.86883632951674</v>
      </c>
      <c r="AM216" s="375">
        <f t="shared" si="261"/>
        <v>1182.2918363295164</v>
      </c>
      <c r="AN216" s="375">
        <f t="shared" si="261"/>
        <v>250.66204485373095</v>
      </c>
      <c r="AO216" s="375">
        <f t="shared" si="261"/>
        <v>374.85037985210323</v>
      </c>
      <c r="AP216" s="375">
        <f t="shared" si="261"/>
        <v>409.0243111074617</v>
      </c>
      <c r="AQ216" s="375">
        <f t="shared" si="261"/>
        <v>252.22251973553892</v>
      </c>
      <c r="AR216" s="375">
        <f t="shared" si="261"/>
        <v>1286.759255548835</v>
      </c>
      <c r="AS216" s="375">
        <f t="shared" si="261"/>
        <v>257.60146467436789</v>
      </c>
      <c r="AT216" s="375">
        <f t="shared" si="261"/>
        <v>378.58731779643261</v>
      </c>
      <c r="AU216" s="375">
        <f t="shared" si="261"/>
        <v>411.65556844437202</v>
      </c>
      <c r="AV216" s="375">
        <f t="shared" si="261"/>
        <v>268.52902977860242</v>
      </c>
      <c r="AW216" s="375">
        <f t="shared" si="261"/>
        <v>1316.3733806937748</v>
      </c>
      <c r="AX216" s="375">
        <f t="shared" si="261"/>
        <v>269.66504206590616</v>
      </c>
      <c r="AY216" s="375">
        <f t="shared" si="261"/>
        <v>394.15514678951388</v>
      </c>
      <c r="AZ216" s="375">
        <f t="shared" si="261"/>
        <v>421.87789025955004</v>
      </c>
      <c r="BA216" s="375">
        <f t="shared" si="261"/>
        <v>283.2497721934443</v>
      </c>
      <c r="BB216" s="375">
        <f t="shared" si="261"/>
        <v>1368.9478513084143</v>
      </c>
      <c r="BC216" s="375">
        <f t="shared" si="261"/>
        <v>273.23146280163263</v>
      </c>
      <c r="BD216" s="375">
        <f t="shared" si="261"/>
        <v>402.16256499381007</v>
      </c>
      <c r="BE216" s="375">
        <f t="shared" si="261"/>
        <v>423.5663046867212</v>
      </c>
      <c r="BF216" s="375">
        <f t="shared" si="261"/>
        <v>295.46481848305382</v>
      </c>
      <c r="BG216" s="375">
        <f t="shared" si="261"/>
        <v>1394.4251509652177</v>
      </c>
      <c r="BH216" s="375">
        <f t="shared" si="261"/>
        <v>290.28637533683474</v>
      </c>
      <c r="BI216" s="375">
        <f t="shared" si="261"/>
        <v>418.01133310284598</v>
      </c>
      <c r="BJ216" s="375">
        <f t="shared" si="261"/>
        <v>438.24613162033978</v>
      </c>
      <c r="BK216" s="375">
        <f t="shared" si="261"/>
        <v>313.87056305937881</v>
      </c>
      <c r="BL216" s="375">
        <f t="shared" si="261"/>
        <v>1460.4144031193994</v>
      </c>
    </row>
    <row r="217" spans="1:74">
      <c r="A217" s="1" t="s">
        <v>1584</v>
      </c>
      <c r="AH217" s="375">
        <f t="shared" ref="AH217:BL217" si="262">AH183</f>
        <v>-609.22199999999998</v>
      </c>
      <c r="AI217" s="375">
        <f t="shared" si="262"/>
        <v>-167.64099999999999</v>
      </c>
      <c r="AJ217" s="375">
        <f t="shared" si="262"/>
        <v>-150.00500000000002</v>
      </c>
      <c r="AK217" s="375">
        <f t="shared" si="262"/>
        <v>-134.898</v>
      </c>
      <c r="AL217" s="375">
        <f t="shared" si="262"/>
        <v>-140.29949067331324</v>
      </c>
      <c r="AM217" s="375">
        <f t="shared" si="262"/>
        <v>-592.29949067331336</v>
      </c>
      <c r="AN217" s="375">
        <f t="shared" si="262"/>
        <v>-172.43572127012203</v>
      </c>
      <c r="AO217" s="375">
        <f t="shared" si="262"/>
        <v>-154.2440073670015</v>
      </c>
      <c r="AP217" s="375">
        <f t="shared" si="262"/>
        <v>-160.6748368366525</v>
      </c>
      <c r="AQ217" s="375">
        <f t="shared" si="262"/>
        <v>-144.16539648254223</v>
      </c>
      <c r="AR217" s="375">
        <f t="shared" si="262"/>
        <v>-631.51996195631818</v>
      </c>
      <c r="AS217" s="375">
        <f t="shared" si="262"/>
        <v>-177.18148385985521</v>
      </c>
      <c r="AT217" s="375">
        <f t="shared" si="262"/>
        <v>-158.98748445546249</v>
      </c>
      <c r="AU217" s="375">
        <f t="shared" si="262"/>
        <v>-165.53608012607421</v>
      </c>
      <c r="AV217" s="375">
        <f t="shared" si="262"/>
        <v>-149.16029200963405</v>
      </c>
      <c r="AW217" s="375">
        <f t="shared" si="262"/>
        <v>-650.86534045102599</v>
      </c>
      <c r="AX217" s="375">
        <f t="shared" si="262"/>
        <v>-185.12854080341771</v>
      </c>
      <c r="AY217" s="375">
        <f t="shared" si="262"/>
        <v>-166.46896735337319</v>
      </c>
      <c r="AZ217" s="375">
        <f t="shared" si="262"/>
        <v>-173.62863763729106</v>
      </c>
      <c r="BA217" s="375">
        <f t="shared" si="262"/>
        <v>-156.95467155150391</v>
      </c>
      <c r="BB217" s="375">
        <f t="shared" si="262"/>
        <v>-682.18081734558587</v>
      </c>
      <c r="BC217" s="375">
        <f t="shared" si="262"/>
        <v>-193.53067436507254</v>
      </c>
      <c r="BD217" s="375">
        <f t="shared" si="262"/>
        <v>-174.72559440300361</v>
      </c>
      <c r="BE217" s="375">
        <f t="shared" si="262"/>
        <v>-182.13924750242714</v>
      </c>
      <c r="BF217" s="375">
        <f t="shared" si="262"/>
        <v>-165.51051295984578</v>
      </c>
      <c r="BG217" s="375">
        <f t="shared" si="262"/>
        <v>-715.90602923034908</v>
      </c>
      <c r="BH217" s="375">
        <f t="shared" si="262"/>
        <v>-202.4807778139415</v>
      </c>
      <c r="BI217" s="375">
        <f t="shared" si="262"/>
        <v>-183.39989665718758</v>
      </c>
      <c r="BJ217" s="375">
        <f t="shared" si="262"/>
        <v>-191.26904183955949</v>
      </c>
      <c r="BK217" s="375">
        <f t="shared" si="262"/>
        <v>-174.58366630527377</v>
      </c>
      <c r="BL217" s="375">
        <f t="shared" si="262"/>
        <v>-751.73338261596223</v>
      </c>
    </row>
    <row r="218" spans="1:74">
      <c r="A218" s="288" t="s">
        <v>1585</v>
      </c>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378">
        <f t="shared" ref="AH218:AM218" si="263">SUM(AH216:AH217)</f>
        <v>546.52900000000022</v>
      </c>
      <c r="AI218" s="378">
        <f t="shared" si="263"/>
        <v>4.535000000000025</v>
      </c>
      <c r="AJ218" s="378">
        <f t="shared" si="263"/>
        <v>264.84199999999998</v>
      </c>
      <c r="AK218" s="378">
        <f t="shared" si="263"/>
        <v>267.50200000000018</v>
      </c>
      <c r="AL218" s="378">
        <f t="shared" si="263"/>
        <v>52.569345656203495</v>
      </c>
      <c r="AM218" s="378">
        <f t="shared" si="263"/>
        <v>589.99234565620304</v>
      </c>
      <c r="AN218" s="378">
        <f t="shared" ref="AN218:BL218" si="264">SUM(AN216:AN217)</f>
        <v>78.226323583608917</v>
      </c>
      <c r="AO218" s="378">
        <f t="shared" si="264"/>
        <v>220.60637248510173</v>
      </c>
      <c r="AP218" s="378">
        <f t="shared" si="264"/>
        <v>248.3494742708092</v>
      </c>
      <c r="AQ218" s="378">
        <f t="shared" si="264"/>
        <v>108.05712325299669</v>
      </c>
      <c r="AR218" s="378">
        <f t="shared" si="264"/>
        <v>655.23929359251679</v>
      </c>
      <c r="AS218" s="378">
        <f t="shared" si="264"/>
        <v>80.419980814512684</v>
      </c>
      <c r="AT218" s="378">
        <f t="shared" si="264"/>
        <v>219.59983334097012</v>
      </c>
      <c r="AU218" s="378">
        <f t="shared" si="264"/>
        <v>246.11948831829781</v>
      </c>
      <c r="AV218" s="378">
        <f t="shared" si="264"/>
        <v>119.36873776896837</v>
      </c>
      <c r="AW218" s="378">
        <f t="shared" si="264"/>
        <v>665.50804024274885</v>
      </c>
      <c r="AX218" s="378">
        <f t="shared" si="264"/>
        <v>84.536501262488457</v>
      </c>
      <c r="AY218" s="378">
        <f t="shared" si="264"/>
        <v>227.68617943614069</v>
      </c>
      <c r="AZ218" s="378">
        <f t="shared" si="264"/>
        <v>248.24925262225898</v>
      </c>
      <c r="BA218" s="378">
        <f t="shared" si="264"/>
        <v>126.29510064194039</v>
      </c>
      <c r="BB218" s="378">
        <f t="shared" si="264"/>
        <v>686.76703396282846</v>
      </c>
      <c r="BC218" s="378">
        <f t="shared" si="264"/>
        <v>79.700788436560089</v>
      </c>
      <c r="BD218" s="378">
        <f t="shared" si="264"/>
        <v>227.43697059080645</v>
      </c>
      <c r="BE218" s="378">
        <f t="shared" si="264"/>
        <v>241.42705718429406</v>
      </c>
      <c r="BF218" s="378">
        <f t="shared" si="264"/>
        <v>129.95430552320803</v>
      </c>
      <c r="BG218" s="378">
        <f t="shared" si="264"/>
        <v>678.51912173486858</v>
      </c>
      <c r="BH218" s="378">
        <f t="shared" si="264"/>
        <v>87.805597522893237</v>
      </c>
      <c r="BI218" s="378">
        <f t="shared" si="264"/>
        <v>234.6114364456584</v>
      </c>
      <c r="BJ218" s="378">
        <f t="shared" si="264"/>
        <v>246.97708978078029</v>
      </c>
      <c r="BK218" s="378">
        <f t="shared" si="264"/>
        <v>139.28689675410504</v>
      </c>
      <c r="BL218" s="378">
        <f t="shared" si="264"/>
        <v>708.68102050343714</v>
      </c>
      <c r="BP218" s="375">
        <f t="shared" ref="BP218:BV218" si="265">INDEX($AD218:$BL218, MATCH(BP$2, $AD$2:$BL$2, 0))</f>
        <v>546.52900000000022</v>
      </c>
      <c r="BQ218" s="375">
        <f t="shared" si="265"/>
        <v>589.99234565620304</v>
      </c>
      <c r="BR218" s="375">
        <f t="shared" si="265"/>
        <v>655.23929359251679</v>
      </c>
      <c r="BS218" s="375">
        <f t="shared" si="265"/>
        <v>665.50804024274885</v>
      </c>
      <c r="BT218" s="375">
        <f t="shared" si="265"/>
        <v>686.76703396282846</v>
      </c>
      <c r="BU218" s="375">
        <f t="shared" si="265"/>
        <v>678.51912173486858</v>
      </c>
      <c r="BV218" s="375">
        <f t="shared" si="265"/>
        <v>708.68102050343714</v>
      </c>
    </row>
    <row r="219" spans="1:74">
      <c r="A219" s="1" t="s">
        <v>1586</v>
      </c>
      <c r="AH219" s="375">
        <f>1000*AH218/AH58</f>
        <v>115.74181038190297</v>
      </c>
      <c r="AI219" s="375">
        <f>1000*AI218/AI58</f>
        <v>0.95775435527658526</v>
      </c>
      <c r="AJ219" s="375">
        <f>1000*AJ218/AJ58</f>
        <v>55.908864501911864</v>
      </c>
      <c r="AK219" s="375">
        <f>1000*AK218/AK58</f>
        <v>56.541769082270733</v>
      </c>
      <c r="AL219" s="375">
        <f>1000*AL218/AL58</f>
        <v>11.111557307605656</v>
      </c>
      <c r="AM219" s="375">
        <f>SUM(AI219:AL219)</f>
        <v>124.51994524706483</v>
      </c>
      <c r="AN219" s="375">
        <f>1000*AN218/AN58</f>
        <v>16.534660392144364</v>
      </c>
      <c r="AO219" s="375">
        <f>1000*AO218/AO58</f>
        <v>46.629462849361936</v>
      </c>
      <c r="AP219" s="375">
        <f>1000*AP218/AP58</f>
        <v>52.493508930488076</v>
      </c>
      <c r="AQ219" s="375">
        <f>1000*AQ218/AQ58</f>
        <v>22.839982170845087</v>
      </c>
      <c r="AR219" s="375">
        <f>SUM(AN219:AQ219)</f>
        <v>138.49761434283946</v>
      </c>
      <c r="AS219" s="375">
        <f>1000*AS218/AS58</f>
        <v>16.99833266597938</v>
      </c>
      <c r="AT219" s="375">
        <f>1000*AT218/AT58</f>
        <v>46.416711154571786</v>
      </c>
      <c r="AU219" s="375">
        <f>1000*AU218/AU58</f>
        <v>52.022157872239518</v>
      </c>
      <c r="AV219" s="375">
        <f>1000*AV218/AV58</f>
        <v>25.230912690653284</v>
      </c>
      <c r="AW219" s="375">
        <f>SUM(AS219:AV219)</f>
        <v>140.66811438344396</v>
      </c>
      <c r="AX219" s="375">
        <f>1000*AX218/AX58</f>
        <v>17.868439613186844</v>
      </c>
      <c r="AY219" s="375">
        <f>1000*AY218/AY58</f>
        <v>48.12591823949996</v>
      </c>
      <c r="AZ219" s="375">
        <f>1000*AZ218/AZ58</f>
        <v>52.472325128836609</v>
      </c>
      <c r="BA219" s="375">
        <f>1000*BA218/BA58</f>
        <v>26.694934679810736</v>
      </c>
      <c r="BB219" s="375">
        <f>SUM(AX219:BA219)</f>
        <v>145.16161766133413</v>
      </c>
      <c r="BC219" s="375">
        <f>1000*BC218/BC58</f>
        <v>16.846317318954217</v>
      </c>
      <c r="BD219" s="375">
        <f>1000*BD218/BD58</f>
        <v>48.073243085721117</v>
      </c>
      <c r="BE219" s="375">
        <f>1000*BE218/BE58</f>
        <v>51.030320960316253</v>
      </c>
      <c r="BF219" s="375">
        <f>1000*BF218/BF58</f>
        <v>27.468379055633545</v>
      </c>
      <c r="BG219" s="375">
        <f>SUM(BC219:BF219)</f>
        <v>143.41826042062513</v>
      </c>
      <c r="BH219" s="375">
        <f>1000*BH218/BH58</f>
        <v>18.559426917444465</v>
      </c>
      <c r="BI219" s="375">
        <f>1000*BI218/BI58</f>
        <v>49.589706482830948</v>
      </c>
      <c r="BJ219" s="375">
        <f>1000*BJ218/BJ58</f>
        <v>52.203428680892543</v>
      </c>
      <c r="BK219" s="375">
        <f>1000*BK218/BK58</f>
        <v>29.441004375506306</v>
      </c>
      <c r="BL219" s="375">
        <f>SUM(BH219:BK219)</f>
        <v>149.79356645667426</v>
      </c>
    </row>
    <row r="221" spans="1:74">
      <c r="A221" s="1" t="s">
        <v>1556</v>
      </c>
      <c r="AH221" s="375">
        <f t="shared" ref="AH221:BL221" si="266">AH180</f>
        <v>1155.7510000000002</v>
      </c>
      <c r="AI221" s="375">
        <f t="shared" si="266"/>
        <v>172.17600000000002</v>
      </c>
      <c r="AJ221" s="375">
        <f t="shared" si="266"/>
        <v>414.84699999999998</v>
      </c>
      <c r="AK221" s="375">
        <f t="shared" si="266"/>
        <v>402.4000000000002</v>
      </c>
      <c r="AL221" s="375">
        <f t="shared" si="266"/>
        <v>192.86883632951674</v>
      </c>
      <c r="AM221" s="375">
        <f t="shared" si="266"/>
        <v>1182.2918363295164</v>
      </c>
      <c r="AN221" s="375">
        <f t="shared" si="266"/>
        <v>250.66204485373095</v>
      </c>
      <c r="AO221" s="375">
        <f t="shared" si="266"/>
        <v>374.85037985210323</v>
      </c>
      <c r="AP221" s="375">
        <f t="shared" si="266"/>
        <v>409.0243111074617</v>
      </c>
      <c r="AQ221" s="375">
        <f t="shared" si="266"/>
        <v>252.22251973553892</v>
      </c>
      <c r="AR221" s="375">
        <f t="shared" si="266"/>
        <v>1286.759255548835</v>
      </c>
      <c r="AS221" s="375">
        <f t="shared" si="266"/>
        <v>257.60146467436789</v>
      </c>
      <c r="AT221" s="375">
        <f t="shared" si="266"/>
        <v>378.58731779643261</v>
      </c>
      <c r="AU221" s="375">
        <f t="shared" si="266"/>
        <v>411.65556844437202</v>
      </c>
      <c r="AV221" s="375">
        <f t="shared" si="266"/>
        <v>268.52902977860242</v>
      </c>
      <c r="AW221" s="375">
        <f t="shared" si="266"/>
        <v>1316.3733806937748</v>
      </c>
      <c r="AX221" s="375">
        <f t="shared" si="266"/>
        <v>269.66504206590616</v>
      </c>
      <c r="AY221" s="375">
        <f t="shared" si="266"/>
        <v>394.15514678951388</v>
      </c>
      <c r="AZ221" s="375">
        <f t="shared" si="266"/>
        <v>421.87789025955004</v>
      </c>
      <c r="BA221" s="375">
        <f t="shared" si="266"/>
        <v>283.2497721934443</v>
      </c>
      <c r="BB221" s="375">
        <f t="shared" si="266"/>
        <v>1368.9478513084143</v>
      </c>
      <c r="BC221" s="375">
        <f t="shared" si="266"/>
        <v>273.23146280163263</v>
      </c>
      <c r="BD221" s="375">
        <f t="shared" si="266"/>
        <v>402.16256499381007</v>
      </c>
      <c r="BE221" s="375">
        <f t="shared" si="266"/>
        <v>423.5663046867212</v>
      </c>
      <c r="BF221" s="375">
        <f t="shared" si="266"/>
        <v>295.46481848305382</v>
      </c>
      <c r="BG221" s="375">
        <f t="shared" si="266"/>
        <v>1394.4251509652177</v>
      </c>
      <c r="BH221" s="375">
        <f t="shared" si="266"/>
        <v>290.28637533683474</v>
      </c>
      <c r="BI221" s="375">
        <f t="shared" si="266"/>
        <v>418.01133310284598</v>
      </c>
      <c r="BJ221" s="375">
        <f t="shared" si="266"/>
        <v>438.24613162033978</v>
      </c>
      <c r="BK221" s="375">
        <f t="shared" si="266"/>
        <v>313.87056305937881</v>
      </c>
      <c r="BL221" s="375">
        <f t="shared" si="266"/>
        <v>1460.4144031193994</v>
      </c>
    </row>
    <row r="222" spans="1:74">
      <c r="A222" s="1" t="s">
        <v>1584</v>
      </c>
      <c r="AH222" s="375">
        <f t="shared" ref="AH222:BL222" si="267">AH183</f>
        <v>-609.22199999999998</v>
      </c>
      <c r="AI222" s="375">
        <f t="shared" si="267"/>
        <v>-167.64099999999999</v>
      </c>
      <c r="AJ222" s="375">
        <f t="shared" si="267"/>
        <v>-150.00500000000002</v>
      </c>
      <c r="AK222" s="375">
        <f t="shared" si="267"/>
        <v>-134.898</v>
      </c>
      <c r="AL222" s="375">
        <f t="shared" si="267"/>
        <v>-140.29949067331324</v>
      </c>
      <c r="AM222" s="375">
        <f t="shared" si="267"/>
        <v>-592.29949067331336</v>
      </c>
      <c r="AN222" s="375">
        <f t="shared" si="267"/>
        <v>-172.43572127012203</v>
      </c>
      <c r="AO222" s="375">
        <f t="shared" si="267"/>
        <v>-154.2440073670015</v>
      </c>
      <c r="AP222" s="375">
        <f t="shared" si="267"/>
        <v>-160.6748368366525</v>
      </c>
      <c r="AQ222" s="375">
        <f t="shared" si="267"/>
        <v>-144.16539648254223</v>
      </c>
      <c r="AR222" s="375">
        <f t="shared" si="267"/>
        <v>-631.51996195631818</v>
      </c>
      <c r="AS222" s="375">
        <f t="shared" si="267"/>
        <v>-177.18148385985521</v>
      </c>
      <c r="AT222" s="375">
        <f t="shared" si="267"/>
        <v>-158.98748445546249</v>
      </c>
      <c r="AU222" s="375">
        <f t="shared" si="267"/>
        <v>-165.53608012607421</v>
      </c>
      <c r="AV222" s="375">
        <f t="shared" si="267"/>
        <v>-149.16029200963405</v>
      </c>
      <c r="AW222" s="375">
        <f t="shared" si="267"/>
        <v>-650.86534045102599</v>
      </c>
      <c r="AX222" s="375">
        <f t="shared" si="267"/>
        <v>-185.12854080341771</v>
      </c>
      <c r="AY222" s="375">
        <f t="shared" si="267"/>
        <v>-166.46896735337319</v>
      </c>
      <c r="AZ222" s="375">
        <f t="shared" si="267"/>
        <v>-173.62863763729106</v>
      </c>
      <c r="BA222" s="375">
        <f t="shared" si="267"/>
        <v>-156.95467155150391</v>
      </c>
      <c r="BB222" s="375">
        <f t="shared" si="267"/>
        <v>-682.18081734558587</v>
      </c>
      <c r="BC222" s="375">
        <f t="shared" si="267"/>
        <v>-193.53067436507254</v>
      </c>
      <c r="BD222" s="375">
        <f t="shared" si="267"/>
        <v>-174.72559440300361</v>
      </c>
      <c r="BE222" s="375">
        <f t="shared" si="267"/>
        <v>-182.13924750242714</v>
      </c>
      <c r="BF222" s="375">
        <f t="shared" si="267"/>
        <v>-165.51051295984578</v>
      </c>
      <c r="BG222" s="375">
        <f t="shared" si="267"/>
        <v>-715.90602923034908</v>
      </c>
      <c r="BH222" s="375">
        <f t="shared" si="267"/>
        <v>-202.4807778139415</v>
      </c>
      <c r="BI222" s="375">
        <f t="shared" si="267"/>
        <v>-183.39989665718758</v>
      </c>
      <c r="BJ222" s="375">
        <f t="shared" si="267"/>
        <v>-191.26904183955949</v>
      </c>
      <c r="BK222" s="375">
        <f t="shared" si="267"/>
        <v>-174.58366630527377</v>
      </c>
      <c r="BL222" s="375">
        <f t="shared" si="267"/>
        <v>-751.73338261596223</v>
      </c>
    </row>
    <row r="223" spans="1:74">
      <c r="A223" s="1" t="s">
        <v>1587</v>
      </c>
      <c r="AH223" s="375">
        <f t="shared" ref="AH223:AM223" si="268">-SUM(AH167:AH173)</f>
        <v>79.710000000000008</v>
      </c>
      <c r="AI223" s="375">
        <f t="shared" si="268"/>
        <v>41.448999999999991</v>
      </c>
      <c r="AJ223" s="375">
        <f t="shared" si="268"/>
        <v>21.158000000000012</v>
      </c>
      <c r="AK223" s="375">
        <f t="shared" si="268"/>
        <v>-125.12800000000004</v>
      </c>
      <c r="AL223" s="375">
        <f t="shared" si="268"/>
        <v>36.5</v>
      </c>
      <c r="AM223" s="375">
        <f t="shared" si="268"/>
        <v>-26.021000000000058</v>
      </c>
      <c r="AN223" s="375">
        <f t="shared" ref="AN223:BL223" si="269">-SUM(AN167:AN173)</f>
        <v>43.481749999999991</v>
      </c>
      <c r="AO223" s="375">
        <f t="shared" si="269"/>
        <v>-5.8798249999999825</v>
      </c>
      <c r="AP223" s="375">
        <f t="shared" si="269"/>
        <v>-106.19077500000003</v>
      </c>
      <c r="AQ223" s="375">
        <f t="shared" si="269"/>
        <v>14.375</v>
      </c>
      <c r="AR223" s="375">
        <f t="shared" si="269"/>
        <v>-54.213850000000008</v>
      </c>
      <c r="AS223" s="375">
        <f t="shared" si="269"/>
        <v>37.957206249999999</v>
      </c>
      <c r="AT223" s="375">
        <f t="shared" si="269"/>
        <v>-10.357829374999994</v>
      </c>
      <c r="AU223" s="375">
        <f t="shared" si="269"/>
        <v>-107.53600562500003</v>
      </c>
      <c r="AV223" s="375">
        <f t="shared" si="269"/>
        <v>8.890625</v>
      </c>
      <c r="AW223" s="375">
        <f t="shared" si="269"/>
        <v>-71.046003750000011</v>
      </c>
      <c r="AX223" s="375">
        <f t="shared" si="269"/>
        <v>32.695776093749984</v>
      </c>
      <c r="AY223" s="375">
        <f t="shared" si="269"/>
        <v>-14.542633640625009</v>
      </c>
      <c r="AZ223" s="375">
        <f t="shared" si="269"/>
        <v>-108.72260548437504</v>
      </c>
      <c r="BA223" s="375">
        <f t="shared" si="269"/>
        <v>3.7246093750000036</v>
      </c>
      <c r="BB223" s="375">
        <f t="shared" si="269"/>
        <v>-86.844853656250052</v>
      </c>
      <c r="BC223" s="375">
        <f t="shared" si="269"/>
        <v>41.947131691406234</v>
      </c>
      <c r="BD223" s="375">
        <f t="shared" si="269"/>
        <v>-9.6584427996093751</v>
      </c>
      <c r="BE223" s="375">
        <f t="shared" si="269"/>
        <v>-95.49829034726568</v>
      </c>
      <c r="BF223" s="375">
        <f t="shared" si="269"/>
        <v>7.6521191406250324</v>
      </c>
      <c r="BG223" s="375">
        <f t="shared" si="269"/>
        <v>-55.557482314843753</v>
      </c>
      <c r="BH223" s="375">
        <f t="shared" si="269"/>
        <v>41.460953399121081</v>
      </c>
      <c r="BI223" s="375">
        <f t="shared" si="269"/>
        <v>-8.4794817296191525</v>
      </c>
      <c r="BJ223" s="375">
        <f t="shared" si="269"/>
        <v>-92.11083308858403</v>
      </c>
      <c r="BK223" s="375">
        <f t="shared" si="269"/>
        <v>7.8983161621094098</v>
      </c>
      <c r="BL223" s="375">
        <f t="shared" si="269"/>
        <v>-51.231045256972692</v>
      </c>
    </row>
    <row r="224" spans="1:74">
      <c r="A224" s="288" t="s">
        <v>1588</v>
      </c>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378">
        <f t="shared" ref="AH224:BL224" si="270">SUM(AH221:AH223)</f>
        <v>626.23900000000026</v>
      </c>
      <c r="AI224" s="378">
        <f t="shared" si="270"/>
        <v>45.984000000000016</v>
      </c>
      <c r="AJ224" s="378">
        <f t="shared" si="270"/>
        <v>286</v>
      </c>
      <c r="AK224" s="378">
        <f t="shared" si="270"/>
        <v>142.37400000000014</v>
      </c>
      <c r="AL224" s="378">
        <f t="shared" si="270"/>
        <v>89.069345656203495</v>
      </c>
      <c r="AM224" s="378">
        <f t="shared" si="270"/>
        <v>563.97134565620297</v>
      </c>
      <c r="AN224" s="378">
        <f t="shared" si="270"/>
        <v>121.70807358360891</v>
      </c>
      <c r="AO224" s="378">
        <f t="shared" si="270"/>
        <v>214.72654748510175</v>
      </c>
      <c r="AP224" s="378">
        <f t="shared" si="270"/>
        <v>142.15869927080917</v>
      </c>
      <c r="AQ224" s="378">
        <f t="shared" si="270"/>
        <v>122.43212325299669</v>
      </c>
      <c r="AR224" s="378">
        <f t="shared" si="270"/>
        <v>601.02544359251681</v>
      </c>
      <c r="AS224" s="378">
        <f t="shared" si="270"/>
        <v>118.37718706451268</v>
      </c>
      <c r="AT224" s="378">
        <f t="shared" si="270"/>
        <v>209.24200396597013</v>
      </c>
      <c r="AU224" s="378">
        <f t="shared" si="270"/>
        <v>138.58348269329778</v>
      </c>
      <c r="AV224" s="378">
        <f t="shared" si="270"/>
        <v>128.25936276896837</v>
      </c>
      <c r="AW224" s="378">
        <f t="shared" si="270"/>
        <v>594.46203649274889</v>
      </c>
      <c r="AX224" s="378">
        <f t="shared" si="270"/>
        <v>117.23227735623844</v>
      </c>
      <c r="AY224" s="378">
        <f t="shared" si="270"/>
        <v>213.14354579551568</v>
      </c>
      <c r="AZ224" s="378">
        <f t="shared" si="270"/>
        <v>139.52664713788394</v>
      </c>
      <c r="BA224" s="378">
        <f t="shared" si="270"/>
        <v>130.01971001694039</v>
      </c>
      <c r="BB224" s="378">
        <f t="shared" si="270"/>
        <v>599.92218030657841</v>
      </c>
      <c r="BC224" s="378">
        <f t="shared" si="270"/>
        <v>121.64792012796633</v>
      </c>
      <c r="BD224" s="378">
        <f t="shared" si="270"/>
        <v>217.77852779119706</v>
      </c>
      <c r="BE224" s="378">
        <f t="shared" si="270"/>
        <v>145.92876683702838</v>
      </c>
      <c r="BF224" s="378">
        <f t="shared" si="270"/>
        <v>137.60642466383308</v>
      </c>
      <c r="BG224" s="378">
        <f t="shared" si="270"/>
        <v>622.96163942002477</v>
      </c>
      <c r="BH224" s="378">
        <f t="shared" si="270"/>
        <v>129.26655092201432</v>
      </c>
      <c r="BI224" s="378">
        <f t="shared" si="270"/>
        <v>226.13195471603925</v>
      </c>
      <c r="BJ224" s="378">
        <f t="shared" si="270"/>
        <v>154.86625669219626</v>
      </c>
      <c r="BK224" s="378">
        <f t="shared" si="270"/>
        <v>147.18521291621445</v>
      </c>
      <c r="BL224" s="378">
        <f t="shared" si="270"/>
        <v>657.44997524646442</v>
      </c>
    </row>
    <row r="225" spans="1:74">
      <c r="A225" s="1" t="s">
        <v>1589</v>
      </c>
      <c r="AH225" s="375">
        <f>1000*AH224/AH58</f>
        <v>132.62248772115026</v>
      </c>
      <c r="AI225" s="375">
        <f>1000*AI224/AI58</f>
        <v>9.7114390899753609</v>
      </c>
      <c r="AJ225" s="375">
        <f>1000*AJ224/AJ58</f>
        <v>60.375375686434907</v>
      </c>
      <c r="AK225" s="375">
        <f>1000*AK224/AK58</f>
        <v>30.093523903818351</v>
      </c>
      <c r="AL225" s="375">
        <f>1000*AL224/AL58</f>
        <v>18.826544752570108</v>
      </c>
      <c r="AM225" s="375">
        <f>SUM(AI225:AL225)</f>
        <v>119.00688343279873</v>
      </c>
      <c r="AN225" s="375">
        <f>1000*AN224/AN58</f>
        <v>25.725376976667182</v>
      </c>
      <c r="AO225" s="375">
        <f>1000*AO224/AO58</f>
        <v>45.386647067071856</v>
      </c>
      <c r="AP225" s="375">
        <f>1000*AP224/AP58</f>
        <v>30.048015892240265</v>
      </c>
      <c r="AQ225" s="375">
        <f>1000*AQ224/AQ58</f>
        <v>25.878419007046841</v>
      </c>
      <c r="AR225" s="375">
        <f>SUM(AN225:AQ225)</f>
        <v>127.03845894302616</v>
      </c>
      <c r="AS225" s="375">
        <f>1000*AS224/AS58</f>
        <v>25.021329095148587</v>
      </c>
      <c r="AT225" s="375">
        <f>1000*AT224/AT58</f>
        <v>44.227381741278393</v>
      </c>
      <c r="AU225" s="375">
        <f>1000*AU224/AU58</f>
        <v>29.292324083787417</v>
      </c>
      <c r="AV225" s="375">
        <f>1000*AV224/AV58</f>
        <v>27.110119820869368</v>
      </c>
      <c r="AW225" s="375">
        <f>SUM(AS225:AV225)</f>
        <v>125.65115474108377</v>
      </c>
      <c r="AX225" s="375">
        <f>1000*AX224/AX58</f>
        <v>24.779330080766297</v>
      </c>
      <c r="AY225" s="375">
        <f>1000*AY224/AY58</f>
        <v>45.052048761304349</v>
      </c>
      <c r="AZ225" s="375">
        <f>1000*AZ224/AZ58</f>
        <v>29.491680298815332</v>
      </c>
      <c r="BA225" s="375">
        <f>1000*BA224/BA58</f>
        <v>27.482203572016818</v>
      </c>
      <c r="BB225" s="375">
        <f>SUM(AX225:BA225)</f>
        <v>126.8052627129028</v>
      </c>
      <c r="BC225" s="375">
        <f>1000*BC224/BC58</f>
        <v>25.712662369679411</v>
      </c>
      <c r="BD225" s="375">
        <f>1000*BD224/BD58</f>
        <v>46.031742676491149</v>
      </c>
      <c r="BE225" s="375">
        <f>1000*BE224/BE58</f>
        <v>30.844893260460783</v>
      </c>
      <c r="BF225" s="375">
        <f>1000*BF224/BF58</f>
        <v>29.085803798025172</v>
      </c>
      <c r="BG225" s="375">
        <f>SUM(BC225:BF225)</f>
        <v>131.6751021046565</v>
      </c>
      <c r="BH225" s="375">
        <f>1000*BH224/BH58</f>
        <v>27.323008696361597</v>
      </c>
      <c r="BI225" s="375">
        <f>1000*BI224/BI58</f>
        <v>47.797402507931849</v>
      </c>
      <c r="BJ225" s="375">
        <f>1000*BJ224/BJ58</f>
        <v>32.734006192573588</v>
      </c>
      <c r="BK225" s="375">
        <f>1000*BK224/BK58</f>
        <v>31.110467663918193</v>
      </c>
      <c r="BL225" s="375">
        <f>SUM(BH225:BK225)</f>
        <v>138.96488506078524</v>
      </c>
    </row>
    <row r="227" spans="1:74">
      <c r="A227" s="3" t="s">
        <v>1590</v>
      </c>
    </row>
    <row r="229" spans="1:74">
      <c r="A229" s="1" t="s">
        <v>1585</v>
      </c>
      <c r="AH229" s="375">
        <f>AH218</f>
        <v>546.52900000000022</v>
      </c>
      <c r="AI229" s="375">
        <f>AI218</f>
        <v>4.535000000000025</v>
      </c>
      <c r="AJ229" s="375">
        <f>AJ218</f>
        <v>264.84199999999998</v>
      </c>
      <c r="AK229" s="375">
        <f>AK218</f>
        <v>267.50200000000018</v>
      </c>
      <c r="AL229" s="375">
        <f t="shared" ref="AL229:AM229" si="271">AL218</f>
        <v>52.569345656203495</v>
      </c>
      <c r="AM229" s="375">
        <f t="shared" si="271"/>
        <v>589.99234565620304</v>
      </c>
      <c r="AN229" s="375">
        <f>AN218</f>
        <v>78.226323583608917</v>
      </c>
      <c r="AO229" s="375">
        <f>AO218</f>
        <v>220.60637248510173</v>
      </c>
      <c r="AP229" s="375">
        <f>AP218</f>
        <v>248.3494742708092</v>
      </c>
      <c r="AQ229" s="375">
        <f t="shared" ref="AQ229:AR229" si="272">AQ218</f>
        <v>108.05712325299669</v>
      </c>
      <c r="AR229" s="375">
        <f t="shared" si="272"/>
        <v>655.23929359251679</v>
      </c>
      <c r="AS229" s="375">
        <f>AS218</f>
        <v>80.419980814512684</v>
      </c>
      <c r="AT229" s="375">
        <f>AT218</f>
        <v>219.59983334097012</v>
      </c>
      <c r="AU229" s="375">
        <f>AU218</f>
        <v>246.11948831829781</v>
      </c>
      <c r="AV229" s="375">
        <f t="shared" ref="AV229:AW229" si="273">AV218</f>
        <v>119.36873776896837</v>
      </c>
      <c r="AW229" s="375">
        <f t="shared" si="273"/>
        <v>665.50804024274885</v>
      </c>
      <c r="AX229" s="375">
        <f>AX218</f>
        <v>84.536501262488457</v>
      </c>
      <c r="AY229" s="375">
        <f>AY218</f>
        <v>227.68617943614069</v>
      </c>
      <c r="AZ229" s="375">
        <f>AZ218</f>
        <v>248.24925262225898</v>
      </c>
      <c r="BA229" s="375">
        <f t="shared" ref="BA229:BB229" si="274">BA218</f>
        <v>126.29510064194039</v>
      </c>
      <c r="BB229" s="375">
        <f t="shared" si="274"/>
        <v>686.76703396282846</v>
      </c>
      <c r="BC229" s="375">
        <f>BC218</f>
        <v>79.700788436560089</v>
      </c>
      <c r="BD229" s="375">
        <f>BD218</f>
        <v>227.43697059080645</v>
      </c>
      <c r="BE229" s="375">
        <f>BE218</f>
        <v>241.42705718429406</v>
      </c>
      <c r="BF229" s="375">
        <f t="shared" ref="BF229:BG229" si="275">BF218</f>
        <v>129.95430552320803</v>
      </c>
      <c r="BG229" s="375">
        <f t="shared" si="275"/>
        <v>678.51912173486858</v>
      </c>
      <c r="BH229" s="375">
        <f>BH218</f>
        <v>87.805597522893237</v>
      </c>
      <c r="BI229" s="375">
        <f>BI218</f>
        <v>234.6114364456584</v>
      </c>
      <c r="BJ229" s="375">
        <f>BJ218</f>
        <v>246.97708978078029</v>
      </c>
      <c r="BK229" s="375">
        <f t="shared" ref="BK229:BL229" si="276">BK218</f>
        <v>139.28689675410504</v>
      </c>
      <c r="BL229" s="375">
        <f t="shared" si="276"/>
        <v>708.68102050343714</v>
      </c>
    </row>
    <row r="230" spans="1:74">
      <c r="A230" s="1" t="s">
        <v>1591</v>
      </c>
      <c r="AH230" s="375">
        <f>-SUM(AH176:AH177)</f>
        <v>54.109000000000002</v>
      </c>
      <c r="AI230" s="375">
        <f>-SUM(AI176:AI177)</f>
        <v>12.747999999999999</v>
      </c>
      <c r="AJ230" s="375">
        <f>-SUM(AJ176:AJ177)</f>
        <v>13.288</v>
      </c>
      <c r="AK230" s="375">
        <f>-SUM(AK176:AK177)</f>
        <v>12.686000000000005</v>
      </c>
      <c r="AL230" s="375">
        <f t="shared" ref="AL230:AM230" si="277">-SUM(AL176:AL177)</f>
        <v>17.550687499999999</v>
      </c>
      <c r="AM230" s="375">
        <f t="shared" si="277"/>
        <v>56.272687500000004</v>
      </c>
      <c r="AN230" s="375">
        <f>-SUM(AN176:AN177)</f>
        <v>18.702864953789234</v>
      </c>
      <c r="AO230" s="375">
        <f>-SUM(AO176:AO177)</f>
        <v>20.36218176981594</v>
      </c>
      <c r="AP230" s="375">
        <f>-SUM(AP176:AP177)</f>
        <v>10.728737430542822</v>
      </c>
      <c r="AQ230" s="375">
        <f t="shared" ref="AQ230:AR230" si="278">-SUM(AQ176:AQ177)</f>
        <v>24.547065152051381</v>
      </c>
      <c r="AR230" s="375">
        <f t="shared" si="278"/>
        <v>74.340849306199374</v>
      </c>
      <c r="AS230" s="375">
        <f>-SUM(AS176:AS177)</f>
        <v>20.089280617023782</v>
      </c>
      <c r="AT230" s="375">
        <f>-SUM(AT176:AT177)</f>
        <v>21.710461364667875</v>
      </c>
      <c r="AU230" s="375">
        <f>-SUM(AU176:AU177)</f>
        <v>12.049142839422913</v>
      </c>
      <c r="AV230" s="375">
        <f t="shared" ref="AV230:AW230" si="279">-SUM(AV176:AV177)</f>
        <v>25.768496026012311</v>
      </c>
      <c r="AW230" s="375">
        <f t="shared" si="279"/>
        <v>79.617380847126881</v>
      </c>
      <c r="AX230" s="375">
        <f>-SUM(AX176:AX177)</f>
        <v>21.256982701817389</v>
      </c>
      <c r="AY230" s="375">
        <f>-SUM(AY176:AY177)</f>
        <v>22.779556503215844</v>
      </c>
      <c r="AZ230" s="375">
        <f>-SUM(AZ176:AZ177)</f>
        <v>13.260754238532371</v>
      </c>
      <c r="BA230" s="375">
        <f t="shared" ref="BA230:BB230" si="280">-SUM(BA176:BA177)</f>
        <v>26.843947514246512</v>
      </c>
      <c r="BB230" s="375">
        <f t="shared" si="280"/>
        <v>84.141240957812101</v>
      </c>
      <c r="BC230" s="375">
        <f>-SUM(BC176:BC177)</f>
        <v>22.308031559492584</v>
      </c>
      <c r="BD230" s="375">
        <f>-SUM(BD176:BD177)</f>
        <v>23.773878498343656</v>
      </c>
      <c r="BE230" s="375">
        <f>-SUM(BE176:BE177)</f>
        <v>14.119216379296404</v>
      </c>
      <c r="BF230" s="375">
        <f t="shared" ref="BF230:BG230" si="281">-SUM(BF176:BF177)</f>
        <v>27.546927307214396</v>
      </c>
      <c r="BG230" s="375">
        <f t="shared" si="281"/>
        <v>87.748053744347047</v>
      </c>
      <c r="BH230" s="375">
        <f>-SUM(BH176:BH177)</f>
        <v>23.0447868736155</v>
      </c>
      <c r="BI230" s="375">
        <f>-SUM(BI176:BI177)</f>
        <v>24.319168479835543</v>
      </c>
      <c r="BJ230" s="375">
        <f>-SUM(BJ176:BJ177)</f>
        <v>14.721374730835155</v>
      </c>
      <c r="BK230" s="375">
        <f t="shared" ref="BK230:BL230" si="282">-SUM(BK176:BK177)</f>
        <v>27.884902506601399</v>
      </c>
      <c r="BL230" s="375">
        <f t="shared" si="282"/>
        <v>89.970232590887605</v>
      </c>
    </row>
    <row r="231" spans="1:74">
      <c r="A231" s="1" t="s">
        <v>1592</v>
      </c>
      <c r="AH231" s="375">
        <f>-SUM(AH178:AH179)</f>
        <v>265.66199999999998</v>
      </c>
      <c r="AI231" s="375">
        <f>-SUM(AI178:AI179)</f>
        <v>127.42900000000002</v>
      </c>
      <c r="AJ231" s="375">
        <f>-SUM(AJ178:AJ179)</f>
        <v>-9.4260000000000197</v>
      </c>
      <c r="AK231" s="375">
        <f>-SUM(AK178:AK179)</f>
        <v>160.01400000000001</v>
      </c>
      <c r="AL231" s="375">
        <f t="shared" ref="AL231:AM231" si="283">-SUM(AL178:AL179)</f>
        <v>32.717754908484075</v>
      </c>
      <c r="AM231" s="375">
        <f t="shared" si="283"/>
        <v>310.73475490848409</v>
      </c>
      <c r="AN231" s="375">
        <f>-SUM(AN178:AN179)</f>
        <v>123.90095416789961</v>
      </c>
      <c r="AO231" s="375">
        <f>-SUM(AO178:AO179)</f>
        <v>61.033282451243679</v>
      </c>
      <c r="AP231" s="375">
        <f>-SUM(AP178:AP179)</f>
        <v>102.31873932373648</v>
      </c>
      <c r="AQ231" s="375">
        <f t="shared" ref="AQ231:AR231" si="284">-SUM(AQ178:AQ179)</f>
        <v>14.451244050628979</v>
      </c>
      <c r="AR231" s="375">
        <f t="shared" si="284"/>
        <v>301.70421999350873</v>
      </c>
      <c r="AS231" s="375">
        <f>-SUM(AS178:AS179)</f>
        <v>124.83715981845508</v>
      </c>
      <c r="AT231" s="375">
        <f>-SUM(AT178:AT179)</f>
        <v>60.957811643374839</v>
      </c>
      <c r="AU231" s="375">
        <f>-SUM(AU178:AU179)</f>
        <v>103.17093537217393</v>
      </c>
      <c r="AV231" s="375">
        <f t="shared" ref="AV231:AW231" si="285">-SUM(AV178:AV179)</f>
        <v>19.170654856681843</v>
      </c>
      <c r="AW231" s="375">
        <f t="shared" si="285"/>
        <v>308.13656169068565</v>
      </c>
      <c r="AX231" s="375">
        <f>-SUM(AX178:AX179)</f>
        <v>127.62691853490517</v>
      </c>
      <c r="AY231" s="375">
        <f>-SUM(AY178:AY179)</f>
        <v>65.813890969460758</v>
      </c>
      <c r="AZ231" s="375">
        <f>-SUM(AZ178:AZ179)</f>
        <v>106.89020400879321</v>
      </c>
      <c r="BA231" s="375">
        <f t="shared" ref="BA231:BB231" si="286">-SUM(BA178:BA179)</f>
        <v>23.095210897086467</v>
      </c>
      <c r="BB231" s="375">
        <f t="shared" si="286"/>
        <v>323.4262244102456</v>
      </c>
      <c r="BC231" s="375">
        <f>-SUM(BC178:BC179)</f>
        <v>132.29468347299178</v>
      </c>
      <c r="BD231" s="375">
        <f>-SUM(BD178:BD179)</f>
        <v>70.419056767224831</v>
      </c>
      <c r="BE231" s="375">
        <f>-SUM(BE178:BE179)</f>
        <v>112.37509739078769</v>
      </c>
      <c r="BF231" s="375">
        <f t="shared" ref="BF231:BG231" si="287">-SUM(BF178:BF179)</f>
        <v>28.895082400859422</v>
      </c>
      <c r="BG231" s="375">
        <f t="shared" si="287"/>
        <v>343.9839200318637</v>
      </c>
      <c r="BH231" s="375">
        <f>-SUM(BH178:BH179)</f>
        <v>138.48052036111289</v>
      </c>
      <c r="BI231" s="375">
        <f>-SUM(BI178:BI179)</f>
        <v>76.752740150278825</v>
      </c>
      <c r="BJ231" s="375">
        <f>-SUM(BJ178:BJ179)</f>
        <v>119.08108135114919</v>
      </c>
      <c r="BK231" s="375">
        <f t="shared" ref="BK231:BL231" si="288">-SUM(BK178:BK179)</f>
        <v>35.685930902974938</v>
      </c>
      <c r="BL231" s="375">
        <f t="shared" si="288"/>
        <v>370.00027276551583</v>
      </c>
    </row>
    <row r="232" spans="1:74">
      <c r="A232" s="1" t="s">
        <v>1593</v>
      </c>
      <c r="AH232" s="375">
        <f>-AH241*SUM(AH229:AH231)</f>
        <v>-259.89000000000004</v>
      </c>
      <c r="AI232" s="375">
        <f>-AI241*SUM(AI229:AI231)</f>
        <v>-43.41360000000001</v>
      </c>
      <c r="AJ232" s="375">
        <f>-AJ241*SUM(AJ229:AJ231)</f>
        <v>-80.611199999999982</v>
      </c>
      <c r="AK232" s="375">
        <f>-AK241*SUM(AK229:AK231)</f>
        <v>-132.06060000000005</v>
      </c>
      <c r="AL232" s="375">
        <f t="shared" ref="AL232" si="289">-AL241*SUM(AL229:AL231)</f>
        <v>-30.85133641940627</v>
      </c>
      <c r="AM232" s="375">
        <f>SUM(AI232:AL232)</f>
        <v>-286.93673641940632</v>
      </c>
      <c r="AN232" s="375">
        <f>-AN241*SUM(AN229:AN231)</f>
        <v>-66.24904281158932</v>
      </c>
      <c r="AO232" s="375">
        <f>-AO241*SUM(AO229:AO231)</f>
        <v>-90.60055101184841</v>
      </c>
      <c r="AP232" s="375">
        <f>-AP241*SUM(AP229:AP231)</f>
        <v>-108.41908530752654</v>
      </c>
      <c r="AQ232" s="375">
        <f t="shared" ref="AQ232" si="290">-AQ241*SUM(AQ229:AQ231)</f>
        <v>-44.116629736703111</v>
      </c>
      <c r="AR232" s="375">
        <f>SUM(AN232:AQ232)</f>
        <v>-309.38530886766733</v>
      </c>
      <c r="AS232" s="375">
        <f>-AS241*SUM(AS229:AS231)</f>
        <v>-67.603926374997457</v>
      </c>
      <c r="AT232" s="375">
        <f>-AT241*SUM(AT229:AT231)</f>
        <v>-90.680431904703852</v>
      </c>
      <c r="AU232" s="375">
        <f>-AU241*SUM(AU229:AU231)</f>
        <v>-108.40186995896839</v>
      </c>
      <c r="AV232" s="375">
        <f t="shared" ref="AV232" si="291">-AV241*SUM(AV229:AV231)</f>
        <v>-49.292366595498756</v>
      </c>
      <c r="AW232" s="375">
        <f>SUM(AS232:AV232)</f>
        <v>-315.97859483416846</v>
      </c>
      <c r="AX232" s="375">
        <f>-AX241*SUM(AX229:AX231)</f>
        <v>-70.026120749763308</v>
      </c>
      <c r="AY232" s="375">
        <f>-AY241*SUM(AY229:AY231)</f>
        <v>-94.883888072645192</v>
      </c>
      <c r="AZ232" s="375">
        <f>-AZ241*SUM(AZ229:AZ231)</f>
        <v>-110.52006326087536</v>
      </c>
      <c r="BA232" s="375">
        <f t="shared" ref="BA232" si="292">-BA241*SUM(BA229:BA231)</f>
        <v>-52.870277715982013</v>
      </c>
      <c r="BB232" s="375">
        <f>SUM(AX232:BA232)</f>
        <v>-328.30034979926586</v>
      </c>
      <c r="BC232" s="375">
        <f>-BC241*SUM(BC229:BC231)</f>
        <v>-70.291051040713327</v>
      </c>
      <c r="BD232" s="375">
        <f>-BD241*SUM(BD229:BD231)</f>
        <v>-96.488971756912477</v>
      </c>
      <c r="BE232" s="375">
        <f>-BE241*SUM(BE229:BE231)</f>
        <v>-110.37641128631346</v>
      </c>
      <c r="BF232" s="375">
        <f t="shared" ref="BF232" si="293">-BF241*SUM(BF229:BF231)</f>
        <v>-55.918894569384555</v>
      </c>
      <c r="BG232" s="375">
        <f>SUM(BC232:BF232)</f>
        <v>-333.07532865332382</v>
      </c>
      <c r="BH232" s="375">
        <f>-BH241*SUM(BH229:BH231)</f>
        <v>-74.799271427286484</v>
      </c>
      <c r="BI232" s="375">
        <f>-BI241*SUM(BI229:BI231)</f>
        <v>-100.70500352273183</v>
      </c>
      <c r="BJ232" s="375">
        <f>-BJ241*SUM(BJ229:BJ231)</f>
        <v>-114.23386375882939</v>
      </c>
      <c r="BK232" s="375">
        <f t="shared" ref="BK232" si="294">-BK241*SUM(BK229:BK231)</f>
        <v>-60.857319049104419</v>
      </c>
      <c r="BL232" s="375">
        <f>SUM(BH232:BK232)</f>
        <v>-350.59545775795215</v>
      </c>
    </row>
    <row r="233" spans="1:74">
      <c r="A233" s="288" t="s">
        <v>1594</v>
      </c>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378">
        <f>SUM(AH229:AH232)</f>
        <v>606.41000000000008</v>
      </c>
      <c r="AI233" s="378">
        <f>SUM(AI229:AI232)</f>
        <v>101.29840000000004</v>
      </c>
      <c r="AJ233" s="378">
        <f>SUM(AJ229:AJ232)</f>
        <v>188.09279999999995</v>
      </c>
      <c r="AK233" s="378">
        <f>SUM(AK229:AK232)</f>
        <v>308.14140000000009</v>
      </c>
      <c r="AL233" s="378">
        <f t="shared" ref="AL233:AM233" si="295">SUM(AL229:AL232)</f>
        <v>71.986451645281306</v>
      </c>
      <c r="AM233" s="378">
        <f t="shared" si="295"/>
        <v>670.06305164528078</v>
      </c>
      <c r="AN233" s="378">
        <f>SUM(AN229:AN232)</f>
        <v>154.58109989370843</v>
      </c>
      <c r="AO233" s="378">
        <f>SUM(AO229:AO232)</f>
        <v>211.40128569431297</v>
      </c>
      <c r="AP233" s="378">
        <f>SUM(AP229:AP232)</f>
        <v>252.97786571756194</v>
      </c>
      <c r="AQ233" s="378">
        <f t="shared" ref="AQ233:AR233" si="296">SUM(AQ229:AQ232)</f>
        <v>102.93880271897393</v>
      </c>
      <c r="AR233" s="378">
        <f t="shared" si="296"/>
        <v>721.89905402455747</v>
      </c>
      <c r="AS233" s="378">
        <f>SUM(AS229:AS232)</f>
        <v>157.74249487499407</v>
      </c>
      <c r="AT233" s="378">
        <f>SUM(AT229:AT232)</f>
        <v>211.58767444430899</v>
      </c>
      <c r="AU233" s="378">
        <f>SUM(AU229:AU232)</f>
        <v>252.93769657092622</v>
      </c>
      <c r="AV233" s="378">
        <f t="shared" ref="AV233:AW233" si="297">SUM(AV229:AV232)</f>
        <v>115.01552205616377</v>
      </c>
      <c r="AW233" s="378">
        <f t="shared" si="297"/>
        <v>737.28338794639308</v>
      </c>
      <c r="AX233" s="378">
        <f>SUM(AX229:AX232)</f>
        <v>163.39428174944771</v>
      </c>
      <c r="AY233" s="378">
        <f>SUM(AY229:AY232)</f>
        <v>221.39573883617211</v>
      </c>
      <c r="AZ233" s="378">
        <f>SUM(AZ229:AZ232)</f>
        <v>257.88014760870919</v>
      </c>
      <c r="BA233" s="378">
        <f t="shared" ref="BA233:BB233" si="298">SUM(BA229:BA232)</f>
        <v>123.36398133729136</v>
      </c>
      <c r="BB233" s="378">
        <f t="shared" si="298"/>
        <v>766.03414953162019</v>
      </c>
      <c r="BC233" s="378">
        <f>SUM(BC229:BC232)</f>
        <v>164.01245242833113</v>
      </c>
      <c r="BD233" s="378">
        <f>SUM(BD229:BD232)</f>
        <v>225.14093409946247</v>
      </c>
      <c r="BE233" s="378">
        <f>SUM(BE229:BE232)</f>
        <v>257.54495966806473</v>
      </c>
      <c r="BF233" s="378">
        <f t="shared" ref="BF233:BG233" si="299">SUM(BF229:BF232)</f>
        <v>130.4774206618973</v>
      </c>
      <c r="BG233" s="378">
        <f t="shared" si="299"/>
        <v>777.17576685775543</v>
      </c>
      <c r="BH233" s="378">
        <f>SUM(BH229:BH232)</f>
        <v>174.53163333033513</v>
      </c>
      <c r="BI233" s="378">
        <f>SUM(BI229:BI232)</f>
        <v>234.97834155304093</v>
      </c>
      <c r="BJ233" s="378">
        <f>SUM(BJ229:BJ232)</f>
        <v>266.54568210393523</v>
      </c>
      <c r="BK233" s="378">
        <f t="shared" ref="BK233:BL233" si="300">SUM(BK229:BK232)</f>
        <v>142.00041111457699</v>
      </c>
      <c r="BL233" s="378">
        <f t="shared" si="300"/>
        <v>818.05606810188851</v>
      </c>
      <c r="BP233" s="375">
        <f t="shared" ref="BP233:BV233" si="301">INDEX($AD233:$BL233, MATCH(BP$2, $AD$2:$BL$2, 0))</f>
        <v>606.41000000000008</v>
      </c>
      <c r="BQ233" s="375">
        <f t="shared" si="301"/>
        <v>670.06305164528078</v>
      </c>
      <c r="BR233" s="375">
        <f t="shared" si="301"/>
        <v>721.89905402455747</v>
      </c>
      <c r="BS233" s="375">
        <f t="shared" si="301"/>
        <v>737.28338794639308</v>
      </c>
      <c r="BT233" s="375">
        <f t="shared" si="301"/>
        <v>766.03414953162019</v>
      </c>
      <c r="BU233" s="375">
        <f t="shared" si="301"/>
        <v>777.17576685775543</v>
      </c>
      <c r="BV233" s="375">
        <f t="shared" si="301"/>
        <v>818.05606810188851</v>
      </c>
    </row>
    <row r="235" spans="1:74">
      <c r="A235" s="1" t="s">
        <v>1588</v>
      </c>
      <c r="AH235" s="375">
        <f>AH224</f>
        <v>626.23900000000026</v>
      </c>
      <c r="AI235" s="375">
        <f>AI224</f>
        <v>45.984000000000016</v>
      </c>
      <c r="AJ235" s="375">
        <f>AJ224</f>
        <v>286</v>
      </c>
      <c r="AK235" s="375">
        <f>AK224</f>
        <v>142.37400000000014</v>
      </c>
      <c r="AL235" s="375">
        <f t="shared" ref="AL235:AM235" si="302">AL224</f>
        <v>89.069345656203495</v>
      </c>
      <c r="AM235" s="375">
        <f t="shared" si="302"/>
        <v>563.97134565620297</v>
      </c>
      <c r="AN235" s="375">
        <f>AN224</f>
        <v>121.70807358360891</v>
      </c>
      <c r="AO235" s="375">
        <f>AO224</f>
        <v>214.72654748510175</v>
      </c>
      <c r="AP235" s="375">
        <f>AP224</f>
        <v>142.15869927080917</v>
      </c>
      <c r="AQ235" s="375">
        <f t="shared" ref="AQ235:AR235" si="303">AQ224</f>
        <v>122.43212325299669</v>
      </c>
      <c r="AR235" s="375">
        <f t="shared" si="303"/>
        <v>601.02544359251681</v>
      </c>
      <c r="AS235" s="375">
        <f>AS224</f>
        <v>118.37718706451268</v>
      </c>
      <c r="AT235" s="375">
        <f>AT224</f>
        <v>209.24200396597013</v>
      </c>
      <c r="AU235" s="375">
        <f>AU224</f>
        <v>138.58348269329778</v>
      </c>
      <c r="AV235" s="375">
        <f t="shared" ref="AV235:AW235" si="304">AV224</f>
        <v>128.25936276896837</v>
      </c>
      <c r="AW235" s="375">
        <f t="shared" si="304"/>
        <v>594.46203649274889</v>
      </c>
      <c r="AX235" s="375">
        <f>AX224</f>
        <v>117.23227735623844</v>
      </c>
      <c r="AY235" s="375">
        <f>AY224</f>
        <v>213.14354579551568</v>
      </c>
      <c r="AZ235" s="375">
        <f>AZ224</f>
        <v>139.52664713788394</v>
      </c>
      <c r="BA235" s="375">
        <f t="shared" ref="BA235:BB235" si="305">BA224</f>
        <v>130.01971001694039</v>
      </c>
      <c r="BB235" s="375">
        <f t="shared" si="305"/>
        <v>599.92218030657841</v>
      </c>
      <c r="BC235" s="375">
        <f>BC224</f>
        <v>121.64792012796633</v>
      </c>
      <c r="BD235" s="375">
        <f>BD224</f>
        <v>217.77852779119706</v>
      </c>
      <c r="BE235" s="375">
        <f>BE224</f>
        <v>145.92876683702838</v>
      </c>
      <c r="BF235" s="375">
        <f t="shared" ref="BF235:BG235" si="306">BF224</f>
        <v>137.60642466383308</v>
      </c>
      <c r="BG235" s="375">
        <f t="shared" si="306"/>
        <v>622.96163942002477</v>
      </c>
      <c r="BH235" s="375">
        <f>BH224</f>
        <v>129.26655092201432</v>
      </c>
      <c r="BI235" s="375">
        <f>BI224</f>
        <v>226.13195471603925</v>
      </c>
      <c r="BJ235" s="375">
        <f>BJ224</f>
        <v>154.86625669219626</v>
      </c>
      <c r="BK235" s="375">
        <f t="shared" ref="BK235:BL235" si="307">BK224</f>
        <v>147.18521291621445</v>
      </c>
      <c r="BL235" s="375">
        <f t="shared" si="307"/>
        <v>657.44997524646442</v>
      </c>
    </row>
    <row r="236" spans="1:74">
      <c r="A236" s="1" t="s">
        <v>1591</v>
      </c>
      <c r="AH236" s="375">
        <f>-SUM(AH176:AH177)</f>
        <v>54.109000000000002</v>
      </c>
      <c r="AI236" s="375">
        <f>-SUM(AI176:AI177)</f>
        <v>12.747999999999999</v>
      </c>
      <c r="AJ236" s="375">
        <f>-SUM(AJ176:AJ177)</f>
        <v>13.288</v>
      </c>
      <c r="AK236" s="375">
        <f>-SUM(AK176:AK177)</f>
        <v>12.686000000000005</v>
      </c>
      <c r="AL236" s="375">
        <f t="shared" ref="AL236:AM236" si="308">-SUM(AL176:AL177)</f>
        <v>17.550687499999999</v>
      </c>
      <c r="AM236" s="375">
        <f t="shared" si="308"/>
        <v>56.272687500000004</v>
      </c>
      <c r="AN236" s="375">
        <f>-SUM(AN176:AN177)</f>
        <v>18.702864953789234</v>
      </c>
      <c r="AO236" s="375">
        <f>-SUM(AO176:AO177)</f>
        <v>20.36218176981594</v>
      </c>
      <c r="AP236" s="375">
        <f>-SUM(AP176:AP177)</f>
        <v>10.728737430542822</v>
      </c>
      <c r="AQ236" s="375">
        <f t="shared" ref="AQ236:AR236" si="309">-SUM(AQ176:AQ177)</f>
        <v>24.547065152051381</v>
      </c>
      <c r="AR236" s="375">
        <f t="shared" si="309"/>
        <v>74.340849306199374</v>
      </c>
      <c r="AS236" s="375">
        <f>-SUM(AS176:AS177)</f>
        <v>20.089280617023782</v>
      </c>
      <c r="AT236" s="375">
        <f>-SUM(AT176:AT177)</f>
        <v>21.710461364667875</v>
      </c>
      <c r="AU236" s="375">
        <f>-SUM(AU176:AU177)</f>
        <v>12.049142839422913</v>
      </c>
      <c r="AV236" s="375">
        <f t="shared" ref="AV236:AW236" si="310">-SUM(AV176:AV177)</f>
        <v>25.768496026012311</v>
      </c>
      <c r="AW236" s="375">
        <f t="shared" si="310"/>
        <v>79.617380847126881</v>
      </c>
      <c r="AX236" s="375">
        <f>-SUM(AX176:AX177)</f>
        <v>21.256982701817389</v>
      </c>
      <c r="AY236" s="375">
        <f>-SUM(AY176:AY177)</f>
        <v>22.779556503215844</v>
      </c>
      <c r="AZ236" s="375">
        <f>-SUM(AZ176:AZ177)</f>
        <v>13.260754238532371</v>
      </c>
      <c r="BA236" s="375">
        <f t="shared" ref="BA236:BB236" si="311">-SUM(BA176:BA177)</f>
        <v>26.843947514246512</v>
      </c>
      <c r="BB236" s="375">
        <f t="shared" si="311"/>
        <v>84.141240957812101</v>
      </c>
      <c r="BC236" s="375">
        <f>-SUM(BC176:BC177)</f>
        <v>22.308031559492584</v>
      </c>
      <c r="BD236" s="375">
        <f>-SUM(BD176:BD177)</f>
        <v>23.773878498343656</v>
      </c>
      <c r="BE236" s="375">
        <f>-SUM(BE176:BE177)</f>
        <v>14.119216379296404</v>
      </c>
      <c r="BF236" s="375">
        <f t="shared" ref="BF236:BG236" si="312">-SUM(BF176:BF177)</f>
        <v>27.546927307214396</v>
      </c>
      <c r="BG236" s="375">
        <f t="shared" si="312"/>
        <v>87.748053744347047</v>
      </c>
      <c r="BH236" s="375">
        <f>-SUM(BH176:BH177)</f>
        <v>23.0447868736155</v>
      </c>
      <c r="BI236" s="375">
        <f>-SUM(BI176:BI177)</f>
        <v>24.319168479835543</v>
      </c>
      <c r="BJ236" s="375">
        <f>-SUM(BJ176:BJ177)</f>
        <v>14.721374730835155</v>
      </c>
      <c r="BK236" s="375">
        <f t="shared" ref="BK236:BL236" si="313">-SUM(BK176:BK177)</f>
        <v>27.884902506601399</v>
      </c>
      <c r="BL236" s="375">
        <f t="shared" si="313"/>
        <v>89.970232590887605</v>
      </c>
    </row>
    <row r="237" spans="1:74">
      <c r="A237" s="1" t="s">
        <v>1592</v>
      </c>
      <c r="AH237" s="375">
        <f>-SUM(AH178:AH179)</f>
        <v>265.66199999999998</v>
      </c>
      <c r="AI237" s="375">
        <f>-SUM(AI178:AI179)</f>
        <v>127.42900000000002</v>
      </c>
      <c r="AJ237" s="375">
        <f>-SUM(AJ178:AJ179)</f>
        <v>-9.4260000000000197</v>
      </c>
      <c r="AK237" s="375">
        <f>-SUM(AK178:AK179)</f>
        <v>160.01400000000001</v>
      </c>
      <c r="AL237" s="375">
        <f t="shared" ref="AL237:AM237" si="314">-SUM(AL178:AL179)</f>
        <v>32.717754908484075</v>
      </c>
      <c r="AM237" s="375">
        <f t="shared" si="314"/>
        <v>310.73475490848409</v>
      </c>
      <c r="AN237" s="375">
        <f>-SUM(AN178:AN179)</f>
        <v>123.90095416789961</v>
      </c>
      <c r="AO237" s="375">
        <f>-SUM(AO178:AO179)</f>
        <v>61.033282451243679</v>
      </c>
      <c r="AP237" s="375">
        <f>-SUM(AP178:AP179)</f>
        <v>102.31873932373648</v>
      </c>
      <c r="AQ237" s="375">
        <f t="shared" ref="AQ237:AR237" si="315">-SUM(AQ178:AQ179)</f>
        <v>14.451244050628979</v>
      </c>
      <c r="AR237" s="375">
        <f t="shared" si="315"/>
        <v>301.70421999350873</v>
      </c>
      <c r="AS237" s="375">
        <f>-SUM(AS178:AS179)</f>
        <v>124.83715981845508</v>
      </c>
      <c r="AT237" s="375">
        <f>-SUM(AT178:AT179)</f>
        <v>60.957811643374839</v>
      </c>
      <c r="AU237" s="375">
        <f>-SUM(AU178:AU179)</f>
        <v>103.17093537217393</v>
      </c>
      <c r="AV237" s="375">
        <f t="shared" ref="AV237:AW237" si="316">-SUM(AV178:AV179)</f>
        <v>19.170654856681843</v>
      </c>
      <c r="AW237" s="375">
        <f t="shared" si="316"/>
        <v>308.13656169068565</v>
      </c>
      <c r="AX237" s="375">
        <f>-SUM(AX178:AX179)</f>
        <v>127.62691853490517</v>
      </c>
      <c r="AY237" s="375">
        <f>-SUM(AY178:AY179)</f>
        <v>65.813890969460758</v>
      </c>
      <c r="AZ237" s="375">
        <f>-SUM(AZ178:AZ179)</f>
        <v>106.89020400879321</v>
      </c>
      <c r="BA237" s="375">
        <f t="shared" ref="BA237:BB237" si="317">-SUM(BA178:BA179)</f>
        <v>23.095210897086467</v>
      </c>
      <c r="BB237" s="375">
        <f t="shared" si="317"/>
        <v>323.4262244102456</v>
      </c>
      <c r="BC237" s="375">
        <f>-SUM(BC178:BC179)</f>
        <v>132.29468347299178</v>
      </c>
      <c r="BD237" s="375">
        <f>-SUM(BD178:BD179)</f>
        <v>70.419056767224831</v>
      </c>
      <c r="BE237" s="375">
        <f>-SUM(BE178:BE179)</f>
        <v>112.37509739078769</v>
      </c>
      <c r="BF237" s="375">
        <f t="shared" ref="BF237:BG237" si="318">-SUM(BF178:BF179)</f>
        <v>28.895082400859422</v>
      </c>
      <c r="BG237" s="375">
        <f t="shared" si="318"/>
        <v>343.9839200318637</v>
      </c>
      <c r="BH237" s="375">
        <f>-SUM(BH178:BH179)</f>
        <v>138.48052036111289</v>
      </c>
      <c r="BI237" s="375">
        <f>-SUM(BI178:BI179)</f>
        <v>76.752740150278825</v>
      </c>
      <c r="BJ237" s="375">
        <f>-SUM(BJ178:BJ179)</f>
        <v>119.08108135114919</v>
      </c>
      <c r="BK237" s="375">
        <f t="shared" ref="BK237:BL237" si="319">-SUM(BK178:BK179)</f>
        <v>35.685930902974938</v>
      </c>
      <c r="BL237" s="375">
        <f t="shared" si="319"/>
        <v>370.00027276551583</v>
      </c>
    </row>
    <row r="238" spans="1:74">
      <c r="A238" s="1" t="s">
        <v>1593</v>
      </c>
      <c r="AH238" s="375">
        <f>-AH241*SUM(AH235:AH237)</f>
        <v>-283.80300000000005</v>
      </c>
      <c r="AI238" s="375">
        <f>-AI241*SUM(AI235:AI237)</f>
        <v>-55.848300000000009</v>
      </c>
      <c r="AJ238" s="375">
        <f>-AJ241*SUM(AJ235:AJ237)</f>
        <v>-86.95859999999999</v>
      </c>
      <c r="AK238" s="375">
        <f>-AK241*SUM(AK235:AK237)</f>
        <v>-94.522200000000055</v>
      </c>
      <c r="AL238" s="375">
        <f t="shared" ref="AL238" si="320">-AL241*SUM(AL235:AL237)</f>
        <v>-41.801336419406269</v>
      </c>
      <c r="AM238" s="375">
        <f>SUM(AI238:AL238)</f>
        <v>-279.13043641940629</v>
      </c>
      <c r="AN238" s="375">
        <f>-AN241*SUM(AN235:AN237)</f>
        <v>-79.293567811589313</v>
      </c>
      <c r="AO238" s="375">
        <f>-AO241*SUM(AO235:AO237)</f>
        <v>-88.836603511848423</v>
      </c>
      <c r="AP238" s="375">
        <f>-AP241*SUM(AP235:AP237)</f>
        <v>-76.561852807526535</v>
      </c>
      <c r="AQ238" s="375">
        <f t="shared" ref="AQ238" si="321">-AQ241*SUM(AQ235:AQ237)</f>
        <v>-48.429129736703111</v>
      </c>
      <c r="AR238" s="375">
        <f>SUM(AN238:AQ238)</f>
        <v>-293.12115386766737</v>
      </c>
      <c r="AS238" s="375">
        <f>-AS241*SUM(AS235:AS237)</f>
        <v>-78.99108824999746</v>
      </c>
      <c r="AT238" s="375">
        <f>-AT241*SUM(AT235:AT237)</f>
        <v>-87.573083092203845</v>
      </c>
      <c r="AU238" s="375">
        <f>-AU241*SUM(AU235:AU237)</f>
        <v>-76.14106827146837</v>
      </c>
      <c r="AV238" s="375">
        <f t="shared" ref="AV238" si="322">-AV241*SUM(AV235:AV237)</f>
        <v>-51.959554095498753</v>
      </c>
      <c r="AW238" s="375">
        <f>SUM(AS238:AV238)</f>
        <v>-294.66479370916841</v>
      </c>
      <c r="AX238" s="375">
        <f>-AX241*SUM(AX235:AX237)</f>
        <v>-79.834853577888296</v>
      </c>
      <c r="AY238" s="375">
        <f>-AY241*SUM(AY235:AY237)</f>
        <v>-90.521097980457682</v>
      </c>
      <c r="AZ238" s="375">
        <f>-AZ241*SUM(AZ235:AZ237)</f>
        <v>-77.903281615562847</v>
      </c>
      <c r="BA238" s="375">
        <f t="shared" ref="BA238" si="323">-BA241*SUM(BA235:BA237)</f>
        <v>-53.98766052848201</v>
      </c>
      <c r="BB238" s="375">
        <f>SUM(AX238:BA238)</f>
        <v>-302.24689370239082</v>
      </c>
      <c r="BC238" s="375">
        <f>-BC241*SUM(BC235:BC237)</f>
        <v>-82.875190548135194</v>
      </c>
      <c r="BD238" s="375">
        <f>-BD241*SUM(BD235:BD237)</f>
        <v>-93.591438917029663</v>
      </c>
      <c r="BE238" s="375">
        <f>-BE241*SUM(BE235:BE237)</f>
        <v>-81.726924182133743</v>
      </c>
      <c r="BF238" s="375">
        <f t="shared" ref="BF238" si="324">-BF241*SUM(BF235:BF237)</f>
        <v>-58.214530311572062</v>
      </c>
      <c r="BG238" s="375">
        <f>SUM(BC238:BF238)</f>
        <v>-316.40808395887063</v>
      </c>
      <c r="BH238" s="375">
        <f>-BH241*SUM(BH235:BH237)</f>
        <v>-87.237557447022809</v>
      </c>
      <c r="BI238" s="375">
        <f>-BI241*SUM(BI235:BI237)</f>
        <v>-98.161159003846095</v>
      </c>
      <c r="BJ238" s="375">
        <f>-BJ241*SUM(BJ235:BJ237)</f>
        <v>-86.600613832254183</v>
      </c>
      <c r="BK238" s="375">
        <f t="shared" ref="BK238" si="325">-BK241*SUM(BK235:BK237)</f>
        <v>-63.226813897737237</v>
      </c>
      <c r="BL238" s="375">
        <f>SUM(BH238:BK238)</f>
        <v>-335.22614418086033</v>
      </c>
    </row>
    <row r="239" spans="1:74">
      <c r="A239" s="288" t="s">
        <v>1595</v>
      </c>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378">
        <f>SUM(AH235:AH238)</f>
        <v>662.20700000000011</v>
      </c>
      <c r="AI239" s="378">
        <f>SUM(AI235:AI238)</f>
        <v>130.31270000000001</v>
      </c>
      <c r="AJ239" s="378">
        <f>SUM(AJ235:AJ238)</f>
        <v>202.90339999999998</v>
      </c>
      <c r="AK239" s="378">
        <f>SUM(AK235:AK238)</f>
        <v>220.55180000000013</v>
      </c>
      <c r="AL239" s="378">
        <f t="shared" ref="AL239:AM239" si="326">SUM(AL235:AL238)</f>
        <v>97.536451645281304</v>
      </c>
      <c r="AM239" s="378">
        <f t="shared" si="326"/>
        <v>651.84835164528067</v>
      </c>
      <c r="AN239" s="378">
        <f>SUM(AN235:AN238)</f>
        <v>185.01832489370844</v>
      </c>
      <c r="AO239" s="378">
        <f>SUM(AO235:AO238)</f>
        <v>207.28540819431299</v>
      </c>
      <c r="AP239" s="378">
        <f>SUM(AP235:AP238)</f>
        <v>178.64432321756192</v>
      </c>
      <c r="AQ239" s="378">
        <f t="shared" ref="AQ239:AR239" si="327">SUM(AQ235:AQ238)</f>
        <v>113.00130271897393</v>
      </c>
      <c r="AR239" s="378">
        <f t="shared" si="327"/>
        <v>683.94935902455768</v>
      </c>
      <c r="AS239" s="378">
        <f>SUM(AS235:AS238)</f>
        <v>184.31253924999407</v>
      </c>
      <c r="AT239" s="378">
        <f>SUM(AT235:AT238)</f>
        <v>204.33719388180901</v>
      </c>
      <c r="AU239" s="378">
        <f>SUM(AU235:AU238)</f>
        <v>177.66249263342621</v>
      </c>
      <c r="AV239" s="378">
        <f t="shared" ref="AV239:AW239" si="328">SUM(AV235:AV238)</f>
        <v>121.23895955616376</v>
      </c>
      <c r="AW239" s="378">
        <f t="shared" si="328"/>
        <v>687.55118532139306</v>
      </c>
      <c r="AX239" s="378">
        <f>SUM(AX235:AX238)</f>
        <v>186.2813250150727</v>
      </c>
      <c r="AY239" s="378">
        <f>SUM(AY235:AY238)</f>
        <v>211.21589528773461</v>
      </c>
      <c r="AZ239" s="378">
        <f>SUM(AZ235:AZ238)</f>
        <v>181.77432376964668</v>
      </c>
      <c r="BA239" s="378">
        <f t="shared" ref="BA239:BB239" si="329">SUM(BA235:BA238)</f>
        <v>125.97120789979137</v>
      </c>
      <c r="BB239" s="378">
        <f t="shared" si="329"/>
        <v>705.24275197224529</v>
      </c>
      <c r="BC239" s="378">
        <f>SUM(BC235:BC238)</f>
        <v>193.37544461231545</v>
      </c>
      <c r="BD239" s="378">
        <f>SUM(BD235:BD238)</f>
        <v>218.38002413973589</v>
      </c>
      <c r="BE239" s="378">
        <f>SUM(BE235:BE238)</f>
        <v>190.69615642497871</v>
      </c>
      <c r="BF239" s="378">
        <f t="shared" ref="BF239:BG239" si="330">SUM(BF235:BF238)</f>
        <v>135.83390406033482</v>
      </c>
      <c r="BG239" s="378">
        <f t="shared" si="330"/>
        <v>738.28552923736504</v>
      </c>
      <c r="BH239" s="378">
        <f>SUM(BH235:BH238)</f>
        <v>203.55430070971988</v>
      </c>
      <c r="BI239" s="378">
        <f>SUM(BI235:BI238)</f>
        <v>229.04270434230756</v>
      </c>
      <c r="BJ239" s="378">
        <f>SUM(BJ235:BJ238)</f>
        <v>202.06809894192645</v>
      </c>
      <c r="BK239" s="378">
        <f t="shared" ref="BK239:BL239" si="331">SUM(BK235:BK238)</f>
        <v>147.52923242805358</v>
      </c>
      <c r="BL239" s="378">
        <f t="shared" si="331"/>
        <v>782.19433642200761</v>
      </c>
    </row>
    <row r="241" spans="1:66">
      <c r="A241" s="1" t="s">
        <v>1596</v>
      </c>
      <c r="AH241" s="261">
        <v>0.3</v>
      </c>
      <c r="AI241" s="261">
        <v>0.3</v>
      </c>
      <c r="AJ241" s="261">
        <v>0.3</v>
      </c>
      <c r="AK241" s="261">
        <v>0.3</v>
      </c>
      <c r="AL241" s="261">
        <v>0.3</v>
      </c>
      <c r="AN241" s="261">
        <v>0.3</v>
      </c>
      <c r="AO241" s="261">
        <v>0.3</v>
      </c>
      <c r="AP241" s="261">
        <v>0.3</v>
      </c>
      <c r="AQ241" s="261">
        <v>0.3</v>
      </c>
      <c r="AS241" s="261">
        <v>0.3</v>
      </c>
      <c r="AT241" s="261">
        <v>0.3</v>
      </c>
      <c r="AU241" s="261">
        <v>0.3</v>
      </c>
      <c r="AV241" s="261">
        <v>0.3</v>
      </c>
      <c r="AX241" s="261">
        <v>0.3</v>
      </c>
      <c r="AY241" s="261">
        <v>0.3</v>
      </c>
      <c r="AZ241" s="261">
        <v>0.3</v>
      </c>
      <c r="BA241" s="261">
        <v>0.3</v>
      </c>
      <c r="BC241" s="261">
        <v>0.3</v>
      </c>
      <c r="BD241" s="261">
        <v>0.3</v>
      </c>
      <c r="BE241" s="261">
        <v>0.3</v>
      </c>
      <c r="BF241" s="261">
        <v>0.3</v>
      </c>
      <c r="BH241" s="261">
        <v>0.3</v>
      </c>
      <c r="BI241" s="261">
        <v>0.3</v>
      </c>
      <c r="BJ241" s="261">
        <v>0.3</v>
      </c>
      <c r="BK241" s="261">
        <v>0.3</v>
      </c>
    </row>
    <row r="243" spans="1:66" s="46" customFormat="1">
      <c r="A243" s="47" t="s">
        <v>1597</v>
      </c>
    </row>
    <row r="244" spans="1:66">
      <c r="A244" s="262" t="s">
        <v>1598</v>
      </c>
    </row>
    <row r="245" spans="1:66" s="79" customFormat="1">
      <c r="A245" s="387" t="s">
        <v>1599</v>
      </c>
      <c r="BN245" s="316"/>
    </row>
    <row r="246" spans="1:66" s="79" customFormat="1">
      <c r="A246" s="82"/>
      <c r="BN246" s="316"/>
    </row>
    <row r="247" spans="1:66">
      <c r="A247" s="1" t="s">
        <v>1600</v>
      </c>
    </row>
    <row r="248" spans="1:66">
      <c r="A248" s="5" t="s">
        <v>1601</v>
      </c>
      <c r="AD248" s="376">
        <v>1299.5999999999999</v>
      </c>
      <c r="AE248" s="376">
        <v>1371.5</v>
      </c>
      <c r="AF248" s="376">
        <v>1372.4</v>
      </c>
      <c r="AG248" s="376">
        <v>1246.4000000000001</v>
      </c>
      <c r="AH248" s="375">
        <f t="shared" ref="AH248:AH253" si="332">AG248</f>
        <v>1246.4000000000001</v>
      </c>
      <c r="AI248" s="376">
        <v>1247.2</v>
      </c>
      <c r="AJ248" s="376">
        <v>921.6</v>
      </c>
      <c r="AK248" s="376">
        <v>1120.0999999999999</v>
      </c>
      <c r="AL248" s="386">
        <f t="shared" ref="AL248:BL253" si="333">AK248</f>
        <v>1120.0999999999999</v>
      </c>
      <c r="AM248" s="386">
        <f t="shared" si="333"/>
        <v>1120.0999999999999</v>
      </c>
      <c r="AN248" s="386">
        <f t="shared" si="333"/>
        <v>1120.0999999999999</v>
      </c>
      <c r="AO248" s="386">
        <f t="shared" si="333"/>
        <v>1120.0999999999999</v>
      </c>
      <c r="AP248" s="386">
        <f t="shared" si="333"/>
        <v>1120.0999999999999</v>
      </c>
      <c r="AQ248" s="386">
        <f t="shared" si="333"/>
        <v>1120.0999999999999</v>
      </c>
      <c r="AR248" s="386">
        <f t="shared" si="333"/>
        <v>1120.0999999999999</v>
      </c>
      <c r="AS248" s="386">
        <f t="shared" si="333"/>
        <v>1120.0999999999999</v>
      </c>
      <c r="AT248" s="386">
        <f t="shared" si="333"/>
        <v>1120.0999999999999</v>
      </c>
      <c r="AU248" s="386">
        <f t="shared" si="333"/>
        <v>1120.0999999999999</v>
      </c>
      <c r="AV248" s="386">
        <f t="shared" si="333"/>
        <v>1120.0999999999999</v>
      </c>
      <c r="AW248" s="386">
        <f t="shared" si="333"/>
        <v>1120.0999999999999</v>
      </c>
      <c r="AX248" s="386">
        <f t="shared" si="333"/>
        <v>1120.0999999999999</v>
      </c>
      <c r="AY248" s="386">
        <f t="shared" si="333"/>
        <v>1120.0999999999999</v>
      </c>
      <c r="AZ248" s="386">
        <f t="shared" si="333"/>
        <v>1120.0999999999999</v>
      </c>
      <c r="BA248" s="386">
        <f t="shared" si="333"/>
        <v>1120.0999999999999</v>
      </c>
      <c r="BB248" s="386">
        <f t="shared" si="333"/>
        <v>1120.0999999999999</v>
      </c>
      <c r="BC248" s="386">
        <f t="shared" si="333"/>
        <v>1120.0999999999999</v>
      </c>
      <c r="BD248" s="386">
        <f t="shared" si="333"/>
        <v>1120.0999999999999</v>
      </c>
      <c r="BE248" s="386">
        <f t="shared" si="333"/>
        <v>1120.0999999999999</v>
      </c>
      <c r="BF248" s="386">
        <f t="shared" si="333"/>
        <v>1120.0999999999999</v>
      </c>
      <c r="BG248" s="386">
        <f t="shared" si="333"/>
        <v>1120.0999999999999</v>
      </c>
      <c r="BH248" s="386">
        <f t="shared" si="333"/>
        <v>1120.0999999999999</v>
      </c>
      <c r="BI248" s="386">
        <f t="shared" si="333"/>
        <v>1120.0999999999999</v>
      </c>
      <c r="BJ248" s="386">
        <f t="shared" si="333"/>
        <v>1120.0999999999999</v>
      </c>
      <c r="BK248" s="386">
        <f t="shared" si="333"/>
        <v>1120.0999999999999</v>
      </c>
      <c r="BL248" s="386">
        <f t="shared" si="333"/>
        <v>1120.0999999999999</v>
      </c>
    </row>
    <row r="249" spans="1:66">
      <c r="A249" s="5" t="s">
        <v>1602</v>
      </c>
      <c r="AD249" s="376">
        <v>762.3</v>
      </c>
      <c r="AE249" s="376">
        <v>762.2</v>
      </c>
      <c r="AF249" s="376">
        <v>802.1</v>
      </c>
      <c r="AG249" s="376">
        <v>792</v>
      </c>
      <c r="AH249" s="375">
        <f t="shared" si="332"/>
        <v>792</v>
      </c>
      <c r="AI249" s="376">
        <v>826.4</v>
      </c>
      <c r="AJ249" s="376">
        <v>812.3</v>
      </c>
      <c r="AK249" s="376">
        <v>854.6</v>
      </c>
      <c r="AL249" s="386">
        <f t="shared" si="333"/>
        <v>854.6</v>
      </c>
      <c r="AM249" s="386">
        <f t="shared" si="333"/>
        <v>854.6</v>
      </c>
      <c r="AN249" s="386">
        <f t="shared" si="333"/>
        <v>854.6</v>
      </c>
      <c r="AO249" s="386">
        <f t="shared" si="333"/>
        <v>854.6</v>
      </c>
      <c r="AP249" s="386">
        <f t="shared" si="333"/>
        <v>854.6</v>
      </c>
      <c r="AQ249" s="386">
        <f t="shared" si="333"/>
        <v>854.6</v>
      </c>
      <c r="AR249" s="386">
        <f t="shared" si="333"/>
        <v>854.6</v>
      </c>
      <c r="AS249" s="386">
        <f t="shared" si="333"/>
        <v>854.6</v>
      </c>
      <c r="AT249" s="386">
        <f t="shared" si="333"/>
        <v>854.6</v>
      </c>
      <c r="AU249" s="386">
        <f t="shared" si="333"/>
        <v>854.6</v>
      </c>
      <c r="AV249" s="386">
        <f t="shared" si="333"/>
        <v>854.6</v>
      </c>
      <c r="AW249" s="386">
        <f t="shared" si="333"/>
        <v>854.6</v>
      </c>
      <c r="AX249" s="386">
        <f t="shared" si="333"/>
        <v>854.6</v>
      </c>
      <c r="AY249" s="386">
        <f t="shared" si="333"/>
        <v>854.6</v>
      </c>
      <c r="AZ249" s="386">
        <f t="shared" si="333"/>
        <v>854.6</v>
      </c>
      <c r="BA249" s="386">
        <f t="shared" si="333"/>
        <v>854.6</v>
      </c>
      <c r="BB249" s="386">
        <f t="shared" si="333"/>
        <v>854.6</v>
      </c>
      <c r="BC249" s="386">
        <f t="shared" si="333"/>
        <v>854.6</v>
      </c>
      <c r="BD249" s="386">
        <f t="shared" si="333"/>
        <v>854.6</v>
      </c>
      <c r="BE249" s="386">
        <f t="shared" si="333"/>
        <v>854.6</v>
      </c>
      <c r="BF249" s="386">
        <f t="shared" si="333"/>
        <v>854.6</v>
      </c>
      <c r="BG249" s="386">
        <f t="shared" si="333"/>
        <v>854.6</v>
      </c>
      <c r="BH249" s="386">
        <f t="shared" si="333"/>
        <v>854.6</v>
      </c>
      <c r="BI249" s="386">
        <f t="shared" si="333"/>
        <v>854.6</v>
      </c>
      <c r="BJ249" s="386">
        <f t="shared" si="333"/>
        <v>854.6</v>
      </c>
      <c r="BK249" s="386">
        <f t="shared" si="333"/>
        <v>854.6</v>
      </c>
      <c r="BL249" s="386">
        <f t="shared" si="333"/>
        <v>854.6</v>
      </c>
    </row>
    <row r="250" spans="1:66">
      <c r="A250" s="5" t="s">
        <v>1603</v>
      </c>
      <c r="AD250" s="376">
        <v>1113</v>
      </c>
      <c r="AE250" s="376">
        <v>1091.7</v>
      </c>
      <c r="AF250" s="376">
        <v>1115.7</v>
      </c>
      <c r="AG250" s="376">
        <v>1062.5999999999999</v>
      </c>
      <c r="AH250" s="375">
        <f t="shared" si="332"/>
        <v>1062.5999999999999</v>
      </c>
      <c r="AI250" s="376">
        <v>1086.8</v>
      </c>
      <c r="AJ250" s="376">
        <v>1118.7</v>
      </c>
      <c r="AK250" s="376">
        <v>1120.9000000000001</v>
      </c>
      <c r="AL250" s="386">
        <f t="shared" si="333"/>
        <v>1120.9000000000001</v>
      </c>
      <c r="AM250" s="386">
        <f t="shared" si="333"/>
        <v>1120.9000000000001</v>
      </c>
      <c r="AN250" s="386">
        <f t="shared" si="333"/>
        <v>1120.9000000000001</v>
      </c>
      <c r="AO250" s="386">
        <f t="shared" si="333"/>
        <v>1120.9000000000001</v>
      </c>
      <c r="AP250" s="386">
        <f t="shared" si="333"/>
        <v>1120.9000000000001</v>
      </c>
      <c r="AQ250" s="386">
        <f t="shared" si="333"/>
        <v>1120.9000000000001</v>
      </c>
      <c r="AR250" s="386">
        <f t="shared" si="333"/>
        <v>1120.9000000000001</v>
      </c>
      <c r="AS250" s="386">
        <f t="shared" si="333"/>
        <v>1120.9000000000001</v>
      </c>
      <c r="AT250" s="386">
        <f t="shared" si="333"/>
        <v>1120.9000000000001</v>
      </c>
      <c r="AU250" s="386">
        <f t="shared" si="333"/>
        <v>1120.9000000000001</v>
      </c>
      <c r="AV250" s="386">
        <f t="shared" si="333"/>
        <v>1120.9000000000001</v>
      </c>
      <c r="AW250" s="386">
        <f t="shared" si="333"/>
        <v>1120.9000000000001</v>
      </c>
      <c r="AX250" s="386">
        <f t="shared" si="333"/>
        <v>1120.9000000000001</v>
      </c>
      <c r="AY250" s="386">
        <f t="shared" si="333"/>
        <v>1120.9000000000001</v>
      </c>
      <c r="AZ250" s="386">
        <f t="shared" si="333"/>
        <v>1120.9000000000001</v>
      </c>
      <c r="BA250" s="386">
        <f t="shared" si="333"/>
        <v>1120.9000000000001</v>
      </c>
      <c r="BB250" s="386">
        <f t="shared" si="333"/>
        <v>1120.9000000000001</v>
      </c>
      <c r="BC250" s="386">
        <f t="shared" si="333"/>
        <v>1120.9000000000001</v>
      </c>
      <c r="BD250" s="386">
        <f t="shared" si="333"/>
        <v>1120.9000000000001</v>
      </c>
      <c r="BE250" s="386">
        <f t="shared" si="333"/>
        <v>1120.9000000000001</v>
      </c>
      <c r="BF250" s="386">
        <f t="shared" si="333"/>
        <v>1120.9000000000001</v>
      </c>
      <c r="BG250" s="386">
        <f t="shared" si="333"/>
        <v>1120.9000000000001</v>
      </c>
      <c r="BH250" s="386">
        <f t="shared" si="333"/>
        <v>1120.9000000000001</v>
      </c>
      <c r="BI250" s="386">
        <f t="shared" si="333"/>
        <v>1120.9000000000001</v>
      </c>
      <c r="BJ250" s="386">
        <f t="shared" si="333"/>
        <v>1120.9000000000001</v>
      </c>
      <c r="BK250" s="386">
        <f t="shared" si="333"/>
        <v>1120.9000000000001</v>
      </c>
      <c r="BL250" s="386">
        <f t="shared" si="333"/>
        <v>1120.9000000000001</v>
      </c>
    </row>
    <row r="251" spans="1:66">
      <c r="A251" s="5" t="s">
        <v>1604</v>
      </c>
      <c r="AD251" s="376">
        <v>469.3</v>
      </c>
      <c r="AE251" s="376">
        <v>469.3</v>
      </c>
      <c r="AF251" s="376">
        <v>469.3</v>
      </c>
      <c r="AG251" s="376">
        <v>578.70000000000005</v>
      </c>
      <c r="AH251" s="375">
        <f t="shared" si="332"/>
        <v>578.70000000000005</v>
      </c>
      <c r="AI251" s="376">
        <v>578.70000000000005</v>
      </c>
      <c r="AJ251" s="376">
        <v>688.4</v>
      </c>
      <c r="AK251" s="376">
        <v>688.5</v>
      </c>
      <c r="AL251" s="386">
        <f t="shared" si="333"/>
        <v>688.5</v>
      </c>
      <c r="AM251" s="386">
        <f t="shared" si="333"/>
        <v>688.5</v>
      </c>
      <c r="AN251" s="386">
        <f t="shared" si="333"/>
        <v>688.5</v>
      </c>
      <c r="AO251" s="386">
        <f t="shared" si="333"/>
        <v>688.5</v>
      </c>
      <c r="AP251" s="386">
        <f t="shared" si="333"/>
        <v>688.5</v>
      </c>
      <c r="AQ251" s="386">
        <f t="shared" si="333"/>
        <v>688.5</v>
      </c>
      <c r="AR251" s="386">
        <f t="shared" si="333"/>
        <v>688.5</v>
      </c>
      <c r="AS251" s="386">
        <f t="shared" si="333"/>
        <v>688.5</v>
      </c>
      <c r="AT251" s="386">
        <f t="shared" si="333"/>
        <v>688.5</v>
      </c>
      <c r="AU251" s="386">
        <f t="shared" si="333"/>
        <v>688.5</v>
      </c>
      <c r="AV251" s="386">
        <f t="shared" si="333"/>
        <v>688.5</v>
      </c>
      <c r="AW251" s="386">
        <f t="shared" si="333"/>
        <v>688.5</v>
      </c>
      <c r="AX251" s="386">
        <f t="shared" si="333"/>
        <v>688.5</v>
      </c>
      <c r="AY251" s="386">
        <f t="shared" si="333"/>
        <v>688.5</v>
      </c>
      <c r="AZ251" s="386">
        <f t="shared" si="333"/>
        <v>688.5</v>
      </c>
      <c r="BA251" s="386">
        <f t="shared" si="333"/>
        <v>688.5</v>
      </c>
      <c r="BB251" s="386">
        <f t="shared" si="333"/>
        <v>688.5</v>
      </c>
      <c r="BC251" s="386">
        <f t="shared" si="333"/>
        <v>688.5</v>
      </c>
      <c r="BD251" s="386">
        <f t="shared" si="333"/>
        <v>688.5</v>
      </c>
      <c r="BE251" s="386">
        <f t="shared" si="333"/>
        <v>688.5</v>
      </c>
      <c r="BF251" s="386">
        <f t="shared" si="333"/>
        <v>688.5</v>
      </c>
      <c r="BG251" s="386">
        <f t="shared" si="333"/>
        <v>688.5</v>
      </c>
      <c r="BH251" s="386">
        <f t="shared" si="333"/>
        <v>688.5</v>
      </c>
      <c r="BI251" s="386">
        <f t="shared" si="333"/>
        <v>688.5</v>
      </c>
      <c r="BJ251" s="386">
        <f t="shared" si="333"/>
        <v>688.5</v>
      </c>
      <c r="BK251" s="386">
        <f t="shared" si="333"/>
        <v>688.5</v>
      </c>
      <c r="BL251" s="386">
        <f t="shared" si="333"/>
        <v>688.5</v>
      </c>
    </row>
    <row r="252" spans="1:66">
      <c r="A252" s="5" t="s">
        <v>1605</v>
      </c>
      <c r="AD252" s="376">
        <v>474.5</v>
      </c>
      <c r="AE252" s="376">
        <v>484.1</v>
      </c>
      <c r="AF252" s="376">
        <v>488.8</v>
      </c>
      <c r="AG252" s="376">
        <v>479.4</v>
      </c>
      <c r="AH252" s="375">
        <f t="shared" si="332"/>
        <v>479.4</v>
      </c>
      <c r="AI252" s="376">
        <v>484</v>
      </c>
      <c r="AJ252" s="376">
        <v>488.9</v>
      </c>
      <c r="AK252" s="376">
        <v>490.9</v>
      </c>
      <c r="AL252" s="386">
        <f t="shared" si="333"/>
        <v>490.9</v>
      </c>
      <c r="AM252" s="386">
        <f t="shared" si="333"/>
        <v>490.9</v>
      </c>
      <c r="AN252" s="386">
        <f t="shared" si="333"/>
        <v>490.9</v>
      </c>
      <c r="AO252" s="386">
        <f t="shared" si="333"/>
        <v>490.9</v>
      </c>
      <c r="AP252" s="386">
        <f t="shared" si="333"/>
        <v>490.9</v>
      </c>
      <c r="AQ252" s="386">
        <f t="shared" si="333"/>
        <v>490.9</v>
      </c>
      <c r="AR252" s="386">
        <f t="shared" si="333"/>
        <v>490.9</v>
      </c>
      <c r="AS252" s="386">
        <f t="shared" si="333"/>
        <v>490.9</v>
      </c>
      <c r="AT252" s="386">
        <f t="shared" si="333"/>
        <v>490.9</v>
      </c>
      <c r="AU252" s="386">
        <f t="shared" si="333"/>
        <v>490.9</v>
      </c>
      <c r="AV252" s="386">
        <f t="shared" si="333"/>
        <v>490.9</v>
      </c>
      <c r="AW252" s="386">
        <f t="shared" si="333"/>
        <v>490.9</v>
      </c>
      <c r="AX252" s="386">
        <f t="shared" si="333"/>
        <v>490.9</v>
      </c>
      <c r="AY252" s="386">
        <f t="shared" si="333"/>
        <v>490.9</v>
      </c>
      <c r="AZ252" s="386">
        <f t="shared" si="333"/>
        <v>490.9</v>
      </c>
      <c r="BA252" s="386">
        <f t="shared" si="333"/>
        <v>490.9</v>
      </c>
      <c r="BB252" s="386">
        <f t="shared" si="333"/>
        <v>490.9</v>
      </c>
      <c r="BC252" s="386">
        <f t="shared" si="333"/>
        <v>490.9</v>
      </c>
      <c r="BD252" s="386">
        <f t="shared" si="333"/>
        <v>490.9</v>
      </c>
      <c r="BE252" s="386">
        <f t="shared" si="333"/>
        <v>490.9</v>
      </c>
      <c r="BF252" s="386">
        <f t="shared" si="333"/>
        <v>490.9</v>
      </c>
      <c r="BG252" s="386">
        <f t="shared" si="333"/>
        <v>490.9</v>
      </c>
      <c r="BH252" s="386">
        <f t="shared" si="333"/>
        <v>490.9</v>
      </c>
      <c r="BI252" s="386">
        <f t="shared" si="333"/>
        <v>490.9</v>
      </c>
      <c r="BJ252" s="386">
        <f t="shared" si="333"/>
        <v>490.9</v>
      </c>
      <c r="BK252" s="386">
        <f t="shared" si="333"/>
        <v>490.9</v>
      </c>
      <c r="BL252" s="386">
        <f t="shared" si="333"/>
        <v>490.9</v>
      </c>
    </row>
    <row r="253" spans="1:66">
      <c r="A253" s="5" t="s">
        <v>192</v>
      </c>
      <c r="AD253" s="376">
        <v>326.3</v>
      </c>
      <c r="AE253" s="376">
        <v>110.5</v>
      </c>
      <c r="AF253" s="376">
        <v>147</v>
      </c>
      <c r="AG253" s="376">
        <v>88.5</v>
      </c>
      <c r="AH253" s="375">
        <f t="shared" si="332"/>
        <v>88.5</v>
      </c>
      <c r="AI253" s="376">
        <v>235.2</v>
      </c>
      <c r="AJ253" s="376">
        <v>467</v>
      </c>
      <c r="AK253" s="376">
        <v>298.89999999999998</v>
      </c>
      <c r="AL253" s="386">
        <f t="shared" si="333"/>
        <v>298.89999999999998</v>
      </c>
      <c r="AM253" s="386">
        <f t="shared" si="333"/>
        <v>298.89999999999998</v>
      </c>
      <c r="AN253" s="386">
        <f t="shared" si="333"/>
        <v>298.89999999999998</v>
      </c>
      <c r="AO253" s="386">
        <f t="shared" si="333"/>
        <v>298.89999999999998</v>
      </c>
      <c r="AP253" s="386">
        <f t="shared" si="333"/>
        <v>298.89999999999998</v>
      </c>
      <c r="AQ253" s="386">
        <f t="shared" si="333"/>
        <v>298.89999999999998</v>
      </c>
      <c r="AR253" s="386">
        <f t="shared" si="333"/>
        <v>298.89999999999998</v>
      </c>
      <c r="AS253" s="386">
        <f t="shared" si="333"/>
        <v>298.89999999999998</v>
      </c>
      <c r="AT253" s="386">
        <f t="shared" si="333"/>
        <v>298.89999999999998</v>
      </c>
      <c r="AU253" s="386">
        <f t="shared" si="333"/>
        <v>298.89999999999998</v>
      </c>
      <c r="AV253" s="386">
        <f t="shared" si="333"/>
        <v>298.89999999999998</v>
      </c>
      <c r="AW253" s="386">
        <f t="shared" si="333"/>
        <v>298.89999999999998</v>
      </c>
      <c r="AX253" s="386">
        <f t="shared" si="333"/>
        <v>298.89999999999998</v>
      </c>
      <c r="AY253" s="386">
        <f t="shared" si="333"/>
        <v>298.89999999999998</v>
      </c>
      <c r="AZ253" s="386">
        <f t="shared" si="333"/>
        <v>298.89999999999998</v>
      </c>
      <c r="BA253" s="386">
        <f t="shared" si="333"/>
        <v>298.89999999999998</v>
      </c>
      <c r="BB253" s="386">
        <f t="shared" si="333"/>
        <v>298.89999999999998</v>
      </c>
      <c r="BC253" s="386">
        <f t="shared" si="333"/>
        <v>298.89999999999998</v>
      </c>
      <c r="BD253" s="386">
        <f t="shared" si="333"/>
        <v>298.89999999999998</v>
      </c>
      <c r="BE253" s="386">
        <f t="shared" si="333"/>
        <v>298.89999999999998</v>
      </c>
      <c r="BF253" s="386">
        <f t="shared" si="333"/>
        <v>298.89999999999998</v>
      </c>
      <c r="BG253" s="386">
        <f t="shared" si="333"/>
        <v>298.89999999999998</v>
      </c>
      <c r="BH253" s="386">
        <f t="shared" si="333"/>
        <v>298.89999999999998</v>
      </c>
      <c r="BI253" s="386">
        <f t="shared" si="333"/>
        <v>298.89999999999998</v>
      </c>
      <c r="BJ253" s="386">
        <f t="shared" si="333"/>
        <v>298.89999999999998</v>
      </c>
      <c r="BK253" s="386">
        <f t="shared" si="333"/>
        <v>298.89999999999998</v>
      </c>
      <c r="BL253" s="386">
        <f t="shared" si="333"/>
        <v>298.89999999999998</v>
      </c>
    </row>
    <row r="254" spans="1:66">
      <c r="A254" s="9" t="s">
        <v>1606</v>
      </c>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378">
        <f>SUM(AD248:AD253)</f>
        <v>4445</v>
      </c>
      <c r="AE254" s="378">
        <f t="shared" ref="AE254:BL254" si="334">SUM(AE248:AE253)</f>
        <v>4289.3</v>
      </c>
      <c r="AF254" s="378">
        <f t="shared" si="334"/>
        <v>4395.3</v>
      </c>
      <c r="AG254" s="378">
        <f t="shared" si="334"/>
        <v>4247.5999999999995</v>
      </c>
      <c r="AH254" s="378">
        <f t="shared" si="334"/>
        <v>4247.5999999999995</v>
      </c>
      <c r="AI254" s="378">
        <f t="shared" si="334"/>
        <v>4458.2999999999993</v>
      </c>
      <c r="AJ254" s="378">
        <f t="shared" si="334"/>
        <v>4496.9000000000005</v>
      </c>
      <c r="AK254" s="378">
        <f t="shared" si="334"/>
        <v>4573.8999999999996</v>
      </c>
      <c r="AL254" s="388">
        <f t="shared" si="334"/>
        <v>4573.8999999999996</v>
      </c>
      <c r="AM254" s="388">
        <f t="shared" si="334"/>
        <v>4573.8999999999996</v>
      </c>
      <c r="AN254" s="388">
        <f t="shared" si="334"/>
        <v>4573.8999999999996</v>
      </c>
      <c r="AO254" s="388">
        <f t="shared" si="334"/>
        <v>4573.8999999999996</v>
      </c>
      <c r="AP254" s="388">
        <f t="shared" si="334"/>
        <v>4573.8999999999996</v>
      </c>
      <c r="AQ254" s="388">
        <f t="shared" si="334"/>
        <v>4573.8999999999996</v>
      </c>
      <c r="AR254" s="388">
        <f t="shared" si="334"/>
        <v>4573.8999999999996</v>
      </c>
      <c r="AS254" s="388">
        <f t="shared" si="334"/>
        <v>4573.8999999999996</v>
      </c>
      <c r="AT254" s="388">
        <f t="shared" si="334"/>
        <v>4573.8999999999996</v>
      </c>
      <c r="AU254" s="388">
        <f t="shared" si="334"/>
        <v>4573.8999999999996</v>
      </c>
      <c r="AV254" s="388">
        <f t="shared" si="334"/>
        <v>4573.8999999999996</v>
      </c>
      <c r="AW254" s="388">
        <f t="shared" si="334"/>
        <v>4573.8999999999996</v>
      </c>
      <c r="AX254" s="388">
        <f t="shared" si="334"/>
        <v>4573.8999999999996</v>
      </c>
      <c r="AY254" s="388">
        <f t="shared" si="334"/>
        <v>4573.8999999999996</v>
      </c>
      <c r="AZ254" s="388">
        <f t="shared" si="334"/>
        <v>4573.8999999999996</v>
      </c>
      <c r="BA254" s="388">
        <f t="shared" si="334"/>
        <v>4573.8999999999996</v>
      </c>
      <c r="BB254" s="388">
        <f t="shared" si="334"/>
        <v>4573.8999999999996</v>
      </c>
      <c r="BC254" s="388">
        <f t="shared" si="334"/>
        <v>4573.8999999999996</v>
      </c>
      <c r="BD254" s="388">
        <f t="shared" si="334"/>
        <v>4573.8999999999996</v>
      </c>
      <c r="BE254" s="388">
        <f t="shared" si="334"/>
        <v>4573.8999999999996</v>
      </c>
      <c r="BF254" s="388">
        <f t="shared" si="334"/>
        <v>4573.8999999999996</v>
      </c>
      <c r="BG254" s="388">
        <f t="shared" si="334"/>
        <v>4573.8999999999996</v>
      </c>
      <c r="BH254" s="388">
        <f t="shared" si="334"/>
        <v>4573.8999999999996</v>
      </c>
      <c r="BI254" s="388">
        <f t="shared" si="334"/>
        <v>4573.8999999999996</v>
      </c>
      <c r="BJ254" s="388">
        <f t="shared" si="334"/>
        <v>4573.8999999999996</v>
      </c>
      <c r="BK254" s="388">
        <f t="shared" si="334"/>
        <v>4573.8999999999996</v>
      </c>
      <c r="BL254" s="388">
        <f t="shared" si="334"/>
        <v>4573.8999999999996</v>
      </c>
    </row>
    <row r="256" spans="1:66">
      <c r="A256" s="1" t="s">
        <v>1607</v>
      </c>
      <c r="AD256" s="375">
        <f t="shared" ref="AD256:BL256" si="335">-AD252</f>
        <v>-474.5</v>
      </c>
      <c r="AE256" s="375">
        <f t="shared" si="335"/>
        <v>-484.1</v>
      </c>
      <c r="AF256" s="375">
        <f t="shared" si="335"/>
        <v>-488.8</v>
      </c>
      <c r="AG256" s="375">
        <f t="shared" si="335"/>
        <v>-479.4</v>
      </c>
      <c r="AH256" s="375">
        <f t="shared" si="335"/>
        <v>-479.4</v>
      </c>
      <c r="AI256" s="375">
        <f t="shared" si="335"/>
        <v>-484</v>
      </c>
      <c r="AJ256" s="375">
        <f t="shared" si="335"/>
        <v>-488.9</v>
      </c>
      <c r="AK256" s="375">
        <f t="shared" si="335"/>
        <v>-490.9</v>
      </c>
      <c r="AL256" s="386">
        <f t="shared" si="335"/>
        <v>-490.9</v>
      </c>
      <c r="AM256" s="386">
        <f t="shared" si="335"/>
        <v>-490.9</v>
      </c>
      <c r="AN256" s="386">
        <f t="shared" si="335"/>
        <v>-490.9</v>
      </c>
      <c r="AO256" s="386">
        <f t="shared" si="335"/>
        <v>-490.9</v>
      </c>
      <c r="AP256" s="386">
        <f t="shared" si="335"/>
        <v>-490.9</v>
      </c>
      <c r="AQ256" s="386">
        <f t="shared" si="335"/>
        <v>-490.9</v>
      </c>
      <c r="AR256" s="386">
        <f t="shared" si="335"/>
        <v>-490.9</v>
      </c>
      <c r="AS256" s="386">
        <f t="shared" si="335"/>
        <v>-490.9</v>
      </c>
      <c r="AT256" s="386">
        <f t="shared" si="335"/>
        <v>-490.9</v>
      </c>
      <c r="AU256" s="386">
        <f t="shared" si="335"/>
        <v>-490.9</v>
      </c>
      <c r="AV256" s="386">
        <f t="shared" si="335"/>
        <v>-490.9</v>
      </c>
      <c r="AW256" s="386">
        <f t="shared" si="335"/>
        <v>-490.9</v>
      </c>
      <c r="AX256" s="386">
        <f t="shared" si="335"/>
        <v>-490.9</v>
      </c>
      <c r="AY256" s="386">
        <f t="shared" si="335"/>
        <v>-490.9</v>
      </c>
      <c r="AZ256" s="386">
        <f t="shared" si="335"/>
        <v>-490.9</v>
      </c>
      <c r="BA256" s="386">
        <f t="shared" si="335"/>
        <v>-490.9</v>
      </c>
      <c r="BB256" s="386">
        <f t="shared" si="335"/>
        <v>-490.9</v>
      </c>
      <c r="BC256" s="386">
        <f t="shared" si="335"/>
        <v>-490.9</v>
      </c>
      <c r="BD256" s="386">
        <f t="shared" si="335"/>
        <v>-490.9</v>
      </c>
      <c r="BE256" s="386">
        <f t="shared" si="335"/>
        <v>-490.9</v>
      </c>
      <c r="BF256" s="386">
        <f t="shared" si="335"/>
        <v>-490.9</v>
      </c>
      <c r="BG256" s="386">
        <f t="shared" si="335"/>
        <v>-490.9</v>
      </c>
      <c r="BH256" s="386">
        <f t="shared" si="335"/>
        <v>-490.9</v>
      </c>
      <c r="BI256" s="386">
        <f t="shared" si="335"/>
        <v>-490.9</v>
      </c>
      <c r="BJ256" s="386">
        <f t="shared" si="335"/>
        <v>-490.9</v>
      </c>
      <c r="BK256" s="386">
        <f t="shared" si="335"/>
        <v>-490.9</v>
      </c>
      <c r="BL256" s="386">
        <f t="shared" si="335"/>
        <v>-490.9</v>
      </c>
    </row>
    <row r="257" spans="1:66">
      <c r="A257" s="9" t="s">
        <v>1608</v>
      </c>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381">
        <f>AD254+AD256</f>
        <v>3970.5</v>
      </c>
      <c r="AE257" s="381">
        <f t="shared" ref="AE257:BL257" si="336">AE254+AE256</f>
        <v>3805.2000000000003</v>
      </c>
      <c r="AF257" s="381">
        <f t="shared" si="336"/>
        <v>3906.5</v>
      </c>
      <c r="AG257" s="381">
        <f t="shared" si="336"/>
        <v>3768.1999999999994</v>
      </c>
      <c r="AH257" s="381">
        <f t="shared" si="336"/>
        <v>3768.1999999999994</v>
      </c>
      <c r="AI257" s="381">
        <f t="shared" si="336"/>
        <v>3974.2999999999993</v>
      </c>
      <c r="AJ257" s="381">
        <f t="shared" si="336"/>
        <v>4008.0000000000005</v>
      </c>
      <c r="AK257" s="381">
        <f t="shared" si="336"/>
        <v>4082.9999999999995</v>
      </c>
      <c r="AL257" s="389">
        <f t="shared" si="336"/>
        <v>4082.9999999999995</v>
      </c>
      <c r="AM257" s="389">
        <f t="shared" si="336"/>
        <v>4082.9999999999995</v>
      </c>
      <c r="AN257" s="389">
        <f t="shared" si="336"/>
        <v>4082.9999999999995</v>
      </c>
      <c r="AO257" s="389">
        <f t="shared" si="336"/>
        <v>4082.9999999999995</v>
      </c>
      <c r="AP257" s="389">
        <f t="shared" si="336"/>
        <v>4082.9999999999995</v>
      </c>
      <c r="AQ257" s="389">
        <f t="shared" si="336"/>
        <v>4082.9999999999995</v>
      </c>
      <c r="AR257" s="389">
        <f t="shared" si="336"/>
        <v>4082.9999999999995</v>
      </c>
      <c r="AS257" s="389">
        <f t="shared" si="336"/>
        <v>4082.9999999999995</v>
      </c>
      <c r="AT257" s="389">
        <f t="shared" si="336"/>
        <v>4082.9999999999995</v>
      </c>
      <c r="AU257" s="389">
        <f t="shared" si="336"/>
        <v>4082.9999999999995</v>
      </c>
      <c r="AV257" s="389">
        <f t="shared" si="336"/>
        <v>4082.9999999999995</v>
      </c>
      <c r="AW257" s="389">
        <f t="shared" si="336"/>
        <v>4082.9999999999995</v>
      </c>
      <c r="AX257" s="389">
        <f t="shared" si="336"/>
        <v>4082.9999999999995</v>
      </c>
      <c r="AY257" s="389">
        <f t="shared" si="336"/>
        <v>4082.9999999999995</v>
      </c>
      <c r="AZ257" s="389">
        <f t="shared" si="336"/>
        <v>4082.9999999999995</v>
      </c>
      <c r="BA257" s="389">
        <f t="shared" si="336"/>
        <v>4082.9999999999995</v>
      </c>
      <c r="BB257" s="389">
        <f t="shared" si="336"/>
        <v>4082.9999999999995</v>
      </c>
      <c r="BC257" s="389">
        <f t="shared" si="336"/>
        <v>4082.9999999999995</v>
      </c>
      <c r="BD257" s="389">
        <f t="shared" si="336"/>
        <v>4082.9999999999995</v>
      </c>
      <c r="BE257" s="389">
        <f t="shared" si="336"/>
        <v>4082.9999999999995</v>
      </c>
      <c r="BF257" s="389">
        <f t="shared" si="336"/>
        <v>4082.9999999999995</v>
      </c>
      <c r="BG257" s="389">
        <f t="shared" si="336"/>
        <v>4082.9999999999995</v>
      </c>
      <c r="BH257" s="389">
        <f t="shared" si="336"/>
        <v>4082.9999999999995</v>
      </c>
      <c r="BI257" s="389">
        <f t="shared" si="336"/>
        <v>4082.9999999999995</v>
      </c>
      <c r="BJ257" s="389">
        <f t="shared" si="336"/>
        <v>4082.9999999999995</v>
      </c>
      <c r="BK257" s="389">
        <f t="shared" si="336"/>
        <v>4082.9999999999995</v>
      </c>
      <c r="BL257" s="389">
        <f t="shared" si="336"/>
        <v>4082.9999999999995</v>
      </c>
    </row>
    <row r="259" spans="1:66" s="26" customFormat="1">
      <c r="A259" s="26" t="s">
        <v>1609</v>
      </c>
      <c r="AD259" s="390">
        <v>460</v>
      </c>
      <c r="AE259" s="390">
        <v>436.7</v>
      </c>
      <c r="AF259" s="390">
        <v>469.1</v>
      </c>
      <c r="AG259" s="390">
        <v>469.6</v>
      </c>
      <c r="AH259" s="386">
        <f>AG259</f>
        <v>469.6</v>
      </c>
      <c r="AI259" s="390">
        <v>450.6</v>
      </c>
      <c r="AJ259" s="390">
        <v>652.1</v>
      </c>
      <c r="AK259" s="390">
        <v>722.8</v>
      </c>
      <c r="BN259" s="328"/>
    </row>
    <row r="260" spans="1:66" s="26" customFormat="1">
      <c r="A260" s="174" t="s">
        <v>1610</v>
      </c>
      <c r="B260" s="174"/>
      <c r="C260" s="174"/>
      <c r="D260" s="174"/>
      <c r="E260" s="174"/>
      <c r="F260" s="174"/>
      <c r="G260" s="174"/>
      <c r="H260" s="174"/>
      <c r="I260" s="174"/>
      <c r="J260" s="174"/>
      <c r="K260" s="174"/>
      <c r="L260" s="174"/>
      <c r="M260" s="174"/>
      <c r="N260" s="174"/>
      <c r="O260" s="174"/>
      <c r="P260" s="174"/>
      <c r="Q260" s="174"/>
      <c r="R260" s="174"/>
      <c r="S260" s="174"/>
      <c r="T260" s="174"/>
      <c r="U260" s="174"/>
      <c r="V260" s="174"/>
      <c r="W260" s="174"/>
      <c r="X260" s="174"/>
      <c r="Y260" s="174"/>
      <c r="Z260" s="174"/>
      <c r="AA260" s="174"/>
      <c r="AB260" s="174"/>
      <c r="AC260" s="174"/>
      <c r="AD260" s="389">
        <f>AD254-AD259</f>
        <v>3985</v>
      </c>
      <c r="AE260" s="389">
        <f t="shared" ref="AE260:AK260" si="337">AE254-AE259</f>
        <v>3852.6000000000004</v>
      </c>
      <c r="AF260" s="389">
        <f t="shared" si="337"/>
        <v>3926.2000000000003</v>
      </c>
      <c r="AG260" s="389">
        <f t="shared" si="337"/>
        <v>3777.9999999999995</v>
      </c>
      <c r="AH260" s="389">
        <f t="shared" si="337"/>
        <v>3777.9999999999995</v>
      </c>
      <c r="AI260" s="389">
        <f t="shared" si="337"/>
        <v>4007.6999999999994</v>
      </c>
      <c r="AJ260" s="389">
        <f t="shared" si="337"/>
        <v>3844.8000000000006</v>
      </c>
      <c r="AK260" s="389">
        <f t="shared" si="337"/>
        <v>3851.0999999999995</v>
      </c>
      <c r="BN260" s="328"/>
    </row>
    <row r="262" spans="1:66" s="26" customFormat="1">
      <c r="A262" s="26" t="s">
        <v>1611</v>
      </c>
      <c r="AD262" s="386">
        <f>'Consolidated KK'!AD93</f>
        <v>344.1</v>
      </c>
      <c r="AE262" s="386">
        <f>'Consolidated KK'!AE93</f>
        <v>347</v>
      </c>
      <c r="AF262" s="386">
        <f>'Consolidated KK'!AF93</f>
        <v>311.29999999999995</v>
      </c>
      <c r="AG262" s="386">
        <f>'Consolidated KK'!AG93</f>
        <v>231.39999999999998</v>
      </c>
      <c r="AH262" s="386">
        <f>'Consolidated KK'!AH93</f>
        <v>1233.7999999999997</v>
      </c>
      <c r="AI262" s="386">
        <f>'Consolidated KK'!AI93</f>
        <v>331</v>
      </c>
      <c r="AJ262" s="386">
        <f>'Consolidated KK'!AJ93</f>
        <v>356.29999999999995</v>
      </c>
      <c r="AK262" s="386">
        <f>'Consolidated KK'!AK93</f>
        <v>308.59999999999997</v>
      </c>
      <c r="BN262" s="328"/>
    </row>
    <row r="263" spans="1:66" s="26" customFormat="1">
      <c r="A263" s="26" t="s">
        <v>1612</v>
      </c>
      <c r="AH263" s="339">
        <f>AH260/AH262</f>
        <v>3.062084616631545</v>
      </c>
      <c r="AI263" s="339">
        <f>AI260/(AE262+AF262+AG262+AI262)</f>
        <v>3.2831162447775868</v>
      </c>
      <c r="AJ263" s="339">
        <f>AJ260/(AF262+AG262+AI262+AJ262)</f>
        <v>3.1258536585365859</v>
      </c>
      <c r="AK263" s="339">
        <f>AK260/(AG262+AI262+AJ262+AK262)</f>
        <v>3.1378636030310436</v>
      </c>
      <c r="BN263" s="328"/>
    </row>
    <row r="264" spans="1:66">
      <c r="A264" s="26" t="s">
        <v>1613</v>
      </c>
      <c r="AH264" s="339">
        <f>(AH260-AH249)/AH262</f>
        <v>2.4201653428432488</v>
      </c>
      <c r="AI264" s="339">
        <f>(AI260-AI249)/(AE262+AF262+AG262+AI262)</f>
        <v>2.606127631686737</v>
      </c>
      <c r="AJ264" s="339">
        <f>(AJ260-AJ249)/(AF262+AG262+AI262+AJ262)</f>
        <v>2.4654471544715455</v>
      </c>
      <c r="AK264" s="339">
        <f>(AK260-AK249)/(AG262+AI262+AJ262+AK262)</f>
        <v>2.4415383361851215</v>
      </c>
    </row>
    <row r="266" spans="1:66">
      <c r="A266" s="1" t="s">
        <v>1609</v>
      </c>
      <c r="AD266" s="375">
        <f>AD259</f>
        <v>460</v>
      </c>
      <c r="AE266" s="375">
        <f t="shared" ref="AE266:AK266" si="338">AE259</f>
        <v>436.7</v>
      </c>
      <c r="AF266" s="375">
        <f t="shared" si="338"/>
        <v>469.1</v>
      </c>
      <c r="AG266" s="375">
        <f t="shared" si="338"/>
        <v>469.6</v>
      </c>
      <c r="AH266" s="375">
        <f t="shared" si="338"/>
        <v>469.6</v>
      </c>
      <c r="AI266" s="375">
        <f t="shared" si="338"/>
        <v>450.6</v>
      </c>
      <c r="AJ266" s="375">
        <f t="shared" si="338"/>
        <v>652.1</v>
      </c>
      <c r="AK266" s="375">
        <f t="shared" si="338"/>
        <v>722.8</v>
      </c>
    </row>
    <row r="267" spans="1:66">
      <c r="A267" s="9" t="s">
        <v>1614</v>
      </c>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381">
        <f t="shared" ref="AD267:AK267" si="339">AD257-AD266</f>
        <v>3510.5</v>
      </c>
      <c r="AE267" s="381">
        <f t="shared" si="339"/>
        <v>3368.5000000000005</v>
      </c>
      <c r="AF267" s="381">
        <f t="shared" si="339"/>
        <v>3437.4</v>
      </c>
      <c r="AG267" s="381">
        <f t="shared" si="339"/>
        <v>3298.5999999999995</v>
      </c>
      <c r="AH267" s="381">
        <f t="shared" si="339"/>
        <v>3298.5999999999995</v>
      </c>
      <c r="AI267" s="381">
        <f t="shared" si="339"/>
        <v>3523.6999999999994</v>
      </c>
      <c r="AJ267" s="381">
        <f t="shared" si="339"/>
        <v>3355.9000000000005</v>
      </c>
      <c r="AK267" s="381">
        <f t="shared" si="339"/>
        <v>3360.2</v>
      </c>
    </row>
    <row r="269" spans="1:66">
      <c r="A269" s="1" t="s">
        <v>1615</v>
      </c>
      <c r="AD269" s="379">
        <f>'Consolidated KK'!AD120</f>
        <v>314.5</v>
      </c>
      <c r="AE269" s="379">
        <f>'Consolidated KK'!AE120</f>
        <v>317.39999999999998</v>
      </c>
      <c r="AF269" s="379">
        <f>'Consolidated KK'!AF120</f>
        <v>281.19999999999993</v>
      </c>
      <c r="AG269" s="379">
        <f>'Consolidated KK'!AG120</f>
        <v>201.79999999999998</v>
      </c>
      <c r="AH269" s="379">
        <f>'Consolidated KK'!AH120</f>
        <v>1114.8999999999996</v>
      </c>
      <c r="AI269" s="379">
        <f>'Consolidated KK'!AI120</f>
        <v>300.80799999999999</v>
      </c>
      <c r="AJ269" s="379">
        <f>'Consolidated KK'!AJ120</f>
        <v>326.10799999999995</v>
      </c>
      <c r="AK269" s="379">
        <f>'Consolidated KK'!AK120</f>
        <v>277.89799999999997</v>
      </c>
    </row>
    <row r="270" spans="1:66">
      <c r="A270" s="1" t="s">
        <v>1616</v>
      </c>
      <c r="AD270" s="79"/>
      <c r="AE270" s="79"/>
      <c r="AF270" s="79"/>
      <c r="AG270" s="79"/>
      <c r="AH270" s="307">
        <f>AH267/AH269</f>
        <v>2.9586510000896946</v>
      </c>
      <c r="AI270" s="307">
        <f>AI267/(AE269+AF269+AG269+AI269)</f>
        <v>3.1998496196903763</v>
      </c>
      <c r="AJ270" s="307">
        <f>AJ267/(AF269+AG269+AI269+AJ269)</f>
        <v>3.0235621434414868</v>
      </c>
      <c r="AK270" s="307">
        <f>AK267/(AG269+AI269+AJ269+AK269)</f>
        <v>3.036469807900497</v>
      </c>
    </row>
    <row r="271" spans="1:66">
      <c r="A271" s="79" t="s">
        <v>1617</v>
      </c>
      <c r="AD271" s="79"/>
      <c r="AE271" s="79"/>
      <c r="AF271" s="79"/>
      <c r="AG271" s="79"/>
      <c r="AH271" s="307">
        <f>(AH267-AH249)/AH269</f>
        <v>2.2482733877477803</v>
      </c>
      <c r="AI271" s="307">
        <f>(AI267-AI249)/(AE269+AF269+AG269+AI269)</f>
        <v>2.4494010214237454</v>
      </c>
      <c r="AJ271" s="307">
        <f>(AJ267-AJ249)/(AF269+AG269+AI269+AJ269)</f>
        <v>2.2917049578526671</v>
      </c>
      <c r="AK271" s="307">
        <f>(AK267-AK249)/(AG269+AI269+AJ269+AK269)</f>
        <v>2.264204139835571</v>
      </c>
    </row>
    <row r="273" spans="1:74">
      <c r="A273" s="387" t="s">
        <v>1618</v>
      </c>
    </row>
    <row r="275" spans="1:74" s="26" customFormat="1">
      <c r="A275" s="26" t="s">
        <v>1619</v>
      </c>
      <c r="AD275" s="390">
        <v>1775.8</v>
      </c>
      <c r="AE275" s="390">
        <v>1845.5</v>
      </c>
      <c r="AF275" s="390">
        <v>1814</v>
      </c>
      <c r="AG275" s="390">
        <v>1886.9</v>
      </c>
      <c r="AH275" s="386">
        <f t="shared" ref="AH275" si="340">AG275</f>
        <v>1886.9</v>
      </c>
      <c r="AI275" s="390">
        <v>1782.2</v>
      </c>
      <c r="AJ275" s="390">
        <v>1829.2</v>
      </c>
      <c r="AK275" s="390">
        <v>1897.8</v>
      </c>
      <c r="BN275" s="328"/>
    </row>
    <row r="276" spans="1:74" s="26" customFormat="1">
      <c r="A276" s="174" t="s">
        <v>1620</v>
      </c>
      <c r="B276" s="174"/>
      <c r="C276" s="174"/>
      <c r="D276" s="174"/>
      <c r="E276" s="174"/>
      <c r="F276" s="174"/>
      <c r="G276" s="174"/>
      <c r="H276" s="174"/>
      <c r="I276" s="174"/>
      <c r="J276" s="174"/>
      <c r="K276" s="174"/>
      <c r="L276" s="174"/>
      <c r="M276" s="174"/>
      <c r="N276" s="174"/>
      <c r="O276" s="174"/>
      <c r="P276" s="174"/>
      <c r="Q276" s="174"/>
      <c r="R276" s="174"/>
      <c r="S276" s="174"/>
      <c r="T276" s="174"/>
      <c r="U276" s="174"/>
      <c r="V276" s="174"/>
      <c r="W276" s="174"/>
      <c r="X276" s="174"/>
      <c r="Y276" s="174"/>
      <c r="Z276" s="174"/>
      <c r="AA276" s="174"/>
      <c r="AB276" s="174"/>
      <c r="AC276" s="174"/>
      <c r="AD276" s="389">
        <f>AD254+AD275</f>
        <v>6220.8</v>
      </c>
      <c r="AE276" s="389">
        <f t="shared" ref="AE276:AK276" si="341">AE254+AE275</f>
        <v>6134.8</v>
      </c>
      <c r="AF276" s="389">
        <f t="shared" si="341"/>
        <v>6209.3</v>
      </c>
      <c r="AG276" s="389">
        <f t="shared" si="341"/>
        <v>6134.5</v>
      </c>
      <c r="AH276" s="389">
        <f t="shared" si="341"/>
        <v>6134.5</v>
      </c>
      <c r="AI276" s="389">
        <f t="shared" si="341"/>
        <v>6240.4999999999991</v>
      </c>
      <c r="AJ276" s="389">
        <f t="shared" si="341"/>
        <v>6326.1</v>
      </c>
      <c r="AK276" s="389">
        <f t="shared" si="341"/>
        <v>6471.7</v>
      </c>
      <c r="AL276" s="391">
        <f>AK276</f>
        <v>6471.7</v>
      </c>
      <c r="AM276" s="389">
        <f>AL276</f>
        <v>6471.7</v>
      </c>
      <c r="AN276" s="391">
        <f t="shared" ref="AN276:AQ276" si="342">AM276</f>
        <v>6471.7</v>
      </c>
      <c r="AO276" s="391">
        <f t="shared" si="342"/>
        <v>6471.7</v>
      </c>
      <c r="AP276" s="391">
        <f t="shared" si="342"/>
        <v>6471.7</v>
      </c>
      <c r="AQ276" s="391">
        <f t="shared" si="342"/>
        <v>6471.7</v>
      </c>
      <c r="AR276" s="389">
        <f>AQ276</f>
        <v>6471.7</v>
      </c>
      <c r="AS276" s="391">
        <f t="shared" ref="AS276:AV276" si="343">AR276</f>
        <v>6471.7</v>
      </c>
      <c r="AT276" s="391">
        <f t="shared" si="343"/>
        <v>6471.7</v>
      </c>
      <c r="AU276" s="391">
        <f t="shared" si="343"/>
        <v>6471.7</v>
      </c>
      <c r="AV276" s="391">
        <f t="shared" si="343"/>
        <v>6471.7</v>
      </c>
      <c r="AW276" s="389">
        <f>AV276</f>
        <v>6471.7</v>
      </c>
      <c r="AX276" s="391">
        <f t="shared" ref="AX276:BA276" si="344">AW276</f>
        <v>6471.7</v>
      </c>
      <c r="AY276" s="391">
        <f t="shared" si="344"/>
        <v>6471.7</v>
      </c>
      <c r="AZ276" s="391">
        <f t="shared" si="344"/>
        <v>6471.7</v>
      </c>
      <c r="BA276" s="391">
        <f t="shared" si="344"/>
        <v>6471.7</v>
      </c>
      <c r="BB276" s="389">
        <f>BA276</f>
        <v>6471.7</v>
      </c>
      <c r="BC276" s="391">
        <f t="shared" ref="BC276:BF276" si="345">BB276</f>
        <v>6471.7</v>
      </c>
      <c r="BD276" s="391">
        <f t="shared" si="345"/>
        <v>6471.7</v>
      </c>
      <c r="BE276" s="391">
        <f t="shared" si="345"/>
        <v>6471.7</v>
      </c>
      <c r="BF276" s="391">
        <f t="shared" si="345"/>
        <v>6471.7</v>
      </c>
      <c r="BG276" s="389">
        <f>BF276</f>
        <v>6471.7</v>
      </c>
      <c r="BH276" s="391">
        <f t="shared" ref="BH276:BK276" si="346">BG276</f>
        <v>6471.7</v>
      </c>
      <c r="BI276" s="391">
        <f t="shared" si="346"/>
        <v>6471.7</v>
      </c>
      <c r="BJ276" s="391">
        <f t="shared" si="346"/>
        <v>6471.7</v>
      </c>
      <c r="BK276" s="391">
        <f t="shared" si="346"/>
        <v>6471.7</v>
      </c>
      <c r="BL276" s="389">
        <f>BK276</f>
        <v>6471.7</v>
      </c>
      <c r="BN276" s="328"/>
      <c r="BP276" s="375">
        <f t="shared" ref="BP276:BV276" si="347">INDEX($AD276:$BL276, MATCH(BP$2, $AD$2:$BL$2, 0))</f>
        <v>6134.5</v>
      </c>
      <c r="BQ276" s="375">
        <f t="shared" si="347"/>
        <v>6471.7</v>
      </c>
      <c r="BR276" s="375">
        <f t="shared" si="347"/>
        <v>6471.7</v>
      </c>
      <c r="BS276" s="375">
        <f t="shared" si="347"/>
        <v>6471.7</v>
      </c>
      <c r="BT276" s="375">
        <f t="shared" si="347"/>
        <v>6471.7</v>
      </c>
      <c r="BU276" s="375">
        <f t="shared" si="347"/>
        <v>6471.7</v>
      </c>
      <c r="BV276" s="375">
        <f t="shared" si="347"/>
        <v>6471.7</v>
      </c>
    </row>
    <row r="277" spans="1:74" s="26" customFormat="1">
      <c r="A277" s="26" t="s">
        <v>1621</v>
      </c>
      <c r="AD277" s="260">
        <f t="shared" ref="AD277:AK277" si="348">AD275/AD276</f>
        <v>0.28546167695473251</v>
      </c>
      <c r="AE277" s="260">
        <f t="shared" si="348"/>
        <v>0.30082480276455631</v>
      </c>
      <c r="AF277" s="260">
        <f t="shared" si="348"/>
        <v>0.29214243151401931</v>
      </c>
      <c r="AG277" s="260">
        <f t="shared" si="348"/>
        <v>0.30758823049963324</v>
      </c>
      <c r="AH277" s="260">
        <f t="shared" si="348"/>
        <v>0.30758823049963324</v>
      </c>
      <c r="AI277" s="260">
        <f t="shared" si="348"/>
        <v>0.28558609085810438</v>
      </c>
      <c r="AJ277" s="260">
        <f t="shared" si="348"/>
        <v>0.28915129384612953</v>
      </c>
      <c r="AK277" s="260">
        <f t="shared" si="348"/>
        <v>0.29324597864548729</v>
      </c>
      <c r="AL277" s="392">
        <v>0.3</v>
      </c>
      <c r="AN277" s="392">
        <v>0.3</v>
      </c>
      <c r="AO277" s="392">
        <v>0.3</v>
      </c>
      <c r="AP277" s="392">
        <v>0.3</v>
      </c>
      <c r="AQ277" s="392">
        <v>0.3</v>
      </c>
      <c r="AS277" s="392">
        <v>0.3</v>
      </c>
      <c r="AT277" s="392">
        <v>0.3</v>
      </c>
      <c r="AU277" s="392">
        <v>0.3</v>
      </c>
      <c r="AV277" s="392">
        <v>0.3</v>
      </c>
      <c r="AX277" s="392">
        <v>0.3</v>
      </c>
      <c r="AY277" s="392">
        <v>0.3</v>
      </c>
      <c r="AZ277" s="392">
        <v>0.3</v>
      </c>
      <c r="BA277" s="392">
        <v>0.3</v>
      </c>
      <c r="BC277" s="392">
        <v>0.3</v>
      </c>
      <c r="BD277" s="392">
        <v>0.3</v>
      </c>
      <c r="BE277" s="392">
        <v>0.3</v>
      </c>
      <c r="BF277" s="392">
        <v>0.3</v>
      </c>
      <c r="BH277" s="392">
        <v>0.3</v>
      </c>
      <c r="BI277" s="392">
        <v>0.3</v>
      </c>
      <c r="BJ277" s="392">
        <v>0.3</v>
      </c>
      <c r="BK277" s="392">
        <v>0.3</v>
      </c>
      <c r="BN277" s="328"/>
    </row>
    <row r="279" spans="1:74">
      <c r="A279" s="1" t="s">
        <v>1619</v>
      </c>
      <c r="AD279" s="375">
        <f t="shared" ref="AD279:AK279" si="349">AD275</f>
        <v>1775.8</v>
      </c>
      <c r="AE279" s="375">
        <f t="shared" si="349"/>
        <v>1845.5</v>
      </c>
      <c r="AF279" s="375">
        <f t="shared" si="349"/>
        <v>1814</v>
      </c>
      <c r="AG279" s="375">
        <f t="shared" si="349"/>
        <v>1886.9</v>
      </c>
      <c r="AH279" s="375">
        <f t="shared" si="349"/>
        <v>1886.9</v>
      </c>
      <c r="AI279" s="375">
        <f t="shared" si="349"/>
        <v>1782.2</v>
      </c>
      <c r="AJ279" s="375">
        <f t="shared" si="349"/>
        <v>1829.2</v>
      </c>
      <c r="AK279" s="375">
        <f t="shared" si="349"/>
        <v>1897.8</v>
      </c>
    </row>
    <row r="280" spans="1:74">
      <c r="A280" s="9" t="s">
        <v>1622</v>
      </c>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381">
        <f>AD257+AD279</f>
        <v>5746.3</v>
      </c>
      <c r="AE280" s="381">
        <f t="shared" ref="AE280:AK280" si="350">AE257+AE279</f>
        <v>5650.7000000000007</v>
      </c>
      <c r="AF280" s="381">
        <f t="shared" si="350"/>
        <v>5720.5</v>
      </c>
      <c r="AG280" s="381">
        <f t="shared" si="350"/>
        <v>5655.0999999999995</v>
      </c>
      <c r="AH280" s="381">
        <f t="shared" si="350"/>
        <v>5655.0999999999995</v>
      </c>
      <c r="AI280" s="381">
        <f t="shared" si="350"/>
        <v>5756.4999999999991</v>
      </c>
      <c r="AJ280" s="381">
        <f t="shared" si="350"/>
        <v>5837.2000000000007</v>
      </c>
      <c r="AK280" s="381">
        <f t="shared" si="350"/>
        <v>5980.7999999999993</v>
      </c>
      <c r="AL280" s="391">
        <f>AK280</f>
        <v>5980.7999999999993</v>
      </c>
      <c r="AM280" s="389">
        <f>AL280</f>
        <v>5980.7999999999993</v>
      </c>
      <c r="AN280" s="391">
        <f t="shared" ref="AN280:AQ280" si="351">AM280</f>
        <v>5980.7999999999993</v>
      </c>
      <c r="AO280" s="391">
        <f t="shared" si="351"/>
        <v>5980.7999999999993</v>
      </c>
      <c r="AP280" s="391">
        <f t="shared" si="351"/>
        <v>5980.7999999999993</v>
      </c>
      <c r="AQ280" s="391">
        <f t="shared" si="351"/>
        <v>5980.7999999999993</v>
      </c>
      <c r="AR280" s="389">
        <f>AQ280</f>
        <v>5980.7999999999993</v>
      </c>
      <c r="AS280" s="391">
        <f t="shared" ref="AS280:AV280" si="352">AR280</f>
        <v>5980.7999999999993</v>
      </c>
      <c r="AT280" s="391">
        <f t="shared" si="352"/>
        <v>5980.7999999999993</v>
      </c>
      <c r="AU280" s="391">
        <f t="shared" si="352"/>
        <v>5980.7999999999993</v>
      </c>
      <c r="AV280" s="391">
        <f t="shared" si="352"/>
        <v>5980.7999999999993</v>
      </c>
      <c r="AW280" s="389">
        <f>AV280</f>
        <v>5980.7999999999993</v>
      </c>
      <c r="AX280" s="391">
        <f t="shared" ref="AX280:BA280" si="353">AW280</f>
        <v>5980.7999999999993</v>
      </c>
      <c r="AY280" s="391">
        <f t="shared" si="353"/>
        <v>5980.7999999999993</v>
      </c>
      <c r="AZ280" s="391">
        <f t="shared" si="353"/>
        <v>5980.7999999999993</v>
      </c>
      <c r="BA280" s="391">
        <f t="shared" si="353"/>
        <v>5980.7999999999993</v>
      </c>
      <c r="BB280" s="389">
        <f>BA280</f>
        <v>5980.7999999999993</v>
      </c>
      <c r="BC280" s="391">
        <f t="shared" ref="BC280:BF280" si="354">BB280</f>
        <v>5980.7999999999993</v>
      </c>
      <c r="BD280" s="391">
        <f t="shared" si="354"/>
        <v>5980.7999999999993</v>
      </c>
      <c r="BE280" s="391">
        <f t="shared" si="354"/>
        <v>5980.7999999999993</v>
      </c>
      <c r="BF280" s="391">
        <f t="shared" si="354"/>
        <v>5980.7999999999993</v>
      </c>
      <c r="BG280" s="389">
        <f>BF280</f>
        <v>5980.7999999999993</v>
      </c>
      <c r="BH280" s="391">
        <f t="shared" ref="BH280:BK280" si="355">BG280</f>
        <v>5980.7999999999993</v>
      </c>
      <c r="BI280" s="391">
        <f t="shared" si="355"/>
        <v>5980.7999999999993</v>
      </c>
      <c r="BJ280" s="391">
        <f t="shared" si="355"/>
        <v>5980.7999999999993</v>
      </c>
      <c r="BK280" s="391">
        <f t="shared" si="355"/>
        <v>5980.7999999999993</v>
      </c>
      <c r="BL280" s="389">
        <f>BK280</f>
        <v>5980.7999999999993</v>
      </c>
      <c r="BP280" s="375">
        <f t="shared" ref="BP280:BV280" si="356">INDEX($AD280:$BL280, MATCH(BP$2, $AD$2:$BL$2, 0))</f>
        <v>5655.0999999999995</v>
      </c>
      <c r="BQ280" s="375">
        <f t="shared" si="356"/>
        <v>5980.7999999999993</v>
      </c>
      <c r="BR280" s="375">
        <f t="shared" si="356"/>
        <v>5980.7999999999993</v>
      </c>
      <c r="BS280" s="375">
        <f t="shared" si="356"/>
        <v>5980.7999999999993</v>
      </c>
      <c r="BT280" s="375">
        <f t="shared" si="356"/>
        <v>5980.7999999999993</v>
      </c>
      <c r="BU280" s="375">
        <f t="shared" si="356"/>
        <v>5980.7999999999993</v>
      </c>
      <c r="BV280" s="375">
        <f t="shared" si="356"/>
        <v>5980.7999999999993</v>
      </c>
    </row>
    <row r="282" spans="1:74" s="26" customFormat="1">
      <c r="A282" s="26" t="s">
        <v>1623</v>
      </c>
      <c r="AD282" s="386">
        <f t="shared" ref="AD282:AK282" si="357">AD283-AD259</f>
        <v>1197.4000000000001</v>
      </c>
      <c r="AE282" s="386">
        <f t="shared" si="357"/>
        <v>1352.2</v>
      </c>
      <c r="AF282" s="386">
        <f t="shared" si="357"/>
        <v>1853.5</v>
      </c>
      <c r="AG282" s="386">
        <f t="shared" si="357"/>
        <v>1644.8000000000002</v>
      </c>
      <c r="AH282" s="386">
        <f t="shared" si="357"/>
        <v>1644.8000000000002</v>
      </c>
      <c r="AI282" s="386">
        <f t="shared" si="357"/>
        <v>1440.6999999999998</v>
      </c>
      <c r="AJ282" s="386">
        <f t="shared" si="357"/>
        <v>1415.8000000000002</v>
      </c>
      <c r="AK282" s="386">
        <f t="shared" si="357"/>
        <v>1526.8999999999999</v>
      </c>
      <c r="BN282" s="328"/>
    </row>
    <row r="283" spans="1:74" s="26" customFormat="1">
      <c r="A283" s="26" t="s">
        <v>1624</v>
      </c>
      <c r="AD283" s="390">
        <v>1657.4</v>
      </c>
      <c r="AE283" s="390">
        <v>1788.9</v>
      </c>
      <c r="AF283" s="390">
        <v>2322.6</v>
      </c>
      <c r="AG283" s="390">
        <v>2114.4</v>
      </c>
      <c r="AH283" s="386">
        <f>AG283</f>
        <v>2114.4</v>
      </c>
      <c r="AI283" s="390">
        <v>1891.3</v>
      </c>
      <c r="AJ283" s="390">
        <v>2067.9</v>
      </c>
      <c r="AK283" s="390">
        <v>2249.6999999999998</v>
      </c>
      <c r="AL283" s="386">
        <f>AK283+AL207</f>
        <v>2284.2693456562033</v>
      </c>
      <c r="AM283" s="386">
        <f>AL283</f>
        <v>2284.2693456562033</v>
      </c>
      <c r="AN283" s="386">
        <f>AM283+AN207</f>
        <v>2099.2636460368121</v>
      </c>
      <c r="AO283" s="386">
        <f t="shared" ref="AO283:AQ283" si="358">AN283+AO207</f>
        <v>2277.3700185219141</v>
      </c>
      <c r="AP283" s="386">
        <f t="shared" si="358"/>
        <v>2262.2869695897234</v>
      </c>
      <c r="AQ283" s="386">
        <f t="shared" si="358"/>
        <v>2328.8440928427199</v>
      </c>
      <c r="AR283" s="386">
        <f>AQ283</f>
        <v>2328.8440928427199</v>
      </c>
      <c r="AS283" s="386">
        <f t="shared" ref="AS283:AV283" si="359">AR283+AS207</f>
        <v>2153.4746298292325</v>
      </c>
      <c r="AT283" s="386">
        <f t="shared" si="359"/>
        <v>2338.5744631702028</v>
      </c>
      <c r="AU283" s="386">
        <f t="shared" si="359"/>
        <v>2328.7239951605006</v>
      </c>
      <c r="AV283" s="386">
        <f t="shared" si="359"/>
        <v>2414.5927329294691</v>
      </c>
      <c r="AW283" s="386">
        <f>AV283</f>
        <v>2414.5927329294691</v>
      </c>
      <c r="AX283" s="386">
        <f t="shared" ref="AX283:BA283" si="360">AW283+AX207</f>
        <v>2249.1684342233325</v>
      </c>
      <c r="AY283" s="386">
        <f t="shared" si="360"/>
        <v>2413.7546136594733</v>
      </c>
      <c r="AZ283" s="386">
        <f t="shared" si="360"/>
        <v>2411.8830410006071</v>
      </c>
      <c r="BA283" s="386">
        <f t="shared" si="360"/>
        <v>2511.0781416425475</v>
      </c>
      <c r="BB283" s="386">
        <f>BA283</f>
        <v>2511.0781416425475</v>
      </c>
      <c r="BC283" s="386">
        <f t="shared" ref="BC283:BF283" si="361">BB283+BC207</f>
        <v>2345.3524900663419</v>
      </c>
      <c r="BD283" s="386">
        <f t="shared" si="361"/>
        <v>2549.8094606571485</v>
      </c>
      <c r="BE283" s="386">
        <f t="shared" si="361"/>
        <v>2545.6710518833643</v>
      </c>
      <c r="BF283" s="386">
        <f t="shared" si="361"/>
        <v>2653.6453574065722</v>
      </c>
      <c r="BG283" s="386">
        <f>BF283</f>
        <v>2653.6453574065722</v>
      </c>
      <c r="BH283" s="386">
        <f t="shared" ref="BH283:BK283" si="362">BG283+BH207</f>
        <v>2499.5202338714557</v>
      </c>
      <c r="BI283" s="386">
        <f t="shared" si="362"/>
        <v>2715.2476703171142</v>
      </c>
      <c r="BJ283" s="386">
        <f t="shared" si="362"/>
        <v>2720.1765374459392</v>
      </c>
      <c r="BK283" s="386">
        <f t="shared" si="362"/>
        <v>2841.579434200044</v>
      </c>
      <c r="BL283" s="386">
        <f>BK283</f>
        <v>2841.579434200044</v>
      </c>
      <c r="BN283" s="328"/>
    </row>
    <row r="284" spans="1:74" s="26" customFormat="1">
      <c r="A284" s="174" t="s">
        <v>1625</v>
      </c>
      <c r="B284" s="174"/>
      <c r="C284" s="174"/>
      <c r="D284" s="174"/>
      <c r="E284" s="174"/>
      <c r="F284" s="174"/>
      <c r="G284" s="174"/>
      <c r="H284" s="174"/>
      <c r="I284" s="174"/>
      <c r="J284" s="174"/>
      <c r="K284" s="174"/>
      <c r="L284" s="174"/>
      <c r="M284" s="174"/>
      <c r="N284" s="174"/>
      <c r="O284" s="174"/>
      <c r="P284" s="174"/>
      <c r="Q284" s="174"/>
      <c r="R284" s="174"/>
      <c r="S284" s="174"/>
      <c r="T284" s="174"/>
      <c r="U284" s="174"/>
      <c r="V284" s="174"/>
      <c r="W284" s="174"/>
      <c r="X284" s="174"/>
      <c r="Y284" s="174"/>
      <c r="Z284" s="174"/>
      <c r="AA284" s="174"/>
      <c r="AB284" s="174"/>
      <c r="AC284" s="174"/>
      <c r="AD284" s="389">
        <f t="shared" ref="AD284:BL284" si="363">AD276-AD283</f>
        <v>4563.3999999999996</v>
      </c>
      <c r="AE284" s="389">
        <f t="shared" si="363"/>
        <v>4345.8999999999996</v>
      </c>
      <c r="AF284" s="389">
        <f t="shared" si="363"/>
        <v>3886.7000000000003</v>
      </c>
      <c r="AG284" s="389">
        <f t="shared" si="363"/>
        <v>4020.1</v>
      </c>
      <c r="AH284" s="389">
        <f t="shared" si="363"/>
        <v>4020.1</v>
      </c>
      <c r="AI284" s="389">
        <f t="shared" si="363"/>
        <v>4349.1999999999989</v>
      </c>
      <c r="AJ284" s="389">
        <f t="shared" si="363"/>
        <v>4258.2000000000007</v>
      </c>
      <c r="AK284" s="389">
        <f t="shared" si="363"/>
        <v>4222</v>
      </c>
      <c r="AL284" s="389">
        <f t="shared" si="363"/>
        <v>4187.430654343796</v>
      </c>
      <c r="AM284" s="389">
        <f t="shared" si="363"/>
        <v>4187.430654343796</v>
      </c>
      <c r="AN284" s="389">
        <f t="shared" si="363"/>
        <v>4372.4363539631877</v>
      </c>
      <c r="AO284" s="389">
        <f t="shared" si="363"/>
        <v>4194.3299814780858</v>
      </c>
      <c r="AP284" s="389">
        <f t="shared" si="363"/>
        <v>4209.4130304102764</v>
      </c>
      <c r="AQ284" s="389">
        <f t="shared" si="363"/>
        <v>4142.8559071572799</v>
      </c>
      <c r="AR284" s="389">
        <f t="shared" si="363"/>
        <v>4142.8559071572799</v>
      </c>
      <c r="AS284" s="389">
        <f t="shared" si="363"/>
        <v>4318.2253701707668</v>
      </c>
      <c r="AT284" s="389">
        <f t="shared" si="363"/>
        <v>4133.1255368297971</v>
      </c>
      <c r="AU284" s="389">
        <f t="shared" si="363"/>
        <v>4142.9760048394992</v>
      </c>
      <c r="AV284" s="389">
        <f t="shared" si="363"/>
        <v>4057.1072670705307</v>
      </c>
      <c r="AW284" s="389">
        <f t="shared" si="363"/>
        <v>4057.1072670705307</v>
      </c>
      <c r="AX284" s="389">
        <f t="shared" si="363"/>
        <v>4222.5315657766678</v>
      </c>
      <c r="AY284" s="389">
        <f t="shared" si="363"/>
        <v>4057.9453863405265</v>
      </c>
      <c r="AZ284" s="389">
        <f t="shared" si="363"/>
        <v>4059.8169589993927</v>
      </c>
      <c r="BA284" s="389">
        <f t="shared" si="363"/>
        <v>3960.6218583574523</v>
      </c>
      <c r="BB284" s="389">
        <f t="shared" si="363"/>
        <v>3960.6218583574523</v>
      </c>
      <c r="BC284" s="389">
        <f t="shared" si="363"/>
        <v>4126.3475099336574</v>
      </c>
      <c r="BD284" s="389">
        <f t="shared" si="363"/>
        <v>3921.8905393428513</v>
      </c>
      <c r="BE284" s="389">
        <f t="shared" si="363"/>
        <v>3926.0289481166355</v>
      </c>
      <c r="BF284" s="389">
        <f t="shared" si="363"/>
        <v>3818.0546425934276</v>
      </c>
      <c r="BG284" s="389">
        <f t="shared" si="363"/>
        <v>3818.0546425934276</v>
      </c>
      <c r="BH284" s="389">
        <f t="shared" si="363"/>
        <v>3972.1797661285441</v>
      </c>
      <c r="BI284" s="389">
        <f t="shared" si="363"/>
        <v>3756.4523296828856</v>
      </c>
      <c r="BJ284" s="389">
        <f t="shared" si="363"/>
        <v>3751.5234625540606</v>
      </c>
      <c r="BK284" s="389">
        <f t="shared" si="363"/>
        <v>3630.1205657999558</v>
      </c>
      <c r="BL284" s="389">
        <f t="shared" si="363"/>
        <v>3630.1205657999558</v>
      </c>
      <c r="BN284" s="328"/>
      <c r="BP284" s="375">
        <f t="shared" ref="BP284:BV284" si="364">INDEX($AD284:$BL284, MATCH(BP$2, $AD$2:$BL$2, 0))</f>
        <v>4020.1</v>
      </c>
      <c r="BQ284" s="375">
        <f t="shared" si="364"/>
        <v>4187.430654343796</v>
      </c>
      <c r="BR284" s="375">
        <f t="shared" si="364"/>
        <v>4142.8559071572799</v>
      </c>
      <c r="BS284" s="375">
        <f t="shared" si="364"/>
        <v>4057.1072670705307</v>
      </c>
      <c r="BT284" s="375">
        <f t="shared" si="364"/>
        <v>3960.6218583574523</v>
      </c>
      <c r="BU284" s="375">
        <f t="shared" si="364"/>
        <v>3818.0546425934276</v>
      </c>
      <c r="BV284" s="375">
        <f t="shared" si="364"/>
        <v>3630.1205657999558</v>
      </c>
    </row>
    <row r="286" spans="1:74">
      <c r="A286" s="26" t="s">
        <v>1626</v>
      </c>
      <c r="AD286" s="386">
        <f>'Consolidated KK'!AD95</f>
        <v>430.6</v>
      </c>
      <c r="AE286" s="386">
        <f>'Consolidated KK'!AE95</f>
        <v>427.6</v>
      </c>
      <c r="AF286" s="386">
        <f>'Consolidated KK'!AF95</f>
        <v>404.9</v>
      </c>
      <c r="AG286" s="386">
        <f>'Consolidated KK'!AG95</f>
        <v>303.3</v>
      </c>
      <c r="AH286" s="386">
        <f>'Consolidated KK'!AH95</f>
        <v>1566.3999999999999</v>
      </c>
      <c r="AI286" s="386">
        <f>'Consolidated KK'!AI95</f>
        <v>430.9</v>
      </c>
      <c r="AJ286" s="386">
        <f>'Consolidated KK'!AJ95</f>
        <v>459.7</v>
      </c>
      <c r="AK286" s="386">
        <f>'Consolidated KK'!AK95</f>
        <v>418.4</v>
      </c>
    </row>
    <row r="287" spans="1:74">
      <c r="A287" s="26" t="s">
        <v>1627</v>
      </c>
      <c r="AD287" s="26"/>
      <c r="AE287" s="26"/>
      <c r="AF287" s="26"/>
      <c r="AG287" s="26"/>
      <c r="AH287" s="339">
        <f>AH284/AH286</f>
        <v>2.5664581205311543</v>
      </c>
      <c r="AI287" s="339">
        <f>AI284/(AE286+AF286+AG286+AI286)</f>
        <v>2.7760260419991059</v>
      </c>
      <c r="AJ287" s="339">
        <f>AJ284/(AF286+AG286+AI286+AJ286)</f>
        <v>2.6633725293970483</v>
      </c>
      <c r="AK287" s="339">
        <f>AK284/(AG286+AI286+AJ286+AK286)</f>
        <v>2.6186193636420017</v>
      </c>
    </row>
    <row r="288" spans="1:74">
      <c r="A288" s="26" t="s">
        <v>1628</v>
      </c>
      <c r="AH288" s="339">
        <f>(AH284-AH249)/AH286</f>
        <v>2.0608401430030643</v>
      </c>
      <c r="AI288" s="339">
        <f>(AI284-AI249)/(AE286+AF286+AG286+AI286)</f>
        <v>2.2485479032361009</v>
      </c>
      <c r="AJ288" s="339">
        <f>(AJ284-AJ249)/(AF286+AG286+AI286+AJ286)</f>
        <v>2.1553039779834879</v>
      </c>
      <c r="AK288" s="339">
        <f>(AK284-AK249)/(AG286+AI286+AJ286+AK286)</f>
        <v>2.0885691248526945</v>
      </c>
    </row>
    <row r="290" spans="1:74">
      <c r="A290" s="1" t="s">
        <v>1623</v>
      </c>
      <c r="AD290" s="375">
        <f>AD282</f>
        <v>1197.4000000000001</v>
      </c>
      <c r="AE290" s="375">
        <f t="shared" ref="AE290:AH291" si="365">AE282</f>
        <v>1352.2</v>
      </c>
      <c r="AF290" s="375">
        <f t="shared" si="365"/>
        <v>1853.5</v>
      </c>
      <c r="AG290" s="375">
        <f t="shared" si="365"/>
        <v>1644.8000000000002</v>
      </c>
      <c r="AH290" s="375">
        <f t="shared" si="365"/>
        <v>1644.8000000000002</v>
      </c>
      <c r="AI290" s="375">
        <f>AI282</f>
        <v>1440.6999999999998</v>
      </c>
      <c r="AJ290" s="375">
        <f t="shared" ref="AJ290:AY291" si="366">AJ282</f>
        <v>1415.8000000000002</v>
      </c>
      <c r="AK290" s="375">
        <f t="shared" si="366"/>
        <v>1526.8999999999999</v>
      </c>
    </row>
    <row r="291" spans="1:74">
      <c r="A291" s="1" t="s">
        <v>1624</v>
      </c>
      <c r="AD291" s="375">
        <f>AD283</f>
        <v>1657.4</v>
      </c>
      <c r="AE291" s="375">
        <f t="shared" si="365"/>
        <v>1788.9</v>
      </c>
      <c r="AF291" s="375">
        <f t="shared" si="365"/>
        <v>2322.6</v>
      </c>
      <c r="AG291" s="375">
        <f t="shared" si="365"/>
        <v>2114.4</v>
      </c>
      <c r="AH291" s="375">
        <f t="shared" si="365"/>
        <v>2114.4</v>
      </c>
      <c r="AI291" s="375">
        <f>AI283</f>
        <v>1891.3</v>
      </c>
      <c r="AJ291" s="375">
        <f t="shared" si="366"/>
        <v>2067.9</v>
      </c>
      <c r="AK291" s="375">
        <f t="shared" si="366"/>
        <v>2249.6999999999998</v>
      </c>
      <c r="AL291" s="375">
        <f t="shared" si="366"/>
        <v>2284.2693456562033</v>
      </c>
      <c r="AM291" s="375">
        <f t="shared" si="366"/>
        <v>2284.2693456562033</v>
      </c>
      <c r="AN291" s="375">
        <f t="shared" si="366"/>
        <v>2099.2636460368121</v>
      </c>
      <c r="AO291" s="375">
        <f t="shared" si="366"/>
        <v>2277.3700185219141</v>
      </c>
      <c r="AP291" s="375">
        <f t="shared" si="366"/>
        <v>2262.2869695897234</v>
      </c>
      <c r="AQ291" s="375">
        <f t="shared" si="366"/>
        <v>2328.8440928427199</v>
      </c>
      <c r="AR291" s="375">
        <f t="shared" si="366"/>
        <v>2328.8440928427199</v>
      </c>
      <c r="AS291" s="375">
        <f t="shared" si="366"/>
        <v>2153.4746298292325</v>
      </c>
      <c r="AT291" s="375">
        <f t="shared" si="366"/>
        <v>2338.5744631702028</v>
      </c>
      <c r="AU291" s="375">
        <f t="shared" si="366"/>
        <v>2328.7239951605006</v>
      </c>
      <c r="AV291" s="375">
        <f t="shared" si="366"/>
        <v>2414.5927329294691</v>
      </c>
      <c r="AW291" s="375">
        <f t="shared" si="366"/>
        <v>2414.5927329294691</v>
      </c>
      <c r="AX291" s="375">
        <f t="shared" si="366"/>
        <v>2249.1684342233325</v>
      </c>
      <c r="AY291" s="375">
        <f t="shared" si="366"/>
        <v>2413.7546136594733</v>
      </c>
      <c r="AZ291" s="375">
        <f t="shared" ref="AZ291:BL291" si="367">AZ283</f>
        <v>2411.8830410006071</v>
      </c>
      <c r="BA291" s="375">
        <f t="shared" si="367"/>
        <v>2511.0781416425475</v>
      </c>
      <c r="BB291" s="375">
        <f t="shared" si="367"/>
        <v>2511.0781416425475</v>
      </c>
      <c r="BC291" s="375">
        <f t="shared" si="367"/>
        <v>2345.3524900663419</v>
      </c>
      <c r="BD291" s="375">
        <f t="shared" si="367"/>
        <v>2549.8094606571485</v>
      </c>
      <c r="BE291" s="375">
        <f t="shared" si="367"/>
        <v>2545.6710518833643</v>
      </c>
      <c r="BF291" s="375">
        <f t="shared" si="367"/>
        <v>2653.6453574065722</v>
      </c>
      <c r="BG291" s="375">
        <f t="shared" si="367"/>
        <v>2653.6453574065722</v>
      </c>
      <c r="BH291" s="375">
        <f t="shared" si="367"/>
        <v>2499.5202338714557</v>
      </c>
      <c r="BI291" s="375">
        <f t="shared" si="367"/>
        <v>2715.2476703171142</v>
      </c>
      <c r="BJ291" s="375">
        <f t="shared" si="367"/>
        <v>2720.1765374459392</v>
      </c>
      <c r="BK291" s="375">
        <f t="shared" si="367"/>
        <v>2841.579434200044</v>
      </c>
      <c r="BL291" s="375">
        <f t="shared" si="367"/>
        <v>2841.579434200044</v>
      </c>
    </row>
    <row r="292" spans="1:74">
      <c r="A292" s="9" t="s">
        <v>1629</v>
      </c>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381">
        <f t="shared" ref="AD292:BL292" si="368">AD280-AD291</f>
        <v>4088.9</v>
      </c>
      <c r="AE292" s="381">
        <f t="shared" si="368"/>
        <v>3861.8000000000006</v>
      </c>
      <c r="AF292" s="381">
        <f t="shared" si="368"/>
        <v>3397.9</v>
      </c>
      <c r="AG292" s="381">
        <f t="shared" si="368"/>
        <v>3540.6999999999994</v>
      </c>
      <c r="AH292" s="381">
        <f t="shared" si="368"/>
        <v>3540.6999999999994</v>
      </c>
      <c r="AI292" s="381">
        <f t="shared" si="368"/>
        <v>3865.1999999999989</v>
      </c>
      <c r="AJ292" s="381">
        <f t="shared" si="368"/>
        <v>3769.3000000000006</v>
      </c>
      <c r="AK292" s="381">
        <f t="shared" si="368"/>
        <v>3731.0999999999995</v>
      </c>
      <c r="AL292" s="381">
        <f t="shared" si="368"/>
        <v>3696.530654343796</v>
      </c>
      <c r="AM292" s="381">
        <f t="shared" si="368"/>
        <v>3696.530654343796</v>
      </c>
      <c r="AN292" s="381">
        <f t="shared" si="368"/>
        <v>3881.5363539631871</v>
      </c>
      <c r="AO292" s="381">
        <f t="shared" si="368"/>
        <v>3703.4299814780852</v>
      </c>
      <c r="AP292" s="381">
        <f t="shared" si="368"/>
        <v>3718.5130304102759</v>
      </c>
      <c r="AQ292" s="381">
        <f t="shared" si="368"/>
        <v>3651.9559071572794</v>
      </c>
      <c r="AR292" s="381">
        <f t="shared" si="368"/>
        <v>3651.9559071572794</v>
      </c>
      <c r="AS292" s="381">
        <f t="shared" si="368"/>
        <v>3827.3253701707667</v>
      </c>
      <c r="AT292" s="381">
        <f t="shared" si="368"/>
        <v>3642.2255368297965</v>
      </c>
      <c r="AU292" s="381">
        <f t="shared" si="368"/>
        <v>3652.0760048394986</v>
      </c>
      <c r="AV292" s="381">
        <f t="shared" si="368"/>
        <v>3566.2072670705302</v>
      </c>
      <c r="AW292" s="381">
        <f t="shared" si="368"/>
        <v>3566.2072670705302</v>
      </c>
      <c r="AX292" s="381">
        <f t="shared" si="368"/>
        <v>3731.6315657766668</v>
      </c>
      <c r="AY292" s="381">
        <f t="shared" si="368"/>
        <v>3567.045386340526</v>
      </c>
      <c r="AZ292" s="381">
        <f t="shared" si="368"/>
        <v>3568.9169589993921</v>
      </c>
      <c r="BA292" s="381">
        <f t="shared" si="368"/>
        <v>3469.7218583574518</v>
      </c>
      <c r="BB292" s="381">
        <f t="shared" si="368"/>
        <v>3469.7218583574518</v>
      </c>
      <c r="BC292" s="381">
        <f t="shared" si="368"/>
        <v>3635.4475099336573</v>
      </c>
      <c r="BD292" s="381">
        <f t="shared" si="368"/>
        <v>3430.9905393428508</v>
      </c>
      <c r="BE292" s="381">
        <f t="shared" si="368"/>
        <v>3435.128948116635</v>
      </c>
      <c r="BF292" s="381">
        <f t="shared" si="368"/>
        <v>3327.1546425934271</v>
      </c>
      <c r="BG292" s="381">
        <f t="shared" si="368"/>
        <v>3327.1546425934271</v>
      </c>
      <c r="BH292" s="381">
        <f t="shared" si="368"/>
        <v>3481.2797661285435</v>
      </c>
      <c r="BI292" s="381">
        <f t="shared" si="368"/>
        <v>3265.5523296828851</v>
      </c>
      <c r="BJ292" s="381">
        <f t="shared" si="368"/>
        <v>3260.6234625540601</v>
      </c>
      <c r="BK292" s="381">
        <f t="shared" si="368"/>
        <v>3139.2205657999552</v>
      </c>
      <c r="BL292" s="381">
        <f t="shared" si="368"/>
        <v>3139.2205657999552</v>
      </c>
      <c r="BP292" s="375">
        <f t="shared" ref="BP292:BV292" si="369">INDEX($AD292:$BL292, MATCH(BP$2, $AD$2:$BL$2, 0))</f>
        <v>3540.6999999999994</v>
      </c>
      <c r="BQ292" s="375">
        <f t="shared" si="369"/>
        <v>3696.530654343796</v>
      </c>
      <c r="BR292" s="375">
        <f t="shared" si="369"/>
        <v>3651.9559071572794</v>
      </c>
      <c r="BS292" s="375">
        <f t="shared" si="369"/>
        <v>3566.2072670705302</v>
      </c>
      <c r="BT292" s="375">
        <f t="shared" si="369"/>
        <v>3469.7218583574518</v>
      </c>
      <c r="BU292" s="375">
        <f t="shared" si="369"/>
        <v>3327.1546425934271</v>
      </c>
      <c r="BV292" s="375">
        <f t="shared" si="369"/>
        <v>3139.2205657999552</v>
      </c>
    </row>
    <row r="294" spans="1:74" s="79" customFormat="1">
      <c r="A294" s="316" t="s">
        <v>1630</v>
      </c>
      <c r="B294" s="316"/>
      <c r="C294" s="316"/>
      <c r="D294" s="316"/>
      <c r="E294" s="316"/>
      <c r="F294" s="316"/>
      <c r="G294" s="316"/>
      <c r="H294" s="316"/>
      <c r="I294" s="316"/>
      <c r="J294" s="316"/>
      <c r="K294" s="316"/>
      <c r="L294" s="316"/>
      <c r="M294" s="316"/>
      <c r="N294" s="316"/>
      <c r="O294" s="316"/>
      <c r="P294" s="316"/>
      <c r="Q294" s="316"/>
      <c r="R294" s="316"/>
      <c r="S294" s="316"/>
      <c r="T294" s="316"/>
      <c r="U294" s="316"/>
      <c r="V294" s="316"/>
      <c r="W294" s="316"/>
      <c r="X294" s="316"/>
      <c r="Y294" s="316"/>
      <c r="Z294" s="316"/>
      <c r="AA294" s="316"/>
      <c r="AB294" s="316"/>
      <c r="AC294" s="316"/>
      <c r="AD294" s="393">
        <f>'Consolidated KK'!AD122</f>
        <v>401</v>
      </c>
      <c r="AE294" s="393">
        <f>'Consolidated KK'!AE122</f>
        <v>398</v>
      </c>
      <c r="AF294" s="393">
        <f>'Consolidated KK'!AF122</f>
        <v>374.79999999999995</v>
      </c>
      <c r="AG294" s="393">
        <f>'Consolidated KK'!AG122</f>
        <v>273.70000000000005</v>
      </c>
      <c r="AH294" s="393">
        <f>'Consolidated KK'!AH122</f>
        <v>1447.4999999999995</v>
      </c>
      <c r="AI294" s="393">
        <f>'Consolidated KK'!AI122</f>
        <v>400.70799999999997</v>
      </c>
      <c r="AJ294" s="393">
        <f>'Consolidated KK'!AJ122</f>
        <v>429.50799999999992</v>
      </c>
      <c r="AK294" s="393">
        <f>'Consolidated KK'!AK122</f>
        <v>387.69799999999998</v>
      </c>
      <c r="AL294" s="393">
        <f>'Consolidated KK'!AL122</f>
        <v>265.97982297773012</v>
      </c>
      <c r="AM294" s="393">
        <f>'Consolidated KK'!AM122</f>
        <v>1483.8938229777302</v>
      </c>
      <c r="AN294" s="393">
        <f>'Consolidated KK'!AN122</f>
        <v>409.8167905846916</v>
      </c>
      <c r="AO294" s="393">
        <f>'Consolidated KK'!AO122</f>
        <v>424.41858376186514</v>
      </c>
      <c r="AP294" s="393">
        <f>'Consolidated KK'!AP122</f>
        <v>379.89221927645582</v>
      </c>
      <c r="AQ294" s="393">
        <f>'Consolidated KK'!AQ122</f>
        <v>273.66806392678762</v>
      </c>
      <c r="AR294" s="393">
        <f>'Consolidated KK'!AR122</f>
        <v>1487.7956575498001</v>
      </c>
      <c r="AS294" s="393">
        <f>'Consolidated KK'!AS122</f>
        <v>413.86270774210004</v>
      </c>
      <c r="AT294" s="393">
        <f>'Consolidated KK'!AT122</f>
        <v>424.95582945342153</v>
      </c>
      <c r="AU294" s="393">
        <f>'Consolidated KK'!AU122</f>
        <v>383.44430526086484</v>
      </c>
      <c r="AV294" s="393">
        <f>'Consolidated KK'!AV122</f>
        <v>290.05353158260675</v>
      </c>
      <c r="AW294" s="393">
        <f>'Consolidated KK'!AW122</f>
        <v>1512.316374038993</v>
      </c>
      <c r="AX294" s="393">
        <f>'Consolidated KK'!AX122</f>
        <v>423.53658755882975</v>
      </c>
      <c r="AY294" s="393">
        <f>'Consolidated KK'!AY122</f>
        <v>441.28466040608885</v>
      </c>
      <c r="AZ294" s="393">
        <f>'Consolidated KK'!AZ122</f>
        <v>396.12469179489199</v>
      </c>
      <c r="BA294" s="393">
        <f>'Consolidated KK'!BA122</f>
        <v>303.28016261866287</v>
      </c>
      <c r="BB294" s="393">
        <f>'Consolidated KK'!BB122</f>
        <v>1564.2261023784731</v>
      </c>
      <c r="BC294" s="393">
        <f>'Consolidated KK'!BC122</f>
        <v>438.9744610177321</v>
      </c>
      <c r="BD294" s="393">
        <f>'Consolidated KK'!BD122</f>
        <v>456.30631568496938</v>
      </c>
      <c r="BE294" s="393">
        <f>'Consolidated KK'!BE122</f>
        <v>413.94257812106491</v>
      </c>
      <c r="BF294" s="393">
        <f>'Consolidated KK'!BF122</f>
        <v>321.96925589912018</v>
      </c>
      <c r="BG294" s="393">
        <f>'Consolidated KK'!BG122</f>
        <v>1631.1926107228865</v>
      </c>
      <c r="BH294" s="393">
        <f>'Consolidated KK'!BH122</f>
        <v>458.84752471367528</v>
      </c>
      <c r="BI294" s="393">
        <f>'Consolidated KK'!BI122</f>
        <v>476.31198250184372</v>
      </c>
      <c r="BJ294" s="393">
        <f>'Consolidated KK'!BJ122</f>
        <v>435.25219436811722</v>
      </c>
      <c r="BK294" s="393">
        <f>'Consolidated KK'!BK122</f>
        <v>343.24898920588646</v>
      </c>
      <c r="BL294" s="393">
        <f>'Consolidated KK'!BL122</f>
        <v>1713.6606907895227</v>
      </c>
      <c r="BN294" s="316"/>
    </row>
    <row r="295" spans="1:74" s="79" customFormat="1">
      <c r="A295" s="316" t="s">
        <v>1631</v>
      </c>
      <c r="B295" s="316"/>
      <c r="C295" s="316"/>
      <c r="D295" s="316"/>
      <c r="E295" s="316"/>
      <c r="F295" s="316"/>
      <c r="G295" s="316"/>
      <c r="H295" s="316"/>
      <c r="I295" s="316"/>
      <c r="J295" s="316"/>
      <c r="K295" s="316"/>
      <c r="L295" s="316"/>
      <c r="M295" s="316"/>
      <c r="N295" s="316"/>
      <c r="O295" s="316"/>
      <c r="P295" s="316"/>
      <c r="Q295" s="316"/>
      <c r="R295" s="316"/>
      <c r="S295" s="316"/>
      <c r="T295" s="316"/>
      <c r="U295" s="316"/>
      <c r="V295" s="316"/>
      <c r="W295" s="316"/>
      <c r="X295" s="316"/>
      <c r="Y295" s="316"/>
      <c r="Z295" s="316"/>
      <c r="AA295" s="316"/>
      <c r="AB295" s="316"/>
      <c r="AC295" s="316"/>
      <c r="AD295" s="316"/>
      <c r="AE295" s="316"/>
      <c r="AF295" s="316"/>
      <c r="AG295" s="316"/>
      <c r="AH295" s="394">
        <f>AH292/AH294</f>
        <v>2.4460794473229708</v>
      </c>
      <c r="AI295" s="394">
        <f>AI292/(AE294+AF294+AG294+AI294)</f>
        <v>2.6707978397023777</v>
      </c>
      <c r="AJ295" s="394">
        <f>AJ292/(AF294+AG294+AI294+AJ294)</f>
        <v>2.5490357851000467</v>
      </c>
      <c r="AK295" s="394">
        <f>AK292/(AG294+AI294+AJ294+AK294)</f>
        <v>2.5013844064214998</v>
      </c>
      <c r="AL295" s="394">
        <f>AL292/(AI294+AJ294+AK294+AL294)</f>
        <v>2.4911018545288957</v>
      </c>
      <c r="AM295" s="394">
        <f>AM292/AM294</f>
        <v>2.4911018545288952</v>
      </c>
      <c r="AN295" s="394">
        <f>AN292/(AJ294+AK294+AL294+AN294)</f>
        <v>2.5998188607999393</v>
      </c>
      <c r="AO295" s="394">
        <f>AO292/(AK294+AL294+AN294+AO294)</f>
        <v>2.4890094315568678</v>
      </c>
      <c r="AP295" s="394">
        <f>AP292/(AL294+AN294+AO294+AP294)</f>
        <v>2.5123264627308739</v>
      </c>
      <c r="AQ295" s="394">
        <f>AQ292/(AN294+AO294+AP294+AQ294)</f>
        <v>2.4546085267996824</v>
      </c>
      <c r="AR295" s="394">
        <f>AR292/AR294</f>
        <v>2.4546085267996824</v>
      </c>
      <c r="AS295" s="394">
        <f>AS292/(AO294+AP294+AQ294+AS294)</f>
        <v>2.5655038946893032</v>
      </c>
      <c r="AT295" s="394">
        <f>AT292/(AP294+AQ294+AS294+AT294)</f>
        <v>2.4405502725216852</v>
      </c>
      <c r="AU295" s="394">
        <f>AU292/(AQ294+AS294+AT294+AU294)</f>
        <v>2.4413400306498119</v>
      </c>
      <c r="AV295" s="394">
        <f>AV292/(AS294+AT294+AU294+AV294)</f>
        <v>2.358109274150185</v>
      </c>
      <c r="AW295" s="394">
        <f>AW292/AW294</f>
        <v>2.3581092741501855</v>
      </c>
      <c r="AX295" s="394">
        <f>AX292/(AT294+AU294+AV294+AX294)</f>
        <v>2.4518104214683145</v>
      </c>
      <c r="AY295" s="394">
        <f>AY292/(AU294+AV294+AX294+AY294)</f>
        <v>2.3187942095802772</v>
      </c>
      <c r="AZ295" s="394">
        <f>AZ292/(AV294+AX294+AY294+AZ294)</f>
        <v>2.3010433110660133</v>
      </c>
      <c r="BA295" s="394">
        <f>BA292/(AX294+AY294+AZ294+BA294)</f>
        <v>2.2181715629739136</v>
      </c>
      <c r="BB295" s="394">
        <f>BB292/BB294</f>
        <v>2.2181715629739145</v>
      </c>
      <c r="BC295" s="394">
        <f>BC292/(AY294+AZ294+BA294+BC294)</f>
        <v>2.3014055935576527</v>
      </c>
      <c r="BD295" s="394">
        <f>BD292/(AZ294+BA294+BC294+BD294)</f>
        <v>2.1515153033273449</v>
      </c>
      <c r="BE295" s="394">
        <f>BE292/(BA294+BC294+BD294+BE294)</f>
        <v>2.1303078789961636</v>
      </c>
      <c r="BF295" s="394">
        <f>BF292/(BC294+BD294+BE294+BF294)</f>
        <v>2.0397067892055682</v>
      </c>
      <c r="BG295" s="394">
        <f>BG292/BG294</f>
        <v>2.0397067892055682</v>
      </c>
      <c r="BH295" s="394">
        <f>BH292/(BD294+BE294+BF294+BH294)</f>
        <v>2.1085047191438608</v>
      </c>
      <c r="BI295" s="394">
        <f>BI292/(BE294+BF294+BH294+BI294)</f>
        <v>1.9541669162180193</v>
      </c>
      <c r="BJ295" s="394">
        <f>BJ292/(BF294+BH294+BI294+BJ294)</f>
        <v>1.9266486355435621</v>
      </c>
      <c r="BK295" s="394">
        <f>BK292/(BH294+BI294+BJ294+BK294)</f>
        <v>1.8318798947028685</v>
      </c>
      <c r="BL295" s="394">
        <f>BL292/BL294</f>
        <v>1.8318798947028683</v>
      </c>
      <c r="BN295" s="316"/>
    </row>
    <row r="296" spans="1:74">
      <c r="A296" s="316" t="s">
        <v>1632</v>
      </c>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394">
        <f>(AH292-AH249)/AH294</f>
        <v>1.8989291882556132</v>
      </c>
      <c r="AI296" s="394">
        <f>(AI292-AI249)/(AE294+AF294+AG294+AI294)</f>
        <v>2.0997672760239015</v>
      </c>
      <c r="AJ296" s="394">
        <f>(AJ292-AJ249)/(AF294+AG294+AI294+AJ294)</f>
        <v>1.9997078546522802</v>
      </c>
      <c r="AK296" s="394">
        <f>(AK292-AK249)/(AG294+AI294+AJ294+AK294)</f>
        <v>1.9284479764872142</v>
      </c>
      <c r="AL296" s="394">
        <f>(AL292-AL249)/(AI294+AJ294+AK294+AL294)</f>
        <v>1.9151846381036166</v>
      </c>
      <c r="AM296" s="394">
        <f>(AM292-AM249)/AM294</f>
        <v>1.9151846381036164</v>
      </c>
      <c r="AN296" s="394">
        <f>(AN292-AN249)/(AJ294+AK294+AL294+AN294)</f>
        <v>2.0274153082295543</v>
      </c>
      <c r="AO296" s="394">
        <f>(AO292-AO249)/(AK294+AL294+AN294+AO294)</f>
        <v>1.9146479691161646</v>
      </c>
      <c r="AP296" s="394">
        <f>(AP292-AP249)/(AL294+AN294+AO294+AP294)</f>
        <v>1.934935936600886</v>
      </c>
      <c r="AQ296" s="394">
        <f>(AQ292-AQ249)/(AN294+AO294+AP294+AQ294)</f>
        <v>1.8802016882910852</v>
      </c>
      <c r="AR296" s="394">
        <f>(AR292-AR249)/AR294</f>
        <v>1.8802016882910852</v>
      </c>
      <c r="AS296" s="394">
        <f>(AS292-AS249)/(AO294+AP294+AQ294+AS294)</f>
        <v>1.9926548640087332</v>
      </c>
      <c r="AT296" s="394">
        <f>(AT292-AT249)/(AP294+AQ294+AS294+AT294)</f>
        <v>1.8679074633911923</v>
      </c>
      <c r="AU296" s="394">
        <f>(AU292-AU249)/(AQ294+AS294+AT294+AU294)</f>
        <v>1.8700569611220677</v>
      </c>
      <c r="AV296" s="394">
        <f>(AV292-AV249)/(AS294+AT294+AU294+AV294)</f>
        <v>1.7930158752619674</v>
      </c>
      <c r="AW296" s="394">
        <f>(AW292-AW249)/AW294</f>
        <v>1.7930158752619676</v>
      </c>
      <c r="AX296" s="394">
        <f>(AX292-AX249)/(AT294+AU294+AV294+AX294)</f>
        <v>1.8903087969769583</v>
      </c>
      <c r="AY296" s="394">
        <f>(AY292-AY249)/(AU294+AV294+AX294+AY294)</f>
        <v>1.7632527692903082</v>
      </c>
      <c r="AZ296" s="394">
        <f>(AZ292-AZ249)/(AV294+AX294+AY294+AZ294)</f>
        <v>1.7500437680034173</v>
      </c>
      <c r="BA296" s="394">
        <f>(BA292-BA249)/(AX294+AY294+AZ294+BA294)</f>
        <v>1.6718311082912156</v>
      </c>
      <c r="BB296" s="394">
        <f>(BB292-BB249)/BB294</f>
        <v>1.6718311082912161</v>
      </c>
      <c r="BC296" s="394">
        <f>(BC292-BC249)/(AY294+AZ294+BA294+BC294)</f>
        <v>1.7604044609927483</v>
      </c>
      <c r="BD296" s="394">
        <f>(BD292-BD249)/(AZ294+BA294+BC294+BD294)</f>
        <v>1.6156103052984903</v>
      </c>
      <c r="BE296" s="394">
        <f>(BE292-BE249)/(BA294+BC294+BD294+BE294)</f>
        <v>1.6003245389564038</v>
      </c>
      <c r="BF296" s="394">
        <f>(BF292-BF249)/(BC294+BD294+BE294+BF294)</f>
        <v>1.5157956370938188</v>
      </c>
      <c r="BG296" s="394">
        <f>(BG292-BG249)/BG294</f>
        <v>1.5157956370938188</v>
      </c>
      <c r="BH296" s="394">
        <f>(BH292-BH249)/(BD294+BE294+BF294+BH294)</f>
        <v>1.5908996273289535</v>
      </c>
      <c r="BI296" s="394">
        <f>(BI292-BI249)/(BE294+BF294+BH294+BI294)</f>
        <v>1.442758468887428</v>
      </c>
      <c r="BJ296" s="394">
        <f>(BJ292-BJ249)/(BF294+BH294+BI294+BJ294)</f>
        <v>1.4216795881069082</v>
      </c>
      <c r="BK296" s="394">
        <f>(BK292-BK249)/(BH294+BI294+BJ294+BK294)</f>
        <v>1.3331814040429315</v>
      </c>
      <c r="BL296" s="394">
        <f>(BL292-BL249)/BL294</f>
        <v>1.3331814040429313</v>
      </c>
    </row>
    <row r="298" spans="1:74">
      <c r="A298" s="3" t="s">
        <v>1633</v>
      </c>
    </row>
    <row r="300" spans="1:74">
      <c r="A300" s="1" t="s">
        <v>1495</v>
      </c>
      <c r="AD300" s="375">
        <f t="shared" ref="AD300:AK300" si="370">AD39</f>
        <v>4.2850000000000001</v>
      </c>
      <c r="AE300" s="375">
        <f t="shared" si="370"/>
        <v>4.2259999999999991</v>
      </c>
      <c r="AF300" s="375">
        <f t="shared" si="370"/>
        <v>-2.4539999999999988</v>
      </c>
      <c r="AG300" s="375">
        <f t="shared" si="370"/>
        <v>5.847999999999999</v>
      </c>
      <c r="AH300" s="375">
        <f t="shared" si="370"/>
        <v>11.904999999999999</v>
      </c>
      <c r="AI300" s="375">
        <f t="shared" si="370"/>
        <v>7.7720000000000002</v>
      </c>
      <c r="AJ300" s="375">
        <f t="shared" si="370"/>
        <v>1.4629999999999992</v>
      </c>
      <c r="AK300" s="375">
        <f t="shared" si="370"/>
        <v>-1.9869999999999992</v>
      </c>
      <c r="AL300" s="375">
        <f>AL301*AK283/4</f>
        <v>4.2181874999999991</v>
      </c>
      <c r="AM300" s="375">
        <f>SUM(AI300:AL300)</f>
        <v>11.4661875</v>
      </c>
      <c r="AN300" s="375">
        <f t="shared" ref="AN300:AQ300" si="371">AN301*AM283/4</f>
        <v>1.4276683410351272</v>
      </c>
      <c r="AO300" s="375">
        <f t="shared" si="371"/>
        <v>3.9361193363190226</v>
      </c>
      <c r="AP300" s="375">
        <f t="shared" si="371"/>
        <v>1.4233562615761963</v>
      </c>
      <c r="AQ300" s="375">
        <f t="shared" si="371"/>
        <v>4.2417880679807309</v>
      </c>
      <c r="AR300" s="375">
        <f>SUM(AN300:AQ300)</f>
        <v>11.028932006911077</v>
      </c>
      <c r="AS300" s="375">
        <f t="shared" ref="AS300:AV300" si="372">AS301*AR283/4</f>
        <v>1.4555275580267</v>
      </c>
      <c r="AT300" s="375">
        <f t="shared" si="372"/>
        <v>4.0377649309298107</v>
      </c>
      <c r="AU300" s="375">
        <f t="shared" si="372"/>
        <v>1.4616090394813768</v>
      </c>
      <c r="AV300" s="375">
        <f t="shared" si="372"/>
        <v>4.3663574909259388</v>
      </c>
      <c r="AW300" s="375">
        <f>SUM(AS300:AV300)</f>
        <v>11.321259019363826</v>
      </c>
      <c r="AX300" s="375">
        <f t="shared" ref="AX300:BA300" si="373">AX301*AW283/4</f>
        <v>1.5091204580809183</v>
      </c>
      <c r="AY300" s="375">
        <f t="shared" si="373"/>
        <v>4.217190814168748</v>
      </c>
      <c r="AZ300" s="375">
        <f t="shared" si="373"/>
        <v>1.5085966335371708</v>
      </c>
      <c r="BA300" s="375">
        <f t="shared" si="373"/>
        <v>4.522280701876138</v>
      </c>
      <c r="BB300" s="375">
        <f>SUM(AX300:BA300)</f>
        <v>11.757188607662975</v>
      </c>
      <c r="BC300" s="375">
        <f t="shared" ref="BC300:BF300" si="374">BC301*BB283/4</f>
        <v>1.5694238385265922</v>
      </c>
      <c r="BD300" s="375">
        <f t="shared" si="374"/>
        <v>4.3975359188743912</v>
      </c>
      <c r="BE300" s="375">
        <f t="shared" si="374"/>
        <v>1.5936309129107178</v>
      </c>
      <c r="BF300" s="375">
        <f t="shared" si="374"/>
        <v>4.7731332222813077</v>
      </c>
      <c r="BG300" s="375">
        <f>SUM(BC300:BF300)</f>
        <v>12.33372389259301</v>
      </c>
      <c r="BH300" s="375">
        <f t="shared" ref="BH300:BK300" si="375">BH301*BG283/4</f>
        <v>1.6585283483791076</v>
      </c>
      <c r="BI300" s="375">
        <f t="shared" si="375"/>
        <v>4.6866004385089797</v>
      </c>
      <c r="BJ300" s="375">
        <f t="shared" si="375"/>
        <v>1.6970297939481964</v>
      </c>
      <c r="BK300" s="375">
        <f t="shared" si="375"/>
        <v>5.1003310077111355</v>
      </c>
      <c r="BL300" s="375">
        <f>SUM(BH300:BK300)</f>
        <v>13.142489588547418</v>
      </c>
    </row>
    <row r="301" spans="1:74">
      <c r="A301" s="1" t="s">
        <v>1634</v>
      </c>
      <c r="AD301" s="16">
        <f>4*AD300/AVERAGE(AC291:AD291)</f>
        <v>1.0341498732955231E-2</v>
      </c>
      <c r="AE301" s="16">
        <f>4*AE300/AVERAGE(AD291:AE291)</f>
        <v>9.8099410962481474E-3</v>
      </c>
      <c r="AF301" s="16">
        <f>4*AF300/AVERAGE(AE291:AF291)</f>
        <v>-4.7748996716526796E-3</v>
      </c>
      <c r="AG301" s="16">
        <f>4*AG300/AVERAGE(AF291:AG291)</f>
        <v>1.0544061302681991E-2</v>
      </c>
      <c r="AH301" s="16">
        <f>AH300/AVERAGE(AC291:AG291)</f>
        <v>6.0406175078964392E-3</v>
      </c>
      <c r="AI301" s="16">
        <f>4*AI300/AVERAGE(AH291:AI291)</f>
        <v>1.5521881319120254E-2</v>
      </c>
      <c r="AJ301" s="16">
        <f>4*AJ300/AVERAGE(AI291:AJ291)</f>
        <v>2.9561527581329545E-3</v>
      </c>
      <c r="AK301" s="16">
        <f>4*AK300/AVERAGE(AJ291:AK291)</f>
        <v>-3.6816750046322014E-3</v>
      </c>
      <c r="AL301" s="303">
        <v>7.4999999999999997E-3</v>
      </c>
      <c r="AN301" s="303">
        <v>2.5000000000000001E-3</v>
      </c>
      <c r="AO301" s="303">
        <v>7.4999999999999997E-3</v>
      </c>
      <c r="AP301" s="303">
        <v>2.5000000000000001E-3</v>
      </c>
      <c r="AQ301" s="303">
        <v>7.4999999999999997E-3</v>
      </c>
      <c r="AS301" s="303">
        <v>2.5000000000000001E-3</v>
      </c>
      <c r="AT301" s="303">
        <v>7.4999999999999997E-3</v>
      </c>
      <c r="AU301" s="303">
        <v>2.5000000000000001E-3</v>
      </c>
      <c r="AV301" s="303">
        <v>7.4999999999999997E-3</v>
      </c>
      <c r="AX301" s="303">
        <v>2.5000000000000001E-3</v>
      </c>
      <c r="AY301" s="303">
        <v>7.4999999999999997E-3</v>
      </c>
      <c r="AZ301" s="303">
        <v>2.5000000000000001E-3</v>
      </c>
      <c r="BA301" s="303">
        <v>7.4999999999999997E-3</v>
      </c>
      <c r="BC301" s="303">
        <v>2.5000000000000001E-3</v>
      </c>
      <c r="BD301" s="303">
        <v>7.4999999999999997E-3</v>
      </c>
      <c r="BE301" s="303">
        <v>2.5000000000000001E-3</v>
      </c>
      <c r="BF301" s="303">
        <v>7.4999999999999997E-3</v>
      </c>
      <c r="BH301" s="303">
        <v>2.5000000000000001E-3</v>
      </c>
      <c r="BI301" s="303">
        <v>7.4999999999999997E-3</v>
      </c>
      <c r="BJ301" s="303">
        <v>2.5000000000000001E-3</v>
      </c>
      <c r="BK301" s="303">
        <v>7.4999999999999997E-3</v>
      </c>
    </row>
    <row r="303" spans="1:74">
      <c r="A303" s="1" t="s">
        <v>1496</v>
      </c>
      <c r="AD303" s="375">
        <f t="shared" ref="AD303:AK303" si="376">AD40</f>
        <v>-21.004000000000001</v>
      </c>
      <c r="AE303" s="375">
        <f t="shared" si="376"/>
        <v>-31.087</v>
      </c>
      <c r="AF303" s="375">
        <f t="shared" si="376"/>
        <v>-37.423999999999992</v>
      </c>
      <c r="AG303" s="375">
        <f t="shared" si="376"/>
        <v>-27.697000000000017</v>
      </c>
      <c r="AH303" s="375">
        <f t="shared" si="376"/>
        <v>-117.212</v>
      </c>
      <c r="AI303" s="375">
        <f t="shared" si="376"/>
        <v>-17.643999999999998</v>
      </c>
      <c r="AJ303" s="375">
        <f t="shared" si="376"/>
        <v>-18.450000000000003</v>
      </c>
      <c r="AK303" s="375">
        <f t="shared" si="376"/>
        <v>-20.658999999999999</v>
      </c>
      <c r="AL303" s="375">
        <f>-AL304*AK276/4</f>
        <v>-24.268874999999998</v>
      </c>
      <c r="AM303" s="375">
        <f>SUM(AI303:AL303)</f>
        <v>-81.021874999999994</v>
      </c>
      <c r="AN303" s="375">
        <f>AN308-AN300</f>
        <v>-17.13053329482436</v>
      </c>
      <c r="AO303" s="375">
        <f>AO308-AO300</f>
        <v>-25.798301106134964</v>
      </c>
      <c r="AP303" s="375">
        <f>AP308-AP300</f>
        <v>-17.152093692119017</v>
      </c>
      <c r="AQ303" s="375">
        <f>AQ308-AQ300</f>
        <v>-25.288853220032113</v>
      </c>
      <c r="AR303" s="375">
        <f>SUM(AN303:AQ303)</f>
        <v>-85.369781313110451</v>
      </c>
      <c r="AS303" s="375">
        <f>AS308-AS300</f>
        <v>-18.544808175050481</v>
      </c>
      <c r="AT303" s="375">
        <f>AT308-AT300</f>
        <v>-27.248226295597686</v>
      </c>
      <c r="AU303" s="375">
        <f>AU308-AU300</f>
        <v>-18.510751878904291</v>
      </c>
      <c r="AV303" s="375">
        <f>AV308-AV300</f>
        <v>-26.63485351693825</v>
      </c>
      <c r="AW303" s="375">
        <f>SUM(AS303:AV303)</f>
        <v>-90.938639866490703</v>
      </c>
      <c r="AX303" s="375">
        <f>AX308-AX300</f>
        <v>-19.766103159898307</v>
      </c>
      <c r="AY303" s="375">
        <f>AY308-AY300</f>
        <v>-28.496747317384592</v>
      </c>
      <c r="AZ303" s="375">
        <f>AZ308-AZ300</f>
        <v>-19.769350872069541</v>
      </c>
      <c r="BA303" s="375">
        <f>BA308-BA300</f>
        <v>-27.86622821612265</v>
      </c>
      <c r="BB303" s="375">
        <f>SUM(AX303:BA303)</f>
        <v>-95.898429565475084</v>
      </c>
      <c r="BC303" s="375">
        <f>BC308-BC300</f>
        <v>-20.877455398019176</v>
      </c>
      <c r="BD303" s="375">
        <f>BD308-BD300</f>
        <v>-29.671414417218045</v>
      </c>
      <c r="BE303" s="375">
        <f>BE308-BE300</f>
        <v>-20.712847292207123</v>
      </c>
      <c r="BF303" s="375">
        <f>BF308-BF300</f>
        <v>-28.820060529495706</v>
      </c>
      <c r="BG303" s="375">
        <f>SUM(BC303:BF303)</f>
        <v>-100.08177763694006</v>
      </c>
      <c r="BH303" s="375">
        <f>BH308-BH300</f>
        <v>-21.703315221994607</v>
      </c>
      <c r="BI303" s="375">
        <f>BI308-BI300</f>
        <v>-30.505768918344522</v>
      </c>
      <c r="BJ303" s="375">
        <f>BJ308-BJ300</f>
        <v>-21.418404524783352</v>
      </c>
      <c r="BK303" s="375">
        <f>BK308-BK300</f>
        <v>-29.485233514312533</v>
      </c>
      <c r="BL303" s="375">
        <f>SUM(BH303:BK303)</f>
        <v>-103.11272217943502</v>
      </c>
    </row>
    <row r="304" spans="1:74">
      <c r="A304" s="1" t="s">
        <v>1635</v>
      </c>
      <c r="AD304" s="16">
        <f>-4*AD303/AVERAGE(AC276:AD276)</f>
        <v>1.3505658436213992E-2</v>
      </c>
      <c r="AE304" s="16">
        <f>-4*AE303/AVERAGE(AD276:AE276)</f>
        <v>2.0128200977694324E-2</v>
      </c>
      <c r="AF304" s="16">
        <f>-4*AF303/AVERAGE(AE276:AF276)</f>
        <v>2.4253854067935284E-2</v>
      </c>
      <c r="AG304" s="16">
        <f>-4*AG303/AVERAGE(AF276:AG276)</f>
        <v>1.7950388049061079E-2</v>
      </c>
      <c r="AH304" s="16">
        <f>-AH303/AVERAGE(AC276:AG276)</f>
        <v>1.8982161509996192E-2</v>
      </c>
      <c r="AI304" s="16">
        <f>-4*AI303/AVERAGE(AH276:AI276)</f>
        <v>1.140622222222222E-2</v>
      </c>
      <c r="AJ304" s="16">
        <f>-4*AJ303/AVERAGE(AI276:AJ276)</f>
        <v>1.1745420400108227E-2</v>
      </c>
      <c r="AK304" s="16">
        <f>-4*AK303/AVERAGE(AJ276:AK276)</f>
        <v>1.2914094610011096E-2</v>
      </c>
      <c r="AL304" s="303">
        <v>1.4999999999999999E-2</v>
      </c>
      <c r="AN304" s="16">
        <f t="shared" ref="AN304:AQ304" si="377">-4*AN303/AVERAGE(AM276:AN276)</f>
        <v>1.0587965013720883E-2</v>
      </c>
      <c r="AO304" s="16">
        <f t="shared" si="377"/>
        <v>1.5945300991167678E-2</v>
      </c>
      <c r="AP304" s="16">
        <f t="shared" si="377"/>
        <v>1.0601290969679694E-2</v>
      </c>
      <c r="AQ304" s="16">
        <f t="shared" si="377"/>
        <v>1.5630423672316155E-2</v>
      </c>
      <c r="AS304" s="16">
        <f t="shared" ref="AS304:AV304" si="378">-4*AS303/AVERAGE(AR276:AS276)</f>
        <v>1.1462093839362444E-2</v>
      </c>
      <c r="AT304" s="16">
        <f t="shared" si="378"/>
        <v>1.684146440384918E-2</v>
      </c>
      <c r="AU304" s="16">
        <f t="shared" si="378"/>
        <v>1.1441044472954118E-2</v>
      </c>
      <c r="AV304" s="16">
        <f t="shared" si="378"/>
        <v>1.6462353642435992E-2</v>
      </c>
      <c r="AX304" s="16">
        <f t="shared" ref="AX304:BA304" si="379">-4*AX303/AVERAGE(AW276:AX276)</f>
        <v>1.2216946496220966E-2</v>
      </c>
      <c r="AY304" s="16">
        <f t="shared" si="379"/>
        <v>1.7613144810411232E-2</v>
      </c>
      <c r="AZ304" s="16">
        <f t="shared" si="379"/>
        <v>1.2218953827939825E-2</v>
      </c>
      <c r="BA304" s="16">
        <f t="shared" si="379"/>
        <v>1.7223436324998162E-2</v>
      </c>
      <c r="BC304" s="16">
        <f t="shared" ref="BC304:BF304" si="380">-4*BC303/AVERAGE(BB276:BC276)</f>
        <v>1.2903846221561059E-2</v>
      </c>
      <c r="BD304" s="16">
        <f t="shared" si="380"/>
        <v>1.8339177908257828E-2</v>
      </c>
      <c r="BE304" s="16">
        <f t="shared" si="380"/>
        <v>1.2802105964248727E-2</v>
      </c>
      <c r="BF304" s="16">
        <f t="shared" si="380"/>
        <v>1.7812976824942879E-2</v>
      </c>
      <c r="BH304" s="16">
        <f t="shared" ref="BH304:BK304" si="381">-4*BH303/AVERAGE(BG276:BH276)</f>
        <v>1.3414290045579744E-2</v>
      </c>
      <c r="BI304" s="16">
        <f t="shared" si="381"/>
        <v>1.8854872085136531E-2</v>
      </c>
      <c r="BJ304" s="16">
        <f t="shared" si="381"/>
        <v>1.3238193689313999E-2</v>
      </c>
      <c r="BK304" s="16">
        <f t="shared" si="381"/>
        <v>1.8224104030973336E-2</v>
      </c>
    </row>
    <row r="306" spans="1:66" s="26" customFormat="1">
      <c r="A306" s="29" t="s">
        <v>1636</v>
      </c>
      <c r="AD306" s="386">
        <f t="shared" ref="AD306:BL306" si="382">AD308-AD307</f>
        <v>-11.946366222993827</v>
      </c>
      <c r="AE306" s="386">
        <f t="shared" si="382"/>
        <v>-18.780544972941254</v>
      </c>
      <c r="AF306" s="386">
        <f t="shared" si="382"/>
        <v>-28.227944116083933</v>
      </c>
      <c r="AG306" s="386">
        <f t="shared" si="382"/>
        <v>-15.128504751813526</v>
      </c>
      <c r="AH306" s="386">
        <f t="shared" si="382"/>
        <v>-74.083360063832529</v>
      </c>
      <c r="AI306" s="386">
        <f t="shared" si="382"/>
        <v>-7.0526941110487922</v>
      </c>
      <c r="AJ306" s="386">
        <f t="shared" si="382"/>
        <v>-12.075186971435798</v>
      </c>
      <c r="AK306" s="386">
        <f t="shared" si="382"/>
        <v>-16.005151567594293</v>
      </c>
      <c r="AL306" s="386">
        <f t="shared" si="382"/>
        <v>-14.03548125</v>
      </c>
      <c r="AM306" s="386">
        <f t="shared" si="382"/>
        <v>-49.168513900078878</v>
      </c>
      <c r="AN306" s="386">
        <f t="shared" si="382"/>
        <v>-10.992005467652465</v>
      </c>
      <c r="AO306" s="386">
        <f t="shared" si="382"/>
        <v>-15.303527238871158</v>
      </c>
      <c r="AP306" s="386">
        <f t="shared" si="382"/>
        <v>-11.010116201379976</v>
      </c>
      <c r="AQ306" s="386">
        <f t="shared" si="382"/>
        <v>-14.732945606435967</v>
      </c>
      <c r="AR306" s="386">
        <f t="shared" si="382"/>
        <v>-52.038594514339565</v>
      </c>
      <c r="AS306" s="386">
        <f t="shared" si="382"/>
        <v>-11.962496431916648</v>
      </c>
      <c r="AT306" s="386">
        <f t="shared" si="382"/>
        <v>-16.247322955267514</v>
      </c>
      <c r="AU306" s="386">
        <f t="shared" si="382"/>
        <v>-11.93439998759604</v>
      </c>
      <c r="AV306" s="386">
        <f t="shared" si="382"/>
        <v>-15.587947218208619</v>
      </c>
      <c r="AW306" s="386">
        <f t="shared" si="382"/>
        <v>-55.732166592988818</v>
      </c>
      <c r="AX306" s="386">
        <f t="shared" si="382"/>
        <v>-12.779887891272171</v>
      </c>
      <c r="AY306" s="386">
        <f t="shared" si="382"/>
        <v>-16.99568955225109</v>
      </c>
      <c r="AZ306" s="386">
        <f t="shared" si="382"/>
        <v>-12.78252796697266</v>
      </c>
      <c r="BA306" s="386">
        <f t="shared" si="382"/>
        <v>-16.340763259972558</v>
      </c>
      <c r="BB306" s="386">
        <f t="shared" si="382"/>
        <v>-58.898868670468481</v>
      </c>
      <c r="BC306" s="386">
        <f t="shared" si="382"/>
        <v>-13.515622091644808</v>
      </c>
      <c r="BD306" s="386">
        <f t="shared" si="382"/>
        <v>-17.691714948840559</v>
      </c>
      <c r="BE306" s="386">
        <f t="shared" si="382"/>
        <v>-13.383451465507484</v>
      </c>
      <c r="BF306" s="386">
        <f t="shared" si="382"/>
        <v>-16.832849115050077</v>
      </c>
      <c r="BG306" s="386">
        <f t="shared" si="382"/>
        <v>-61.423637621042921</v>
      </c>
      <c r="BH306" s="386">
        <f t="shared" si="382"/>
        <v>-14.031350811530849</v>
      </c>
      <c r="BI306" s="386">
        <f t="shared" si="382"/>
        <v>-18.07341793588488</v>
      </c>
      <c r="BJ306" s="386">
        <f t="shared" si="382"/>
        <v>-13.804962311584609</v>
      </c>
      <c r="BK306" s="386">
        <f t="shared" si="382"/>
        <v>-17.069431754620979</v>
      </c>
      <c r="BL306" s="386">
        <f t="shared" si="382"/>
        <v>-62.979162813621329</v>
      </c>
      <c r="BN306" s="328"/>
    </row>
    <row r="307" spans="1:66" s="26" customFormat="1">
      <c r="A307" s="29" t="s">
        <v>1637</v>
      </c>
      <c r="AD307" s="386">
        <f>AD308*AD277</f>
        <v>-4.7726337770061731</v>
      </c>
      <c r="AE307" s="386">
        <f>AE308*AE277</f>
        <v>-8.080455027058747</v>
      </c>
      <c r="AF307" s="386">
        <f>AF308*AF277</f>
        <v>-11.65005588391606</v>
      </c>
      <c r="AG307" s="386">
        <f>AG308*AG277</f>
        <v>-6.7204952481864924</v>
      </c>
      <c r="AH307" s="386">
        <f>SUM(AD307:AG307)</f>
        <v>-31.223639936167473</v>
      </c>
      <c r="AI307" s="386">
        <f>AI308*AI277</f>
        <v>-2.8193058889512059</v>
      </c>
      <c r="AJ307" s="386">
        <f>AJ308*AJ277</f>
        <v>-4.911813028564203</v>
      </c>
      <c r="AK307" s="386">
        <f>AK308*AK277</f>
        <v>-6.6408484324057042</v>
      </c>
      <c r="AL307" s="386">
        <f>AL308*AL277</f>
        <v>-6.0152062499999994</v>
      </c>
      <c r="AM307" s="386">
        <f>SUM(AI307:AL307)</f>
        <v>-20.387173599921113</v>
      </c>
      <c r="AN307" s="386">
        <f>AN308*AN277</f>
        <v>-4.7108594861367701</v>
      </c>
      <c r="AO307" s="386">
        <f>AO308*AO277</f>
        <v>-6.5586545309447821</v>
      </c>
      <c r="AP307" s="386">
        <f>AP308*AP277</f>
        <v>-4.7186212291628467</v>
      </c>
      <c r="AQ307" s="386">
        <f>AQ308*AQ277</f>
        <v>-6.314119545615414</v>
      </c>
      <c r="AR307" s="386">
        <f>SUM(AN307:AQ307)</f>
        <v>-22.302254791859809</v>
      </c>
      <c r="AS307" s="386">
        <f>AS308*AS277</f>
        <v>-5.1267841851071347</v>
      </c>
      <c r="AT307" s="386">
        <f>AT308*AT277</f>
        <v>-6.9631384094003623</v>
      </c>
      <c r="AU307" s="386">
        <f>AU308*AU277</f>
        <v>-5.1147428518268736</v>
      </c>
      <c r="AV307" s="386">
        <f>AV308*AV277</f>
        <v>-6.6805488078036932</v>
      </c>
      <c r="AW307" s="386">
        <f>SUM(AS307:AV307)</f>
        <v>-23.885214254138063</v>
      </c>
      <c r="AX307" s="386">
        <f>AX308*AX277</f>
        <v>-5.4770948105452169</v>
      </c>
      <c r="AY307" s="386">
        <f>AY308*AY277</f>
        <v>-7.2838669509647529</v>
      </c>
      <c r="AZ307" s="386">
        <f>AZ308*AZ277</f>
        <v>-5.478226271559711</v>
      </c>
      <c r="BA307" s="386">
        <f>BA308*BA277</f>
        <v>-7.0031842542739531</v>
      </c>
      <c r="BB307" s="386">
        <f>SUM(AX307:BA307)</f>
        <v>-25.242372287343635</v>
      </c>
      <c r="BC307" s="386">
        <f>BC308*BC277</f>
        <v>-5.7924094678477749</v>
      </c>
      <c r="BD307" s="386">
        <f>BD308*BD277</f>
        <v>-7.5821635495030968</v>
      </c>
      <c r="BE307" s="386">
        <f>BE308*BE277</f>
        <v>-5.7357649137889206</v>
      </c>
      <c r="BF307" s="386">
        <f>BF308*BF277</f>
        <v>-7.2140781921643189</v>
      </c>
      <c r="BG307" s="386">
        <f>SUM(BC307:BF307)</f>
        <v>-26.324416123304111</v>
      </c>
      <c r="BH307" s="386">
        <f>BH308*BH277</f>
        <v>-6.0134360620846499</v>
      </c>
      <c r="BI307" s="386">
        <f>BI308*BI277</f>
        <v>-7.7457505439506624</v>
      </c>
      <c r="BJ307" s="386">
        <f>BJ308*BJ277</f>
        <v>-5.9164124192505465</v>
      </c>
      <c r="BK307" s="386">
        <f>BK308*BK277</f>
        <v>-7.3154707519804196</v>
      </c>
      <c r="BL307" s="386">
        <f>SUM(BH307:BK307)</f>
        <v>-26.991069777266279</v>
      </c>
      <c r="BN307" s="328"/>
    </row>
    <row r="308" spans="1:66">
      <c r="A308" s="1" t="s">
        <v>1638</v>
      </c>
      <c r="AD308" s="375">
        <f t="shared" ref="AD308:AM308" si="383">AD300+AD303</f>
        <v>-16.719000000000001</v>
      </c>
      <c r="AE308" s="375">
        <f t="shared" si="383"/>
        <v>-26.861000000000001</v>
      </c>
      <c r="AF308" s="375">
        <f t="shared" si="383"/>
        <v>-39.877999999999993</v>
      </c>
      <c r="AG308" s="375">
        <f t="shared" si="383"/>
        <v>-21.849000000000018</v>
      </c>
      <c r="AH308" s="375">
        <f t="shared" si="383"/>
        <v>-105.307</v>
      </c>
      <c r="AI308" s="375">
        <f t="shared" si="383"/>
        <v>-9.8719999999999981</v>
      </c>
      <c r="AJ308" s="375">
        <f t="shared" si="383"/>
        <v>-16.987000000000002</v>
      </c>
      <c r="AK308" s="375">
        <f t="shared" si="383"/>
        <v>-22.645999999999997</v>
      </c>
      <c r="AL308" s="375">
        <f t="shared" si="383"/>
        <v>-20.050687499999999</v>
      </c>
      <c r="AM308" s="375">
        <f t="shared" si="383"/>
        <v>-69.555687499999991</v>
      </c>
      <c r="AN308" s="375">
        <f>-AN309*AM284/4</f>
        <v>-15.702864953789234</v>
      </c>
      <c r="AO308" s="375">
        <f>-AO309*AN284/4</f>
        <v>-21.86218176981594</v>
      </c>
      <c r="AP308" s="375">
        <f>-AP309*AO284/4</f>
        <v>-15.728737430542822</v>
      </c>
      <c r="AQ308" s="375">
        <f>-AQ309*AP284/4</f>
        <v>-21.047065152051381</v>
      </c>
      <c r="AR308" s="375">
        <f>SUM(AN308:AQ308)</f>
        <v>-74.340849306199374</v>
      </c>
      <c r="AS308" s="375">
        <f>-AS309*AR284/4</f>
        <v>-17.089280617023782</v>
      </c>
      <c r="AT308" s="375">
        <f>-AT309*AS284/4</f>
        <v>-23.210461364667875</v>
      </c>
      <c r="AU308" s="375">
        <f>-AU309*AT284/4</f>
        <v>-17.049142839422913</v>
      </c>
      <c r="AV308" s="375">
        <f>-AV309*AU284/4</f>
        <v>-22.268496026012311</v>
      </c>
      <c r="AW308" s="375">
        <f>SUM(AS308:AV308)</f>
        <v>-79.617380847126881</v>
      </c>
      <c r="AX308" s="375">
        <f>-AX309*AW284/4</f>
        <v>-18.256982701817389</v>
      </c>
      <c r="AY308" s="375">
        <f>-AY309*AX284/4</f>
        <v>-24.279556503215844</v>
      </c>
      <c r="AZ308" s="375">
        <f>-AZ309*AY284/4</f>
        <v>-18.260754238532371</v>
      </c>
      <c r="BA308" s="375">
        <f>-BA309*AZ284/4</f>
        <v>-23.343947514246512</v>
      </c>
      <c r="BB308" s="375">
        <f>SUM(AX308:BA308)</f>
        <v>-84.141240957812116</v>
      </c>
      <c r="BC308" s="375">
        <f>-BC309*BB284/4</f>
        <v>-19.308031559492584</v>
      </c>
      <c r="BD308" s="375">
        <f>-BD309*BC284/4</f>
        <v>-25.273878498343656</v>
      </c>
      <c r="BE308" s="375">
        <f>-BE309*BD284/4</f>
        <v>-19.119216379296404</v>
      </c>
      <c r="BF308" s="375">
        <f>-BF309*BE284/4</f>
        <v>-24.046927307214396</v>
      </c>
      <c r="BG308" s="375">
        <f>SUM(BC308:BF308)</f>
        <v>-87.748053744347033</v>
      </c>
      <c r="BH308" s="375">
        <f>-BH309*BG284/4</f>
        <v>-20.0447868736155</v>
      </c>
      <c r="BI308" s="375">
        <f>-BI309*BH284/4</f>
        <v>-25.819168479835543</v>
      </c>
      <c r="BJ308" s="375">
        <f>-BJ309*BI284/4</f>
        <v>-19.721374730835155</v>
      </c>
      <c r="BK308" s="375">
        <f>-BK309*BJ284/4</f>
        <v>-24.384902506601399</v>
      </c>
      <c r="BL308" s="375">
        <f>SUM(BH308:BK308)</f>
        <v>-89.970232590887605</v>
      </c>
    </row>
    <row r="309" spans="1:66">
      <c r="A309" s="1" t="s">
        <v>1639</v>
      </c>
      <c r="AD309" s="16">
        <f>-4*AD308/AVERAGE(AC284:AD284)</f>
        <v>1.4654862602445548E-2</v>
      </c>
      <c r="AE309" s="16">
        <f>-4*AE308/AVERAGE(AD284:AE284)</f>
        <v>2.4119515562389865E-2</v>
      </c>
      <c r="AF309" s="16">
        <f>-4*AF308/AVERAGE(AE284:AF284)</f>
        <v>3.8751305784320865E-2</v>
      </c>
      <c r="AG309" s="16">
        <f>-4*AG308/AVERAGE(AF284:AG284)</f>
        <v>2.2106541205038719E-2</v>
      </c>
      <c r="AH309" s="16">
        <f>-AH308/AVERAGE(AC284:AG284)</f>
        <v>2.5049089860312443E-2</v>
      </c>
      <c r="AI309" s="16">
        <f>-4*AI308/AVERAGE(AH284:AI284)</f>
        <v>9.4363925298412039E-3</v>
      </c>
      <c r="AJ309" s="16">
        <f>-4*AJ308/AVERAGE(AI284:AJ284)</f>
        <v>1.5788275205056115E-2</v>
      </c>
      <c r="AK309" s="16">
        <f>-4*AK308/AVERAGE(AJ284:AK284)</f>
        <v>2.1363647083795189E-2</v>
      </c>
      <c r="AL309" s="16">
        <f>-4*AL308/AVERAGE(AK284:AL284)</f>
        <v>1.9074477998952802E-2</v>
      </c>
      <c r="AM309" s="16">
        <f>-AM308/AVERAGE(AH284:AL284)</f>
        <v>1.6531805100958925E-2</v>
      </c>
      <c r="AN309" s="303">
        <v>1.4999999999999999E-2</v>
      </c>
      <c r="AO309" s="303">
        <v>0.02</v>
      </c>
      <c r="AP309" s="303">
        <v>1.4999999999999999E-2</v>
      </c>
      <c r="AQ309" s="303">
        <v>0.02</v>
      </c>
      <c r="AR309" s="16">
        <f>-AR308/AVERAGE(AM284:AQ284)</f>
        <v>1.7610918275488836E-2</v>
      </c>
      <c r="AS309" s="303">
        <f>AN309+0.15%</f>
        <v>1.6500000000000001E-2</v>
      </c>
      <c r="AT309" s="303">
        <f t="shared" ref="AT309:AV309" si="384">AO309+0.15%</f>
        <v>2.1500000000000002E-2</v>
      </c>
      <c r="AU309" s="303">
        <f t="shared" si="384"/>
        <v>1.6500000000000001E-2</v>
      </c>
      <c r="AV309" s="303">
        <f t="shared" si="384"/>
        <v>2.1500000000000002E-2</v>
      </c>
      <c r="AW309" s="16">
        <f>-AW308/AVERAGE(AR284:AV284)</f>
        <v>1.9144048803202557E-2</v>
      </c>
      <c r="AX309" s="303">
        <f>AS309+0.15%</f>
        <v>1.8000000000000002E-2</v>
      </c>
      <c r="AY309" s="303">
        <f t="shared" ref="AY309:BA309" si="385">AT309+0.15%</f>
        <v>2.3000000000000003E-2</v>
      </c>
      <c r="AZ309" s="303">
        <f t="shared" si="385"/>
        <v>1.8000000000000002E-2</v>
      </c>
      <c r="BA309" s="303">
        <f t="shared" si="385"/>
        <v>2.3000000000000003E-2</v>
      </c>
      <c r="BB309" s="16">
        <f>-BB308/AVERAGE(AW284:BA284)</f>
        <v>2.0665376202485538E-2</v>
      </c>
      <c r="BC309" s="303">
        <f>AX309+0.15%</f>
        <v>1.9500000000000003E-2</v>
      </c>
      <c r="BD309" s="303">
        <f t="shared" ref="BD309:BF309" si="386">AY309+0.15%</f>
        <v>2.4500000000000004E-2</v>
      </c>
      <c r="BE309" s="303">
        <f t="shared" si="386"/>
        <v>1.9500000000000003E-2</v>
      </c>
      <c r="BF309" s="303">
        <f t="shared" si="386"/>
        <v>2.4500000000000004E-2</v>
      </c>
      <c r="BG309" s="16">
        <f>-BG308/AVERAGE(BB284:BF284)</f>
        <v>2.2211386812224555E-2</v>
      </c>
      <c r="BH309" s="303">
        <f>BC309+0.15%</f>
        <v>2.1000000000000005E-2</v>
      </c>
      <c r="BI309" s="303">
        <f t="shared" ref="BI309:BK309" si="387">BD309+0.15%</f>
        <v>2.6000000000000006E-2</v>
      </c>
      <c r="BJ309" s="303">
        <f t="shared" si="387"/>
        <v>2.1000000000000005E-2</v>
      </c>
      <c r="BK309" s="303">
        <f t="shared" si="387"/>
        <v>2.6000000000000006E-2</v>
      </c>
      <c r="BL309" s="16">
        <f>-BL308/AVERAGE(BG284:BK284)</f>
        <v>2.3766023982656061E-2</v>
      </c>
    </row>
    <row r="311" spans="1:66">
      <c r="A311" s="1" t="s">
        <v>1640</v>
      </c>
    </row>
    <row r="313" spans="1:66">
      <c r="A313" s="28" t="s">
        <v>1641</v>
      </c>
      <c r="AH313" s="375">
        <f t="shared" ref="AH313:AM313" si="388">-SUM(AH39:AH40)</f>
        <v>105.307</v>
      </c>
      <c r="AI313" s="375">
        <f t="shared" si="388"/>
        <v>9.8719999999999981</v>
      </c>
      <c r="AJ313" s="375">
        <f>-SUM(AJ39:AJ40)</f>
        <v>16.987000000000002</v>
      </c>
      <c r="AK313" s="375">
        <f t="shared" si="388"/>
        <v>22.645999999999997</v>
      </c>
      <c r="AL313" s="375">
        <f t="shared" si="388"/>
        <v>20.050687499999999</v>
      </c>
      <c r="AM313" s="375">
        <f t="shared" si="388"/>
        <v>69.555687499999991</v>
      </c>
      <c r="AN313" s="375">
        <f t="shared" ref="AN313:BL313" si="389">-AN303</f>
        <v>17.13053329482436</v>
      </c>
      <c r="AO313" s="375">
        <f t="shared" si="389"/>
        <v>25.798301106134964</v>
      </c>
      <c r="AP313" s="375">
        <f t="shared" si="389"/>
        <v>17.152093692119017</v>
      </c>
      <c r="AQ313" s="375">
        <f t="shared" si="389"/>
        <v>25.288853220032113</v>
      </c>
      <c r="AR313" s="375">
        <f t="shared" si="389"/>
        <v>85.369781313110451</v>
      </c>
      <c r="AS313" s="375">
        <f t="shared" si="389"/>
        <v>18.544808175050481</v>
      </c>
      <c r="AT313" s="375">
        <f t="shared" si="389"/>
        <v>27.248226295597686</v>
      </c>
      <c r="AU313" s="375">
        <f t="shared" si="389"/>
        <v>18.510751878904291</v>
      </c>
      <c r="AV313" s="375">
        <f t="shared" si="389"/>
        <v>26.63485351693825</v>
      </c>
      <c r="AW313" s="375">
        <f t="shared" si="389"/>
        <v>90.938639866490703</v>
      </c>
      <c r="AX313" s="375">
        <f t="shared" si="389"/>
        <v>19.766103159898307</v>
      </c>
      <c r="AY313" s="375">
        <f t="shared" si="389"/>
        <v>28.496747317384592</v>
      </c>
      <c r="AZ313" s="375">
        <f t="shared" si="389"/>
        <v>19.769350872069541</v>
      </c>
      <c r="BA313" s="375">
        <f t="shared" si="389"/>
        <v>27.86622821612265</v>
      </c>
      <c r="BB313" s="375">
        <f t="shared" si="389"/>
        <v>95.898429565475084</v>
      </c>
      <c r="BC313" s="375">
        <f t="shared" si="389"/>
        <v>20.877455398019176</v>
      </c>
      <c r="BD313" s="375">
        <f t="shared" si="389"/>
        <v>29.671414417218045</v>
      </c>
      <c r="BE313" s="375">
        <f t="shared" si="389"/>
        <v>20.712847292207123</v>
      </c>
      <c r="BF313" s="375">
        <f t="shared" si="389"/>
        <v>28.820060529495706</v>
      </c>
      <c r="BG313" s="375">
        <f t="shared" si="389"/>
        <v>100.08177763694006</v>
      </c>
      <c r="BH313" s="375">
        <f t="shared" si="389"/>
        <v>21.703315221994607</v>
      </c>
      <c r="BI313" s="375">
        <f t="shared" si="389"/>
        <v>30.505768918344522</v>
      </c>
      <c r="BJ313" s="375">
        <f t="shared" si="389"/>
        <v>21.418404524783352</v>
      </c>
      <c r="BK313" s="375">
        <f t="shared" si="389"/>
        <v>29.485233514312533</v>
      </c>
      <c r="BL313" s="375">
        <f t="shared" si="389"/>
        <v>103.11272217943502</v>
      </c>
    </row>
    <row r="314" spans="1:66">
      <c r="A314" s="28" t="s">
        <v>276</v>
      </c>
      <c r="AH314" s="375">
        <f>AH315-AH313</f>
        <v>-51.198</v>
      </c>
      <c r="AI314" s="375">
        <f>AI315-AI313</f>
        <v>2.8760000000000012</v>
      </c>
      <c r="AJ314" s="375">
        <f>AJ315-AJ313</f>
        <v>-3.6990000000000016</v>
      </c>
      <c r="AK314" s="375">
        <f>AK315-AK313</f>
        <v>-9.959999999999992</v>
      </c>
      <c r="AL314" s="377">
        <v>-2.5</v>
      </c>
      <c r="AM314" s="375">
        <f>SUM(AI314:AL314)</f>
        <v>-13.282999999999992</v>
      </c>
      <c r="AN314" s="377">
        <v>3</v>
      </c>
      <c r="AO314" s="377">
        <v>-1.5</v>
      </c>
      <c r="AP314" s="377">
        <v>-5</v>
      </c>
      <c r="AQ314" s="377">
        <v>3.5</v>
      </c>
      <c r="AR314" s="375">
        <f>SUM(AN314:AQ314)</f>
        <v>0</v>
      </c>
      <c r="AS314" s="377">
        <v>3</v>
      </c>
      <c r="AT314" s="377">
        <v>-1.5</v>
      </c>
      <c r="AU314" s="377">
        <v>-5</v>
      </c>
      <c r="AV314" s="377">
        <v>3.5</v>
      </c>
      <c r="AW314" s="375">
        <f>SUM(AS314:AV314)</f>
        <v>0</v>
      </c>
      <c r="AX314" s="377">
        <v>3</v>
      </c>
      <c r="AY314" s="377">
        <v>-1.5</v>
      </c>
      <c r="AZ314" s="377">
        <v>-5</v>
      </c>
      <c r="BA314" s="377">
        <v>3.5</v>
      </c>
      <c r="BB314" s="375">
        <f>SUM(AX314:BA314)</f>
        <v>0</v>
      </c>
      <c r="BC314" s="377">
        <v>3</v>
      </c>
      <c r="BD314" s="377">
        <v>-1.5</v>
      </c>
      <c r="BE314" s="377">
        <v>-5</v>
      </c>
      <c r="BF314" s="377">
        <v>3.5</v>
      </c>
      <c r="BG314" s="375">
        <f>SUM(BC314:BF314)</f>
        <v>0</v>
      </c>
      <c r="BH314" s="377">
        <v>3</v>
      </c>
      <c r="BI314" s="377">
        <v>-1.5</v>
      </c>
      <c r="BJ314" s="377">
        <v>-5</v>
      </c>
      <c r="BK314" s="377">
        <v>3.5</v>
      </c>
      <c r="BL314" s="375">
        <f>SUM(BH314:BK314)</f>
        <v>0</v>
      </c>
    </row>
    <row r="315" spans="1:66">
      <c r="A315" s="9" t="s">
        <v>729</v>
      </c>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378">
        <f>-SUM(AH176:AH177)</f>
        <v>54.109000000000002</v>
      </c>
      <c r="AI315" s="378">
        <f>-SUM(AI176:AI177)</f>
        <v>12.747999999999999</v>
      </c>
      <c r="AJ315" s="378">
        <f>-SUM(AJ176:AJ177)</f>
        <v>13.288</v>
      </c>
      <c r="AK315" s="378">
        <f>-SUM(AK176:AK177)</f>
        <v>12.686000000000005</v>
      </c>
      <c r="AL315" s="378">
        <f>SUM(AL313:AL314)</f>
        <v>17.550687499999999</v>
      </c>
      <c r="AM315" s="378">
        <f>SUM(AM313:AM314)</f>
        <v>56.272687499999996</v>
      </c>
      <c r="AN315" s="378">
        <f>SUM(AN313:AN314)</f>
        <v>20.13053329482436</v>
      </c>
      <c r="AO315" s="378">
        <f t="shared" ref="AO315:AQ315" si="390">SUM(AO313:AO314)</f>
        <v>24.298301106134964</v>
      </c>
      <c r="AP315" s="378">
        <f t="shared" si="390"/>
        <v>12.152093692119017</v>
      </c>
      <c r="AQ315" s="378">
        <f t="shared" si="390"/>
        <v>28.788853220032113</v>
      </c>
      <c r="AR315" s="378">
        <f>SUM(AR313:AR314)</f>
        <v>85.369781313110451</v>
      </c>
      <c r="AS315" s="378">
        <f t="shared" ref="AS315:AV315" si="391">SUM(AS313:AS314)</f>
        <v>21.544808175050481</v>
      </c>
      <c r="AT315" s="378">
        <f t="shared" si="391"/>
        <v>25.748226295597686</v>
      </c>
      <c r="AU315" s="378">
        <f t="shared" si="391"/>
        <v>13.510751878904291</v>
      </c>
      <c r="AV315" s="378">
        <f t="shared" si="391"/>
        <v>30.13485351693825</v>
      </c>
      <c r="AW315" s="378">
        <f>SUM(AW313:AW314)</f>
        <v>90.938639866490703</v>
      </c>
      <c r="AX315" s="378">
        <f t="shared" ref="AX315:BA315" si="392">SUM(AX313:AX314)</f>
        <v>22.766103159898307</v>
      </c>
      <c r="AY315" s="378">
        <f t="shared" si="392"/>
        <v>26.996747317384592</v>
      </c>
      <c r="AZ315" s="378">
        <f t="shared" si="392"/>
        <v>14.769350872069541</v>
      </c>
      <c r="BA315" s="378">
        <f t="shared" si="392"/>
        <v>31.36622821612265</v>
      </c>
      <c r="BB315" s="378">
        <f>SUM(BB313:BB314)</f>
        <v>95.898429565475084</v>
      </c>
      <c r="BC315" s="378">
        <f t="shared" ref="BC315:BF315" si="393">SUM(BC313:BC314)</f>
        <v>23.877455398019176</v>
      </c>
      <c r="BD315" s="378">
        <f t="shared" si="393"/>
        <v>28.171414417218045</v>
      </c>
      <c r="BE315" s="378">
        <f t="shared" si="393"/>
        <v>15.712847292207123</v>
      </c>
      <c r="BF315" s="378">
        <f t="shared" si="393"/>
        <v>32.320060529495706</v>
      </c>
      <c r="BG315" s="378">
        <f>SUM(BG313:BG314)</f>
        <v>100.08177763694006</v>
      </c>
      <c r="BH315" s="378">
        <f t="shared" ref="BH315:BK315" si="394">SUM(BH313:BH314)</f>
        <v>24.703315221994607</v>
      </c>
      <c r="BI315" s="378">
        <f t="shared" si="394"/>
        <v>29.005768918344522</v>
      </c>
      <c r="BJ315" s="378">
        <f t="shared" si="394"/>
        <v>16.418404524783352</v>
      </c>
      <c r="BK315" s="378">
        <f t="shared" si="394"/>
        <v>32.985233514312533</v>
      </c>
      <c r="BL315" s="378">
        <f>SUM(BL313:BL314)</f>
        <v>103.11272217943502</v>
      </c>
    </row>
    <row r="317" spans="1:66" s="46" customFormat="1">
      <c r="A317" s="47" t="s">
        <v>1642</v>
      </c>
    </row>
    <row r="319" spans="1:66">
      <c r="A319" s="3" t="s">
        <v>1643</v>
      </c>
    </row>
    <row r="321" spans="1:64">
      <c r="A321" s="5" t="s">
        <v>24</v>
      </c>
      <c r="AH321" s="375">
        <f>AH115</f>
        <v>59.607999999999997</v>
      </c>
      <c r="AI321" s="375">
        <f>AI115</f>
        <v>58.512999999999998</v>
      </c>
      <c r="AJ321" s="375">
        <f>AJ115</f>
        <v>60.561999999999998</v>
      </c>
      <c r="AK321" s="375">
        <f>AK115</f>
        <v>41.061999999999998</v>
      </c>
      <c r="AL321" s="375">
        <f t="shared" ref="AL321:BL321" si="395">AK321</f>
        <v>41.061999999999998</v>
      </c>
      <c r="AM321" s="375">
        <f t="shared" si="395"/>
        <v>41.061999999999998</v>
      </c>
      <c r="AN321" s="375">
        <f t="shared" si="395"/>
        <v>41.061999999999998</v>
      </c>
      <c r="AO321" s="375">
        <f t="shared" si="395"/>
        <v>41.061999999999998</v>
      </c>
      <c r="AP321" s="375">
        <f t="shared" si="395"/>
        <v>41.061999999999998</v>
      </c>
      <c r="AQ321" s="375">
        <f t="shared" si="395"/>
        <v>41.061999999999998</v>
      </c>
      <c r="AR321" s="375">
        <f t="shared" si="395"/>
        <v>41.061999999999998</v>
      </c>
      <c r="AS321" s="375">
        <f t="shared" si="395"/>
        <v>41.061999999999998</v>
      </c>
      <c r="AT321" s="375">
        <f t="shared" si="395"/>
        <v>41.061999999999998</v>
      </c>
      <c r="AU321" s="375">
        <f t="shared" si="395"/>
        <v>41.061999999999998</v>
      </c>
      <c r="AV321" s="375">
        <f t="shared" si="395"/>
        <v>41.061999999999998</v>
      </c>
      <c r="AW321" s="375">
        <f t="shared" si="395"/>
        <v>41.061999999999998</v>
      </c>
      <c r="AX321" s="375">
        <f t="shared" si="395"/>
        <v>41.061999999999998</v>
      </c>
      <c r="AY321" s="375">
        <f t="shared" si="395"/>
        <v>41.061999999999998</v>
      </c>
      <c r="AZ321" s="375">
        <f t="shared" si="395"/>
        <v>41.061999999999998</v>
      </c>
      <c r="BA321" s="375">
        <f t="shared" si="395"/>
        <v>41.061999999999998</v>
      </c>
      <c r="BB321" s="375">
        <f t="shared" si="395"/>
        <v>41.061999999999998</v>
      </c>
      <c r="BC321" s="375">
        <f t="shared" si="395"/>
        <v>41.061999999999998</v>
      </c>
      <c r="BD321" s="375">
        <f t="shared" si="395"/>
        <v>41.061999999999998</v>
      </c>
      <c r="BE321" s="375">
        <f t="shared" si="395"/>
        <v>41.061999999999998</v>
      </c>
      <c r="BF321" s="375">
        <f t="shared" si="395"/>
        <v>41.061999999999998</v>
      </c>
      <c r="BG321" s="375">
        <f t="shared" si="395"/>
        <v>41.061999999999998</v>
      </c>
      <c r="BH321" s="375">
        <f t="shared" si="395"/>
        <v>41.061999999999998</v>
      </c>
      <c r="BI321" s="375">
        <f t="shared" si="395"/>
        <v>41.061999999999998</v>
      </c>
      <c r="BJ321" s="375">
        <f t="shared" si="395"/>
        <v>41.061999999999998</v>
      </c>
      <c r="BK321" s="375">
        <f t="shared" si="395"/>
        <v>41.061999999999998</v>
      </c>
      <c r="BL321" s="375">
        <f t="shared" si="395"/>
        <v>41.061999999999998</v>
      </c>
    </row>
    <row r="322" spans="1:64">
      <c r="A322" s="5" t="s">
        <v>40</v>
      </c>
      <c r="AH322" s="375">
        <f>-AH134</f>
        <v>-341.17</v>
      </c>
      <c r="AI322" s="375">
        <f>-AI134</f>
        <v>-364.26400000000001</v>
      </c>
      <c r="AJ322" s="375">
        <f>-AJ134</f>
        <v>-332.06299999999999</v>
      </c>
      <c r="AK322" s="375">
        <f>-AK134</f>
        <v>-309.75200000000001</v>
      </c>
      <c r="AL322" s="375">
        <f>AK322+AL324</f>
        <v>-297.25200000000001</v>
      </c>
      <c r="AM322" s="375">
        <f>AL322</f>
        <v>-297.25200000000001</v>
      </c>
      <c r="AN322" s="375">
        <f>AM322+AN324</f>
        <v>-247.25200000000001</v>
      </c>
      <c r="AO322" s="375">
        <f>AN322+AO324</f>
        <v>-259.75200000000001</v>
      </c>
      <c r="AP322" s="375">
        <f>AO322+AP324</f>
        <v>-219.75200000000001</v>
      </c>
      <c r="AQ322" s="375">
        <f>AP322+AQ324</f>
        <v>-232.25200000000001</v>
      </c>
      <c r="AR322" s="375">
        <f>AQ322</f>
        <v>-232.25200000000001</v>
      </c>
      <c r="AS322" s="375">
        <f>AR322+AS324</f>
        <v>-182.25200000000001</v>
      </c>
      <c r="AT322" s="375">
        <f>AS322+AT324</f>
        <v>-194.75200000000001</v>
      </c>
      <c r="AU322" s="375">
        <f>AT322+AU324</f>
        <v>-154.75200000000001</v>
      </c>
      <c r="AV322" s="375">
        <f>AU322+AV324</f>
        <v>-167.25200000000001</v>
      </c>
      <c r="AW322" s="375">
        <f>AV322</f>
        <v>-167.25200000000001</v>
      </c>
      <c r="AX322" s="375">
        <f>AW322+AX324</f>
        <v>-117.25200000000001</v>
      </c>
      <c r="AY322" s="375">
        <f>AX322+AY324</f>
        <v>-129.75200000000001</v>
      </c>
      <c r="AZ322" s="375">
        <f>AY322+AZ324</f>
        <v>-89.75200000000001</v>
      </c>
      <c r="BA322" s="375">
        <f>AZ322+BA324</f>
        <v>-102.25200000000001</v>
      </c>
      <c r="BB322" s="375">
        <f>BA322</f>
        <v>-102.25200000000001</v>
      </c>
      <c r="BC322" s="375">
        <f>BB322+BC324</f>
        <v>-52.25200000000001</v>
      </c>
      <c r="BD322" s="375">
        <f>BC322+BD324</f>
        <v>-64.75200000000001</v>
      </c>
      <c r="BE322" s="375">
        <f>BD322+BE324</f>
        <v>-24.75200000000001</v>
      </c>
      <c r="BF322" s="375">
        <f>BE322+BF324</f>
        <v>-37.25200000000001</v>
      </c>
      <c r="BG322" s="375">
        <f>BF322</f>
        <v>-37.25200000000001</v>
      </c>
      <c r="BH322" s="375">
        <f>BG322+BH324</f>
        <v>12.74799999999999</v>
      </c>
      <c r="BI322" s="375">
        <f>BH322+BI324</f>
        <v>0.24799999999999045</v>
      </c>
      <c r="BJ322" s="375">
        <f>BI322+BJ324</f>
        <v>40.24799999999999</v>
      </c>
      <c r="BK322" s="375">
        <f>BJ322+BK324</f>
        <v>27.74799999999999</v>
      </c>
      <c r="BL322" s="375">
        <f>BK322</f>
        <v>27.74799999999999</v>
      </c>
    </row>
    <row r="323" spans="1:64">
      <c r="A323" s="9" t="s">
        <v>1644</v>
      </c>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378">
        <f t="shared" ref="AH323:BL323" si="396">SUM(AH321:AH322)</f>
        <v>-281.56200000000001</v>
      </c>
      <c r="AI323" s="378">
        <f t="shared" si="396"/>
        <v>-305.75100000000003</v>
      </c>
      <c r="AJ323" s="378">
        <f t="shared" si="396"/>
        <v>-271.50099999999998</v>
      </c>
      <c r="AK323" s="378">
        <f t="shared" si="396"/>
        <v>-268.69</v>
      </c>
      <c r="AL323" s="378">
        <f t="shared" si="396"/>
        <v>-256.19</v>
      </c>
      <c r="AM323" s="378">
        <f t="shared" si="396"/>
        <v>-256.19</v>
      </c>
      <c r="AN323" s="378">
        <f t="shared" si="396"/>
        <v>-206.19</v>
      </c>
      <c r="AO323" s="378">
        <f t="shared" si="396"/>
        <v>-218.69</v>
      </c>
      <c r="AP323" s="378">
        <f t="shared" si="396"/>
        <v>-178.69</v>
      </c>
      <c r="AQ323" s="378">
        <f t="shared" si="396"/>
        <v>-191.19</v>
      </c>
      <c r="AR323" s="378">
        <f t="shared" si="396"/>
        <v>-191.19</v>
      </c>
      <c r="AS323" s="378">
        <f t="shared" si="396"/>
        <v>-141.19</v>
      </c>
      <c r="AT323" s="378">
        <f t="shared" si="396"/>
        <v>-153.69</v>
      </c>
      <c r="AU323" s="378">
        <f t="shared" si="396"/>
        <v>-113.69000000000001</v>
      </c>
      <c r="AV323" s="378">
        <f t="shared" si="396"/>
        <v>-126.19000000000001</v>
      </c>
      <c r="AW323" s="378">
        <f t="shared" si="396"/>
        <v>-126.19000000000001</v>
      </c>
      <c r="AX323" s="378">
        <f t="shared" si="396"/>
        <v>-76.190000000000012</v>
      </c>
      <c r="AY323" s="378">
        <f t="shared" si="396"/>
        <v>-88.690000000000012</v>
      </c>
      <c r="AZ323" s="378">
        <f t="shared" si="396"/>
        <v>-48.690000000000012</v>
      </c>
      <c r="BA323" s="378">
        <f t="shared" si="396"/>
        <v>-61.190000000000012</v>
      </c>
      <c r="BB323" s="378">
        <f t="shared" si="396"/>
        <v>-61.190000000000012</v>
      </c>
      <c r="BC323" s="378">
        <f t="shared" si="396"/>
        <v>-11.190000000000012</v>
      </c>
      <c r="BD323" s="378">
        <f t="shared" si="396"/>
        <v>-23.690000000000012</v>
      </c>
      <c r="BE323" s="378">
        <f t="shared" si="396"/>
        <v>16.309999999999988</v>
      </c>
      <c r="BF323" s="378">
        <f t="shared" si="396"/>
        <v>3.8099999999999881</v>
      </c>
      <c r="BG323" s="378">
        <f t="shared" si="396"/>
        <v>3.8099999999999881</v>
      </c>
      <c r="BH323" s="378">
        <f t="shared" si="396"/>
        <v>53.809999999999988</v>
      </c>
      <c r="BI323" s="378">
        <f t="shared" si="396"/>
        <v>41.309999999999988</v>
      </c>
      <c r="BJ323" s="378">
        <f t="shared" si="396"/>
        <v>81.309999999999988</v>
      </c>
      <c r="BK323" s="378">
        <f t="shared" si="396"/>
        <v>68.809999999999988</v>
      </c>
      <c r="BL323" s="378">
        <f t="shared" si="396"/>
        <v>68.809999999999988</v>
      </c>
    </row>
    <row r="324" spans="1:64">
      <c r="A324" s="1" t="s">
        <v>1645</v>
      </c>
      <c r="AI324" s="375">
        <f>AI323-AH323</f>
        <v>-24.189000000000021</v>
      </c>
      <c r="AJ324" s="375">
        <f>AJ323-AI323</f>
        <v>34.250000000000057</v>
      </c>
      <c r="AK324" s="375">
        <f>AK323-AJ323</f>
        <v>2.8109999999999786</v>
      </c>
      <c r="AL324" s="377">
        <f>AL329</f>
        <v>12.5</v>
      </c>
      <c r="AN324" s="377">
        <f>AN329</f>
        <v>50</v>
      </c>
      <c r="AO324" s="377">
        <f>AO329</f>
        <v>-12.5</v>
      </c>
      <c r="AP324" s="377">
        <f>AP329</f>
        <v>40</v>
      </c>
      <c r="AQ324" s="377">
        <f>AQ329</f>
        <v>-12.5</v>
      </c>
      <c r="AS324" s="377">
        <f t="shared" ref="AS324:AV324" si="397">AS329</f>
        <v>50</v>
      </c>
      <c r="AT324" s="377">
        <f t="shared" si="397"/>
        <v>-12.5</v>
      </c>
      <c r="AU324" s="377">
        <f t="shared" si="397"/>
        <v>40</v>
      </c>
      <c r="AV324" s="377">
        <f t="shared" si="397"/>
        <v>-12.5</v>
      </c>
      <c r="AX324" s="377">
        <f t="shared" ref="AX324:BA324" si="398">AX329</f>
        <v>50</v>
      </c>
      <c r="AY324" s="377">
        <f t="shared" si="398"/>
        <v>-12.5</v>
      </c>
      <c r="AZ324" s="377">
        <f t="shared" si="398"/>
        <v>40</v>
      </c>
      <c r="BA324" s="377">
        <f t="shared" si="398"/>
        <v>-12.5</v>
      </c>
      <c r="BC324" s="377">
        <f t="shared" ref="BC324:BF324" si="399">BC329</f>
        <v>50</v>
      </c>
      <c r="BD324" s="377">
        <f t="shared" si="399"/>
        <v>-12.5</v>
      </c>
      <c r="BE324" s="377">
        <f t="shared" si="399"/>
        <v>40</v>
      </c>
      <c r="BF324" s="377">
        <f t="shared" si="399"/>
        <v>-12.5</v>
      </c>
      <c r="BH324" s="377">
        <f t="shared" ref="BH324:BK324" si="400">BH329</f>
        <v>50</v>
      </c>
      <c r="BI324" s="377">
        <f t="shared" si="400"/>
        <v>-12.5</v>
      </c>
      <c r="BJ324" s="377">
        <f t="shared" si="400"/>
        <v>40</v>
      </c>
      <c r="BK324" s="377">
        <f t="shared" si="400"/>
        <v>-12.5</v>
      </c>
    </row>
    <row r="326" spans="1:64">
      <c r="A326" s="3" t="s">
        <v>1646</v>
      </c>
    </row>
    <row r="328" spans="1:64">
      <c r="A328" s="28" t="s">
        <v>1647</v>
      </c>
      <c r="AH328" s="375">
        <f t="shared" ref="AH328:BL328" si="401">-AH46</f>
        <v>208.74299999999999</v>
      </c>
      <c r="AI328" s="375">
        <f t="shared" si="401"/>
        <v>75.037000000000006</v>
      </c>
      <c r="AJ328" s="375">
        <f t="shared" si="401"/>
        <v>53.123999999999995</v>
      </c>
      <c r="AK328" s="375">
        <f t="shared" si="401"/>
        <v>59.628999999999991</v>
      </c>
      <c r="AL328" s="375">
        <f t="shared" si="401"/>
        <v>20.217754908484075</v>
      </c>
      <c r="AM328" s="375">
        <f t="shared" si="401"/>
        <v>208.00775490848406</v>
      </c>
      <c r="AN328" s="375">
        <f t="shared" si="401"/>
        <v>73.900954167899613</v>
      </c>
      <c r="AO328" s="375">
        <f t="shared" si="401"/>
        <v>73.533282451243679</v>
      </c>
      <c r="AP328" s="375">
        <f t="shared" si="401"/>
        <v>62.318739323736487</v>
      </c>
      <c r="AQ328" s="375">
        <f t="shared" si="401"/>
        <v>26.951244050628979</v>
      </c>
      <c r="AR328" s="375">
        <f t="shared" si="401"/>
        <v>236.70421999350876</v>
      </c>
      <c r="AS328" s="375">
        <f t="shared" si="401"/>
        <v>74.837159818455078</v>
      </c>
      <c r="AT328" s="375">
        <f t="shared" si="401"/>
        <v>73.457811643374839</v>
      </c>
      <c r="AU328" s="375">
        <f t="shared" si="401"/>
        <v>63.170935372173929</v>
      </c>
      <c r="AV328" s="375">
        <f t="shared" si="401"/>
        <v>31.670654856681843</v>
      </c>
      <c r="AW328" s="375">
        <f t="shared" si="401"/>
        <v>243.13656169068565</v>
      </c>
      <c r="AX328" s="375">
        <f t="shared" si="401"/>
        <v>77.626918534905172</v>
      </c>
      <c r="AY328" s="375">
        <f t="shared" si="401"/>
        <v>78.313890969460758</v>
      </c>
      <c r="AZ328" s="375">
        <f t="shared" si="401"/>
        <v>66.890204008793205</v>
      </c>
      <c r="BA328" s="375">
        <f t="shared" si="401"/>
        <v>35.595210897086467</v>
      </c>
      <c r="BB328" s="375">
        <f t="shared" si="401"/>
        <v>258.4262244102456</v>
      </c>
      <c r="BC328" s="375">
        <f t="shared" si="401"/>
        <v>82.294683472991792</v>
      </c>
      <c r="BD328" s="375">
        <f t="shared" si="401"/>
        <v>82.919056767224831</v>
      </c>
      <c r="BE328" s="375">
        <f t="shared" si="401"/>
        <v>72.375097390787687</v>
      </c>
      <c r="BF328" s="375">
        <f t="shared" si="401"/>
        <v>41.395082400859422</v>
      </c>
      <c r="BG328" s="375">
        <f t="shared" si="401"/>
        <v>278.9839200318637</v>
      </c>
      <c r="BH328" s="375">
        <f t="shared" si="401"/>
        <v>88.480520361112909</v>
      </c>
      <c r="BI328" s="375">
        <f t="shared" si="401"/>
        <v>89.252740150278825</v>
      </c>
      <c r="BJ328" s="375">
        <f t="shared" si="401"/>
        <v>79.081081351149194</v>
      </c>
      <c r="BK328" s="375">
        <f t="shared" si="401"/>
        <v>48.185930902974938</v>
      </c>
      <c r="BL328" s="375">
        <f t="shared" si="401"/>
        <v>305.00027276551583</v>
      </c>
    </row>
    <row r="329" spans="1:64">
      <c r="A329" s="28" t="s">
        <v>276</v>
      </c>
      <c r="AH329" s="375">
        <f>AH330-AH328</f>
        <v>56.918999999999983</v>
      </c>
      <c r="AI329" s="375">
        <f>AI330-AI328</f>
        <v>52.39200000000001</v>
      </c>
      <c r="AJ329" s="375">
        <f>AJ330-AJ328</f>
        <v>-62.550000000000011</v>
      </c>
      <c r="AK329" s="375">
        <f>AK330-AK328</f>
        <v>100.38500000000002</v>
      </c>
      <c r="AL329" s="377">
        <v>12.5</v>
      </c>
      <c r="AM329" s="375">
        <f>SUM(AI329:AL329)</f>
        <v>102.72700000000002</v>
      </c>
      <c r="AN329" s="377">
        <v>50</v>
      </c>
      <c r="AO329" s="377">
        <v>-12.5</v>
      </c>
      <c r="AP329" s="377">
        <v>40</v>
      </c>
      <c r="AQ329" s="377">
        <v>-12.5</v>
      </c>
      <c r="AR329" s="375">
        <f>SUM(AN329:AQ329)</f>
        <v>65</v>
      </c>
      <c r="AS329" s="377">
        <v>50</v>
      </c>
      <c r="AT329" s="377">
        <v>-12.5</v>
      </c>
      <c r="AU329" s="377">
        <v>40</v>
      </c>
      <c r="AV329" s="377">
        <v>-12.5</v>
      </c>
      <c r="AW329" s="375">
        <f>SUM(AS329:AV329)</f>
        <v>65</v>
      </c>
      <c r="AX329" s="377">
        <v>50</v>
      </c>
      <c r="AY329" s="377">
        <v>-12.5</v>
      </c>
      <c r="AZ329" s="377">
        <v>40</v>
      </c>
      <c r="BA329" s="377">
        <v>-12.5</v>
      </c>
      <c r="BB329" s="375">
        <f>SUM(AX329:BA329)</f>
        <v>65</v>
      </c>
      <c r="BC329" s="377">
        <v>50</v>
      </c>
      <c r="BD329" s="377">
        <v>-12.5</v>
      </c>
      <c r="BE329" s="377">
        <v>40</v>
      </c>
      <c r="BF329" s="377">
        <v>-12.5</v>
      </c>
      <c r="BG329" s="375">
        <f>SUM(BC329:BF329)</f>
        <v>65</v>
      </c>
      <c r="BH329" s="377">
        <v>50</v>
      </c>
      <c r="BI329" s="377">
        <v>-12.5</v>
      </c>
      <c r="BJ329" s="377">
        <v>40</v>
      </c>
      <c r="BK329" s="377">
        <v>-12.5</v>
      </c>
      <c r="BL329" s="375">
        <f>SUM(BH329:BK329)</f>
        <v>65</v>
      </c>
    </row>
    <row r="330" spans="1:64">
      <c r="A330" s="9" t="s">
        <v>730</v>
      </c>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378">
        <f>-SUM(AH178:AH179)</f>
        <v>265.66199999999998</v>
      </c>
      <c r="AI330" s="378">
        <f>-SUM(AI178:AI179)</f>
        <v>127.42900000000002</v>
      </c>
      <c r="AJ330" s="378">
        <f>-SUM(AJ178:AJ179)</f>
        <v>-9.4260000000000197</v>
      </c>
      <c r="AK330" s="378">
        <f>-SUM(AK178:AK179)</f>
        <v>160.01400000000001</v>
      </c>
      <c r="AL330" s="378">
        <f>AL328+AL329</f>
        <v>32.717754908484075</v>
      </c>
      <c r="AM330" s="378">
        <f>AM328+AM329</f>
        <v>310.73475490848409</v>
      </c>
      <c r="AN330" s="378">
        <f t="shared" ref="AN330:AQ330" si="402">AN328+AN329</f>
        <v>123.90095416789961</v>
      </c>
      <c r="AO330" s="378">
        <f t="shared" si="402"/>
        <v>61.033282451243679</v>
      </c>
      <c r="AP330" s="378">
        <f t="shared" si="402"/>
        <v>102.31873932373648</v>
      </c>
      <c r="AQ330" s="378">
        <f t="shared" si="402"/>
        <v>14.451244050628979</v>
      </c>
      <c r="AR330" s="378">
        <f>AR328+AR329</f>
        <v>301.70421999350879</v>
      </c>
      <c r="AS330" s="378">
        <f t="shared" ref="AS330:AV330" si="403">AS328+AS329</f>
        <v>124.83715981845508</v>
      </c>
      <c r="AT330" s="378">
        <f t="shared" si="403"/>
        <v>60.957811643374839</v>
      </c>
      <c r="AU330" s="378">
        <f t="shared" si="403"/>
        <v>103.17093537217393</v>
      </c>
      <c r="AV330" s="378">
        <f t="shared" si="403"/>
        <v>19.170654856681843</v>
      </c>
      <c r="AW330" s="378">
        <f>AW328+AW329</f>
        <v>308.13656169068565</v>
      </c>
      <c r="AX330" s="378">
        <f t="shared" ref="AX330:BA330" si="404">AX328+AX329</f>
        <v>127.62691853490517</v>
      </c>
      <c r="AY330" s="378">
        <f t="shared" si="404"/>
        <v>65.813890969460758</v>
      </c>
      <c r="AZ330" s="378">
        <f t="shared" si="404"/>
        <v>106.89020400879321</v>
      </c>
      <c r="BA330" s="378">
        <f t="shared" si="404"/>
        <v>23.095210897086467</v>
      </c>
      <c r="BB330" s="378">
        <f>BB328+BB329</f>
        <v>323.4262244102456</v>
      </c>
      <c r="BC330" s="378">
        <f t="shared" ref="BC330:BF330" si="405">BC328+BC329</f>
        <v>132.29468347299178</v>
      </c>
      <c r="BD330" s="378">
        <f t="shared" si="405"/>
        <v>70.419056767224831</v>
      </c>
      <c r="BE330" s="378">
        <f t="shared" si="405"/>
        <v>112.37509739078769</v>
      </c>
      <c r="BF330" s="378">
        <f t="shared" si="405"/>
        <v>28.895082400859422</v>
      </c>
      <c r="BG330" s="378">
        <f>BG328+BG329</f>
        <v>343.9839200318637</v>
      </c>
      <c r="BH330" s="378">
        <f t="shared" ref="BH330:BK330" si="406">BH328+BH329</f>
        <v>138.48052036111289</v>
      </c>
      <c r="BI330" s="378">
        <f t="shared" si="406"/>
        <v>76.752740150278825</v>
      </c>
      <c r="BJ330" s="378">
        <f t="shared" si="406"/>
        <v>119.08108135114919</v>
      </c>
      <c r="BK330" s="378">
        <f t="shared" si="406"/>
        <v>35.685930902974938</v>
      </c>
      <c r="BL330" s="378">
        <f>BL328+BL329</f>
        <v>370.00027276551583</v>
      </c>
    </row>
  </sheetData>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AEBE6-746C-470B-9B68-CF07B0B786F5}">
  <sheetPr codeName="Sheet14"/>
  <dimension ref="A1:BV307"/>
  <sheetViews>
    <sheetView zoomScale="90" zoomScaleNormal="90" workbookViewId="0">
      <pane xSplit="8" ySplit="2" topLeftCell="AC145" activePane="bottomRight" state="frozen"/>
      <selection pane="topRight" activeCell="I1" sqref="I1"/>
      <selection pane="bottomLeft" activeCell="A3" sqref="A3"/>
      <selection pane="bottomRight"/>
    </sheetView>
  </sheetViews>
  <sheetFormatPr defaultColWidth="9.140625" defaultRowHeight="12" outlineLevelRow="1"/>
  <cols>
    <col min="1" max="65" width="9.140625" style="1"/>
    <col min="66" max="66" width="9.140625" style="46"/>
    <col min="67" max="16384" width="9.140625" style="1"/>
  </cols>
  <sheetData>
    <row r="1" spans="1:74" s="2" customFormat="1">
      <c r="A1" s="2" t="s">
        <v>85</v>
      </c>
      <c r="N1" s="18" t="s">
        <v>153</v>
      </c>
      <c r="S1" s="18" t="s">
        <v>149</v>
      </c>
      <c r="X1" s="18" t="s">
        <v>145</v>
      </c>
      <c r="AC1" s="18" t="s">
        <v>141</v>
      </c>
      <c r="AH1" s="18" t="s">
        <v>79</v>
      </c>
      <c r="AM1" s="18" t="s">
        <v>90</v>
      </c>
      <c r="AR1" s="18" t="s">
        <v>699</v>
      </c>
      <c r="AW1" s="18" t="s">
        <v>1180</v>
      </c>
      <c r="BB1" s="18" t="s">
        <v>1198</v>
      </c>
      <c r="BG1" s="18" t="s">
        <v>1209</v>
      </c>
      <c r="BL1" s="18" t="s">
        <v>1210</v>
      </c>
      <c r="BN1" s="46"/>
    </row>
    <row r="2" spans="1:74" s="2" customFormat="1">
      <c r="A2" s="2" t="s">
        <v>1390</v>
      </c>
      <c r="I2" s="6" t="s">
        <v>198</v>
      </c>
      <c r="J2" s="6" t="s">
        <v>163</v>
      </c>
      <c r="K2" s="6" t="s">
        <v>164</v>
      </c>
      <c r="L2" s="6" t="s">
        <v>165</v>
      </c>
      <c r="M2" s="6" t="s">
        <v>166</v>
      </c>
      <c r="N2" s="6" t="s">
        <v>167</v>
      </c>
      <c r="O2" s="6" t="s">
        <v>154</v>
      </c>
      <c r="P2" s="6" t="s">
        <v>155</v>
      </c>
      <c r="Q2" s="6" t="s">
        <v>156</v>
      </c>
      <c r="R2" s="6" t="s">
        <v>157</v>
      </c>
      <c r="S2" s="6" t="s">
        <v>158</v>
      </c>
      <c r="T2" s="6" t="s">
        <v>133</v>
      </c>
      <c r="U2" s="6" t="s">
        <v>134</v>
      </c>
      <c r="V2" s="6" t="s">
        <v>135</v>
      </c>
      <c r="W2" s="6" t="s">
        <v>136</v>
      </c>
      <c r="X2" s="6" t="s">
        <v>137</v>
      </c>
      <c r="Y2" s="6" t="s">
        <v>74</v>
      </c>
      <c r="Z2" s="6" t="s">
        <v>75</v>
      </c>
      <c r="AA2" s="6" t="s">
        <v>76</v>
      </c>
      <c r="AB2" s="6" t="s">
        <v>77</v>
      </c>
      <c r="AC2" s="6" t="s">
        <v>78</v>
      </c>
      <c r="AD2" s="6" t="s">
        <v>10</v>
      </c>
      <c r="AE2" s="6" t="s">
        <v>11</v>
      </c>
      <c r="AF2" s="6" t="s">
        <v>12</v>
      </c>
      <c r="AG2" s="6" t="s">
        <v>13</v>
      </c>
      <c r="AH2" s="6" t="s">
        <v>14</v>
      </c>
      <c r="AI2" s="6" t="s">
        <v>91</v>
      </c>
      <c r="AJ2" s="6" t="s">
        <v>92</v>
      </c>
      <c r="AK2" s="6" t="s">
        <v>93</v>
      </c>
      <c r="AL2" s="6" t="s">
        <v>1450</v>
      </c>
      <c r="AM2" s="6" t="s">
        <v>1451</v>
      </c>
      <c r="AN2" s="6" t="s">
        <v>1452</v>
      </c>
      <c r="AO2" s="6" t="s">
        <v>1453</v>
      </c>
      <c r="AP2" s="6" t="s">
        <v>1454</v>
      </c>
      <c r="AQ2" s="6" t="s">
        <v>1455</v>
      </c>
      <c r="AR2" s="6" t="s">
        <v>1456</v>
      </c>
      <c r="AS2" s="6" t="s">
        <v>1457</v>
      </c>
      <c r="AT2" s="6" t="s">
        <v>1458</v>
      </c>
      <c r="AU2" s="6" t="s">
        <v>1459</v>
      </c>
      <c r="AV2" s="6" t="s">
        <v>1460</v>
      </c>
      <c r="AW2" s="6" t="s">
        <v>1461</v>
      </c>
      <c r="AX2" s="6" t="s">
        <v>1462</v>
      </c>
      <c r="AY2" s="6" t="s">
        <v>1463</v>
      </c>
      <c r="AZ2" s="6" t="s">
        <v>1464</v>
      </c>
      <c r="BA2" s="6" t="s">
        <v>1465</v>
      </c>
      <c r="BB2" s="6" t="s">
        <v>1466</v>
      </c>
      <c r="BC2" s="6" t="s">
        <v>1467</v>
      </c>
      <c r="BD2" s="6" t="s">
        <v>1468</v>
      </c>
      <c r="BE2" s="6" t="s">
        <v>1469</v>
      </c>
      <c r="BF2" s="6" t="s">
        <v>1470</v>
      </c>
      <c r="BG2" s="6" t="s">
        <v>1471</v>
      </c>
      <c r="BH2" s="6" t="s">
        <v>1472</v>
      </c>
      <c r="BI2" s="6" t="s">
        <v>1473</v>
      </c>
      <c r="BJ2" s="6" t="s">
        <v>1474</v>
      </c>
      <c r="BK2" s="6" t="s">
        <v>1475</v>
      </c>
      <c r="BL2" s="6" t="s">
        <v>1476</v>
      </c>
      <c r="BN2" s="241" t="s">
        <v>1477</v>
      </c>
      <c r="BP2" s="6" t="s">
        <v>14</v>
      </c>
      <c r="BQ2" s="6" t="s">
        <v>1451</v>
      </c>
      <c r="BR2" s="6" t="s">
        <v>1456</v>
      </c>
      <c r="BS2" s="6" t="s">
        <v>1461</v>
      </c>
      <c r="BT2" s="6" t="s">
        <v>1466</v>
      </c>
      <c r="BU2" s="6" t="s">
        <v>1471</v>
      </c>
      <c r="BV2" s="6" t="s">
        <v>1476</v>
      </c>
    </row>
    <row r="4" spans="1:74">
      <c r="A4" s="3" t="s">
        <v>1648</v>
      </c>
    </row>
    <row r="5" spans="1:74">
      <c r="A5" s="5" t="s">
        <v>1649</v>
      </c>
      <c r="Y5" s="375">
        <f>'Business segments KK'!Y13</f>
        <v>693.2</v>
      </c>
      <c r="Z5" s="375">
        <f>'Business segments KK'!Z13</f>
        <v>685.3</v>
      </c>
      <c r="AA5" s="375">
        <f>'Business segments KK'!AA13</f>
        <v>730</v>
      </c>
      <c r="AB5" s="375">
        <f>'Business segments KK'!AB13</f>
        <v>774.40000000000009</v>
      </c>
      <c r="AC5" s="375">
        <f>'Business segments KK'!AC13</f>
        <v>2882.9</v>
      </c>
      <c r="AD5" s="375">
        <f>'Business segments KK'!AD13</f>
        <v>667.3</v>
      </c>
      <c r="AE5" s="375">
        <f>'Business segments KK'!AE13</f>
        <v>718.09999999999991</v>
      </c>
      <c r="AF5" s="375">
        <f>'Business segments KK'!AF13</f>
        <v>742.19999999999993</v>
      </c>
      <c r="AG5" s="375">
        <f>'Business segments KK'!AG13</f>
        <v>755.4</v>
      </c>
      <c r="AH5" s="375">
        <f>'Business segments KK'!AH13</f>
        <v>2883</v>
      </c>
      <c r="AI5" s="375">
        <f>'Business segments KK'!AI13</f>
        <v>668.7</v>
      </c>
      <c r="AJ5" s="375">
        <f>'Business segments KK'!AJ13</f>
        <v>711.5</v>
      </c>
      <c r="AK5" s="375">
        <f>'Business segments KK'!AK13</f>
        <v>741.4</v>
      </c>
      <c r="AL5" s="375">
        <f>'Business segments KK'!AL13</f>
        <v>742.35902577551565</v>
      </c>
      <c r="AM5" s="375">
        <f>'Business segments KK'!AM13</f>
        <v>2863.9590257755158</v>
      </c>
      <c r="AN5" s="375">
        <f>'Business segments KK'!AN13</f>
        <v>666.81716607909198</v>
      </c>
      <c r="AO5" s="375">
        <f>'Business segments KK'!AO13</f>
        <v>708.08545246192921</v>
      </c>
      <c r="AP5" s="375">
        <f>'Business segments KK'!AP13</f>
        <v>738.59386906435259</v>
      </c>
      <c r="AQ5" s="375">
        <f>'Business segments KK'!AQ13</f>
        <v>737.03968000743271</v>
      </c>
      <c r="AR5" s="375">
        <f>'Business segments KK'!AR13</f>
        <v>2850.5361676128068</v>
      </c>
      <c r="AS5" s="375">
        <f>'Business segments KK'!AS13</f>
        <v>665.3357351928023</v>
      </c>
      <c r="AT5" s="375">
        <f>'Business segments KK'!AT13</f>
        <v>705.68666160954137</v>
      </c>
      <c r="AU5" s="375">
        <f>'Business segments KK'!AU13</f>
        <v>736.33579531977705</v>
      </c>
      <c r="AV5" s="375">
        <f>'Business segments KK'!AV13</f>
        <v>734.14479369030073</v>
      </c>
      <c r="AW5" s="375">
        <f>'Business segments KK'!AW13</f>
        <v>2841.5029858124217</v>
      </c>
      <c r="AX5" s="375">
        <f>'Business segments KK'!AX13</f>
        <v>664.64962073827189</v>
      </c>
      <c r="AY5" s="375">
        <f>'Business segments KK'!AY13</f>
        <v>704.47918332906784</v>
      </c>
      <c r="AZ5" s="375">
        <f>'Business segments KK'!AZ13</f>
        <v>735.05263892447078</v>
      </c>
      <c r="BA5" s="375">
        <f>'Business segments KK'!BA13</f>
        <v>732.91929468641126</v>
      </c>
      <c r="BB5" s="375">
        <f>'Business segments KK'!BB13</f>
        <v>2837.1007376782218</v>
      </c>
      <c r="BC5" s="375">
        <f>'Business segments KK'!BC13</f>
        <v>664.03636755696721</v>
      </c>
      <c r="BD5" s="375">
        <f>'Business segments KK'!BD13</f>
        <v>703.48718634031229</v>
      </c>
      <c r="BE5" s="375">
        <f>'Business segments KK'!BE13</f>
        <v>734.32810870194021</v>
      </c>
      <c r="BF5" s="375">
        <f>'Business segments KK'!BF13</f>
        <v>732.65537670034928</v>
      </c>
      <c r="BG5" s="375">
        <f>'Business segments KK'!BG13</f>
        <v>2834.5070392995685</v>
      </c>
      <c r="BH5" s="375">
        <f>'Business segments KK'!BH13</f>
        <v>661.95784873663001</v>
      </c>
      <c r="BI5" s="375">
        <f>'Business segments KK'!BI13</f>
        <v>701.25545019326478</v>
      </c>
      <c r="BJ5" s="375">
        <f>'Business segments KK'!BJ13</f>
        <v>732.45557237645346</v>
      </c>
      <c r="BK5" s="375">
        <f>'Business segments KK'!BK13</f>
        <v>731.39303048040722</v>
      </c>
      <c r="BL5" s="375">
        <f>'Business segments KK'!BL13</f>
        <v>2827.0619017867552</v>
      </c>
      <c r="BP5" s="375">
        <f t="shared" ref="BP5:BV7" si="0">INDEX($Y5:$BL5, MATCH(BP$2, $Y$2:$BL$2, 0))</f>
        <v>2883</v>
      </c>
      <c r="BQ5" s="375">
        <f t="shared" si="0"/>
        <v>2863.9590257755158</v>
      </c>
      <c r="BR5" s="375">
        <f t="shared" si="0"/>
        <v>2850.5361676128068</v>
      </c>
      <c r="BS5" s="375">
        <f t="shared" si="0"/>
        <v>2841.5029858124217</v>
      </c>
      <c r="BT5" s="375">
        <f t="shared" si="0"/>
        <v>2837.1007376782218</v>
      </c>
      <c r="BU5" s="375">
        <f t="shared" si="0"/>
        <v>2834.5070392995685</v>
      </c>
      <c r="BV5" s="375">
        <f t="shared" si="0"/>
        <v>2827.0619017867552</v>
      </c>
    </row>
    <row r="6" spans="1:74">
      <c r="A6" s="5" t="s">
        <v>1650</v>
      </c>
      <c r="Y6" s="375">
        <f>'Business segments KK'!Y76</f>
        <v>171.5</v>
      </c>
      <c r="Z6" s="375">
        <f>'Business segments KK'!Z76</f>
        <v>179.3</v>
      </c>
      <c r="AA6" s="375">
        <f>'Business segments KK'!AA76</f>
        <v>178</v>
      </c>
      <c r="AB6" s="375">
        <f>'Business segments KK'!AB76</f>
        <v>186.8</v>
      </c>
      <c r="AC6" s="375">
        <f>'Business segments KK'!AC76</f>
        <v>715.59999999999991</v>
      </c>
      <c r="AD6" s="375">
        <f>'Business segments KK'!AD76</f>
        <v>176.6</v>
      </c>
      <c r="AE6" s="375">
        <f>'Business segments KK'!AE76</f>
        <v>185.89999999999998</v>
      </c>
      <c r="AF6" s="375">
        <f>'Business segments KK'!AF76</f>
        <v>188.4</v>
      </c>
      <c r="AG6" s="375">
        <f>'Business segments KK'!AG76</f>
        <v>199.5</v>
      </c>
      <c r="AH6" s="375">
        <f>'Business segments KK'!AH76</f>
        <v>750.4</v>
      </c>
      <c r="AI6" s="375">
        <f>'Business segments KK'!AI76</f>
        <v>184.2</v>
      </c>
      <c r="AJ6" s="375">
        <f>'Business segments KK'!AJ76</f>
        <v>195.3</v>
      </c>
      <c r="AK6" s="375">
        <f>'Business segments KK'!AK76</f>
        <v>197.1</v>
      </c>
      <c r="AL6" s="375">
        <f>'Business segments KK'!AL76</f>
        <v>207.21210794073443</v>
      </c>
      <c r="AM6" s="375">
        <f>'Business segments KK'!AM76</f>
        <v>783.81210794073445</v>
      </c>
      <c r="AN6" s="375">
        <f>'Business segments KK'!AN76</f>
        <v>191.60536785265811</v>
      </c>
      <c r="AO6" s="375">
        <f>'Business segments KK'!AO76</f>
        <v>204.51675884882081</v>
      </c>
      <c r="AP6" s="375">
        <f>'Business segments KK'!AP76</f>
        <v>206.33657303864754</v>
      </c>
      <c r="AQ6" s="375">
        <f>'Business segments KK'!AQ76</f>
        <v>217.91414177868472</v>
      </c>
      <c r="AR6" s="375">
        <f>'Business segments KK'!AR76</f>
        <v>820.37284151881113</v>
      </c>
      <c r="AS6" s="375">
        <f>'Business segments KK'!AS76</f>
        <v>197.80684218440905</v>
      </c>
      <c r="AT6" s="375">
        <f>'Business segments KK'!AT76</f>
        <v>211.42848733259066</v>
      </c>
      <c r="AU6" s="375">
        <f>'Business segments KK'!AU76</f>
        <v>213.23916402736106</v>
      </c>
      <c r="AV6" s="375">
        <f>'Business segments KK'!AV76</f>
        <v>225.89058971864728</v>
      </c>
      <c r="AW6" s="375">
        <f>'Business segments KK'!AW76</f>
        <v>848.36508326300805</v>
      </c>
      <c r="AX6" s="375">
        <f>'Business segments KK'!AX76</f>
        <v>209.27363984661207</v>
      </c>
      <c r="AY6" s="375">
        <f>'Business segments KK'!AY76</f>
        <v>224.37947233168978</v>
      </c>
      <c r="AZ6" s="375">
        <f>'Business segments KK'!AZ76</f>
        <v>226.27369611194106</v>
      </c>
      <c r="BA6" s="375">
        <f>'Business segments KK'!BA76</f>
        <v>241.0450729716099</v>
      </c>
      <c r="BB6" s="375">
        <f>'Business segments KK'!BB76</f>
        <v>900.97188126185279</v>
      </c>
      <c r="BC6" s="375">
        <f>'Business segments KK'!BC76</f>
        <v>224.8851725999005</v>
      </c>
      <c r="BD6" s="375">
        <f>'Business segments KK'!BD76</f>
        <v>242.05699491475031</v>
      </c>
      <c r="BE6" s="375">
        <f>'Business segments KK'!BE76</f>
        <v>244.11689801186753</v>
      </c>
      <c r="BF6" s="375">
        <f>'Business segments KK'!BF76</f>
        <v>261.8014665861449</v>
      </c>
      <c r="BG6" s="375">
        <f>'Business segments KK'!BG76</f>
        <v>972.86053211266335</v>
      </c>
      <c r="BH6" s="375">
        <f>'Business segments KK'!BH76</f>
        <v>245.66335070332852</v>
      </c>
      <c r="BI6" s="375">
        <f>'Business segments KK'!BI76</f>
        <v>265.6529789188445</v>
      </c>
      <c r="BJ6" s="375">
        <f>'Business segments KK'!BJ76</f>
        <v>267.94774069355566</v>
      </c>
      <c r="BK6" s="375">
        <f>'Business segments KK'!BK76</f>
        <v>289.5819785957633</v>
      </c>
      <c r="BL6" s="375">
        <f>'Business segments KK'!BL76</f>
        <v>1068.8460489114921</v>
      </c>
      <c r="BP6" s="375">
        <f t="shared" si="0"/>
        <v>750.4</v>
      </c>
      <c r="BQ6" s="375">
        <f t="shared" si="0"/>
        <v>783.81210794073445</v>
      </c>
      <c r="BR6" s="375">
        <f t="shared" si="0"/>
        <v>820.37284151881113</v>
      </c>
      <c r="BS6" s="375">
        <f t="shared" si="0"/>
        <v>848.36508326300805</v>
      </c>
      <c r="BT6" s="375">
        <f t="shared" si="0"/>
        <v>900.97188126185279</v>
      </c>
      <c r="BU6" s="375">
        <f t="shared" si="0"/>
        <v>972.86053211266335</v>
      </c>
      <c r="BV6" s="375">
        <f t="shared" si="0"/>
        <v>1068.8460489114921</v>
      </c>
    </row>
    <row r="7" spans="1:74">
      <c r="A7" s="5" t="s">
        <v>1651</v>
      </c>
      <c r="Y7" s="375">
        <f>'Business segments KK'!Y108</f>
        <v>117.1</v>
      </c>
      <c r="Z7" s="375">
        <f>'Business segments KK'!Z108</f>
        <v>119.1</v>
      </c>
      <c r="AA7" s="375">
        <f>'Business segments KK'!AA108</f>
        <v>125.5</v>
      </c>
      <c r="AB7" s="375">
        <f>'Business segments KK'!AB108</f>
        <v>138.9</v>
      </c>
      <c r="AC7" s="375">
        <f>'Business segments KK'!AC108</f>
        <v>500.6</v>
      </c>
      <c r="AD7" s="375">
        <f>'Business segments KK'!AD108</f>
        <v>130.19999999999999</v>
      </c>
      <c r="AE7" s="375">
        <f>'Business segments KK'!AE108</f>
        <v>142.69999999999999</v>
      </c>
      <c r="AF7" s="375">
        <f>'Business segments KK'!AF108</f>
        <v>146.5</v>
      </c>
      <c r="AG7" s="375">
        <f>'Business segments KK'!AG108</f>
        <v>170.6</v>
      </c>
      <c r="AH7" s="375">
        <f>'Business segments KK'!AH108</f>
        <v>590</v>
      </c>
      <c r="AI7" s="375">
        <f>'Business segments KK'!AI108</f>
        <v>150.6</v>
      </c>
      <c r="AJ7" s="375">
        <f>'Business segments KK'!AJ108</f>
        <v>148.6</v>
      </c>
      <c r="AK7" s="375">
        <f>'Business segments KK'!AK108</f>
        <v>156.30000000000001</v>
      </c>
      <c r="AL7" s="375">
        <f>'Business segments KK'!AL108</f>
        <v>179.13</v>
      </c>
      <c r="AM7" s="375">
        <f>'Business segments KK'!AM108</f>
        <v>634.63</v>
      </c>
      <c r="AN7" s="375">
        <f>'Business segments KK'!AN108</f>
        <v>154.36499999999998</v>
      </c>
      <c r="AO7" s="375">
        <f>'Business segments KK'!AO108</f>
        <v>152.31499999999997</v>
      </c>
      <c r="AP7" s="375">
        <f>'Business segments KK'!AP108</f>
        <v>160.20750000000001</v>
      </c>
      <c r="AQ7" s="375">
        <f>'Business segments KK'!AQ108</f>
        <v>183.60824999999997</v>
      </c>
      <c r="AR7" s="375">
        <f>'Business segments KK'!AR108</f>
        <v>650.49574999999993</v>
      </c>
      <c r="AS7" s="375">
        <f>'Business segments KK'!AS108</f>
        <v>162.08324999999999</v>
      </c>
      <c r="AT7" s="375">
        <f>'Business segments KK'!AT108</f>
        <v>159.93074999999996</v>
      </c>
      <c r="AU7" s="375">
        <f>'Business segments KK'!AU108</f>
        <v>168.21787500000002</v>
      </c>
      <c r="AV7" s="375">
        <f>'Business segments KK'!AV108</f>
        <v>192.78866249999999</v>
      </c>
      <c r="AW7" s="375">
        <f>'Business segments KK'!AW108</f>
        <v>683.02053749999993</v>
      </c>
      <c r="AX7" s="375">
        <f>'Business segments KK'!AX108</f>
        <v>168.56657999999999</v>
      </c>
      <c r="AY7" s="375">
        <f>'Business segments KK'!AY108</f>
        <v>166.32797999999997</v>
      </c>
      <c r="AZ7" s="375">
        <f>'Business segments KK'!AZ108</f>
        <v>174.94659000000001</v>
      </c>
      <c r="BA7" s="375">
        <f>'Business segments KK'!BA108</f>
        <v>200.50020899999998</v>
      </c>
      <c r="BB7" s="375">
        <f>'Business segments KK'!BB108</f>
        <v>710.34135900000001</v>
      </c>
      <c r="BC7" s="375">
        <f>'Business segments KK'!BC108</f>
        <v>173.62357739999999</v>
      </c>
      <c r="BD7" s="375">
        <f>'Business segments KK'!BD108</f>
        <v>171.31781939999996</v>
      </c>
      <c r="BE7" s="375">
        <f>'Business segments KK'!BE108</f>
        <v>180.19498770000001</v>
      </c>
      <c r="BF7" s="375">
        <f>'Business segments KK'!BF108</f>
        <v>206.51521527</v>
      </c>
      <c r="BG7" s="375">
        <f>'Business segments KK'!BG108</f>
        <v>731.65159976999996</v>
      </c>
      <c r="BH7" s="375">
        <f>'Business segments KK'!BH108</f>
        <v>177.096048948</v>
      </c>
      <c r="BI7" s="375">
        <f>'Business segments KK'!BI108</f>
        <v>174.74417578799998</v>
      </c>
      <c r="BJ7" s="375">
        <f>'Business segments KK'!BJ108</f>
        <v>183.79888745400001</v>
      </c>
      <c r="BK7" s="375">
        <f>'Business segments KK'!BK108</f>
        <v>210.64551957540002</v>
      </c>
      <c r="BL7" s="375">
        <f>'Business segments KK'!BL108</f>
        <v>746.28463176540004</v>
      </c>
      <c r="BP7" s="375">
        <f t="shared" si="0"/>
        <v>590</v>
      </c>
      <c r="BQ7" s="375">
        <f t="shared" si="0"/>
        <v>634.63</v>
      </c>
      <c r="BR7" s="375">
        <f t="shared" si="0"/>
        <v>650.49574999999993</v>
      </c>
      <c r="BS7" s="375">
        <f t="shared" si="0"/>
        <v>683.02053749999993</v>
      </c>
      <c r="BT7" s="375">
        <f t="shared" si="0"/>
        <v>710.34135900000001</v>
      </c>
      <c r="BU7" s="375">
        <f t="shared" si="0"/>
        <v>731.65159976999996</v>
      </c>
      <c r="BV7" s="375">
        <f t="shared" si="0"/>
        <v>746.28463176540004</v>
      </c>
    </row>
    <row r="8" spans="1:74">
      <c r="A8" s="5" t="s">
        <v>1652</v>
      </c>
      <c r="Y8" s="375">
        <f>'Business segments KK'!Y128</f>
        <v>362.3</v>
      </c>
      <c r="Z8" s="375">
        <f>'Business segments KK'!Z128</f>
        <v>366.4</v>
      </c>
      <c r="AA8" s="375">
        <f>'Business segments KK'!AA128</f>
        <v>397.6</v>
      </c>
      <c r="AB8" s="375">
        <f>'Business segments KK'!AB128</f>
        <v>395.2</v>
      </c>
      <c r="AC8" s="375">
        <f>'Business segments KK'!AC128</f>
        <v>1521.5000000000002</v>
      </c>
      <c r="AD8" s="375">
        <f>'Business segments KK'!AD128</f>
        <v>378.1</v>
      </c>
      <c r="AE8" s="375">
        <f>'Business segments KK'!AE128</f>
        <v>381.8</v>
      </c>
      <c r="AF8" s="375">
        <f>'Business segments KK'!AF128</f>
        <v>409.7</v>
      </c>
      <c r="AG8" s="375">
        <f>'Business segments KK'!AG128</f>
        <v>392.1</v>
      </c>
      <c r="AH8" s="375">
        <f>'Business segments KK'!AH128</f>
        <v>1561.7000000000003</v>
      </c>
      <c r="AI8" s="375">
        <f>'Business segments KK'!AI128</f>
        <v>385.2</v>
      </c>
      <c r="AJ8" s="375">
        <f>'Business segments KK'!AJ128</f>
        <v>392.7</v>
      </c>
      <c r="AK8" s="375">
        <f>'Business segments KK'!AK128</f>
        <v>421.7</v>
      </c>
      <c r="AL8" s="375">
        <f>'Business segments KK'!AL128</f>
        <v>400.88094451901463</v>
      </c>
      <c r="AM8" s="375">
        <f>'Business segments KK'!AM128</f>
        <v>1600.4809445190144</v>
      </c>
      <c r="AN8" s="375">
        <f>'Business segments KK'!AN128</f>
        <v>388.74391989747346</v>
      </c>
      <c r="AO8" s="375">
        <f>'Business segments KK'!AO128</f>
        <v>402.29271477322015</v>
      </c>
      <c r="AP8" s="375">
        <f>'Business segments KK'!AP128</f>
        <v>424.86173778192705</v>
      </c>
      <c r="AQ8" s="375">
        <f>'Business segments KK'!AQ128</f>
        <v>404.24012143351621</v>
      </c>
      <c r="AR8" s="375">
        <f>'Business segments KK'!AR128</f>
        <v>1620.1384938861368</v>
      </c>
      <c r="AS8" s="375">
        <f>'Business segments KK'!AS128</f>
        <v>394.24512191201154</v>
      </c>
      <c r="AT8" s="375">
        <f>'Business segments KK'!AT128</f>
        <v>410.62694156139946</v>
      </c>
      <c r="AU8" s="375">
        <f>'Business segments KK'!AU128</f>
        <v>433.08256408919749</v>
      </c>
      <c r="AV8" s="375">
        <f>'Business segments KK'!AV128</f>
        <v>415.2154063336726</v>
      </c>
      <c r="AW8" s="375">
        <f>'Business segments KK'!AW128</f>
        <v>1653.170033896281</v>
      </c>
      <c r="AX8" s="375">
        <f>'Business segments KK'!AX128</f>
        <v>405.82269728244501</v>
      </c>
      <c r="AY8" s="375">
        <f>'Business segments KK'!AY128</f>
        <v>420.42688324552535</v>
      </c>
      <c r="AZ8" s="375">
        <f>'Business segments KK'!AZ128</f>
        <v>446.36211548645895</v>
      </c>
      <c r="BA8" s="375">
        <f>'Business segments KK'!BA128</f>
        <v>426.06250416119605</v>
      </c>
      <c r="BB8" s="375">
        <f>'Business segments KK'!BB128</f>
        <v>1698.6742001756254</v>
      </c>
      <c r="BC8" s="375">
        <f>'Business segments KK'!BC128</f>
        <v>417.91324338318725</v>
      </c>
      <c r="BD8" s="375">
        <f>'Business segments KK'!BD128</f>
        <v>433.45724922879089</v>
      </c>
      <c r="BE8" s="375">
        <f>'Business segments KK'!BE128</f>
        <v>459.08307704452301</v>
      </c>
      <c r="BF8" s="375">
        <f>'Business segments KK'!BF128</f>
        <v>439.19346445909758</v>
      </c>
      <c r="BG8" s="375">
        <f>'Business segments KK'!BG128</f>
        <v>1749.6470341155987</v>
      </c>
      <c r="BH8" s="375">
        <f>'Business segments KK'!BH128</f>
        <v>430.87957099000289</v>
      </c>
      <c r="BI8" s="375">
        <f>'Business segments KK'!BI128</f>
        <v>445.59877813052844</v>
      </c>
      <c r="BJ8" s="375">
        <f>'Business segments KK'!BJ128</f>
        <v>472.69342354054339</v>
      </c>
      <c r="BK8" s="375">
        <f>'Business segments KK'!BK128</f>
        <v>451.47138386994231</v>
      </c>
      <c r="BL8" s="375">
        <f>'Business segments KK'!BL128</f>
        <v>1800.6431565310172</v>
      </c>
      <c r="BP8" s="375">
        <f t="shared" ref="BP8:BV12" si="1">INDEX($Y8:$BL8, MATCH(BP$2, $Y$2:$BL$2, 0))</f>
        <v>1561.7000000000003</v>
      </c>
      <c r="BQ8" s="375">
        <f t="shared" si="1"/>
        <v>1600.4809445190144</v>
      </c>
      <c r="BR8" s="375">
        <f t="shared" si="1"/>
        <v>1620.1384938861368</v>
      </c>
      <c r="BS8" s="375">
        <f t="shared" si="1"/>
        <v>1653.170033896281</v>
      </c>
      <c r="BT8" s="375">
        <f t="shared" si="1"/>
        <v>1698.6742001756254</v>
      </c>
      <c r="BU8" s="375">
        <f t="shared" si="1"/>
        <v>1749.6470341155987</v>
      </c>
      <c r="BV8" s="375">
        <f t="shared" si="1"/>
        <v>1800.6431565310172</v>
      </c>
    </row>
    <row r="9" spans="1:74">
      <c r="A9" s="5" t="s">
        <v>1653</v>
      </c>
      <c r="Y9" s="375">
        <f>'Business segments KK'!Y159</f>
        <v>15.3</v>
      </c>
      <c r="Z9" s="375">
        <f>'Business segments KK'!Z159</f>
        <v>15.7</v>
      </c>
      <c r="AA9" s="375">
        <f>'Business segments KK'!AA159</f>
        <v>18.399999999999999</v>
      </c>
      <c r="AB9" s="375">
        <f>'Business segments KK'!AB159</f>
        <v>18.100000000000001</v>
      </c>
      <c r="AC9" s="375">
        <f>'Business segments KK'!AC159</f>
        <v>67.5</v>
      </c>
      <c r="AD9" s="375">
        <f>'Business segments KK'!AD159</f>
        <v>18.5</v>
      </c>
      <c r="AE9" s="375">
        <f>'Business segments KK'!AE159</f>
        <v>19.3</v>
      </c>
      <c r="AF9" s="375">
        <f>'Business segments KK'!AF159</f>
        <v>49.8</v>
      </c>
      <c r="AG9" s="375">
        <f>'Business segments KK'!AG159</f>
        <v>54.8</v>
      </c>
      <c r="AH9" s="375">
        <f>'Business segments KK'!AH159</f>
        <v>142.39999999999998</v>
      </c>
      <c r="AI9" s="375">
        <f>'Business segments KK'!AI159</f>
        <v>52.6</v>
      </c>
      <c r="AJ9" s="375">
        <f>'Business segments KK'!AJ159</f>
        <v>56.9</v>
      </c>
      <c r="AK9" s="375">
        <f>'Business segments KK'!AK159</f>
        <v>61.4</v>
      </c>
      <c r="AL9" s="375">
        <f>'Business segments KK'!AL159</f>
        <v>62.240212401295082</v>
      </c>
      <c r="AM9" s="375">
        <f>'Business segments KK'!AM159</f>
        <v>233.14021240129509</v>
      </c>
      <c r="AN9" s="375">
        <f>'Business segments KK'!AN159</f>
        <v>59.159505576041006</v>
      </c>
      <c r="AO9" s="375">
        <f>'Business segments KK'!AO159</f>
        <v>63.83320557604101</v>
      </c>
      <c r="AP9" s="375">
        <f>'Business segments KK'!AP159</f>
        <v>68.720523049044417</v>
      </c>
      <c r="AQ9" s="375">
        <f>'Business segments KK'!AQ159</f>
        <v>69.486386925404986</v>
      </c>
      <c r="AR9" s="375">
        <f>'Business segments KK'!AR159</f>
        <v>261.19962112653144</v>
      </c>
      <c r="AS9" s="375">
        <f>'Business segments KK'!AS159</f>
        <v>65.308813885012114</v>
      </c>
      <c r="AT9" s="375">
        <f>'Business segments KK'!AT159</f>
        <v>70.720310519657119</v>
      </c>
      <c r="AU9" s="375">
        <f>'Business segments KK'!AU159</f>
        <v>75.550285117986917</v>
      </c>
      <c r="AV9" s="375">
        <f>'Business segments KK'!AV159</f>
        <v>76.667927197902131</v>
      </c>
      <c r="AW9" s="375">
        <f>'Business segments KK'!AW159</f>
        <v>288.24733672055828</v>
      </c>
      <c r="AX9" s="375">
        <f>'Business segments KK'!AX159</f>
        <v>70.853088017112356</v>
      </c>
      <c r="AY9" s="375">
        <f>'Business segments KK'!AY159</f>
        <v>76.698107661662732</v>
      </c>
      <c r="AZ9" s="375">
        <f>'Business segments KK'!AZ159</f>
        <v>81.932295511831811</v>
      </c>
      <c r="BA9" s="375">
        <f>'Business segments KK'!BA159</f>
        <v>83.132417463977987</v>
      </c>
      <c r="BB9" s="375">
        <f>'Business segments KK'!BB159</f>
        <v>312.61590865458493</v>
      </c>
      <c r="BC9" s="375">
        <f>'Business segments KK'!BC159</f>
        <v>75.347344337635832</v>
      </c>
      <c r="BD9" s="375">
        <f>'Business segments KK'!BD159</f>
        <v>81.54319170233606</v>
      </c>
      <c r="BE9" s="375">
        <f>'Business segments KK'!BE159</f>
        <v>87.096637617688913</v>
      </c>
      <c r="BF9" s="375">
        <f>'Business segments KK'!BF159</f>
        <v>88.376863106059417</v>
      </c>
      <c r="BG9" s="375">
        <f>'Business segments KK'!BG159</f>
        <v>332.36403676372021</v>
      </c>
      <c r="BH9" s="375">
        <f>'Business segments KK'!BH159</f>
        <v>79.700835908896082</v>
      </c>
      <c r="BI9" s="375">
        <f>'Business segments KK'!BI159</f>
        <v>86.14672057164978</v>
      </c>
      <c r="BJ9" s="375">
        <f>'Business segments KK'!BJ159</f>
        <v>91.988812106908256</v>
      </c>
      <c r="BK9" s="375">
        <f>'Business segments KK'!BK159</f>
        <v>93.304283470061591</v>
      </c>
      <c r="BL9" s="375">
        <f>'Business segments KK'!BL159</f>
        <v>351.14065205751569</v>
      </c>
      <c r="BP9" s="375">
        <f t="shared" si="1"/>
        <v>142.39999999999998</v>
      </c>
      <c r="BQ9" s="375">
        <f t="shared" si="1"/>
        <v>233.14021240129509</v>
      </c>
      <c r="BR9" s="375">
        <f t="shared" si="1"/>
        <v>261.19962112653144</v>
      </c>
      <c r="BS9" s="375">
        <f t="shared" si="1"/>
        <v>288.24733672055828</v>
      </c>
      <c r="BT9" s="375">
        <f t="shared" si="1"/>
        <v>312.61590865458493</v>
      </c>
      <c r="BU9" s="375">
        <f t="shared" si="1"/>
        <v>332.36403676372021</v>
      </c>
      <c r="BV9" s="375">
        <f t="shared" si="1"/>
        <v>351.14065205751569</v>
      </c>
    </row>
    <row r="10" spans="1:74">
      <c r="A10" s="5" t="s">
        <v>192</v>
      </c>
      <c r="Y10" s="375">
        <f>'Business segments KK'!Y216</f>
        <v>31.7</v>
      </c>
      <c r="Z10" s="375">
        <f>'Business segments KK'!Z216</f>
        <v>34.700000000000003</v>
      </c>
      <c r="AA10" s="375">
        <f>'Business segments KK'!AA216</f>
        <v>41.4</v>
      </c>
      <c r="AB10" s="375">
        <f>'Business segments KK'!AB216</f>
        <v>46.3</v>
      </c>
      <c r="AC10" s="375">
        <f>'Business segments KK'!AC216</f>
        <v>154.10000000000002</v>
      </c>
      <c r="AD10" s="375">
        <f>'Business segments KK'!AD216</f>
        <v>35.799999999999997</v>
      </c>
      <c r="AE10" s="375">
        <f>'Business segments KK'!AE216</f>
        <v>38.4</v>
      </c>
      <c r="AF10" s="375">
        <f>'Business segments KK'!AF216</f>
        <v>40.700000000000003</v>
      </c>
      <c r="AG10" s="375">
        <f>'Business segments KK'!AG216</f>
        <v>49.8</v>
      </c>
      <c r="AH10" s="375">
        <f>'Business segments KK'!AH216</f>
        <v>164.7</v>
      </c>
      <c r="AI10" s="375">
        <f>'Business segments KK'!AI216</f>
        <v>36.1</v>
      </c>
      <c r="AJ10" s="375">
        <f>'Business segments KK'!AJ216</f>
        <v>38.1</v>
      </c>
      <c r="AK10" s="375">
        <f>'Business segments KK'!AK216</f>
        <v>45.6</v>
      </c>
      <c r="AL10" s="375">
        <f>'Business segments KK'!AL216</f>
        <v>51.044999999999995</v>
      </c>
      <c r="AM10" s="375">
        <f>'Business segments KK'!AM216</f>
        <v>170.845</v>
      </c>
      <c r="AN10" s="375">
        <f>'Business segments KK'!AN216</f>
        <v>36.460999999999999</v>
      </c>
      <c r="AO10" s="375">
        <f>'Business segments KK'!AO216</f>
        <v>38.481000000000002</v>
      </c>
      <c r="AP10" s="375">
        <f>'Business segments KK'!AP216</f>
        <v>46.056000000000004</v>
      </c>
      <c r="AQ10" s="375">
        <f>'Business segments KK'!AQ216</f>
        <v>51.555449999999993</v>
      </c>
      <c r="AR10" s="375">
        <f>'Business segments KK'!AR216</f>
        <v>172.55345</v>
      </c>
      <c r="AS10" s="375">
        <f>'Business segments KK'!AS216</f>
        <v>36.825609999999998</v>
      </c>
      <c r="AT10" s="375">
        <f>'Business segments KK'!AT216</f>
        <v>38.865810000000003</v>
      </c>
      <c r="AU10" s="375">
        <f>'Business segments KK'!AU216</f>
        <v>46.516560000000005</v>
      </c>
      <c r="AV10" s="375">
        <f>'Business segments KK'!AV216</f>
        <v>52.071004499999994</v>
      </c>
      <c r="AW10" s="375">
        <f>'Business segments KK'!AW216</f>
        <v>174.27898449999998</v>
      </c>
      <c r="AX10" s="375">
        <f>'Business segments KK'!AX216</f>
        <v>37.193866100000001</v>
      </c>
      <c r="AY10" s="375">
        <f>'Business segments KK'!AY216</f>
        <v>39.254468100000004</v>
      </c>
      <c r="AZ10" s="375">
        <f>'Business segments KK'!AZ216</f>
        <v>46.981725600000004</v>
      </c>
      <c r="BA10" s="375">
        <f>'Business segments KK'!BA216</f>
        <v>52.591714544999995</v>
      </c>
      <c r="BB10" s="375">
        <f>'Business segments KK'!BB216</f>
        <v>176.02177434500001</v>
      </c>
      <c r="BC10" s="375">
        <f>'Business segments KK'!BC216</f>
        <v>37.565804761000003</v>
      </c>
      <c r="BD10" s="375">
        <f>'Business segments KK'!BD216</f>
        <v>39.647012781000001</v>
      </c>
      <c r="BE10" s="375">
        <f>'Business segments KK'!BE216</f>
        <v>47.451542856000003</v>
      </c>
      <c r="BF10" s="375">
        <f>'Business segments KK'!BF216</f>
        <v>53.117631690449997</v>
      </c>
      <c r="BG10" s="375">
        <f>'Business segments KK'!BG216</f>
        <v>177.78199208845001</v>
      </c>
      <c r="BH10" s="375">
        <f>'Business segments KK'!BH216</f>
        <v>37.941462808610005</v>
      </c>
      <c r="BI10" s="375">
        <f>'Business segments KK'!BI216</f>
        <v>40.043482908809999</v>
      </c>
      <c r="BJ10" s="375">
        <f>'Business segments KK'!BJ216</f>
        <v>47.926058284560007</v>
      </c>
      <c r="BK10" s="375">
        <f>'Business segments KK'!BK216</f>
        <v>53.648808007354496</v>
      </c>
      <c r="BL10" s="375">
        <f>'Business segments KK'!BL216</f>
        <v>179.55981200933451</v>
      </c>
      <c r="BP10" s="375">
        <f t="shared" si="1"/>
        <v>164.7</v>
      </c>
      <c r="BQ10" s="375">
        <f t="shared" si="1"/>
        <v>170.845</v>
      </c>
      <c r="BR10" s="375">
        <f t="shared" si="1"/>
        <v>172.55345</v>
      </c>
      <c r="BS10" s="375">
        <f t="shared" si="1"/>
        <v>174.27898449999998</v>
      </c>
      <c r="BT10" s="375">
        <f t="shared" si="1"/>
        <v>176.02177434500001</v>
      </c>
      <c r="BU10" s="375">
        <f t="shared" si="1"/>
        <v>177.78199208845001</v>
      </c>
      <c r="BV10" s="375">
        <f t="shared" si="1"/>
        <v>179.55981200933451</v>
      </c>
    </row>
    <row r="11" spans="1:74">
      <c r="A11" s="5" t="s">
        <v>1654</v>
      </c>
      <c r="Y11" s="375">
        <f t="shared" ref="Y11:AK11" si="2">Y12-SUM(Y5:Y10)</f>
        <v>-34.500000000000227</v>
      </c>
      <c r="Z11" s="375">
        <f t="shared" si="2"/>
        <v>-32.799999999999955</v>
      </c>
      <c r="AA11" s="375">
        <f t="shared" si="2"/>
        <v>-41.300000000000182</v>
      </c>
      <c r="AB11" s="375">
        <f t="shared" si="2"/>
        <v>-42.900000000000091</v>
      </c>
      <c r="AC11" s="375">
        <f t="shared" si="2"/>
        <v>-151.50000000000091</v>
      </c>
      <c r="AD11" s="375">
        <f t="shared" si="2"/>
        <v>-44.499999999999773</v>
      </c>
      <c r="AE11" s="375">
        <f t="shared" si="2"/>
        <v>-39.599999999999909</v>
      </c>
      <c r="AF11" s="375">
        <f t="shared" si="2"/>
        <v>-40.399999999999864</v>
      </c>
      <c r="AG11" s="375">
        <f t="shared" si="2"/>
        <v>-55.699999999999818</v>
      </c>
      <c r="AH11" s="375">
        <f t="shared" si="2"/>
        <v>-180.19999999999982</v>
      </c>
      <c r="AI11" s="375">
        <f t="shared" si="2"/>
        <v>-47.699999999999818</v>
      </c>
      <c r="AJ11" s="375">
        <f t="shared" si="2"/>
        <v>-39</v>
      </c>
      <c r="AK11" s="375">
        <f t="shared" si="2"/>
        <v>-45.700000000000045</v>
      </c>
      <c r="AL11" s="377">
        <v>-40</v>
      </c>
      <c r="AM11" s="375">
        <f>SUM(AI11:AL11)</f>
        <v>-172.39999999999986</v>
      </c>
      <c r="AN11" s="377">
        <v>-40</v>
      </c>
      <c r="AO11" s="377">
        <v>-40</v>
      </c>
      <c r="AP11" s="377">
        <v>-40</v>
      </c>
      <c r="AQ11" s="377">
        <v>-40</v>
      </c>
      <c r="AR11" s="375">
        <f>SUM(AN11:AQ11)</f>
        <v>-160</v>
      </c>
      <c r="AS11" s="377">
        <v>-40</v>
      </c>
      <c r="AT11" s="377">
        <v>-40</v>
      </c>
      <c r="AU11" s="377">
        <v>-40</v>
      </c>
      <c r="AV11" s="377">
        <v>-40</v>
      </c>
      <c r="AW11" s="375">
        <f>SUM(AS11:AV11)</f>
        <v>-160</v>
      </c>
      <c r="AX11" s="377">
        <v>-40</v>
      </c>
      <c r="AY11" s="377">
        <v>-40</v>
      </c>
      <c r="AZ11" s="377">
        <v>-40</v>
      </c>
      <c r="BA11" s="377">
        <v>-40</v>
      </c>
      <c r="BB11" s="375">
        <f>SUM(AX11:BA11)</f>
        <v>-160</v>
      </c>
      <c r="BC11" s="377">
        <v>-40</v>
      </c>
      <c r="BD11" s="377">
        <v>-40</v>
      </c>
      <c r="BE11" s="377">
        <v>-40</v>
      </c>
      <c r="BF11" s="377">
        <v>-40</v>
      </c>
      <c r="BG11" s="375">
        <f>SUM(BC11:BF11)</f>
        <v>-160</v>
      </c>
      <c r="BH11" s="377">
        <v>-40</v>
      </c>
      <c r="BI11" s="377">
        <v>-40</v>
      </c>
      <c r="BJ11" s="377">
        <v>-40</v>
      </c>
      <c r="BK11" s="377">
        <v>-40</v>
      </c>
      <c r="BL11" s="375">
        <f>SUM(BH11:BK11)</f>
        <v>-160</v>
      </c>
      <c r="BP11" s="375">
        <f t="shared" si="1"/>
        <v>-180.19999999999982</v>
      </c>
      <c r="BQ11" s="375">
        <f t="shared" si="1"/>
        <v>-172.39999999999986</v>
      </c>
      <c r="BR11" s="375">
        <f t="shared" si="1"/>
        <v>-160</v>
      </c>
      <c r="BS11" s="375">
        <f t="shared" si="1"/>
        <v>-160</v>
      </c>
      <c r="BT11" s="375">
        <f t="shared" si="1"/>
        <v>-160</v>
      </c>
      <c r="BU11" s="375">
        <f t="shared" si="1"/>
        <v>-160</v>
      </c>
      <c r="BV11" s="375">
        <f t="shared" si="1"/>
        <v>-160</v>
      </c>
    </row>
    <row r="12" spans="1:74">
      <c r="A12" s="9" t="s">
        <v>1111</v>
      </c>
      <c r="B12" s="9"/>
      <c r="C12" s="9"/>
      <c r="D12" s="9"/>
      <c r="E12" s="9"/>
      <c r="F12" s="9"/>
      <c r="G12" s="9"/>
      <c r="H12" s="9"/>
      <c r="I12" s="9"/>
      <c r="J12" s="9"/>
      <c r="K12" s="9"/>
      <c r="L12" s="9"/>
      <c r="M12" s="9"/>
      <c r="N12" s="9"/>
      <c r="O12" s="9"/>
      <c r="P12" s="9"/>
      <c r="Q12" s="9"/>
      <c r="R12" s="9"/>
      <c r="S12" s="9"/>
      <c r="T12" s="9"/>
      <c r="U12" s="9"/>
      <c r="V12" s="9"/>
      <c r="W12" s="9"/>
      <c r="X12" s="9"/>
      <c r="Y12" s="395">
        <v>1356.6</v>
      </c>
      <c r="Z12" s="395">
        <v>1367.7</v>
      </c>
      <c r="AA12" s="395">
        <v>1449.6</v>
      </c>
      <c r="AB12" s="395">
        <v>1516.8</v>
      </c>
      <c r="AC12" s="378">
        <f>SUM(Y12:AB12)</f>
        <v>5690.7</v>
      </c>
      <c r="AD12" s="395">
        <v>1362</v>
      </c>
      <c r="AE12" s="395">
        <v>1446.6</v>
      </c>
      <c r="AF12" s="395">
        <v>1536.9</v>
      </c>
      <c r="AG12" s="395">
        <v>1566.5</v>
      </c>
      <c r="AH12" s="378">
        <f>SUM(AD12:AG12)</f>
        <v>5912</v>
      </c>
      <c r="AI12" s="395">
        <v>1429.7</v>
      </c>
      <c r="AJ12" s="395">
        <v>1504.1</v>
      </c>
      <c r="AK12" s="395">
        <v>1577.8</v>
      </c>
      <c r="AL12" s="378">
        <f>SUM(AL5:AL11)</f>
        <v>1602.86729063656</v>
      </c>
      <c r="AM12" s="378">
        <f>SUM(AI12:AL12)</f>
        <v>6114.4672906365604</v>
      </c>
      <c r="AN12" s="378">
        <f>SUM(AN5:AN11)</f>
        <v>1457.1519594052647</v>
      </c>
      <c r="AO12" s="378">
        <f>SUM(AO5:AO11)</f>
        <v>1529.5241316600111</v>
      </c>
      <c r="AP12" s="378">
        <f>SUM(AP5:AP11)</f>
        <v>1604.7762029339717</v>
      </c>
      <c r="AQ12" s="378">
        <f>SUM(AQ5:AQ11)</f>
        <v>1623.8440301450387</v>
      </c>
      <c r="AR12" s="378">
        <f>SUM(AN12:AQ12)</f>
        <v>6215.2963241442867</v>
      </c>
      <c r="AS12" s="378">
        <f>SUM(AS5:AS11)</f>
        <v>1481.6053731742352</v>
      </c>
      <c r="AT12" s="378">
        <f>SUM(AT5:AT11)</f>
        <v>1557.2589610231887</v>
      </c>
      <c r="AU12" s="378">
        <f>SUM(AU5:AU11)</f>
        <v>1632.9422435543227</v>
      </c>
      <c r="AV12" s="378">
        <f>SUM(AV5:AV11)</f>
        <v>1656.7783839405226</v>
      </c>
      <c r="AW12" s="378">
        <f>SUM(AS12:AV12)</f>
        <v>6328.5849616922696</v>
      </c>
      <c r="AX12" s="378">
        <f>SUM(AX5:AX11)</f>
        <v>1516.3594919844413</v>
      </c>
      <c r="AY12" s="378">
        <f>SUM(AY5:AY11)</f>
        <v>1591.5660946679457</v>
      </c>
      <c r="AZ12" s="378">
        <f>SUM(AZ5:AZ11)</f>
        <v>1671.5490616347029</v>
      </c>
      <c r="BA12" s="378">
        <f>SUM(BA5:BA11)</f>
        <v>1696.2512128281953</v>
      </c>
      <c r="BB12" s="378">
        <f>SUM(AX12:BA12)</f>
        <v>6475.7258611152856</v>
      </c>
      <c r="BC12" s="378">
        <f>SUM(BC5:BC11)</f>
        <v>1553.3715100386905</v>
      </c>
      <c r="BD12" s="378">
        <f>SUM(BD5:BD11)</f>
        <v>1631.5094543671896</v>
      </c>
      <c r="BE12" s="378">
        <f>SUM(BE5:BE11)</f>
        <v>1712.2712519320196</v>
      </c>
      <c r="BF12" s="378">
        <f>SUM(BF5:BF11)</f>
        <v>1741.6600178121012</v>
      </c>
      <c r="BG12" s="378">
        <f>SUM(BC12:BF12)</f>
        <v>6638.8122341500002</v>
      </c>
      <c r="BH12" s="378">
        <f>SUM(BH5:BH11)</f>
        <v>1593.2391180954673</v>
      </c>
      <c r="BI12" s="378">
        <f>SUM(BI5:BI11)</f>
        <v>1673.4415865110973</v>
      </c>
      <c r="BJ12" s="378">
        <f>SUM(BJ5:BJ11)</f>
        <v>1756.8104944560207</v>
      </c>
      <c r="BK12" s="378">
        <f>SUM(BK5:BK11)</f>
        <v>1790.0450039989289</v>
      </c>
      <c r="BL12" s="378">
        <f>SUM(BH12:BK12)</f>
        <v>6813.5362030615142</v>
      </c>
      <c r="BP12" s="378">
        <f t="shared" si="1"/>
        <v>5912</v>
      </c>
      <c r="BQ12" s="378">
        <f t="shared" si="1"/>
        <v>6114.4672906365604</v>
      </c>
      <c r="BR12" s="378">
        <f t="shared" si="1"/>
        <v>6215.2963241442867</v>
      </c>
      <c r="BS12" s="378">
        <f t="shared" si="1"/>
        <v>6328.5849616922696</v>
      </c>
      <c r="BT12" s="378">
        <f t="shared" si="1"/>
        <v>6475.7258611152856</v>
      </c>
      <c r="BU12" s="378">
        <f t="shared" si="1"/>
        <v>6638.8122341500002</v>
      </c>
      <c r="BV12" s="378">
        <f t="shared" si="1"/>
        <v>6813.5362030615142</v>
      </c>
    </row>
    <row r="13" spans="1:74">
      <c r="A13" s="1" t="s">
        <v>28</v>
      </c>
      <c r="AD13" s="16">
        <f t="shared" ref="AD13:BL13" si="3">AD12/Y12-1</f>
        <v>3.9805395842549274E-3</v>
      </c>
      <c r="AE13" s="16">
        <f t="shared" si="3"/>
        <v>5.7688089493309835E-2</v>
      </c>
      <c r="AF13" s="16">
        <f t="shared" si="3"/>
        <v>6.0223509933774899E-2</v>
      </c>
      <c r="AG13" s="16">
        <f t="shared" si="3"/>
        <v>3.2766350210970518E-2</v>
      </c>
      <c r="AH13" s="16">
        <f t="shared" si="3"/>
        <v>3.8888010262357886E-2</v>
      </c>
      <c r="AI13" s="16">
        <f t="shared" si="3"/>
        <v>4.9706314243759264E-2</v>
      </c>
      <c r="AJ13" s="16">
        <f t="shared" si="3"/>
        <v>3.9748375501175159E-2</v>
      </c>
      <c r="AK13" s="16">
        <f t="shared" si="3"/>
        <v>2.6612011191359031E-2</v>
      </c>
      <c r="AL13" s="16">
        <f t="shared" si="3"/>
        <v>2.3215633984398298E-2</v>
      </c>
      <c r="AM13" s="16">
        <f t="shared" si="3"/>
        <v>3.4246835358010985E-2</v>
      </c>
      <c r="AN13" s="16">
        <f t="shared" si="3"/>
        <v>1.9201202633604808E-2</v>
      </c>
      <c r="AO13" s="16">
        <f t="shared" si="3"/>
        <v>1.6903218974809731E-2</v>
      </c>
      <c r="AP13" s="16">
        <f t="shared" si="3"/>
        <v>1.7097352601072258E-2</v>
      </c>
      <c r="AQ13" s="16">
        <f t="shared" si="3"/>
        <v>1.3087009530369675E-2</v>
      </c>
      <c r="AR13" s="16">
        <f t="shared" si="3"/>
        <v>1.6490240067541295E-2</v>
      </c>
      <c r="AS13" s="16">
        <f t="shared" si="3"/>
        <v>1.6781649718229152E-2</v>
      </c>
      <c r="AT13" s="16">
        <f t="shared" si="3"/>
        <v>1.813297926399926E-2</v>
      </c>
      <c r="AU13" s="16">
        <f t="shared" si="3"/>
        <v>1.7551382285489803E-2</v>
      </c>
      <c r="AV13" s="16">
        <f t="shared" si="3"/>
        <v>2.0281722372401889E-2</v>
      </c>
      <c r="AW13" s="16">
        <f t="shared" si="3"/>
        <v>1.8227391203842647E-2</v>
      </c>
      <c r="AX13" s="16">
        <f t="shared" si="3"/>
        <v>2.3457068555136074E-2</v>
      </c>
      <c r="AY13" s="16">
        <f t="shared" si="3"/>
        <v>2.2030461537505319E-2</v>
      </c>
      <c r="AZ13" s="16">
        <f t="shared" si="3"/>
        <v>2.3642488417929153E-2</v>
      </c>
      <c r="BA13" s="16">
        <f t="shared" si="3"/>
        <v>2.3825050634587397E-2</v>
      </c>
      <c r="BB13" s="16">
        <f t="shared" si="3"/>
        <v>2.3250205269215618E-2</v>
      </c>
      <c r="BC13" s="16">
        <f t="shared" si="3"/>
        <v>2.4408471902538142E-2</v>
      </c>
      <c r="BD13" s="16">
        <f t="shared" si="3"/>
        <v>2.5096890310155384E-2</v>
      </c>
      <c r="BE13" s="16">
        <f t="shared" si="3"/>
        <v>2.4361947388784388E-2</v>
      </c>
      <c r="BF13" s="16">
        <f t="shared" si="3"/>
        <v>2.6770094335375472E-2</v>
      </c>
      <c r="BG13" s="16">
        <f t="shared" si="3"/>
        <v>2.5184261429903598E-2</v>
      </c>
      <c r="BH13" s="16">
        <f t="shared" si="3"/>
        <v>2.5665211315600844E-2</v>
      </c>
      <c r="BI13" s="16">
        <f t="shared" si="3"/>
        <v>2.5701433743865021E-2</v>
      </c>
      <c r="BJ13" s="16">
        <f t="shared" si="3"/>
        <v>2.6011791340738721E-2</v>
      </c>
      <c r="BK13" s="16">
        <f t="shared" si="3"/>
        <v>2.7780959367494473E-2</v>
      </c>
      <c r="BL13" s="16">
        <f t="shared" si="3"/>
        <v>2.6318558613954268E-2</v>
      </c>
    </row>
    <row r="14" spans="1:74">
      <c r="AM14" s="396">
        <v>6060</v>
      </c>
      <c r="AN14" s="262" t="s">
        <v>1655</v>
      </c>
    </row>
    <row r="15" spans="1:74">
      <c r="A15" s="3" t="s">
        <v>1656</v>
      </c>
    </row>
    <row r="16" spans="1:74">
      <c r="A16" s="5" t="s">
        <v>1649</v>
      </c>
      <c r="Y16" s="21">
        <f>Y5/Y$12</f>
        <v>0.51098334070470297</v>
      </c>
      <c r="Z16" s="21">
        <f t="shared" ref="Z16:AC18" si="4">Z5/Z$12</f>
        <v>0.50106017401476932</v>
      </c>
      <c r="AA16" s="21">
        <f t="shared" si="4"/>
        <v>0.50358719646799122</v>
      </c>
      <c r="AB16" s="21">
        <f t="shared" si="4"/>
        <v>0.51054852320675115</v>
      </c>
      <c r="AC16" s="21">
        <f t="shared" si="4"/>
        <v>0.50659848524786055</v>
      </c>
      <c r="AD16" s="21">
        <f>AD5/AD$12</f>
        <v>0.48994126284875178</v>
      </c>
      <c r="AE16" s="21">
        <f t="shared" ref="AE16:AH18" si="5">AE5/AE$12</f>
        <v>0.49640536430250237</v>
      </c>
      <c r="AF16" s="21">
        <f t="shared" si="5"/>
        <v>0.48292016396642584</v>
      </c>
      <c r="AG16" s="21">
        <f t="shared" si="5"/>
        <v>0.48222151292690713</v>
      </c>
      <c r="AH16" s="21">
        <f t="shared" si="5"/>
        <v>0.48765223274695535</v>
      </c>
      <c r="AI16" s="21">
        <f>AI5/AI$12</f>
        <v>0.46772050080436456</v>
      </c>
      <c r="AJ16" s="21">
        <f t="shared" ref="AJ16:AM18" si="6">AJ5/AJ$12</f>
        <v>0.47304035635928465</v>
      </c>
      <c r="AK16" s="21">
        <f t="shared" si="6"/>
        <v>0.46989479021422231</v>
      </c>
      <c r="AL16" s="21">
        <f t="shared" si="6"/>
        <v>0.46314441009067969</v>
      </c>
      <c r="AM16" s="21">
        <f t="shared" si="6"/>
        <v>0.46839060373440267</v>
      </c>
      <c r="AN16" s="21">
        <f>AN5/AN$12</f>
        <v>0.45761676520769518</v>
      </c>
      <c r="AO16" s="21">
        <f t="shared" ref="AO16:AR18" si="7">AO5/AO$12</f>
        <v>0.46294493679771859</v>
      </c>
      <c r="AP16" s="21">
        <f t="shared" si="7"/>
        <v>0.4602472716843633</v>
      </c>
      <c r="AQ16" s="21">
        <f t="shared" si="7"/>
        <v>0.45388575893067867</v>
      </c>
      <c r="AR16" s="21">
        <f t="shared" si="7"/>
        <v>0.45863238355015434</v>
      </c>
      <c r="AS16" s="21">
        <f>AS5/AS$12</f>
        <v>0.44906406742260074</v>
      </c>
      <c r="AT16" s="21">
        <f t="shared" ref="AT16:AW18" si="8">AT5/AT$12</f>
        <v>0.45315948038974435</v>
      </c>
      <c r="AU16" s="21">
        <f t="shared" si="8"/>
        <v>0.45092580477129507</v>
      </c>
      <c r="AV16" s="21">
        <f t="shared" si="8"/>
        <v>0.44311586921130186</v>
      </c>
      <c r="AW16" s="21">
        <f t="shared" si="8"/>
        <v>0.44899499698785761</v>
      </c>
      <c r="AX16" s="21">
        <f>AX5/AX$12</f>
        <v>0.43831929318321011</v>
      </c>
      <c r="AY16" s="21">
        <f t="shared" ref="AY16:BB18" si="9">AY5/AY$12</f>
        <v>0.44263269096345381</v>
      </c>
      <c r="AZ16" s="21">
        <f t="shared" si="9"/>
        <v>0.43974338282695752</v>
      </c>
      <c r="BA16" s="21">
        <f t="shared" si="9"/>
        <v>0.43208181025521536</v>
      </c>
      <c r="BB16" s="21">
        <f t="shared" si="9"/>
        <v>0.43811316268252287</v>
      </c>
      <c r="BC16" s="21">
        <f>BC5/BC$12</f>
        <v>0.42748071743663418</v>
      </c>
      <c r="BD16" s="21">
        <f t="shared" ref="BD16:BG18" si="10">BD5/BD$12</f>
        <v>0.43118793118681159</v>
      </c>
      <c r="BE16" s="21">
        <f t="shared" si="10"/>
        <v>0.42886202047331601</v>
      </c>
      <c r="BF16" s="21">
        <f t="shared" si="10"/>
        <v>0.42066498008074027</v>
      </c>
      <c r="BG16" s="21">
        <f t="shared" si="10"/>
        <v>0.42695996502490091</v>
      </c>
      <c r="BH16" s="21">
        <f>BH5/BH$12</f>
        <v>0.41547928444534044</v>
      </c>
      <c r="BI16" s="21">
        <f t="shared" ref="BI16:BL18" si="11">BI5/BI$12</f>
        <v>0.41904985261857208</v>
      </c>
      <c r="BJ16" s="21">
        <f t="shared" si="11"/>
        <v>0.41692349555508046</v>
      </c>
      <c r="BK16" s="21">
        <f t="shared" si="11"/>
        <v>0.40858918566096836</v>
      </c>
      <c r="BL16" s="21">
        <f t="shared" si="11"/>
        <v>0.41491845313986536</v>
      </c>
    </row>
    <row r="17" spans="1:64">
      <c r="A17" s="5" t="s">
        <v>1650</v>
      </c>
      <c r="Y17" s="21">
        <f>Y6/Y$12</f>
        <v>0.12641898864809081</v>
      </c>
      <c r="Z17" s="21">
        <f t="shared" si="4"/>
        <v>0.1310960005849236</v>
      </c>
      <c r="AA17" s="21">
        <f t="shared" si="4"/>
        <v>0.12279249448123621</v>
      </c>
      <c r="AB17" s="21">
        <f t="shared" si="4"/>
        <v>0.12315400843881857</v>
      </c>
      <c r="AC17" s="21">
        <f t="shared" si="4"/>
        <v>0.12574902911768324</v>
      </c>
      <c r="AD17" s="21">
        <f>AD6/AD$12</f>
        <v>0.12966226138032305</v>
      </c>
      <c r="AE17" s="21">
        <f t="shared" si="5"/>
        <v>0.1285082261855385</v>
      </c>
      <c r="AF17" s="21">
        <f t="shared" si="5"/>
        <v>0.12258442318953738</v>
      </c>
      <c r="AG17" s="21">
        <f t="shared" si="5"/>
        <v>0.12735397382700286</v>
      </c>
      <c r="AH17" s="21">
        <f t="shared" si="5"/>
        <v>0.12692828146143437</v>
      </c>
      <c r="AI17" s="21">
        <f>AI6/AI$12</f>
        <v>0.12883821780793173</v>
      </c>
      <c r="AJ17" s="21">
        <f t="shared" si="6"/>
        <v>0.1298450900870953</v>
      </c>
      <c r="AK17" s="21">
        <f t="shared" si="6"/>
        <v>0.12492077576372164</v>
      </c>
      <c r="AL17" s="21">
        <f t="shared" si="6"/>
        <v>0.12927589773102335</v>
      </c>
      <c r="AM17" s="21">
        <f t="shared" si="6"/>
        <v>0.12818976219580594</v>
      </c>
      <c r="AN17" s="21">
        <f>AN6/AN$12</f>
        <v>0.13149305850768073</v>
      </c>
      <c r="AO17" s="21">
        <f t="shared" si="7"/>
        <v>0.13371267220665312</v>
      </c>
      <c r="AP17" s="21">
        <f t="shared" si="7"/>
        <v>0.12857654086682468</v>
      </c>
      <c r="AQ17" s="21">
        <f t="shared" si="7"/>
        <v>0.13419647314232577</v>
      </c>
      <c r="AR17" s="21">
        <f t="shared" si="7"/>
        <v>0.13199255493771794</v>
      </c>
      <c r="AS17" s="21">
        <f>AS6/AS$12</f>
        <v>0.13350845357736643</v>
      </c>
      <c r="AT17" s="21">
        <f t="shared" si="8"/>
        <v>0.13576963923435875</v>
      </c>
      <c r="AU17" s="21">
        <f t="shared" si="8"/>
        <v>0.13058585805412001</v>
      </c>
      <c r="AV17" s="21">
        <f t="shared" si="8"/>
        <v>0.13634327433786497</v>
      </c>
      <c r="AW17" s="21">
        <f t="shared" si="8"/>
        <v>0.13405288676667373</v>
      </c>
      <c r="AX17" s="21">
        <f>AX6/AX$12</f>
        <v>0.13801057134066422</v>
      </c>
      <c r="AY17" s="21">
        <f t="shared" si="9"/>
        <v>0.1409803042948731</v>
      </c>
      <c r="AZ17" s="21">
        <f t="shared" si="9"/>
        <v>0.13536766661856467</v>
      </c>
      <c r="BA17" s="21">
        <f t="shared" si="9"/>
        <v>0.14210458400776049</v>
      </c>
      <c r="BB17" s="21">
        <f t="shared" si="9"/>
        <v>0.13913063965105563</v>
      </c>
      <c r="BC17" s="21">
        <f>BC6/BC$12</f>
        <v>0.14477230407959471</v>
      </c>
      <c r="BD17" s="21">
        <f t="shared" si="10"/>
        <v>0.14836383219650817</v>
      </c>
      <c r="BE17" s="21">
        <f t="shared" si="10"/>
        <v>0.14256905717270049</v>
      </c>
      <c r="BF17" s="21">
        <f t="shared" si="10"/>
        <v>0.1503172053722768</v>
      </c>
      <c r="BG17" s="21">
        <f t="shared" si="10"/>
        <v>0.14654135375425684</v>
      </c>
      <c r="BH17" s="21">
        <f>BH6/BH$12</f>
        <v>0.15419113673093249</v>
      </c>
      <c r="BI17" s="21">
        <f t="shared" si="11"/>
        <v>0.15874649050206499</v>
      </c>
      <c r="BJ17" s="21">
        <f t="shared" si="11"/>
        <v>0.15251943310853402</v>
      </c>
      <c r="BK17" s="21">
        <f t="shared" si="11"/>
        <v>0.1617735743787683</v>
      </c>
      <c r="BL17" s="21">
        <f t="shared" si="11"/>
        <v>0.15687097229060432</v>
      </c>
    </row>
    <row r="18" spans="1:64">
      <c r="A18" s="5" t="s">
        <v>1651</v>
      </c>
      <c r="Y18" s="21">
        <f>Y7/Y$12</f>
        <v>8.6318738021524399E-2</v>
      </c>
      <c r="Z18" s="21">
        <f t="shared" si="4"/>
        <v>8.7080500109673165E-2</v>
      </c>
      <c r="AA18" s="21">
        <f t="shared" si="4"/>
        <v>8.6575607064017665E-2</v>
      </c>
      <c r="AB18" s="21">
        <f t="shared" si="4"/>
        <v>9.1574367088607597E-2</v>
      </c>
      <c r="AC18" s="21">
        <f t="shared" si="4"/>
        <v>8.7968088284393842E-2</v>
      </c>
      <c r="AD18" s="21">
        <f>AD7/AD$12</f>
        <v>9.559471365638765E-2</v>
      </c>
      <c r="AE18" s="21">
        <f t="shared" si="5"/>
        <v>9.8645098852481683E-2</v>
      </c>
      <c r="AF18" s="21">
        <f t="shared" si="5"/>
        <v>9.5321751577851513E-2</v>
      </c>
      <c r="AG18" s="21">
        <f t="shared" si="5"/>
        <v>0.10890520268113629</v>
      </c>
      <c r="AH18" s="21">
        <f t="shared" si="5"/>
        <v>9.9797023004059543E-2</v>
      </c>
      <c r="AI18" s="21">
        <f>AI7/AI$12</f>
        <v>0.10533678394068685</v>
      </c>
      <c r="AJ18" s="21">
        <f t="shared" si="6"/>
        <v>9.8796622564989028E-2</v>
      </c>
      <c r="AK18" s="21">
        <f t="shared" si="6"/>
        <v>9.9061985042464204E-2</v>
      </c>
      <c r="AL18" s="21">
        <f t="shared" si="6"/>
        <v>0.11175597695855445</v>
      </c>
      <c r="AM18" s="21">
        <f t="shared" si="6"/>
        <v>0.10379154386382046</v>
      </c>
      <c r="AN18" s="21">
        <f>AN7/AN$12</f>
        <v>0.10593610296005361</v>
      </c>
      <c r="AO18" s="21">
        <f t="shared" si="7"/>
        <v>9.9583260471144477E-2</v>
      </c>
      <c r="AP18" s="21">
        <f t="shared" si="7"/>
        <v>9.9831677281291123E-2</v>
      </c>
      <c r="AQ18" s="21">
        <f t="shared" si="7"/>
        <v>0.11307012655864518</v>
      </c>
      <c r="AR18" s="21">
        <f t="shared" si="7"/>
        <v>0.10466045640865873</v>
      </c>
      <c r="AS18" s="21">
        <f>AS7/AS$12</f>
        <v>0.10939704521504807</v>
      </c>
      <c r="AT18" s="21">
        <f t="shared" si="8"/>
        <v>0.10270016355848632</v>
      </c>
      <c r="AU18" s="21">
        <f t="shared" si="8"/>
        <v>0.10301520195463298</v>
      </c>
      <c r="AV18" s="21">
        <f t="shared" si="8"/>
        <v>0.11636357908138967</v>
      </c>
      <c r="AW18" s="21">
        <f t="shared" si="8"/>
        <v>0.10792626497620086</v>
      </c>
      <c r="AX18" s="21">
        <f>AX7/AX$12</f>
        <v>0.11116531461770912</v>
      </c>
      <c r="AY18" s="21">
        <f t="shared" si="9"/>
        <v>0.1045058578196852</v>
      </c>
      <c r="AZ18" s="21">
        <f t="shared" si="9"/>
        <v>0.10466135515574386</v>
      </c>
      <c r="BA18" s="21">
        <f t="shared" si="9"/>
        <v>0.11820195468907095</v>
      </c>
      <c r="BB18" s="21">
        <f t="shared" si="9"/>
        <v>0.10969293238081283</v>
      </c>
      <c r="BC18" s="21">
        <f>BC7/BC$12</f>
        <v>0.1117720881823534</v>
      </c>
      <c r="BD18" s="21">
        <f t="shared" si="10"/>
        <v>0.10500571660275709</v>
      </c>
      <c r="BE18" s="21">
        <f t="shared" si="10"/>
        <v>0.10523740762258274</v>
      </c>
      <c r="BF18" s="21">
        <f t="shared" si="10"/>
        <v>0.11857378199990343</v>
      </c>
      <c r="BG18" s="21">
        <f t="shared" si="10"/>
        <v>0.11020820802950107</v>
      </c>
      <c r="BH18" s="21">
        <f>BH7/BH$12</f>
        <v>0.11115472055424913</v>
      </c>
      <c r="BI18" s="21">
        <f t="shared" si="11"/>
        <v>0.10442203492284323</v>
      </c>
      <c r="BJ18" s="21">
        <f t="shared" si="11"/>
        <v>0.10462078182821395</v>
      </c>
      <c r="BK18" s="21">
        <f t="shared" si="11"/>
        <v>0.11767610261463909</v>
      </c>
      <c r="BL18" s="21">
        <f t="shared" si="11"/>
        <v>0.10952970814627407</v>
      </c>
    </row>
    <row r="19" spans="1:64">
      <c r="A19" s="288" t="s">
        <v>1657</v>
      </c>
      <c r="B19" s="9"/>
      <c r="C19" s="9"/>
      <c r="D19" s="9"/>
      <c r="E19" s="9"/>
      <c r="F19" s="9"/>
      <c r="G19" s="9"/>
      <c r="H19" s="9"/>
      <c r="I19" s="9"/>
      <c r="J19" s="9"/>
      <c r="K19" s="9"/>
      <c r="L19" s="9"/>
      <c r="M19" s="9"/>
      <c r="N19" s="9"/>
      <c r="O19" s="9"/>
      <c r="P19" s="9"/>
      <c r="Q19" s="9"/>
      <c r="R19" s="9"/>
      <c r="S19" s="9"/>
      <c r="T19" s="9"/>
      <c r="U19" s="9"/>
      <c r="V19" s="9"/>
      <c r="W19" s="9"/>
      <c r="X19" s="9"/>
      <c r="Y19" s="397">
        <f>SUM(Y16:Y18)</f>
        <v>0.72372106737431818</v>
      </c>
      <c r="Z19" s="397">
        <f t="shared" ref="Z19:AC19" si="12">SUM(Z16:Z18)</f>
        <v>0.71923667470936603</v>
      </c>
      <c r="AA19" s="397">
        <f t="shared" si="12"/>
        <v>0.71295529801324509</v>
      </c>
      <c r="AB19" s="397">
        <f t="shared" si="12"/>
        <v>0.72527689873417733</v>
      </c>
      <c r="AC19" s="397">
        <f t="shared" si="12"/>
        <v>0.72031560264993766</v>
      </c>
      <c r="AD19" s="397">
        <f>SUM(AD16:AD18)</f>
        <v>0.71519823788546244</v>
      </c>
      <c r="AE19" s="397">
        <f t="shared" ref="AE19:AH19" si="13">SUM(AE16:AE18)</f>
        <v>0.72355868934052259</v>
      </c>
      <c r="AF19" s="397">
        <f t="shared" si="13"/>
        <v>0.70082633873381472</v>
      </c>
      <c r="AG19" s="397">
        <f t="shared" si="13"/>
        <v>0.71848068943504639</v>
      </c>
      <c r="AH19" s="397">
        <f t="shared" si="13"/>
        <v>0.71437753721244934</v>
      </c>
      <c r="AI19" s="397">
        <f>SUM(AI16:AI18)</f>
        <v>0.70189550255298316</v>
      </c>
      <c r="AJ19" s="397">
        <f t="shared" ref="AJ19:AM19" si="14">SUM(AJ16:AJ18)</f>
        <v>0.70168206901136898</v>
      </c>
      <c r="AK19" s="397">
        <f t="shared" si="14"/>
        <v>0.69387755102040816</v>
      </c>
      <c r="AL19" s="397">
        <f t="shared" si="14"/>
        <v>0.70417628478025751</v>
      </c>
      <c r="AM19" s="397">
        <f t="shared" si="14"/>
        <v>0.70037190979402908</v>
      </c>
      <c r="AN19" s="397">
        <f>SUM(AN16:AN18)</f>
        <v>0.69504592667542953</v>
      </c>
      <c r="AO19" s="397">
        <f t="shared" ref="AO19:AR19" si="15">SUM(AO16:AO18)</f>
        <v>0.69624086947551622</v>
      </c>
      <c r="AP19" s="397">
        <f t="shared" si="15"/>
        <v>0.68865548983247915</v>
      </c>
      <c r="AQ19" s="397">
        <f t="shared" si="15"/>
        <v>0.70115235863164971</v>
      </c>
      <c r="AR19" s="397">
        <f t="shared" si="15"/>
        <v>0.69528539489653107</v>
      </c>
      <c r="AS19" s="397">
        <f>SUM(AS16:AS18)</f>
        <v>0.69196956621501526</v>
      </c>
      <c r="AT19" s="397">
        <f t="shared" ref="AT19:AW19" si="16">SUM(AT16:AT18)</f>
        <v>0.69162928318258943</v>
      </c>
      <c r="AU19" s="397">
        <f t="shared" si="16"/>
        <v>0.68452686478004809</v>
      </c>
      <c r="AV19" s="397">
        <f t="shared" si="16"/>
        <v>0.69582272263055645</v>
      </c>
      <c r="AW19" s="397">
        <f t="shared" si="16"/>
        <v>0.69097414873073215</v>
      </c>
      <c r="AX19" s="397">
        <f>SUM(AX16:AX18)</f>
        <v>0.68749517914158353</v>
      </c>
      <c r="AY19" s="397">
        <f t="shared" ref="AY19:BB19" si="17">SUM(AY16:AY18)</f>
        <v>0.68811885307801213</v>
      </c>
      <c r="AZ19" s="397">
        <f t="shared" si="17"/>
        <v>0.67977240460126598</v>
      </c>
      <c r="BA19" s="397">
        <f t="shared" si="17"/>
        <v>0.69238834895204682</v>
      </c>
      <c r="BB19" s="397">
        <f t="shared" si="17"/>
        <v>0.68693673471439132</v>
      </c>
      <c r="BC19" s="397">
        <f>SUM(BC16:BC18)</f>
        <v>0.68402510969858232</v>
      </c>
      <c r="BD19" s="397">
        <f t="shared" ref="BD19:BG19" si="18">SUM(BD16:BD18)</f>
        <v>0.68455747998607697</v>
      </c>
      <c r="BE19" s="397">
        <f t="shared" si="18"/>
        <v>0.67666848526859924</v>
      </c>
      <c r="BF19" s="397">
        <f t="shared" si="18"/>
        <v>0.68955596745292047</v>
      </c>
      <c r="BG19" s="397">
        <f t="shared" si="18"/>
        <v>0.68370952680865882</v>
      </c>
      <c r="BH19" s="397">
        <f>SUM(BH16:BH18)</f>
        <v>0.680825141730522</v>
      </c>
      <c r="BI19" s="397">
        <f t="shared" ref="BI19:BL19" si="19">SUM(BI16:BI18)</f>
        <v>0.68221837804348029</v>
      </c>
      <c r="BJ19" s="397">
        <f t="shared" si="19"/>
        <v>0.67406371049182845</v>
      </c>
      <c r="BK19" s="397">
        <f t="shared" si="19"/>
        <v>0.68803886265437575</v>
      </c>
      <c r="BL19" s="397">
        <f t="shared" si="19"/>
        <v>0.68131913357674367</v>
      </c>
    </row>
    <row r="20" spans="1:64">
      <c r="A20" s="5" t="s">
        <v>1652</v>
      </c>
      <c r="Y20" s="21">
        <f>Y8/Y$12</f>
        <v>0.26706472062509218</v>
      </c>
      <c r="Z20" s="21">
        <f t="shared" ref="Z20:AC22" si="20">Z8/Z$12</f>
        <v>0.26789500621481316</v>
      </c>
      <c r="AA20" s="21">
        <f t="shared" si="20"/>
        <v>0.27428256070640178</v>
      </c>
      <c r="AB20" s="21">
        <f t="shared" si="20"/>
        <v>0.26054852320675104</v>
      </c>
      <c r="AC20" s="21">
        <f t="shared" si="20"/>
        <v>0.26736605338534808</v>
      </c>
      <c r="AD20" s="21">
        <f>AD8/AD$12</f>
        <v>0.27760646108663734</v>
      </c>
      <c r="AE20" s="21">
        <f t="shared" ref="AE20:AH22" si="21">AE8/AE$12</f>
        <v>0.26392921332780317</v>
      </c>
      <c r="AF20" s="21">
        <f t="shared" si="21"/>
        <v>0.26657557420782091</v>
      </c>
      <c r="AG20" s="21">
        <f t="shared" si="21"/>
        <v>0.25030322374720715</v>
      </c>
      <c r="AH20" s="21">
        <f t="shared" si="21"/>
        <v>0.26415764546684711</v>
      </c>
      <c r="AI20" s="21">
        <f>AI8/AI$12</f>
        <v>0.2694271525494859</v>
      </c>
      <c r="AJ20" s="21">
        <f t="shared" ref="AJ20:AM22" si="22">AJ8/AJ$12</f>
        <v>0.26108636393856793</v>
      </c>
      <c r="AK20" s="21">
        <f t="shared" si="22"/>
        <v>0.267270883508683</v>
      </c>
      <c r="AL20" s="21">
        <f t="shared" si="22"/>
        <v>0.25010239266895856</v>
      </c>
      <c r="AM20" s="21">
        <f t="shared" si="22"/>
        <v>0.26175312884082708</v>
      </c>
      <c r="AN20" s="21">
        <f>AN8/AN$12</f>
        <v>0.2667833765643351</v>
      </c>
      <c r="AO20" s="21">
        <f t="shared" ref="AO20:AR22" si="23">AO8/AO$12</f>
        <v>0.263018220141847</v>
      </c>
      <c r="AP20" s="21">
        <f t="shared" si="23"/>
        <v>0.26474827892210956</v>
      </c>
      <c r="AQ20" s="21">
        <f t="shared" si="23"/>
        <v>0.2489402392897366</v>
      </c>
      <c r="AR20" s="21">
        <f t="shared" si="23"/>
        <v>0.26066954967093947</v>
      </c>
      <c r="AS20" s="21">
        <f>AS8/AS$12</f>
        <v>0.26609320474275083</v>
      </c>
      <c r="AT20" s="21">
        <f t="shared" ref="AT20:AW22" si="24">AT8/AT$12</f>
        <v>0.26368571434747062</v>
      </c>
      <c r="AU20" s="21">
        <f t="shared" si="24"/>
        <v>0.26521609432219351</v>
      </c>
      <c r="AV20" s="21">
        <f t="shared" si="24"/>
        <v>0.25061614175947539</v>
      </c>
      <c r="AW20" s="21">
        <f t="shared" si="24"/>
        <v>0.2612226973175093</v>
      </c>
      <c r="AX20" s="21">
        <f>AX8/AX$12</f>
        <v>0.26762960856422624</v>
      </c>
      <c r="AY20" s="21">
        <f t="shared" ref="AY20:BB22" si="25">AY8/AY$12</f>
        <v>0.26415923577037531</v>
      </c>
      <c r="AZ20" s="21">
        <f t="shared" si="25"/>
        <v>0.26703500706699929</v>
      </c>
      <c r="BA20" s="21">
        <f t="shared" si="25"/>
        <v>0.25117889434007423</v>
      </c>
      <c r="BB20" s="21">
        <f t="shared" si="25"/>
        <v>0.26231409985645537</v>
      </c>
      <c r="BC20" s="21">
        <f>BC8/BC$12</f>
        <v>0.26903624836841389</v>
      </c>
      <c r="BD20" s="21">
        <f t="shared" ref="BD20:BG22" si="26">BD8/BD$12</f>
        <v>0.26567866221585279</v>
      </c>
      <c r="BE20" s="21">
        <f t="shared" si="26"/>
        <v>0.26811352262471405</v>
      </c>
      <c r="BF20" s="21">
        <f t="shared" si="26"/>
        <v>0.25216945900315196</v>
      </c>
      <c r="BG20" s="21">
        <f t="shared" si="26"/>
        <v>0.26354820296248588</v>
      </c>
      <c r="BH20" s="21">
        <f>BH8/BH$12</f>
        <v>0.27044250049865048</v>
      </c>
      <c r="BI20" s="21">
        <f t="shared" ref="BI20:BL22" si="27">BI8/BI$12</f>
        <v>0.26627686423136077</v>
      </c>
      <c r="BJ20" s="21">
        <f t="shared" si="27"/>
        <v>0.26906341067077261</v>
      </c>
      <c r="BK20" s="21">
        <f t="shared" si="27"/>
        <v>0.25221230911030906</v>
      </c>
      <c r="BL20" s="21">
        <f t="shared" si="27"/>
        <v>0.26427439480279524</v>
      </c>
    </row>
    <row r="21" spans="1:64">
      <c r="A21" s="5" t="s">
        <v>1653</v>
      </c>
      <c r="Y21" s="21">
        <f>Y9/Y$12</f>
        <v>1.1278195488721806E-2</v>
      </c>
      <c r="Z21" s="21">
        <f t="shared" si="20"/>
        <v>1.1479125539226438E-2</v>
      </c>
      <c r="AA21" s="21">
        <f t="shared" si="20"/>
        <v>1.2693156732891833E-2</v>
      </c>
      <c r="AB21" s="21">
        <f t="shared" si="20"/>
        <v>1.1933016877637133E-2</v>
      </c>
      <c r="AC21" s="21">
        <f t="shared" si="20"/>
        <v>1.1861458168590858E-2</v>
      </c>
      <c r="AD21" s="21">
        <f>AD9/AD$12</f>
        <v>1.3582966226138032E-2</v>
      </c>
      <c r="AE21" s="21">
        <f t="shared" si="21"/>
        <v>1.3341628646481406E-2</v>
      </c>
      <c r="AF21" s="21">
        <f t="shared" si="21"/>
        <v>3.2402888932266248E-2</v>
      </c>
      <c r="AG21" s="21">
        <f t="shared" si="21"/>
        <v>3.4982444940951166E-2</v>
      </c>
      <c r="AH21" s="21">
        <f t="shared" si="21"/>
        <v>2.4086603518267927E-2</v>
      </c>
      <c r="AI21" s="21">
        <f>AI9/AI$12</f>
        <v>3.6790935161222636E-2</v>
      </c>
      <c r="AJ21" s="21">
        <f t="shared" si="22"/>
        <v>3.7829931520510604E-2</v>
      </c>
      <c r="AK21" s="21">
        <f t="shared" si="22"/>
        <v>3.891494485993155E-2</v>
      </c>
      <c r="AL21" s="21">
        <f t="shared" si="22"/>
        <v>3.8830546212329974E-2</v>
      </c>
      <c r="AM21" s="21">
        <f t="shared" si="22"/>
        <v>3.8129276242644436E-2</v>
      </c>
      <c r="AN21" s="21">
        <f>AN9/AN$12</f>
        <v>4.0599407079126397E-2</v>
      </c>
      <c r="AO21" s="21">
        <f t="shared" si="23"/>
        <v>4.1734029725155143E-2</v>
      </c>
      <c r="AP21" s="21">
        <f t="shared" si="23"/>
        <v>4.282249632279219E-2</v>
      </c>
      <c r="AQ21" s="21">
        <f t="shared" si="23"/>
        <v>4.2791293766802588E-2</v>
      </c>
      <c r="AR21" s="21">
        <f t="shared" si="23"/>
        <v>4.2025288498612819E-2</v>
      </c>
      <c r="AS21" s="21">
        <f>AS9/AS$12</f>
        <v>4.4079763118766623E-2</v>
      </c>
      <c r="AT21" s="21">
        <f t="shared" si="24"/>
        <v>4.5413327063593016E-2</v>
      </c>
      <c r="AU21" s="21">
        <f t="shared" si="24"/>
        <v>4.6266354744758986E-2</v>
      </c>
      <c r="AV21" s="21">
        <f t="shared" si="24"/>
        <v>4.6275306305936487E-2</v>
      </c>
      <c r="AW21" s="21">
        <f t="shared" si="24"/>
        <v>4.5546885830775145E-2</v>
      </c>
      <c r="AX21" s="21">
        <f>AX9/AX$12</f>
        <v>4.672578527166258E-2</v>
      </c>
      <c r="AY21" s="21">
        <f t="shared" si="25"/>
        <v>4.819033775513077E-2</v>
      </c>
      <c r="AZ21" s="21">
        <f t="shared" si="25"/>
        <v>4.9015788643203544E-2</v>
      </c>
      <c r="BA21" s="21">
        <f t="shared" si="25"/>
        <v>4.9009496255787231E-2</v>
      </c>
      <c r="BB21" s="21">
        <f t="shared" si="25"/>
        <v>4.8275037479851637E-2</v>
      </c>
      <c r="BC21" s="21">
        <f>BC9/BC$12</f>
        <v>4.8505681899469834E-2</v>
      </c>
      <c r="BD21" s="21">
        <f t="shared" si="26"/>
        <v>4.9980214018412822E-2</v>
      </c>
      <c r="BE21" s="21">
        <f t="shared" si="26"/>
        <v>5.0866144905145447E-2</v>
      </c>
      <c r="BF21" s="21">
        <f t="shared" si="26"/>
        <v>5.0742890232434529E-2</v>
      </c>
      <c r="BG21" s="21">
        <f t="shared" si="26"/>
        <v>5.0063780242803391E-2</v>
      </c>
      <c r="BH21" s="21">
        <f>BH9/BH$12</f>
        <v>5.0024403119206105E-2</v>
      </c>
      <c r="BI21" s="21">
        <f t="shared" si="27"/>
        <v>5.1478773604075545E-2</v>
      </c>
      <c r="BJ21" s="21">
        <f t="shared" si="27"/>
        <v>5.236126058968682E-2</v>
      </c>
      <c r="BK21" s="21">
        <f t="shared" si="27"/>
        <v>5.2123987531945547E-2</v>
      </c>
      <c r="BL21" s="21">
        <f t="shared" si="27"/>
        <v>5.1535743201854313E-2</v>
      </c>
    </row>
    <row r="22" spans="1:64">
      <c r="A22" s="5" t="s">
        <v>192</v>
      </c>
      <c r="Y22" s="21">
        <f>Y10/Y$12</f>
        <v>2.3367241633495503E-2</v>
      </c>
      <c r="Z22" s="21">
        <f t="shared" si="20"/>
        <v>2.5371060905169263E-2</v>
      </c>
      <c r="AA22" s="21">
        <f t="shared" si="20"/>
        <v>2.8559602649006623E-2</v>
      </c>
      <c r="AB22" s="21">
        <f t="shared" si="20"/>
        <v>3.0524789029535863E-2</v>
      </c>
      <c r="AC22" s="21">
        <f t="shared" si="20"/>
        <v>2.7079269685627433E-2</v>
      </c>
      <c r="AD22" s="21">
        <f>AD10/AD$12</f>
        <v>2.6284875183553595E-2</v>
      </c>
      <c r="AE22" s="21">
        <f t="shared" si="21"/>
        <v>2.6545002073828289E-2</v>
      </c>
      <c r="AF22" s="21">
        <f t="shared" si="21"/>
        <v>2.6481879107293903E-2</v>
      </c>
      <c r="AG22" s="21">
        <f t="shared" si="21"/>
        <v>3.1790616022981166E-2</v>
      </c>
      <c r="AH22" s="21">
        <f t="shared" si="21"/>
        <v>2.7858592692828144E-2</v>
      </c>
      <c r="AI22" s="21">
        <f>AI10/AI$12</f>
        <v>2.5250052458557739E-2</v>
      </c>
      <c r="AJ22" s="21">
        <f t="shared" si="22"/>
        <v>2.5330762582275117E-2</v>
      </c>
      <c r="AK22" s="21">
        <f t="shared" si="22"/>
        <v>2.8901001394346561E-2</v>
      </c>
      <c r="AL22" s="21">
        <f t="shared" si="22"/>
        <v>3.1846055065312406E-2</v>
      </c>
      <c r="AM22" s="21">
        <f t="shared" si="22"/>
        <v>2.794110948334369E-2</v>
      </c>
      <c r="AN22" s="21">
        <f>AN10/AN$12</f>
        <v>2.5022098597651768E-2</v>
      </c>
      <c r="AO22" s="21">
        <f t="shared" si="23"/>
        <v>2.5158805411089596E-2</v>
      </c>
      <c r="AP22" s="21">
        <f t="shared" si="23"/>
        <v>2.8699328863300056E-2</v>
      </c>
      <c r="AQ22" s="21">
        <f t="shared" si="23"/>
        <v>3.1749015941755908E-2</v>
      </c>
      <c r="AR22" s="21">
        <f t="shared" si="23"/>
        <v>2.776270687685304E-2</v>
      </c>
      <c r="AS22" s="21">
        <f>AS10/AS$12</f>
        <v>2.4855208186174246E-2</v>
      </c>
      <c r="AT22" s="21">
        <f t="shared" si="24"/>
        <v>2.4957833586305666E-2</v>
      </c>
      <c r="AU22" s="21">
        <f t="shared" si="24"/>
        <v>2.8486347379164088E-2</v>
      </c>
      <c r="AV22" s="21">
        <f t="shared" si="24"/>
        <v>3.1429070420482569E-2</v>
      </c>
      <c r="AW22" s="21">
        <f t="shared" si="24"/>
        <v>2.7538381100187935E-2</v>
      </c>
      <c r="AX22" s="21">
        <f>AX10/AX$12</f>
        <v>2.4528396001481705E-2</v>
      </c>
      <c r="AY22" s="21">
        <f t="shared" si="25"/>
        <v>2.4664051484578658E-2</v>
      </c>
      <c r="AZ22" s="21">
        <f t="shared" si="25"/>
        <v>2.8106698557835871E-2</v>
      </c>
      <c r="BA22" s="21">
        <f t="shared" si="25"/>
        <v>3.1004673215421153E-2</v>
      </c>
      <c r="BB22" s="21">
        <f t="shared" si="25"/>
        <v>2.7181782879654601E-2</v>
      </c>
      <c r="BC22" s="21">
        <f>BC10/BC$12</f>
        <v>2.4183400119179688E-2</v>
      </c>
      <c r="BD22" s="21">
        <f t="shared" si="26"/>
        <v>2.4300817059241506E-2</v>
      </c>
      <c r="BE22" s="21">
        <f t="shared" si="26"/>
        <v>2.7712631863940164E-2</v>
      </c>
      <c r="BF22" s="21">
        <f t="shared" si="26"/>
        <v>3.0498278164057039E-2</v>
      </c>
      <c r="BG22" s="21">
        <f t="shared" si="26"/>
        <v>2.677918667046204E-2</v>
      </c>
      <c r="BH22" s="21">
        <f>BH10/BH$12</f>
        <v>2.3814041707665719E-2</v>
      </c>
      <c r="BI22" s="21">
        <f t="shared" si="27"/>
        <v>2.3928820241819929E-2</v>
      </c>
      <c r="BJ22" s="21">
        <f t="shared" si="27"/>
        <v>2.7280152546788974E-2</v>
      </c>
      <c r="BK22" s="21">
        <f t="shared" si="27"/>
        <v>2.9970647602436815E-2</v>
      </c>
      <c r="BL22" s="21">
        <f t="shared" si="27"/>
        <v>2.6353395161920944E-2</v>
      </c>
    </row>
    <row r="24" spans="1:64">
      <c r="A24" s="3" t="s">
        <v>1658</v>
      </c>
    </row>
    <row r="25" spans="1:64" hidden="1" outlineLevel="1">
      <c r="A25" s="5" t="s">
        <v>1659</v>
      </c>
      <c r="AD25" s="398">
        <f t="shared" ref="AD25:BL25" si="28">AD27-AD26</f>
        <v>971.5</v>
      </c>
      <c r="AE25" s="398">
        <f t="shared" si="28"/>
        <v>1052.1999999999998</v>
      </c>
      <c r="AF25" s="398">
        <f t="shared" si="28"/>
        <v>1083.3000000000002</v>
      </c>
      <c r="AG25" s="398">
        <f t="shared" si="28"/>
        <v>1132.7000000000003</v>
      </c>
      <c r="AH25" s="398">
        <f t="shared" si="28"/>
        <v>4239.7000000000007</v>
      </c>
      <c r="AI25" s="398">
        <f t="shared" si="28"/>
        <v>999.2</v>
      </c>
      <c r="AJ25" s="398">
        <f t="shared" si="28"/>
        <v>1062.8999999999999</v>
      </c>
      <c r="AK25" s="398">
        <f t="shared" si="28"/>
        <v>1102.7</v>
      </c>
      <c r="AL25" s="398">
        <f t="shared" si="28"/>
        <v>1148.8269407146877</v>
      </c>
      <c r="AM25" s="398">
        <f t="shared" si="28"/>
        <v>4313.6269407146883</v>
      </c>
      <c r="AN25" s="398">
        <f t="shared" si="28"/>
        <v>1018.0309540390741</v>
      </c>
      <c r="AO25" s="398">
        <f t="shared" si="28"/>
        <v>1072.5379352391669</v>
      </c>
      <c r="AP25" s="398">
        <f t="shared" si="28"/>
        <v>1120.8720256487056</v>
      </c>
      <c r="AQ25" s="398">
        <f t="shared" si="28"/>
        <v>1159.4062768519786</v>
      </c>
      <c r="AR25" s="398">
        <f t="shared" si="28"/>
        <v>4370.8471917789257</v>
      </c>
      <c r="AS25" s="398">
        <f t="shared" si="28"/>
        <v>1031.0622988634277</v>
      </c>
      <c r="AT25" s="398">
        <f t="shared" si="28"/>
        <v>1085.3498903554862</v>
      </c>
      <c r="AU25" s="398">
        <f t="shared" si="28"/>
        <v>1134.2825874688479</v>
      </c>
      <c r="AV25" s="398">
        <f t="shared" si="28"/>
        <v>1174.539821654665</v>
      </c>
      <c r="AW25" s="398">
        <f t="shared" si="28"/>
        <v>4425.2345983424275</v>
      </c>
      <c r="AX25" s="398">
        <f t="shared" si="28"/>
        <v>1049.0302907103655</v>
      </c>
      <c r="AY25" s="398">
        <f t="shared" si="28"/>
        <v>1104.1886526020751</v>
      </c>
      <c r="AZ25" s="398">
        <f t="shared" si="28"/>
        <v>1153.6133645775549</v>
      </c>
      <c r="BA25" s="398">
        <f t="shared" si="28"/>
        <v>1197.0405053525344</v>
      </c>
      <c r="BB25" s="398">
        <f t="shared" si="28"/>
        <v>4503.8728132425304</v>
      </c>
      <c r="BC25" s="398">
        <f t="shared" si="28"/>
        <v>1069.7826985476875</v>
      </c>
      <c r="BD25" s="398">
        <f t="shared" si="28"/>
        <v>1126.6070612974572</v>
      </c>
      <c r="BE25" s="398">
        <f t="shared" si="28"/>
        <v>1176.8009434396549</v>
      </c>
      <c r="BF25" s="398">
        <f t="shared" si="28"/>
        <v>1224.434206473712</v>
      </c>
      <c r="BG25" s="398">
        <f t="shared" si="28"/>
        <v>4597.6249097585114</v>
      </c>
      <c r="BH25" s="398">
        <f t="shared" si="28"/>
        <v>1092.6700917239978</v>
      </c>
      <c r="BI25" s="398">
        <f t="shared" si="28"/>
        <v>1152.1224701364126</v>
      </c>
      <c r="BJ25" s="398">
        <f t="shared" si="28"/>
        <v>1203.2004595075387</v>
      </c>
      <c r="BK25" s="398">
        <f t="shared" si="28"/>
        <v>1255.9512124891212</v>
      </c>
      <c r="BL25" s="398">
        <f t="shared" si="28"/>
        <v>4703.9442338570707</v>
      </c>
    </row>
    <row r="26" spans="1:64" hidden="1" outlineLevel="1">
      <c r="A26" s="5" t="s">
        <v>1660</v>
      </c>
      <c r="AD26" s="376">
        <v>390.5</v>
      </c>
      <c r="AE26" s="376">
        <f>784.9-AD26</f>
        <v>394.4</v>
      </c>
      <c r="AF26" s="376">
        <f>1238.5-AE26-AD26</f>
        <v>453.6</v>
      </c>
      <c r="AG26" s="376">
        <f>1672.3-AF26-AE26-AD26</f>
        <v>433.79999999999984</v>
      </c>
      <c r="AH26" s="375">
        <f>SUM(AD26:AG26)</f>
        <v>1672.2999999999997</v>
      </c>
      <c r="AI26" s="376">
        <v>430.5</v>
      </c>
      <c r="AJ26" s="376">
        <f>871.7-AI26</f>
        <v>441.20000000000005</v>
      </c>
      <c r="AK26" s="376">
        <f>1346.8-AJ26-AI26</f>
        <v>475.09999999999991</v>
      </c>
      <c r="AL26" s="375">
        <f>AL29/AL30</f>
        <v>454.04034992187223</v>
      </c>
      <c r="AM26" s="375">
        <f>SUM(AI26:AL26)</f>
        <v>1800.8403499218721</v>
      </c>
      <c r="AN26" s="375">
        <f t="shared" ref="AN26:AQ26" si="29">AN29/AN30</f>
        <v>439.12100536619062</v>
      </c>
      <c r="AO26" s="375">
        <f t="shared" si="29"/>
        <v>456.98619642084424</v>
      </c>
      <c r="AP26" s="375">
        <f t="shared" si="29"/>
        <v>483.90417728526614</v>
      </c>
      <c r="AQ26" s="375">
        <f t="shared" si="29"/>
        <v>464.43775329305998</v>
      </c>
      <c r="AR26" s="375">
        <f>SUM(AN26:AQ26)</f>
        <v>1844.449132365361</v>
      </c>
      <c r="AS26" s="375">
        <f t="shared" ref="AS26:AV26" si="30">AS29/AS30</f>
        <v>450.54307431080747</v>
      </c>
      <c r="AT26" s="375">
        <f t="shared" si="30"/>
        <v>471.90907066770251</v>
      </c>
      <c r="AU26" s="375">
        <f t="shared" si="30"/>
        <v>498.65965608547486</v>
      </c>
      <c r="AV26" s="375">
        <f t="shared" si="30"/>
        <v>482.2385622858576</v>
      </c>
      <c r="AW26" s="375">
        <f>SUM(AS26:AV26)</f>
        <v>1903.3503633498424</v>
      </c>
      <c r="AX26" s="375">
        <f t="shared" ref="AX26:BA26" si="31">AX29/AX30</f>
        <v>467.32920127407579</v>
      </c>
      <c r="AY26" s="375">
        <f t="shared" si="31"/>
        <v>487.37744206587064</v>
      </c>
      <c r="AZ26" s="375">
        <f t="shared" si="31"/>
        <v>517.93569705714788</v>
      </c>
      <c r="BA26" s="375">
        <f t="shared" si="31"/>
        <v>499.21070747566085</v>
      </c>
      <c r="BB26" s="375">
        <f>SUM(AX26:BA26)</f>
        <v>1971.8530478727553</v>
      </c>
      <c r="BC26" s="375">
        <f t="shared" ref="BC26:BF26" si="32">BC29/BC30</f>
        <v>483.58881149100301</v>
      </c>
      <c r="BD26" s="375">
        <f t="shared" si="32"/>
        <v>504.90239306973228</v>
      </c>
      <c r="BE26" s="375">
        <f t="shared" si="32"/>
        <v>535.47030849236467</v>
      </c>
      <c r="BF26" s="375">
        <f t="shared" si="32"/>
        <v>517.22581133838912</v>
      </c>
      <c r="BG26" s="375">
        <f>SUM(BC26:BF26)</f>
        <v>2041.187324391489</v>
      </c>
      <c r="BH26" s="375">
        <f t="shared" ref="BH26:BK26" si="33">BH29/BH30</f>
        <v>500.56902637146953</v>
      </c>
      <c r="BI26" s="375">
        <f t="shared" si="33"/>
        <v>521.31911637468454</v>
      </c>
      <c r="BJ26" s="375">
        <f t="shared" si="33"/>
        <v>553.61003494848205</v>
      </c>
      <c r="BK26" s="375">
        <f t="shared" si="33"/>
        <v>534.09379150980772</v>
      </c>
      <c r="BL26" s="375">
        <f>SUM(BH26:BK26)</f>
        <v>2109.5919692044436</v>
      </c>
    </row>
    <row r="27" spans="1:64" hidden="1" outlineLevel="1">
      <c r="A27" s="9" t="s">
        <v>1111</v>
      </c>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378">
        <f t="shared" ref="AD27:BL27" si="34">AD12</f>
        <v>1362</v>
      </c>
      <c r="AE27" s="378">
        <f t="shared" si="34"/>
        <v>1446.6</v>
      </c>
      <c r="AF27" s="378">
        <f t="shared" si="34"/>
        <v>1536.9</v>
      </c>
      <c r="AG27" s="378">
        <f t="shared" si="34"/>
        <v>1566.5</v>
      </c>
      <c r="AH27" s="378">
        <f t="shared" si="34"/>
        <v>5912</v>
      </c>
      <c r="AI27" s="378">
        <f t="shared" si="34"/>
        <v>1429.7</v>
      </c>
      <c r="AJ27" s="378">
        <f t="shared" si="34"/>
        <v>1504.1</v>
      </c>
      <c r="AK27" s="378">
        <f t="shared" si="34"/>
        <v>1577.8</v>
      </c>
      <c r="AL27" s="378">
        <f t="shared" si="34"/>
        <v>1602.86729063656</v>
      </c>
      <c r="AM27" s="378">
        <f t="shared" si="34"/>
        <v>6114.4672906365604</v>
      </c>
      <c r="AN27" s="378">
        <f t="shared" si="34"/>
        <v>1457.1519594052647</v>
      </c>
      <c r="AO27" s="378">
        <f t="shared" si="34"/>
        <v>1529.5241316600111</v>
      </c>
      <c r="AP27" s="378">
        <f t="shared" si="34"/>
        <v>1604.7762029339717</v>
      </c>
      <c r="AQ27" s="378">
        <f t="shared" si="34"/>
        <v>1623.8440301450387</v>
      </c>
      <c r="AR27" s="378">
        <f t="shared" si="34"/>
        <v>6215.2963241442867</v>
      </c>
      <c r="AS27" s="378">
        <f t="shared" si="34"/>
        <v>1481.6053731742352</v>
      </c>
      <c r="AT27" s="378">
        <f t="shared" si="34"/>
        <v>1557.2589610231887</v>
      </c>
      <c r="AU27" s="378">
        <f t="shared" si="34"/>
        <v>1632.9422435543227</v>
      </c>
      <c r="AV27" s="378">
        <f t="shared" si="34"/>
        <v>1656.7783839405226</v>
      </c>
      <c r="AW27" s="378">
        <f t="shared" si="34"/>
        <v>6328.5849616922696</v>
      </c>
      <c r="AX27" s="378">
        <f t="shared" si="34"/>
        <v>1516.3594919844413</v>
      </c>
      <c r="AY27" s="378">
        <f t="shared" si="34"/>
        <v>1591.5660946679457</v>
      </c>
      <c r="AZ27" s="378">
        <f t="shared" si="34"/>
        <v>1671.5490616347029</v>
      </c>
      <c r="BA27" s="378">
        <f t="shared" si="34"/>
        <v>1696.2512128281953</v>
      </c>
      <c r="BB27" s="378">
        <f t="shared" si="34"/>
        <v>6475.7258611152856</v>
      </c>
      <c r="BC27" s="378">
        <f t="shared" si="34"/>
        <v>1553.3715100386905</v>
      </c>
      <c r="BD27" s="378">
        <f t="shared" si="34"/>
        <v>1631.5094543671896</v>
      </c>
      <c r="BE27" s="378">
        <f t="shared" si="34"/>
        <v>1712.2712519320196</v>
      </c>
      <c r="BF27" s="378">
        <f t="shared" si="34"/>
        <v>1741.6600178121012</v>
      </c>
      <c r="BG27" s="378">
        <f t="shared" si="34"/>
        <v>6638.8122341500002</v>
      </c>
      <c r="BH27" s="378">
        <f t="shared" si="34"/>
        <v>1593.2391180954673</v>
      </c>
      <c r="BI27" s="378">
        <f t="shared" si="34"/>
        <v>1673.4415865110973</v>
      </c>
      <c r="BJ27" s="378">
        <f t="shared" si="34"/>
        <v>1756.8104944560207</v>
      </c>
      <c r="BK27" s="378">
        <f t="shared" si="34"/>
        <v>1790.0450039989289</v>
      </c>
      <c r="BL27" s="378">
        <f t="shared" si="34"/>
        <v>6813.5362030615142</v>
      </c>
    </row>
    <row r="28" spans="1:64" hidden="1" outlineLevel="1"/>
    <row r="29" spans="1:64" hidden="1" outlineLevel="1">
      <c r="A29" s="1" t="s">
        <v>1661</v>
      </c>
      <c r="AD29" s="398">
        <f>'Business segments KK'!AD128+'Business segments KK'!AD159</f>
        <v>396.6</v>
      </c>
      <c r="AE29" s="398">
        <f>'Business segments KK'!AE128+'Business segments KK'!AE159</f>
        <v>401.1</v>
      </c>
      <c r="AF29" s="398">
        <f>'Business segments KK'!AF128+'Business segments KK'!AF159</f>
        <v>459.5</v>
      </c>
      <c r="AG29" s="398">
        <f>'Business segments KK'!AG128+'Business segments KK'!AG159</f>
        <v>446.90000000000003</v>
      </c>
      <c r="AH29" s="398">
        <f>'Business segments KK'!AH128+'Business segments KK'!AH159</f>
        <v>1704.1000000000004</v>
      </c>
      <c r="AI29" s="398">
        <f>'Business segments KK'!AI128+'Business segments KK'!AI159</f>
        <v>437.8</v>
      </c>
      <c r="AJ29" s="398">
        <f>'Business segments KK'!AJ128+'Business segments KK'!AJ159</f>
        <v>449.59999999999997</v>
      </c>
      <c r="AK29" s="398">
        <f>'Business segments KK'!AK128+'Business segments KK'!AK159</f>
        <v>483.09999999999997</v>
      </c>
      <c r="AL29" s="398">
        <f>'Business segments KK'!AL128+'Business segments KK'!AL159</f>
        <v>463.12115692030972</v>
      </c>
      <c r="AM29" s="398">
        <f>'Business segments KK'!AM128+'Business segments KK'!AM159</f>
        <v>1833.6211569203094</v>
      </c>
      <c r="AN29" s="398">
        <f>'Business segments KK'!AN128+'Business segments KK'!AN159</f>
        <v>447.90342547351446</v>
      </c>
      <c r="AO29" s="398">
        <f>'Business segments KK'!AO128+'Business segments KK'!AO159</f>
        <v>466.12592034926115</v>
      </c>
      <c r="AP29" s="398">
        <f>'Business segments KK'!AP128+'Business segments KK'!AP159</f>
        <v>493.58226083097145</v>
      </c>
      <c r="AQ29" s="398">
        <f>'Business segments KK'!AQ128+'Business segments KK'!AQ159</f>
        <v>473.72650835892119</v>
      </c>
      <c r="AR29" s="398">
        <f>'Business segments KK'!AR128+'Business segments KK'!AR159</f>
        <v>1881.3381150126681</v>
      </c>
      <c r="AS29" s="398">
        <f>'Business segments KK'!AS128+'Business segments KK'!AS159</f>
        <v>459.55393579702366</v>
      </c>
      <c r="AT29" s="398">
        <f>'Business segments KK'!AT128+'Business segments KK'!AT159</f>
        <v>481.34725208105658</v>
      </c>
      <c r="AU29" s="398">
        <f>'Business segments KK'!AU128+'Business segments KK'!AU159</f>
        <v>508.63284920718439</v>
      </c>
      <c r="AV29" s="398">
        <f>'Business segments KK'!AV128+'Business segments KK'!AV159</f>
        <v>491.88333353157475</v>
      </c>
      <c r="AW29" s="398">
        <f>'Business segments KK'!AW128+'Business segments KK'!AW159</f>
        <v>1941.4173706168392</v>
      </c>
      <c r="AX29" s="398">
        <f>'Business segments KK'!AX128+'Business segments KK'!AX159</f>
        <v>476.67578529955733</v>
      </c>
      <c r="AY29" s="398">
        <f>'Business segments KK'!AY128+'Business segments KK'!AY159</f>
        <v>497.12499090718808</v>
      </c>
      <c r="AZ29" s="398">
        <f>'Business segments KK'!AZ128+'Business segments KK'!AZ159</f>
        <v>528.2944109982908</v>
      </c>
      <c r="BA29" s="398">
        <f>'Business segments KK'!BA128+'Business segments KK'!BA159</f>
        <v>509.19492162517406</v>
      </c>
      <c r="BB29" s="398">
        <f>'Business segments KK'!BB128+'Business segments KK'!BB159</f>
        <v>2011.2901088302103</v>
      </c>
      <c r="BC29" s="398">
        <f>'Business segments KK'!BC128+'Business segments KK'!BC159</f>
        <v>493.26058772082308</v>
      </c>
      <c r="BD29" s="398">
        <f>'Business segments KK'!BD128+'Business segments KK'!BD159</f>
        <v>515.00044093112695</v>
      </c>
      <c r="BE29" s="398">
        <f>'Business segments KK'!BE128+'Business segments KK'!BE159</f>
        <v>546.17971466221195</v>
      </c>
      <c r="BF29" s="398">
        <f>'Business segments KK'!BF128+'Business segments KK'!BF159</f>
        <v>527.57032756515696</v>
      </c>
      <c r="BG29" s="398">
        <f>'Business segments KK'!BG128+'Business segments KK'!BG159</f>
        <v>2082.011070879319</v>
      </c>
      <c r="BH29" s="398">
        <f>'Business segments KK'!BH128+'Business segments KK'!BH159</f>
        <v>510.58040689889896</v>
      </c>
      <c r="BI29" s="398">
        <f>'Business segments KK'!BI128+'Business segments KK'!BI159</f>
        <v>531.74549870217822</v>
      </c>
      <c r="BJ29" s="398">
        <f>'Business segments KK'!BJ128+'Business segments KK'!BJ159</f>
        <v>564.68223564745165</v>
      </c>
      <c r="BK29" s="398">
        <f>'Business segments KK'!BK128+'Business segments KK'!BK159</f>
        <v>544.77566734000391</v>
      </c>
      <c r="BL29" s="398">
        <f>'Business segments KK'!BL128+'Business segments KK'!BL159</f>
        <v>2151.7838085885328</v>
      </c>
    </row>
    <row r="30" spans="1:64" hidden="1" outlineLevel="1">
      <c r="A30" s="1" t="s">
        <v>1662</v>
      </c>
      <c r="AD30" s="21">
        <f t="shared" ref="AD30:AK30" si="35">AD29/AD26</f>
        <v>1.0156209987195903</v>
      </c>
      <c r="AE30" s="21">
        <f t="shared" si="35"/>
        <v>1.0169878296146047</v>
      </c>
      <c r="AF30" s="21">
        <f t="shared" si="35"/>
        <v>1.0130070546737213</v>
      </c>
      <c r="AG30" s="21">
        <f t="shared" si="35"/>
        <v>1.0301982480405723</v>
      </c>
      <c r="AH30" s="21">
        <f t="shared" si="35"/>
        <v>1.0190157268432702</v>
      </c>
      <c r="AI30" s="21">
        <f t="shared" si="35"/>
        <v>1.0169570267131243</v>
      </c>
      <c r="AJ30" s="21">
        <f t="shared" si="35"/>
        <v>1.0190389845874885</v>
      </c>
      <c r="AK30" s="21">
        <f t="shared" si="35"/>
        <v>1.0168385603030943</v>
      </c>
      <c r="AL30" s="261">
        <v>1.02</v>
      </c>
      <c r="AM30" s="21"/>
      <c r="AN30" s="261">
        <v>1.02</v>
      </c>
      <c r="AO30" s="261">
        <v>1.02</v>
      </c>
      <c r="AP30" s="261">
        <v>1.02</v>
      </c>
      <c r="AQ30" s="261">
        <v>1.02</v>
      </c>
      <c r="AS30" s="261">
        <v>1.02</v>
      </c>
      <c r="AT30" s="261">
        <v>1.02</v>
      </c>
      <c r="AU30" s="261">
        <v>1.02</v>
      </c>
      <c r="AV30" s="261">
        <v>1.02</v>
      </c>
      <c r="AX30" s="261">
        <v>1.02</v>
      </c>
      <c r="AY30" s="261">
        <v>1.02</v>
      </c>
      <c r="AZ30" s="261">
        <v>1.02</v>
      </c>
      <c r="BA30" s="261">
        <v>1.02</v>
      </c>
      <c r="BC30" s="261">
        <v>1.02</v>
      </c>
      <c r="BD30" s="261">
        <v>1.02</v>
      </c>
      <c r="BE30" s="261">
        <v>1.02</v>
      </c>
      <c r="BF30" s="261">
        <v>1.02</v>
      </c>
      <c r="BH30" s="261">
        <v>1.02</v>
      </c>
      <c r="BI30" s="261">
        <v>1.02</v>
      </c>
      <c r="BJ30" s="261">
        <v>1.02</v>
      </c>
      <c r="BK30" s="261">
        <v>1.02</v>
      </c>
    </row>
    <row r="31" spans="1:64" hidden="1" outlineLevel="1"/>
    <row r="32" spans="1:64" hidden="1" outlineLevel="1">
      <c r="A32" s="3" t="s">
        <v>1663</v>
      </c>
    </row>
    <row r="33" spans="1:64" hidden="1" outlineLevel="1">
      <c r="A33" s="5" t="s">
        <v>1659</v>
      </c>
      <c r="AI33" s="16">
        <f t="shared" ref="AI33:BL35" si="36">AI25/AD25-1</f>
        <v>2.8512609366958319E-2</v>
      </c>
      <c r="AJ33" s="16">
        <f t="shared" si="36"/>
        <v>1.0169169359437458E-2</v>
      </c>
      <c r="AK33" s="16">
        <f t="shared" si="36"/>
        <v>1.7908243330563955E-2</v>
      </c>
      <c r="AL33" s="16">
        <f t="shared" si="36"/>
        <v>1.4237609883188229E-2</v>
      </c>
      <c r="AM33" s="16">
        <f t="shared" si="36"/>
        <v>1.743683296334364E-2</v>
      </c>
      <c r="AN33" s="16">
        <f t="shared" si="36"/>
        <v>1.8846030863765018E-2</v>
      </c>
      <c r="AO33" s="16">
        <f t="shared" si="36"/>
        <v>9.067584193402034E-3</v>
      </c>
      <c r="AP33" s="16">
        <f t="shared" si="36"/>
        <v>1.6479573454888596E-2</v>
      </c>
      <c r="AQ33" s="16">
        <f t="shared" si="36"/>
        <v>9.2088161953354231E-3</v>
      </c>
      <c r="AR33" s="16">
        <f t="shared" si="36"/>
        <v>1.326499761121136E-2</v>
      </c>
      <c r="AS33" s="16">
        <f t="shared" si="36"/>
        <v>1.2800538895847202E-2</v>
      </c>
      <c r="AT33" s="16">
        <f t="shared" si="36"/>
        <v>1.194545637536093E-2</v>
      </c>
      <c r="AU33" s="16">
        <f t="shared" si="36"/>
        <v>1.1964400496462524E-2</v>
      </c>
      <c r="AV33" s="16">
        <f t="shared" si="36"/>
        <v>1.3052840151751566E-2</v>
      </c>
      <c r="AW33" s="16">
        <f t="shared" si="36"/>
        <v>1.2443218483089158E-2</v>
      </c>
      <c r="AX33" s="16">
        <f t="shared" si="36"/>
        <v>1.7426679131556266E-2</v>
      </c>
      <c r="AY33" s="16">
        <f t="shared" si="36"/>
        <v>1.7357317132467465E-2</v>
      </c>
      <c r="AZ33" s="16">
        <f t="shared" si="36"/>
        <v>1.7042293800739516E-2</v>
      </c>
      <c r="BA33" s="16">
        <f t="shared" si="36"/>
        <v>1.9157020718268081E-2</v>
      </c>
      <c r="BB33" s="16">
        <f t="shared" si="36"/>
        <v>1.7770405873975159E-2</v>
      </c>
      <c r="BC33" s="16">
        <f t="shared" si="36"/>
        <v>1.9782467695255157E-2</v>
      </c>
      <c r="BD33" s="16">
        <f t="shared" si="36"/>
        <v>2.0303060208554102E-2</v>
      </c>
      <c r="BE33" s="16">
        <f t="shared" si="36"/>
        <v>2.0099956860842427E-2</v>
      </c>
      <c r="BF33" s="16">
        <f t="shared" si="36"/>
        <v>2.2884523120719313E-2</v>
      </c>
      <c r="BG33" s="16">
        <f t="shared" si="36"/>
        <v>2.0815884551696584E-2</v>
      </c>
      <c r="BH33" s="16">
        <f t="shared" si="36"/>
        <v>2.1394431978925876E-2</v>
      </c>
      <c r="BI33" s="16">
        <f t="shared" si="36"/>
        <v>2.2648010753252956E-2</v>
      </c>
      <c r="BJ33" s="16">
        <f t="shared" si="36"/>
        <v>2.2433289346897478E-2</v>
      </c>
      <c r="BK33" s="16">
        <f t="shared" si="36"/>
        <v>2.5740056794211874E-2</v>
      </c>
      <c r="BL33" s="16">
        <f t="shared" si="36"/>
        <v>2.3124836450423736E-2</v>
      </c>
    </row>
    <row r="34" spans="1:64" hidden="1" outlineLevel="1">
      <c r="A34" s="5" t="s">
        <v>1660</v>
      </c>
      <c r="AI34" s="16">
        <f t="shared" si="36"/>
        <v>0.10243277848911658</v>
      </c>
      <c r="AJ34" s="16">
        <f t="shared" si="36"/>
        <v>0.11866125760649116</v>
      </c>
      <c r="AK34" s="16">
        <f t="shared" si="36"/>
        <v>4.7398589065255514E-2</v>
      </c>
      <c r="AL34" s="16">
        <f t="shared" si="36"/>
        <v>4.6658252470890726E-2</v>
      </c>
      <c r="AM34" s="16">
        <f t="shared" si="36"/>
        <v>7.686440825322749E-2</v>
      </c>
      <c r="AN34" s="16">
        <f t="shared" si="36"/>
        <v>2.0025564149107167E-2</v>
      </c>
      <c r="AO34" s="16">
        <f t="shared" si="36"/>
        <v>3.5780136946609753E-2</v>
      </c>
      <c r="AP34" s="16">
        <f t="shared" si="36"/>
        <v>1.8531208767135876E-2</v>
      </c>
      <c r="AQ34" s="16">
        <f t="shared" si="36"/>
        <v>2.2899734292286755E-2</v>
      </c>
      <c r="AR34" s="16">
        <f t="shared" si="36"/>
        <v>2.4215795945143448E-2</v>
      </c>
      <c r="AS34" s="16">
        <f t="shared" si="36"/>
        <v>2.6011210588962275E-2</v>
      </c>
      <c r="AT34" s="16">
        <f t="shared" si="36"/>
        <v>3.2654978123487055E-2</v>
      </c>
      <c r="AU34" s="16">
        <f t="shared" si="36"/>
        <v>3.0492563389280747E-2</v>
      </c>
      <c r="AV34" s="16">
        <f t="shared" si="36"/>
        <v>3.8327652880461027E-2</v>
      </c>
      <c r="AW34" s="16">
        <f t="shared" si="36"/>
        <v>3.1934321175312252E-2</v>
      </c>
      <c r="AX34" s="16">
        <f t="shared" si="36"/>
        <v>3.7257540777751341E-2</v>
      </c>
      <c r="AY34" s="16">
        <f t="shared" si="36"/>
        <v>3.2778287936449324E-2</v>
      </c>
      <c r="AZ34" s="16">
        <f t="shared" si="36"/>
        <v>3.8655705823470443E-2</v>
      </c>
      <c r="BA34" s="16">
        <f t="shared" si="36"/>
        <v>3.5194500226928493E-2</v>
      </c>
      <c r="BB34" s="16">
        <f t="shared" si="36"/>
        <v>3.5990580526829685E-2</v>
      </c>
      <c r="BC34" s="16">
        <f t="shared" si="36"/>
        <v>3.4792626209958266E-2</v>
      </c>
      <c r="BD34" s="16">
        <f t="shared" si="36"/>
        <v>3.5957657230867746E-2</v>
      </c>
      <c r="BE34" s="16">
        <f t="shared" si="36"/>
        <v>3.3854803858560878E-2</v>
      </c>
      <c r="BF34" s="16">
        <f t="shared" si="36"/>
        <v>3.6087174399412447E-2</v>
      </c>
      <c r="BG34" s="16">
        <f t="shared" si="36"/>
        <v>3.5161989679470151E-2</v>
      </c>
      <c r="BH34" s="16">
        <f t="shared" si="36"/>
        <v>3.5112919234241646E-2</v>
      </c>
      <c r="BI34" s="16">
        <f t="shared" si="36"/>
        <v>3.2514647445303302E-2</v>
      </c>
      <c r="BJ34" s="16">
        <f t="shared" si="36"/>
        <v>3.3876250780721096E-2</v>
      </c>
      <c r="BK34" s="16">
        <f t="shared" si="36"/>
        <v>3.261240990230263E-2</v>
      </c>
      <c r="BL34" s="16">
        <f t="shared" si="36"/>
        <v>3.3512183813578789E-2</v>
      </c>
    </row>
    <row r="35" spans="1:64" hidden="1" outlineLevel="1">
      <c r="A35" s="9" t="s">
        <v>1111</v>
      </c>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17">
        <f t="shared" si="36"/>
        <v>4.9706314243759264E-2</v>
      </c>
      <c r="AJ35" s="17">
        <f t="shared" si="36"/>
        <v>3.9748375501175159E-2</v>
      </c>
      <c r="AK35" s="17">
        <f t="shared" si="36"/>
        <v>2.6612011191359031E-2</v>
      </c>
      <c r="AL35" s="17">
        <f t="shared" si="36"/>
        <v>2.3215633984398298E-2</v>
      </c>
      <c r="AM35" s="17">
        <f t="shared" si="36"/>
        <v>3.4246835358010985E-2</v>
      </c>
      <c r="AN35" s="17">
        <f t="shared" si="36"/>
        <v>1.9201202633604808E-2</v>
      </c>
      <c r="AO35" s="17">
        <f t="shared" si="36"/>
        <v>1.6903218974809731E-2</v>
      </c>
      <c r="AP35" s="17">
        <f t="shared" si="36"/>
        <v>1.7097352601072258E-2</v>
      </c>
      <c r="AQ35" s="17">
        <f t="shared" si="36"/>
        <v>1.3087009530369675E-2</v>
      </c>
      <c r="AR35" s="17">
        <f t="shared" si="36"/>
        <v>1.6490240067541295E-2</v>
      </c>
      <c r="AS35" s="17">
        <f t="shared" si="36"/>
        <v>1.6781649718229152E-2</v>
      </c>
      <c r="AT35" s="17">
        <f t="shared" si="36"/>
        <v>1.813297926399926E-2</v>
      </c>
      <c r="AU35" s="17">
        <f t="shared" si="36"/>
        <v>1.7551382285489803E-2</v>
      </c>
      <c r="AV35" s="17">
        <f t="shared" si="36"/>
        <v>2.0281722372401889E-2</v>
      </c>
      <c r="AW35" s="17">
        <f t="shared" si="36"/>
        <v>1.8227391203842647E-2</v>
      </c>
      <c r="AX35" s="17">
        <f t="shared" si="36"/>
        <v>2.3457068555136074E-2</v>
      </c>
      <c r="AY35" s="17">
        <f t="shared" si="36"/>
        <v>2.2030461537505319E-2</v>
      </c>
      <c r="AZ35" s="17">
        <f t="shared" si="36"/>
        <v>2.3642488417929153E-2</v>
      </c>
      <c r="BA35" s="17">
        <f t="shared" si="36"/>
        <v>2.3825050634587397E-2</v>
      </c>
      <c r="BB35" s="17">
        <f t="shared" si="36"/>
        <v>2.3250205269215618E-2</v>
      </c>
      <c r="BC35" s="17">
        <f t="shared" si="36"/>
        <v>2.4408471902538142E-2</v>
      </c>
      <c r="BD35" s="17">
        <f t="shared" si="36"/>
        <v>2.5096890310155384E-2</v>
      </c>
      <c r="BE35" s="17">
        <f t="shared" si="36"/>
        <v>2.4361947388784388E-2</v>
      </c>
      <c r="BF35" s="17">
        <f t="shared" si="36"/>
        <v>2.6770094335375472E-2</v>
      </c>
      <c r="BG35" s="17">
        <f t="shared" si="36"/>
        <v>2.5184261429903598E-2</v>
      </c>
      <c r="BH35" s="17">
        <f t="shared" si="36"/>
        <v>2.5665211315600844E-2</v>
      </c>
      <c r="BI35" s="17">
        <f t="shared" si="36"/>
        <v>2.5701433743865021E-2</v>
      </c>
      <c r="BJ35" s="17">
        <f t="shared" si="36"/>
        <v>2.6011791340738721E-2</v>
      </c>
      <c r="BK35" s="17">
        <f t="shared" si="36"/>
        <v>2.7780959367494473E-2</v>
      </c>
      <c r="BL35" s="17">
        <f t="shared" si="36"/>
        <v>2.6318558613954268E-2</v>
      </c>
    </row>
    <row r="36" spans="1:64" hidden="1" outlineLevel="1"/>
    <row r="37" spans="1:64" hidden="1" outlineLevel="1">
      <c r="A37" s="3" t="s">
        <v>1664</v>
      </c>
    </row>
    <row r="38" spans="1:64" hidden="1" outlineLevel="1">
      <c r="A38" s="5" t="s">
        <v>1659</v>
      </c>
      <c r="AD38" s="21">
        <f t="shared" ref="AD38:BL38" si="37">AD25/AD27</f>
        <v>0.71328928046989726</v>
      </c>
      <c r="AE38" s="21">
        <f t="shared" si="37"/>
        <v>0.72736070786672191</v>
      </c>
      <c r="AF38" s="21">
        <f t="shared" si="37"/>
        <v>0.70486043333984005</v>
      </c>
      <c r="AG38" s="21">
        <f t="shared" si="37"/>
        <v>0.72307692307692328</v>
      </c>
      <c r="AH38" s="21">
        <f t="shared" si="37"/>
        <v>0.71713464140730732</v>
      </c>
      <c r="AI38" s="21">
        <f t="shared" si="37"/>
        <v>0.69888787857592505</v>
      </c>
      <c r="AJ38" s="21">
        <f t="shared" si="37"/>
        <v>0.70666843959843095</v>
      </c>
      <c r="AK38" s="21">
        <f t="shared" si="37"/>
        <v>0.69888452275320068</v>
      </c>
      <c r="AL38" s="21">
        <f t="shared" si="37"/>
        <v>0.71673241286148182</v>
      </c>
      <c r="AM38" s="21">
        <f t="shared" si="37"/>
        <v>0.70547878264397557</v>
      </c>
      <c r="AN38" s="21">
        <f t="shared" si="37"/>
        <v>0.6986443297613123</v>
      </c>
      <c r="AO38" s="21">
        <f t="shared" si="37"/>
        <v>0.70122328444411564</v>
      </c>
      <c r="AP38" s="21">
        <f t="shared" si="37"/>
        <v>0.69846002426970422</v>
      </c>
      <c r="AQ38" s="21">
        <f t="shared" si="37"/>
        <v>0.71398869308182433</v>
      </c>
      <c r="AR38" s="21">
        <f t="shared" si="37"/>
        <v>0.70324035473573299</v>
      </c>
      <c r="AS38" s="21">
        <f t="shared" si="37"/>
        <v>0.69590885503772804</v>
      </c>
      <c r="AT38" s="21">
        <f t="shared" si="37"/>
        <v>0.69696172410680035</v>
      </c>
      <c r="AU38" s="21">
        <f t="shared" si="37"/>
        <v>0.69462504993436036</v>
      </c>
      <c r="AV38" s="21">
        <f t="shared" si="37"/>
        <v>0.70892995287704719</v>
      </c>
      <c r="AW38" s="21">
        <f t="shared" si="37"/>
        <v>0.69924550671736818</v>
      </c>
      <c r="AX38" s="21">
        <f t="shared" si="37"/>
        <v>0.69180843741579534</v>
      </c>
      <c r="AY38" s="21">
        <f t="shared" si="37"/>
        <v>0.69377492791617057</v>
      </c>
      <c r="AZ38" s="21">
        <f t="shared" si="37"/>
        <v>0.69014627871548728</v>
      </c>
      <c r="BA38" s="21">
        <f t="shared" si="37"/>
        <v>0.70569765627856718</v>
      </c>
      <c r="BB38" s="21">
        <f t="shared" si="37"/>
        <v>0.69550084574871862</v>
      </c>
      <c r="BC38" s="21">
        <f t="shared" si="37"/>
        <v>0.68868438209031002</v>
      </c>
      <c r="BD38" s="21">
        <f t="shared" si="37"/>
        <v>0.69053051349581795</v>
      </c>
      <c r="BE38" s="21">
        <f t="shared" si="37"/>
        <v>0.68727483575503967</v>
      </c>
      <c r="BF38" s="21">
        <f t="shared" si="37"/>
        <v>0.70302710859256234</v>
      </c>
      <c r="BG38" s="21">
        <f t="shared" si="37"/>
        <v>0.69253727136736354</v>
      </c>
      <c r="BH38" s="21">
        <f t="shared" si="37"/>
        <v>0.68581676115896417</v>
      </c>
      <c r="BI38" s="21">
        <f t="shared" si="37"/>
        <v>0.68847486486721921</v>
      </c>
      <c r="BJ38" s="21">
        <f t="shared" si="37"/>
        <v>0.6848777732740593</v>
      </c>
      <c r="BK38" s="21">
        <f t="shared" si="37"/>
        <v>0.70163108172327981</v>
      </c>
      <c r="BL38" s="21">
        <f t="shared" si="37"/>
        <v>0.69038221764250052</v>
      </c>
    </row>
    <row r="39" spans="1:64" hidden="1" outlineLevel="1">
      <c r="A39" s="5" t="s">
        <v>1660</v>
      </c>
      <c r="AD39" s="21">
        <f t="shared" ref="AD39:BL39" si="38">AD26/AD27</f>
        <v>0.2867107195301028</v>
      </c>
      <c r="AE39" s="21">
        <f t="shared" si="38"/>
        <v>0.27263929213327803</v>
      </c>
      <c r="AF39" s="21">
        <f t="shared" si="38"/>
        <v>0.29513956666016006</v>
      </c>
      <c r="AG39" s="21">
        <f t="shared" si="38"/>
        <v>0.27692307692307683</v>
      </c>
      <c r="AH39" s="21">
        <f t="shared" si="38"/>
        <v>0.28286535859269279</v>
      </c>
      <c r="AI39" s="21">
        <f t="shared" si="38"/>
        <v>0.30111212142407495</v>
      </c>
      <c r="AJ39" s="21">
        <f t="shared" si="38"/>
        <v>0.2933315604015691</v>
      </c>
      <c r="AK39" s="21">
        <f t="shared" si="38"/>
        <v>0.30111547724679927</v>
      </c>
      <c r="AL39" s="21">
        <f t="shared" si="38"/>
        <v>0.28326758713851813</v>
      </c>
      <c r="AM39" s="21">
        <f t="shared" si="38"/>
        <v>0.29452121735602443</v>
      </c>
      <c r="AN39" s="21">
        <f t="shared" si="38"/>
        <v>0.3013556702386877</v>
      </c>
      <c r="AO39" s="21">
        <f t="shared" si="38"/>
        <v>0.29877671555588442</v>
      </c>
      <c r="AP39" s="21">
        <f t="shared" si="38"/>
        <v>0.30153997573029584</v>
      </c>
      <c r="AQ39" s="21">
        <f t="shared" si="38"/>
        <v>0.28601130691817567</v>
      </c>
      <c r="AR39" s="21">
        <f t="shared" si="38"/>
        <v>0.29675964526426696</v>
      </c>
      <c r="AS39" s="21">
        <f t="shared" si="38"/>
        <v>0.30409114496227202</v>
      </c>
      <c r="AT39" s="21">
        <f t="shared" si="38"/>
        <v>0.30303827589319965</v>
      </c>
      <c r="AU39" s="21">
        <f t="shared" si="38"/>
        <v>0.30537495006563964</v>
      </c>
      <c r="AV39" s="21">
        <f t="shared" si="38"/>
        <v>0.29107004712295287</v>
      </c>
      <c r="AW39" s="21">
        <f t="shared" si="38"/>
        <v>0.30075449328263182</v>
      </c>
      <c r="AX39" s="21">
        <f t="shared" si="38"/>
        <v>0.30819156258420471</v>
      </c>
      <c r="AY39" s="21">
        <f t="shared" si="38"/>
        <v>0.30622507208382949</v>
      </c>
      <c r="AZ39" s="21">
        <f t="shared" si="38"/>
        <v>0.30985372128451266</v>
      </c>
      <c r="BA39" s="21">
        <f t="shared" si="38"/>
        <v>0.29430234372143282</v>
      </c>
      <c r="BB39" s="21">
        <f t="shared" si="38"/>
        <v>0.30449915425128138</v>
      </c>
      <c r="BC39" s="21">
        <f t="shared" si="38"/>
        <v>0.31131561790968992</v>
      </c>
      <c r="BD39" s="21">
        <f t="shared" si="38"/>
        <v>0.30946948650418199</v>
      </c>
      <c r="BE39" s="21">
        <f t="shared" si="38"/>
        <v>0.31272516424496033</v>
      </c>
      <c r="BF39" s="21">
        <f t="shared" si="38"/>
        <v>0.29697289140743771</v>
      </c>
      <c r="BG39" s="21">
        <f t="shared" si="38"/>
        <v>0.30746272863263652</v>
      </c>
      <c r="BH39" s="21">
        <f t="shared" si="38"/>
        <v>0.31418323884103583</v>
      </c>
      <c r="BI39" s="21">
        <f t="shared" si="38"/>
        <v>0.31152513513278074</v>
      </c>
      <c r="BJ39" s="21">
        <f t="shared" si="38"/>
        <v>0.31512222672594065</v>
      </c>
      <c r="BK39" s="21">
        <f t="shared" si="38"/>
        <v>0.29836891827672019</v>
      </c>
      <c r="BL39" s="21">
        <f t="shared" si="38"/>
        <v>0.30961778235749954</v>
      </c>
    </row>
    <row r="40" spans="1:64" hidden="1" outlineLevel="1">
      <c r="A40" s="9" t="s">
        <v>1111</v>
      </c>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397">
        <f t="shared" ref="AD40:AK40" si="39">SUM(AD38:AD39)</f>
        <v>1</v>
      </c>
      <c r="AE40" s="397">
        <f t="shared" si="39"/>
        <v>1</v>
      </c>
      <c r="AF40" s="397">
        <f t="shared" si="39"/>
        <v>1</v>
      </c>
      <c r="AG40" s="397">
        <f t="shared" si="39"/>
        <v>1</v>
      </c>
      <c r="AH40" s="397">
        <f t="shared" si="39"/>
        <v>1</v>
      </c>
      <c r="AI40" s="397">
        <f t="shared" si="39"/>
        <v>1</v>
      </c>
      <c r="AJ40" s="397">
        <f t="shared" si="39"/>
        <v>1</v>
      </c>
      <c r="AK40" s="397">
        <f t="shared" si="39"/>
        <v>1</v>
      </c>
      <c r="AL40" s="397">
        <f t="shared" ref="AL40:BL40" si="40">SUM(AL38:AL39)</f>
        <v>1</v>
      </c>
      <c r="AM40" s="397">
        <f t="shared" si="40"/>
        <v>1</v>
      </c>
      <c r="AN40" s="397">
        <f t="shared" si="40"/>
        <v>1</v>
      </c>
      <c r="AO40" s="397">
        <f t="shared" si="40"/>
        <v>1</v>
      </c>
      <c r="AP40" s="397">
        <f t="shared" si="40"/>
        <v>1</v>
      </c>
      <c r="AQ40" s="397">
        <f t="shared" si="40"/>
        <v>1</v>
      </c>
      <c r="AR40" s="397">
        <f t="shared" si="40"/>
        <v>1</v>
      </c>
      <c r="AS40" s="397">
        <f t="shared" si="40"/>
        <v>1</v>
      </c>
      <c r="AT40" s="397">
        <f t="shared" si="40"/>
        <v>1</v>
      </c>
      <c r="AU40" s="397">
        <f t="shared" si="40"/>
        <v>1</v>
      </c>
      <c r="AV40" s="397">
        <f t="shared" si="40"/>
        <v>1</v>
      </c>
      <c r="AW40" s="397">
        <f t="shared" si="40"/>
        <v>1</v>
      </c>
      <c r="AX40" s="397">
        <f t="shared" si="40"/>
        <v>1</v>
      </c>
      <c r="AY40" s="397">
        <f t="shared" si="40"/>
        <v>1</v>
      </c>
      <c r="AZ40" s="397">
        <f t="shared" si="40"/>
        <v>1</v>
      </c>
      <c r="BA40" s="397">
        <f t="shared" si="40"/>
        <v>1</v>
      </c>
      <c r="BB40" s="397">
        <f t="shared" si="40"/>
        <v>1</v>
      </c>
      <c r="BC40" s="397">
        <f t="shared" si="40"/>
        <v>1</v>
      </c>
      <c r="BD40" s="397">
        <f t="shared" si="40"/>
        <v>1</v>
      </c>
      <c r="BE40" s="397">
        <f t="shared" si="40"/>
        <v>1</v>
      </c>
      <c r="BF40" s="397">
        <f t="shared" si="40"/>
        <v>1</v>
      </c>
      <c r="BG40" s="397">
        <f t="shared" si="40"/>
        <v>1</v>
      </c>
      <c r="BH40" s="397">
        <f t="shared" si="40"/>
        <v>1</v>
      </c>
      <c r="BI40" s="397">
        <f t="shared" si="40"/>
        <v>1</v>
      </c>
      <c r="BJ40" s="397">
        <f t="shared" si="40"/>
        <v>1</v>
      </c>
      <c r="BK40" s="397">
        <f t="shared" si="40"/>
        <v>1</v>
      </c>
      <c r="BL40" s="397">
        <f t="shared" si="40"/>
        <v>1</v>
      </c>
    </row>
    <row r="41" spans="1:64" collapsed="1"/>
    <row r="42" spans="1:64">
      <c r="A42" s="3" t="s">
        <v>1665</v>
      </c>
    </row>
    <row r="43" spans="1:64">
      <c r="A43" s="5" t="s">
        <v>1484</v>
      </c>
      <c r="Y43" s="376">
        <v>244.4</v>
      </c>
      <c r="Z43" s="376">
        <v>234.5</v>
      </c>
      <c r="AA43" s="376">
        <v>268.89999999999998</v>
      </c>
      <c r="AB43" s="376">
        <v>286.8</v>
      </c>
      <c r="AC43" s="375">
        <f t="shared" ref="AC43:AC48" si="41">SUM(Y43:AB43)</f>
        <v>1034.5999999999999</v>
      </c>
      <c r="AD43" s="376">
        <v>226.7</v>
      </c>
      <c r="AE43" s="376">
        <v>258.2</v>
      </c>
      <c r="AF43" s="376">
        <v>296</v>
      </c>
      <c r="AG43" s="376">
        <v>336.4</v>
      </c>
      <c r="AH43" s="375">
        <f t="shared" ref="AH43:AH48" si="42">SUM(AD43:AG43)</f>
        <v>1117.3</v>
      </c>
      <c r="AI43" s="376">
        <v>261.7</v>
      </c>
      <c r="AJ43" s="376">
        <v>277.89999999999998</v>
      </c>
      <c r="AK43" s="376">
        <v>335.7</v>
      </c>
    </row>
    <row r="44" spans="1:64">
      <c r="A44" s="5" t="s">
        <v>1666</v>
      </c>
      <c r="Y44" s="376">
        <v>59.4</v>
      </c>
      <c r="Z44" s="376">
        <v>61</v>
      </c>
      <c r="AA44" s="376">
        <v>60.8</v>
      </c>
      <c r="AB44" s="376">
        <v>61.1</v>
      </c>
      <c r="AC44" s="375">
        <f t="shared" si="41"/>
        <v>242.29999999999998</v>
      </c>
      <c r="AD44" s="376">
        <v>61.5</v>
      </c>
      <c r="AE44" s="376">
        <v>64.3</v>
      </c>
      <c r="AF44" s="376">
        <v>63.6</v>
      </c>
      <c r="AG44" s="376">
        <v>62.6</v>
      </c>
      <c r="AH44" s="375">
        <f t="shared" si="42"/>
        <v>252</v>
      </c>
      <c r="AI44" s="376">
        <v>61.7</v>
      </c>
      <c r="AJ44" s="376">
        <v>63</v>
      </c>
      <c r="AK44" s="376">
        <v>61</v>
      </c>
    </row>
    <row r="45" spans="1:64">
      <c r="A45" s="5" t="s">
        <v>1667</v>
      </c>
      <c r="Y45" s="376">
        <v>2.1</v>
      </c>
      <c r="Z45" s="376">
        <v>3.1</v>
      </c>
      <c r="AA45" s="376">
        <v>3.4</v>
      </c>
      <c r="AB45" s="376">
        <v>8.4</v>
      </c>
      <c r="AC45" s="375">
        <f t="shared" si="41"/>
        <v>17</v>
      </c>
      <c r="AD45" s="376">
        <v>2.2000000000000002</v>
      </c>
      <c r="AE45" s="376">
        <v>2.7</v>
      </c>
      <c r="AF45" s="376">
        <v>4.5999999999999996</v>
      </c>
      <c r="AG45" s="376">
        <v>17.7</v>
      </c>
      <c r="AH45" s="375">
        <f t="shared" si="42"/>
        <v>27.2</v>
      </c>
      <c r="AI45" s="376">
        <v>2.1</v>
      </c>
      <c r="AJ45" s="376">
        <v>2.5</v>
      </c>
      <c r="AK45" s="376">
        <v>5.5</v>
      </c>
    </row>
    <row r="46" spans="1:64">
      <c r="A46" s="5" t="s">
        <v>1668</v>
      </c>
      <c r="Y46" s="376">
        <v>109.9</v>
      </c>
      <c r="Z46" s="376">
        <v>105.5</v>
      </c>
      <c r="AA46" s="376">
        <v>126.1</v>
      </c>
      <c r="AB46" s="376">
        <v>134.5</v>
      </c>
      <c r="AC46" s="375">
        <f t="shared" si="41"/>
        <v>476</v>
      </c>
      <c r="AD46" s="376">
        <v>112.9</v>
      </c>
      <c r="AE46" s="376">
        <v>106.6</v>
      </c>
      <c r="AF46" s="376">
        <v>123.4</v>
      </c>
      <c r="AG46" s="376">
        <v>127</v>
      </c>
      <c r="AH46" s="375">
        <f t="shared" si="42"/>
        <v>469.9</v>
      </c>
      <c r="AI46" s="376">
        <v>113.4</v>
      </c>
      <c r="AJ46" s="376">
        <v>108.3</v>
      </c>
      <c r="AK46" s="376">
        <v>129.80000000000001</v>
      </c>
    </row>
    <row r="47" spans="1:64">
      <c r="A47" s="5" t="s">
        <v>1669</v>
      </c>
      <c r="Y47" s="376">
        <v>54.8</v>
      </c>
      <c r="Z47" s="376">
        <v>56.7</v>
      </c>
      <c r="AA47" s="376">
        <v>54.7</v>
      </c>
      <c r="AB47" s="376">
        <v>73.099999999999994</v>
      </c>
      <c r="AC47" s="375">
        <f t="shared" si="41"/>
        <v>239.29999999999998</v>
      </c>
      <c r="AD47" s="376">
        <v>56.6</v>
      </c>
      <c r="AE47" s="376">
        <v>59.7</v>
      </c>
      <c r="AF47" s="376">
        <v>56.6</v>
      </c>
      <c r="AG47" s="376">
        <v>72.7</v>
      </c>
      <c r="AH47" s="375">
        <f t="shared" si="42"/>
        <v>245.60000000000002</v>
      </c>
      <c r="AI47" s="376">
        <v>58.2</v>
      </c>
      <c r="AJ47" s="376">
        <v>61.4</v>
      </c>
      <c r="AK47" s="376">
        <v>58.4</v>
      </c>
    </row>
    <row r="48" spans="1:64">
      <c r="A48" s="5" t="s">
        <v>192</v>
      </c>
      <c r="Y48" s="376">
        <v>163.9</v>
      </c>
      <c r="Z48" s="376">
        <v>187.5</v>
      </c>
      <c r="AA48" s="376">
        <v>226.4</v>
      </c>
      <c r="AB48" s="376">
        <v>280.5</v>
      </c>
      <c r="AC48" s="375">
        <f t="shared" si="41"/>
        <v>858.3</v>
      </c>
      <c r="AD48" s="376">
        <v>208.6</v>
      </c>
      <c r="AE48" s="376">
        <v>243.7</v>
      </c>
      <c r="AF48" s="376">
        <v>269.10000000000002</v>
      </c>
      <c r="AG48" s="376">
        <v>339.9</v>
      </c>
      <c r="AH48" s="375">
        <f t="shared" si="42"/>
        <v>1061.3</v>
      </c>
      <c r="AI48" s="376">
        <v>208.4</v>
      </c>
      <c r="AJ48" s="376">
        <v>233.9</v>
      </c>
      <c r="AK48" s="376">
        <v>244.3</v>
      </c>
    </row>
    <row r="49" spans="1:64">
      <c r="A49" s="9" t="s">
        <v>1670</v>
      </c>
      <c r="B49" s="9"/>
      <c r="C49" s="9"/>
      <c r="D49" s="9"/>
      <c r="E49" s="9"/>
      <c r="F49" s="9"/>
      <c r="G49" s="9"/>
      <c r="H49" s="9"/>
      <c r="I49" s="9"/>
      <c r="J49" s="9"/>
      <c r="K49" s="9"/>
      <c r="L49" s="9"/>
      <c r="M49" s="9"/>
      <c r="N49" s="9"/>
      <c r="O49" s="9"/>
      <c r="P49" s="9"/>
      <c r="Q49" s="9"/>
      <c r="R49" s="9"/>
      <c r="S49" s="9"/>
      <c r="T49" s="9"/>
      <c r="U49" s="9"/>
      <c r="V49" s="9"/>
      <c r="W49" s="9"/>
      <c r="X49" s="9"/>
      <c r="Y49" s="381">
        <f t="shared" ref="Y49:AK49" si="43">SUM(Y43:Y48)</f>
        <v>634.50000000000011</v>
      </c>
      <c r="Z49" s="381">
        <f t="shared" si="43"/>
        <v>648.29999999999995</v>
      </c>
      <c r="AA49" s="381">
        <f t="shared" si="43"/>
        <v>740.3</v>
      </c>
      <c r="AB49" s="381">
        <f t="shared" si="43"/>
        <v>844.4</v>
      </c>
      <c r="AC49" s="381">
        <f t="shared" si="43"/>
        <v>2867.5</v>
      </c>
      <c r="AD49" s="381">
        <f t="shared" si="43"/>
        <v>668.5</v>
      </c>
      <c r="AE49" s="381">
        <f t="shared" si="43"/>
        <v>735.19999999999993</v>
      </c>
      <c r="AF49" s="381">
        <f t="shared" si="43"/>
        <v>813.30000000000007</v>
      </c>
      <c r="AG49" s="381">
        <f t="shared" si="43"/>
        <v>956.30000000000007</v>
      </c>
      <c r="AH49" s="381">
        <f t="shared" si="43"/>
        <v>3173.3</v>
      </c>
      <c r="AI49" s="381">
        <f t="shared" si="43"/>
        <v>705.5</v>
      </c>
      <c r="AJ49" s="381">
        <f t="shared" si="43"/>
        <v>747</v>
      </c>
      <c r="AK49" s="381">
        <f t="shared" si="43"/>
        <v>834.7</v>
      </c>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row>
    <row r="50" spans="1:64">
      <c r="A50" s="1" t="s">
        <v>1115</v>
      </c>
      <c r="Y50" s="16">
        <f>Y49/Y12</f>
        <v>0.46771340114993376</v>
      </c>
      <c r="Z50" s="16">
        <f t="shared" ref="Z50:AK50" si="44">Z49/Z12</f>
        <v>0.47400745777582798</v>
      </c>
      <c r="AA50" s="16">
        <f t="shared" si="44"/>
        <v>0.51069260485651213</v>
      </c>
      <c r="AB50" s="16">
        <f t="shared" si="44"/>
        <v>0.55669831223628696</v>
      </c>
      <c r="AC50" s="16">
        <f t="shared" si="44"/>
        <v>0.5038923155323598</v>
      </c>
      <c r="AD50" s="16">
        <f t="shared" si="44"/>
        <v>0.49082232011747429</v>
      </c>
      <c r="AE50" s="16">
        <f t="shared" si="44"/>
        <v>0.50822618553850407</v>
      </c>
      <c r="AF50" s="16">
        <f t="shared" si="44"/>
        <v>0.52918211985164942</v>
      </c>
      <c r="AG50" s="16">
        <f t="shared" si="44"/>
        <v>0.61046919885094164</v>
      </c>
      <c r="AH50" s="16">
        <f t="shared" si="44"/>
        <v>0.53675575101488504</v>
      </c>
      <c r="AI50" s="16">
        <f t="shared" si="44"/>
        <v>0.49346016646848989</v>
      </c>
      <c r="AJ50" s="16">
        <f t="shared" si="44"/>
        <v>0.49664251047137825</v>
      </c>
      <c r="AK50" s="16">
        <f t="shared" si="44"/>
        <v>0.52902776017239195</v>
      </c>
    </row>
    <row r="52" spans="1:64">
      <c r="A52" s="3" t="s">
        <v>1663</v>
      </c>
    </row>
    <row r="53" spans="1:64">
      <c r="A53" s="5" t="s">
        <v>1484</v>
      </c>
      <c r="AD53" s="16">
        <f t="shared" ref="AD53:AK59" si="45">AD43/Y43-1</f>
        <v>-7.2422258592471422E-2</v>
      </c>
      <c r="AE53" s="16">
        <f t="shared" si="45"/>
        <v>0.1010660980810234</v>
      </c>
      <c r="AF53" s="16">
        <f t="shared" si="45"/>
        <v>0.10078095946448506</v>
      </c>
      <c r="AG53" s="16">
        <f t="shared" si="45"/>
        <v>0.17294281729428151</v>
      </c>
      <c r="AH53" s="16">
        <f t="shared" si="45"/>
        <v>7.993427411560039E-2</v>
      </c>
      <c r="AI53" s="16">
        <f t="shared" si="45"/>
        <v>0.15438906043228928</v>
      </c>
      <c r="AJ53" s="16">
        <f t="shared" si="45"/>
        <v>7.6297443841983004E-2</v>
      </c>
      <c r="AK53" s="16">
        <f t="shared" si="45"/>
        <v>0.13412162162162167</v>
      </c>
    </row>
    <row r="54" spans="1:64">
      <c r="A54" s="5" t="s">
        <v>1666</v>
      </c>
      <c r="AD54" s="16">
        <f t="shared" si="45"/>
        <v>3.535353535353547E-2</v>
      </c>
      <c r="AE54" s="16">
        <f t="shared" si="45"/>
        <v>5.4098360655737698E-2</v>
      </c>
      <c r="AF54" s="16">
        <f t="shared" si="45"/>
        <v>4.6052631578947345E-2</v>
      </c>
      <c r="AG54" s="16">
        <f t="shared" si="45"/>
        <v>2.4549918166939522E-2</v>
      </c>
      <c r="AH54" s="16">
        <f t="shared" si="45"/>
        <v>4.0033016921172226E-2</v>
      </c>
      <c r="AI54" s="16">
        <f t="shared" si="45"/>
        <v>3.2520325203253542E-3</v>
      </c>
      <c r="AJ54" s="16">
        <f t="shared" si="45"/>
        <v>-2.0217729393468109E-2</v>
      </c>
      <c r="AK54" s="16">
        <f t="shared" si="45"/>
        <v>-4.0880503144654079E-2</v>
      </c>
    </row>
    <row r="55" spans="1:64">
      <c r="A55" s="5" t="s">
        <v>1667</v>
      </c>
      <c r="AD55" s="16">
        <f t="shared" si="45"/>
        <v>4.7619047619047672E-2</v>
      </c>
      <c r="AE55" s="16">
        <f t="shared" si="45"/>
        <v>-0.12903225806451613</v>
      </c>
      <c r="AF55" s="16">
        <f t="shared" si="45"/>
        <v>0.35294117647058809</v>
      </c>
      <c r="AG55" s="16">
        <f t="shared" si="45"/>
        <v>1.1071428571428568</v>
      </c>
      <c r="AH55" s="16">
        <f t="shared" si="45"/>
        <v>0.59999999999999987</v>
      </c>
      <c r="AI55" s="16">
        <f t="shared" si="45"/>
        <v>-4.5454545454545525E-2</v>
      </c>
      <c r="AJ55" s="16">
        <f t="shared" si="45"/>
        <v>-7.4074074074074181E-2</v>
      </c>
      <c r="AK55" s="16">
        <f t="shared" si="45"/>
        <v>0.19565217391304368</v>
      </c>
    </row>
    <row r="56" spans="1:64">
      <c r="A56" s="5" t="s">
        <v>1668</v>
      </c>
      <c r="AD56" s="16">
        <f t="shared" si="45"/>
        <v>2.7297543221109999E-2</v>
      </c>
      <c r="AE56" s="16">
        <f t="shared" si="45"/>
        <v>1.0426540284360186E-2</v>
      </c>
      <c r="AF56" s="16">
        <f t="shared" si="45"/>
        <v>-2.1411578112608964E-2</v>
      </c>
      <c r="AG56" s="16">
        <f t="shared" si="45"/>
        <v>-5.5762081784386575E-2</v>
      </c>
      <c r="AH56" s="16">
        <f t="shared" si="45"/>
        <v>-1.2815126050420234E-2</v>
      </c>
      <c r="AI56" s="16">
        <f t="shared" si="45"/>
        <v>4.4286979627989886E-3</v>
      </c>
      <c r="AJ56" s="16">
        <f t="shared" si="45"/>
        <v>1.5947467166979479E-2</v>
      </c>
      <c r="AK56" s="16">
        <f t="shared" si="45"/>
        <v>5.1863857374392364E-2</v>
      </c>
    </row>
    <row r="57" spans="1:64">
      <c r="A57" s="5" t="s">
        <v>1669</v>
      </c>
      <c r="AD57" s="16">
        <f t="shared" si="45"/>
        <v>3.284671532846728E-2</v>
      </c>
      <c r="AE57" s="16">
        <f t="shared" si="45"/>
        <v>5.2910052910053018E-2</v>
      </c>
      <c r="AF57" s="16">
        <f t="shared" si="45"/>
        <v>3.4734917733089565E-2</v>
      </c>
      <c r="AG57" s="16">
        <f t="shared" si="45"/>
        <v>-5.4719562243500386E-3</v>
      </c>
      <c r="AH57" s="16">
        <f t="shared" si="45"/>
        <v>2.6326786460509899E-2</v>
      </c>
      <c r="AI57" s="16">
        <f t="shared" si="45"/>
        <v>2.8268551236749095E-2</v>
      </c>
      <c r="AJ57" s="16">
        <f t="shared" si="45"/>
        <v>2.8475711892797184E-2</v>
      </c>
      <c r="AK57" s="16">
        <f t="shared" si="45"/>
        <v>3.180212014134276E-2</v>
      </c>
    </row>
    <row r="58" spans="1:64">
      <c r="A58" s="5" t="s">
        <v>192</v>
      </c>
      <c r="AD58" s="16">
        <f t="shared" si="45"/>
        <v>0.27272727272727271</v>
      </c>
      <c r="AE58" s="16">
        <f t="shared" si="45"/>
        <v>0.29973333333333319</v>
      </c>
      <c r="AF58" s="16">
        <f t="shared" si="45"/>
        <v>0.18860424028268552</v>
      </c>
      <c r="AG58" s="16">
        <f t="shared" si="45"/>
        <v>0.21176470588235285</v>
      </c>
      <c r="AH58" s="16">
        <f t="shared" si="45"/>
        <v>0.23651403938017013</v>
      </c>
      <c r="AI58" s="16">
        <f t="shared" si="45"/>
        <v>-9.5877277085321122E-4</v>
      </c>
      <c r="AJ58" s="16">
        <f t="shared" si="45"/>
        <v>-4.021337710299544E-2</v>
      </c>
      <c r="AK58" s="16">
        <f t="shared" si="45"/>
        <v>-9.2159048680787836E-2</v>
      </c>
    </row>
    <row r="59" spans="1:64">
      <c r="A59" s="9" t="s">
        <v>1671</v>
      </c>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17">
        <f t="shared" si="45"/>
        <v>5.3585500394010888E-2</v>
      </c>
      <c r="AE59" s="17">
        <f t="shared" si="45"/>
        <v>0.13404288138207621</v>
      </c>
      <c r="AF59" s="17">
        <f t="shared" si="45"/>
        <v>9.8608672159935296E-2</v>
      </c>
      <c r="AG59" s="17">
        <f t="shared" si="45"/>
        <v>0.13252013263856011</v>
      </c>
      <c r="AH59" s="17">
        <f t="shared" si="45"/>
        <v>0.1066434176111597</v>
      </c>
      <c r="AI59" s="17">
        <f t="shared" si="45"/>
        <v>5.534779356768893E-2</v>
      </c>
      <c r="AJ59" s="17">
        <f t="shared" si="45"/>
        <v>1.6050054406964165E-2</v>
      </c>
      <c r="AK59" s="17">
        <f t="shared" si="45"/>
        <v>2.6312553793188309E-2</v>
      </c>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row>
    <row r="61" spans="1:64">
      <c r="A61" s="1" t="s">
        <v>1672</v>
      </c>
      <c r="Y61" s="376">
        <v>320.3</v>
      </c>
      <c r="Z61" s="376">
        <v>308.60000000000002</v>
      </c>
      <c r="AA61" s="376">
        <v>345.2</v>
      </c>
      <c r="AB61" s="376">
        <v>387.8</v>
      </c>
      <c r="AC61" s="375">
        <f>SUM(Y61:AB61)</f>
        <v>1361.9</v>
      </c>
      <c r="AD61" s="376">
        <v>335.1</v>
      </c>
      <c r="AE61" s="376">
        <v>339.6</v>
      </c>
      <c r="AF61" s="376">
        <v>368</v>
      </c>
      <c r="AG61" s="376">
        <v>359.3</v>
      </c>
      <c r="AH61" s="375">
        <f>SUM(AD61:AG61)</f>
        <v>1402</v>
      </c>
      <c r="AI61" s="376">
        <v>329</v>
      </c>
      <c r="AJ61" s="376">
        <v>339.8</v>
      </c>
      <c r="AK61" s="376">
        <v>367.2</v>
      </c>
    </row>
    <row r="62" spans="1:64">
      <c r="A62" s="1" t="s">
        <v>1673</v>
      </c>
      <c r="Y62" s="376">
        <v>10.6</v>
      </c>
      <c r="Z62" s="376">
        <v>11.3</v>
      </c>
      <c r="AA62" s="376">
        <v>13.6</v>
      </c>
      <c r="AB62" s="376">
        <v>17.600000000000001</v>
      </c>
      <c r="AC62" s="375">
        <f>SUM(Y62:AB62)</f>
        <v>53.1</v>
      </c>
      <c r="AD62" s="376">
        <v>16.600000000000001</v>
      </c>
      <c r="AE62" s="376">
        <v>16.100000000000001</v>
      </c>
      <c r="AF62" s="376">
        <v>52.4</v>
      </c>
      <c r="AG62" s="376">
        <v>69.5</v>
      </c>
      <c r="AH62" s="375">
        <f>SUM(AD62:AG62)</f>
        <v>154.6</v>
      </c>
      <c r="AI62" s="376">
        <v>54.4</v>
      </c>
      <c r="AJ62" s="376">
        <v>57</v>
      </c>
      <c r="AK62" s="376">
        <v>63</v>
      </c>
    </row>
    <row r="63" spans="1:64">
      <c r="A63" s="9" t="s">
        <v>1674</v>
      </c>
      <c r="B63" s="9"/>
      <c r="C63" s="9"/>
      <c r="D63" s="9"/>
      <c r="E63" s="9"/>
      <c r="F63" s="9"/>
      <c r="G63" s="9"/>
      <c r="H63" s="9"/>
      <c r="I63" s="9"/>
      <c r="J63" s="9"/>
      <c r="K63" s="9"/>
      <c r="L63" s="9"/>
      <c r="M63" s="9"/>
      <c r="N63" s="9"/>
      <c r="O63" s="9"/>
      <c r="P63" s="9"/>
      <c r="Q63" s="9"/>
      <c r="R63" s="9"/>
      <c r="S63" s="9"/>
      <c r="T63" s="9"/>
      <c r="U63" s="9"/>
      <c r="V63" s="9"/>
      <c r="W63" s="9"/>
      <c r="X63" s="9"/>
      <c r="Y63" s="381">
        <f t="shared" ref="Y63:AK63" si="46">Y49+SUM(Y61:Y62)</f>
        <v>965.40000000000009</v>
      </c>
      <c r="Z63" s="381">
        <f t="shared" si="46"/>
        <v>968.2</v>
      </c>
      <c r="AA63" s="381">
        <f t="shared" si="46"/>
        <v>1099.0999999999999</v>
      </c>
      <c r="AB63" s="381">
        <f t="shared" si="46"/>
        <v>1249.8</v>
      </c>
      <c r="AC63" s="381">
        <f t="shared" si="46"/>
        <v>4282.5</v>
      </c>
      <c r="AD63" s="381">
        <f t="shared" si="46"/>
        <v>1020.2</v>
      </c>
      <c r="AE63" s="381">
        <f t="shared" si="46"/>
        <v>1090.9000000000001</v>
      </c>
      <c r="AF63" s="381">
        <f t="shared" si="46"/>
        <v>1233.7</v>
      </c>
      <c r="AG63" s="381">
        <f t="shared" si="46"/>
        <v>1385.1000000000001</v>
      </c>
      <c r="AH63" s="381">
        <f t="shared" si="46"/>
        <v>4729.8999999999996</v>
      </c>
      <c r="AI63" s="381">
        <f t="shared" si="46"/>
        <v>1088.9000000000001</v>
      </c>
      <c r="AJ63" s="381">
        <f t="shared" si="46"/>
        <v>1143.8</v>
      </c>
      <c r="AK63" s="381">
        <f t="shared" si="46"/>
        <v>1264.9000000000001</v>
      </c>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row>
    <row r="64" spans="1:64">
      <c r="A64" s="1" t="s">
        <v>1115</v>
      </c>
      <c r="Y64" s="16">
        <f>Y63/Y12</f>
        <v>0.71163202122954461</v>
      </c>
      <c r="Z64" s="16">
        <f t="shared" ref="Z64:AK64" si="47">Z63/Z12</f>
        <v>0.70790378006872856</v>
      </c>
      <c r="AA64" s="16">
        <f t="shared" si="47"/>
        <v>0.75820916114790282</v>
      </c>
      <c r="AB64" s="16">
        <f t="shared" si="47"/>
        <v>0.82397151898734178</v>
      </c>
      <c r="AC64" s="16">
        <f t="shared" si="47"/>
        <v>0.75254362380726447</v>
      </c>
      <c r="AD64" s="16">
        <f t="shared" si="47"/>
        <v>0.74904552129221735</v>
      </c>
      <c r="AE64" s="16">
        <f t="shared" si="47"/>
        <v>0.7541130927692522</v>
      </c>
      <c r="AF64" s="16">
        <f t="shared" si="47"/>
        <v>0.80271976055696526</v>
      </c>
      <c r="AG64" s="16">
        <f t="shared" si="47"/>
        <v>0.88420044685604859</v>
      </c>
      <c r="AH64" s="16">
        <f t="shared" si="47"/>
        <v>0.80005074424898504</v>
      </c>
      <c r="AI64" s="16">
        <f t="shared" si="47"/>
        <v>0.7616283136322306</v>
      </c>
      <c r="AJ64" s="16">
        <f t="shared" si="47"/>
        <v>0.76045475699754006</v>
      </c>
      <c r="AK64" s="16">
        <f t="shared" si="47"/>
        <v>0.80168589174800364</v>
      </c>
    </row>
    <row r="66" spans="1:74">
      <c r="A66" s="1" t="s">
        <v>276</v>
      </c>
      <c r="Y66" s="375">
        <f t="shared" ref="Y66:AK66" si="48">Y67-Y49-SUM(Y61:Y62)</f>
        <v>-78.800000000000239</v>
      </c>
      <c r="Z66" s="375">
        <f t="shared" si="48"/>
        <v>-78.699999999999989</v>
      </c>
      <c r="AA66" s="375">
        <f t="shared" si="48"/>
        <v>-87.60000000000008</v>
      </c>
      <c r="AB66" s="375">
        <f t="shared" si="48"/>
        <v>-88.600000000000193</v>
      </c>
      <c r="AC66" s="375">
        <f t="shared" si="48"/>
        <v>-333.70000000000027</v>
      </c>
      <c r="AD66" s="375">
        <f t="shared" si="48"/>
        <v>-88.800000000000068</v>
      </c>
      <c r="AE66" s="375">
        <f t="shared" si="48"/>
        <v>-71.900000000000091</v>
      </c>
      <c r="AF66" s="375">
        <f t="shared" si="48"/>
        <v>-101.70000000000005</v>
      </c>
      <c r="AG66" s="375">
        <f t="shared" si="48"/>
        <v>-121.90000000000003</v>
      </c>
      <c r="AH66" s="375">
        <f t="shared" si="48"/>
        <v>-384.29999999999973</v>
      </c>
      <c r="AI66" s="375">
        <f t="shared" si="48"/>
        <v>-90.099999999999909</v>
      </c>
      <c r="AJ66" s="375">
        <f t="shared" si="48"/>
        <v>-99.400000000000148</v>
      </c>
      <c r="AK66" s="375">
        <f t="shared" si="48"/>
        <v>-105.49999999999994</v>
      </c>
    </row>
    <row r="67" spans="1:74">
      <c r="A67" s="9" t="s">
        <v>1675</v>
      </c>
      <c r="B67" s="9"/>
      <c r="C67" s="9"/>
      <c r="D67" s="9"/>
      <c r="E67" s="9"/>
      <c r="F67" s="9"/>
      <c r="G67" s="9"/>
      <c r="H67" s="9"/>
      <c r="I67" s="9"/>
      <c r="J67" s="9"/>
      <c r="K67" s="9"/>
      <c r="L67" s="9"/>
      <c r="M67" s="9"/>
      <c r="N67" s="9"/>
      <c r="O67" s="9"/>
      <c r="P67" s="9"/>
      <c r="Q67" s="9"/>
      <c r="R67" s="9"/>
      <c r="S67" s="9"/>
      <c r="T67" s="9"/>
      <c r="U67" s="9"/>
      <c r="V67" s="9"/>
      <c r="W67" s="9"/>
      <c r="X67" s="9"/>
      <c r="Y67" s="381">
        <f>Y12-Y79</f>
        <v>886.59999999999991</v>
      </c>
      <c r="Z67" s="381">
        <f t="shared" ref="Z67:AK67" si="49">Z12-Z79</f>
        <v>889.5</v>
      </c>
      <c r="AA67" s="381">
        <f t="shared" si="49"/>
        <v>1011.4999999999999</v>
      </c>
      <c r="AB67" s="381">
        <f t="shared" si="49"/>
        <v>1161.1999999999998</v>
      </c>
      <c r="AC67" s="381">
        <f t="shared" si="49"/>
        <v>3948.7999999999997</v>
      </c>
      <c r="AD67" s="381">
        <f t="shared" si="49"/>
        <v>931.4</v>
      </c>
      <c r="AE67" s="381">
        <f t="shared" si="49"/>
        <v>1018.9999999999999</v>
      </c>
      <c r="AF67" s="381">
        <f t="shared" si="49"/>
        <v>1132</v>
      </c>
      <c r="AG67" s="381">
        <f t="shared" si="49"/>
        <v>1263.2</v>
      </c>
      <c r="AH67" s="381">
        <f t="shared" si="49"/>
        <v>4345.6000000000004</v>
      </c>
      <c r="AI67" s="381">
        <f t="shared" si="49"/>
        <v>998.80000000000007</v>
      </c>
      <c r="AJ67" s="381">
        <f t="shared" si="49"/>
        <v>1044.3999999999999</v>
      </c>
      <c r="AK67" s="381">
        <f t="shared" si="49"/>
        <v>1159.4000000000001</v>
      </c>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row>
    <row r="68" spans="1:74">
      <c r="A68" s="1" t="s">
        <v>1115</v>
      </c>
      <c r="Y68" s="16">
        <f t="shared" ref="Y68:AK68" si="50">Y67/Y12</f>
        <v>0.65354562877782685</v>
      </c>
      <c r="Z68" s="16">
        <f t="shared" si="50"/>
        <v>0.6503619214740074</v>
      </c>
      <c r="AA68" s="16">
        <f t="shared" si="50"/>
        <v>0.69777869757174393</v>
      </c>
      <c r="AB68" s="16">
        <f t="shared" si="50"/>
        <v>0.76555907172995774</v>
      </c>
      <c r="AC68" s="16">
        <f t="shared" si="50"/>
        <v>0.69390408912787527</v>
      </c>
      <c r="AD68" s="16">
        <f t="shared" si="50"/>
        <v>0.68384728340675471</v>
      </c>
      <c r="AE68" s="16">
        <f t="shared" si="50"/>
        <v>0.70441034149039128</v>
      </c>
      <c r="AF68" s="16">
        <f t="shared" si="50"/>
        <v>0.73654759580974682</v>
      </c>
      <c r="AG68" s="16">
        <f t="shared" si="50"/>
        <v>0.80638365783594002</v>
      </c>
      <c r="AH68" s="16">
        <f t="shared" si="50"/>
        <v>0.73504736129905279</v>
      </c>
      <c r="AI68" s="16">
        <f t="shared" si="50"/>
        <v>0.69860809960131498</v>
      </c>
      <c r="AJ68" s="16">
        <f t="shared" si="50"/>
        <v>0.6943687254836779</v>
      </c>
      <c r="AK68" s="16">
        <f t="shared" si="50"/>
        <v>0.73482063632906591</v>
      </c>
    </row>
    <row r="69" spans="1:74">
      <c r="A69" s="1" t="s">
        <v>28</v>
      </c>
    </row>
    <row r="71" spans="1:74">
      <c r="A71" s="3" t="s">
        <v>1676</v>
      </c>
    </row>
    <row r="72" spans="1:74">
      <c r="A72" s="5" t="s">
        <v>1649</v>
      </c>
      <c r="Y72" s="375">
        <f>'Business segments KK'!Y53</f>
        <v>290.10000000000002</v>
      </c>
      <c r="Z72" s="375">
        <f>'Business segments KK'!Z53</f>
        <v>285.09999999999991</v>
      </c>
      <c r="AA72" s="375">
        <f>'Business segments KK'!AA53</f>
        <v>258.8</v>
      </c>
      <c r="AB72" s="375">
        <f>'Business segments KK'!AB53</f>
        <v>225.90000000000009</v>
      </c>
      <c r="AC72" s="375">
        <f>'Business segments KK'!AC53</f>
        <v>1059.9000000000003</v>
      </c>
      <c r="AD72" s="375">
        <f>'Business segments KK'!AD53</f>
        <v>260.49999999999994</v>
      </c>
      <c r="AE72" s="375">
        <f>'Business segments KK'!AE53</f>
        <v>267.09999999999997</v>
      </c>
      <c r="AF72" s="375">
        <f>'Business segments KK'!AF53</f>
        <v>222.89999999999986</v>
      </c>
      <c r="AG72" s="375">
        <f>'Business segments KK'!AG53</f>
        <v>139.29999999999995</v>
      </c>
      <c r="AH72" s="375">
        <f>'Business segments KK'!AH53</f>
        <v>889.79999999999973</v>
      </c>
      <c r="AI72" s="375">
        <f>'Business segments KK'!AI53</f>
        <v>247.7</v>
      </c>
      <c r="AJ72" s="375">
        <f>'Business segments KK'!AJ53</f>
        <v>258.3</v>
      </c>
      <c r="AK72" s="375">
        <f>'Business segments KK'!AK53</f>
        <v>214.19999999999993</v>
      </c>
      <c r="AL72" s="375">
        <f>'Business segments KK'!AL53</f>
        <v>138.0421069100139</v>
      </c>
      <c r="AM72" s="375">
        <f>'Business segments KK'!AM53</f>
        <v>858.24210691001417</v>
      </c>
      <c r="AN72" s="375">
        <f>'Business segments KK'!AN53</f>
        <v>243.05242113426442</v>
      </c>
      <c r="AO72" s="375">
        <f>'Business segments KK'!AO53</f>
        <v>252.47016494008545</v>
      </c>
      <c r="AP72" s="375">
        <f>'Business segments KK'!AP53</f>
        <v>208.42028913445711</v>
      </c>
      <c r="AQ72" s="375">
        <f>'Business segments KK'!AQ53</f>
        <v>139.06669869626353</v>
      </c>
      <c r="AR72" s="375">
        <f>'Business segments KK'!AR53</f>
        <v>843.00957390507074</v>
      </c>
      <c r="AS72" s="375">
        <f>'Business segments KK'!AS53</f>
        <v>239.05304330131617</v>
      </c>
      <c r="AT72" s="375">
        <f>'Business segments KK'!AT53</f>
        <v>247.60790485315488</v>
      </c>
      <c r="AU72" s="375">
        <f>'Business segments KK'!AU53</f>
        <v>203.85468539488454</v>
      </c>
      <c r="AV72" s="375">
        <f>'Business segments KK'!AV53</f>
        <v>139.71494047777583</v>
      </c>
      <c r="AW72" s="375">
        <f>'Business segments KK'!AW53</f>
        <v>830.2305740271313</v>
      </c>
      <c r="AX72" s="375">
        <f>'Business segments KK'!AX53</f>
        <v>237.11327977585091</v>
      </c>
      <c r="AY72" s="375">
        <f>'Business segments KK'!AY53</f>
        <v>245.23788231607642</v>
      </c>
      <c r="AZ72" s="375">
        <f>'Business segments KK'!AZ53</f>
        <v>201.64277673803531</v>
      </c>
      <c r="BA72" s="375">
        <f>'Business segments KK'!BA53</f>
        <v>141.07380504293587</v>
      </c>
      <c r="BB72" s="375">
        <f>'Business segments KK'!BB53</f>
        <v>825.06774387289852</v>
      </c>
      <c r="BC72" s="375">
        <f>'Business segments KK'!BC53</f>
        <v>236.95810893127424</v>
      </c>
      <c r="BD72" s="375">
        <f>'Business segments KK'!BD53</f>
        <v>244.8897494379903</v>
      </c>
      <c r="BE72" s="375">
        <f>'Business segments KK'!BE53</f>
        <v>201.65199283265122</v>
      </c>
      <c r="BF72" s="375">
        <f>'Business segments KK'!BF53</f>
        <v>142.89947080674813</v>
      </c>
      <c r="BG72" s="375">
        <f>'Business segments KK'!BG53</f>
        <v>826.39932200866338</v>
      </c>
      <c r="BH72" s="375">
        <f>'Business segments KK'!BH53</f>
        <v>237.3907828137169</v>
      </c>
      <c r="BI72" s="375">
        <f>'Business segments KK'!BI53</f>
        <v>245.31693648736336</v>
      </c>
      <c r="BJ72" s="375">
        <f>'Business segments KK'!BJ53</f>
        <v>202.62815993300319</v>
      </c>
      <c r="BK72" s="375">
        <f>'Business segments KK'!BK53</f>
        <v>144.05020263986046</v>
      </c>
      <c r="BL72" s="375">
        <f>'Business segments KK'!BL53</f>
        <v>829.38608187394357</v>
      </c>
    </row>
    <row r="73" spans="1:74">
      <c r="A73" s="5" t="s">
        <v>1650</v>
      </c>
      <c r="Y73" s="375">
        <f>'Business segments KK'!Y96</f>
        <v>78.5</v>
      </c>
      <c r="Z73" s="375">
        <f>'Business segments KK'!Z96</f>
        <v>75</v>
      </c>
      <c r="AA73" s="375">
        <f>'Business segments KK'!AA96</f>
        <v>70.599999999999994</v>
      </c>
      <c r="AB73" s="375">
        <f>'Business segments KK'!AB96</f>
        <v>62.800000000000011</v>
      </c>
      <c r="AC73" s="375">
        <f>'Business segments KK'!AC96</f>
        <v>286.89999999999986</v>
      </c>
      <c r="AD73" s="375">
        <f>'Business segments KK'!AD96</f>
        <v>74.8</v>
      </c>
      <c r="AE73" s="375">
        <f>'Business segments KK'!AE96</f>
        <v>73.199999999999989</v>
      </c>
      <c r="AF73" s="375">
        <f>'Business segments KK'!AF96</f>
        <v>75.600000000000023</v>
      </c>
      <c r="AG73" s="375">
        <f>'Business segments KK'!AG96</f>
        <v>65.599999999999994</v>
      </c>
      <c r="AH73" s="375">
        <f>'Business segments KK'!AH96</f>
        <v>289.19999999999993</v>
      </c>
      <c r="AI73" s="375">
        <f>'Business segments KK'!AI96</f>
        <v>78</v>
      </c>
      <c r="AJ73" s="375">
        <f>'Business segments KK'!AJ96</f>
        <v>81.100000000000023</v>
      </c>
      <c r="AK73" s="375">
        <f>'Business segments KK'!AK96</f>
        <v>81.900000000000006</v>
      </c>
      <c r="AL73" s="375">
        <f>'Business segments KK'!AL96</f>
        <v>69.690001992072666</v>
      </c>
      <c r="AM73" s="375">
        <f>'Business segments KK'!AM96</f>
        <v>310.69000199207272</v>
      </c>
      <c r="AN73" s="375">
        <f>'Business segments KK'!AN96</f>
        <v>81.614836940301203</v>
      </c>
      <c r="AO73" s="375">
        <f>'Business segments KK'!AO96</f>
        <v>85.438630057077859</v>
      </c>
      <c r="AP73" s="375">
        <f>'Business segments KK'!AP96</f>
        <v>86.253869498883944</v>
      </c>
      <c r="AQ73" s="375">
        <f>'Business segments KK'!AQ96</f>
        <v>73.834117361053586</v>
      </c>
      <c r="AR73" s="375">
        <f>'Business segments KK'!AR96</f>
        <v>327.14145385731655</v>
      </c>
      <c r="AS73" s="375">
        <f>'Business segments KK'!AS96</f>
        <v>84.50363065484683</v>
      </c>
      <c r="AT73" s="375">
        <f>'Business segments KK'!AT96</f>
        <v>88.590349519115762</v>
      </c>
      <c r="AU73" s="375">
        <f>'Business segments KK'!AU96</f>
        <v>89.405874839942115</v>
      </c>
      <c r="AV73" s="375">
        <f>'Business segments KK'!AV96</f>
        <v>76.81907708192</v>
      </c>
      <c r="AW73" s="375">
        <f>'Business segments KK'!AW96</f>
        <v>339.31893209582472</v>
      </c>
      <c r="AX73" s="375">
        <f>'Business segments KK'!AX96</f>
        <v>89.663870414410809</v>
      </c>
      <c r="AY73" s="375">
        <f>'Business segments KK'!AY96</f>
        <v>94.297397648909026</v>
      </c>
      <c r="AZ73" s="375">
        <f>'Business segments KK'!AZ96</f>
        <v>95.153771887804595</v>
      </c>
      <c r="BA73" s="375">
        <f>'Business segments KK'!BA96</f>
        <v>82.273999687521552</v>
      </c>
      <c r="BB73" s="375">
        <f>'Business segments KK'!BB96</f>
        <v>361.38903963864595</v>
      </c>
      <c r="BC73" s="375">
        <f>'Business segments KK'!BC96</f>
        <v>96.633781312420581</v>
      </c>
      <c r="BD73" s="375">
        <f>'Business segments KK'!BD96</f>
        <v>102.02909937022051</v>
      </c>
      <c r="BE73" s="375">
        <f>'Business segments KK'!BE96</f>
        <v>102.9624325261812</v>
      </c>
      <c r="BF73" s="375">
        <f>'Business segments KK'!BF96</f>
        <v>89.685866446517366</v>
      </c>
      <c r="BG73" s="375">
        <f>'Business segments KK'!BG96</f>
        <v>391.31117965533986</v>
      </c>
      <c r="BH73" s="375">
        <f>'Business segments KK'!BH96</f>
        <v>105.86930116100038</v>
      </c>
      <c r="BI73" s="375">
        <f>'Business segments KK'!BI96</f>
        <v>112.3070752237054</v>
      </c>
      <c r="BJ73" s="375">
        <f>'Business segments KK'!BJ96</f>
        <v>113.34862359453297</v>
      </c>
      <c r="BK73" s="375">
        <f>'Business segments KK'!BK96</f>
        <v>99.564671011678598</v>
      </c>
      <c r="BL73" s="375">
        <f>'Business segments KK'!BL96</f>
        <v>431.0896709909174</v>
      </c>
    </row>
    <row r="74" spans="1:74">
      <c r="A74" s="5" t="s">
        <v>1651</v>
      </c>
      <c r="Y74" s="375">
        <f>'Business segments KK'!Y116</f>
        <v>7</v>
      </c>
      <c r="Z74" s="375">
        <f>'Business segments KK'!Z116</f>
        <v>7</v>
      </c>
      <c r="AA74" s="375">
        <f>'Business segments KK'!AA116</f>
        <v>7</v>
      </c>
      <c r="AB74" s="375">
        <f>'Business segments KK'!AB116</f>
        <v>5.5</v>
      </c>
      <c r="AC74" s="375">
        <f>'Business segments KK'!AC116</f>
        <v>26.5</v>
      </c>
      <c r="AD74" s="375">
        <f>'Business segments KK'!AD116</f>
        <v>6.4999999999999858</v>
      </c>
      <c r="AE74" s="375">
        <f>'Business segments KK'!AE116</f>
        <v>7.6999999999999886</v>
      </c>
      <c r="AF74" s="375">
        <f>'Business segments KK'!AF116</f>
        <v>7.5</v>
      </c>
      <c r="AG74" s="375">
        <f>'Business segments KK'!AG116</f>
        <v>6.6999999999999886</v>
      </c>
      <c r="AH74" s="375">
        <f>'Business segments KK'!AH116</f>
        <v>28.399999999999977</v>
      </c>
      <c r="AI74" s="375">
        <f>'Business segments KK'!AI116</f>
        <v>8.2999999999999829</v>
      </c>
      <c r="AJ74" s="375">
        <f>'Business segments KK'!AJ116</f>
        <v>7.2999999999999829</v>
      </c>
      <c r="AK74" s="375">
        <f>'Business segments KK'!AK116</f>
        <v>7.8000000000000114</v>
      </c>
      <c r="AL74" s="375">
        <f>'Business segments KK'!AL116</f>
        <v>7.0838499999999884</v>
      </c>
      <c r="AM74" s="375">
        <f>'Business segments KK'!AM116</f>
        <v>30.483849999999961</v>
      </c>
      <c r="AN74" s="375">
        <f>'Business segments KK'!AN116</f>
        <v>8.4694249999999816</v>
      </c>
      <c r="AO74" s="375">
        <f>'Business segments KK'!AO116</f>
        <v>7.4671749999999815</v>
      </c>
      <c r="AP74" s="375">
        <f>'Business segments KK'!AP116</f>
        <v>7.9758375000000115</v>
      </c>
      <c r="AQ74" s="375">
        <f>'Business segments KK'!AQ116</f>
        <v>7.2853712499999874</v>
      </c>
      <c r="AR74" s="375">
        <f>'Business segments KK'!AR116</f>
        <v>31.197808749999922</v>
      </c>
      <c r="AS74" s="375">
        <f>'Business segments KK'!AS116</f>
        <v>8.8167462499999818</v>
      </c>
      <c r="AT74" s="375">
        <f>'Business segments KK'!AT116</f>
        <v>7.8098837499999814</v>
      </c>
      <c r="AU74" s="375">
        <f>'Business segments KK'!AU116</f>
        <v>8.3363043750000116</v>
      </c>
      <c r="AV74" s="375">
        <f>'Business segments KK'!AV116</f>
        <v>7.6984898124999885</v>
      </c>
      <c r="AW74" s="375">
        <f>'Business segments KK'!AW116</f>
        <v>32.661424187499961</v>
      </c>
      <c r="AX74" s="375">
        <f>'Business segments KK'!AX116</f>
        <v>9.1084960999999822</v>
      </c>
      <c r="AY74" s="375">
        <f>'Business segments KK'!AY116</f>
        <v>8.0977590999999816</v>
      </c>
      <c r="AZ74" s="375">
        <f>'Business segments KK'!AZ116</f>
        <v>8.6390965500000121</v>
      </c>
      <c r="BA74" s="375">
        <f>'Business segments KK'!BA116</f>
        <v>8.0455094049999882</v>
      </c>
      <c r="BB74" s="375">
        <f>'Business segments KK'!BB116</f>
        <v>33.890861155000039</v>
      </c>
      <c r="BC74" s="375">
        <f>'Business segments KK'!BC116</f>
        <v>9.3360609829999817</v>
      </c>
      <c r="BD74" s="375">
        <f>'Business segments KK'!BD116</f>
        <v>8.3223018729999811</v>
      </c>
      <c r="BE74" s="375">
        <f>'Business segments KK'!BE116</f>
        <v>8.8752744465000113</v>
      </c>
      <c r="BF74" s="375">
        <f>'Business segments KK'!BF116</f>
        <v>8.3161846871499883</v>
      </c>
      <c r="BG74" s="375">
        <f>'Business segments KK'!BG116</f>
        <v>34.849821989649968</v>
      </c>
      <c r="BH74" s="375">
        <f>'Business segments KK'!BH116</f>
        <v>9.4923222026599827</v>
      </c>
      <c r="BI74" s="375">
        <f>'Business segments KK'!BI116</f>
        <v>8.4764879104599817</v>
      </c>
      <c r="BJ74" s="375">
        <f>'Business segments KK'!BJ116</f>
        <v>9.0374499354300113</v>
      </c>
      <c r="BK74" s="375">
        <f>'Business segments KK'!BK116</f>
        <v>8.5020483808929885</v>
      </c>
      <c r="BL74" s="375">
        <f>'Business segments KK'!BL116</f>
        <v>35.508308429442991</v>
      </c>
    </row>
    <row r="75" spans="1:74">
      <c r="A75" s="5" t="s">
        <v>1652</v>
      </c>
      <c r="Y75" s="375">
        <f>'Business segments KK'!Y145</f>
        <v>79.5</v>
      </c>
      <c r="Z75" s="375">
        <f>'Business segments KK'!Z145</f>
        <v>94.899999999999977</v>
      </c>
      <c r="AA75" s="375">
        <f>'Business segments KK'!AA145</f>
        <v>89.600000000000023</v>
      </c>
      <c r="AB75" s="375">
        <f>'Business segments KK'!AB145</f>
        <v>46.599999999999966</v>
      </c>
      <c r="AC75" s="375">
        <f>'Business segments KK'!AC145</f>
        <v>310.60000000000014</v>
      </c>
      <c r="AD75" s="375">
        <f>'Business segments KK'!AD145</f>
        <v>81.899999999999977</v>
      </c>
      <c r="AE75" s="375">
        <f>'Business segments KK'!AE145</f>
        <v>80.800000000000011</v>
      </c>
      <c r="AF75" s="375">
        <f>'Business segments KK'!AF145</f>
        <v>82</v>
      </c>
      <c r="AG75" s="375">
        <f>'Business segments KK'!AG145</f>
        <v>75</v>
      </c>
      <c r="AH75" s="375">
        <f>'Business segments KK'!AH145</f>
        <v>319.70000000000027</v>
      </c>
      <c r="AI75" s="375">
        <f>'Business segments KK'!AI145</f>
        <v>96.699999999999989</v>
      </c>
      <c r="AJ75" s="375">
        <f>'Business segments KK'!AJ145</f>
        <v>95</v>
      </c>
      <c r="AK75" s="375">
        <f>'Business segments KK'!AK145</f>
        <v>95.300000000000011</v>
      </c>
      <c r="AL75" s="375">
        <f>'Business segments KK'!AL145</f>
        <v>77.195236129753653</v>
      </c>
      <c r="AM75" s="375">
        <f>'Business segments KK'!AM145</f>
        <v>364.19523612975365</v>
      </c>
      <c r="AN75" s="375">
        <f>'Business segments KK'!AN145</f>
        <v>98.117567958989383</v>
      </c>
      <c r="AO75" s="375">
        <f>'Business segments KK'!AO145</f>
        <v>98.837085909288064</v>
      </c>
      <c r="AP75" s="375">
        <f>'Business segments KK'!AP145</f>
        <v>96.564695112770835</v>
      </c>
      <c r="AQ75" s="375">
        <f>'Business segments KK'!AQ145</f>
        <v>78.538906895554277</v>
      </c>
      <c r="AR75" s="375">
        <f>'Business segments KK'!AR145</f>
        <v>372.05825587660252</v>
      </c>
      <c r="AS75" s="375">
        <f>'Business segments KK'!AS145</f>
        <v>100.45557881516807</v>
      </c>
      <c r="AT75" s="375">
        <f>'Business segments KK'!AT145</f>
        <v>102.37913229426427</v>
      </c>
      <c r="AU75" s="375">
        <f>'Business segments KK'!AU145</f>
        <v>100.05854629336078</v>
      </c>
      <c r="AV75" s="375">
        <f>'Business segments KK'!AV145</f>
        <v>83.203402978120749</v>
      </c>
      <c r="AW75" s="375">
        <f>'Business segments KK'!AW145</f>
        <v>386.09666038091382</v>
      </c>
      <c r="AX75" s="375">
        <f>'Business segments KK'!AX145</f>
        <v>105.66548773186312</v>
      </c>
      <c r="AY75" s="375">
        <f>'Business segments KK'!AY145</f>
        <v>106.78910605212091</v>
      </c>
      <c r="AZ75" s="375">
        <f>'Business segments KK'!AZ145</f>
        <v>106.03434442212843</v>
      </c>
      <c r="BA75" s="375">
        <f>'Business segments KK'!BA145</f>
        <v>88.084597000506292</v>
      </c>
      <c r="BB75" s="375">
        <f>'Business segments KK'!BB145</f>
        <v>406.57353520661871</v>
      </c>
      <c r="BC75" s="375">
        <f>'Business segments KK'!BC145</f>
        <v>111.4084971297157</v>
      </c>
      <c r="BD75" s="375">
        <f>'Business segments KK'!BD145</f>
        <v>112.97852989417204</v>
      </c>
      <c r="BE75" s="375">
        <f>'Business segments KK'!BE145</f>
        <v>112.07680116220885</v>
      </c>
      <c r="BF75" s="375">
        <f>'Business segments KK'!BF145</f>
        <v>94.321803142009529</v>
      </c>
      <c r="BG75" s="375">
        <f>'Business segments KK'!BG145</f>
        <v>430.78563132810615</v>
      </c>
      <c r="BH75" s="375">
        <f>'Business segments KK'!BH145</f>
        <v>117.89166093312352</v>
      </c>
      <c r="BI75" s="375">
        <f>'Business segments KK'!BI145</f>
        <v>119.04929434504082</v>
      </c>
      <c r="BJ75" s="375">
        <f>'Business segments KK'!BJ145</f>
        <v>118.88197441021904</v>
      </c>
      <c r="BK75" s="375">
        <f>'Business segments KK'!BK145</f>
        <v>100.46076284743189</v>
      </c>
      <c r="BL75" s="375">
        <f>'Business segments KK'!BL145</f>
        <v>456.28369253581531</v>
      </c>
    </row>
    <row r="76" spans="1:74">
      <c r="A76" s="5" t="s">
        <v>1653</v>
      </c>
      <c r="Y76" s="375">
        <f>'Business segments KK'!Y189</f>
        <v>6.9000000000000012</v>
      </c>
      <c r="Z76" s="375">
        <f>'Business segments KK'!Z189</f>
        <v>5.2999999999999989</v>
      </c>
      <c r="AA76" s="375">
        <f>'Business segments KK'!AA189</f>
        <v>6.6999999999999993</v>
      </c>
      <c r="AB76" s="375">
        <f>'Business segments KK'!AB189</f>
        <v>2.5</v>
      </c>
      <c r="AC76" s="375">
        <f>'Business segments KK'!AC189</f>
        <v>21.4</v>
      </c>
      <c r="AD76" s="375">
        <f>'Business segments KK'!AD189</f>
        <v>3.7999999999999985</v>
      </c>
      <c r="AE76" s="375">
        <f>'Business segments KK'!AE189</f>
        <v>5.6</v>
      </c>
      <c r="AF76" s="375">
        <f>'Business segments KK'!AF189</f>
        <v>1.4999999999999987</v>
      </c>
      <c r="AG76" s="375">
        <f>'Business segments KK'!AG189</f>
        <v>-10.100000000000003</v>
      </c>
      <c r="AH76" s="375">
        <f>'Business segments KK'!AH189</f>
        <v>0.79999999999999183</v>
      </c>
      <c r="AI76" s="375">
        <f>'Business segments KK'!AI189</f>
        <v>3.400000000000003</v>
      </c>
      <c r="AJ76" s="375">
        <f>'Business segments KK'!AJ189</f>
        <v>4.9999999999999982</v>
      </c>
      <c r="AK76" s="375">
        <f>'Business segments KK'!AK189</f>
        <v>3.5999999999999992</v>
      </c>
      <c r="AL76" s="375">
        <f>'Business segments KK'!AL189</f>
        <v>-0.89162205411008166</v>
      </c>
      <c r="AM76" s="375">
        <f>'Business segments KK'!AM189</f>
        <v>11.10837794588992</v>
      </c>
      <c r="AN76" s="375">
        <f>'Business segments KK'!AN189</f>
        <v>4.8088895511365974</v>
      </c>
      <c r="AO76" s="375">
        <f>'Business segments KK'!AO189</f>
        <v>6.3508778554136658</v>
      </c>
      <c r="AP76" s="375">
        <f>'Business segments KK'!AP189</f>
        <v>6.9605030303439435</v>
      </c>
      <c r="AQ76" s="375">
        <f>'Business segments KK'!AQ189</f>
        <v>0.43459722391623679</v>
      </c>
      <c r="AR76" s="375">
        <f>'Business segments KK'!AR189</f>
        <v>18.554867660810444</v>
      </c>
      <c r="AS76" s="375">
        <f>'Business segments KK'!AS189</f>
        <v>7.3677536457690289</v>
      </c>
      <c r="AT76" s="375">
        <f>'Business segments KK'!AT189</f>
        <v>4.7852924618866499</v>
      </c>
      <c r="AU76" s="375">
        <f>'Business segments KK'!AU189</f>
        <v>8.0885393451774039</v>
      </c>
      <c r="AV76" s="375">
        <f>'Business segments KK'!AV189</f>
        <v>8.0750559735402128</v>
      </c>
      <c r="AW76" s="375">
        <f>'Business segments KK'!AW189</f>
        <v>28.316641426373298</v>
      </c>
      <c r="AX76" s="375">
        <f>'Business segments KK'!AX189</f>
        <v>8.4062637089548886</v>
      </c>
      <c r="AY76" s="375">
        <f>'Business segments KK'!AY189</f>
        <v>13.149386331232485</v>
      </c>
      <c r="AZ76" s="375">
        <f>'Business segments KK'!AZ189</f>
        <v>10.968666560267383</v>
      </c>
      <c r="BA76" s="375">
        <f>'Business segments KK'!BA189</f>
        <v>9.2222015060241382</v>
      </c>
      <c r="BB76" s="375">
        <f>'Business segments KK'!BB189</f>
        <v>41.746518106478895</v>
      </c>
      <c r="BC76" s="375">
        <f>'Business segments KK'!BC189</f>
        <v>11.144633428258437</v>
      </c>
      <c r="BD76" s="375">
        <f>'Business segments KK'!BD189</f>
        <v>14.442368295073518</v>
      </c>
      <c r="BE76" s="375">
        <f>'Business segments KK'!BE189</f>
        <v>14.701964030399214</v>
      </c>
      <c r="BF76" s="375">
        <f>'Business segments KK'!BF189</f>
        <v>12.125044131246984</v>
      </c>
      <c r="BG76" s="375">
        <f>'Business segments KK'!BG189</f>
        <v>52.41400988497815</v>
      </c>
      <c r="BH76" s="375">
        <f>'Business segments KK'!BH189</f>
        <v>14.794908960746458</v>
      </c>
      <c r="BI76" s="375">
        <f>'Business segments KK'!BI189</f>
        <v>17.585478284830113</v>
      </c>
      <c r="BJ76" s="375">
        <f>'Business segments KK'!BJ189</f>
        <v>17.69135211277699</v>
      </c>
      <c r="BK76" s="375">
        <f>'Business segments KK'!BK189</f>
        <v>16.006168067694876</v>
      </c>
      <c r="BL76" s="375">
        <f>'Business segments KK'!BL189</f>
        <v>66.077907426048441</v>
      </c>
    </row>
    <row r="77" spans="1:74">
      <c r="A77" s="5" t="s">
        <v>192</v>
      </c>
      <c r="Y77" s="375">
        <f>'Business segments KK'!Y234</f>
        <v>3.1999999999999993</v>
      </c>
      <c r="Z77" s="375">
        <f>'Business segments KK'!Z234</f>
        <v>2.8999999999999986</v>
      </c>
      <c r="AA77" s="375">
        <f>'Business segments KK'!AA234</f>
        <v>-1.7999999999999972</v>
      </c>
      <c r="AB77" s="375">
        <f>'Business segments KK'!AB234</f>
        <v>5.3999999999999986</v>
      </c>
      <c r="AC77" s="375">
        <f>'Business segments KK'!AC234</f>
        <v>9.7000000000000171</v>
      </c>
      <c r="AD77" s="375">
        <f>'Business segments KK'!AD234</f>
        <v>2.3999999999999986</v>
      </c>
      <c r="AE77" s="375">
        <f>'Business segments KK'!AE234</f>
        <v>0.5</v>
      </c>
      <c r="AF77" s="375">
        <f>'Business segments KK'!AF234</f>
        <v>-1.4000000000000341</v>
      </c>
      <c r="AG77" s="375">
        <f>'Business segments KK'!AG234</f>
        <v>4.1999999999999957</v>
      </c>
      <c r="AH77" s="375">
        <f>'Business segments KK'!AH234</f>
        <v>5.6999999999999602</v>
      </c>
      <c r="AI77" s="375">
        <f>'Business segments KK'!AI234</f>
        <v>0.29999999999999716</v>
      </c>
      <c r="AJ77" s="375">
        <f>'Business segments KK'!AJ234</f>
        <v>4.7000000000000028</v>
      </c>
      <c r="AK77" s="375">
        <f>'Business segments KK'!AK234</f>
        <v>1.8000000000000043</v>
      </c>
      <c r="AL77" s="375">
        <f>'Business segments KK'!AL234</f>
        <v>2.5522500000000008</v>
      </c>
      <c r="AM77" s="375">
        <f>'Business segments KK'!AM234</f>
        <v>9.3522500000000051</v>
      </c>
      <c r="AN77" s="375">
        <f>'Business segments KK'!AN234</f>
        <v>1.8230500000000021</v>
      </c>
      <c r="AO77" s="375">
        <f>'Business segments KK'!AO234</f>
        <v>1.9240500000000011</v>
      </c>
      <c r="AP77" s="375">
        <f>'Business segments KK'!AP234</f>
        <v>2.3028000000000048</v>
      </c>
      <c r="AQ77" s="375">
        <f>'Business segments KK'!AQ234</f>
        <v>2.5777725000000018</v>
      </c>
      <c r="AR77" s="375">
        <f>'Business segments KK'!AR234</f>
        <v>8.6276725000000098</v>
      </c>
      <c r="AS77" s="375">
        <f>'Business segments KK'!AS234</f>
        <v>2.1174725750000007</v>
      </c>
      <c r="AT77" s="375">
        <f>'Business segments KK'!AT234</f>
        <v>2.2347840750000003</v>
      </c>
      <c r="AU77" s="375">
        <f>'Business segments KK'!AU234</f>
        <v>2.6747021999999987</v>
      </c>
      <c r="AV77" s="375">
        <f>'Business segments KK'!AV234</f>
        <v>2.9940827587499967</v>
      </c>
      <c r="AW77" s="375">
        <f>'Business segments KK'!AW234</f>
        <v>10.021041608749996</v>
      </c>
      <c r="AX77" s="375">
        <f>'Business segments KK'!AX234</f>
        <v>2.4176012964999956</v>
      </c>
      <c r="AY77" s="375">
        <f>'Business segments KK'!AY234</f>
        <v>2.5515404264999972</v>
      </c>
      <c r="AZ77" s="375">
        <f>'Business segments KK'!AZ234</f>
        <v>3.053812164</v>
      </c>
      <c r="BA77" s="375">
        <f>'Business segments KK'!BA234</f>
        <v>3.4184614454249953</v>
      </c>
      <c r="BB77" s="375">
        <f>'Business segments KK'!BB234</f>
        <v>11.441415332424988</v>
      </c>
      <c r="BC77" s="375">
        <f>'Business segments KK'!BC234</f>
        <v>2.7235208451724944</v>
      </c>
      <c r="BD77" s="375">
        <f>'Business segments KK'!BD234</f>
        <v>2.8744084266224945</v>
      </c>
      <c r="BE77" s="375">
        <f>'Business segments KK'!BE234</f>
        <v>3.4402368570599933</v>
      </c>
      <c r="BF77" s="375">
        <f>'Business segments KK'!BF234</f>
        <v>3.8510282975576189</v>
      </c>
      <c r="BG77" s="375">
        <f>'Business segments KK'!BG234</f>
        <v>12.889194426412601</v>
      </c>
      <c r="BH77" s="375">
        <f>'Business segments KK'!BH234</f>
        <v>3.0353170246887942</v>
      </c>
      <c r="BI77" s="375">
        <f>'Business segments KK'!BI234</f>
        <v>3.2034786327047939</v>
      </c>
      <c r="BJ77" s="375">
        <f>'Business segments KK'!BJ234</f>
        <v>3.8340846627647949</v>
      </c>
      <c r="BK77" s="375">
        <f>'Business segments KK'!BK234</f>
        <v>4.2919046405883492</v>
      </c>
      <c r="BL77" s="375">
        <f>'Business segments KK'!BL234</f>
        <v>14.364784960746732</v>
      </c>
    </row>
    <row r="78" spans="1:74">
      <c r="A78" s="5" t="s">
        <v>1654</v>
      </c>
      <c r="Y78" s="375">
        <f t="shared" ref="Y78:AK78" si="51">Y79-SUM(Y72:Y77)</f>
        <v>4.8000000000000114</v>
      </c>
      <c r="Z78" s="375">
        <f t="shared" si="51"/>
        <v>8.0000000000001137</v>
      </c>
      <c r="AA78" s="375">
        <f t="shared" si="51"/>
        <v>7.2000000000000455</v>
      </c>
      <c r="AB78" s="375">
        <f t="shared" si="51"/>
        <v>6.8999999999999773</v>
      </c>
      <c r="AC78" s="375">
        <f t="shared" si="51"/>
        <v>26.899999999999636</v>
      </c>
      <c r="AD78" s="375">
        <f t="shared" si="51"/>
        <v>0.70000000000010232</v>
      </c>
      <c r="AE78" s="375">
        <f t="shared" si="51"/>
        <v>-7.2999999999999545</v>
      </c>
      <c r="AF78" s="375">
        <f t="shared" si="51"/>
        <v>16.800000000000125</v>
      </c>
      <c r="AG78" s="375">
        <f t="shared" si="51"/>
        <v>22.600000000000136</v>
      </c>
      <c r="AH78" s="375">
        <f t="shared" si="51"/>
        <v>32.799999999999955</v>
      </c>
      <c r="AI78" s="375">
        <f t="shared" si="51"/>
        <v>-3.5</v>
      </c>
      <c r="AJ78" s="375">
        <f t="shared" si="51"/>
        <v>8.2999999999999545</v>
      </c>
      <c r="AK78" s="375">
        <f t="shared" si="51"/>
        <v>13.800000000000011</v>
      </c>
      <c r="AL78" s="377">
        <v>2.5</v>
      </c>
      <c r="AM78" s="375">
        <f>SUM(AI78:AL78)</f>
        <v>21.099999999999966</v>
      </c>
      <c r="AN78" s="377">
        <v>2.5</v>
      </c>
      <c r="AO78" s="377">
        <v>2.5</v>
      </c>
      <c r="AP78" s="377">
        <v>2.5</v>
      </c>
      <c r="AQ78" s="377">
        <v>2.5</v>
      </c>
      <c r="AR78" s="375">
        <f>SUM(AN78:AQ78)</f>
        <v>10</v>
      </c>
      <c r="AS78" s="377">
        <v>2.5</v>
      </c>
      <c r="AT78" s="377">
        <v>2.5</v>
      </c>
      <c r="AU78" s="377">
        <v>2.5</v>
      </c>
      <c r="AV78" s="377">
        <v>2.5</v>
      </c>
      <c r="AW78" s="375">
        <f>SUM(AS78:AV78)</f>
        <v>10</v>
      </c>
      <c r="AX78" s="377">
        <v>2.5</v>
      </c>
      <c r="AY78" s="377">
        <v>2.5</v>
      </c>
      <c r="AZ78" s="377">
        <v>2.5</v>
      </c>
      <c r="BA78" s="377">
        <v>2.5</v>
      </c>
      <c r="BB78" s="375">
        <f>SUM(AX78:BA78)</f>
        <v>10</v>
      </c>
      <c r="BC78" s="377">
        <v>2.5</v>
      </c>
      <c r="BD78" s="377">
        <v>2.5</v>
      </c>
      <c r="BE78" s="377">
        <v>2.5</v>
      </c>
      <c r="BF78" s="377">
        <v>2.5</v>
      </c>
      <c r="BG78" s="375">
        <f>SUM(BC78:BF78)</f>
        <v>10</v>
      </c>
      <c r="BH78" s="377">
        <v>2.5</v>
      </c>
      <c r="BI78" s="377">
        <v>2.5</v>
      </c>
      <c r="BJ78" s="377">
        <v>2.5</v>
      </c>
      <c r="BK78" s="377">
        <v>2.5</v>
      </c>
      <c r="BL78" s="375">
        <f>SUM(BH78:BK78)</f>
        <v>10</v>
      </c>
    </row>
    <row r="79" spans="1:74">
      <c r="A79" s="9" t="s">
        <v>1677</v>
      </c>
      <c r="B79" s="9"/>
      <c r="C79" s="9"/>
      <c r="D79" s="9"/>
      <c r="E79" s="9"/>
      <c r="F79" s="9"/>
      <c r="G79" s="9"/>
      <c r="H79" s="9"/>
      <c r="I79" s="9"/>
      <c r="J79" s="9"/>
      <c r="K79" s="9"/>
      <c r="L79" s="9"/>
      <c r="M79" s="9"/>
      <c r="N79" s="9"/>
      <c r="O79" s="9"/>
      <c r="P79" s="9"/>
      <c r="Q79" s="9"/>
      <c r="R79" s="9"/>
      <c r="S79" s="9"/>
      <c r="T79" s="9"/>
      <c r="U79" s="9"/>
      <c r="V79" s="9"/>
      <c r="W79" s="9"/>
      <c r="X79" s="9"/>
      <c r="Y79" s="395">
        <v>470</v>
      </c>
      <c r="Z79" s="395">
        <v>478.2</v>
      </c>
      <c r="AA79" s="395">
        <v>438.1</v>
      </c>
      <c r="AB79" s="395">
        <v>355.6</v>
      </c>
      <c r="AC79" s="378">
        <f>SUM(Y79:AB79)</f>
        <v>1741.9</v>
      </c>
      <c r="AD79" s="395">
        <v>430.6</v>
      </c>
      <c r="AE79" s="395">
        <v>427.6</v>
      </c>
      <c r="AF79" s="395">
        <v>404.9</v>
      </c>
      <c r="AG79" s="395">
        <v>303.3</v>
      </c>
      <c r="AH79" s="378">
        <f>SUM(AD79:AG79)</f>
        <v>1566.3999999999999</v>
      </c>
      <c r="AI79" s="395">
        <v>430.9</v>
      </c>
      <c r="AJ79" s="395">
        <v>459.7</v>
      </c>
      <c r="AK79" s="395">
        <v>418.4</v>
      </c>
      <c r="AL79" s="378">
        <f>SUM(AL72:AL78)</f>
        <v>296.17182297773013</v>
      </c>
      <c r="AM79" s="378">
        <f>SUM(AI79:AL79)</f>
        <v>1605.1718229777302</v>
      </c>
      <c r="AN79" s="378">
        <f t="shared" ref="AN79:AQ79" si="52">SUM(AN72:AN78)</f>
        <v>440.38619058469158</v>
      </c>
      <c r="AO79" s="378">
        <f t="shared" si="52"/>
        <v>454.98798376186511</v>
      </c>
      <c r="AP79" s="378">
        <f t="shared" si="52"/>
        <v>410.97799427645583</v>
      </c>
      <c r="AQ79" s="378">
        <f t="shared" si="52"/>
        <v>304.2374639267876</v>
      </c>
      <c r="AR79" s="378">
        <f>SUM(AN79:AQ79)</f>
        <v>1610.5896325497999</v>
      </c>
      <c r="AS79" s="378">
        <f t="shared" ref="AS79:AV79" si="53">SUM(AS72:AS78)</f>
        <v>444.81422524210006</v>
      </c>
      <c r="AT79" s="378">
        <f t="shared" si="53"/>
        <v>455.9073469534215</v>
      </c>
      <c r="AU79" s="378">
        <f t="shared" si="53"/>
        <v>414.91865244836487</v>
      </c>
      <c r="AV79" s="378">
        <f t="shared" si="53"/>
        <v>321.00504908260677</v>
      </c>
      <c r="AW79" s="378">
        <f>SUM(AS79:AV79)</f>
        <v>1636.6452737264931</v>
      </c>
      <c r="AX79" s="378">
        <f t="shared" ref="AX79:BA79" si="54">SUM(AX72:AX78)</f>
        <v>454.87499902757975</v>
      </c>
      <c r="AY79" s="378">
        <f t="shared" si="54"/>
        <v>472.62307187483884</v>
      </c>
      <c r="AZ79" s="378">
        <f t="shared" si="54"/>
        <v>427.99246832223577</v>
      </c>
      <c r="BA79" s="378">
        <f t="shared" si="54"/>
        <v>334.61857408741287</v>
      </c>
      <c r="BB79" s="378">
        <f>SUM(AX79:BA79)</f>
        <v>1690.1091133120672</v>
      </c>
      <c r="BC79" s="378">
        <f t="shared" ref="BC79:BF79" si="55">SUM(BC72:BC78)</f>
        <v>470.70460262984147</v>
      </c>
      <c r="BD79" s="378">
        <f t="shared" si="55"/>
        <v>488.03645729707875</v>
      </c>
      <c r="BE79" s="378">
        <f t="shared" si="55"/>
        <v>446.20870185500047</v>
      </c>
      <c r="BF79" s="378">
        <f t="shared" si="55"/>
        <v>353.69939751122956</v>
      </c>
      <c r="BG79" s="378">
        <f>SUM(BC79:BF79)</f>
        <v>1758.6491592931502</v>
      </c>
      <c r="BH79" s="378">
        <f t="shared" ref="BH79:BK79" si="56">SUM(BH72:BH78)</f>
        <v>490.9742930959361</v>
      </c>
      <c r="BI79" s="378">
        <f t="shared" si="56"/>
        <v>508.43875088410448</v>
      </c>
      <c r="BJ79" s="378">
        <f t="shared" si="56"/>
        <v>467.92164464872695</v>
      </c>
      <c r="BK79" s="378">
        <f t="shared" si="56"/>
        <v>375.37575758814722</v>
      </c>
      <c r="BL79" s="378">
        <f>SUM(BH79:BK79)</f>
        <v>1842.7104462169148</v>
      </c>
      <c r="BP79" s="378">
        <f>INDEX($Y79:$BL79, MATCH(BP$2, $Y$2:$BL$2, 0))</f>
        <v>1566.3999999999999</v>
      </c>
      <c r="BQ79" s="378">
        <f>INDEX($Y79:$BL79, MATCH(BQ$2, $Y$2:$BL$2, 0))</f>
        <v>1605.1718229777302</v>
      </c>
      <c r="BR79" s="378">
        <f t="shared" ref="BR79:BV79" si="57">INDEX($Y79:$BL79, MATCH(BR$2, $Y$2:$BL$2, 0))</f>
        <v>1610.5896325497999</v>
      </c>
      <c r="BS79" s="378">
        <f t="shared" si="57"/>
        <v>1636.6452737264931</v>
      </c>
      <c r="BT79" s="378">
        <f t="shared" si="57"/>
        <v>1690.1091133120672</v>
      </c>
      <c r="BU79" s="378">
        <f t="shared" si="57"/>
        <v>1758.6491592931502</v>
      </c>
      <c r="BV79" s="378">
        <f t="shared" si="57"/>
        <v>1842.7104462169148</v>
      </c>
    </row>
    <row r="80" spans="1:74">
      <c r="A80" s="1" t="s">
        <v>1112</v>
      </c>
      <c r="Y80" s="273">
        <f t="shared" ref="Y80:BL80" si="58">Y79/Y12</f>
        <v>0.3464543712221731</v>
      </c>
      <c r="Z80" s="273">
        <f t="shared" si="58"/>
        <v>0.34963807852599255</v>
      </c>
      <c r="AA80" s="273">
        <f t="shared" si="58"/>
        <v>0.30222130242825612</v>
      </c>
      <c r="AB80" s="273">
        <f t="shared" si="58"/>
        <v>0.2344409282700422</v>
      </c>
      <c r="AC80" s="273">
        <f t="shared" si="58"/>
        <v>0.30609591087212473</v>
      </c>
      <c r="AD80" s="273">
        <f t="shared" si="58"/>
        <v>0.31615271659324523</v>
      </c>
      <c r="AE80" s="273">
        <f t="shared" si="58"/>
        <v>0.29558965850960878</v>
      </c>
      <c r="AF80" s="273">
        <f t="shared" si="58"/>
        <v>0.26345240419025306</v>
      </c>
      <c r="AG80" s="273">
        <f t="shared" si="58"/>
        <v>0.19361634216406001</v>
      </c>
      <c r="AH80" s="273">
        <f t="shared" si="58"/>
        <v>0.26495263870094721</v>
      </c>
      <c r="AI80" s="273">
        <f t="shared" si="58"/>
        <v>0.30139190039868502</v>
      </c>
      <c r="AJ80" s="273">
        <f t="shared" si="58"/>
        <v>0.30563127451632205</v>
      </c>
      <c r="AK80" s="273">
        <f t="shared" si="58"/>
        <v>0.2651793636709342</v>
      </c>
      <c r="AL80" s="273">
        <f t="shared" si="58"/>
        <v>0.18477625983627688</v>
      </c>
      <c r="AM80" s="273">
        <f t="shared" si="58"/>
        <v>0.26252030580584235</v>
      </c>
      <c r="AN80" s="273">
        <f t="shared" si="58"/>
        <v>0.3022239291806153</v>
      </c>
      <c r="AO80" s="273">
        <f t="shared" si="58"/>
        <v>0.29747028787840119</v>
      </c>
      <c r="AP80" s="273">
        <f t="shared" si="58"/>
        <v>0.25609676509726104</v>
      </c>
      <c r="AQ80" s="273">
        <f t="shared" si="58"/>
        <v>0.18735633366193039</v>
      </c>
      <c r="AR80" s="273">
        <f t="shared" si="58"/>
        <v>0.25913320114653482</v>
      </c>
      <c r="AS80" s="273">
        <f t="shared" si="58"/>
        <v>0.30022449519679922</v>
      </c>
      <c r="AT80" s="273">
        <f t="shared" si="58"/>
        <v>0.29276270573127416</v>
      </c>
      <c r="AU80" s="273">
        <f t="shared" si="58"/>
        <v>0.25409266866979785</v>
      </c>
      <c r="AV80" s="273">
        <f t="shared" si="58"/>
        <v>0.19375255748998876</v>
      </c>
      <c r="AW80" s="273">
        <f t="shared" si="58"/>
        <v>0.25861156698271653</v>
      </c>
      <c r="AX80" s="273">
        <f t="shared" si="58"/>
        <v>0.29997833721625622</v>
      </c>
      <c r="AY80" s="273">
        <f t="shared" si="58"/>
        <v>0.29695472494558511</v>
      </c>
      <c r="AZ80" s="273">
        <f t="shared" si="58"/>
        <v>0.25604541209438242</v>
      </c>
      <c r="BA80" s="273">
        <f t="shared" si="58"/>
        <v>0.19726946784580116</v>
      </c>
      <c r="BB80" s="273">
        <f t="shared" si="58"/>
        <v>0.26099145478974728</v>
      </c>
      <c r="BC80" s="273">
        <f t="shared" si="58"/>
        <v>0.30302126670143281</v>
      </c>
      <c r="BD80" s="273">
        <f t="shared" si="58"/>
        <v>0.29913185975766993</v>
      </c>
      <c r="BE80" s="273">
        <f t="shared" si="58"/>
        <v>0.26059463496307989</v>
      </c>
      <c r="BF80" s="273">
        <f t="shared" si="58"/>
        <v>0.20308176905591019</v>
      </c>
      <c r="BG80" s="273">
        <f t="shared" si="58"/>
        <v>0.26490418726510628</v>
      </c>
      <c r="BH80" s="273">
        <f t="shared" si="58"/>
        <v>0.30816108361865918</v>
      </c>
      <c r="BI80" s="273">
        <f t="shared" si="58"/>
        <v>0.3038282034953676</v>
      </c>
      <c r="BJ80" s="273">
        <f t="shared" si="58"/>
        <v>0.26634725038662427</v>
      </c>
      <c r="BK80" s="273">
        <f t="shared" si="58"/>
        <v>0.20970185484139472</v>
      </c>
      <c r="BL80" s="273">
        <f t="shared" si="58"/>
        <v>0.27044847070584771</v>
      </c>
    </row>
    <row r="81" spans="1:64">
      <c r="A81" s="1" t="s">
        <v>28</v>
      </c>
      <c r="AD81" s="16">
        <f>AD79/Y79-1</f>
        <v>-8.3829787234042552E-2</v>
      </c>
      <c r="AE81" s="16">
        <f t="shared" ref="AE81:AH81" si="59">AE79/Z79-1</f>
        <v>-0.10581346716854867</v>
      </c>
      <c r="AF81" s="16">
        <f t="shared" si="59"/>
        <v>-7.5781784980598177E-2</v>
      </c>
      <c r="AG81" s="16">
        <f t="shared" si="59"/>
        <v>-0.14707536557930256</v>
      </c>
      <c r="AH81" s="16">
        <f t="shared" si="59"/>
        <v>-0.10075205235662221</v>
      </c>
      <c r="AI81" s="16">
        <f>AI79/AD79-1</f>
        <v>6.9670227589391232E-4</v>
      </c>
      <c r="AJ81" s="16">
        <f t="shared" ref="AJ81:AM81" si="60">AJ79/AE79-1</f>
        <v>7.5070159027128103E-2</v>
      </c>
      <c r="AK81" s="16">
        <f t="shared" si="60"/>
        <v>3.3341565818720609E-2</v>
      </c>
      <c r="AL81" s="16">
        <f t="shared" si="60"/>
        <v>-2.3502067333563748E-2</v>
      </c>
      <c r="AM81" s="16">
        <f t="shared" si="60"/>
        <v>2.4752185251360137E-2</v>
      </c>
      <c r="AN81" s="16">
        <f>AN79/AI79-1</f>
        <v>2.2014830783688932E-2</v>
      </c>
      <c r="AO81" s="16">
        <f t="shared" ref="AO81:AR81" si="61">AO79/AJ79-1</f>
        <v>-1.0250198473210514E-2</v>
      </c>
      <c r="AP81" s="16">
        <f t="shared" si="61"/>
        <v>-1.7739019415736523E-2</v>
      </c>
      <c r="AQ81" s="16">
        <f t="shared" si="61"/>
        <v>2.7232978707984357E-2</v>
      </c>
      <c r="AR81" s="16">
        <f t="shared" si="61"/>
        <v>3.3752209542396994E-3</v>
      </c>
      <c r="AS81" s="16">
        <f>AS79/AN79-1</f>
        <v>1.0054889894548058E-2</v>
      </c>
      <c r="AT81" s="16">
        <f t="shared" ref="AT81:AW81" si="62">AT79/AO79-1</f>
        <v>2.0206318064821538E-3</v>
      </c>
      <c r="AU81" s="16">
        <f t="shared" si="62"/>
        <v>9.5884894733762049E-3</v>
      </c>
      <c r="AV81" s="16">
        <f t="shared" si="62"/>
        <v>5.5113479252029807E-2</v>
      </c>
      <c r="AW81" s="16">
        <f t="shared" si="62"/>
        <v>1.6177703277180155E-2</v>
      </c>
      <c r="AX81" s="16">
        <f>AX79/AS79-1</f>
        <v>2.2617922751917208E-2</v>
      </c>
      <c r="AY81" s="16">
        <f t="shared" ref="AY81:BB81" si="63">AY79/AT79-1</f>
        <v>3.6664741274996748E-2</v>
      </c>
      <c r="AZ81" s="16">
        <f t="shared" si="63"/>
        <v>3.1509347185826764E-2</v>
      </c>
      <c r="BA81" s="16">
        <f t="shared" si="63"/>
        <v>4.2409068155506935E-2</v>
      </c>
      <c r="BB81" s="16">
        <f t="shared" si="63"/>
        <v>3.2666724087279997E-2</v>
      </c>
      <c r="BC81" s="16">
        <f>BC79/AX79-1</f>
        <v>3.4799898073320845E-2</v>
      </c>
      <c r="BD81" s="16">
        <f t="shared" ref="BD81:BG81" si="64">BD79/AY79-1</f>
        <v>3.261242698350908E-2</v>
      </c>
      <c r="BE81" s="16">
        <f t="shared" si="64"/>
        <v>4.2562042281196533E-2</v>
      </c>
      <c r="BF81" s="16">
        <f t="shared" si="64"/>
        <v>5.702260693643435E-2</v>
      </c>
      <c r="BG81" s="16">
        <f t="shared" si="64"/>
        <v>4.0553621917798433E-2</v>
      </c>
      <c r="BH81" s="16">
        <f>BH79/BC79-1</f>
        <v>4.3062443734026123E-2</v>
      </c>
      <c r="BI81" s="16">
        <f t="shared" ref="BI81:BL81" si="65">BI79/BD79-1</f>
        <v>4.180485552251767E-2</v>
      </c>
      <c r="BJ81" s="16">
        <f t="shared" si="65"/>
        <v>4.866095776138013E-2</v>
      </c>
      <c r="BK81" s="16">
        <f t="shared" si="65"/>
        <v>6.1284696070847744E-2</v>
      </c>
      <c r="BL81" s="16">
        <f t="shared" si="65"/>
        <v>4.7798781513392452E-2</v>
      </c>
    </row>
    <row r="82" spans="1:64">
      <c r="AM82" s="396">
        <v>1610</v>
      </c>
      <c r="AN82" s="262" t="s">
        <v>1655</v>
      </c>
    </row>
    <row r="83" spans="1:64">
      <c r="A83" s="3" t="s">
        <v>1678</v>
      </c>
    </row>
    <row r="84" spans="1:64">
      <c r="A84" s="5" t="s">
        <v>1649</v>
      </c>
      <c r="Y84" s="21">
        <f>Y72/Y$79</f>
        <v>0.61723404255319159</v>
      </c>
      <c r="Z84" s="21">
        <f t="shared" ref="Z84:AC86" si="66">Z72/Z$79</f>
        <v>0.59619406106231687</v>
      </c>
      <c r="AA84" s="21">
        <f t="shared" si="66"/>
        <v>0.59073270942707146</v>
      </c>
      <c r="AB84" s="21">
        <f t="shared" si="66"/>
        <v>0.63526434195725556</v>
      </c>
      <c r="AC84" s="21">
        <f t="shared" si="66"/>
        <v>0.60847350594178784</v>
      </c>
      <c r="AD84" s="21">
        <f>AD72/AD$79</f>
        <v>0.60496980956804447</v>
      </c>
      <c r="AE84" s="21">
        <f t="shared" ref="AE84:AH86" si="67">AE72/AE$79</f>
        <v>0.62464920486435915</v>
      </c>
      <c r="AF84" s="21">
        <f t="shared" si="67"/>
        <v>0.55050629785132099</v>
      </c>
      <c r="AG84" s="21">
        <f t="shared" si="67"/>
        <v>0.45928123969666979</v>
      </c>
      <c r="AH84" s="21">
        <f t="shared" si="67"/>
        <v>0.56805413687436146</v>
      </c>
      <c r="AI84" s="21">
        <f>AI72/AI$79</f>
        <v>0.57484335112555118</v>
      </c>
      <c r="AJ84" s="21">
        <f t="shared" ref="AJ84:AM86" si="68">AJ72/AJ$79</f>
        <v>0.56188818794866224</v>
      </c>
      <c r="AK84" s="21">
        <f t="shared" si="68"/>
        <v>0.51195028680688326</v>
      </c>
      <c r="AL84" s="21">
        <f t="shared" si="68"/>
        <v>0.46608791316516834</v>
      </c>
      <c r="AM84" s="21">
        <f t="shared" si="68"/>
        <v>0.53467304535529536</v>
      </c>
      <c r="AN84" s="21">
        <f>AN72/AN$79</f>
        <v>0.55190745379996764</v>
      </c>
      <c r="AO84" s="21">
        <f t="shared" ref="AO84:AR86" si="69">AO72/AO$79</f>
        <v>0.55489413775864704</v>
      </c>
      <c r="AP84" s="21">
        <f t="shared" si="69"/>
        <v>0.50713247920096027</v>
      </c>
      <c r="AQ84" s="21">
        <f t="shared" si="69"/>
        <v>0.45709919120851222</v>
      </c>
      <c r="AR84" s="21">
        <f t="shared" si="69"/>
        <v>0.5234167393530671</v>
      </c>
      <c r="AS84" s="21">
        <f>AS72/AS$79</f>
        <v>0.53742220849885414</v>
      </c>
      <c r="AT84" s="21">
        <f t="shared" ref="AT84:AW86" si="70">AT72/AT$79</f>
        <v>0.54311014399698221</v>
      </c>
      <c r="AU84" s="21">
        <f t="shared" si="70"/>
        <v>0.49131241555898364</v>
      </c>
      <c r="AV84" s="21">
        <f t="shared" si="70"/>
        <v>0.43524218973210566</v>
      </c>
      <c r="AW84" s="21">
        <f t="shared" si="70"/>
        <v>0.50727582045727693</v>
      </c>
      <c r="AX84" s="21">
        <f>AX72/AX$79</f>
        <v>0.52127129493321389</v>
      </c>
      <c r="AY84" s="21">
        <f t="shared" ref="AY84:BB86" si="71">AY72/AY$79</f>
        <v>0.51888681892580335</v>
      </c>
      <c r="AZ84" s="21">
        <f t="shared" si="71"/>
        <v>0.47113627379587053</v>
      </c>
      <c r="BA84" s="21">
        <f t="shared" si="71"/>
        <v>0.42159585859117005</v>
      </c>
      <c r="BB84" s="21">
        <f t="shared" si="71"/>
        <v>0.48817424707925078</v>
      </c>
      <c r="BC84" s="21">
        <f>BC72/BC$79</f>
        <v>0.50341149758762038</v>
      </c>
      <c r="BD84" s="21">
        <f t="shared" ref="BD84:BG86" si="72">BD72/BD$79</f>
        <v>0.50178576984653511</v>
      </c>
      <c r="BE84" s="21">
        <f t="shared" si="72"/>
        <v>0.45192303958738089</v>
      </c>
      <c r="BF84" s="21">
        <f t="shared" si="72"/>
        <v>0.40401389375341312</v>
      </c>
      <c r="BG84" s="21">
        <f t="shared" si="72"/>
        <v>0.46990573284145892</v>
      </c>
      <c r="BH84" s="21">
        <f>BH72/BH$79</f>
        <v>0.48350959745122718</v>
      </c>
      <c r="BI84" s="21">
        <f t="shared" ref="BI84:BL86" si="73">BI72/BI$79</f>
        <v>0.48249063640564616</v>
      </c>
      <c r="BJ84" s="21">
        <f t="shared" si="73"/>
        <v>0.43303865561747629</v>
      </c>
      <c r="BK84" s="21">
        <f t="shared" si="73"/>
        <v>0.38374934909331221</v>
      </c>
      <c r="BL84" s="21">
        <f t="shared" si="73"/>
        <v>0.45009029149244445</v>
      </c>
    </row>
    <row r="85" spans="1:64">
      <c r="A85" s="5" t="s">
        <v>1650</v>
      </c>
      <c r="Y85" s="21">
        <f>Y73/Y$79</f>
        <v>0.16702127659574467</v>
      </c>
      <c r="Z85" s="21">
        <f t="shared" si="66"/>
        <v>0.15683814303638646</v>
      </c>
      <c r="AA85" s="21">
        <f t="shared" si="66"/>
        <v>0.16115042227801871</v>
      </c>
      <c r="AB85" s="21">
        <f t="shared" si="66"/>
        <v>0.1766029246344207</v>
      </c>
      <c r="AC85" s="21">
        <f t="shared" si="66"/>
        <v>0.16470520695791943</v>
      </c>
      <c r="AD85" s="21">
        <f>AD73/AD$79</f>
        <v>0.1737111007895959</v>
      </c>
      <c r="AE85" s="21">
        <f t="shared" si="67"/>
        <v>0.17118802619270343</v>
      </c>
      <c r="AF85" s="21">
        <f t="shared" si="67"/>
        <v>0.18671276858483582</v>
      </c>
      <c r="AG85" s="21">
        <f t="shared" si="67"/>
        <v>0.21628750412133199</v>
      </c>
      <c r="AH85" s="21">
        <f t="shared" si="67"/>
        <v>0.18462717058222675</v>
      </c>
      <c r="AI85" s="21">
        <f>AI73/AI$79</f>
        <v>0.18101647714086797</v>
      </c>
      <c r="AJ85" s="21">
        <f t="shared" si="68"/>
        <v>0.17641940395910383</v>
      </c>
      <c r="AK85" s="21">
        <f t="shared" si="68"/>
        <v>0.19574569789674956</v>
      </c>
      <c r="AL85" s="21">
        <f t="shared" si="68"/>
        <v>0.23530260674835643</v>
      </c>
      <c r="AM85" s="21">
        <f t="shared" si="68"/>
        <v>0.19355560416935075</v>
      </c>
      <c r="AN85" s="21">
        <f>AN73/AN$79</f>
        <v>0.18532560440177037</v>
      </c>
      <c r="AO85" s="21">
        <f t="shared" si="69"/>
        <v>0.18778216811500531</v>
      </c>
      <c r="AP85" s="21">
        <f t="shared" si="69"/>
        <v>0.20987466652743181</v>
      </c>
      <c r="AQ85" s="21">
        <f t="shared" si="69"/>
        <v>0.24268581655946619</v>
      </c>
      <c r="AR85" s="21">
        <f t="shared" si="69"/>
        <v>0.20311906102326238</v>
      </c>
      <c r="AS85" s="21">
        <f>AS73/AS$79</f>
        <v>0.18997510839239426</v>
      </c>
      <c r="AT85" s="21">
        <f t="shared" si="70"/>
        <v>0.1943165647825516</v>
      </c>
      <c r="AU85" s="21">
        <f t="shared" si="70"/>
        <v>0.21547808061260479</v>
      </c>
      <c r="AV85" s="21">
        <f t="shared" si="70"/>
        <v>0.23930800247989725</v>
      </c>
      <c r="AW85" s="21">
        <f t="shared" si="70"/>
        <v>0.20732588639884453</v>
      </c>
      <c r="AX85" s="21">
        <f>AX73/AX$79</f>
        <v>0.19711760506972675</v>
      </c>
      <c r="AY85" s="21">
        <f t="shared" si="71"/>
        <v>0.19951924326259105</v>
      </c>
      <c r="AZ85" s="21">
        <f t="shared" si="71"/>
        <v>0.22232580928541776</v>
      </c>
      <c r="BA85" s="21">
        <f t="shared" si="71"/>
        <v>0.2458739772946047</v>
      </c>
      <c r="BB85" s="21">
        <f t="shared" si="71"/>
        <v>0.21382586295297842</v>
      </c>
      <c r="BC85" s="21">
        <f>BC73/BC$79</f>
        <v>0.20529601956837598</v>
      </c>
      <c r="BD85" s="21">
        <f t="shared" si="72"/>
        <v>0.20906040490354821</v>
      </c>
      <c r="BE85" s="21">
        <f t="shared" si="72"/>
        <v>0.23074949479501583</v>
      </c>
      <c r="BF85" s="21">
        <f t="shared" si="72"/>
        <v>0.25356522255220959</v>
      </c>
      <c r="BG85" s="21">
        <f t="shared" si="72"/>
        <v>0.22250667655202966</v>
      </c>
      <c r="BH85" s="21">
        <f>BH73/BH$79</f>
        <v>0.21563104759196339</v>
      </c>
      <c r="BI85" s="21">
        <f t="shared" si="73"/>
        <v>0.22088614415879781</v>
      </c>
      <c r="BJ85" s="21">
        <f t="shared" si="73"/>
        <v>0.24223847067306495</v>
      </c>
      <c r="BK85" s="21">
        <f t="shared" si="73"/>
        <v>0.26524001350379806</v>
      </c>
      <c r="BL85" s="21">
        <f t="shared" si="73"/>
        <v>0.2339432502138058</v>
      </c>
    </row>
    <row r="86" spans="1:64">
      <c r="A86" s="5" t="s">
        <v>1651</v>
      </c>
      <c r="Y86" s="21">
        <f>Y74/Y$79</f>
        <v>1.4893617021276596E-2</v>
      </c>
      <c r="Z86" s="21">
        <f t="shared" si="66"/>
        <v>1.463822668339607E-2</v>
      </c>
      <c r="AA86" s="21">
        <f t="shared" si="66"/>
        <v>1.5978087194704404E-2</v>
      </c>
      <c r="AB86" s="21">
        <f t="shared" si="66"/>
        <v>1.546681664791901E-2</v>
      </c>
      <c r="AC86" s="21">
        <f t="shared" si="66"/>
        <v>1.5213272862965727E-2</v>
      </c>
      <c r="AD86" s="21">
        <f>AD74/AD$79</f>
        <v>1.5095215977705493E-2</v>
      </c>
      <c r="AE86" s="21">
        <f t="shared" si="67"/>
        <v>1.8007483629560308E-2</v>
      </c>
      <c r="AF86" s="21">
        <f t="shared" si="67"/>
        <v>1.8523092121511486E-2</v>
      </c>
      <c r="AG86" s="21">
        <f t="shared" si="67"/>
        <v>2.2090339597757958E-2</v>
      </c>
      <c r="AH86" s="21">
        <f t="shared" si="67"/>
        <v>1.8130745658835535E-2</v>
      </c>
      <c r="AI86" s="21">
        <f>AI74/AI$79</f>
        <v>1.9262009747041037E-2</v>
      </c>
      <c r="AJ86" s="21">
        <f t="shared" si="68"/>
        <v>1.5879921688057391E-2</v>
      </c>
      <c r="AK86" s="21">
        <f t="shared" si="68"/>
        <v>1.8642447418738078E-2</v>
      </c>
      <c r="AL86" s="21">
        <f t="shared" si="68"/>
        <v>2.3918041658313457E-2</v>
      </c>
      <c r="AM86" s="21">
        <f t="shared" si="68"/>
        <v>1.8991019879385763E-2</v>
      </c>
      <c r="AN86" s="21">
        <f>AN74/AN$79</f>
        <v>1.9231813306305773E-2</v>
      </c>
      <c r="AO86" s="21">
        <f t="shared" si="69"/>
        <v>1.6411807050948857E-2</v>
      </c>
      <c r="AP86" s="21">
        <f t="shared" si="69"/>
        <v>1.9406969743092476E-2</v>
      </c>
      <c r="AQ86" s="21">
        <f t="shared" si="69"/>
        <v>2.3946331776395414E-2</v>
      </c>
      <c r="AR86" s="21">
        <f t="shared" si="69"/>
        <v>1.9370426904219674E-2</v>
      </c>
      <c r="AS86" s="21">
        <f>AS74/AS$79</f>
        <v>1.9821187699654325E-2</v>
      </c>
      <c r="AT86" s="21">
        <f t="shared" si="70"/>
        <v>1.7130418718165317E-2</v>
      </c>
      <c r="AU86" s="21">
        <f t="shared" si="70"/>
        <v>2.0091418705350767E-2</v>
      </c>
      <c r="AV86" s="21">
        <f t="shared" si="70"/>
        <v>2.3982457081286827E-2</v>
      </c>
      <c r="AW86" s="21">
        <f t="shared" si="70"/>
        <v>1.9956324508323575E-2</v>
      </c>
      <c r="AX86" s="21">
        <f>AX74/AX$79</f>
        <v>2.0024173936734037E-2</v>
      </c>
      <c r="AY86" s="21">
        <f t="shared" si="71"/>
        <v>1.713365170235373E-2</v>
      </c>
      <c r="AZ86" s="21">
        <f t="shared" si="71"/>
        <v>2.0185160229258127E-2</v>
      </c>
      <c r="BA86" s="21">
        <f t="shared" si="71"/>
        <v>2.40438219155708E-2</v>
      </c>
      <c r="BB86" s="21">
        <f t="shared" si="71"/>
        <v>2.0052469327607441E-2</v>
      </c>
      <c r="BC86" s="21">
        <f>BC74/BC$79</f>
        <v>1.9834224970053646E-2</v>
      </c>
      <c r="BD86" s="21">
        <f t="shared" si="72"/>
        <v>1.7052623320585266E-2</v>
      </c>
      <c r="BE86" s="21">
        <f t="shared" si="72"/>
        <v>1.9890410943586016E-2</v>
      </c>
      <c r="BF86" s="21">
        <f t="shared" si="72"/>
        <v>2.3512012589407813E-2</v>
      </c>
      <c r="BG86" s="21">
        <f t="shared" si="72"/>
        <v>1.9816244647486755E-2</v>
      </c>
      <c r="BH86" s="21">
        <f>BH74/BH$79</f>
        <v>1.9333644013832692E-2</v>
      </c>
      <c r="BI86" s="21">
        <f t="shared" si="73"/>
        <v>1.6671600848126827E-2</v>
      </c>
      <c r="BJ86" s="21">
        <f t="shared" si="73"/>
        <v>1.9314024129434122E-2</v>
      </c>
      <c r="BK86" s="21">
        <f t="shared" si="73"/>
        <v>2.2649433824709641E-2</v>
      </c>
      <c r="BL86" s="21">
        <f t="shared" si="73"/>
        <v>1.9269608256870505E-2</v>
      </c>
    </row>
    <row r="87" spans="1:64">
      <c r="A87" s="288" t="s">
        <v>1679</v>
      </c>
      <c r="B87" s="9"/>
      <c r="C87" s="9"/>
      <c r="D87" s="9"/>
      <c r="E87" s="9"/>
      <c r="F87" s="9"/>
      <c r="G87" s="9"/>
      <c r="H87" s="9"/>
      <c r="I87" s="9"/>
      <c r="J87" s="9"/>
      <c r="K87" s="9"/>
      <c r="L87" s="9"/>
      <c r="M87" s="9"/>
      <c r="N87" s="9"/>
      <c r="O87" s="9"/>
      <c r="P87" s="9"/>
      <c r="Q87" s="9"/>
      <c r="R87" s="9"/>
      <c r="S87" s="9"/>
      <c r="T87" s="9"/>
      <c r="U87" s="9"/>
      <c r="V87" s="9"/>
      <c r="W87" s="9"/>
      <c r="X87" s="9"/>
      <c r="Y87" s="397">
        <f>SUM(Y84:Y86)</f>
        <v>0.79914893617021288</v>
      </c>
      <c r="Z87" s="397">
        <f t="shared" ref="Z87:AC87" si="74">SUM(Z84:Z86)</f>
        <v>0.7676704307820994</v>
      </c>
      <c r="AA87" s="397">
        <f t="shared" si="74"/>
        <v>0.76786121889979453</v>
      </c>
      <c r="AB87" s="397">
        <f t="shared" si="74"/>
        <v>0.82733408323959534</v>
      </c>
      <c r="AC87" s="397">
        <f t="shared" si="74"/>
        <v>0.788391985762673</v>
      </c>
      <c r="AD87" s="397">
        <f>SUM(AD84:AD86)</f>
        <v>0.79377612633534589</v>
      </c>
      <c r="AE87" s="397">
        <f t="shared" ref="AE87:AH87" si="75">SUM(AE84:AE86)</f>
        <v>0.81384471468662289</v>
      </c>
      <c r="AF87" s="397">
        <f t="shared" si="75"/>
        <v>0.75574215855766835</v>
      </c>
      <c r="AG87" s="397">
        <f t="shared" si="75"/>
        <v>0.69765908341575977</v>
      </c>
      <c r="AH87" s="397">
        <f t="shared" si="75"/>
        <v>0.77081205311542378</v>
      </c>
      <c r="AI87" s="397">
        <f>SUM(AI84:AI86)</f>
        <v>0.77512183801346024</v>
      </c>
      <c r="AJ87" s="397">
        <f t="shared" ref="AJ87:AM87" si="76">SUM(AJ84:AJ86)</f>
        <v>0.75418751359582348</v>
      </c>
      <c r="AK87" s="397">
        <f t="shared" si="76"/>
        <v>0.72633843212237093</v>
      </c>
      <c r="AL87" s="397">
        <f t="shared" si="76"/>
        <v>0.72530856157183821</v>
      </c>
      <c r="AM87" s="397">
        <f t="shared" si="76"/>
        <v>0.74721966940403195</v>
      </c>
      <c r="AN87" s="397">
        <f>SUM(AN84:AN86)</f>
        <v>0.75646487150804376</v>
      </c>
      <c r="AO87" s="397">
        <f t="shared" ref="AO87:AR87" si="77">SUM(AO84:AO86)</f>
        <v>0.75908811292460121</v>
      </c>
      <c r="AP87" s="397">
        <f t="shared" si="77"/>
        <v>0.73641411547148461</v>
      </c>
      <c r="AQ87" s="397">
        <f t="shared" si="77"/>
        <v>0.72373133954437374</v>
      </c>
      <c r="AR87" s="397">
        <f t="shared" si="77"/>
        <v>0.74590622728054912</v>
      </c>
      <c r="AS87" s="397">
        <f>SUM(AS84:AS86)</f>
        <v>0.74721850459090278</v>
      </c>
      <c r="AT87" s="397">
        <f t="shared" ref="AT87:AW87" si="78">SUM(AT84:AT86)</f>
        <v>0.75455712749769921</v>
      </c>
      <c r="AU87" s="397">
        <f t="shared" si="78"/>
        <v>0.72688191487693921</v>
      </c>
      <c r="AV87" s="397">
        <f t="shared" si="78"/>
        <v>0.69853264929328984</v>
      </c>
      <c r="AW87" s="397">
        <f t="shared" si="78"/>
        <v>0.73455803136444509</v>
      </c>
      <c r="AX87" s="397">
        <f>SUM(AX84:AX86)</f>
        <v>0.7384130739396747</v>
      </c>
      <c r="AY87" s="397">
        <f t="shared" ref="AY87:BB87" si="79">SUM(AY84:AY86)</f>
        <v>0.73553971389074813</v>
      </c>
      <c r="AZ87" s="397">
        <f t="shared" si="79"/>
        <v>0.71364724331054641</v>
      </c>
      <c r="BA87" s="397">
        <f t="shared" si="79"/>
        <v>0.69151365780134544</v>
      </c>
      <c r="BB87" s="397">
        <f t="shared" si="79"/>
        <v>0.72205257935983658</v>
      </c>
      <c r="BC87" s="397">
        <f>SUM(BC84:BC86)</f>
        <v>0.72854174212604994</v>
      </c>
      <c r="BD87" s="397">
        <f t="shared" ref="BD87:BG87" si="80">SUM(BD84:BD86)</f>
        <v>0.7278987980706686</v>
      </c>
      <c r="BE87" s="397">
        <f t="shared" si="80"/>
        <v>0.70256294532598274</v>
      </c>
      <c r="BF87" s="397">
        <f t="shared" si="80"/>
        <v>0.68109112889503054</v>
      </c>
      <c r="BG87" s="397">
        <f t="shared" si="80"/>
        <v>0.71222865404097535</v>
      </c>
      <c r="BH87" s="397">
        <f>SUM(BH84:BH86)</f>
        <v>0.71847428905702315</v>
      </c>
      <c r="BI87" s="397">
        <f t="shared" ref="BI87:BL87" si="81">SUM(BI84:BI86)</f>
        <v>0.72004838141257077</v>
      </c>
      <c r="BJ87" s="397">
        <f t="shared" si="81"/>
        <v>0.69459115041997543</v>
      </c>
      <c r="BK87" s="397">
        <f t="shared" si="81"/>
        <v>0.67163879642181989</v>
      </c>
      <c r="BL87" s="397">
        <f t="shared" si="81"/>
        <v>0.70330314996312071</v>
      </c>
    </row>
    <row r="88" spans="1:64">
      <c r="A88" s="5" t="s">
        <v>1652</v>
      </c>
      <c r="Y88" s="21">
        <f>Y75/Y$79</f>
        <v>0.16914893617021276</v>
      </c>
      <c r="Z88" s="21">
        <f t="shared" ref="Z88:AC90" si="82">Z75/Z$79</f>
        <v>0.19845253032204094</v>
      </c>
      <c r="AA88" s="21">
        <f t="shared" si="82"/>
        <v>0.20451951609221644</v>
      </c>
      <c r="AB88" s="21">
        <f t="shared" si="82"/>
        <v>0.13104611923509552</v>
      </c>
      <c r="AC88" s="21">
        <f t="shared" si="82"/>
        <v>0.17831103966932665</v>
      </c>
      <c r="AD88" s="21">
        <f>AD75/AD$79</f>
        <v>0.19019972131908958</v>
      </c>
      <c r="AE88" s="21">
        <f t="shared" ref="AE88:AH90" si="83">AE75/AE$79</f>
        <v>0.1889616463985033</v>
      </c>
      <c r="AF88" s="21">
        <f t="shared" si="83"/>
        <v>0.20251914052852557</v>
      </c>
      <c r="AG88" s="21">
        <f t="shared" si="83"/>
        <v>0.2472799208704253</v>
      </c>
      <c r="AH88" s="21">
        <f t="shared" si="83"/>
        <v>0.20409856996935669</v>
      </c>
      <c r="AI88" s="21">
        <f>AI75/AI$79</f>
        <v>0.22441401717335807</v>
      </c>
      <c r="AJ88" s="21">
        <f t="shared" ref="AJ88:AM90" si="84">AJ75/AJ$79</f>
        <v>0.20665651511855559</v>
      </c>
      <c r="AK88" s="21">
        <f t="shared" si="84"/>
        <v>0.22777246653919697</v>
      </c>
      <c r="AL88" s="21">
        <f t="shared" si="84"/>
        <v>0.26064341757304221</v>
      </c>
      <c r="AM88" s="21">
        <f t="shared" si="84"/>
        <v>0.22688863018673011</v>
      </c>
      <c r="AN88" s="21">
        <f>AN75/AN$79</f>
        <v>0.22279892071256988</v>
      </c>
      <c r="AO88" s="21">
        <f t="shared" ref="AO88:AR90" si="85">AO75/AO$79</f>
        <v>0.21723010153388606</v>
      </c>
      <c r="AP88" s="21">
        <f t="shared" si="85"/>
        <v>0.23496317675786285</v>
      </c>
      <c r="AQ88" s="21">
        <f t="shared" si="85"/>
        <v>0.25815001835031748</v>
      </c>
      <c r="AR88" s="21">
        <f t="shared" si="85"/>
        <v>0.23100748220239048</v>
      </c>
      <c r="AS88" s="21">
        <f>AS75/AS$79</f>
        <v>0.22583715428725976</v>
      </c>
      <c r="AT88" s="21">
        <f t="shared" ref="AT88:AW90" si="86">AT75/AT$79</f>
        <v>0.22456126881570959</v>
      </c>
      <c r="AU88" s="21">
        <f t="shared" si="86"/>
        <v>0.24115220104695753</v>
      </c>
      <c r="AV88" s="21">
        <f t="shared" si="86"/>
        <v>0.25919655536853986</v>
      </c>
      <c r="AW88" s="21">
        <f t="shared" si="86"/>
        <v>0.23590735670033536</v>
      </c>
      <c r="AX88" s="21">
        <f>AX75/AX$79</f>
        <v>0.23229565915416792</v>
      </c>
      <c r="AY88" s="21">
        <f t="shared" ref="AY88:BB90" si="87">AY75/AY$79</f>
        <v>0.22594983699907281</v>
      </c>
      <c r="AZ88" s="21">
        <f t="shared" si="87"/>
        <v>0.24774815509672735</v>
      </c>
      <c r="BA88" s="21">
        <f t="shared" si="87"/>
        <v>0.26323881524130766</v>
      </c>
      <c r="BB88" s="21">
        <f t="shared" si="87"/>
        <v>0.24056052476391071</v>
      </c>
      <c r="BC88" s="21">
        <f>BC75/BC$79</f>
        <v>0.23668452891106845</v>
      </c>
      <c r="BD88" s="21">
        <f t="shared" ref="BD88:BG90" si="88">BD75/BD$79</f>
        <v>0.23149608641921493</v>
      </c>
      <c r="BE88" s="21">
        <f t="shared" si="88"/>
        <v>0.25117574062602932</v>
      </c>
      <c r="BF88" s="21">
        <f t="shared" si="88"/>
        <v>0.26667221885503756</v>
      </c>
      <c r="BG88" s="21">
        <f t="shared" si="88"/>
        <v>0.24495257001757578</v>
      </c>
      <c r="BH88" s="21">
        <f>BH75/BH$79</f>
        <v>0.24011778740946738</v>
      </c>
      <c r="BI88" s="21">
        <f t="shared" ref="BI88:BL90" si="89">BI75/BI$79</f>
        <v>0.23414677606305698</v>
      </c>
      <c r="BJ88" s="21">
        <f t="shared" si="89"/>
        <v>0.25406384972737223</v>
      </c>
      <c r="BK88" s="21">
        <f t="shared" si="89"/>
        <v>0.26762719972357646</v>
      </c>
      <c r="BL88" s="21">
        <f t="shared" si="89"/>
        <v>0.24761551304632037</v>
      </c>
    </row>
    <row r="89" spans="1:64">
      <c r="A89" s="5" t="s">
        <v>1653</v>
      </c>
      <c r="Y89" s="21">
        <f>Y76/Y$79</f>
        <v>1.468085106382979E-2</v>
      </c>
      <c r="Z89" s="21">
        <f t="shared" si="82"/>
        <v>1.1083228774571307E-2</v>
      </c>
      <c r="AA89" s="21">
        <f t="shared" si="82"/>
        <v>1.5293312029217071E-2</v>
      </c>
      <c r="AB89" s="21">
        <f t="shared" si="82"/>
        <v>7.0303712035995492E-3</v>
      </c>
      <c r="AC89" s="21">
        <f t="shared" si="82"/>
        <v>1.228543544405534E-2</v>
      </c>
      <c r="AD89" s="21">
        <f>AD76/AD$79</f>
        <v>8.8248954946586119E-3</v>
      </c>
      <c r="AE89" s="21">
        <f t="shared" si="83"/>
        <v>1.3096351730589335E-2</v>
      </c>
      <c r="AF89" s="21">
        <f t="shared" si="83"/>
        <v>3.7046184243022936E-3</v>
      </c>
      <c r="AG89" s="21">
        <f t="shared" si="83"/>
        <v>-3.3300362677217289E-2</v>
      </c>
      <c r="AH89" s="21">
        <f t="shared" si="83"/>
        <v>5.1072522982634823E-4</v>
      </c>
      <c r="AI89" s="21">
        <f>AI76/AI$79</f>
        <v>7.890461824089123E-3</v>
      </c>
      <c r="AJ89" s="21">
        <f t="shared" si="84"/>
        <v>1.087665869045029E-2</v>
      </c>
      <c r="AK89" s="21">
        <f t="shared" si="84"/>
        <v>8.6042065009560211E-3</v>
      </c>
      <c r="AL89" s="21">
        <f t="shared" si="84"/>
        <v>-3.0104891314293759E-3</v>
      </c>
      <c r="AM89" s="21">
        <f t="shared" si="84"/>
        <v>6.9203668958522672E-3</v>
      </c>
      <c r="AN89" s="21">
        <f>AN76/AN$79</f>
        <v>1.0919710140665253E-2</v>
      </c>
      <c r="AO89" s="21">
        <f t="shared" si="85"/>
        <v>1.3958341938844772E-2</v>
      </c>
      <c r="AP89" s="21">
        <f t="shared" si="85"/>
        <v>1.6936437296595903E-2</v>
      </c>
      <c r="AQ89" s="21">
        <f t="shared" si="85"/>
        <v>1.4284803005747487E-3</v>
      </c>
      <c r="AR89" s="21">
        <f t="shared" si="85"/>
        <v>1.1520543337557292E-2</v>
      </c>
      <c r="AS89" s="21">
        <f>AS76/AS$79</f>
        <v>1.6563664621469704E-2</v>
      </c>
      <c r="AT89" s="21">
        <f t="shared" si="86"/>
        <v>1.0496195101623459E-2</v>
      </c>
      <c r="AU89" s="21">
        <f t="shared" si="86"/>
        <v>1.9494277486558631E-2</v>
      </c>
      <c r="AV89" s="21">
        <f t="shared" si="86"/>
        <v>2.5155541934987428E-2</v>
      </c>
      <c r="AW89" s="21">
        <f t="shared" si="86"/>
        <v>1.7301636390577704E-2</v>
      </c>
      <c r="AX89" s="21">
        <f>AX76/AX$79</f>
        <v>1.8480381922342592E-2</v>
      </c>
      <c r="AY89" s="21">
        <f t="shared" si="87"/>
        <v>2.7822142239206503E-2</v>
      </c>
      <c r="AZ89" s="21">
        <f t="shared" si="87"/>
        <v>2.5628176596811204E-2</v>
      </c>
      <c r="BA89" s="21">
        <f t="shared" si="87"/>
        <v>2.7560339503493941E-2</v>
      </c>
      <c r="BB89" s="21">
        <f t="shared" si="87"/>
        <v>2.4700486955347649E-2</v>
      </c>
      <c r="BC89" s="21">
        <f>BC76/BC$79</f>
        <v>2.3676491298349363E-2</v>
      </c>
      <c r="BD89" s="21">
        <f t="shared" si="88"/>
        <v>2.9592806191284442E-2</v>
      </c>
      <c r="BE89" s="21">
        <f t="shared" si="88"/>
        <v>3.2948626885310611E-2</v>
      </c>
      <c r="BF89" s="21">
        <f t="shared" si="88"/>
        <v>3.4280646833338264E-2</v>
      </c>
      <c r="BG89" s="21">
        <f t="shared" si="88"/>
        <v>2.9803562358079874E-2</v>
      </c>
      <c r="BH89" s="21">
        <f>BH76/BH$79</f>
        <v>3.013377516662678E-2</v>
      </c>
      <c r="BI89" s="21">
        <f t="shared" si="89"/>
        <v>3.4587210857259416E-2</v>
      </c>
      <c r="BJ89" s="21">
        <f t="shared" si="89"/>
        <v>3.7808364530899287E-2</v>
      </c>
      <c r="BK89" s="21">
        <f t="shared" si="89"/>
        <v>4.2640388315263657E-2</v>
      </c>
      <c r="BL89" s="21">
        <f t="shared" si="89"/>
        <v>3.5859083320283126E-2</v>
      </c>
    </row>
    <row r="90" spans="1:64">
      <c r="A90" s="5" t="s">
        <v>192</v>
      </c>
      <c r="Y90" s="21">
        <f>Y77/Y$79</f>
        <v>6.8085106382978705E-3</v>
      </c>
      <c r="Z90" s="21">
        <f t="shared" si="82"/>
        <v>6.0644081974069401E-3</v>
      </c>
      <c r="AA90" s="21">
        <f t="shared" si="82"/>
        <v>-4.1086509929239836E-3</v>
      </c>
      <c r="AB90" s="21">
        <f t="shared" si="82"/>
        <v>1.5185601799775024E-2</v>
      </c>
      <c r="AC90" s="21">
        <f t="shared" si="82"/>
        <v>5.5686319536138798E-3</v>
      </c>
      <c r="AD90" s="21">
        <f>AD77/AD$79</f>
        <v>5.5736182071528069E-3</v>
      </c>
      <c r="AE90" s="21">
        <f t="shared" si="83"/>
        <v>1.1693171188026192E-3</v>
      </c>
      <c r="AF90" s="21">
        <f t="shared" si="83"/>
        <v>-3.457643862682228E-3</v>
      </c>
      <c r="AG90" s="21">
        <f t="shared" si="83"/>
        <v>1.3847675568743804E-2</v>
      </c>
      <c r="AH90" s="21">
        <f t="shared" si="83"/>
        <v>3.6389172625127431E-3</v>
      </c>
      <c r="AI90" s="21">
        <f>AI77/AI$79</f>
        <v>6.9621721977256251E-4</v>
      </c>
      <c r="AJ90" s="21">
        <f t="shared" si="84"/>
        <v>1.0224059169023282E-2</v>
      </c>
      <c r="AK90" s="21">
        <f t="shared" si="84"/>
        <v>4.3021032504780218E-3</v>
      </c>
      <c r="AL90" s="21">
        <f t="shared" si="84"/>
        <v>8.6174639246215882E-3</v>
      </c>
      <c r="AM90" s="21">
        <f t="shared" si="84"/>
        <v>5.8263233045361996E-3</v>
      </c>
      <c r="AN90" s="21">
        <f>AN77/AN$79</f>
        <v>4.1396620488475732E-3</v>
      </c>
      <c r="AO90" s="21">
        <f t="shared" si="85"/>
        <v>4.2287929982059141E-3</v>
      </c>
      <c r="AP90" s="21">
        <f t="shared" si="85"/>
        <v>5.6032197150949212E-3</v>
      </c>
      <c r="AQ90" s="21">
        <f t="shared" si="85"/>
        <v>8.4728963577619196E-3</v>
      </c>
      <c r="AR90" s="21">
        <f t="shared" si="85"/>
        <v>5.3568409516837239E-3</v>
      </c>
      <c r="AS90" s="21">
        <f>AS77/AS$79</f>
        <v>4.7603526480015767E-3</v>
      </c>
      <c r="AT90" s="21">
        <f t="shared" si="86"/>
        <v>4.9018382571235919E-3</v>
      </c>
      <c r="AU90" s="21">
        <f t="shared" si="86"/>
        <v>6.4463291399820977E-3</v>
      </c>
      <c r="AV90" s="21">
        <f t="shared" si="86"/>
        <v>9.3272139092725158E-3</v>
      </c>
      <c r="AW90" s="21">
        <f t="shared" si="86"/>
        <v>6.1229160463910377E-3</v>
      </c>
      <c r="AX90" s="21">
        <f>AX77/AX$79</f>
        <v>5.3148695832223852E-3</v>
      </c>
      <c r="AY90" s="21">
        <f t="shared" si="87"/>
        <v>5.3986793670024267E-3</v>
      </c>
      <c r="AZ90" s="21">
        <f t="shared" si="87"/>
        <v>7.135200710356387E-3</v>
      </c>
      <c r="BA90" s="21">
        <f t="shared" si="87"/>
        <v>1.0215994299623027E-2</v>
      </c>
      <c r="BB90" s="21">
        <f t="shared" si="87"/>
        <v>6.7696311689625262E-3</v>
      </c>
      <c r="BC90" s="21">
        <f>BC77/BC$79</f>
        <v>5.7860510178912583E-3</v>
      </c>
      <c r="BD90" s="21">
        <f t="shared" si="88"/>
        <v>5.8897411938075303E-3</v>
      </c>
      <c r="BE90" s="21">
        <f t="shared" si="88"/>
        <v>7.7099277597188799E-3</v>
      </c>
      <c r="BF90" s="21">
        <f t="shared" si="88"/>
        <v>1.0887856537655971E-2</v>
      </c>
      <c r="BG90" s="21">
        <f t="shared" si="88"/>
        <v>7.3290311249988738E-3</v>
      </c>
      <c r="BH90" s="21">
        <f>BH77/BH$79</f>
        <v>6.1822320788915419E-3</v>
      </c>
      <c r="BI90" s="21">
        <f t="shared" si="89"/>
        <v>6.3006185644473179E-3</v>
      </c>
      <c r="BJ90" s="21">
        <f t="shared" si="89"/>
        <v>8.193860460639895E-3</v>
      </c>
      <c r="BK90" s="21">
        <f t="shared" si="89"/>
        <v>1.143362232064362E-2</v>
      </c>
      <c r="BL90" s="21">
        <f t="shared" si="89"/>
        <v>7.7954650934104388E-3</v>
      </c>
    </row>
    <row r="92" spans="1:64">
      <c r="A92" s="3" t="s">
        <v>1680</v>
      </c>
    </row>
    <row r="93" spans="1:64" outlineLevel="1">
      <c r="A93" s="5" t="s">
        <v>1659</v>
      </c>
      <c r="AD93" s="398">
        <f t="shared" ref="AD93:BL93" si="90">AD95-AD94</f>
        <v>344.1</v>
      </c>
      <c r="AE93" s="398">
        <f t="shared" si="90"/>
        <v>347</v>
      </c>
      <c r="AF93" s="398">
        <f t="shared" si="90"/>
        <v>311.29999999999995</v>
      </c>
      <c r="AG93" s="398">
        <f t="shared" si="90"/>
        <v>231.39999999999998</v>
      </c>
      <c r="AH93" s="398">
        <f t="shared" si="90"/>
        <v>1233.7999999999997</v>
      </c>
      <c r="AI93" s="398">
        <f t="shared" si="90"/>
        <v>331</v>
      </c>
      <c r="AJ93" s="398">
        <f t="shared" si="90"/>
        <v>356.29999999999995</v>
      </c>
      <c r="AK93" s="398">
        <f t="shared" si="90"/>
        <v>308.59999999999997</v>
      </c>
      <c r="AL93" s="398">
        <f t="shared" si="90"/>
        <v>215.85222921389479</v>
      </c>
      <c r="AM93" s="398">
        <f t="shared" si="90"/>
        <v>1211.7522292138949</v>
      </c>
      <c r="AN93" s="398">
        <f t="shared" si="90"/>
        <v>332.04255110034842</v>
      </c>
      <c r="AO93" s="398">
        <f t="shared" si="90"/>
        <v>344.26381137796852</v>
      </c>
      <c r="AP93" s="398">
        <f t="shared" si="90"/>
        <v>302.00410149422976</v>
      </c>
      <c r="AQ93" s="398">
        <f t="shared" si="90"/>
        <v>221.10745959050286</v>
      </c>
      <c r="AR93" s="398">
        <f t="shared" si="90"/>
        <v>1199.4179235630495</v>
      </c>
      <c r="AS93" s="398">
        <f t="shared" si="90"/>
        <v>331.31598054637681</v>
      </c>
      <c r="AT93" s="398">
        <f t="shared" si="90"/>
        <v>343.10268931536791</v>
      </c>
      <c r="AU93" s="398">
        <f t="shared" si="90"/>
        <v>301.07961493411415</v>
      </c>
      <c r="AV93" s="398">
        <f t="shared" si="90"/>
        <v>224.92246071243733</v>
      </c>
      <c r="AW93" s="398">
        <f t="shared" si="90"/>
        <v>1200.420745508296</v>
      </c>
      <c r="AX93" s="398">
        <f t="shared" si="90"/>
        <v>334.79947119513974</v>
      </c>
      <c r="AY93" s="398">
        <f t="shared" si="90"/>
        <v>346.3720272607826</v>
      </c>
      <c r="AZ93" s="398">
        <f t="shared" si="90"/>
        <v>304.83140413024017</v>
      </c>
      <c r="BA93" s="398">
        <f t="shared" si="90"/>
        <v>232.1903651331703</v>
      </c>
      <c r="BB93" s="398">
        <f t="shared" si="90"/>
        <v>1218.1932677193327</v>
      </c>
      <c r="BC93" s="398">
        <f t="shared" si="90"/>
        <v>341.70130730565813</v>
      </c>
      <c r="BD93" s="398">
        <f t="shared" si="90"/>
        <v>353.90919604524129</v>
      </c>
      <c r="BE93" s="398">
        <f t="shared" si="90"/>
        <v>312.75737007330775</v>
      </c>
      <c r="BF93" s="398">
        <f t="shared" si="90"/>
        <v>241.65008459201218</v>
      </c>
      <c r="BG93" s="398">
        <f t="shared" si="90"/>
        <v>1250.0179580162194</v>
      </c>
      <c r="BH93" s="398">
        <f t="shared" si="90"/>
        <v>351.30421952344136</v>
      </c>
      <c r="BI93" s="398">
        <f t="shared" si="90"/>
        <v>364.61267443160875</v>
      </c>
      <c r="BJ93" s="398">
        <f t="shared" si="90"/>
        <v>324.16024830873113</v>
      </c>
      <c r="BK93" s="398">
        <f t="shared" si="90"/>
        <v>252.77898820380324</v>
      </c>
      <c r="BL93" s="398">
        <f t="shared" si="90"/>
        <v>1292.8561304675845</v>
      </c>
    </row>
    <row r="94" spans="1:64" outlineLevel="1">
      <c r="A94" s="5" t="s">
        <v>1660</v>
      </c>
      <c r="AD94" s="376">
        <v>86.5</v>
      </c>
      <c r="AE94" s="376">
        <f>167.1-AD94</f>
        <v>80.599999999999994</v>
      </c>
      <c r="AF94" s="376">
        <f>260.7-AE94-AD94</f>
        <v>93.6</v>
      </c>
      <c r="AG94" s="376">
        <f>332.6-AF94-AE94-AD94</f>
        <v>71.900000000000034</v>
      </c>
      <c r="AH94" s="375">
        <f>SUM(AD94:AG94)</f>
        <v>332.6</v>
      </c>
      <c r="AI94" s="376">
        <v>99.9</v>
      </c>
      <c r="AJ94" s="376">
        <f>203.3-AI94</f>
        <v>103.4</v>
      </c>
      <c r="AK94" s="376">
        <f>313.1-AJ94-AI94</f>
        <v>109.80000000000001</v>
      </c>
      <c r="AL94" s="375">
        <f>AL102/AL103</f>
        <v>80.319593763835343</v>
      </c>
      <c r="AM94" s="375">
        <f>SUM(AI94:AL94)</f>
        <v>393.41959376383534</v>
      </c>
      <c r="AN94" s="375">
        <f>AN102/AN103</f>
        <v>108.34363948434314</v>
      </c>
      <c r="AO94" s="375">
        <f>AO102/AO103</f>
        <v>110.72417238389657</v>
      </c>
      <c r="AP94" s="375">
        <f>AP102/AP103</f>
        <v>108.97389278222609</v>
      </c>
      <c r="AQ94" s="375">
        <f>AQ102/AQ103</f>
        <v>83.130004336284756</v>
      </c>
      <c r="AR94" s="375">
        <f>SUM(AN94:AQ94)</f>
        <v>411.17170898675056</v>
      </c>
      <c r="AS94" s="375">
        <f>AS102/AS103</f>
        <v>113.49824469572326</v>
      </c>
      <c r="AT94" s="375">
        <f>AT102/AT103</f>
        <v>112.80465763805361</v>
      </c>
      <c r="AU94" s="375">
        <f>AU102/AU103</f>
        <v>113.83903751425073</v>
      </c>
      <c r="AV94" s="375">
        <f>AV102/AV103</f>
        <v>96.082588370169447</v>
      </c>
      <c r="AW94" s="375">
        <f>SUM(AS94:AV94)</f>
        <v>436.22452821819707</v>
      </c>
      <c r="AX94" s="375">
        <f>AX102/AX103</f>
        <v>120.07552783244003</v>
      </c>
      <c r="AY94" s="375">
        <f>AY102/AY103</f>
        <v>126.25104461405623</v>
      </c>
      <c r="AZ94" s="375">
        <f>AZ102/AZ103</f>
        <v>123.16106419199559</v>
      </c>
      <c r="BA94" s="375">
        <f>BA102/BA103</f>
        <v>102.42820895424256</v>
      </c>
      <c r="BB94" s="375">
        <f>SUM(AX94:BA94)</f>
        <v>471.9158455927344</v>
      </c>
      <c r="BC94" s="375">
        <f>BC102/BC103</f>
        <v>129.00329532418331</v>
      </c>
      <c r="BD94" s="375">
        <f>BD102/BD103</f>
        <v>134.12726125183744</v>
      </c>
      <c r="BE94" s="375">
        <f>BE102/BE103</f>
        <v>133.45133178169272</v>
      </c>
      <c r="BF94" s="375">
        <f>BF102/BF103</f>
        <v>112.04931291921739</v>
      </c>
      <c r="BG94" s="375">
        <f>SUM(BC94:BF94)</f>
        <v>508.63120127693082</v>
      </c>
      <c r="BH94" s="375">
        <f>BH102/BH103</f>
        <v>139.67007357249472</v>
      </c>
      <c r="BI94" s="375">
        <f>BI102/BI103</f>
        <v>143.82607645249573</v>
      </c>
      <c r="BJ94" s="375">
        <f>BJ102/BJ103</f>
        <v>143.76139633999583</v>
      </c>
      <c r="BK94" s="375">
        <f>BK102/BK103</f>
        <v>122.59676938434397</v>
      </c>
      <c r="BL94" s="375">
        <f>SUM(BH94:BK94)</f>
        <v>549.85431574933023</v>
      </c>
    </row>
    <row r="95" spans="1:64" outlineLevel="1">
      <c r="A95" s="9" t="s">
        <v>1681</v>
      </c>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378">
        <f t="shared" ref="AD95:BL95" si="91">AD79</f>
        <v>430.6</v>
      </c>
      <c r="AE95" s="378">
        <f t="shared" si="91"/>
        <v>427.6</v>
      </c>
      <c r="AF95" s="378">
        <f t="shared" si="91"/>
        <v>404.9</v>
      </c>
      <c r="AG95" s="378">
        <f t="shared" si="91"/>
        <v>303.3</v>
      </c>
      <c r="AH95" s="378">
        <f t="shared" si="91"/>
        <v>1566.3999999999999</v>
      </c>
      <c r="AI95" s="378">
        <f t="shared" si="91"/>
        <v>430.9</v>
      </c>
      <c r="AJ95" s="378">
        <f t="shared" si="91"/>
        <v>459.7</v>
      </c>
      <c r="AK95" s="378">
        <f t="shared" si="91"/>
        <v>418.4</v>
      </c>
      <c r="AL95" s="378">
        <f t="shared" si="91"/>
        <v>296.17182297773013</v>
      </c>
      <c r="AM95" s="378">
        <f t="shared" si="91"/>
        <v>1605.1718229777302</v>
      </c>
      <c r="AN95" s="378">
        <f t="shared" si="91"/>
        <v>440.38619058469158</v>
      </c>
      <c r="AO95" s="378">
        <f t="shared" si="91"/>
        <v>454.98798376186511</v>
      </c>
      <c r="AP95" s="378">
        <f t="shared" si="91"/>
        <v>410.97799427645583</v>
      </c>
      <c r="AQ95" s="378">
        <f t="shared" si="91"/>
        <v>304.2374639267876</v>
      </c>
      <c r="AR95" s="378">
        <f t="shared" si="91"/>
        <v>1610.5896325497999</v>
      </c>
      <c r="AS95" s="378">
        <f t="shared" si="91"/>
        <v>444.81422524210006</v>
      </c>
      <c r="AT95" s="378">
        <f t="shared" si="91"/>
        <v>455.9073469534215</v>
      </c>
      <c r="AU95" s="378">
        <f t="shared" si="91"/>
        <v>414.91865244836487</v>
      </c>
      <c r="AV95" s="378">
        <f t="shared" si="91"/>
        <v>321.00504908260677</v>
      </c>
      <c r="AW95" s="378">
        <f t="shared" si="91"/>
        <v>1636.6452737264931</v>
      </c>
      <c r="AX95" s="378">
        <f t="shared" si="91"/>
        <v>454.87499902757975</v>
      </c>
      <c r="AY95" s="378">
        <f t="shared" si="91"/>
        <v>472.62307187483884</v>
      </c>
      <c r="AZ95" s="378">
        <f t="shared" si="91"/>
        <v>427.99246832223577</v>
      </c>
      <c r="BA95" s="378">
        <f t="shared" si="91"/>
        <v>334.61857408741287</v>
      </c>
      <c r="BB95" s="378">
        <f t="shared" si="91"/>
        <v>1690.1091133120672</v>
      </c>
      <c r="BC95" s="378">
        <f t="shared" si="91"/>
        <v>470.70460262984147</v>
      </c>
      <c r="BD95" s="378">
        <f t="shared" si="91"/>
        <v>488.03645729707875</v>
      </c>
      <c r="BE95" s="378">
        <f t="shared" si="91"/>
        <v>446.20870185500047</v>
      </c>
      <c r="BF95" s="378">
        <f t="shared" si="91"/>
        <v>353.69939751122956</v>
      </c>
      <c r="BG95" s="378">
        <f t="shared" si="91"/>
        <v>1758.6491592931502</v>
      </c>
      <c r="BH95" s="378">
        <f t="shared" si="91"/>
        <v>490.9742930959361</v>
      </c>
      <c r="BI95" s="378">
        <f t="shared" si="91"/>
        <v>508.43875088410448</v>
      </c>
      <c r="BJ95" s="378">
        <f t="shared" si="91"/>
        <v>467.92164464872695</v>
      </c>
      <c r="BK95" s="378">
        <f t="shared" si="91"/>
        <v>375.37575758814722</v>
      </c>
      <c r="BL95" s="378">
        <f t="shared" si="91"/>
        <v>1842.7104462169148</v>
      </c>
    </row>
    <row r="96" spans="1:64" outlineLevel="1"/>
    <row r="97" spans="1:64" outlineLevel="1">
      <c r="A97" s="3" t="s">
        <v>1682</v>
      </c>
    </row>
    <row r="98" spans="1:64" outlineLevel="1">
      <c r="A98" s="5" t="s">
        <v>1659</v>
      </c>
      <c r="AD98" s="16">
        <f t="shared" ref="AD98:BL100" si="92">AD93/AD25</f>
        <v>0.3541945445187854</v>
      </c>
      <c r="AE98" s="16">
        <f t="shared" si="92"/>
        <v>0.3297852119368942</v>
      </c>
      <c r="AF98" s="16">
        <f t="shared" si="92"/>
        <v>0.28736268808271015</v>
      </c>
      <c r="AG98" s="16">
        <f t="shared" si="92"/>
        <v>0.2042906330007945</v>
      </c>
      <c r="AH98" s="16">
        <f t="shared" si="92"/>
        <v>0.29101115644974868</v>
      </c>
      <c r="AI98" s="16">
        <f t="shared" si="92"/>
        <v>0.33126501200960767</v>
      </c>
      <c r="AJ98" s="16">
        <f t="shared" si="92"/>
        <v>0.33521497789067645</v>
      </c>
      <c r="AK98" s="16">
        <f t="shared" si="92"/>
        <v>0.27985852906502218</v>
      </c>
      <c r="AL98" s="16">
        <f t="shared" si="92"/>
        <v>0.18788924733921425</v>
      </c>
      <c r="AM98" s="16">
        <f t="shared" si="92"/>
        <v>0.28091261619696994</v>
      </c>
      <c r="AN98" s="16">
        <f t="shared" si="92"/>
        <v>0.3261615472328791</v>
      </c>
      <c r="AO98" s="16">
        <f t="shared" si="92"/>
        <v>0.32098054536523279</v>
      </c>
      <c r="AP98" s="16">
        <f t="shared" si="92"/>
        <v>0.26943673727555528</v>
      </c>
      <c r="AQ98" s="16">
        <f t="shared" si="92"/>
        <v>0.19070748882855293</v>
      </c>
      <c r="AR98" s="16">
        <f t="shared" si="92"/>
        <v>0.27441314485187684</v>
      </c>
      <c r="AS98" s="16">
        <f t="shared" si="92"/>
        <v>0.32133458949240679</v>
      </c>
      <c r="AT98" s="16">
        <f t="shared" si="92"/>
        <v>0.31612173398109528</v>
      </c>
      <c r="AU98" s="16">
        <f t="shared" si="92"/>
        <v>0.26543616049504337</v>
      </c>
      <c r="AV98" s="16">
        <f t="shared" si="92"/>
        <v>0.19149836945976992</v>
      </c>
      <c r="AW98" s="16">
        <f t="shared" si="92"/>
        <v>0.27126714275395503</v>
      </c>
      <c r="AX98" s="16">
        <f t="shared" si="92"/>
        <v>0.31915138596086257</v>
      </c>
      <c r="AY98" s="16">
        <f t="shared" si="92"/>
        <v>0.31368917480227659</v>
      </c>
      <c r="AZ98" s="16">
        <f t="shared" si="92"/>
        <v>0.26424052762414668</v>
      </c>
      <c r="BA98" s="16">
        <f t="shared" si="92"/>
        <v>0.19397034945345404</v>
      </c>
      <c r="BB98" s="16">
        <f t="shared" si="92"/>
        <v>0.27047683587723326</v>
      </c>
      <c r="BC98" s="16">
        <f t="shared" si="92"/>
        <v>0.31941188408594007</v>
      </c>
      <c r="BD98" s="16">
        <f t="shared" si="92"/>
        <v>0.31413720737526862</v>
      </c>
      <c r="BE98" s="16">
        <f t="shared" si="92"/>
        <v>0.26576913607763913</v>
      </c>
      <c r="BF98" s="16">
        <f t="shared" si="92"/>
        <v>0.19735652868433667</v>
      </c>
      <c r="BG98" s="16">
        <f t="shared" si="92"/>
        <v>0.27188341427397478</v>
      </c>
      <c r="BH98" s="16">
        <f t="shared" si="92"/>
        <v>0.32150987034811124</v>
      </c>
      <c r="BI98" s="16">
        <f t="shared" si="92"/>
        <v>0.31647041341745397</v>
      </c>
      <c r="BJ98" s="16">
        <f t="shared" si="92"/>
        <v>0.26941499709982458</v>
      </c>
      <c r="BK98" s="16">
        <f t="shared" si="92"/>
        <v>0.20126497406123789</v>
      </c>
      <c r="BL98" s="16">
        <f t="shared" si="92"/>
        <v>0.27484512277210554</v>
      </c>
    </row>
    <row r="99" spans="1:64" outlineLevel="1">
      <c r="A99" s="5" t="s">
        <v>1660</v>
      </c>
      <c r="AD99" s="16">
        <f t="shared" si="92"/>
        <v>0.22151088348271447</v>
      </c>
      <c r="AE99" s="16">
        <f t="shared" si="92"/>
        <v>0.20436105476673427</v>
      </c>
      <c r="AF99" s="16">
        <f t="shared" si="92"/>
        <v>0.20634920634920634</v>
      </c>
      <c r="AG99" s="16">
        <f t="shared" si="92"/>
        <v>0.16574458275703102</v>
      </c>
      <c r="AH99" s="16">
        <f t="shared" si="92"/>
        <v>0.19888775937331823</v>
      </c>
      <c r="AI99" s="16">
        <f t="shared" si="92"/>
        <v>0.23205574912891988</v>
      </c>
      <c r="AJ99" s="16">
        <f t="shared" si="92"/>
        <v>0.23436083408884859</v>
      </c>
      <c r="AK99" s="16">
        <f t="shared" si="92"/>
        <v>0.23110924015996639</v>
      </c>
      <c r="AL99" s="16">
        <f t="shared" si="92"/>
        <v>0.17689968254507804</v>
      </c>
      <c r="AM99" s="16">
        <f t="shared" si="92"/>
        <v>0.21846444843425655</v>
      </c>
      <c r="AN99" s="16">
        <f t="shared" si="92"/>
        <v>0.24672843740188083</v>
      </c>
      <c r="AO99" s="16">
        <f t="shared" si="92"/>
        <v>0.24229215948117896</v>
      </c>
      <c r="AP99" s="16">
        <f t="shared" si="92"/>
        <v>0.22519725577401853</v>
      </c>
      <c r="AQ99" s="16">
        <f t="shared" si="92"/>
        <v>0.17899062629352994</v>
      </c>
      <c r="AR99" s="16">
        <f t="shared" si="92"/>
        <v>0.22292385394193828</v>
      </c>
      <c r="AS99" s="16">
        <f t="shared" si="92"/>
        <v>0.2519143033534379</v>
      </c>
      <c r="AT99" s="16">
        <f t="shared" si="92"/>
        <v>0.2390389688387356</v>
      </c>
      <c r="AU99" s="16">
        <f t="shared" si="92"/>
        <v>0.22829004938538214</v>
      </c>
      <c r="AV99" s="16">
        <f t="shared" si="92"/>
        <v>0.19924285589009857</v>
      </c>
      <c r="AW99" s="16">
        <f t="shared" si="92"/>
        <v>0.22918771899171225</v>
      </c>
      <c r="AX99" s="16">
        <f t="shared" si="92"/>
        <v>0.25693992052086428</v>
      </c>
      <c r="AY99" s="16">
        <f t="shared" si="92"/>
        <v>0.25904162506764722</v>
      </c>
      <c r="AZ99" s="16">
        <f t="shared" si="92"/>
        <v>0.23779219098390561</v>
      </c>
      <c r="BA99" s="16">
        <f t="shared" si="92"/>
        <v>0.20518031248205243</v>
      </c>
      <c r="BB99" s="16">
        <f t="shared" si="92"/>
        <v>0.23932607254979751</v>
      </c>
      <c r="BC99" s="16">
        <f t="shared" si="92"/>
        <v>0.26676236558583688</v>
      </c>
      <c r="BD99" s="16">
        <f t="shared" si="92"/>
        <v>0.26564988222052865</v>
      </c>
      <c r="BE99" s="16">
        <f t="shared" si="92"/>
        <v>0.24922265467422386</v>
      </c>
      <c r="BF99" s="16">
        <f t="shared" si="92"/>
        <v>0.21663519194696645</v>
      </c>
      <c r="BG99" s="16">
        <f t="shared" si="92"/>
        <v>0.24918398972939049</v>
      </c>
      <c r="BH99" s="16">
        <f t="shared" si="92"/>
        <v>0.27902260470436363</v>
      </c>
      <c r="BI99" s="16">
        <f t="shared" si="92"/>
        <v>0.27588874440799227</v>
      </c>
      <c r="BJ99" s="16">
        <f t="shared" si="92"/>
        <v>0.25967989607228487</v>
      </c>
      <c r="BK99" s="16">
        <f t="shared" si="92"/>
        <v>0.2295416485516153</v>
      </c>
      <c r="BL99" s="16">
        <f t="shared" si="92"/>
        <v>0.26064486582051594</v>
      </c>
    </row>
    <row r="100" spans="1:64" outlineLevel="1">
      <c r="A100" s="9" t="s">
        <v>1681</v>
      </c>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17">
        <f t="shared" si="92"/>
        <v>0.31615271659324523</v>
      </c>
      <c r="AE100" s="17">
        <f t="shared" si="92"/>
        <v>0.29558965850960878</v>
      </c>
      <c r="AF100" s="17">
        <f t="shared" si="92"/>
        <v>0.26345240419025306</v>
      </c>
      <c r="AG100" s="17">
        <f t="shared" si="92"/>
        <v>0.19361634216406001</v>
      </c>
      <c r="AH100" s="17">
        <f t="shared" si="92"/>
        <v>0.26495263870094721</v>
      </c>
      <c r="AI100" s="17">
        <f t="shared" si="92"/>
        <v>0.30139190039868502</v>
      </c>
      <c r="AJ100" s="17">
        <f t="shared" si="92"/>
        <v>0.30563127451632205</v>
      </c>
      <c r="AK100" s="17">
        <f t="shared" si="92"/>
        <v>0.2651793636709342</v>
      </c>
      <c r="AL100" s="17">
        <f t="shared" si="92"/>
        <v>0.18477625983627688</v>
      </c>
      <c r="AM100" s="17">
        <f t="shared" si="92"/>
        <v>0.26252030580584235</v>
      </c>
      <c r="AN100" s="17">
        <f t="shared" si="92"/>
        <v>0.3022239291806153</v>
      </c>
      <c r="AO100" s="17">
        <f t="shared" si="92"/>
        <v>0.29747028787840119</v>
      </c>
      <c r="AP100" s="17">
        <f t="shared" si="92"/>
        <v>0.25609676509726104</v>
      </c>
      <c r="AQ100" s="17">
        <f t="shared" si="92"/>
        <v>0.18735633366193039</v>
      </c>
      <c r="AR100" s="17">
        <f t="shared" si="92"/>
        <v>0.25913320114653482</v>
      </c>
      <c r="AS100" s="17">
        <f t="shared" si="92"/>
        <v>0.30022449519679922</v>
      </c>
      <c r="AT100" s="17">
        <f t="shared" si="92"/>
        <v>0.29276270573127416</v>
      </c>
      <c r="AU100" s="17">
        <f t="shared" si="92"/>
        <v>0.25409266866979785</v>
      </c>
      <c r="AV100" s="17">
        <f t="shared" si="92"/>
        <v>0.19375255748998876</v>
      </c>
      <c r="AW100" s="17">
        <f t="shared" si="92"/>
        <v>0.25861156698271653</v>
      </c>
      <c r="AX100" s="17">
        <f t="shared" si="92"/>
        <v>0.29997833721625622</v>
      </c>
      <c r="AY100" s="17">
        <f t="shared" si="92"/>
        <v>0.29695472494558511</v>
      </c>
      <c r="AZ100" s="17">
        <f t="shared" si="92"/>
        <v>0.25604541209438242</v>
      </c>
      <c r="BA100" s="17">
        <f t="shared" si="92"/>
        <v>0.19726946784580116</v>
      </c>
      <c r="BB100" s="17">
        <f t="shared" si="92"/>
        <v>0.26099145478974728</v>
      </c>
      <c r="BC100" s="17">
        <f t="shared" si="92"/>
        <v>0.30302126670143281</v>
      </c>
      <c r="BD100" s="17">
        <f t="shared" si="92"/>
        <v>0.29913185975766993</v>
      </c>
      <c r="BE100" s="17">
        <f t="shared" si="92"/>
        <v>0.26059463496307989</v>
      </c>
      <c r="BF100" s="17">
        <f t="shared" si="92"/>
        <v>0.20308176905591019</v>
      </c>
      <c r="BG100" s="17">
        <f t="shared" si="92"/>
        <v>0.26490418726510628</v>
      </c>
      <c r="BH100" s="17">
        <f t="shared" si="92"/>
        <v>0.30816108361865918</v>
      </c>
      <c r="BI100" s="17">
        <f t="shared" si="92"/>
        <v>0.3038282034953676</v>
      </c>
      <c r="BJ100" s="17">
        <f t="shared" si="92"/>
        <v>0.26634725038662427</v>
      </c>
      <c r="BK100" s="17">
        <f t="shared" si="92"/>
        <v>0.20970185484139472</v>
      </c>
      <c r="BL100" s="17">
        <f t="shared" si="92"/>
        <v>0.27044847070584771</v>
      </c>
    </row>
    <row r="101" spans="1:64" outlineLevel="1"/>
    <row r="102" spans="1:64" outlineLevel="1">
      <c r="A102" s="1" t="s">
        <v>1661</v>
      </c>
      <c r="AD102" s="398">
        <f>'Business segments KK'!AD145+'Business segments KK'!AD189</f>
        <v>85.699999999999974</v>
      </c>
      <c r="AE102" s="398">
        <f>'Business segments KK'!AE145+'Business segments KK'!AE189</f>
        <v>86.4</v>
      </c>
      <c r="AF102" s="398">
        <f>'Business segments KK'!AF145+'Business segments KK'!AF189</f>
        <v>83.5</v>
      </c>
      <c r="AG102" s="398">
        <f>'Business segments KK'!AG145+'Business segments KK'!AG189</f>
        <v>64.899999999999991</v>
      </c>
      <c r="AH102" s="398">
        <f>'Business segments KK'!AH145+'Business segments KK'!AH189</f>
        <v>320.50000000000028</v>
      </c>
      <c r="AI102" s="398">
        <f>'Business segments KK'!AI145+'Business segments KK'!AI189</f>
        <v>100.1</v>
      </c>
      <c r="AJ102" s="398">
        <f>'Business segments KK'!AJ145+'Business segments KK'!AJ189</f>
        <v>100</v>
      </c>
      <c r="AK102" s="398">
        <f>'Business segments KK'!AK145+'Business segments KK'!AK189</f>
        <v>98.9</v>
      </c>
      <c r="AL102" s="398">
        <f>'Business segments KK'!AL145+'Business segments KK'!AL189</f>
        <v>76.303614075643566</v>
      </c>
      <c r="AM102" s="398">
        <f>'Business segments KK'!AM145+'Business segments KK'!AM189</f>
        <v>375.30361407564357</v>
      </c>
      <c r="AN102" s="398">
        <f>'Business segments KK'!AN145+'Business segments KK'!AN189</f>
        <v>102.92645751012599</v>
      </c>
      <c r="AO102" s="398">
        <f>'Business segments KK'!AO145+'Business segments KK'!AO189</f>
        <v>105.18796376470173</v>
      </c>
      <c r="AP102" s="398">
        <f>'Business segments KK'!AP145+'Business segments KK'!AP189</f>
        <v>103.52519814311478</v>
      </c>
      <c r="AQ102" s="398">
        <f>'Business segments KK'!AQ145+'Business segments KK'!AQ189</f>
        <v>78.973504119470519</v>
      </c>
      <c r="AR102" s="398">
        <f>'Business segments KK'!AR145+'Business segments KK'!AR189</f>
        <v>390.61312353741295</v>
      </c>
      <c r="AS102" s="398">
        <f>'Business segments KK'!AS145+'Business segments KK'!AS189</f>
        <v>107.8233324609371</v>
      </c>
      <c r="AT102" s="398">
        <f>'Business segments KK'!AT145+'Business segments KK'!AT189</f>
        <v>107.16442475615092</v>
      </c>
      <c r="AU102" s="398">
        <f>'Business segments KK'!AU145+'Business segments KK'!AU189</f>
        <v>108.14708563853819</v>
      </c>
      <c r="AV102" s="398">
        <f>'Business segments KK'!AV145+'Business segments KK'!AV189</f>
        <v>91.278458951660966</v>
      </c>
      <c r="AW102" s="398">
        <f>'Business segments KK'!AW145+'Business segments KK'!AW189</f>
        <v>414.4133018072871</v>
      </c>
      <c r="AX102" s="398">
        <f>'Business segments KK'!AX145+'Business segments KK'!AX189</f>
        <v>114.07175144081802</v>
      </c>
      <c r="AY102" s="398">
        <f>'Business segments KK'!AY145+'Business segments KK'!AY189</f>
        <v>119.93849238335341</v>
      </c>
      <c r="AZ102" s="398">
        <f>'Business segments KK'!AZ145+'Business segments KK'!AZ189</f>
        <v>117.00301098239581</v>
      </c>
      <c r="BA102" s="398">
        <f>'Business segments KK'!BA145+'Business segments KK'!BA189</f>
        <v>97.306798506530427</v>
      </c>
      <c r="BB102" s="398">
        <f>'Business segments KK'!BB145+'Business segments KK'!BB189</f>
        <v>448.32005331309762</v>
      </c>
      <c r="BC102" s="398">
        <f>'Business segments KK'!BC145+'Business segments KK'!BC189</f>
        <v>122.55313055797413</v>
      </c>
      <c r="BD102" s="398">
        <f>'Business segments KK'!BD145+'Business segments KK'!BD189</f>
        <v>127.42089818924556</v>
      </c>
      <c r="BE102" s="398">
        <f>'Business segments KK'!BE145+'Business segments KK'!BE189</f>
        <v>126.77876519260806</v>
      </c>
      <c r="BF102" s="398">
        <f>'Business segments KK'!BF145+'Business segments KK'!BF189</f>
        <v>106.44684727325651</v>
      </c>
      <c r="BG102" s="398">
        <f>'Business segments KK'!BG145+'Business segments KK'!BG189</f>
        <v>483.19964121308431</v>
      </c>
      <c r="BH102" s="398">
        <f>'Business segments KK'!BH145+'Business segments KK'!BH189</f>
        <v>132.68656989386997</v>
      </c>
      <c r="BI102" s="398">
        <f>'Business segments KK'!BI145+'Business segments KK'!BI189</f>
        <v>136.63477262987092</v>
      </c>
      <c r="BJ102" s="398">
        <f>'Business segments KK'!BJ145+'Business segments KK'!BJ189</f>
        <v>136.57332652299604</v>
      </c>
      <c r="BK102" s="398">
        <f>'Business segments KK'!BK145+'Business segments KK'!BK189</f>
        <v>116.46693091512677</v>
      </c>
      <c r="BL102" s="398">
        <f>'Business segments KK'!BL145+'Business segments KK'!BL189</f>
        <v>522.3615999618637</v>
      </c>
    </row>
    <row r="103" spans="1:64" outlineLevel="1">
      <c r="A103" s="1" t="s">
        <v>1683</v>
      </c>
      <c r="AD103" s="21">
        <f t="shared" ref="AD103:AK103" si="93">AD102/AD94</f>
        <v>0.99075144508670487</v>
      </c>
      <c r="AE103" s="21">
        <f t="shared" si="93"/>
        <v>1.0719602977667495</v>
      </c>
      <c r="AF103" s="21">
        <f t="shared" si="93"/>
        <v>0.89209401709401714</v>
      </c>
      <c r="AG103" s="21">
        <f t="shared" si="93"/>
        <v>0.90264255910987423</v>
      </c>
      <c r="AH103" s="21">
        <f t="shared" si="93"/>
        <v>0.96361996392062621</v>
      </c>
      <c r="AI103" s="21">
        <f t="shared" si="93"/>
        <v>1.002002002002002</v>
      </c>
      <c r="AJ103" s="21">
        <f t="shared" si="93"/>
        <v>0.96711798839458407</v>
      </c>
      <c r="AK103" s="21">
        <f t="shared" si="93"/>
        <v>0.90072859744990885</v>
      </c>
      <c r="AL103" s="261">
        <v>0.95</v>
      </c>
      <c r="AM103" s="21"/>
      <c r="AN103" s="261">
        <v>0.95</v>
      </c>
      <c r="AO103" s="261">
        <v>0.95</v>
      </c>
      <c r="AP103" s="261">
        <v>0.95</v>
      </c>
      <c r="AQ103" s="261">
        <v>0.95</v>
      </c>
      <c r="AS103" s="261">
        <v>0.95</v>
      </c>
      <c r="AT103" s="261">
        <v>0.95</v>
      </c>
      <c r="AU103" s="261">
        <v>0.95</v>
      </c>
      <c r="AV103" s="261">
        <v>0.95</v>
      </c>
      <c r="AX103" s="261">
        <v>0.95</v>
      </c>
      <c r="AY103" s="261">
        <v>0.95</v>
      </c>
      <c r="AZ103" s="261">
        <v>0.95</v>
      </c>
      <c r="BA103" s="261">
        <v>0.95</v>
      </c>
      <c r="BC103" s="261">
        <v>0.95</v>
      </c>
      <c r="BD103" s="261">
        <v>0.95</v>
      </c>
      <c r="BE103" s="261">
        <v>0.95</v>
      </c>
      <c r="BF103" s="261">
        <v>0.95</v>
      </c>
      <c r="BH103" s="261">
        <v>0.95</v>
      </c>
      <c r="BI103" s="261">
        <v>0.95</v>
      </c>
      <c r="BJ103" s="261">
        <v>0.95</v>
      </c>
      <c r="BK103" s="261">
        <v>0.95</v>
      </c>
    </row>
    <row r="104" spans="1:64" outlineLevel="1"/>
    <row r="105" spans="1:64" outlineLevel="1">
      <c r="A105" s="3" t="s">
        <v>1663</v>
      </c>
    </row>
    <row r="106" spans="1:64" outlineLevel="1">
      <c r="A106" s="5" t="s">
        <v>1659</v>
      </c>
      <c r="AI106" s="16">
        <f t="shared" ref="AI106:BL108" si="94">AI93/AD93-1</f>
        <v>-3.8070328392909136E-2</v>
      </c>
      <c r="AJ106" s="16">
        <f t="shared" si="94"/>
        <v>2.6801152737752076E-2</v>
      </c>
      <c r="AK106" s="16">
        <f t="shared" si="94"/>
        <v>-8.6733054930934195E-3</v>
      </c>
      <c r="AL106" s="16">
        <f t="shared" si="94"/>
        <v>-6.719002068325497E-2</v>
      </c>
      <c r="AM106" s="16">
        <f t="shared" si="94"/>
        <v>-1.7869809358165734E-2</v>
      </c>
      <c r="AN106" s="16">
        <f t="shared" si="94"/>
        <v>3.1497012095118571E-3</v>
      </c>
      <c r="AO106" s="16">
        <f t="shared" si="94"/>
        <v>-3.3781051423046438E-2</v>
      </c>
      <c r="AP106" s="16">
        <f t="shared" si="94"/>
        <v>-2.1373617970739445E-2</v>
      </c>
      <c r="AQ106" s="16">
        <f t="shared" si="94"/>
        <v>2.4346426236814489E-2</v>
      </c>
      <c r="AR106" s="16">
        <f t="shared" si="94"/>
        <v>-1.0178900730264839E-2</v>
      </c>
      <c r="AS106" s="16">
        <f t="shared" si="94"/>
        <v>-2.1881850731595431E-3</v>
      </c>
      <c r="AT106" s="16">
        <f t="shared" si="94"/>
        <v>-3.3727682789342905E-3</v>
      </c>
      <c r="AU106" s="16">
        <f t="shared" si="94"/>
        <v>-3.0611722011109066E-3</v>
      </c>
      <c r="AV106" s="16">
        <f t="shared" si="94"/>
        <v>1.7254058858981791E-2</v>
      </c>
      <c r="AW106" s="16">
        <f t="shared" si="94"/>
        <v>8.3609051152699898E-4</v>
      </c>
      <c r="AX106" s="16">
        <f t="shared" si="94"/>
        <v>1.0514103916805517E-2</v>
      </c>
      <c r="AY106" s="16">
        <f t="shared" si="94"/>
        <v>9.5287447380210111E-3</v>
      </c>
      <c r="AZ106" s="16">
        <f t="shared" si="94"/>
        <v>1.2461119949774835E-2</v>
      </c>
      <c r="BA106" s="16">
        <f t="shared" si="94"/>
        <v>3.2312933077968342E-2</v>
      </c>
      <c r="BB106" s="16">
        <f t="shared" si="94"/>
        <v>1.4805244142553686E-2</v>
      </c>
      <c r="BC106" s="16">
        <f t="shared" si="94"/>
        <v>2.0614835757896355E-2</v>
      </c>
      <c r="BD106" s="16">
        <f t="shared" si="94"/>
        <v>2.1760327599387619E-2</v>
      </c>
      <c r="BE106" s="16">
        <f t="shared" si="94"/>
        <v>2.600114632441608E-2</v>
      </c>
      <c r="BF106" s="16">
        <f t="shared" si="94"/>
        <v>4.074122306244865E-2</v>
      </c>
      <c r="BG106" s="16">
        <f t="shared" si="94"/>
        <v>2.6124500225213065E-2</v>
      </c>
      <c r="BH106" s="16">
        <f t="shared" si="94"/>
        <v>2.8103235230508616E-2</v>
      </c>
      <c r="BI106" s="16">
        <f t="shared" si="94"/>
        <v>3.0243572379507144E-2</v>
      </c>
      <c r="BJ106" s="16">
        <f t="shared" si="94"/>
        <v>3.6459183144910812E-2</v>
      </c>
      <c r="BK106" s="16">
        <f t="shared" si="94"/>
        <v>4.6053795638352213E-2</v>
      </c>
      <c r="BL106" s="16">
        <f t="shared" si="94"/>
        <v>3.4270045623463918E-2</v>
      </c>
    </row>
    <row r="107" spans="1:64" outlineLevel="1">
      <c r="A107" s="5" t="s">
        <v>1660</v>
      </c>
      <c r="AI107" s="16">
        <f t="shared" si="94"/>
        <v>0.15491329479768789</v>
      </c>
      <c r="AJ107" s="16">
        <f t="shared" si="94"/>
        <v>0.2828784119106702</v>
      </c>
      <c r="AK107" s="16">
        <f t="shared" si="94"/>
        <v>0.17307692307692335</v>
      </c>
      <c r="AL107" s="16">
        <f t="shared" si="94"/>
        <v>0.11710144316878024</v>
      </c>
      <c r="AM107" s="16">
        <f t="shared" si="94"/>
        <v>0.1828610756579534</v>
      </c>
      <c r="AN107" s="16">
        <f t="shared" si="94"/>
        <v>8.4520915759190629E-2</v>
      </c>
      <c r="AO107" s="16">
        <f t="shared" si="94"/>
        <v>7.0833388625692217E-2</v>
      </c>
      <c r="AP107" s="16">
        <f t="shared" si="94"/>
        <v>-7.5237451527679911E-3</v>
      </c>
      <c r="AQ107" s="16">
        <f t="shared" si="94"/>
        <v>3.4990348441164887E-2</v>
      </c>
      <c r="AR107" s="16">
        <f t="shared" si="94"/>
        <v>4.5122600664296408E-2</v>
      </c>
      <c r="AS107" s="16">
        <f t="shared" si="94"/>
        <v>4.7576445058641559E-2</v>
      </c>
      <c r="AT107" s="16">
        <f t="shared" si="94"/>
        <v>1.8789801805370043E-2</v>
      </c>
      <c r="AU107" s="16">
        <f t="shared" si="94"/>
        <v>4.4645048532378162E-2</v>
      </c>
      <c r="AV107" s="16">
        <f t="shared" si="94"/>
        <v>0.15581117957708468</v>
      </c>
      <c r="AW107" s="16">
        <f t="shared" si="94"/>
        <v>6.0930308880404516E-2</v>
      </c>
      <c r="AX107" s="16">
        <f t="shared" si="94"/>
        <v>5.7950527379077688E-2</v>
      </c>
      <c r="AY107" s="16">
        <f t="shared" si="94"/>
        <v>0.11920063637041345</v>
      </c>
      <c r="AZ107" s="16">
        <f t="shared" si="94"/>
        <v>8.1887785431933979E-2</v>
      </c>
      <c r="BA107" s="16">
        <f t="shared" si="94"/>
        <v>6.6043397578194663E-2</v>
      </c>
      <c r="BB107" s="16">
        <f t="shared" si="94"/>
        <v>8.1818685254408052E-2</v>
      </c>
      <c r="BC107" s="16">
        <f t="shared" si="94"/>
        <v>7.4351265848288328E-2</v>
      </c>
      <c r="BD107" s="16">
        <f t="shared" si="94"/>
        <v>6.2385358171557659E-2</v>
      </c>
      <c r="BE107" s="16">
        <f t="shared" si="94"/>
        <v>8.3551304604315924E-2</v>
      </c>
      <c r="BF107" s="16">
        <f t="shared" si="94"/>
        <v>9.3930217692987483E-2</v>
      </c>
      <c r="BG107" s="16">
        <f t="shared" si="94"/>
        <v>7.7800641845541918E-2</v>
      </c>
      <c r="BH107" s="16">
        <f t="shared" si="94"/>
        <v>8.2686091246785276E-2</v>
      </c>
      <c r="BI107" s="16">
        <f t="shared" si="94"/>
        <v>7.2310543808449035E-2</v>
      </c>
      <c r="BJ107" s="16">
        <f t="shared" si="94"/>
        <v>7.7257112541738504E-2</v>
      </c>
      <c r="BK107" s="16">
        <f t="shared" si="94"/>
        <v>9.4132272571192166E-2</v>
      </c>
      <c r="BL107" s="16">
        <f t="shared" si="94"/>
        <v>8.1047160238907345E-2</v>
      </c>
    </row>
    <row r="108" spans="1:64" outlineLevel="1">
      <c r="A108" s="9" t="s">
        <v>1681</v>
      </c>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17">
        <f t="shared" si="94"/>
        <v>6.9670227589391232E-4</v>
      </c>
      <c r="AJ108" s="17">
        <f t="shared" si="94"/>
        <v>7.5070159027128103E-2</v>
      </c>
      <c r="AK108" s="17">
        <f t="shared" si="94"/>
        <v>3.3341565818720609E-2</v>
      </c>
      <c r="AL108" s="17">
        <f t="shared" si="94"/>
        <v>-2.3502067333563748E-2</v>
      </c>
      <c r="AM108" s="17">
        <f t="shared" si="94"/>
        <v>2.4752185251360137E-2</v>
      </c>
      <c r="AN108" s="17">
        <f t="shared" si="94"/>
        <v>2.2014830783688932E-2</v>
      </c>
      <c r="AO108" s="17">
        <f t="shared" si="94"/>
        <v>-1.0250198473210514E-2</v>
      </c>
      <c r="AP108" s="17">
        <f t="shared" si="94"/>
        <v>-1.7739019415736523E-2</v>
      </c>
      <c r="AQ108" s="17">
        <f t="shared" si="94"/>
        <v>2.7232978707984357E-2</v>
      </c>
      <c r="AR108" s="17">
        <f t="shared" si="94"/>
        <v>3.3752209542396994E-3</v>
      </c>
      <c r="AS108" s="17">
        <f t="shared" si="94"/>
        <v>1.0054889894548058E-2</v>
      </c>
      <c r="AT108" s="17">
        <f t="shared" si="94"/>
        <v>2.0206318064821538E-3</v>
      </c>
      <c r="AU108" s="17">
        <f t="shared" si="94"/>
        <v>9.5884894733762049E-3</v>
      </c>
      <c r="AV108" s="17">
        <f t="shared" si="94"/>
        <v>5.5113479252029807E-2</v>
      </c>
      <c r="AW108" s="17">
        <f t="shared" si="94"/>
        <v>1.6177703277180155E-2</v>
      </c>
      <c r="AX108" s="17">
        <f t="shared" si="94"/>
        <v>2.2617922751917208E-2</v>
      </c>
      <c r="AY108" s="17">
        <f t="shared" si="94"/>
        <v>3.6664741274996748E-2</v>
      </c>
      <c r="AZ108" s="17">
        <f t="shared" si="94"/>
        <v>3.1509347185826764E-2</v>
      </c>
      <c r="BA108" s="17">
        <f t="shared" si="94"/>
        <v>4.2409068155506935E-2</v>
      </c>
      <c r="BB108" s="17">
        <f t="shared" si="94"/>
        <v>3.2666724087279997E-2</v>
      </c>
      <c r="BC108" s="17">
        <f t="shared" si="94"/>
        <v>3.4799898073320845E-2</v>
      </c>
      <c r="BD108" s="17">
        <f t="shared" si="94"/>
        <v>3.261242698350908E-2</v>
      </c>
      <c r="BE108" s="17">
        <f t="shared" si="94"/>
        <v>4.2562042281196533E-2</v>
      </c>
      <c r="BF108" s="17">
        <f t="shared" si="94"/>
        <v>5.702260693643435E-2</v>
      </c>
      <c r="BG108" s="17">
        <f t="shared" si="94"/>
        <v>4.0553621917798433E-2</v>
      </c>
      <c r="BH108" s="17">
        <f t="shared" si="94"/>
        <v>4.3062443734026123E-2</v>
      </c>
      <c r="BI108" s="17">
        <f t="shared" si="94"/>
        <v>4.180485552251767E-2</v>
      </c>
      <c r="BJ108" s="17">
        <f t="shared" si="94"/>
        <v>4.866095776138013E-2</v>
      </c>
      <c r="BK108" s="17">
        <f t="shared" si="94"/>
        <v>6.1284696070847744E-2</v>
      </c>
      <c r="BL108" s="17">
        <f t="shared" si="94"/>
        <v>4.7798781513392452E-2</v>
      </c>
    </row>
    <row r="109" spans="1:64" outlineLevel="1"/>
    <row r="110" spans="1:64" outlineLevel="1">
      <c r="A110" s="3" t="s">
        <v>1684</v>
      </c>
    </row>
    <row r="111" spans="1:64" outlineLevel="1">
      <c r="A111" s="5" t="s">
        <v>1659</v>
      </c>
      <c r="AD111" s="21">
        <f t="shared" ref="AD111:BL111" si="95">AD93/AD95</f>
        <v>0.79911751045053414</v>
      </c>
      <c r="AE111" s="21">
        <f t="shared" si="95"/>
        <v>0.81150608044901773</v>
      </c>
      <c r="AF111" s="21">
        <f t="shared" si="95"/>
        <v>0.76883181032353665</v>
      </c>
      <c r="AG111" s="21">
        <f t="shared" si="95"/>
        <v>0.7629409825255522</v>
      </c>
      <c r="AH111" s="21">
        <f t="shared" si="95"/>
        <v>0.78766598569969348</v>
      </c>
      <c r="AI111" s="21">
        <f t="shared" si="95"/>
        <v>0.76815966581573458</v>
      </c>
      <c r="AJ111" s="21">
        <f t="shared" si="95"/>
        <v>0.77507069828148789</v>
      </c>
      <c r="AK111" s="21">
        <f t="shared" si="95"/>
        <v>0.7375717017208413</v>
      </c>
      <c r="AL111" s="21">
        <f t="shared" si="95"/>
        <v>0.72880744374567064</v>
      </c>
      <c r="AM111" s="21">
        <f t="shared" si="95"/>
        <v>0.75490499637975916</v>
      </c>
      <c r="AN111" s="21">
        <f t="shared" si="95"/>
        <v>0.75398038857554195</v>
      </c>
      <c r="AO111" s="21">
        <f t="shared" si="95"/>
        <v>0.75664374371291487</v>
      </c>
      <c r="AP111" s="21">
        <f t="shared" si="95"/>
        <v>0.73484251152162239</v>
      </c>
      <c r="AQ111" s="21">
        <f t="shared" si="95"/>
        <v>0.72675947510432393</v>
      </c>
      <c r="AR111" s="21">
        <f t="shared" si="95"/>
        <v>0.7447073415368971</v>
      </c>
      <c r="AS111" s="21">
        <f t="shared" si="95"/>
        <v>0.74484124325396894</v>
      </c>
      <c r="AT111" s="21">
        <f t="shared" si="95"/>
        <v>0.7525710906133336</v>
      </c>
      <c r="AU111" s="21">
        <f t="shared" si="95"/>
        <v>0.72563528575419356</v>
      </c>
      <c r="AV111" s="21">
        <f t="shared" si="95"/>
        <v>0.70068200283839221</v>
      </c>
      <c r="AW111" s="21">
        <f t="shared" si="95"/>
        <v>0.73346421779903881</v>
      </c>
      <c r="AX111" s="21">
        <f t="shared" si="95"/>
        <v>0.73602521991946268</v>
      </c>
      <c r="AY111" s="21">
        <f t="shared" si="95"/>
        <v>0.73287160080181113</v>
      </c>
      <c r="AZ111" s="21">
        <f t="shared" si="95"/>
        <v>0.71223544032259101</v>
      </c>
      <c r="BA111" s="21">
        <f t="shared" si="95"/>
        <v>0.69389562658441939</v>
      </c>
      <c r="BB111" s="21">
        <f t="shared" si="95"/>
        <v>0.72077788240078056</v>
      </c>
      <c r="BC111" s="21">
        <f t="shared" si="95"/>
        <v>0.72593576820061279</v>
      </c>
      <c r="BD111" s="21">
        <f t="shared" si="95"/>
        <v>0.72516958672579002</v>
      </c>
      <c r="BE111" s="21">
        <f t="shared" si="95"/>
        <v>0.70092171840911577</v>
      </c>
      <c r="BF111" s="21">
        <f t="shared" si="95"/>
        <v>0.68320750980170963</v>
      </c>
      <c r="BG111" s="21">
        <f t="shared" si="95"/>
        <v>0.71078301855194148</v>
      </c>
      <c r="BH111" s="21">
        <f t="shared" si="95"/>
        <v>0.71552467097253236</v>
      </c>
      <c r="BI111" s="21">
        <f t="shared" si="95"/>
        <v>0.7171221190312459</v>
      </c>
      <c r="BJ111" s="21">
        <f t="shared" si="95"/>
        <v>0.69276609025445102</v>
      </c>
      <c r="BK111" s="21">
        <f t="shared" si="95"/>
        <v>0.67340253890648405</v>
      </c>
      <c r="BL111" s="21">
        <f t="shared" si="95"/>
        <v>0.70160568803515422</v>
      </c>
    </row>
    <row r="112" spans="1:64" outlineLevel="1">
      <c r="A112" s="5" t="s">
        <v>1660</v>
      </c>
      <c r="AD112" s="21">
        <f t="shared" ref="AD112:BL112" si="96">AD94/AD95</f>
        <v>0.20088248954946586</v>
      </c>
      <c r="AE112" s="21">
        <f t="shared" si="96"/>
        <v>0.18849391955098221</v>
      </c>
      <c r="AF112" s="21">
        <f t="shared" si="96"/>
        <v>0.23116818967646333</v>
      </c>
      <c r="AG112" s="21">
        <f t="shared" si="96"/>
        <v>0.23705901747444785</v>
      </c>
      <c r="AH112" s="21">
        <f t="shared" si="96"/>
        <v>0.21233401430030646</v>
      </c>
      <c r="AI112" s="21">
        <f t="shared" si="96"/>
        <v>0.23184033418426553</v>
      </c>
      <c r="AJ112" s="21">
        <f t="shared" si="96"/>
        <v>0.22492930171851208</v>
      </c>
      <c r="AK112" s="21">
        <f t="shared" si="96"/>
        <v>0.26242829827915876</v>
      </c>
      <c r="AL112" s="21">
        <f t="shared" si="96"/>
        <v>0.27119255625432931</v>
      </c>
      <c r="AM112" s="21">
        <f t="shared" si="96"/>
        <v>0.24509500362024081</v>
      </c>
      <c r="AN112" s="21">
        <f t="shared" si="96"/>
        <v>0.24601961142445805</v>
      </c>
      <c r="AO112" s="21">
        <f t="shared" si="96"/>
        <v>0.24335625628708513</v>
      </c>
      <c r="AP112" s="21">
        <f t="shared" si="96"/>
        <v>0.26515748847837761</v>
      </c>
      <c r="AQ112" s="21">
        <f t="shared" si="96"/>
        <v>0.27324052489567607</v>
      </c>
      <c r="AR112" s="21">
        <f t="shared" si="96"/>
        <v>0.25529265846310295</v>
      </c>
      <c r="AS112" s="21">
        <f t="shared" si="96"/>
        <v>0.255158756746031</v>
      </c>
      <c r="AT112" s="21">
        <f t="shared" si="96"/>
        <v>0.24742890938666642</v>
      </c>
      <c r="AU112" s="21">
        <f t="shared" si="96"/>
        <v>0.2743647142458065</v>
      </c>
      <c r="AV112" s="21">
        <f t="shared" si="96"/>
        <v>0.29931799716160773</v>
      </c>
      <c r="AW112" s="21">
        <f t="shared" si="96"/>
        <v>0.26653578220096119</v>
      </c>
      <c r="AX112" s="21">
        <f t="shared" si="96"/>
        <v>0.26397478008053743</v>
      </c>
      <c r="AY112" s="21">
        <f t="shared" si="96"/>
        <v>0.26712839919818882</v>
      </c>
      <c r="AZ112" s="21">
        <f t="shared" si="96"/>
        <v>0.28776455967740899</v>
      </c>
      <c r="BA112" s="21">
        <f t="shared" si="96"/>
        <v>0.30610437341558067</v>
      </c>
      <c r="BB112" s="21">
        <f t="shared" si="96"/>
        <v>0.27922211759921939</v>
      </c>
      <c r="BC112" s="21">
        <f t="shared" si="96"/>
        <v>0.27406423179938721</v>
      </c>
      <c r="BD112" s="21">
        <f t="shared" si="96"/>
        <v>0.27483041327420987</v>
      </c>
      <c r="BE112" s="21">
        <f t="shared" si="96"/>
        <v>0.29907828159088418</v>
      </c>
      <c r="BF112" s="21">
        <f t="shared" si="96"/>
        <v>0.31679249019829031</v>
      </c>
      <c r="BG112" s="21">
        <f t="shared" si="96"/>
        <v>0.28921698144805857</v>
      </c>
      <c r="BH112" s="21">
        <f t="shared" si="96"/>
        <v>0.28447532902746753</v>
      </c>
      <c r="BI112" s="21">
        <f t="shared" si="96"/>
        <v>0.2828778809687541</v>
      </c>
      <c r="BJ112" s="21">
        <f t="shared" si="96"/>
        <v>0.30723390974554898</v>
      </c>
      <c r="BK112" s="21">
        <f t="shared" si="96"/>
        <v>0.3265974610935159</v>
      </c>
      <c r="BL112" s="21">
        <f t="shared" si="96"/>
        <v>0.29839431196484578</v>
      </c>
    </row>
    <row r="113" spans="1:74" outlineLevel="1">
      <c r="A113" s="9" t="s">
        <v>1681</v>
      </c>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397">
        <f t="shared" ref="AD113:AK113" si="97">SUM(AD111:AD112)</f>
        <v>1</v>
      </c>
      <c r="AE113" s="397">
        <f t="shared" si="97"/>
        <v>1</v>
      </c>
      <c r="AF113" s="397">
        <f t="shared" si="97"/>
        <v>1</v>
      </c>
      <c r="AG113" s="397">
        <f t="shared" si="97"/>
        <v>1</v>
      </c>
      <c r="AH113" s="397">
        <f t="shared" si="97"/>
        <v>1</v>
      </c>
      <c r="AI113" s="397">
        <f t="shared" si="97"/>
        <v>1</v>
      </c>
      <c r="AJ113" s="397">
        <f t="shared" si="97"/>
        <v>1</v>
      </c>
      <c r="AK113" s="397">
        <f t="shared" si="97"/>
        <v>1</v>
      </c>
      <c r="AL113" s="397">
        <f t="shared" ref="AL113:BL113" si="98">SUM(AL111:AL112)</f>
        <v>1</v>
      </c>
      <c r="AM113" s="397">
        <f t="shared" si="98"/>
        <v>1</v>
      </c>
      <c r="AN113" s="397">
        <f t="shared" si="98"/>
        <v>1</v>
      </c>
      <c r="AO113" s="397">
        <f t="shared" si="98"/>
        <v>1</v>
      </c>
      <c r="AP113" s="397">
        <f t="shared" si="98"/>
        <v>1</v>
      </c>
      <c r="AQ113" s="397">
        <f t="shared" si="98"/>
        <v>1</v>
      </c>
      <c r="AR113" s="397">
        <f t="shared" si="98"/>
        <v>1</v>
      </c>
      <c r="AS113" s="397">
        <f t="shared" si="98"/>
        <v>1</v>
      </c>
      <c r="AT113" s="397">
        <f t="shared" si="98"/>
        <v>1</v>
      </c>
      <c r="AU113" s="397">
        <f t="shared" si="98"/>
        <v>1</v>
      </c>
      <c r="AV113" s="397">
        <f t="shared" si="98"/>
        <v>1</v>
      </c>
      <c r="AW113" s="397">
        <f t="shared" si="98"/>
        <v>1</v>
      </c>
      <c r="AX113" s="397">
        <f t="shared" si="98"/>
        <v>1</v>
      </c>
      <c r="AY113" s="397">
        <f t="shared" si="98"/>
        <v>1</v>
      </c>
      <c r="AZ113" s="397">
        <f t="shared" si="98"/>
        <v>1</v>
      </c>
      <c r="BA113" s="397">
        <f t="shared" si="98"/>
        <v>1</v>
      </c>
      <c r="BB113" s="397">
        <f t="shared" si="98"/>
        <v>1</v>
      </c>
      <c r="BC113" s="397">
        <f t="shared" si="98"/>
        <v>1</v>
      </c>
      <c r="BD113" s="397">
        <f t="shared" si="98"/>
        <v>0.99999999999999989</v>
      </c>
      <c r="BE113" s="397">
        <f t="shared" si="98"/>
        <v>1</v>
      </c>
      <c r="BF113" s="397">
        <f t="shared" si="98"/>
        <v>1</v>
      </c>
      <c r="BG113" s="397">
        <f t="shared" si="98"/>
        <v>1</v>
      </c>
      <c r="BH113" s="397">
        <f t="shared" si="98"/>
        <v>0.99999999999999989</v>
      </c>
      <c r="BI113" s="397">
        <f t="shared" si="98"/>
        <v>1</v>
      </c>
      <c r="BJ113" s="397">
        <f t="shared" si="98"/>
        <v>1</v>
      </c>
      <c r="BK113" s="397">
        <f t="shared" si="98"/>
        <v>1</v>
      </c>
      <c r="BL113" s="397">
        <f t="shared" si="98"/>
        <v>1</v>
      </c>
    </row>
    <row r="115" spans="1:74">
      <c r="A115" s="9" t="s">
        <v>1685</v>
      </c>
      <c r="B115" s="9"/>
      <c r="C115" s="9"/>
      <c r="D115" s="9"/>
      <c r="E115" s="9"/>
      <c r="F115" s="9"/>
      <c r="G115" s="9"/>
      <c r="H115" s="9"/>
      <c r="I115" s="9"/>
      <c r="J115" s="9"/>
      <c r="K115" s="9"/>
      <c r="L115" s="9"/>
      <c r="M115" s="9"/>
      <c r="N115" s="9"/>
      <c r="O115" s="9"/>
      <c r="P115" s="9"/>
      <c r="Q115" s="9"/>
      <c r="R115" s="9"/>
      <c r="S115" s="9"/>
      <c r="T115" s="9"/>
      <c r="U115" s="9"/>
      <c r="V115" s="9"/>
      <c r="W115" s="9"/>
      <c r="X115" s="9"/>
      <c r="Y115" s="381">
        <f t="shared" ref="Y115:BL115" si="99">Y79-Y150</f>
        <v>437.9</v>
      </c>
      <c r="Z115" s="381">
        <f t="shared" si="99"/>
        <v>447.7</v>
      </c>
      <c r="AA115" s="381">
        <f t="shared" si="99"/>
        <v>407.90000000000003</v>
      </c>
      <c r="AB115" s="381">
        <f t="shared" si="99"/>
        <v>325.70000000000005</v>
      </c>
      <c r="AC115" s="381">
        <f t="shared" si="99"/>
        <v>1619.2</v>
      </c>
      <c r="AD115" s="381">
        <f t="shared" si="99"/>
        <v>401</v>
      </c>
      <c r="AE115" s="381">
        <f t="shared" si="99"/>
        <v>398</v>
      </c>
      <c r="AF115" s="381">
        <f t="shared" si="99"/>
        <v>374.79999999999995</v>
      </c>
      <c r="AG115" s="381">
        <f t="shared" si="99"/>
        <v>273.7</v>
      </c>
      <c r="AH115" s="381">
        <f t="shared" si="99"/>
        <v>1447.4999999999998</v>
      </c>
      <c r="AI115" s="381">
        <f t="shared" si="99"/>
        <v>400.70799999999997</v>
      </c>
      <c r="AJ115" s="381">
        <f t="shared" si="99"/>
        <v>429.50799999999998</v>
      </c>
      <c r="AK115" s="381">
        <f t="shared" si="99"/>
        <v>387.69799999999998</v>
      </c>
      <c r="AL115" s="381">
        <f t="shared" si="99"/>
        <v>265.97982297773012</v>
      </c>
      <c r="AM115" s="381">
        <f t="shared" si="99"/>
        <v>1483.8938229777302</v>
      </c>
      <c r="AN115" s="381">
        <f t="shared" si="99"/>
        <v>409.8167905846916</v>
      </c>
      <c r="AO115" s="381">
        <f t="shared" si="99"/>
        <v>424.41858376186508</v>
      </c>
      <c r="AP115" s="381">
        <f t="shared" si="99"/>
        <v>379.89221927645582</v>
      </c>
      <c r="AQ115" s="381">
        <f t="shared" si="99"/>
        <v>273.66806392678757</v>
      </c>
      <c r="AR115" s="381">
        <f t="shared" si="99"/>
        <v>1487.7956575497999</v>
      </c>
      <c r="AS115" s="381">
        <f t="shared" si="99"/>
        <v>413.86270774210004</v>
      </c>
      <c r="AT115" s="381">
        <f t="shared" si="99"/>
        <v>424.95582945342147</v>
      </c>
      <c r="AU115" s="381">
        <f t="shared" si="99"/>
        <v>383.44430526086489</v>
      </c>
      <c r="AV115" s="381">
        <f t="shared" si="99"/>
        <v>290.05353158260675</v>
      </c>
      <c r="AW115" s="381">
        <f t="shared" si="99"/>
        <v>1512.316374038993</v>
      </c>
      <c r="AX115" s="381">
        <f t="shared" si="99"/>
        <v>423.53658755882975</v>
      </c>
      <c r="AY115" s="381">
        <f t="shared" si="99"/>
        <v>441.28466040608885</v>
      </c>
      <c r="AZ115" s="381">
        <f t="shared" si="99"/>
        <v>396.12469179489199</v>
      </c>
      <c r="BA115" s="381">
        <f t="shared" si="99"/>
        <v>303.28016261866287</v>
      </c>
      <c r="BB115" s="381">
        <f t="shared" si="99"/>
        <v>1564.2261023784733</v>
      </c>
      <c r="BC115" s="381">
        <f t="shared" si="99"/>
        <v>438.9744610177321</v>
      </c>
      <c r="BD115" s="381">
        <f t="shared" si="99"/>
        <v>456.30631568496938</v>
      </c>
      <c r="BE115" s="381">
        <f t="shared" si="99"/>
        <v>413.94257812106491</v>
      </c>
      <c r="BF115" s="381">
        <f t="shared" si="99"/>
        <v>321.96925589912018</v>
      </c>
      <c r="BG115" s="381">
        <f t="shared" si="99"/>
        <v>1631.1926107228865</v>
      </c>
      <c r="BH115" s="381">
        <f t="shared" si="99"/>
        <v>458.84752471367534</v>
      </c>
      <c r="BI115" s="381">
        <f t="shared" si="99"/>
        <v>476.31198250184372</v>
      </c>
      <c r="BJ115" s="381">
        <f t="shared" si="99"/>
        <v>435.25219436811722</v>
      </c>
      <c r="BK115" s="381">
        <f t="shared" si="99"/>
        <v>343.24898920588646</v>
      </c>
      <c r="BL115" s="381">
        <f t="shared" si="99"/>
        <v>1713.6606907895227</v>
      </c>
      <c r="BP115" s="375">
        <f>INDEX($Y115:$BL115, MATCH(BP$2, $Y$2:$BL$2, 0))</f>
        <v>1447.4999999999998</v>
      </c>
      <c r="BQ115" s="375">
        <f>INDEX($Y115:$BL115, MATCH(BQ$2, $Y$2:$BL$2, 0))</f>
        <v>1483.8938229777302</v>
      </c>
      <c r="BR115" s="375">
        <f t="shared" ref="BR115:BV115" si="100">INDEX($Y115:$BL115, MATCH(BR$2, $Y$2:$BL$2, 0))</f>
        <v>1487.7956575497999</v>
      </c>
      <c r="BS115" s="375">
        <f t="shared" si="100"/>
        <v>1512.316374038993</v>
      </c>
      <c r="BT115" s="375">
        <f t="shared" si="100"/>
        <v>1564.2261023784733</v>
      </c>
      <c r="BU115" s="375">
        <f t="shared" si="100"/>
        <v>1631.1926107228865</v>
      </c>
      <c r="BV115" s="375">
        <f t="shared" si="100"/>
        <v>1713.6606907895227</v>
      </c>
    </row>
    <row r="116" spans="1:74">
      <c r="A116" s="1" t="s">
        <v>1439</v>
      </c>
      <c r="Y116" s="16">
        <f t="shared" ref="Y116:BL116" si="101">Y115/Y12</f>
        <v>0.32279227480465872</v>
      </c>
      <c r="Z116" s="16">
        <f t="shared" si="101"/>
        <v>0.32733786649118957</v>
      </c>
      <c r="AA116" s="16">
        <f t="shared" si="101"/>
        <v>0.28138796909492275</v>
      </c>
      <c r="AB116" s="16">
        <f t="shared" si="101"/>
        <v>0.21472837552742619</v>
      </c>
      <c r="AC116" s="16">
        <f t="shared" si="101"/>
        <v>0.28453441580121958</v>
      </c>
      <c r="AD116" s="16">
        <f t="shared" si="101"/>
        <v>0.29441997063142439</v>
      </c>
      <c r="AE116" s="16">
        <f t="shared" si="101"/>
        <v>0.27512788607769945</v>
      </c>
      <c r="AF116" s="16">
        <f t="shared" si="101"/>
        <v>0.24386752553842145</v>
      </c>
      <c r="AG116" s="16">
        <f t="shared" si="101"/>
        <v>0.17472071496967762</v>
      </c>
      <c r="AH116" s="16">
        <f t="shared" si="101"/>
        <v>0.24484100135317993</v>
      </c>
      <c r="AI116" s="16">
        <f t="shared" si="101"/>
        <v>0.28027418339511784</v>
      </c>
      <c r="AJ116" s="16">
        <f t="shared" si="101"/>
        <v>0.28555814108104516</v>
      </c>
      <c r="AK116" s="16">
        <f t="shared" si="101"/>
        <v>0.24572062365318798</v>
      </c>
      <c r="AL116" s="16">
        <f t="shared" si="101"/>
        <v>0.16594001545324399</v>
      </c>
      <c r="AM116" s="16">
        <f t="shared" si="101"/>
        <v>0.24268570791933144</v>
      </c>
      <c r="AN116" s="16">
        <f t="shared" si="101"/>
        <v>0.28124506022828116</v>
      </c>
      <c r="AO116" s="16">
        <f t="shared" si="101"/>
        <v>0.27748407166432765</v>
      </c>
      <c r="AP116" s="16">
        <f t="shared" si="101"/>
        <v>0.23672597997272671</v>
      </c>
      <c r="AQ116" s="16">
        <f t="shared" si="101"/>
        <v>0.16853100349935951</v>
      </c>
      <c r="AR116" s="16">
        <f t="shared" si="101"/>
        <v>0.23937646412291333</v>
      </c>
      <c r="AS116" s="16">
        <f t="shared" si="101"/>
        <v>0.27933396789418247</v>
      </c>
      <c r="AT116" s="16">
        <f t="shared" si="101"/>
        <v>0.27288706637090498</v>
      </c>
      <c r="AU116" s="16">
        <f t="shared" si="101"/>
        <v>0.23481804501930564</v>
      </c>
      <c r="AV116" s="16">
        <f t="shared" si="101"/>
        <v>0.17507080874192496</v>
      </c>
      <c r="AW116" s="16">
        <f t="shared" si="101"/>
        <v>0.23896595892971911</v>
      </c>
      <c r="AX116" s="16">
        <f t="shared" si="101"/>
        <v>0.27931146261665996</v>
      </c>
      <c r="AY116" s="16">
        <f t="shared" si="101"/>
        <v>0.27726442645673205</v>
      </c>
      <c r="AZ116" s="16">
        <f t="shared" si="101"/>
        <v>0.23698059535715879</v>
      </c>
      <c r="BA116" s="16">
        <f t="shared" si="101"/>
        <v>0.17879436744100979</v>
      </c>
      <c r="BB116" s="16">
        <f t="shared" si="101"/>
        <v>0.24155224231636538</v>
      </c>
      <c r="BC116" s="16">
        <f t="shared" si="101"/>
        <v>0.28259463893914105</v>
      </c>
      <c r="BD116" s="16">
        <f t="shared" si="101"/>
        <v>0.27968352525542428</v>
      </c>
      <c r="BE116" s="16">
        <f t="shared" si="101"/>
        <v>0.24175058575211028</v>
      </c>
      <c r="BF116" s="16">
        <f t="shared" si="101"/>
        <v>0.18486343638041522</v>
      </c>
      <c r="BG116" s="16">
        <f t="shared" si="101"/>
        <v>0.24570548965552061</v>
      </c>
      <c r="BH116" s="16">
        <f t="shared" si="101"/>
        <v>0.28799664752279897</v>
      </c>
      <c r="BI116" s="16">
        <f t="shared" si="101"/>
        <v>0.28463018150211666</v>
      </c>
      <c r="BJ116" s="16">
        <f t="shared" si="101"/>
        <v>0.24775136290547309</v>
      </c>
      <c r="BK116" s="16">
        <f t="shared" si="101"/>
        <v>0.19175439077736833</v>
      </c>
      <c r="BL116" s="16">
        <f t="shared" si="101"/>
        <v>0.25150826820579991</v>
      </c>
    </row>
    <row r="117" spans="1:74">
      <c r="A117" s="1" t="s">
        <v>28</v>
      </c>
      <c r="AD117" s="16">
        <f>AD115/Y115-1</f>
        <v>-8.4265814112811088E-2</v>
      </c>
      <c r="AE117" s="16">
        <f t="shared" ref="AE117:AH117" si="102">AE115/Z115-1</f>
        <v>-0.11101183828456551</v>
      </c>
      <c r="AF117" s="16">
        <f t="shared" si="102"/>
        <v>-8.1147340034322335E-2</v>
      </c>
      <c r="AG117" s="16">
        <f t="shared" si="102"/>
        <v>-0.15965612526865225</v>
      </c>
      <c r="AH117" s="16">
        <f t="shared" si="102"/>
        <v>-0.10604001976284605</v>
      </c>
      <c r="AI117" s="16">
        <f>AI115/AD115-1</f>
        <v>-7.2817955112225441E-4</v>
      </c>
      <c r="AJ117" s="16">
        <f t="shared" ref="AJ117:AM117" si="103">AJ115/AE115-1</f>
        <v>7.9165829145728672E-2</v>
      </c>
      <c r="AK117" s="16">
        <f t="shared" si="103"/>
        <v>3.4413020277481499E-2</v>
      </c>
      <c r="AL117" s="16">
        <f t="shared" si="103"/>
        <v>-2.820671180953549E-2</v>
      </c>
      <c r="AM117" s="16">
        <f t="shared" si="103"/>
        <v>2.5142537463026304E-2</v>
      </c>
      <c r="AN117" s="16">
        <f>AN115/AI115-1</f>
        <v>2.2731741279664153E-2</v>
      </c>
      <c r="AO117" s="16">
        <f t="shared" ref="AO117:AR117" si="104">AO115/AJ115-1</f>
        <v>-1.184940964576886E-2</v>
      </c>
      <c r="AP117" s="16">
        <f t="shared" si="104"/>
        <v>-2.0133662602190738E-2</v>
      </c>
      <c r="AQ117" s="16">
        <f t="shared" si="104"/>
        <v>2.8905354033945452E-2</v>
      </c>
      <c r="AR117" s="16">
        <f t="shared" si="104"/>
        <v>2.6294567115590084E-3</v>
      </c>
      <c r="AS117" s="16">
        <f>AS115/AN115-1</f>
        <v>9.8725021774634936E-3</v>
      </c>
      <c r="AT117" s="16">
        <f t="shared" ref="AT117:AW117" si="105">AT115/AO115-1</f>
        <v>1.2658392259699003E-3</v>
      </c>
      <c r="AU117" s="16">
        <f t="shared" si="105"/>
        <v>9.3502467388628663E-3</v>
      </c>
      <c r="AV117" s="16">
        <f t="shared" si="105"/>
        <v>5.9873510342085989E-2</v>
      </c>
      <c r="AW117" s="16">
        <f t="shared" si="105"/>
        <v>1.6481239452987406E-2</v>
      </c>
      <c r="AX117" s="16">
        <f>AX115/AS115-1</f>
        <v>2.3374611038301296E-2</v>
      </c>
      <c r="AY117" s="16">
        <f t="shared" ref="AY117:BB117" si="106">AY115/AT115-1</f>
        <v>3.8424772225549964E-2</v>
      </c>
      <c r="AZ117" s="16">
        <f t="shared" si="106"/>
        <v>3.3069695807322885E-2</v>
      </c>
      <c r="BA117" s="16">
        <f t="shared" si="106"/>
        <v>4.5600655037324467E-2</v>
      </c>
      <c r="BB117" s="16">
        <f t="shared" si="106"/>
        <v>3.4324648751136166E-2</v>
      </c>
      <c r="BC117" s="16">
        <f>BC115/AX115-1</f>
        <v>3.644991699036626E-2</v>
      </c>
      <c r="BD117" s="16">
        <f t="shared" ref="BD117:BG117" si="107">BD115/AY115-1</f>
        <v>3.4040737480103944E-2</v>
      </c>
      <c r="BE117" s="16">
        <f t="shared" si="107"/>
        <v>4.4980499058106638E-2</v>
      </c>
      <c r="BF117" s="16">
        <f t="shared" si="107"/>
        <v>6.1623197241411853E-2</v>
      </c>
      <c r="BG117" s="16">
        <f t="shared" si="107"/>
        <v>4.2811271492393388E-2</v>
      </c>
      <c r="BH117" s="16">
        <f>BH115/BC115-1</f>
        <v>4.5271571493860741E-2</v>
      </c>
      <c r="BI117" s="16">
        <f t="shared" ref="BI117:BL117" si="108">BI115/BD115-1</f>
        <v>4.3842625291836024E-2</v>
      </c>
      <c r="BJ117" s="16">
        <f t="shared" si="108"/>
        <v>5.1479643248537599E-2</v>
      </c>
      <c r="BK117" s="16">
        <f t="shared" si="108"/>
        <v>6.6092438693692079E-2</v>
      </c>
      <c r="BL117" s="16">
        <f t="shared" si="108"/>
        <v>5.055692351995722E-2</v>
      </c>
    </row>
    <row r="119" spans="1:74">
      <c r="A119" s="3" t="s">
        <v>1686</v>
      </c>
    </row>
    <row r="120" spans="1:74" outlineLevel="1">
      <c r="A120" s="5" t="s">
        <v>1659</v>
      </c>
      <c r="AD120" s="375">
        <f t="shared" ref="AD120:BL120" si="109">AD93-AD150</f>
        <v>314.5</v>
      </c>
      <c r="AE120" s="375">
        <f t="shared" si="109"/>
        <v>317.39999999999998</v>
      </c>
      <c r="AF120" s="375">
        <f t="shared" si="109"/>
        <v>281.19999999999993</v>
      </c>
      <c r="AG120" s="375">
        <f t="shared" si="109"/>
        <v>201.79999999999998</v>
      </c>
      <c r="AH120" s="375">
        <f t="shared" si="109"/>
        <v>1114.8999999999996</v>
      </c>
      <c r="AI120" s="375">
        <f t="shared" si="109"/>
        <v>300.80799999999999</v>
      </c>
      <c r="AJ120" s="375">
        <f t="shared" si="109"/>
        <v>326.10799999999995</v>
      </c>
      <c r="AK120" s="375">
        <f t="shared" si="109"/>
        <v>277.89799999999997</v>
      </c>
      <c r="AL120" s="375">
        <f t="shared" si="109"/>
        <v>185.66022921389478</v>
      </c>
      <c r="AM120" s="375">
        <f t="shared" si="109"/>
        <v>1090.4742292138949</v>
      </c>
      <c r="AN120" s="375">
        <f t="shared" si="109"/>
        <v>301.47315110034845</v>
      </c>
      <c r="AO120" s="375">
        <f t="shared" si="109"/>
        <v>313.69441137796855</v>
      </c>
      <c r="AP120" s="375">
        <f t="shared" si="109"/>
        <v>270.91832649422975</v>
      </c>
      <c r="AQ120" s="375">
        <f t="shared" si="109"/>
        <v>190.53805959050285</v>
      </c>
      <c r="AR120" s="375">
        <f t="shared" si="109"/>
        <v>1076.6239485630495</v>
      </c>
      <c r="AS120" s="375">
        <f t="shared" si="109"/>
        <v>300.36446304637678</v>
      </c>
      <c r="AT120" s="375">
        <f t="shared" si="109"/>
        <v>312.15117181536789</v>
      </c>
      <c r="AU120" s="375">
        <f t="shared" si="109"/>
        <v>269.60526774661412</v>
      </c>
      <c r="AV120" s="375">
        <f t="shared" si="109"/>
        <v>193.97094321243733</v>
      </c>
      <c r="AW120" s="375">
        <f t="shared" si="109"/>
        <v>1076.0918458207959</v>
      </c>
      <c r="AX120" s="375">
        <f t="shared" si="109"/>
        <v>303.46105972638975</v>
      </c>
      <c r="AY120" s="375">
        <f t="shared" si="109"/>
        <v>315.03361579203261</v>
      </c>
      <c r="AZ120" s="375">
        <f t="shared" si="109"/>
        <v>272.96362760289639</v>
      </c>
      <c r="BA120" s="375">
        <f t="shared" si="109"/>
        <v>200.85195366442031</v>
      </c>
      <c r="BB120" s="375">
        <f t="shared" si="109"/>
        <v>1092.3102567857388</v>
      </c>
      <c r="BC120" s="375">
        <f t="shared" si="109"/>
        <v>309.97116569354876</v>
      </c>
      <c r="BD120" s="375">
        <f t="shared" si="109"/>
        <v>322.17905443313191</v>
      </c>
      <c r="BE120" s="375">
        <f t="shared" si="109"/>
        <v>280.4912463393722</v>
      </c>
      <c r="BF120" s="375">
        <f t="shared" si="109"/>
        <v>209.9199429799028</v>
      </c>
      <c r="BG120" s="375">
        <f t="shared" si="109"/>
        <v>1122.5614094459556</v>
      </c>
      <c r="BH120" s="375">
        <f t="shared" si="109"/>
        <v>319.1774511411806</v>
      </c>
      <c r="BI120" s="375">
        <f t="shared" si="109"/>
        <v>332.48590604934799</v>
      </c>
      <c r="BJ120" s="375">
        <f t="shared" si="109"/>
        <v>291.49079802812139</v>
      </c>
      <c r="BK120" s="375">
        <f t="shared" si="109"/>
        <v>220.6522198215425</v>
      </c>
      <c r="BL120" s="375">
        <f t="shared" si="109"/>
        <v>1163.8063750401925</v>
      </c>
    </row>
    <row r="121" spans="1:74" outlineLevel="1">
      <c r="A121" s="5" t="s">
        <v>1660</v>
      </c>
      <c r="AD121" s="375">
        <f t="shared" ref="AD121:BL121" si="110">AD94</f>
        <v>86.5</v>
      </c>
      <c r="AE121" s="375">
        <f t="shared" si="110"/>
        <v>80.599999999999994</v>
      </c>
      <c r="AF121" s="375">
        <f t="shared" si="110"/>
        <v>93.6</v>
      </c>
      <c r="AG121" s="375">
        <f t="shared" si="110"/>
        <v>71.900000000000034</v>
      </c>
      <c r="AH121" s="375">
        <f t="shared" si="110"/>
        <v>332.6</v>
      </c>
      <c r="AI121" s="375">
        <f t="shared" si="110"/>
        <v>99.9</v>
      </c>
      <c r="AJ121" s="375">
        <f t="shared" si="110"/>
        <v>103.4</v>
      </c>
      <c r="AK121" s="375">
        <f t="shared" si="110"/>
        <v>109.80000000000001</v>
      </c>
      <c r="AL121" s="375">
        <f t="shared" si="110"/>
        <v>80.319593763835343</v>
      </c>
      <c r="AM121" s="375">
        <f t="shared" si="110"/>
        <v>393.41959376383534</v>
      </c>
      <c r="AN121" s="375">
        <f t="shared" si="110"/>
        <v>108.34363948434314</v>
      </c>
      <c r="AO121" s="375">
        <f t="shared" si="110"/>
        <v>110.72417238389657</v>
      </c>
      <c r="AP121" s="375">
        <f t="shared" si="110"/>
        <v>108.97389278222609</v>
      </c>
      <c r="AQ121" s="375">
        <f t="shared" si="110"/>
        <v>83.130004336284756</v>
      </c>
      <c r="AR121" s="375">
        <f t="shared" si="110"/>
        <v>411.17170898675056</v>
      </c>
      <c r="AS121" s="375">
        <f t="shared" si="110"/>
        <v>113.49824469572326</v>
      </c>
      <c r="AT121" s="375">
        <f t="shared" si="110"/>
        <v>112.80465763805361</v>
      </c>
      <c r="AU121" s="375">
        <f t="shared" si="110"/>
        <v>113.83903751425073</v>
      </c>
      <c r="AV121" s="375">
        <f t="shared" si="110"/>
        <v>96.082588370169447</v>
      </c>
      <c r="AW121" s="375">
        <f t="shared" si="110"/>
        <v>436.22452821819707</v>
      </c>
      <c r="AX121" s="375">
        <f t="shared" si="110"/>
        <v>120.07552783244003</v>
      </c>
      <c r="AY121" s="375">
        <f t="shared" si="110"/>
        <v>126.25104461405623</v>
      </c>
      <c r="AZ121" s="375">
        <f t="shared" si="110"/>
        <v>123.16106419199559</v>
      </c>
      <c r="BA121" s="375">
        <f t="shared" si="110"/>
        <v>102.42820895424256</v>
      </c>
      <c r="BB121" s="375">
        <f t="shared" si="110"/>
        <v>471.9158455927344</v>
      </c>
      <c r="BC121" s="375">
        <f t="shared" si="110"/>
        <v>129.00329532418331</v>
      </c>
      <c r="BD121" s="375">
        <f t="shared" si="110"/>
        <v>134.12726125183744</v>
      </c>
      <c r="BE121" s="375">
        <f t="shared" si="110"/>
        <v>133.45133178169272</v>
      </c>
      <c r="BF121" s="375">
        <f t="shared" si="110"/>
        <v>112.04931291921739</v>
      </c>
      <c r="BG121" s="375">
        <f t="shared" si="110"/>
        <v>508.63120127693082</v>
      </c>
      <c r="BH121" s="375">
        <f t="shared" si="110"/>
        <v>139.67007357249472</v>
      </c>
      <c r="BI121" s="375">
        <f t="shared" si="110"/>
        <v>143.82607645249573</v>
      </c>
      <c r="BJ121" s="375">
        <f t="shared" si="110"/>
        <v>143.76139633999583</v>
      </c>
      <c r="BK121" s="375">
        <f t="shared" si="110"/>
        <v>122.59676938434397</v>
      </c>
      <c r="BL121" s="375">
        <f t="shared" si="110"/>
        <v>549.85431574933023</v>
      </c>
    </row>
    <row r="122" spans="1:74" outlineLevel="1">
      <c r="A122" s="9" t="s">
        <v>1687</v>
      </c>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378">
        <f t="shared" ref="AD122:BL122" si="111">SUM(AD120:AD121)</f>
        <v>401</v>
      </c>
      <c r="AE122" s="378">
        <f t="shared" si="111"/>
        <v>398</v>
      </c>
      <c r="AF122" s="378">
        <f t="shared" si="111"/>
        <v>374.79999999999995</v>
      </c>
      <c r="AG122" s="378">
        <f t="shared" si="111"/>
        <v>273.70000000000005</v>
      </c>
      <c r="AH122" s="378">
        <f t="shared" si="111"/>
        <v>1447.4999999999995</v>
      </c>
      <c r="AI122" s="378">
        <f t="shared" si="111"/>
        <v>400.70799999999997</v>
      </c>
      <c r="AJ122" s="378">
        <f t="shared" si="111"/>
        <v>429.50799999999992</v>
      </c>
      <c r="AK122" s="378">
        <f t="shared" si="111"/>
        <v>387.69799999999998</v>
      </c>
      <c r="AL122" s="378">
        <f t="shared" si="111"/>
        <v>265.97982297773012</v>
      </c>
      <c r="AM122" s="378">
        <f t="shared" si="111"/>
        <v>1483.8938229777302</v>
      </c>
      <c r="AN122" s="378">
        <f t="shared" si="111"/>
        <v>409.8167905846916</v>
      </c>
      <c r="AO122" s="378">
        <f t="shared" si="111"/>
        <v>424.41858376186514</v>
      </c>
      <c r="AP122" s="378">
        <f t="shared" si="111"/>
        <v>379.89221927645582</v>
      </c>
      <c r="AQ122" s="378">
        <f t="shared" si="111"/>
        <v>273.66806392678762</v>
      </c>
      <c r="AR122" s="378">
        <f t="shared" si="111"/>
        <v>1487.7956575498001</v>
      </c>
      <c r="AS122" s="378">
        <f t="shared" si="111"/>
        <v>413.86270774210004</v>
      </c>
      <c r="AT122" s="378">
        <f t="shared" si="111"/>
        <v>424.95582945342153</v>
      </c>
      <c r="AU122" s="378">
        <f t="shared" si="111"/>
        <v>383.44430526086484</v>
      </c>
      <c r="AV122" s="378">
        <f t="shared" si="111"/>
        <v>290.05353158260675</v>
      </c>
      <c r="AW122" s="378">
        <f t="shared" si="111"/>
        <v>1512.316374038993</v>
      </c>
      <c r="AX122" s="378">
        <f t="shared" si="111"/>
        <v>423.53658755882975</v>
      </c>
      <c r="AY122" s="378">
        <f t="shared" si="111"/>
        <v>441.28466040608885</v>
      </c>
      <c r="AZ122" s="378">
        <f t="shared" si="111"/>
        <v>396.12469179489199</v>
      </c>
      <c r="BA122" s="378">
        <f t="shared" si="111"/>
        <v>303.28016261866287</v>
      </c>
      <c r="BB122" s="378">
        <f t="shared" si="111"/>
        <v>1564.2261023784731</v>
      </c>
      <c r="BC122" s="378">
        <f t="shared" si="111"/>
        <v>438.9744610177321</v>
      </c>
      <c r="BD122" s="378">
        <f t="shared" si="111"/>
        <v>456.30631568496938</v>
      </c>
      <c r="BE122" s="378">
        <f t="shared" si="111"/>
        <v>413.94257812106491</v>
      </c>
      <c r="BF122" s="378">
        <f t="shared" si="111"/>
        <v>321.96925589912018</v>
      </c>
      <c r="BG122" s="378">
        <f t="shared" si="111"/>
        <v>1631.1926107228865</v>
      </c>
      <c r="BH122" s="378">
        <f t="shared" si="111"/>
        <v>458.84752471367528</v>
      </c>
      <c r="BI122" s="378">
        <f t="shared" si="111"/>
        <v>476.31198250184372</v>
      </c>
      <c r="BJ122" s="378">
        <f t="shared" si="111"/>
        <v>435.25219436811722</v>
      </c>
      <c r="BK122" s="378">
        <f t="shared" si="111"/>
        <v>343.24898920588646</v>
      </c>
      <c r="BL122" s="378">
        <f t="shared" si="111"/>
        <v>1713.6606907895227</v>
      </c>
    </row>
    <row r="123" spans="1:74" outlineLevel="1"/>
    <row r="124" spans="1:74" outlineLevel="1">
      <c r="A124" s="3" t="s">
        <v>1688</v>
      </c>
    </row>
    <row r="125" spans="1:74" outlineLevel="1">
      <c r="A125" s="5" t="s">
        <v>1659</v>
      </c>
      <c r="AD125" s="16">
        <f>AD120/AD25</f>
        <v>0.32372619660319096</v>
      </c>
      <c r="AE125" s="16">
        <f t="shared" ref="AE125:AH127" si="112">AE120/AE25</f>
        <v>0.30165367800798332</v>
      </c>
      <c r="AF125" s="16">
        <f t="shared" si="112"/>
        <v>0.25957721776054637</v>
      </c>
      <c r="AG125" s="16">
        <f t="shared" si="112"/>
        <v>0.17815838262558484</v>
      </c>
      <c r="AH125" s="16">
        <f t="shared" si="112"/>
        <v>0.26296671934334964</v>
      </c>
      <c r="AI125" s="16">
        <f>AI120/AI25</f>
        <v>0.30104883907125696</v>
      </c>
      <c r="AJ125" s="16">
        <f t="shared" ref="AJ125:AM127" si="113">AJ120/AJ25</f>
        <v>0.30680967165302475</v>
      </c>
      <c r="AK125" s="16">
        <f t="shared" si="113"/>
        <v>0.25201596082343336</v>
      </c>
      <c r="AL125" s="16">
        <f t="shared" si="113"/>
        <v>0.16160852660575242</v>
      </c>
      <c r="AM125" s="16">
        <f t="shared" si="113"/>
        <v>0.25279752843745534</v>
      </c>
      <c r="AN125" s="16">
        <f>AN120/AN25</f>
        <v>0.29613358012764046</v>
      </c>
      <c r="AO125" s="16">
        <f t="shared" ref="AO125:AR127" si="114">AO120/AO25</f>
        <v>0.29247861643981604</v>
      </c>
      <c r="AP125" s="16">
        <f t="shared" si="114"/>
        <v>0.24170317422047849</v>
      </c>
      <c r="AQ125" s="16">
        <f t="shared" si="114"/>
        <v>0.16434106265825302</v>
      </c>
      <c r="AR125" s="16">
        <f t="shared" si="114"/>
        <v>0.24631928349910256</v>
      </c>
      <c r="AS125" s="16">
        <f>AS120/AS25</f>
        <v>0.29131553289988193</v>
      </c>
      <c r="AT125" s="16">
        <f t="shared" ref="AT125:AW127" si="115">AT120/AT25</f>
        <v>0.28760418606863136</v>
      </c>
      <c r="AU125" s="16">
        <f t="shared" si="115"/>
        <v>0.23768791897637995</v>
      </c>
      <c r="AV125" s="16">
        <f t="shared" si="115"/>
        <v>0.1651463318963298</v>
      </c>
      <c r="AW125" s="16">
        <f t="shared" si="115"/>
        <v>0.24317170579473249</v>
      </c>
      <c r="AX125" s="16">
        <f>AX120/AX25</f>
        <v>0.28927769046678037</v>
      </c>
      <c r="AY125" s="16">
        <f t="shared" ref="AY125:BB127" si="116">AY120/AY25</f>
        <v>0.2853077823700147</v>
      </c>
      <c r="AZ125" s="16">
        <f t="shared" si="116"/>
        <v>0.23661621474266967</v>
      </c>
      <c r="BA125" s="16">
        <f t="shared" si="116"/>
        <v>0.16779044047909508</v>
      </c>
      <c r="BB125" s="16">
        <f t="shared" si="116"/>
        <v>0.24252688787615609</v>
      </c>
      <c r="BC125" s="16">
        <f>BC120/BC25</f>
        <v>0.28975152254224951</v>
      </c>
      <c r="BD125" s="16">
        <f t="shared" ref="BD125:BG127" si="117">BD120/BD25</f>
        <v>0.2859728697795435</v>
      </c>
      <c r="BE125" s="16">
        <f t="shared" si="117"/>
        <v>0.23835063007302515</v>
      </c>
      <c r="BF125" s="16">
        <f t="shared" si="117"/>
        <v>0.17144240325044338</v>
      </c>
      <c r="BG125" s="16">
        <f t="shared" si="117"/>
        <v>0.24416115526590831</v>
      </c>
      <c r="BH125" s="16">
        <f>BH120/BH25</f>
        <v>0.29210779498648803</v>
      </c>
      <c r="BI125" s="16">
        <f t="shared" ref="BI125:BL127" si="118">BI120/BI25</f>
        <v>0.28858555810475711</v>
      </c>
      <c r="BJ125" s="16">
        <f t="shared" si="118"/>
        <v>0.2422628712653804</v>
      </c>
      <c r="BK125" s="16">
        <f t="shared" si="118"/>
        <v>0.17568534321029905</v>
      </c>
      <c r="BL125" s="16">
        <f t="shared" si="118"/>
        <v>0.24741075088934711</v>
      </c>
    </row>
    <row r="126" spans="1:74" outlineLevel="1">
      <c r="A126" s="5" t="s">
        <v>1660</v>
      </c>
      <c r="AD126" s="16">
        <f>AD121/AD26</f>
        <v>0.22151088348271447</v>
      </c>
      <c r="AE126" s="16">
        <f t="shared" si="112"/>
        <v>0.20436105476673427</v>
      </c>
      <c r="AF126" s="16">
        <f t="shared" si="112"/>
        <v>0.20634920634920634</v>
      </c>
      <c r="AG126" s="16">
        <f t="shared" si="112"/>
        <v>0.16574458275703102</v>
      </c>
      <c r="AH126" s="16">
        <f t="shared" si="112"/>
        <v>0.19888775937331823</v>
      </c>
      <c r="AI126" s="16">
        <f>AI121/AI26</f>
        <v>0.23205574912891988</v>
      </c>
      <c r="AJ126" s="16">
        <f t="shared" si="113"/>
        <v>0.23436083408884859</v>
      </c>
      <c r="AK126" s="16">
        <f t="shared" si="113"/>
        <v>0.23110924015996639</v>
      </c>
      <c r="AL126" s="16">
        <f t="shared" si="113"/>
        <v>0.17689968254507804</v>
      </c>
      <c r="AM126" s="16">
        <f t="shared" si="113"/>
        <v>0.21846444843425655</v>
      </c>
      <c r="AN126" s="16">
        <f>AN121/AN26</f>
        <v>0.24672843740188083</v>
      </c>
      <c r="AO126" s="16">
        <f t="shared" si="114"/>
        <v>0.24229215948117896</v>
      </c>
      <c r="AP126" s="16">
        <f t="shared" si="114"/>
        <v>0.22519725577401853</v>
      </c>
      <c r="AQ126" s="16">
        <f t="shared" si="114"/>
        <v>0.17899062629352994</v>
      </c>
      <c r="AR126" s="16">
        <f t="shared" si="114"/>
        <v>0.22292385394193828</v>
      </c>
      <c r="AS126" s="16">
        <f>AS121/AS26</f>
        <v>0.2519143033534379</v>
      </c>
      <c r="AT126" s="16">
        <f t="shared" si="115"/>
        <v>0.2390389688387356</v>
      </c>
      <c r="AU126" s="16">
        <f t="shared" si="115"/>
        <v>0.22829004938538214</v>
      </c>
      <c r="AV126" s="16">
        <f t="shared" si="115"/>
        <v>0.19924285589009857</v>
      </c>
      <c r="AW126" s="16">
        <f t="shared" si="115"/>
        <v>0.22918771899171225</v>
      </c>
      <c r="AX126" s="16">
        <f>AX121/AX26</f>
        <v>0.25693992052086428</v>
      </c>
      <c r="AY126" s="16">
        <f t="shared" si="116"/>
        <v>0.25904162506764722</v>
      </c>
      <c r="AZ126" s="16">
        <f t="shared" si="116"/>
        <v>0.23779219098390561</v>
      </c>
      <c r="BA126" s="16">
        <f t="shared" si="116"/>
        <v>0.20518031248205243</v>
      </c>
      <c r="BB126" s="16">
        <f t="shared" si="116"/>
        <v>0.23932607254979751</v>
      </c>
      <c r="BC126" s="16">
        <f>BC121/BC26</f>
        <v>0.26676236558583688</v>
      </c>
      <c r="BD126" s="16">
        <f t="shared" si="117"/>
        <v>0.26564988222052865</v>
      </c>
      <c r="BE126" s="16">
        <f t="shared" si="117"/>
        <v>0.24922265467422386</v>
      </c>
      <c r="BF126" s="16">
        <f t="shared" si="117"/>
        <v>0.21663519194696645</v>
      </c>
      <c r="BG126" s="16">
        <f t="shared" si="117"/>
        <v>0.24918398972939049</v>
      </c>
      <c r="BH126" s="16">
        <f>BH121/BH26</f>
        <v>0.27902260470436363</v>
      </c>
      <c r="BI126" s="16">
        <f t="shared" si="118"/>
        <v>0.27588874440799227</v>
      </c>
      <c r="BJ126" s="16">
        <f t="shared" si="118"/>
        <v>0.25967989607228487</v>
      </c>
      <c r="BK126" s="16">
        <f t="shared" si="118"/>
        <v>0.2295416485516153</v>
      </c>
      <c r="BL126" s="16">
        <f t="shared" si="118"/>
        <v>0.26064486582051594</v>
      </c>
    </row>
    <row r="127" spans="1:74" outlineLevel="1">
      <c r="A127" s="9" t="s">
        <v>1687</v>
      </c>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17">
        <f>AD122/AD27</f>
        <v>0.29441997063142439</v>
      </c>
      <c r="AE127" s="17">
        <f t="shared" si="112"/>
        <v>0.27512788607769945</v>
      </c>
      <c r="AF127" s="17">
        <f t="shared" si="112"/>
        <v>0.24386752553842145</v>
      </c>
      <c r="AG127" s="17">
        <f t="shared" si="112"/>
        <v>0.17472071496967764</v>
      </c>
      <c r="AH127" s="17">
        <f t="shared" si="112"/>
        <v>0.2448410013531799</v>
      </c>
      <c r="AI127" s="17">
        <f>AI122/AI27</f>
        <v>0.28027418339511784</v>
      </c>
      <c r="AJ127" s="17">
        <f t="shared" si="113"/>
        <v>0.2855581410810451</v>
      </c>
      <c r="AK127" s="17">
        <f t="shared" si="113"/>
        <v>0.24572062365318798</v>
      </c>
      <c r="AL127" s="17">
        <f t="shared" si="113"/>
        <v>0.16594001545324399</v>
      </c>
      <c r="AM127" s="17">
        <f t="shared" si="113"/>
        <v>0.24268570791933144</v>
      </c>
      <c r="AN127" s="17">
        <f>AN122/AN27</f>
        <v>0.28124506022828116</v>
      </c>
      <c r="AO127" s="17">
        <f t="shared" si="114"/>
        <v>0.2774840716643277</v>
      </c>
      <c r="AP127" s="17">
        <f t="shared" si="114"/>
        <v>0.23672597997272671</v>
      </c>
      <c r="AQ127" s="17">
        <f t="shared" si="114"/>
        <v>0.16853100349935954</v>
      </c>
      <c r="AR127" s="17">
        <f t="shared" si="114"/>
        <v>0.23937646412291336</v>
      </c>
      <c r="AS127" s="17">
        <f>AS122/AS27</f>
        <v>0.27933396789418247</v>
      </c>
      <c r="AT127" s="17">
        <f t="shared" si="115"/>
        <v>0.27288706637090504</v>
      </c>
      <c r="AU127" s="17">
        <f t="shared" si="115"/>
        <v>0.23481804501930562</v>
      </c>
      <c r="AV127" s="17">
        <f t="shared" si="115"/>
        <v>0.17507080874192496</v>
      </c>
      <c r="AW127" s="17">
        <f t="shared" si="115"/>
        <v>0.23896595892971911</v>
      </c>
      <c r="AX127" s="17">
        <f>AX122/AX27</f>
        <v>0.27931146261665996</v>
      </c>
      <c r="AY127" s="17">
        <f t="shared" si="116"/>
        <v>0.27726442645673205</v>
      </c>
      <c r="AZ127" s="17">
        <f t="shared" si="116"/>
        <v>0.23698059535715879</v>
      </c>
      <c r="BA127" s="17">
        <f t="shared" si="116"/>
        <v>0.17879436744100979</v>
      </c>
      <c r="BB127" s="17">
        <f t="shared" si="116"/>
        <v>0.24155224231636535</v>
      </c>
      <c r="BC127" s="17">
        <f>BC122/BC27</f>
        <v>0.28259463893914105</v>
      </c>
      <c r="BD127" s="17">
        <f t="shared" si="117"/>
        <v>0.27968352525542428</v>
      </c>
      <c r="BE127" s="17">
        <f t="shared" si="117"/>
        <v>0.24175058575211028</v>
      </c>
      <c r="BF127" s="17">
        <f t="shared" si="117"/>
        <v>0.18486343638041522</v>
      </c>
      <c r="BG127" s="17">
        <f t="shared" si="117"/>
        <v>0.24570548965552061</v>
      </c>
      <c r="BH127" s="17">
        <f>BH122/BH27</f>
        <v>0.28799664752279891</v>
      </c>
      <c r="BI127" s="17">
        <f t="shared" si="118"/>
        <v>0.28463018150211666</v>
      </c>
      <c r="BJ127" s="17">
        <f t="shared" si="118"/>
        <v>0.24775136290547309</v>
      </c>
      <c r="BK127" s="17">
        <f t="shared" si="118"/>
        <v>0.19175439077736833</v>
      </c>
      <c r="BL127" s="17">
        <f t="shared" si="118"/>
        <v>0.25150826820579991</v>
      </c>
    </row>
    <row r="128" spans="1:74" outlineLevel="1"/>
    <row r="129" spans="1:64" outlineLevel="1">
      <c r="A129" s="3" t="s">
        <v>1663</v>
      </c>
    </row>
    <row r="130" spans="1:64" outlineLevel="1">
      <c r="A130" s="5" t="s">
        <v>1659</v>
      </c>
      <c r="AI130" s="16">
        <f>AI120/AD120-1</f>
        <v>-4.3535771065182804E-2</v>
      </c>
      <c r="AJ130" s="16">
        <f t="shared" ref="AJ130:AM132" si="119">AJ120/AE120-1</f>
        <v>2.7435412728418207E-2</v>
      </c>
      <c r="AK130" s="16">
        <f t="shared" si="119"/>
        <v>-1.1742532005689754E-2</v>
      </c>
      <c r="AL130" s="16">
        <f t="shared" si="119"/>
        <v>-7.997904254759769E-2</v>
      </c>
      <c r="AM130" s="16">
        <f t="shared" si="119"/>
        <v>-2.1908485771015118E-2</v>
      </c>
      <c r="AN130" s="16">
        <f>AN120/AI120-1</f>
        <v>2.211214795977634E-3</v>
      </c>
      <c r="AO130" s="16">
        <f t="shared" ref="AO130:AR132" si="120">AO120/AJ120-1</f>
        <v>-3.8065881922649591E-2</v>
      </c>
      <c r="AP130" s="16">
        <f t="shared" si="120"/>
        <v>-2.5115954435693033E-2</v>
      </c>
      <c r="AQ130" s="16">
        <f t="shared" si="120"/>
        <v>2.6272887829888569E-2</v>
      </c>
      <c r="AR130" s="16">
        <f t="shared" si="120"/>
        <v>-1.2701153571350265E-2</v>
      </c>
      <c r="AS130" s="16">
        <f>AS120/AN120-1</f>
        <v>-3.6775681347578359E-3</v>
      </c>
      <c r="AT130" s="16">
        <f t="shared" ref="AT130:AW132" si="121">AT120/AO120-1</f>
        <v>-4.9195634561089996E-3</v>
      </c>
      <c r="AU130" s="16">
        <f t="shared" si="121"/>
        <v>-4.8466959197889237E-3</v>
      </c>
      <c r="AV130" s="16">
        <f t="shared" si="121"/>
        <v>1.8016786931242423E-2</v>
      </c>
      <c r="AW130" s="16">
        <f t="shared" si="121"/>
        <v>-4.9423268260351261E-4</v>
      </c>
      <c r="AX130" s="16">
        <f>AX120/AS120-1</f>
        <v>1.0309464204275143E-2</v>
      </c>
      <c r="AY130" s="16">
        <f t="shared" ref="AY130:BB132" si="122">AY120/AT120-1</f>
        <v>9.234128322829438E-3</v>
      </c>
      <c r="AZ130" s="16">
        <f t="shared" si="122"/>
        <v>1.2456581002113776E-2</v>
      </c>
      <c r="BA130" s="16">
        <f t="shared" si="122"/>
        <v>3.5474439305308136E-2</v>
      </c>
      <c r="BB130" s="16">
        <f t="shared" si="122"/>
        <v>1.50715861549644E-2</v>
      </c>
      <c r="BC130" s="16">
        <f>BC120/AX120-1</f>
        <v>2.1452854521198716E-2</v>
      </c>
      <c r="BD130" s="16">
        <f t="shared" ref="BD130:BG132" si="123">BD120/AY120-1</f>
        <v>2.2681511695616274E-2</v>
      </c>
      <c r="BE130" s="16">
        <f t="shared" si="123"/>
        <v>2.7577369199631496E-2</v>
      </c>
      <c r="BF130" s="16">
        <f t="shared" si="123"/>
        <v>4.5147628141238405E-2</v>
      </c>
      <c r="BG130" s="16">
        <f t="shared" si="123"/>
        <v>2.7694652203701375E-2</v>
      </c>
      <c r="BH130" s="16">
        <f>BH120/BC120-1</f>
        <v>2.9700457547504833E-2</v>
      </c>
      <c r="BI130" s="16">
        <f t="shared" ref="BI130:BL132" si="124">BI120/BD120-1</f>
        <v>3.1991066689145198E-2</v>
      </c>
      <c r="BJ130" s="16">
        <f t="shared" si="124"/>
        <v>3.9215311822746068E-2</v>
      </c>
      <c r="BK130" s="16">
        <f t="shared" si="124"/>
        <v>5.1125570487922545E-2</v>
      </c>
      <c r="BL130" s="16">
        <f t="shared" si="124"/>
        <v>3.6741834564394615E-2</v>
      </c>
    </row>
    <row r="131" spans="1:64" outlineLevel="1">
      <c r="A131" s="5" t="s">
        <v>1660</v>
      </c>
      <c r="AI131" s="16">
        <f>AI121/AD121-1</f>
        <v>0.15491329479768789</v>
      </c>
      <c r="AJ131" s="16">
        <f t="shared" si="119"/>
        <v>0.2828784119106702</v>
      </c>
      <c r="AK131" s="16">
        <f t="shared" si="119"/>
        <v>0.17307692307692335</v>
      </c>
      <c r="AL131" s="16">
        <f t="shared" si="119"/>
        <v>0.11710144316878024</v>
      </c>
      <c r="AM131" s="16">
        <f t="shared" si="119"/>
        <v>0.1828610756579534</v>
      </c>
      <c r="AN131" s="16">
        <f>AN121/AI121-1</f>
        <v>8.4520915759190629E-2</v>
      </c>
      <c r="AO131" s="16">
        <f t="shared" si="120"/>
        <v>7.0833388625692217E-2</v>
      </c>
      <c r="AP131" s="16">
        <f t="shared" si="120"/>
        <v>-7.5237451527679911E-3</v>
      </c>
      <c r="AQ131" s="16">
        <f t="shared" si="120"/>
        <v>3.4990348441164887E-2</v>
      </c>
      <c r="AR131" s="16">
        <f t="shared" si="120"/>
        <v>4.5122600664296408E-2</v>
      </c>
      <c r="AS131" s="16">
        <f>AS121/AN121-1</f>
        <v>4.7576445058641559E-2</v>
      </c>
      <c r="AT131" s="16">
        <f t="shared" si="121"/>
        <v>1.8789801805370043E-2</v>
      </c>
      <c r="AU131" s="16">
        <f t="shared" si="121"/>
        <v>4.4645048532378162E-2</v>
      </c>
      <c r="AV131" s="16">
        <f t="shared" si="121"/>
        <v>0.15581117957708468</v>
      </c>
      <c r="AW131" s="16">
        <f t="shared" si="121"/>
        <v>6.0930308880404516E-2</v>
      </c>
      <c r="AX131" s="16">
        <f>AX121/AS121-1</f>
        <v>5.7950527379077688E-2</v>
      </c>
      <c r="AY131" s="16">
        <f t="shared" si="122"/>
        <v>0.11920063637041345</v>
      </c>
      <c r="AZ131" s="16">
        <f t="shared" si="122"/>
        <v>8.1887785431933979E-2</v>
      </c>
      <c r="BA131" s="16">
        <f t="shared" si="122"/>
        <v>6.6043397578194663E-2</v>
      </c>
      <c r="BB131" s="16">
        <f t="shared" si="122"/>
        <v>8.1818685254408052E-2</v>
      </c>
      <c r="BC131" s="16">
        <f>BC121/AX121-1</f>
        <v>7.4351265848288328E-2</v>
      </c>
      <c r="BD131" s="16">
        <f t="shared" si="123"/>
        <v>6.2385358171557659E-2</v>
      </c>
      <c r="BE131" s="16">
        <f t="shared" si="123"/>
        <v>8.3551304604315924E-2</v>
      </c>
      <c r="BF131" s="16">
        <f t="shared" si="123"/>
        <v>9.3930217692987483E-2</v>
      </c>
      <c r="BG131" s="16">
        <f t="shared" si="123"/>
        <v>7.7800641845541918E-2</v>
      </c>
      <c r="BH131" s="16">
        <f>BH121/BC121-1</f>
        <v>8.2686091246785276E-2</v>
      </c>
      <c r="BI131" s="16">
        <f t="shared" si="124"/>
        <v>7.2310543808449035E-2</v>
      </c>
      <c r="BJ131" s="16">
        <f t="shared" si="124"/>
        <v>7.7257112541738504E-2</v>
      </c>
      <c r="BK131" s="16">
        <f t="shared" si="124"/>
        <v>9.4132272571192166E-2</v>
      </c>
      <c r="BL131" s="16">
        <f t="shared" si="124"/>
        <v>8.1047160238907345E-2</v>
      </c>
    </row>
    <row r="132" spans="1:64" outlineLevel="1">
      <c r="A132" s="9" t="s">
        <v>1687</v>
      </c>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17">
        <f>AI122/AD122-1</f>
        <v>-7.2817955112225441E-4</v>
      </c>
      <c r="AJ132" s="17">
        <f t="shared" si="119"/>
        <v>7.916582914572845E-2</v>
      </c>
      <c r="AK132" s="17">
        <f t="shared" si="119"/>
        <v>3.4413020277481499E-2</v>
      </c>
      <c r="AL132" s="17">
        <f t="shared" si="119"/>
        <v>-2.8206711809535712E-2</v>
      </c>
      <c r="AM132" s="17">
        <f t="shared" si="119"/>
        <v>2.5142537463026304E-2</v>
      </c>
      <c r="AN132" s="17">
        <f>AN122/AI122-1</f>
        <v>2.2731741279664153E-2</v>
      </c>
      <c r="AO132" s="17">
        <f t="shared" si="120"/>
        <v>-1.1849409645768638E-2</v>
      </c>
      <c r="AP132" s="17">
        <f t="shared" si="120"/>
        <v>-2.0133662602190738E-2</v>
      </c>
      <c r="AQ132" s="17">
        <f t="shared" si="120"/>
        <v>2.8905354033945674E-2</v>
      </c>
      <c r="AR132" s="17">
        <f t="shared" si="120"/>
        <v>2.6294567115590084E-3</v>
      </c>
      <c r="AS132" s="17">
        <f>AS122/AN122-1</f>
        <v>9.8725021774634936E-3</v>
      </c>
      <c r="AT132" s="17">
        <f t="shared" si="121"/>
        <v>1.2658392259699003E-3</v>
      </c>
      <c r="AU132" s="17">
        <f t="shared" si="121"/>
        <v>9.3502467388628663E-3</v>
      </c>
      <c r="AV132" s="17">
        <f t="shared" si="121"/>
        <v>5.9873510342085767E-2</v>
      </c>
      <c r="AW132" s="17">
        <f t="shared" si="121"/>
        <v>1.6481239452987184E-2</v>
      </c>
      <c r="AX132" s="17">
        <f>AX122/AS122-1</f>
        <v>2.3374611038301296E-2</v>
      </c>
      <c r="AY132" s="17">
        <f t="shared" si="122"/>
        <v>3.8424772225549741E-2</v>
      </c>
      <c r="AZ132" s="17">
        <f t="shared" si="122"/>
        <v>3.3069695807323107E-2</v>
      </c>
      <c r="BA132" s="17">
        <f t="shared" si="122"/>
        <v>4.5600655037324467E-2</v>
      </c>
      <c r="BB132" s="17">
        <f t="shared" si="122"/>
        <v>3.4324648751135944E-2</v>
      </c>
      <c r="BC132" s="17">
        <f>BC122/AX122-1</f>
        <v>3.644991699036626E-2</v>
      </c>
      <c r="BD132" s="17">
        <f t="shared" si="123"/>
        <v>3.4040737480103944E-2</v>
      </c>
      <c r="BE132" s="17">
        <f t="shared" si="123"/>
        <v>4.4980499058106638E-2</v>
      </c>
      <c r="BF132" s="17">
        <f t="shared" si="123"/>
        <v>6.1623197241411853E-2</v>
      </c>
      <c r="BG132" s="17">
        <f t="shared" si="123"/>
        <v>4.281127149239361E-2</v>
      </c>
      <c r="BH132" s="17">
        <f>BH122/BC122-1</f>
        <v>4.5271571493860518E-2</v>
      </c>
      <c r="BI132" s="17">
        <f t="shared" si="124"/>
        <v>4.3842625291836024E-2</v>
      </c>
      <c r="BJ132" s="17">
        <f t="shared" si="124"/>
        <v>5.1479643248537599E-2</v>
      </c>
      <c r="BK132" s="17">
        <f t="shared" si="124"/>
        <v>6.6092438693692079E-2</v>
      </c>
      <c r="BL132" s="17">
        <f t="shared" si="124"/>
        <v>5.055692351995722E-2</v>
      </c>
    </row>
    <row r="133" spans="1:64" outlineLevel="1"/>
    <row r="134" spans="1:64" outlineLevel="1">
      <c r="A134" s="3" t="s">
        <v>1689</v>
      </c>
    </row>
    <row r="135" spans="1:64" outlineLevel="1">
      <c r="A135" s="5" t="s">
        <v>1659</v>
      </c>
      <c r="AD135" s="21">
        <f>AD120/AD122</f>
        <v>0.78428927680798</v>
      </c>
      <c r="AE135" s="21">
        <f t="shared" ref="AE135:AH135" si="125">AE120/AE122</f>
        <v>0.79748743718592963</v>
      </c>
      <c r="AF135" s="21">
        <f t="shared" si="125"/>
        <v>0.75026680896478115</v>
      </c>
      <c r="AG135" s="21">
        <f t="shared" si="125"/>
        <v>0.73730361709901338</v>
      </c>
      <c r="AH135" s="21">
        <f t="shared" si="125"/>
        <v>0.77022452504317784</v>
      </c>
      <c r="AI135" s="21">
        <f>AI120/AI122</f>
        <v>0.75069127644069999</v>
      </c>
      <c r="AJ135" s="21">
        <f t="shared" ref="AJ135:AM135" si="126">AJ120/AJ122</f>
        <v>0.75925943172187715</v>
      </c>
      <c r="AK135" s="21">
        <f t="shared" si="126"/>
        <v>0.71678987252964932</v>
      </c>
      <c r="AL135" s="21">
        <f t="shared" si="126"/>
        <v>0.69802373403880225</v>
      </c>
      <c r="AM135" s="21">
        <f t="shared" si="126"/>
        <v>0.7348734877982307</v>
      </c>
      <c r="AN135" s="21">
        <f>AN120/AN122</f>
        <v>0.73562908603679289</v>
      </c>
      <c r="AO135" s="21">
        <f t="shared" ref="AO135:AR135" si="127">AO120/AO122</f>
        <v>0.73911563578935491</v>
      </c>
      <c r="AP135" s="21">
        <f t="shared" si="127"/>
        <v>0.71314523632577109</v>
      </c>
      <c r="AQ135" s="21">
        <f t="shared" si="127"/>
        <v>0.6962378322721503</v>
      </c>
      <c r="AR135" s="21">
        <f t="shared" si="127"/>
        <v>0.72363697467440169</v>
      </c>
      <c r="AS135" s="21">
        <f>AS120/AS122</f>
        <v>0.72575870555012634</v>
      </c>
      <c r="AT135" s="21">
        <f t="shared" ref="AT135:AW135" si="128">AT120/AT122</f>
        <v>0.7345496877095602</v>
      </c>
      <c r="AU135" s="21">
        <f t="shared" si="128"/>
        <v>0.7031145437489188</v>
      </c>
      <c r="AV135" s="21">
        <f t="shared" si="128"/>
        <v>0.6687418772461825</v>
      </c>
      <c r="AW135" s="21">
        <f t="shared" si="128"/>
        <v>0.71155206958901207</v>
      </c>
      <c r="AX135" s="21">
        <f>AX120/AX122</f>
        <v>0.716493140475706</v>
      </c>
      <c r="AY135" s="21">
        <f t="shared" ref="AY135:BB135" si="129">AY120/AY122</f>
        <v>0.71390112564104391</v>
      </c>
      <c r="AZ135" s="21">
        <f t="shared" si="129"/>
        <v>0.68908511197841027</v>
      </c>
      <c r="BA135" s="21">
        <f t="shared" si="129"/>
        <v>0.66226538501618615</v>
      </c>
      <c r="BB135" s="21">
        <f t="shared" si="129"/>
        <v>0.69830714058845722</v>
      </c>
      <c r="BC135" s="21">
        <f>BC120/BC122</f>
        <v>0.70612573901201892</v>
      </c>
      <c r="BD135" s="21">
        <f t="shared" ref="BD135:BG135" si="130">BD120/BD122</f>
        <v>0.70605872274527537</v>
      </c>
      <c r="BE135" s="21">
        <f t="shared" si="130"/>
        <v>0.67760907228378309</v>
      </c>
      <c r="BF135" s="21">
        <f t="shared" si="130"/>
        <v>0.65198753959811362</v>
      </c>
      <c r="BG135" s="21">
        <f t="shared" si="130"/>
        <v>0.68818446213318507</v>
      </c>
      <c r="BH135" s="21">
        <f>BH120/BH122</f>
        <v>0.69560678428057343</v>
      </c>
      <c r="BI135" s="21">
        <f t="shared" ref="BI135:BL135" si="131">BI120/BI122</f>
        <v>0.69804228796209422</v>
      </c>
      <c r="BJ135" s="21">
        <f t="shared" si="131"/>
        <v>0.66970552199351174</v>
      </c>
      <c r="BK135" s="21">
        <f t="shared" si="131"/>
        <v>0.64283428869528769</v>
      </c>
      <c r="BL135" s="21">
        <f t="shared" si="131"/>
        <v>0.67913466259414534</v>
      </c>
    </row>
    <row r="136" spans="1:64" outlineLevel="1">
      <c r="A136" s="5" t="s">
        <v>1660</v>
      </c>
      <c r="AD136" s="21">
        <f>AD121/AD122</f>
        <v>0.21571072319201995</v>
      </c>
      <c r="AE136" s="21">
        <f t="shared" ref="AE136:AH136" si="132">AE121/AE122</f>
        <v>0.20251256281407035</v>
      </c>
      <c r="AF136" s="21">
        <f t="shared" si="132"/>
        <v>0.24973319103521879</v>
      </c>
      <c r="AG136" s="21">
        <f t="shared" si="132"/>
        <v>0.26269638290098657</v>
      </c>
      <c r="AH136" s="21">
        <f t="shared" si="132"/>
        <v>0.22977547495682218</v>
      </c>
      <c r="AI136" s="21">
        <f>AI121/AI122</f>
        <v>0.24930872355930006</v>
      </c>
      <c r="AJ136" s="21">
        <f t="shared" ref="AJ136:AM136" si="133">AJ121/AJ122</f>
        <v>0.24074056827812293</v>
      </c>
      <c r="AK136" s="21">
        <f t="shared" si="133"/>
        <v>0.28321012747035068</v>
      </c>
      <c r="AL136" s="21">
        <f t="shared" si="133"/>
        <v>0.30197626596119781</v>
      </c>
      <c r="AM136" s="21">
        <f t="shared" si="133"/>
        <v>0.26512651220176936</v>
      </c>
      <c r="AN136" s="21">
        <f>AN121/AN122</f>
        <v>0.26437091396320705</v>
      </c>
      <c r="AO136" s="21">
        <f t="shared" ref="AO136:AR136" si="134">AO121/AO122</f>
        <v>0.26088436421064504</v>
      </c>
      <c r="AP136" s="21">
        <f t="shared" si="134"/>
        <v>0.28685476367422891</v>
      </c>
      <c r="AQ136" s="21">
        <f t="shared" si="134"/>
        <v>0.3037621677278497</v>
      </c>
      <c r="AR136" s="21">
        <f t="shared" si="134"/>
        <v>0.27636302532559825</v>
      </c>
      <c r="AS136" s="21">
        <f>AS121/AS122</f>
        <v>0.27424129444987366</v>
      </c>
      <c r="AT136" s="21">
        <f t="shared" ref="AT136:AW136" si="135">AT121/AT122</f>
        <v>0.2654503122904398</v>
      </c>
      <c r="AU136" s="21">
        <f t="shared" si="135"/>
        <v>0.29688545625108126</v>
      </c>
      <c r="AV136" s="21">
        <f t="shared" si="135"/>
        <v>0.33125812275381755</v>
      </c>
      <c r="AW136" s="21">
        <f t="shared" si="135"/>
        <v>0.28844793041098793</v>
      </c>
      <c r="AX136" s="21">
        <f>AX121/AX122</f>
        <v>0.28350685952429411</v>
      </c>
      <c r="AY136" s="21">
        <f t="shared" ref="AY136:BB136" si="136">AY121/AY122</f>
        <v>0.28609887435895609</v>
      </c>
      <c r="AZ136" s="21">
        <f t="shared" si="136"/>
        <v>0.31091488802158973</v>
      </c>
      <c r="BA136" s="21">
        <f t="shared" si="136"/>
        <v>0.33773461498381385</v>
      </c>
      <c r="BB136" s="21">
        <f t="shared" si="136"/>
        <v>0.30169285941154289</v>
      </c>
      <c r="BC136" s="21">
        <f>BC121/BC122</f>
        <v>0.29387426098798103</v>
      </c>
      <c r="BD136" s="21">
        <f t="shared" ref="BD136:BG136" si="137">BD121/BD122</f>
        <v>0.29394127725472452</v>
      </c>
      <c r="BE136" s="21">
        <f t="shared" si="137"/>
        <v>0.32239092771621691</v>
      </c>
      <c r="BF136" s="21">
        <f t="shared" si="137"/>
        <v>0.34801246040188638</v>
      </c>
      <c r="BG136" s="21">
        <f t="shared" si="137"/>
        <v>0.31181553786681487</v>
      </c>
      <c r="BH136" s="21">
        <f>BH121/BH122</f>
        <v>0.30439321571942668</v>
      </c>
      <c r="BI136" s="21">
        <f t="shared" ref="BI136:BL136" si="138">BI121/BI122</f>
        <v>0.30195771203790572</v>
      </c>
      <c r="BJ136" s="21">
        <f t="shared" si="138"/>
        <v>0.3302944780064882</v>
      </c>
      <c r="BK136" s="21">
        <f t="shared" si="138"/>
        <v>0.35716571130471236</v>
      </c>
      <c r="BL136" s="21">
        <f t="shared" si="138"/>
        <v>0.32086533740585471</v>
      </c>
    </row>
    <row r="137" spans="1:64" outlineLevel="1">
      <c r="A137" s="9" t="s">
        <v>1687</v>
      </c>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397">
        <f t="shared" ref="AD137" si="139">SUM(AD135:AD136)</f>
        <v>1</v>
      </c>
      <c r="AE137" s="397">
        <f t="shared" ref="AE137:BL137" si="140">SUM(AE135:AE136)</f>
        <v>1</v>
      </c>
      <c r="AF137" s="397">
        <f t="shared" si="140"/>
        <v>1</v>
      </c>
      <c r="AG137" s="397">
        <f t="shared" si="140"/>
        <v>1</v>
      </c>
      <c r="AH137" s="397">
        <f t="shared" si="140"/>
        <v>1</v>
      </c>
      <c r="AI137" s="397">
        <f t="shared" si="140"/>
        <v>1</v>
      </c>
      <c r="AJ137" s="397">
        <f t="shared" si="140"/>
        <v>1</v>
      </c>
      <c r="AK137" s="397">
        <f t="shared" si="140"/>
        <v>1</v>
      </c>
      <c r="AL137" s="397">
        <f t="shared" si="140"/>
        <v>1</v>
      </c>
      <c r="AM137" s="397">
        <f t="shared" si="140"/>
        <v>1</v>
      </c>
      <c r="AN137" s="397">
        <f t="shared" si="140"/>
        <v>1</v>
      </c>
      <c r="AO137" s="397">
        <f t="shared" si="140"/>
        <v>1</v>
      </c>
      <c r="AP137" s="397">
        <f t="shared" si="140"/>
        <v>1</v>
      </c>
      <c r="AQ137" s="397">
        <f t="shared" si="140"/>
        <v>1</v>
      </c>
      <c r="AR137" s="397">
        <f t="shared" si="140"/>
        <v>1</v>
      </c>
      <c r="AS137" s="397">
        <f t="shared" si="140"/>
        <v>1</v>
      </c>
      <c r="AT137" s="397">
        <f t="shared" si="140"/>
        <v>1</v>
      </c>
      <c r="AU137" s="397">
        <f t="shared" si="140"/>
        <v>1</v>
      </c>
      <c r="AV137" s="397">
        <f t="shared" si="140"/>
        <v>1</v>
      </c>
      <c r="AW137" s="397">
        <f t="shared" si="140"/>
        <v>1</v>
      </c>
      <c r="AX137" s="397">
        <f t="shared" si="140"/>
        <v>1</v>
      </c>
      <c r="AY137" s="397">
        <f t="shared" si="140"/>
        <v>1</v>
      </c>
      <c r="AZ137" s="397">
        <f t="shared" si="140"/>
        <v>1</v>
      </c>
      <c r="BA137" s="397">
        <f t="shared" si="140"/>
        <v>1</v>
      </c>
      <c r="BB137" s="397">
        <f t="shared" si="140"/>
        <v>1</v>
      </c>
      <c r="BC137" s="397">
        <f t="shared" si="140"/>
        <v>1</v>
      </c>
      <c r="BD137" s="397">
        <f t="shared" si="140"/>
        <v>0.99999999999999989</v>
      </c>
      <c r="BE137" s="397">
        <f t="shared" si="140"/>
        <v>1</v>
      </c>
      <c r="BF137" s="397">
        <f t="shared" si="140"/>
        <v>1</v>
      </c>
      <c r="BG137" s="397">
        <f t="shared" si="140"/>
        <v>1</v>
      </c>
      <c r="BH137" s="397">
        <f t="shared" si="140"/>
        <v>1</v>
      </c>
      <c r="BI137" s="397">
        <f t="shared" si="140"/>
        <v>1</v>
      </c>
      <c r="BJ137" s="397">
        <f t="shared" si="140"/>
        <v>1</v>
      </c>
      <c r="BK137" s="397">
        <f t="shared" si="140"/>
        <v>1</v>
      </c>
      <c r="BL137" s="397">
        <f t="shared" si="140"/>
        <v>1</v>
      </c>
    </row>
    <row r="139" spans="1:64">
      <c r="A139" s="3" t="s">
        <v>1690</v>
      </c>
    </row>
    <row r="140" spans="1:64">
      <c r="A140" s="5" t="s">
        <v>1649</v>
      </c>
      <c r="Y140" s="375">
        <f>'Business segments KK'!Y43</f>
        <v>105.6</v>
      </c>
      <c r="Z140" s="375">
        <f>'Business segments KK'!Z43</f>
        <v>104.9</v>
      </c>
      <c r="AA140" s="375">
        <f>'Business segments KK'!AA43</f>
        <v>104.7</v>
      </c>
      <c r="AB140" s="375">
        <f>'Business segments KK'!AB43</f>
        <v>105</v>
      </c>
      <c r="AC140" s="375">
        <f>'Business segments KK'!AC43</f>
        <v>420.2</v>
      </c>
      <c r="AD140" s="375">
        <f>'Business segments KK'!AD43</f>
        <v>105.7</v>
      </c>
      <c r="AE140" s="375">
        <f>'Business segments KK'!AE43</f>
        <v>106.3</v>
      </c>
      <c r="AF140" s="375">
        <f>'Business segments KK'!AF43</f>
        <v>107.3</v>
      </c>
      <c r="AG140" s="375">
        <f>'Business segments KK'!AG43</f>
        <v>108.1</v>
      </c>
      <c r="AH140" s="375">
        <f>'Business segments KK'!AH43</f>
        <v>427.4</v>
      </c>
      <c r="AI140" s="375">
        <f>'Business segments KK'!AI43</f>
        <v>99.7</v>
      </c>
      <c r="AJ140" s="375">
        <f>'Business segments KK'!AJ43</f>
        <v>96.8</v>
      </c>
      <c r="AK140" s="375">
        <f>'Business segments KK'!AK43</f>
        <v>100.8</v>
      </c>
      <c r="AL140" s="375">
        <f>'Business segments KK'!AL43</f>
        <v>97.5</v>
      </c>
      <c r="AM140" s="375">
        <f>'Business segments KK'!AM43</f>
        <v>394.8</v>
      </c>
      <c r="AN140" s="375">
        <f>'Business segments KK'!AN43</f>
        <v>97.5</v>
      </c>
      <c r="AO140" s="375">
        <f>'Business segments KK'!AO43</f>
        <v>97.5</v>
      </c>
      <c r="AP140" s="375">
        <f>'Business segments KK'!AP43</f>
        <v>97.5</v>
      </c>
      <c r="AQ140" s="375">
        <f>'Business segments KK'!AQ43</f>
        <v>97.5</v>
      </c>
      <c r="AR140" s="375">
        <f>'Business segments KK'!AR43</f>
        <v>390</v>
      </c>
      <c r="AS140" s="375">
        <f>'Business segments KK'!AS43</f>
        <v>96.25</v>
      </c>
      <c r="AT140" s="375">
        <f>'Business segments KK'!AT43</f>
        <v>96.25</v>
      </c>
      <c r="AU140" s="375">
        <f>'Business segments KK'!AU43</f>
        <v>96.25</v>
      </c>
      <c r="AV140" s="375">
        <f>'Business segments KK'!AV43</f>
        <v>96.25</v>
      </c>
      <c r="AW140" s="375">
        <f>'Business segments KK'!AW43</f>
        <v>385</v>
      </c>
      <c r="AX140" s="375">
        <f>'Business segments KK'!AX43</f>
        <v>95</v>
      </c>
      <c r="AY140" s="375">
        <f>'Business segments KK'!AY43</f>
        <v>95</v>
      </c>
      <c r="AZ140" s="375">
        <f>'Business segments KK'!AZ43</f>
        <v>95</v>
      </c>
      <c r="BA140" s="375">
        <f>'Business segments KK'!BA43</f>
        <v>95</v>
      </c>
      <c r="BB140" s="375">
        <f>'Business segments KK'!BB43</f>
        <v>380</v>
      </c>
      <c r="BC140" s="375">
        <f>'Business segments KK'!BC43</f>
        <v>93.75</v>
      </c>
      <c r="BD140" s="375">
        <f>'Business segments KK'!BD43</f>
        <v>93.75</v>
      </c>
      <c r="BE140" s="375">
        <f>'Business segments KK'!BE43</f>
        <v>93.75</v>
      </c>
      <c r="BF140" s="375">
        <f>'Business segments KK'!BF43</f>
        <v>93.75</v>
      </c>
      <c r="BG140" s="375">
        <f>'Business segments KK'!BG43</f>
        <v>375</v>
      </c>
      <c r="BH140" s="375">
        <f>'Business segments KK'!BH43</f>
        <v>92.5</v>
      </c>
      <c r="BI140" s="375">
        <f>'Business segments KK'!BI43</f>
        <v>92.5</v>
      </c>
      <c r="BJ140" s="375">
        <f>'Business segments KK'!BJ43</f>
        <v>92.5</v>
      </c>
      <c r="BK140" s="375">
        <f>'Business segments KK'!BK43</f>
        <v>92.5</v>
      </c>
      <c r="BL140" s="375">
        <f>'Business segments KK'!BL43</f>
        <v>370</v>
      </c>
    </row>
    <row r="141" spans="1:64">
      <c r="A141" s="5" t="s">
        <v>1650</v>
      </c>
      <c r="Y141" s="375">
        <f>'Business segments KK'!Y86</f>
        <v>40</v>
      </c>
      <c r="Z141" s="375">
        <f>'Business segments KK'!Z86</f>
        <v>39.5</v>
      </c>
      <c r="AA141" s="375">
        <f>'Business segments KK'!AA86</f>
        <v>39.5</v>
      </c>
      <c r="AB141" s="375">
        <f>'Business segments KK'!AB86</f>
        <v>39.5</v>
      </c>
      <c r="AC141" s="375">
        <f>'Business segments KK'!AC86</f>
        <v>158.5</v>
      </c>
      <c r="AD141" s="375">
        <f>'Business segments KK'!AD86</f>
        <v>38.200000000000003</v>
      </c>
      <c r="AE141" s="375">
        <f>'Business segments KK'!AE86</f>
        <v>38.5</v>
      </c>
      <c r="AF141" s="375">
        <f>'Business segments KK'!AF86</f>
        <v>38.4</v>
      </c>
      <c r="AG141" s="375">
        <f>'Business segments KK'!AG86</f>
        <v>38.9</v>
      </c>
      <c r="AH141" s="375">
        <f>'Business segments KK'!AH86</f>
        <v>154</v>
      </c>
      <c r="AI141" s="375">
        <f>'Business segments KK'!AI86</f>
        <v>38.5</v>
      </c>
      <c r="AJ141" s="375">
        <f>'Business segments KK'!AJ86</f>
        <v>38.5</v>
      </c>
      <c r="AK141" s="375">
        <f>'Business segments KK'!AK86</f>
        <v>39</v>
      </c>
      <c r="AL141" s="375">
        <f>'Business segments KK'!AL86</f>
        <v>38.5</v>
      </c>
      <c r="AM141" s="375">
        <f>'Business segments KK'!AM86</f>
        <v>154.5</v>
      </c>
      <c r="AN141" s="375">
        <f>'Business segments KK'!AN86</f>
        <v>38.5</v>
      </c>
      <c r="AO141" s="375">
        <f>'Business segments KK'!AO86</f>
        <v>38.5</v>
      </c>
      <c r="AP141" s="375">
        <f>'Business segments KK'!AP86</f>
        <v>38.5</v>
      </c>
      <c r="AQ141" s="375">
        <f>'Business segments KK'!AQ86</f>
        <v>38.5</v>
      </c>
      <c r="AR141" s="375">
        <f>'Business segments KK'!AR86</f>
        <v>154</v>
      </c>
      <c r="AS141" s="375">
        <f>'Business segments KK'!AS86</f>
        <v>39.462499999999999</v>
      </c>
      <c r="AT141" s="375">
        <f>'Business segments KK'!AT86</f>
        <v>39.462499999999999</v>
      </c>
      <c r="AU141" s="375">
        <f>'Business segments KK'!AU86</f>
        <v>39.462499999999999</v>
      </c>
      <c r="AV141" s="375">
        <f>'Business segments KK'!AV86</f>
        <v>39.462499999999999</v>
      </c>
      <c r="AW141" s="375">
        <f>'Business segments KK'!AW86</f>
        <v>157.85</v>
      </c>
      <c r="AX141" s="375">
        <f>'Business segments KK'!AX86</f>
        <v>40.449062499999997</v>
      </c>
      <c r="AY141" s="375">
        <f>'Business segments KK'!AY86</f>
        <v>40.449062499999997</v>
      </c>
      <c r="AZ141" s="375">
        <f>'Business segments KK'!AZ86</f>
        <v>40.449062499999997</v>
      </c>
      <c r="BA141" s="375">
        <f>'Business segments KK'!BA86</f>
        <v>40.449062499999997</v>
      </c>
      <c r="BB141" s="375">
        <f>'Business segments KK'!BB86</f>
        <v>161.79624999999999</v>
      </c>
      <c r="BC141" s="375">
        <f>'Business segments KK'!BC86</f>
        <v>41.460289062499996</v>
      </c>
      <c r="BD141" s="375">
        <f>'Business segments KK'!BD86</f>
        <v>41.460289062499996</v>
      </c>
      <c r="BE141" s="375">
        <f>'Business segments KK'!BE86</f>
        <v>41.460289062499996</v>
      </c>
      <c r="BF141" s="375">
        <f>'Business segments KK'!BF86</f>
        <v>41.460289062499996</v>
      </c>
      <c r="BG141" s="375">
        <f>'Business segments KK'!BG86</f>
        <v>165.84115624999998</v>
      </c>
      <c r="BH141" s="375">
        <f>'Business segments KK'!BH86</f>
        <v>42.496796289062495</v>
      </c>
      <c r="BI141" s="375">
        <f>'Business segments KK'!BI86</f>
        <v>42.496796289062495</v>
      </c>
      <c r="BJ141" s="375">
        <f>'Business segments KK'!BJ86</f>
        <v>42.496796289062495</v>
      </c>
      <c r="BK141" s="375">
        <f>'Business segments KK'!BK86</f>
        <v>42.496796289062495</v>
      </c>
      <c r="BL141" s="375">
        <f>'Business segments KK'!BL86</f>
        <v>169.98718515624998</v>
      </c>
    </row>
    <row r="142" spans="1:64">
      <c r="A142" s="5" t="s">
        <v>1651</v>
      </c>
      <c r="Y142" s="375">
        <f>'Business segments KK'!Y112</f>
        <v>0.9</v>
      </c>
      <c r="Z142" s="375">
        <f>'Business segments KK'!Z112</f>
        <v>0.9</v>
      </c>
      <c r="AA142" s="375">
        <f>'Business segments KK'!AA112</f>
        <v>0.9</v>
      </c>
      <c r="AB142" s="375">
        <f>'Business segments KK'!AB112</f>
        <v>0.9</v>
      </c>
      <c r="AC142" s="375">
        <f>'Business segments KK'!AC112</f>
        <v>3.6</v>
      </c>
      <c r="AD142" s="375">
        <f>'Business segments KK'!AD112</f>
        <v>1</v>
      </c>
      <c r="AE142" s="375">
        <f>'Business segments KK'!AE112</f>
        <v>1</v>
      </c>
      <c r="AF142" s="375">
        <f>'Business segments KK'!AF112</f>
        <v>1.1000000000000001</v>
      </c>
      <c r="AG142" s="375">
        <f>'Business segments KK'!AG112</f>
        <v>1.1000000000000001</v>
      </c>
      <c r="AH142" s="375">
        <f>'Business segments KK'!AH112</f>
        <v>4.2</v>
      </c>
      <c r="AI142" s="375">
        <f>'Business segments KK'!AI112</f>
        <v>1.1000000000000001</v>
      </c>
      <c r="AJ142" s="375">
        <f>'Business segments KK'!AJ112</f>
        <v>1.1000000000000001</v>
      </c>
      <c r="AK142" s="375">
        <f>'Business segments KK'!AK112</f>
        <v>1.1000000000000001</v>
      </c>
      <c r="AL142" s="375">
        <f>'Business segments KK'!AL112</f>
        <v>1.1000000000000001</v>
      </c>
      <c r="AM142" s="375">
        <f>'Business segments KK'!AM112</f>
        <v>4.4000000000000004</v>
      </c>
      <c r="AN142" s="375">
        <f>'Business segments KK'!AN112</f>
        <v>1.1000000000000001</v>
      </c>
      <c r="AO142" s="375">
        <f>'Business segments KK'!AO112</f>
        <v>1.1000000000000001</v>
      </c>
      <c r="AP142" s="375">
        <f>'Business segments KK'!AP112</f>
        <v>1.1000000000000001</v>
      </c>
      <c r="AQ142" s="375">
        <f>'Business segments KK'!AQ112</f>
        <v>1.1000000000000001</v>
      </c>
      <c r="AR142" s="375">
        <f>'Business segments KK'!AR112</f>
        <v>4.4000000000000004</v>
      </c>
      <c r="AS142" s="375">
        <f>'Business segments KK'!AS112</f>
        <v>1.1000000000000001</v>
      </c>
      <c r="AT142" s="375">
        <f>'Business segments KK'!AT112</f>
        <v>1.1000000000000001</v>
      </c>
      <c r="AU142" s="375">
        <f>'Business segments KK'!AU112</f>
        <v>1.1000000000000001</v>
      </c>
      <c r="AV142" s="375">
        <f>'Business segments KK'!AV112</f>
        <v>1.1000000000000001</v>
      </c>
      <c r="AW142" s="375">
        <f>'Business segments KK'!AW112</f>
        <v>4.4000000000000004</v>
      </c>
      <c r="AX142" s="375">
        <f>'Business segments KK'!AX112</f>
        <v>1.1000000000000001</v>
      </c>
      <c r="AY142" s="375">
        <f>'Business segments KK'!AY112</f>
        <v>1.1000000000000001</v>
      </c>
      <c r="AZ142" s="375">
        <f>'Business segments KK'!AZ112</f>
        <v>1.1000000000000001</v>
      </c>
      <c r="BA142" s="375">
        <f>'Business segments KK'!BA112</f>
        <v>1.1000000000000001</v>
      </c>
      <c r="BB142" s="375">
        <f>'Business segments KK'!BB112</f>
        <v>4.4000000000000004</v>
      </c>
      <c r="BC142" s="375">
        <f>'Business segments KK'!BC112</f>
        <v>1.1000000000000001</v>
      </c>
      <c r="BD142" s="375">
        <f>'Business segments KK'!BD112</f>
        <v>1.1000000000000001</v>
      </c>
      <c r="BE142" s="375">
        <f>'Business segments KK'!BE112</f>
        <v>1.1000000000000001</v>
      </c>
      <c r="BF142" s="375">
        <f>'Business segments KK'!BF112</f>
        <v>1.1000000000000001</v>
      </c>
      <c r="BG142" s="375">
        <f>'Business segments KK'!BG112</f>
        <v>4.4000000000000004</v>
      </c>
      <c r="BH142" s="375">
        <f>'Business segments KK'!BH112</f>
        <v>1.1000000000000001</v>
      </c>
      <c r="BI142" s="375">
        <f>'Business segments KK'!BI112</f>
        <v>1.1000000000000001</v>
      </c>
      <c r="BJ142" s="375">
        <f>'Business segments KK'!BJ112</f>
        <v>1.1000000000000001</v>
      </c>
      <c r="BK142" s="375">
        <f>'Business segments KK'!BK112</f>
        <v>1.1000000000000001</v>
      </c>
      <c r="BL142" s="375">
        <f>'Business segments KK'!BL112</f>
        <v>4.4000000000000004</v>
      </c>
    </row>
    <row r="143" spans="1:64">
      <c r="A143" s="5" t="s">
        <v>1652</v>
      </c>
      <c r="Y143" s="375">
        <f>'Business segments KK'!Y132</f>
        <v>37.5</v>
      </c>
      <c r="Z143" s="375">
        <f>'Business segments KK'!Z132</f>
        <v>37.1</v>
      </c>
      <c r="AA143" s="375">
        <f>'Business segments KK'!AA132</f>
        <v>37.200000000000003</v>
      </c>
      <c r="AB143" s="375">
        <f>'Business segments KK'!AB132</f>
        <v>39.200000000000003</v>
      </c>
      <c r="AC143" s="375">
        <f>'Business segments KK'!AC132</f>
        <v>151</v>
      </c>
      <c r="AD143" s="375">
        <f>'Business segments KK'!AD132</f>
        <v>38.9</v>
      </c>
      <c r="AE143" s="375">
        <f>'Business segments KK'!AE132</f>
        <v>38.6</v>
      </c>
      <c r="AF143" s="375">
        <f>'Business segments KK'!AF132</f>
        <v>40.299999999999997</v>
      </c>
      <c r="AG143" s="375">
        <f>'Business segments KK'!AG132</f>
        <v>42.2</v>
      </c>
      <c r="AH143" s="375">
        <f>'Business segments KK'!AH132</f>
        <v>160</v>
      </c>
      <c r="AI143" s="375">
        <f>'Business segments KK'!AI132</f>
        <v>40.5</v>
      </c>
      <c r="AJ143" s="375">
        <f>'Business segments KK'!AJ132</f>
        <v>42.1</v>
      </c>
      <c r="AK143" s="375">
        <f>'Business segments KK'!AK132</f>
        <v>40.799999999999997</v>
      </c>
      <c r="AL143" s="375">
        <f>'Business segments KK'!AL132</f>
        <v>43.677</v>
      </c>
      <c r="AM143" s="375">
        <f>'Business segments KK'!AM132</f>
        <v>167.077</v>
      </c>
      <c r="AN143" s="375">
        <f>'Business segments KK'!AN132</f>
        <v>41.715000000000003</v>
      </c>
      <c r="AO143" s="375">
        <f>'Business segments KK'!AO132</f>
        <v>43.363</v>
      </c>
      <c r="AP143" s="375">
        <f>'Business segments KK'!AP132</f>
        <v>42.024000000000001</v>
      </c>
      <c r="AQ143" s="375">
        <f>'Business segments KK'!AQ132</f>
        <v>44.987310000000001</v>
      </c>
      <c r="AR143" s="375">
        <f>'Business segments KK'!AR132</f>
        <v>172.08931000000001</v>
      </c>
      <c r="AS143" s="375">
        <f>'Business segments KK'!AS132</f>
        <v>42.6535875</v>
      </c>
      <c r="AT143" s="375">
        <f>'Business segments KK'!AT132</f>
        <v>44.3386675</v>
      </c>
      <c r="AU143" s="375">
        <f>'Business segments KK'!AU132</f>
        <v>42.969540000000002</v>
      </c>
      <c r="AV143" s="375">
        <f>'Business segments KK'!AV132</f>
        <v>45.999524475000001</v>
      </c>
      <c r="AW143" s="375">
        <f>'Business segments KK'!AW132</f>
        <v>175.96131947499998</v>
      </c>
      <c r="AX143" s="375">
        <f>'Business segments KK'!AX132</f>
        <v>43.293391312499999</v>
      </c>
      <c r="AY143" s="375">
        <f>'Business segments KK'!AY132</f>
        <v>45.003747512499999</v>
      </c>
      <c r="AZ143" s="375">
        <f>'Business segments KK'!AZ132</f>
        <v>43.614083099999995</v>
      </c>
      <c r="BA143" s="375">
        <f>'Business segments KK'!BA132</f>
        <v>46.689517342124994</v>
      </c>
      <c r="BB143" s="375">
        <f>'Business segments KK'!BB132</f>
        <v>178.60073926712496</v>
      </c>
      <c r="BC143" s="375">
        <f>'Business segments KK'!BC132</f>
        <v>43.618091747343755</v>
      </c>
      <c r="BD143" s="375">
        <f>'Business segments KK'!BD132</f>
        <v>45.341275618843753</v>
      </c>
      <c r="BE143" s="375">
        <f>'Business segments KK'!BE132</f>
        <v>43.941188723250001</v>
      </c>
      <c r="BF143" s="375">
        <f>'Business segments KK'!BF132</f>
        <v>47.039688722190931</v>
      </c>
      <c r="BG143" s="375">
        <f>'Business segments KK'!BG132</f>
        <v>179.94024481162845</v>
      </c>
      <c r="BH143" s="375">
        <f>'Business segments KK'!BH132</f>
        <v>43.618091747343755</v>
      </c>
      <c r="BI143" s="375">
        <f>'Business segments KK'!BI132</f>
        <v>45.341275618843753</v>
      </c>
      <c r="BJ143" s="375">
        <f>'Business segments KK'!BJ132</f>
        <v>43.941188723250001</v>
      </c>
      <c r="BK143" s="375">
        <f>'Business segments KK'!BK132</f>
        <v>47.039688722190931</v>
      </c>
      <c r="BL143" s="375">
        <f>'Business segments KK'!BL132</f>
        <v>179.94024481162845</v>
      </c>
    </row>
    <row r="144" spans="1:64">
      <c r="A144" s="5" t="s">
        <v>1653</v>
      </c>
      <c r="Y144" s="375">
        <f>'Business segments KK'!Y168</f>
        <v>2.2000000000000002</v>
      </c>
      <c r="Z144" s="375">
        <f>'Business segments KK'!Z168</f>
        <v>0.9</v>
      </c>
      <c r="AA144" s="375">
        <f>'Business segments KK'!AA168</f>
        <v>1.9</v>
      </c>
      <c r="AB144" s="375">
        <f>'Business segments KK'!AB168</f>
        <v>2</v>
      </c>
      <c r="AC144" s="375">
        <f>'Business segments KK'!AC168</f>
        <v>7</v>
      </c>
      <c r="AD144" s="375">
        <f>'Business segments KK'!AD168</f>
        <v>1.9</v>
      </c>
      <c r="AE144" s="375">
        <f>'Business segments KK'!AE168</f>
        <v>2.4</v>
      </c>
      <c r="AF144" s="375">
        <f>'Business segments KK'!AF168</f>
        <v>4.0999999999999996</v>
      </c>
      <c r="AG144" s="375">
        <f>'Business segments KK'!AG168</f>
        <v>4.5999999999999996</v>
      </c>
      <c r="AH144" s="375">
        <f>'Business segments KK'!AH168</f>
        <v>12.999999999999998</v>
      </c>
      <c r="AI144" s="375">
        <f>'Business segments KK'!AI168</f>
        <v>5.2</v>
      </c>
      <c r="AJ144" s="375">
        <f>'Business segments KK'!AJ168</f>
        <v>5.0999999999999996</v>
      </c>
      <c r="AK144" s="375">
        <f>'Business segments KK'!AK168</f>
        <v>5.2</v>
      </c>
      <c r="AL144" s="375">
        <f>'Business segments KK'!AL168</f>
        <v>5.6016191161165576</v>
      </c>
      <c r="AM144" s="375">
        <f>'Business segments KK'!AM168</f>
        <v>21.101619116116559</v>
      </c>
      <c r="AN144" s="375">
        <f>'Business segments KK'!AN168</f>
        <v>5.176456737903588</v>
      </c>
      <c r="AO144" s="375">
        <f>'Business segments KK'!AO168</f>
        <v>5.5854054879035884</v>
      </c>
      <c r="AP144" s="375">
        <f>'Business segments KK'!AP168</f>
        <v>6.0130457667913859</v>
      </c>
      <c r="AQ144" s="375">
        <f>'Business segments KK'!AQ168</f>
        <v>6.0800588559729363</v>
      </c>
      <c r="AR144" s="375">
        <f>'Business segments KK'!AR168</f>
        <v>22.8549668485715</v>
      </c>
      <c r="AS144" s="375">
        <f>'Business segments KK'!AS168</f>
        <v>5.5512491802260291</v>
      </c>
      <c r="AT144" s="375">
        <f>'Business segments KK'!AT168</f>
        <v>6.0112263941708548</v>
      </c>
      <c r="AU144" s="375">
        <f>'Business segments KK'!AU168</f>
        <v>6.4217742350288871</v>
      </c>
      <c r="AV144" s="375">
        <f>'Business segments KK'!AV168</f>
        <v>6.5167738118216807</v>
      </c>
      <c r="AW144" s="375">
        <f>'Business segments KK'!AW168</f>
        <v>24.501023621247455</v>
      </c>
      <c r="AX144" s="375">
        <f>'Business segments KK'!AX168</f>
        <v>5.8453797614117686</v>
      </c>
      <c r="AY144" s="375">
        <f>'Business segments KK'!AY168</f>
        <v>6.3275938820871742</v>
      </c>
      <c r="AZ144" s="375">
        <f>'Business segments KK'!AZ168</f>
        <v>6.7594143797261239</v>
      </c>
      <c r="BA144" s="375">
        <f>'Business segments KK'!BA168</f>
        <v>6.8584244407781831</v>
      </c>
      <c r="BB144" s="375">
        <f>'Business segments KK'!BB168</f>
        <v>25.790812464003249</v>
      </c>
      <c r="BC144" s="375">
        <f>'Business segments KK'!BC168</f>
        <v>6.0277875470108659</v>
      </c>
      <c r="BD144" s="375">
        <f>'Business segments KK'!BD168</f>
        <v>6.5234553361868839</v>
      </c>
      <c r="BE144" s="375">
        <f>'Business segments KK'!BE168</f>
        <v>6.9677310094151119</v>
      </c>
      <c r="BF144" s="375">
        <f>'Business segments KK'!BF168</f>
        <v>7.070149048484752</v>
      </c>
      <c r="BG144" s="375">
        <f>'Business segments KK'!BG168</f>
        <v>26.589122941097614</v>
      </c>
      <c r="BH144" s="375">
        <f>'Business segments KK'!BH168</f>
        <v>6.1768147829394451</v>
      </c>
      <c r="BI144" s="375">
        <f>'Business segments KK'!BI168</f>
        <v>6.6763708443028564</v>
      </c>
      <c r="BJ144" s="375">
        <f>'Business segments KK'!BJ168</f>
        <v>7.1291329382853883</v>
      </c>
      <c r="BK144" s="375">
        <f>'Business segments KK'!BK168</f>
        <v>7.2310819689297716</v>
      </c>
      <c r="BL144" s="375">
        <f>'Business segments KK'!BL168</f>
        <v>27.21340053445746</v>
      </c>
    </row>
    <row r="145" spans="1:64">
      <c r="A145" s="5" t="s">
        <v>192</v>
      </c>
      <c r="Y145" s="375">
        <f>'Business segments KK'!Y220</f>
        <v>1.5</v>
      </c>
      <c r="Z145" s="375">
        <f>'Business segments KK'!Z220</f>
        <v>1.6</v>
      </c>
      <c r="AA145" s="375">
        <f>'Business segments KK'!AA220</f>
        <v>1.6</v>
      </c>
      <c r="AB145" s="375">
        <f>'Business segments KK'!AB220</f>
        <v>1.5</v>
      </c>
      <c r="AC145" s="375">
        <f>'Business segments KK'!AC220</f>
        <v>6.2</v>
      </c>
      <c r="AD145" s="375">
        <f>'Business segments KK'!AD220</f>
        <v>1.8</v>
      </c>
      <c r="AE145" s="375">
        <f>'Business segments KK'!AE220</f>
        <v>1.9</v>
      </c>
      <c r="AF145" s="375">
        <f>'Business segments KK'!AF220</f>
        <v>2</v>
      </c>
      <c r="AG145" s="375">
        <f>'Business segments KK'!AG220</f>
        <v>2.2999999999999998</v>
      </c>
      <c r="AH145" s="375">
        <f>'Business segments KK'!AH220</f>
        <v>8</v>
      </c>
      <c r="AI145" s="375">
        <f>'Business segments KK'!AI220</f>
        <v>2.5</v>
      </c>
      <c r="AJ145" s="375">
        <f>'Business segments KK'!AJ220</f>
        <v>2.5</v>
      </c>
      <c r="AK145" s="375">
        <f>'Business segments KK'!AK220</f>
        <v>3.1</v>
      </c>
      <c r="AL145" s="375">
        <f>'Business segments KK'!AL220</f>
        <v>2.5</v>
      </c>
      <c r="AM145" s="375">
        <f>'Business segments KK'!AM220</f>
        <v>10.6</v>
      </c>
      <c r="AN145" s="375">
        <f>'Business segments KK'!AN220</f>
        <v>2.0053549999999998</v>
      </c>
      <c r="AO145" s="375">
        <f>'Business segments KK'!AO220</f>
        <v>2.1164550000000002</v>
      </c>
      <c r="AP145" s="375">
        <f>'Business segments KK'!AP220</f>
        <v>2.5330800000000004</v>
      </c>
      <c r="AQ145" s="375">
        <f>'Business segments KK'!AQ220</f>
        <v>2.8355497499999998</v>
      </c>
      <c r="AR145" s="375">
        <f>'Business segments KK'!AR220</f>
        <v>9.4904397500000002</v>
      </c>
      <c r="AS145" s="375">
        <f>'Business segments KK'!AS220</f>
        <v>2.0254085499999999</v>
      </c>
      <c r="AT145" s="375">
        <f>'Business segments KK'!AT220</f>
        <v>2.1376195500000001</v>
      </c>
      <c r="AU145" s="375">
        <f>'Business segments KK'!AU220</f>
        <v>2.5584108000000003</v>
      </c>
      <c r="AV145" s="375">
        <f>'Business segments KK'!AV220</f>
        <v>2.8639052474999995</v>
      </c>
      <c r="AW145" s="375">
        <f>'Business segments KK'!AW220</f>
        <v>9.5853441475000007</v>
      </c>
      <c r="AX145" s="375">
        <f>'Business segments KK'!AX220</f>
        <v>2.0456626355000003</v>
      </c>
      <c r="AY145" s="375">
        <f>'Business segments KK'!AY220</f>
        <v>2.1589957455000004</v>
      </c>
      <c r="AZ145" s="375">
        <f>'Business segments KK'!AZ220</f>
        <v>2.5839949080000002</v>
      </c>
      <c r="BA145" s="375">
        <f>'Business segments KK'!BA220</f>
        <v>2.892544299975</v>
      </c>
      <c r="BB145" s="375">
        <f>'Business segments KK'!BB220</f>
        <v>9.6811975889750013</v>
      </c>
      <c r="BC145" s="375">
        <f>'Business segments KK'!BC220</f>
        <v>2.0661192618549999</v>
      </c>
      <c r="BD145" s="375">
        <f>'Business segments KK'!BD220</f>
        <v>2.1805857029550002</v>
      </c>
      <c r="BE145" s="375">
        <f>'Business segments KK'!BE220</f>
        <v>2.6098348570800001</v>
      </c>
      <c r="BF145" s="375">
        <f>'Business segments KK'!BF220</f>
        <v>2.9214697429747498</v>
      </c>
      <c r="BG145" s="375">
        <f>'Business segments KK'!BG220</f>
        <v>9.7780095648647496</v>
      </c>
      <c r="BH145" s="375">
        <f>'Business segments KK'!BH220</f>
        <v>2.0867804544735504</v>
      </c>
      <c r="BI145" s="375">
        <f>'Business segments KK'!BI220</f>
        <v>2.2023915599845498</v>
      </c>
      <c r="BJ145" s="375">
        <f>'Business segments KK'!BJ220</f>
        <v>2.6359332056508005</v>
      </c>
      <c r="BK145" s="375">
        <f>'Business segments KK'!BK220</f>
        <v>2.9506844404044972</v>
      </c>
      <c r="BL145" s="375">
        <f>'Business segments KK'!BL220</f>
        <v>9.8757896605133979</v>
      </c>
    </row>
    <row r="146" spans="1:64">
      <c r="A146" s="5" t="s">
        <v>1654</v>
      </c>
      <c r="Y146" s="375">
        <f t="shared" ref="Y146:AK146" si="141">Y147-SUM(Y140:Y145)</f>
        <v>-39.599999999999994</v>
      </c>
      <c r="Z146" s="375">
        <f t="shared" si="141"/>
        <v>-38</v>
      </c>
      <c r="AA146" s="375">
        <f t="shared" si="141"/>
        <v>-39.100000000000023</v>
      </c>
      <c r="AB146" s="375">
        <f t="shared" si="141"/>
        <v>-41.200000000000017</v>
      </c>
      <c r="AC146" s="375">
        <f t="shared" si="141"/>
        <v>-157.90000000000009</v>
      </c>
      <c r="AD146" s="375">
        <f t="shared" si="141"/>
        <v>-40.80000000000004</v>
      </c>
      <c r="AE146" s="375">
        <f t="shared" si="141"/>
        <v>-41.000000000000028</v>
      </c>
      <c r="AF146" s="375">
        <f t="shared" si="141"/>
        <v>-44.499999999999972</v>
      </c>
      <c r="AG146" s="375">
        <f t="shared" si="141"/>
        <v>-46.900000000000006</v>
      </c>
      <c r="AH146" s="375">
        <f t="shared" si="141"/>
        <v>-173.20000000000005</v>
      </c>
      <c r="AI146" s="375">
        <f t="shared" si="141"/>
        <v>-45.799999999999983</v>
      </c>
      <c r="AJ146" s="375">
        <f t="shared" si="141"/>
        <v>-47.199999999999989</v>
      </c>
      <c r="AK146" s="375">
        <f t="shared" si="141"/>
        <v>-45.999999999999972</v>
      </c>
      <c r="AL146" s="377">
        <v>-45</v>
      </c>
      <c r="AM146" s="375">
        <f>SUM(AI146:AL146)</f>
        <v>-183.99999999999994</v>
      </c>
      <c r="AN146" s="377">
        <v>-45</v>
      </c>
      <c r="AO146" s="377">
        <v>-45</v>
      </c>
      <c r="AP146" s="377">
        <v>-45</v>
      </c>
      <c r="AQ146" s="377">
        <v>-45</v>
      </c>
      <c r="AR146" s="375">
        <f>SUM(AN146:AQ146)</f>
        <v>-180</v>
      </c>
      <c r="AS146" s="377">
        <v>-45</v>
      </c>
      <c r="AT146" s="377">
        <v>-45</v>
      </c>
      <c r="AU146" s="377">
        <v>-45</v>
      </c>
      <c r="AV146" s="377">
        <v>-45</v>
      </c>
      <c r="AW146" s="375">
        <f>SUM(AS146:AV146)</f>
        <v>-180</v>
      </c>
      <c r="AX146" s="377">
        <v>-45</v>
      </c>
      <c r="AY146" s="377">
        <v>-45</v>
      </c>
      <c r="AZ146" s="377">
        <v>-45</v>
      </c>
      <c r="BA146" s="377">
        <v>-45</v>
      </c>
      <c r="BB146" s="375">
        <f>SUM(AX146:BA146)</f>
        <v>-180</v>
      </c>
      <c r="BC146" s="377">
        <v>-45</v>
      </c>
      <c r="BD146" s="377">
        <v>-45</v>
      </c>
      <c r="BE146" s="377">
        <v>-45</v>
      </c>
      <c r="BF146" s="377">
        <v>-45</v>
      </c>
      <c r="BG146" s="375">
        <f>SUM(BC146:BF146)</f>
        <v>-180</v>
      </c>
      <c r="BH146" s="377">
        <v>-45</v>
      </c>
      <c r="BI146" s="377">
        <v>-45</v>
      </c>
      <c r="BJ146" s="377">
        <v>-45</v>
      </c>
      <c r="BK146" s="377">
        <v>-45</v>
      </c>
      <c r="BL146" s="375">
        <f>SUM(BH146:BK146)</f>
        <v>-180</v>
      </c>
    </row>
    <row r="147" spans="1:64">
      <c r="A147" s="9" t="s">
        <v>1523</v>
      </c>
      <c r="B147" s="9"/>
      <c r="C147" s="9"/>
      <c r="D147" s="9"/>
      <c r="E147" s="9"/>
      <c r="F147" s="9"/>
      <c r="G147" s="9"/>
      <c r="H147" s="9"/>
      <c r="I147" s="9"/>
      <c r="J147" s="9"/>
      <c r="K147" s="9"/>
      <c r="L147" s="9"/>
      <c r="M147" s="9"/>
      <c r="N147" s="9"/>
      <c r="O147" s="9"/>
      <c r="P147" s="9"/>
      <c r="Q147" s="9"/>
      <c r="R147" s="9"/>
      <c r="S147" s="9"/>
      <c r="T147" s="9"/>
      <c r="U147" s="9"/>
      <c r="V147" s="9"/>
      <c r="W147" s="9"/>
      <c r="X147" s="9"/>
      <c r="Y147" s="395">
        <v>148.1</v>
      </c>
      <c r="Z147" s="395">
        <v>146.9</v>
      </c>
      <c r="AA147" s="395">
        <v>146.69999999999999</v>
      </c>
      <c r="AB147" s="395">
        <v>146.9</v>
      </c>
      <c r="AC147" s="378">
        <f>SUM(Y147:AB147)</f>
        <v>588.6</v>
      </c>
      <c r="AD147" s="395">
        <v>146.69999999999999</v>
      </c>
      <c r="AE147" s="395">
        <v>147.69999999999999</v>
      </c>
      <c r="AF147" s="395">
        <v>148.69999999999999</v>
      </c>
      <c r="AG147" s="395">
        <v>150.30000000000001</v>
      </c>
      <c r="AH147" s="378">
        <f>SUM(AD147:AG147)</f>
        <v>593.4</v>
      </c>
      <c r="AI147" s="395">
        <v>141.69999999999999</v>
      </c>
      <c r="AJ147" s="395">
        <v>138.9</v>
      </c>
      <c r="AK147" s="395">
        <v>144</v>
      </c>
      <c r="AL147" s="378">
        <f>SUM(AL140:AL146)</f>
        <v>143.87861911611654</v>
      </c>
      <c r="AM147" s="378">
        <f>SUM(AI147:AL147)</f>
        <v>568.47861911611653</v>
      </c>
      <c r="AN147" s="378">
        <f>SUM(AN140:AN146)</f>
        <v>140.99681173790358</v>
      </c>
      <c r="AO147" s="378">
        <f>SUM(AO140:AO146)</f>
        <v>143.16486048790358</v>
      </c>
      <c r="AP147" s="378">
        <f>SUM(AP140:AP146)</f>
        <v>142.67012576679139</v>
      </c>
      <c r="AQ147" s="378">
        <f>SUM(AQ140:AQ146)</f>
        <v>146.00291860597295</v>
      </c>
      <c r="AR147" s="378">
        <f>SUM(AN147:AQ147)</f>
        <v>572.8347165985715</v>
      </c>
      <c r="AS147" s="378">
        <f>SUM(AS140:AS146)</f>
        <v>142.04274523022605</v>
      </c>
      <c r="AT147" s="378">
        <f>SUM(AT140:AT146)</f>
        <v>144.30001344417084</v>
      </c>
      <c r="AU147" s="378">
        <f>SUM(AU140:AU146)</f>
        <v>143.76222503502888</v>
      </c>
      <c r="AV147" s="378">
        <f>SUM(AV140:AV146)</f>
        <v>147.19270353432165</v>
      </c>
      <c r="AW147" s="378">
        <f>SUM(AS147:AV147)</f>
        <v>577.29768724374753</v>
      </c>
      <c r="AX147" s="378">
        <f>SUM(AX140:AX146)</f>
        <v>142.73349620941178</v>
      </c>
      <c r="AY147" s="378">
        <f>SUM(AY140:AY146)</f>
        <v>145.03939964008717</v>
      </c>
      <c r="AZ147" s="378">
        <f>SUM(AZ140:AZ146)</f>
        <v>144.50655488772608</v>
      </c>
      <c r="BA147" s="378">
        <f>SUM(BA140:BA146)</f>
        <v>147.98954858287814</v>
      </c>
      <c r="BB147" s="378">
        <f>SUM(AX147:BA147)</f>
        <v>580.26899932010315</v>
      </c>
      <c r="BC147" s="378">
        <f>SUM(BC140:BC146)</f>
        <v>143.02228761870961</v>
      </c>
      <c r="BD147" s="378">
        <f>SUM(BD140:BD146)</f>
        <v>145.35560572048564</v>
      </c>
      <c r="BE147" s="378">
        <f>SUM(BE140:BE146)</f>
        <v>144.8290436522451</v>
      </c>
      <c r="BF147" s="378">
        <f>SUM(BF140:BF146)</f>
        <v>148.34159657615044</v>
      </c>
      <c r="BG147" s="378">
        <f>SUM(BC147:BF147)</f>
        <v>581.54853356759077</v>
      </c>
      <c r="BH147" s="378">
        <f>SUM(BH140:BH146)</f>
        <v>142.97848327381925</v>
      </c>
      <c r="BI147" s="378">
        <f>SUM(BI140:BI146)</f>
        <v>145.31683431219366</v>
      </c>
      <c r="BJ147" s="378">
        <f>SUM(BJ140:BJ146)</f>
        <v>144.80305115624867</v>
      </c>
      <c r="BK147" s="378">
        <f>SUM(BK140:BK146)</f>
        <v>148.3182514205877</v>
      </c>
      <c r="BL147" s="378">
        <f>SUM(BH147:BK147)</f>
        <v>581.41662016284931</v>
      </c>
    </row>
    <row r="148" spans="1:64">
      <c r="A148" s="1" t="s">
        <v>1115</v>
      </c>
      <c r="Y148" s="273">
        <f t="shared" ref="Y148:BL148" si="142">Y147/Y12</f>
        <v>0.10916998378298688</v>
      </c>
      <c r="Z148" s="273">
        <f t="shared" si="142"/>
        <v>0.10740659501352635</v>
      </c>
      <c r="AA148" s="273">
        <f t="shared" si="142"/>
        <v>0.10120033112582781</v>
      </c>
      <c r="AB148" s="273">
        <f t="shared" si="142"/>
        <v>9.684862869198313E-2</v>
      </c>
      <c r="AC148" s="273">
        <f t="shared" si="142"/>
        <v>0.10343191523011229</v>
      </c>
      <c r="AD148" s="273">
        <f t="shared" si="142"/>
        <v>0.10770925110132158</v>
      </c>
      <c r="AE148" s="273">
        <f t="shared" si="142"/>
        <v>0.10210147933084474</v>
      </c>
      <c r="AF148" s="273">
        <f t="shared" si="142"/>
        <v>9.6753204502570092E-2</v>
      </c>
      <c r="AG148" s="273">
        <f t="shared" si="142"/>
        <v>9.594637727417811E-2</v>
      </c>
      <c r="AH148" s="273">
        <f t="shared" si="142"/>
        <v>0.1003721244925575</v>
      </c>
      <c r="AI148" s="273">
        <f t="shared" si="142"/>
        <v>9.9111701755613055E-2</v>
      </c>
      <c r="AJ148" s="273">
        <f t="shared" si="142"/>
        <v>9.2347583272388817E-2</v>
      </c>
      <c r="AK148" s="273">
        <f t="shared" si="142"/>
        <v>9.1266320192673348E-2</v>
      </c>
      <c r="AL148" s="273">
        <f t="shared" si="142"/>
        <v>8.9763276071955292E-2</v>
      </c>
      <c r="AM148" s="273">
        <f t="shared" si="142"/>
        <v>9.2972714072190876E-2</v>
      </c>
      <c r="AN148" s="273">
        <f t="shared" si="142"/>
        <v>9.6761913421474111E-2</v>
      </c>
      <c r="AO148" s="273">
        <f t="shared" si="142"/>
        <v>9.3600916471010515E-2</v>
      </c>
      <c r="AP148" s="273">
        <f t="shared" si="142"/>
        <v>8.8903440558223135E-2</v>
      </c>
      <c r="AQ148" s="273">
        <f t="shared" si="142"/>
        <v>8.9911910193081937E-2</v>
      </c>
      <c r="AR148" s="273">
        <f t="shared" si="142"/>
        <v>9.2165310666412772E-2</v>
      </c>
      <c r="AS148" s="273">
        <f t="shared" si="142"/>
        <v>9.5870835650325337E-2</v>
      </c>
      <c r="AT148" s="273">
        <f t="shared" si="142"/>
        <v>9.2662824267429028E-2</v>
      </c>
      <c r="AU148" s="273">
        <f t="shared" si="142"/>
        <v>8.8038769039442993E-2</v>
      </c>
      <c r="AV148" s="273">
        <f t="shared" si="142"/>
        <v>8.8842723300285267E-2</v>
      </c>
      <c r="AW148" s="273">
        <f t="shared" si="142"/>
        <v>9.1220658447062647E-2</v>
      </c>
      <c r="AX148" s="273">
        <f t="shared" si="142"/>
        <v>9.4129061719142981E-2</v>
      </c>
      <c r="AY148" s="273">
        <f t="shared" si="142"/>
        <v>9.1129988334130274E-2</v>
      </c>
      <c r="AZ148" s="273">
        <f t="shared" si="142"/>
        <v>8.6450681110373698E-2</v>
      </c>
      <c r="BA148" s="273">
        <f t="shared" si="142"/>
        <v>8.7245065744791461E-2</v>
      </c>
      <c r="BB148" s="273">
        <f t="shared" si="142"/>
        <v>8.9606788762389949E-2</v>
      </c>
      <c r="BC148" s="273">
        <f t="shared" si="142"/>
        <v>9.2072171205938552E-2</v>
      </c>
      <c r="BD148" s="273">
        <f t="shared" si="142"/>
        <v>8.9092714315201091E-2</v>
      </c>
      <c r="BE148" s="273">
        <f t="shared" si="142"/>
        <v>8.4583002540531527E-2</v>
      </c>
      <c r="BF148" s="273">
        <f t="shared" si="142"/>
        <v>8.5172533708673712E-2</v>
      </c>
      <c r="BG148" s="273">
        <f t="shared" si="142"/>
        <v>8.7598280092349878E-2</v>
      </c>
      <c r="BH148" s="273">
        <f t="shared" si="142"/>
        <v>8.9740756205341887E-2</v>
      </c>
      <c r="BI148" s="273">
        <f t="shared" si="142"/>
        <v>8.6837111903714487E-2</v>
      </c>
      <c r="BJ148" s="273">
        <f t="shared" si="142"/>
        <v>8.2423830921550548E-2</v>
      </c>
      <c r="BK148" s="273">
        <f t="shared" si="142"/>
        <v>8.2857275146293721E-2</v>
      </c>
      <c r="BL148" s="273">
        <f t="shared" si="142"/>
        <v>8.533257956442683E-2</v>
      </c>
    </row>
    <row r="150" spans="1:64">
      <c r="A150" s="1" t="s">
        <v>1691</v>
      </c>
      <c r="Y150" s="376">
        <v>32.1</v>
      </c>
      <c r="Z150" s="376">
        <v>30.5</v>
      </c>
      <c r="AA150" s="376">
        <v>30.2</v>
      </c>
      <c r="AB150" s="376">
        <v>29.9</v>
      </c>
      <c r="AC150" s="375">
        <f>SUM(Y150:AB150)</f>
        <v>122.69999999999999</v>
      </c>
      <c r="AD150" s="376">
        <v>29.6</v>
      </c>
      <c r="AE150" s="376">
        <v>29.6</v>
      </c>
      <c r="AF150" s="376">
        <v>30.1</v>
      </c>
      <c r="AG150" s="376">
        <v>29.6</v>
      </c>
      <c r="AH150" s="375">
        <f>SUM(AD150:AG150)</f>
        <v>118.9</v>
      </c>
      <c r="AI150" s="377">
        <f>AD150*1.02</f>
        <v>30.192000000000004</v>
      </c>
      <c r="AJ150" s="377">
        <f>AE150*1.02</f>
        <v>30.192000000000004</v>
      </c>
      <c r="AK150" s="377">
        <f>AF150*1.02</f>
        <v>30.702000000000002</v>
      </c>
      <c r="AL150" s="377">
        <f>AG150*1.02</f>
        <v>30.192000000000004</v>
      </c>
      <c r="AM150" s="375">
        <f>SUM(AI150:AL150)</f>
        <v>121.27800000000002</v>
      </c>
      <c r="AN150" s="377">
        <f>AI150*1.0125</f>
        <v>30.569400000000002</v>
      </c>
      <c r="AO150" s="377">
        <f t="shared" ref="AO150:AQ150" si="143">AJ150*1.0125</f>
        <v>30.569400000000002</v>
      </c>
      <c r="AP150" s="377">
        <f t="shared" si="143"/>
        <v>31.085775000000002</v>
      </c>
      <c r="AQ150" s="377">
        <f t="shared" si="143"/>
        <v>30.569400000000002</v>
      </c>
      <c r="AR150" s="375">
        <f>SUM(AN150:AQ150)</f>
        <v>122.793975</v>
      </c>
      <c r="AS150" s="377">
        <f>AN150*1.0125</f>
        <v>30.951517500000001</v>
      </c>
      <c r="AT150" s="377">
        <f t="shared" ref="AT150:AV150" si="144">AO150*1.0125</f>
        <v>30.951517500000001</v>
      </c>
      <c r="AU150" s="377">
        <f t="shared" si="144"/>
        <v>31.474347187500001</v>
      </c>
      <c r="AV150" s="377">
        <f t="shared" si="144"/>
        <v>30.951517500000001</v>
      </c>
      <c r="AW150" s="375">
        <f>SUM(AS150:AV150)</f>
        <v>124.32889968750001</v>
      </c>
      <c r="AX150" s="377">
        <f>AS150*1.0125</f>
        <v>31.33841146875</v>
      </c>
      <c r="AY150" s="377">
        <f t="shared" ref="AY150:BA150" si="145">AT150*1.0125</f>
        <v>31.33841146875</v>
      </c>
      <c r="AZ150" s="377">
        <f t="shared" si="145"/>
        <v>31.86777652734375</v>
      </c>
      <c r="BA150" s="377">
        <f t="shared" si="145"/>
        <v>31.33841146875</v>
      </c>
      <c r="BB150" s="375">
        <f>SUM(AX150:BA150)</f>
        <v>125.88301093359374</v>
      </c>
      <c r="BC150" s="377">
        <f>AX150*1.0125</f>
        <v>31.730141612109374</v>
      </c>
      <c r="BD150" s="377">
        <f t="shared" ref="BD150:BF150" si="146">AY150*1.0125</f>
        <v>31.730141612109374</v>
      </c>
      <c r="BE150" s="377">
        <f t="shared" si="146"/>
        <v>32.266123733935544</v>
      </c>
      <c r="BF150" s="377">
        <f t="shared" si="146"/>
        <v>31.730141612109374</v>
      </c>
      <c r="BG150" s="375">
        <f>SUM(BC150:BF150)</f>
        <v>127.45654857026366</v>
      </c>
      <c r="BH150" s="377">
        <f>BC150*1.0125</f>
        <v>32.126768382260742</v>
      </c>
      <c r="BI150" s="377">
        <f t="shared" ref="BI150:BK150" si="147">BD150*1.0125</f>
        <v>32.126768382260742</v>
      </c>
      <c r="BJ150" s="377">
        <f t="shared" si="147"/>
        <v>32.669450280609738</v>
      </c>
      <c r="BK150" s="377">
        <f t="shared" si="147"/>
        <v>32.126768382260742</v>
      </c>
      <c r="BL150" s="375">
        <f>SUM(BH150:BK150)</f>
        <v>129.04975542739197</v>
      </c>
    </row>
    <row r="151" spans="1:64">
      <c r="A151" s="1" t="s">
        <v>1115</v>
      </c>
      <c r="Y151" s="16">
        <f t="shared" ref="Y151:BL151" si="148">Y150/Y12</f>
        <v>2.3662096417514378E-2</v>
      </c>
      <c r="Z151" s="16">
        <f t="shared" si="148"/>
        <v>2.2300212034802952E-2</v>
      </c>
      <c r="AA151" s="16">
        <f t="shared" si="148"/>
        <v>2.0833333333333336E-2</v>
      </c>
      <c r="AB151" s="16">
        <f t="shared" si="148"/>
        <v>1.9712552742616032E-2</v>
      </c>
      <c r="AC151" s="16">
        <f t="shared" si="148"/>
        <v>2.156149507090516E-2</v>
      </c>
      <c r="AD151" s="16">
        <f t="shared" si="148"/>
        <v>2.1732745961820853E-2</v>
      </c>
      <c r="AE151" s="16">
        <f t="shared" si="148"/>
        <v>2.0461772431909307E-2</v>
      </c>
      <c r="AF151" s="16">
        <f t="shared" si="148"/>
        <v>1.958487865183161E-2</v>
      </c>
      <c r="AG151" s="16">
        <f t="shared" si="148"/>
        <v>1.8895627194382383E-2</v>
      </c>
      <c r="AH151" s="16">
        <f t="shared" si="148"/>
        <v>2.0111637347767254E-2</v>
      </c>
      <c r="AI151" s="16">
        <f t="shared" si="148"/>
        <v>2.1117717003567182E-2</v>
      </c>
      <c r="AJ151" s="16">
        <f t="shared" si="148"/>
        <v>2.0073133435276915E-2</v>
      </c>
      <c r="AK151" s="16">
        <f t="shared" si="148"/>
        <v>1.945874001774623E-2</v>
      </c>
      <c r="AL151" s="16">
        <f t="shared" si="148"/>
        <v>1.8836244383032861E-2</v>
      </c>
      <c r="AM151" s="16">
        <f t="shared" si="148"/>
        <v>1.9834597886510912E-2</v>
      </c>
      <c r="AN151" s="16">
        <f t="shared" si="148"/>
        <v>2.0978868952334164E-2</v>
      </c>
      <c r="AO151" s="16">
        <f t="shared" si="148"/>
        <v>1.99862162140735E-2</v>
      </c>
      <c r="AP151" s="16">
        <f t="shared" si="148"/>
        <v>1.9370785124534291E-2</v>
      </c>
      <c r="AQ151" s="16">
        <f t="shared" si="148"/>
        <v>1.8825330162570847E-2</v>
      </c>
      <c r="AR151" s="16">
        <f t="shared" si="148"/>
        <v>1.9756737023621494E-2</v>
      </c>
      <c r="AS151" s="16">
        <f t="shared" si="148"/>
        <v>2.0890527302616726E-2</v>
      </c>
      <c r="AT151" s="16">
        <f t="shared" si="148"/>
        <v>1.9875639360369114E-2</v>
      </c>
      <c r="AU151" s="16">
        <f t="shared" si="148"/>
        <v>1.9274623650492238E-2</v>
      </c>
      <c r="AV151" s="16">
        <f t="shared" si="148"/>
        <v>1.8681748748063786E-2</v>
      </c>
      <c r="AW151" s="16">
        <f t="shared" si="148"/>
        <v>1.9645608052997417E-2</v>
      </c>
      <c r="AX151" s="16">
        <f t="shared" si="148"/>
        <v>2.0666874599596301E-2</v>
      </c>
      <c r="AY151" s="16">
        <f t="shared" si="148"/>
        <v>1.969029848885305E-2</v>
      </c>
      <c r="AZ151" s="16">
        <f t="shared" si="148"/>
        <v>1.9064816737223638E-2</v>
      </c>
      <c r="BA151" s="16">
        <f t="shared" si="148"/>
        <v>1.8475100404791344E-2</v>
      </c>
      <c r="BB151" s="16">
        <f t="shared" si="148"/>
        <v>1.9439212473381859E-2</v>
      </c>
      <c r="BC151" s="16">
        <f t="shared" si="148"/>
        <v>2.042662776229175E-2</v>
      </c>
      <c r="BD151" s="16">
        <f t="shared" si="148"/>
        <v>1.9448334502245642E-2</v>
      </c>
      <c r="BE151" s="16">
        <f t="shared" si="148"/>
        <v>1.8844049210969625E-2</v>
      </c>
      <c r="BF151" s="16">
        <f t="shared" si="148"/>
        <v>1.8218332675494983E-2</v>
      </c>
      <c r="BG151" s="16">
        <f t="shared" si="148"/>
        <v>1.9198697609585664E-2</v>
      </c>
      <c r="BH151" s="16">
        <f t="shared" si="148"/>
        <v>2.0164436095860216E-2</v>
      </c>
      <c r="BI151" s="16">
        <f t="shared" si="148"/>
        <v>1.9198021993250911E-2</v>
      </c>
      <c r="BJ151" s="16">
        <f t="shared" si="148"/>
        <v>1.8595887481151183E-2</v>
      </c>
      <c r="BK151" s="16">
        <f t="shared" si="148"/>
        <v>1.7947464064026385E-2</v>
      </c>
      <c r="BL151" s="16">
        <f t="shared" si="148"/>
        <v>1.8940202500047812E-2</v>
      </c>
    </row>
    <row r="153" spans="1:64">
      <c r="A153" s="3" t="s">
        <v>1692</v>
      </c>
    </row>
    <row r="154" spans="1:64" outlineLevel="1">
      <c r="A154" s="5" t="s">
        <v>1659</v>
      </c>
      <c r="AD154" s="398">
        <f>AD156-AD155</f>
        <v>112.06199999999998</v>
      </c>
      <c r="AE154" s="398">
        <f>AE156-AE155</f>
        <v>112.577</v>
      </c>
      <c r="AF154" s="398">
        <f>AF156-AF155</f>
        <v>110.393</v>
      </c>
      <c r="AG154" s="398">
        <f>AG156-AG155</f>
        <v>109.59199999999998</v>
      </c>
      <c r="AH154" s="398">
        <f t="shared" ref="AH154" si="149">AH156-AH155</f>
        <v>444.62399999999997</v>
      </c>
      <c r="AI154" s="398">
        <f>AI156-AI155</f>
        <v>99.336999999999989</v>
      </c>
      <c r="AJ154" s="398">
        <f>AJ156-AJ155</f>
        <v>95.321000000000012</v>
      </c>
      <c r="AK154" s="398">
        <f>AK156-AK155</f>
        <v>104.09699999999999</v>
      </c>
      <c r="AL154" s="398">
        <f>AL156-AL155</f>
        <v>100.07540212401292</v>
      </c>
      <c r="AM154" s="398">
        <f>AM156-AM155</f>
        <v>398.83040212401295</v>
      </c>
      <c r="AN154" s="398">
        <f t="shared" ref="AN154:AQ154" si="150">AN156-AN155</f>
        <v>99.315516859767058</v>
      </c>
      <c r="AO154" s="398">
        <f t="shared" si="150"/>
        <v>99.655166720878171</v>
      </c>
      <c r="AP154" s="398">
        <f t="shared" si="150"/>
        <v>99.970529529643485</v>
      </c>
      <c r="AQ154" s="398">
        <f t="shared" si="150"/>
        <v>100.60970184510812</v>
      </c>
      <c r="AR154" s="398">
        <f>AR156-AR155</f>
        <v>399.55091495539682</v>
      </c>
      <c r="AS154" s="398">
        <f t="shared" ref="AS154:AV154" si="151">AS156-AS155</f>
        <v>99.194001514469576</v>
      </c>
      <c r="AT154" s="398">
        <f t="shared" si="151"/>
        <v>99.544552204907859</v>
      </c>
      <c r="AU154" s="398">
        <f t="shared" si="151"/>
        <v>99.858834603892092</v>
      </c>
      <c r="AV154" s="398">
        <f t="shared" si="151"/>
        <v>100.51154950159128</v>
      </c>
      <c r="AW154" s="398">
        <f>AW156-AW155</f>
        <v>399.1089378248609</v>
      </c>
      <c r="AX154" s="398">
        <f t="shared" ref="AX154:BA154" si="152">AX156-AX155</f>
        <v>99.054588588156875</v>
      </c>
      <c r="AY154" s="398">
        <f t="shared" si="152"/>
        <v>99.411540622676341</v>
      </c>
      <c r="AZ154" s="398">
        <f t="shared" si="152"/>
        <v>99.730112683525078</v>
      </c>
      <c r="BA154" s="398">
        <f t="shared" si="152"/>
        <v>100.39137810918643</v>
      </c>
      <c r="BB154" s="398">
        <f>BB156-BB155</f>
        <v>398.58762000354471</v>
      </c>
      <c r="BC154" s="398">
        <f t="shared" ref="BC154:BF154" si="153">BC156-BC155</f>
        <v>98.892617134838844</v>
      </c>
      <c r="BD154" s="398">
        <f t="shared" si="153"/>
        <v>99.253622649347307</v>
      </c>
      <c r="BE154" s="398">
        <f t="shared" si="153"/>
        <v>99.57667055654278</v>
      </c>
      <c r="BF154" s="398">
        <f t="shared" si="153"/>
        <v>100.2439630022165</v>
      </c>
      <c r="BG154" s="398">
        <f>BG156-BG155</f>
        <v>397.96687334294541</v>
      </c>
      <c r="BH154" s="398">
        <f t="shared" ref="BH154:BK154" si="154">BH156-BH155</f>
        <v>98.71634413578974</v>
      </c>
      <c r="BI154" s="398">
        <f t="shared" si="154"/>
        <v>99.078926344952237</v>
      </c>
      <c r="BJ154" s="398">
        <f t="shared" si="154"/>
        <v>99.407209679328332</v>
      </c>
      <c r="BK154" s="398">
        <f t="shared" si="154"/>
        <v>100.07756636181375</v>
      </c>
      <c r="BL154" s="398">
        <f>BL156-BL155</f>
        <v>397.28004652188406</v>
      </c>
    </row>
    <row r="155" spans="1:64" outlineLevel="1">
      <c r="A155" s="5" t="s">
        <v>1660</v>
      </c>
      <c r="AD155" s="376">
        <v>34.637999999999998</v>
      </c>
      <c r="AE155" s="376">
        <f>69.761-AD155</f>
        <v>35.122999999999998</v>
      </c>
      <c r="AF155" s="376">
        <f>108.068-AE155-AD155</f>
        <v>38.306999999999995</v>
      </c>
      <c r="AG155" s="376">
        <f>148.776-AF155-AE155-AD155</f>
        <v>40.708000000000034</v>
      </c>
      <c r="AH155" s="375">
        <f>SUM(AD155:AG155)</f>
        <v>148.77600000000001</v>
      </c>
      <c r="AI155" s="376">
        <v>42.363</v>
      </c>
      <c r="AJ155" s="376">
        <f>85.942-AI155</f>
        <v>43.578999999999994</v>
      </c>
      <c r="AK155" s="376">
        <f>125.845-AJ155-AI155</f>
        <v>39.903000000000006</v>
      </c>
      <c r="AL155" s="375">
        <f>AL158/AL159</f>
        <v>43.803216992103607</v>
      </c>
      <c r="AM155" s="375">
        <f>SUM(AI155:AL155)</f>
        <v>169.64821699210361</v>
      </c>
      <c r="AN155" s="375">
        <f t="shared" ref="AN155:AQ155" si="155">AN158/AN159</f>
        <v>41.681294878136526</v>
      </c>
      <c r="AO155" s="375">
        <f t="shared" si="155"/>
        <v>43.509693767025411</v>
      </c>
      <c r="AP155" s="375">
        <f t="shared" si="155"/>
        <v>42.699596237147901</v>
      </c>
      <c r="AQ155" s="375">
        <f t="shared" si="155"/>
        <v>45.393216760864831</v>
      </c>
      <c r="AR155" s="375">
        <f>SUM(AN155:AQ155)</f>
        <v>173.28380164317468</v>
      </c>
      <c r="AS155" s="375">
        <f t="shared" ref="AS155:AV155" si="156">AS158/AS159</f>
        <v>42.84874371575647</v>
      </c>
      <c r="AT155" s="375">
        <f t="shared" si="156"/>
        <v>44.755461239262985</v>
      </c>
      <c r="AU155" s="375">
        <f t="shared" si="156"/>
        <v>43.903390431136785</v>
      </c>
      <c r="AV155" s="375">
        <f t="shared" si="156"/>
        <v>46.681154032730383</v>
      </c>
      <c r="AW155" s="375">
        <f>SUM(AS155:AV155)</f>
        <v>178.18874941888663</v>
      </c>
      <c r="AX155" s="375">
        <f t="shared" ref="AX155:BA155" si="157">AX158/AX159</f>
        <v>43.678907621254908</v>
      </c>
      <c r="AY155" s="375">
        <f t="shared" si="157"/>
        <v>45.62785901741082</v>
      </c>
      <c r="AZ155" s="375">
        <f t="shared" si="157"/>
        <v>44.776442204200997</v>
      </c>
      <c r="BA155" s="375">
        <f t="shared" si="157"/>
        <v>47.598170473691717</v>
      </c>
      <c r="BB155" s="375">
        <f>SUM(AX155:BA155)</f>
        <v>181.68137931655843</v>
      </c>
      <c r="BC155" s="375">
        <f t="shared" ref="BC155:BF155" si="158">BC158/BC159</f>
        <v>44.129670483870775</v>
      </c>
      <c r="BD155" s="375">
        <f t="shared" si="158"/>
        <v>46.101983071138342</v>
      </c>
      <c r="BE155" s="375">
        <f t="shared" si="158"/>
        <v>45.252373095702325</v>
      </c>
      <c r="BF155" s="375">
        <f t="shared" si="158"/>
        <v>48.09763357393394</v>
      </c>
      <c r="BG155" s="375">
        <f>SUM(BC155:BF155)</f>
        <v>183.58166022464536</v>
      </c>
      <c r="BH155" s="375">
        <f t="shared" ref="BH155:BK155" si="159">BH158/BH159</f>
        <v>44.262139138029511</v>
      </c>
      <c r="BI155" s="375">
        <f t="shared" si="159"/>
        <v>46.237907967241433</v>
      </c>
      <c r="BJ155" s="375">
        <f t="shared" si="159"/>
        <v>45.395841476920346</v>
      </c>
      <c r="BK155" s="375">
        <f t="shared" si="159"/>
        <v>48.240685058773956</v>
      </c>
      <c r="BL155" s="375">
        <f>SUM(BH155:BK155)</f>
        <v>184.13657364096522</v>
      </c>
    </row>
    <row r="156" spans="1:64" outlineLevel="1">
      <c r="A156" s="9" t="s">
        <v>1523</v>
      </c>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378">
        <f t="shared" ref="AD156:AQ156" si="160">AD147</f>
        <v>146.69999999999999</v>
      </c>
      <c r="AE156" s="378">
        <f t="shared" si="160"/>
        <v>147.69999999999999</v>
      </c>
      <c r="AF156" s="378">
        <f t="shared" si="160"/>
        <v>148.69999999999999</v>
      </c>
      <c r="AG156" s="378">
        <f t="shared" si="160"/>
        <v>150.30000000000001</v>
      </c>
      <c r="AH156" s="378">
        <f t="shared" si="160"/>
        <v>593.4</v>
      </c>
      <c r="AI156" s="378">
        <f t="shared" si="160"/>
        <v>141.69999999999999</v>
      </c>
      <c r="AJ156" s="378">
        <f t="shared" si="160"/>
        <v>138.9</v>
      </c>
      <c r="AK156" s="378">
        <f t="shared" si="160"/>
        <v>144</v>
      </c>
      <c r="AL156" s="378">
        <f t="shared" si="160"/>
        <v>143.87861911611654</v>
      </c>
      <c r="AM156" s="378">
        <f t="shared" si="160"/>
        <v>568.47861911611653</v>
      </c>
      <c r="AN156" s="378">
        <f t="shared" si="160"/>
        <v>140.99681173790358</v>
      </c>
      <c r="AO156" s="378">
        <f t="shared" si="160"/>
        <v>143.16486048790358</v>
      </c>
      <c r="AP156" s="378">
        <f t="shared" si="160"/>
        <v>142.67012576679139</v>
      </c>
      <c r="AQ156" s="378">
        <f t="shared" si="160"/>
        <v>146.00291860597295</v>
      </c>
      <c r="AR156" s="378">
        <f>AR147</f>
        <v>572.8347165985715</v>
      </c>
      <c r="AS156" s="378">
        <f t="shared" ref="AS156:AV156" si="161">AS147</f>
        <v>142.04274523022605</v>
      </c>
      <c r="AT156" s="378">
        <f t="shared" si="161"/>
        <v>144.30001344417084</v>
      </c>
      <c r="AU156" s="378">
        <f t="shared" si="161"/>
        <v>143.76222503502888</v>
      </c>
      <c r="AV156" s="378">
        <f t="shared" si="161"/>
        <v>147.19270353432165</v>
      </c>
      <c r="AW156" s="378">
        <f>AW147</f>
        <v>577.29768724374753</v>
      </c>
      <c r="AX156" s="378">
        <f t="shared" ref="AX156:BA156" si="162">AX147</f>
        <v>142.73349620941178</v>
      </c>
      <c r="AY156" s="378">
        <f t="shared" si="162"/>
        <v>145.03939964008717</v>
      </c>
      <c r="AZ156" s="378">
        <f t="shared" si="162"/>
        <v>144.50655488772608</v>
      </c>
      <c r="BA156" s="378">
        <f t="shared" si="162"/>
        <v>147.98954858287814</v>
      </c>
      <c r="BB156" s="378">
        <f>BB147</f>
        <v>580.26899932010315</v>
      </c>
      <c r="BC156" s="378">
        <f t="shared" ref="BC156:BF156" si="163">BC147</f>
        <v>143.02228761870961</v>
      </c>
      <c r="BD156" s="378">
        <f t="shared" si="163"/>
        <v>145.35560572048564</v>
      </c>
      <c r="BE156" s="378">
        <f t="shared" si="163"/>
        <v>144.8290436522451</v>
      </c>
      <c r="BF156" s="378">
        <f t="shared" si="163"/>
        <v>148.34159657615044</v>
      </c>
      <c r="BG156" s="378">
        <f>BG147</f>
        <v>581.54853356759077</v>
      </c>
      <c r="BH156" s="378">
        <f t="shared" ref="BH156:BK156" si="164">BH147</f>
        <v>142.97848327381925</v>
      </c>
      <c r="BI156" s="378">
        <f t="shared" si="164"/>
        <v>145.31683431219366</v>
      </c>
      <c r="BJ156" s="378">
        <f t="shared" si="164"/>
        <v>144.80305115624867</v>
      </c>
      <c r="BK156" s="378">
        <f t="shared" si="164"/>
        <v>148.3182514205877</v>
      </c>
      <c r="BL156" s="378">
        <f>BL147</f>
        <v>581.41662016284931</v>
      </c>
    </row>
    <row r="157" spans="1:64" outlineLevel="1"/>
    <row r="158" spans="1:64" outlineLevel="1">
      <c r="A158" s="1" t="s">
        <v>1661</v>
      </c>
      <c r="AD158" s="375">
        <f t="shared" ref="AD158:BL158" si="165">SUM(AD143:AD144)</f>
        <v>40.799999999999997</v>
      </c>
      <c r="AE158" s="375">
        <f t="shared" si="165"/>
        <v>41</v>
      </c>
      <c r="AF158" s="375">
        <f t="shared" si="165"/>
        <v>44.4</v>
      </c>
      <c r="AG158" s="375">
        <f t="shared" si="165"/>
        <v>46.800000000000004</v>
      </c>
      <c r="AH158" s="375">
        <f t="shared" si="165"/>
        <v>173</v>
      </c>
      <c r="AI158" s="375">
        <f t="shared" si="165"/>
        <v>45.7</v>
      </c>
      <c r="AJ158" s="375">
        <f t="shared" si="165"/>
        <v>47.2</v>
      </c>
      <c r="AK158" s="375">
        <f t="shared" si="165"/>
        <v>46</v>
      </c>
      <c r="AL158" s="375">
        <f t="shared" si="165"/>
        <v>49.278619116116559</v>
      </c>
      <c r="AM158" s="375">
        <f t="shared" si="165"/>
        <v>188.17861911611655</v>
      </c>
      <c r="AN158" s="375">
        <f t="shared" si="165"/>
        <v>46.891456737903589</v>
      </c>
      <c r="AO158" s="375">
        <f t="shared" si="165"/>
        <v>48.948405487903585</v>
      </c>
      <c r="AP158" s="375">
        <f t="shared" si="165"/>
        <v>48.037045766791387</v>
      </c>
      <c r="AQ158" s="375">
        <f t="shared" si="165"/>
        <v>51.067368855972937</v>
      </c>
      <c r="AR158" s="375">
        <f t="shared" si="165"/>
        <v>194.94427684857152</v>
      </c>
      <c r="AS158" s="375">
        <f t="shared" si="165"/>
        <v>48.20483668022603</v>
      </c>
      <c r="AT158" s="375">
        <f t="shared" si="165"/>
        <v>50.349893894170854</v>
      </c>
      <c r="AU158" s="375">
        <f t="shared" si="165"/>
        <v>49.391314235028887</v>
      </c>
      <c r="AV158" s="375">
        <f t="shared" si="165"/>
        <v>52.51629828682168</v>
      </c>
      <c r="AW158" s="375">
        <f t="shared" si="165"/>
        <v>200.46234309624742</v>
      </c>
      <c r="AX158" s="375">
        <f t="shared" si="165"/>
        <v>49.138771073911769</v>
      </c>
      <c r="AY158" s="375">
        <f t="shared" si="165"/>
        <v>51.33134139458717</v>
      </c>
      <c r="AZ158" s="375">
        <f t="shared" si="165"/>
        <v>50.373497479726119</v>
      </c>
      <c r="BA158" s="375">
        <f t="shared" si="165"/>
        <v>53.54794178290318</v>
      </c>
      <c r="BB158" s="375">
        <f t="shared" si="165"/>
        <v>204.3915517311282</v>
      </c>
      <c r="BC158" s="375">
        <f t="shared" si="165"/>
        <v>49.645879294354621</v>
      </c>
      <c r="BD158" s="375">
        <f t="shared" si="165"/>
        <v>51.864730955030637</v>
      </c>
      <c r="BE158" s="375">
        <f t="shared" si="165"/>
        <v>50.908919732665112</v>
      </c>
      <c r="BF158" s="375">
        <f t="shared" si="165"/>
        <v>54.109837770675682</v>
      </c>
      <c r="BG158" s="375">
        <f t="shared" si="165"/>
        <v>206.52936775272605</v>
      </c>
      <c r="BH158" s="375">
        <f t="shared" si="165"/>
        <v>49.7949065302832</v>
      </c>
      <c r="BI158" s="375">
        <f t="shared" si="165"/>
        <v>52.017646463146612</v>
      </c>
      <c r="BJ158" s="375">
        <f t="shared" si="165"/>
        <v>51.070321661535388</v>
      </c>
      <c r="BK158" s="375">
        <f t="shared" si="165"/>
        <v>54.270770691120703</v>
      </c>
      <c r="BL158" s="375">
        <f t="shared" si="165"/>
        <v>207.15364534608591</v>
      </c>
    </row>
    <row r="159" spans="1:64" outlineLevel="1">
      <c r="A159" s="1" t="s">
        <v>1693</v>
      </c>
      <c r="AD159" s="21">
        <f t="shared" ref="AD159:AK159" si="166">AD158/AD155</f>
        <v>1.1778971072232807</v>
      </c>
      <c r="AE159" s="21">
        <f t="shared" si="166"/>
        <v>1.167326253452154</v>
      </c>
      <c r="AF159" s="21">
        <f t="shared" si="166"/>
        <v>1.1590570913932181</v>
      </c>
      <c r="AG159" s="21">
        <f t="shared" si="166"/>
        <v>1.1496511742163693</v>
      </c>
      <c r="AH159" s="21">
        <f t="shared" si="166"/>
        <v>1.1628219605312684</v>
      </c>
      <c r="AI159" s="21">
        <f t="shared" si="166"/>
        <v>1.0787715695300144</v>
      </c>
      <c r="AJ159" s="21">
        <f t="shared" si="166"/>
        <v>1.0830904793593246</v>
      </c>
      <c r="AK159" s="21">
        <f t="shared" si="166"/>
        <v>1.1527955291582086</v>
      </c>
      <c r="AL159" s="261">
        <v>1.125</v>
      </c>
      <c r="AN159" s="261">
        <v>1.125</v>
      </c>
      <c r="AO159" s="261">
        <v>1.125</v>
      </c>
      <c r="AP159" s="261">
        <v>1.125</v>
      </c>
      <c r="AQ159" s="261">
        <v>1.125</v>
      </c>
      <c r="AS159" s="261">
        <v>1.125</v>
      </c>
      <c r="AT159" s="261">
        <v>1.125</v>
      </c>
      <c r="AU159" s="261">
        <v>1.125</v>
      </c>
      <c r="AV159" s="261">
        <v>1.125</v>
      </c>
      <c r="AX159" s="261">
        <v>1.125</v>
      </c>
      <c r="AY159" s="261">
        <v>1.125</v>
      </c>
      <c r="AZ159" s="261">
        <v>1.125</v>
      </c>
      <c r="BA159" s="261">
        <v>1.125</v>
      </c>
      <c r="BC159" s="261">
        <v>1.125</v>
      </c>
      <c r="BD159" s="261">
        <v>1.125</v>
      </c>
      <c r="BE159" s="261">
        <v>1.125</v>
      </c>
      <c r="BF159" s="261">
        <v>1.125</v>
      </c>
      <c r="BH159" s="261">
        <v>1.125</v>
      </c>
      <c r="BI159" s="261">
        <v>1.125</v>
      </c>
      <c r="BJ159" s="261">
        <v>1.125</v>
      </c>
      <c r="BK159" s="261">
        <v>1.125</v>
      </c>
    </row>
    <row r="161" spans="1:74">
      <c r="A161" s="9" t="s">
        <v>1488</v>
      </c>
      <c r="B161" s="9"/>
      <c r="C161" s="9"/>
      <c r="D161" s="9"/>
      <c r="E161" s="9"/>
      <c r="F161" s="9"/>
      <c r="G161" s="9"/>
      <c r="H161" s="9"/>
      <c r="I161" s="9"/>
      <c r="J161" s="9"/>
      <c r="K161" s="9"/>
      <c r="L161" s="9"/>
      <c r="M161" s="9"/>
      <c r="N161" s="9"/>
      <c r="O161" s="9"/>
      <c r="P161" s="9"/>
      <c r="Q161" s="9"/>
      <c r="R161" s="9"/>
      <c r="S161" s="9"/>
      <c r="T161" s="9"/>
      <c r="U161" s="9"/>
      <c r="V161" s="9"/>
      <c r="W161" s="9"/>
      <c r="X161" s="9"/>
      <c r="Y161" s="381">
        <f t="shared" ref="Y161:BL161" si="167">Y79-Y147</f>
        <v>321.89999999999998</v>
      </c>
      <c r="Z161" s="381">
        <f t="shared" si="167"/>
        <v>331.29999999999995</v>
      </c>
      <c r="AA161" s="381">
        <f t="shared" si="167"/>
        <v>291.40000000000003</v>
      </c>
      <c r="AB161" s="381">
        <f t="shared" si="167"/>
        <v>208.70000000000002</v>
      </c>
      <c r="AC161" s="381">
        <f t="shared" si="167"/>
        <v>1153.3000000000002</v>
      </c>
      <c r="AD161" s="381">
        <f t="shared" si="167"/>
        <v>283.90000000000003</v>
      </c>
      <c r="AE161" s="381">
        <f t="shared" si="167"/>
        <v>279.90000000000003</v>
      </c>
      <c r="AF161" s="381">
        <f t="shared" si="167"/>
        <v>256.2</v>
      </c>
      <c r="AG161" s="381">
        <f t="shared" si="167"/>
        <v>153</v>
      </c>
      <c r="AH161" s="381">
        <f t="shared" si="167"/>
        <v>972.99999999999989</v>
      </c>
      <c r="AI161" s="381">
        <f t="shared" si="167"/>
        <v>289.2</v>
      </c>
      <c r="AJ161" s="381">
        <f t="shared" si="167"/>
        <v>320.79999999999995</v>
      </c>
      <c r="AK161" s="381">
        <f t="shared" si="167"/>
        <v>274.39999999999998</v>
      </c>
      <c r="AL161" s="381">
        <f t="shared" si="167"/>
        <v>152.29320386161359</v>
      </c>
      <c r="AM161" s="381">
        <f t="shared" si="167"/>
        <v>1036.6932038616137</v>
      </c>
      <c r="AN161" s="381">
        <f t="shared" si="167"/>
        <v>299.38937884678796</v>
      </c>
      <c r="AO161" s="381">
        <f t="shared" si="167"/>
        <v>311.82312327396153</v>
      </c>
      <c r="AP161" s="381">
        <f t="shared" si="167"/>
        <v>268.30786850966444</v>
      </c>
      <c r="AQ161" s="381">
        <f t="shared" si="167"/>
        <v>158.23454532081465</v>
      </c>
      <c r="AR161" s="381">
        <f t="shared" si="167"/>
        <v>1037.7549159512284</v>
      </c>
      <c r="AS161" s="381">
        <f t="shared" si="167"/>
        <v>302.77148001187402</v>
      </c>
      <c r="AT161" s="381">
        <f t="shared" si="167"/>
        <v>311.60733350925068</v>
      </c>
      <c r="AU161" s="381">
        <f t="shared" si="167"/>
        <v>271.15642741333602</v>
      </c>
      <c r="AV161" s="381">
        <f t="shared" si="167"/>
        <v>173.81234554828512</v>
      </c>
      <c r="AW161" s="381">
        <f t="shared" si="167"/>
        <v>1059.3475864827456</v>
      </c>
      <c r="AX161" s="381">
        <f t="shared" si="167"/>
        <v>312.14150281816796</v>
      </c>
      <c r="AY161" s="381">
        <f t="shared" si="167"/>
        <v>327.5836722347517</v>
      </c>
      <c r="AZ161" s="381">
        <f t="shared" si="167"/>
        <v>283.48591343450971</v>
      </c>
      <c r="BA161" s="381">
        <f t="shared" si="167"/>
        <v>186.62902550453472</v>
      </c>
      <c r="BB161" s="381">
        <f t="shared" si="167"/>
        <v>1109.840113991964</v>
      </c>
      <c r="BC161" s="381">
        <f t="shared" si="167"/>
        <v>327.68231501113189</v>
      </c>
      <c r="BD161" s="381">
        <f t="shared" si="167"/>
        <v>342.68085157659311</v>
      </c>
      <c r="BE161" s="381">
        <f t="shared" si="167"/>
        <v>301.37965820275537</v>
      </c>
      <c r="BF161" s="381">
        <f t="shared" si="167"/>
        <v>205.35780093507913</v>
      </c>
      <c r="BG161" s="381">
        <f t="shared" si="167"/>
        <v>1177.1006257255594</v>
      </c>
      <c r="BH161" s="381">
        <f t="shared" si="167"/>
        <v>347.99580982211683</v>
      </c>
      <c r="BI161" s="381">
        <f t="shared" si="167"/>
        <v>363.12191657191079</v>
      </c>
      <c r="BJ161" s="381">
        <f t="shared" si="167"/>
        <v>323.11859349247828</v>
      </c>
      <c r="BK161" s="381">
        <f t="shared" si="167"/>
        <v>227.05750616755952</v>
      </c>
      <c r="BL161" s="381">
        <f t="shared" si="167"/>
        <v>1261.2938260540654</v>
      </c>
    </row>
    <row r="162" spans="1:74">
      <c r="A162" s="1" t="s">
        <v>1489</v>
      </c>
      <c r="Y162" s="16">
        <f t="shared" ref="Y162:BL162" si="168">Y161/Y12</f>
        <v>0.2372843874391862</v>
      </c>
      <c r="Z162" s="16">
        <f t="shared" si="168"/>
        <v>0.24223148351246615</v>
      </c>
      <c r="AA162" s="16">
        <f t="shared" si="168"/>
        <v>0.2010209713024283</v>
      </c>
      <c r="AB162" s="16">
        <f t="shared" si="168"/>
        <v>0.13759229957805907</v>
      </c>
      <c r="AC162" s="16">
        <f t="shared" si="168"/>
        <v>0.20266399564201246</v>
      </c>
      <c r="AD162" s="16">
        <f t="shared" si="168"/>
        <v>0.20844346549192366</v>
      </c>
      <c r="AE162" s="16">
        <f t="shared" si="168"/>
        <v>0.19348817917876404</v>
      </c>
      <c r="AF162" s="16">
        <f t="shared" si="168"/>
        <v>0.16669919968768299</v>
      </c>
      <c r="AG162" s="16">
        <f t="shared" si="168"/>
        <v>9.7669964889881902E-2</v>
      </c>
      <c r="AH162" s="16">
        <f t="shared" si="168"/>
        <v>0.16458051420838971</v>
      </c>
      <c r="AI162" s="16">
        <f t="shared" si="168"/>
        <v>0.20228019864307195</v>
      </c>
      <c r="AJ162" s="16">
        <f t="shared" si="168"/>
        <v>0.21328369124393323</v>
      </c>
      <c r="AK162" s="16">
        <f t="shared" si="168"/>
        <v>0.17391304347826086</v>
      </c>
      <c r="AL162" s="16">
        <f t="shared" si="168"/>
        <v>9.5012983764321574E-2</v>
      </c>
      <c r="AM162" s="16">
        <f t="shared" si="168"/>
        <v>0.1695475917336515</v>
      </c>
      <c r="AN162" s="16">
        <f t="shared" si="168"/>
        <v>0.20546201575914119</v>
      </c>
      <c r="AO162" s="16">
        <f t="shared" si="168"/>
        <v>0.20386937140739067</v>
      </c>
      <c r="AP162" s="16">
        <f t="shared" si="168"/>
        <v>0.16719332453903787</v>
      </c>
      <c r="AQ162" s="16">
        <f t="shared" si="168"/>
        <v>9.7444423468848448E-2</v>
      </c>
      <c r="AR162" s="16">
        <f t="shared" si="168"/>
        <v>0.16696789048012206</v>
      </c>
      <c r="AS162" s="16">
        <f t="shared" si="168"/>
        <v>0.20435365954647386</v>
      </c>
      <c r="AT162" s="16">
        <f t="shared" si="168"/>
        <v>0.20009988146384514</v>
      </c>
      <c r="AU162" s="16">
        <f t="shared" si="168"/>
        <v>0.16605389963035488</v>
      </c>
      <c r="AV162" s="16">
        <f t="shared" si="168"/>
        <v>0.10490983418970348</v>
      </c>
      <c r="AW162" s="16">
        <f t="shared" si="168"/>
        <v>0.16739090853565392</v>
      </c>
      <c r="AX162" s="16">
        <f t="shared" si="168"/>
        <v>0.20584927549711327</v>
      </c>
      <c r="AY162" s="16">
        <f t="shared" si="168"/>
        <v>0.20582473661145484</v>
      </c>
      <c r="AZ162" s="16">
        <f t="shared" si="168"/>
        <v>0.16959473098400876</v>
      </c>
      <c r="BA162" s="16">
        <f t="shared" si="168"/>
        <v>0.11002440210100969</v>
      </c>
      <c r="BB162" s="16">
        <f t="shared" si="168"/>
        <v>0.1713846660273573</v>
      </c>
      <c r="BC162" s="16">
        <f t="shared" si="168"/>
        <v>0.21094909549549429</v>
      </c>
      <c r="BD162" s="16">
        <f t="shared" si="168"/>
        <v>0.21003914544246885</v>
      </c>
      <c r="BE162" s="16">
        <f t="shared" si="168"/>
        <v>0.17601163242254839</v>
      </c>
      <c r="BF162" s="16">
        <f t="shared" si="168"/>
        <v>0.11790923534723649</v>
      </c>
      <c r="BG162" s="16">
        <f t="shared" si="168"/>
        <v>0.17730590717275641</v>
      </c>
      <c r="BH162" s="16">
        <f t="shared" si="168"/>
        <v>0.21842032741331727</v>
      </c>
      <c r="BI162" s="16">
        <f t="shared" si="168"/>
        <v>0.21699109159165311</v>
      </c>
      <c r="BJ162" s="16">
        <f t="shared" si="168"/>
        <v>0.18392341946507373</v>
      </c>
      <c r="BK162" s="16">
        <f t="shared" si="168"/>
        <v>0.12684457969510099</v>
      </c>
      <c r="BL162" s="16">
        <f t="shared" si="168"/>
        <v>0.18511589114142088</v>
      </c>
    </row>
    <row r="163" spans="1:74">
      <c r="A163" s="1" t="s">
        <v>28</v>
      </c>
    </row>
    <row r="165" spans="1:74">
      <c r="A165" s="1" t="s">
        <v>1694</v>
      </c>
      <c r="Y165" s="376"/>
      <c r="Z165" s="376"/>
      <c r="AA165" s="376"/>
      <c r="AB165" s="376"/>
      <c r="AC165" s="375">
        <f>SUM(Y165:AB165)</f>
        <v>0</v>
      </c>
      <c r="AD165" s="376">
        <v>2.7</v>
      </c>
      <c r="AE165" s="376">
        <v>7.5</v>
      </c>
      <c r="AF165" s="376">
        <v>294.8</v>
      </c>
      <c r="AG165" s="376"/>
      <c r="AH165" s="375">
        <f>SUM(AD165:AG165)</f>
        <v>305</v>
      </c>
      <c r="AI165" s="376"/>
      <c r="AJ165" s="376">
        <v>5</v>
      </c>
      <c r="AK165" s="376"/>
    </row>
    <row r="166" spans="1:74">
      <c r="A166" s="1" t="s">
        <v>1695</v>
      </c>
      <c r="Y166" s="376"/>
      <c r="Z166" s="376"/>
      <c r="AA166" s="376"/>
      <c r="AB166" s="376">
        <v>2.4</v>
      </c>
      <c r="AC166" s="375">
        <f>SUM(Y166:AB166)</f>
        <v>2.4</v>
      </c>
      <c r="AD166" s="376"/>
      <c r="AE166" s="376">
        <v>9</v>
      </c>
      <c r="AF166" s="376"/>
      <c r="AG166" s="376">
        <v>3.2</v>
      </c>
      <c r="AH166" s="375">
        <f>SUM(AD166:AG166)</f>
        <v>12.2</v>
      </c>
      <c r="AI166" s="376"/>
      <c r="AJ166" s="376"/>
      <c r="AK166" s="376"/>
    </row>
    <row r="167" spans="1:74">
      <c r="A167" s="1" t="s">
        <v>1654</v>
      </c>
      <c r="Y167" s="375">
        <f>Y168-(Y161+Y165-Y166)</f>
        <v>-43.899999999999977</v>
      </c>
      <c r="Z167" s="375">
        <f t="shared" ref="Z167:AC167" si="169">Z168-(Z161+Z165-Z166)</f>
        <v>-46.899999999999977</v>
      </c>
      <c r="AA167" s="375">
        <f t="shared" si="169"/>
        <v>-46.900000000000034</v>
      </c>
      <c r="AB167" s="375">
        <f t="shared" si="169"/>
        <v>-47.600000000000023</v>
      </c>
      <c r="AC167" s="375">
        <f t="shared" si="169"/>
        <v>-185.30000000000018</v>
      </c>
      <c r="AD167" s="375">
        <f>AD168-(AD161+AD165-AD166)</f>
        <v>-45.300000000000011</v>
      </c>
      <c r="AE167" s="375">
        <f t="shared" ref="AE167:AH167" si="170">AE168-(AE161+AE165-AE166)</f>
        <v>-32.80000000000004</v>
      </c>
      <c r="AF167" s="375">
        <f t="shared" si="170"/>
        <v>-55.800000000000011</v>
      </c>
      <c r="AG167" s="375">
        <f t="shared" si="170"/>
        <v>-71.600000000000009</v>
      </c>
      <c r="AH167" s="375">
        <f t="shared" si="170"/>
        <v>-205.5</v>
      </c>
      <c r="AI167" s="375">
        <f>AI168-(AI161+AI165-AI166)</f>
        <v>-42.899999999999977</v>
      </c>
      <c r="AJ167" s="375">
        <f t="shared" ref="AJ167:AK167" si="171">AJ168-(AJ161+AJ165-AJ166)</f>
        <v>-57.699999999999932</v>
      </c>
      <c r="AK167" s="375">
        <f t="shared" si="171"/>
        <v>-56.899999999999977</v>
      </c>
      <c r="AL167" s="377">
        <v>-45</v>
      </c>
      <c r="AM167" s="375">
        <f>SUM(AI167:AL167)</f>
        <v>-202.49999999999989</v>
      </c>
    </row>
    <row r="168" spans="1:74">
      <c r="A168" s="9" t="s">
        <v>1492</v>
      </c>
      <c r="B168" s="9"/>
      <c r="C168" s="9"/>
      <c r="D168" s="9"/>
      <c r="E168" s="9"/>
      <c r="F168" s="9"/>
      <c r="G168" s="9"/>
      <c r="H168" s="9"/>
      <c r="I168" s="9"/>
      <c r="J168" s="9"/>
      <c r="K168" s="9"/>
      <c r="L168" s="9"/>
      <c r="M168" s="9"/>
      <c r="N168" s="9"/>
      <c r="O168" s="9"/>
      <c r="P168" s="9"/>
      <c r="Q168" s="9"/>
      <c r="R168" s="9"/>
      <c r="S168" s="9"/>
      <c r="T168" s="9"/>
      <c r="U168" s="9"/>
      <c r="V168" s="9"/>
      <c r="W168" s="9"/>
      <c r="X168" s="9"/>
      <c r="Y168" s="395">
        <v>278</v>
      </c>
      <c r="Z168" s="395">
        <v>284.39999999999998</v>
      </c>
      <c r="AA168" s="395">
        <v>244.5</v>
      </c>
      <c r="AB168" s="395">
        <v>158.69999999999999</v>
      </c>
      <c r="AC168" s="378">
        <f>SUM(Y168:AB168)</f>
        <v>965.59999999999991</v>
      </c>
      <c r="AD168" s="395">
        <v>241.3</v>
      </c>
      <c r="AE168" s="395">
        <v>245.6</v>
      </c>
      <c r="AF168" s="395">
        <v>495.2</v>
      </c>
      <c r="AG168" s="395">
        <v>78.2</v>
      </c>
      <c r="AH168" s="378">
        <f>SUM(AD168:AG168)</f>
        <v>1060.3</v>
      </c>
      <c r="AI168" s="395">
        <v>246.3</v>
      </c>
      <c r="AJ168" s="395">
        <v>268.10000000000002</v>
      </c>
      <c r="AK168" s="395">
        <v>217.5</v>
      </c>
      <c r="AL168" s="378">
        <f t="shared" ref="AL168:BL168" si="172">AL161+AL167</f>
        <v>107.29320386161359</v>
      </c>
      <c r="AM168" s="378">
        <f t="shared" si="172"/>
        <v>834.19320386161382</v>
      </c>
      <c r="AN168" s="378">
        <f t="shared" si="172"/>
        <v>299.38937884678796</v>
      </c>
      <c r="AO168" s="378">
        <f t="shared" si="172"/>
        <v>311.82312327396153</v>
      </c>
      <c r="AP168" s="378">
        <f t="shared" si="172"/>
        <v>268.30786850966444</v>
      </c>
      <c r="AQ168" s="378">
        <f t="shared" si="172"/>
        <v>158.23454532081465</v>
      </c>
      <c r="AR168" s="378">
        <f t="shared" si="172"/>
        <v>1037.7549159512284</v>
      </c>
      <c r="AS168" s="378">
        <f t="shared" si="172"/>
        <v>302.77148001187402</v>
      </c>
      <c r="AT168" s="378">
        <f t="shared" si="172"/>
        <v>311.60733350925068</v>
      </c>
      <c r="AU168" s="378">
        <f t="shared" si="172"/>
        <v>271.15642741333602</v>
      </c>
      <c r="AV168" s="378">
        <f t="shared" si="172"/>
        <v>173.81234554828512</v>
      </c>
      <c r="AW168" s="378">
        <f t="shared" si="172"/>
        <v>1059.3475864827456</v>
      </c>
      <c r="AX168" s="378">
        <f t="shared" si="172"/>
        <v>312.14150281816796</v>
      </c>
      <c r="AY168" s="378">
        <f t="shared" si="172"/>
        <v>327.5836722347517</v>
      </c>
      <c r="AZ168" s="378">
        <f t="shared" si="172"/>
        <v>283.48591343450971</v>
      </c>
      <c r="BA168" s="378">
        <f t="shared" si="172"/>
        <v>186.62902550453472</v>
      </c>
      <c r="BB168" s="378">
        <f t="shared" si="172"/>
        <v>1109.840113991964</v>
      </c>
      <c r="BC168" s="378">
        <f t="shared" si="172"/>
        <v>327.68231501113189</v>
      </c>
      <c r="BD168" s="378">
        <f t="shared" si="172"/>
        <v>342.68085157659311</v>
      </c>
      <c r="BE168" s="378">
        <f t="shared" si="172"/>
        <v>301.37965820275537</v>
      </c>
      <c r="BF168" s="378">
        <f t="shared" si="172"/>
        <v>205.35780093507913</v>
      </c>
      <c r="BG168" s="378">
        <f t="shared" si="172"/>
        <v>1177.1006257255594</v>
      </c>
      <c r="BH168" s="378">
        <f t="shared" si="172"/>
        <v>347.99580982211683</v>
      </c>
      <c r="BI168" s="378">
        <f t="shared" si="172"/>
        <v>363.12191657191079</v>
      </c>
      <c r="BJ168" s="378">
        <f t="shared" si="172"/>
        <v>323.11859349247828</v>
      </c>
      <c r="BK168" s="378">
        <f t="shared" si="172"/>
        <v>227.05750616755952</v>
      </c>
      <c r="BL168" s="378">
        <f t="shared" si="172"/>
        <v>1261.2938260540654</v>
      </c>
    </row>
    <row r="169" spans="1:74">
      <c r="A169" s="1" t="s">
        <v>1489</v>
      </c>
      <c r="Y169" s="16">
        <f t="shared" ref="Y169:BL169" si="173">Y168/Y12</f>
        <v>0.20492407489311515</v>
      </c>
      <c r="Z169" s="16">
        <f t="shared" si="173"/>
        <v>0.20794033779337573</v>
      </c>
      <c r="AA169" s="16">
        <f t="shared" si="173"/>
        <v>0.16866721854304637</v>
      </c>
      <c r="AB169" s="16">
        <f t="shared" si="173"/>
        <v>0.10462816455696203</v>
      </c>
      <c r="AC169" s="16">
        <f t="shared" si="173"/>
        <v>0.16968035566801973</v>
      </c>
      <c r="AD169" s="16">
        <f t="shared" si="173"/>
        <v>0.17716593245227608</v>
      </c>
      <c r="AE169" s="16">
        <f t="shared" si="173"/>
        <v>0.16977740909719344</v>
      </c>
      <c r="AF169" s="16">
        <f t="shared" si="173"/>
        <v>0.32220704014574791</v>
      </c>
      <c r="AG169" s="16">
        <f t="shared" si="173"/>
        <v>4.9920204277050753E-2</v>
      </c>
      <c r="AH169" s="16">
        <f t="shared" si="173"/>
        <v>0.17934709066305818</v>
      </c>
      <c r="AI169" s="16">
        <f t="shared" si="173"/>
        <v>0.17227390361614325</v>
      </c>
      <c r="AJ169" s="16">
        <f t="shared" si="173"/>
        <v>0.17824612725217739</v>
      </c>
      <c r="AK169" s="16">
        <f t="shared" si="173"/>
        <v>0.13785017112435036</v>
      </c>
      <c r="AL169" s="16">
        <f t="shared" si="173"/>
        <v>6.6938295196605671E-2</v>
      </c>
      <c r="AM169" s="16">
        <f t="shared" si="173"/>
        <v>0.13642941636781056</v>
      </c>
      <c r="AN169" s="16">
        <f t="shared" si="173"/>
        <v>0.20546201575914119</v>
      </c>
      <c r="AO169" s="16">
        <f t="shared" si="173"/>
        <v>0.20386937140739067</v>
      </c>
      <c r="AP169" s="16">
        <f t="shared" si="173"/>
        <v>0.16719332453903787</v>
      </c>
      <c r="AQ169" s="16">
        <f t="shared" si="173"/>
        <v>9.7444423468848448E-2</v>
      </c>
      <c r="AR169" s="16">
        <f t="shared" si="173"/>
        <v>0.16696789048012206</v>
      </c>
      <c r="AS169" s="16">
        <f t="shared" si="173"/>
        <v>0.20435365954647386</v>
      </c>
      <c r="AT169" s="16">
        <f t="shared" si="173"/>
        <v>0.20009988146384514</v>
      </c>
      <c r="AU169" s="16">
        <f t="shared" si="173"/>
        <v>0.16605389963035488</v>
      </c>
      <c r="AV169" s="16">
        <f t="shared" si="173"/>
        <v>0.10490983418970348</v>
      </c>
      <c r="AW169" s="16">
        <f t="shared" si="173"/>
        <v>0.16739090853565392</v>
      </c>
      <c r="AX169" s="16">
        <f t="shared" si="173"/>
        <v>0.20584927549711327</v>
      </c>
      <c r="AY169" s="16">
        <f t="shared" si="173"/>
        <v>0.20582473661145484</v>
      </c>
      <c r="AZ169" s="16">
        <f t="shared" si="173"/>
        <v>0.16959473098400876</v>
      </c>
      <c r="BA169" s="16">
        <f t="shared" si="173"/>
        <v>0.11002440210100969</v>
      </c>
      <c r="BB169" s="16">
        <f t="shared" si="173"/>
        <v>0.1713846660273573</v>
      </c>
      <c r="BC169" s="16">
        <f t="shared" si="173"/>
        <v>0.21094909549549429</v>
      </c>
      <c r="BD169" s="16">
        <f t="shared" si="173"/>
        <v>0.21003914544246885</v>
      </c>
      <c r="BE169" s="16">
        <f t="shared" si="173"/>
        <v>0.17601163242254839</v>
      </c>
      <c r="BF169" s="16">
        <f t="shared" si="173"/>
        <v>0.11790923534723649</v>
      </c>
      <c r="BG169" s="16">
        <f t="shared" si="173"/>
        <v>0.17730590717275641</v>
      </c>
      <c r="BH169" s="16">
        <f t="shared" si="173"/>
        <v>0.21842032741331727</v>
      </c>
      <c r="BI169" s="16">
        <f t="shared" si="173"/>
        <v>0.21699109159165311</v>
      </c>
      <c r="BJ169" s="16">
        <f t="shared" si="173"/>
        <v>0.18392341946507373</v>
      </c>
      <c r="BK169" s="16">
        <f t="shared" si="173"/>
        <v>0.12684457969510099</v>
      </c>
      <c r="BL169" s="16">
        <f t="shared" si="173"/>
        <v>0.18511589114142088</v>
      </c>
    </row>
    <row r="170" spans="1:74">
      <c r="A170" s="1" t="s">
        <v>28</v>
      </c>
      <c r="AD170" s="16">
        <f t="shared" ref="AD170:BL170" si="174">AD168/Y168-1</f>
        <v>-0.13201438848920855</v>
      </c>
      <c r="AE170" s="16">
        <f t="shared" si="174"/>
        <v>-0.1364275668073136</v>
      </c>
      <c r="AF170" s="16">
        <f t="shared" si="174"/>
        <v>1.0253578732106341</v>
      </c>
      <c r="AG170" s="16">
        <f t="shared" si="174"/>
        <v>-0.50724637681159412</v>
      </c>
      <c r="AH170" s="16">
        <f t="shared" si="174"/>
        <v>9.8073736536868239E-2</v>
      </c>
      <c r="AI170" s="16">
        <f t="shared" si="174"/>
        <v>2.0721094073766988E-2</v>
      </c>
      <c r="AJ170" s="16">
        <f t="shared" si="174"/>
        <v>9.1612377850162963E-2</v>
      </c>
      <c r="AK170" s="16">
        <f t="shared" si="174"/>
        <v>-0.56078352180936997</v>
      </c>
      <c r="AL170" s="16">
        <f t="shared" si="174"/>
        <v>0.37203585500784642</v>
      </c>
      <c r="AM170" s="16">
        <f t="shared" si="174"/>
        <v>-0.2132479450517647</v>
      </c>
      <c r="AN170" s="16">
        <f t="shared" si="174"/>
        <v>0.2155476201656028</v>
      </c>
      <c r="AO170" s="16">
        <f t="shared" si="174"/>
        <v>0.16308512970519029</v>
      </c>
      <c r="AP170" s="16">
        <f t="shared" si="174"/>
        <v>0.23359939544673303</v>
      </c>
      <c r="AQ170" s="16">
        <f t="shared" si="174"/>
        <v>0.47478628306136739</v>
      </c>
      <c r="AR170" s="16">
        <f t="shared" si="174"/>
        <v>0.24402226144650285</v>
      </c>
      <c r="AS170" s="16">
        <f t="shared" si="174"/>
        <v>1.1296663823257447E-2</v>
      </c>
      <c r="AT170" s="16">
        <f t="shared" si="174"/>
        <v>-6.9202617960206769E-4</v>
      </c>
      <c r="AU170" s="16">
        <f t="shared" si="174"/>
        <v>1.0616754996765954E-2</v>
      </c>
      <c r="AV170" s="16">
        <f t="shared" si="174"/>
        <v>9.8447530505346048E-2</v>
      </c>
      <c r="AW170" s="16">
        <f t="shared" si="174"/>
        <v>2.0807100211830631E-2</v>
      </c>
      <c r="AX170" s="16">
        <f t="shared" si="174"/>
        <v>3.0947508021318404E-2</v>
      </c>
      <c r="AY170" s="16">
        <f t="shared" si="174"/>
        <v>5.1270740471923926E-2</v>
      </c>
      <c r="AZ170" s="16">
        <f t="shared" si="174"/>
        <v>4.5470012047250208E-2</v>
      </c>
      <c r="BA170" s="16">
        <f t="shared" si="174"/>
        <v>7.373860536672372E-2</v>
      </c>
      <c r="BB170" s="16">
        <f t="shared" si="174"/>
        <v>4.7663796239782119E-2</v>
      </c>
      <c r="BC170" s="16">
        <f t="shared" si="174"/>
        <v>4.9787715035180424E-2</v>
      </c>
      <c r="BD170" s="16">
        <f t="shared" si="174"/>
        <v>4.6086483000967515E-2</v>
      </c>
      <c r="BE170" s="16">
        <f t="shared" si="174"/>
        <v>6.3120401826877393E-2</v>
      </c>
      <c r="BF170" s="16">
        <f t="shared" si="174"/>
        <v>0.1003529616034422</v>
      </c>
      <c r="BG170" s="16">
        <f t="shared" si="174"/>
        <v>6.0603785072849137E-2</v>
      </c>
      <c r="BH170" s="16">
        <f t="shared" si="174"/>
        <v>6.1991428528252568E-2</v>
      </c>
      <c r="BI170" s="16">
        <f t="shared" si="174"/>
        <v>5.9650444141460479E-2</v>
      </c>
      <c r="BJ170" s="16">
        <f t="shared" si="174"/>
        <v>7.2131395394634978E-2</v>
      </c>
      <c r="BK170" s="16">
        <f t="shared" si="174"/>
        <v>0.10566779120964798</v>
      </c>
      <c r="BL170" s="16">
        <f t="shared" si="174"/>
        <v>7.1525915871983869E-2</v>
      </c>
    </row>
    <row r="171" spans="1:74">
      <c r="AM171" s="396">
        <v>840</v>
      </c>
      <c r="AN171" s="262" t="s">
        <v>1655</v>
      </c>
    </row>
    <row r="172" spans="1:74">
      <c r="A172" s="1" t="s">
        <v>1403</v>
      </c>
      <c r="Y172" s="376">
        <v>-124.6</v>
      </c>
      <c r="Z172" s="376">
        <v>-340.6</v>
      </c>
      <c r="AA172" s="376">
        <v>-123.4</v>
      </c>
      <c r="AB172" s="376">
        <v>-118.5</v>
      </c>
      <c r="AC172" s="375">
        <f>SUM(Y172:AB172)</f>
        <v>-707.1</v>
      </c>
      <c r="AD172" s="376">
        <v>-157.80000000000001</v>
      </c>
      <c r="AE172" s="376">
        <v>-160.69999999999999</v>
      </c>
      <c r="AF172" s="376">
        <v>-155.80000000000001</v>
      </c>
      <c r="AG172" s="376">
        <v>-133.19999999999999</v>
      </c>
      <c r="AH172" s="375">
        <f>SUM(AD172:AG172)</f>
        <v>-607.5</v>
      </c>
      <c r="AI172" s="376">
        <v>-167.4</v>
      </c>
      <c r="AJ172" s="376">
        <v>-149.80000000000001</v>
      </c>
      <c r="AK172" s="376">
        <v>-134.80000000000001</v>
      </c>
      <c r="AL172" s="375">
        <f>-AL173*AL12</f>
        <v>-140.29949067331324</v>
      </c>
      <c r="AM172" s="375">
        <f>SUM(AI172:AL172)</f>
        <v>-592.29949067331336</v>
      </c>
      <c r="AN172" s="375">
        <f>-AN173*AN12</f>
        <v>-172.43572127012203</v>
      </c>
      <c r="AO172" s="375">
        <f>-AO173*AO12</f>
        <v>-154.2440073670015</v>
      </c>
      <c r="AP172" s="375">
        <f>-AP173*AP12</f>
        <v>-160.6748368366525</v>
      </c>
      <c r="AQ172" s="375">
        <f>-AQ173*AQ12</f>
        <v>-144.16539648254223</v>
      </c>
      <c r="AR172" s="375">
        <f>SUM(AN172:AQ172)</f>
        <v>-631.51996195631818</v>
      </c>
      <c r="AS172" s="375">
        <f>-AS173*AS12</f>
        <v>-177.18148385985521</v>
      </c>
      <c r="AT172" s="375">
        <f>-AT173*AT12</f>
        <v>-158.98748445546249</v>
      </c>
      <c r="AU172" s="375">
        <f>-AU173*AU12</f>
        <v>-165.53608012607421</v>
      </c>
      <c r="AV172" s="375">
        <f>-AV173*AV12</f>
        <v>-149.16029200963405</v>
      </c>
      <c r="AW172" s="375">
        <f>SUM(AS172:AV172)</f>
        <v>-650.86534045102599</v>
      </c>
      <c r="AX172" s="375">
        <f>-AX173*AX12</f>
        <v>-185.12854080341771</v>
      </c>
      <c r="AY172" s="375">
        <f>-AY173*AY12</f>
        <v>-166.46896735337319</v>
      </c>
      <c r="AZ172" s="375">
        <f>-AZ173*AZ12</f>
        <v>-173.62863763729106</v>
      </c>
      <c r="BA172" s="375">
        <f>-BA173*BA12</f>
        <v>-156.95467155150391</v>
      </c>
      <c r="BB172" s="375">
        <f>SUM(AX172:BA172)</f>
        <v>-682.18081734558587</v>
      </c>
      <c r="BC172" s="375">
        <f>-BC173*BC12</f>
        <v>-193.53067436507254</v>
      </c>
      <c r="BD172" s="375">
        <f>-BD173*BD12</f>
        <v>-174.72559440300361</v>
      </c>
      <c r="BE172" s="375">
        <f>-BE173*BE12</f>
        <v>-182.13924750242714</v>
      </c>
      <c r="BF172" s="375">
        <f>-BF173*BF12</f>
        <v>-165.51051295984578</v>
      </c>
      <c r="BG172" s="375">
        <f>SUM(BC172:BF172)</f>
        <v>-715.90602923034908</v>
      </c>
      <c r="BH172" s="375">
        <f>-BH173*BH12</f>
        <v>-202.4807778139415</v>
      </c>
      <c r="BI172" s="375">
        <f>-BI173*BI12</f>
        <v>-183.39989665718758</v>
      </c>
      <c r="BJ172" s="375">
        <f>-BJ173*BJ12</f>
        <v>-191.26904183955949</v>
      </c>
      <c r="BK172" s="375">
        <f>-BK173*BK12</f>
        <v>-174.58366630527377</v>
      </c>
      <c r="BL172" s="375">
        <f>SUM(BH172:BK172)</f>
        <v>-751.73338261596223</v>
      </c>
      <c r="BP172" s="375">
        <f>INDEX($Y172:$BL172, MATCH(BP$2, $Y$2:$BL$2, 0))</f>
        <v>-607.5</v>
      </c>
      <c r="BQ172" s="375">
        <f>INDEX($Y172:$BL172, MATCH(BQ$2, $Y$2:$BL$2, 0))</f>
        <v>-592.29949067331336</v>
      </c>
      <c r="BR172" s="375">
        <f t="shared" ref="BR172:BV172" si="175">INDEX($Y172:$BL172, MATCH(BR$2, $Y$2:$BL$2, 0))</f>
        <v>-631.51996195631818</v>
      </c>
      <c r="BS172" s="375">
        <f t="shared" si="175"/>
        <v>-650.86534045102599</v>
      </c>
      <c r="BT172" s="375">
        <f t="shared" si="175"/>
        <v>-682.18081734558587</v>
      </c>
      <c r="BU172" s="375">
        <f t="shared" si="175"/>
        <v>-715.90602923034908</v>
      </c>
      <c r="BV172" s="375">
        <f t="shared" si="175"/>
        <v>-751.73338261596223</v>
      </c>
    </row>
    <row r="173" spans="1:74">
      <c r="A173" s="1" t="s">
        <v>1115</v>
      </c>
      <c r="Y173" s="16">
        <f t="shared" ref="Y173:AJ173" si="176">-Y172/Y12</f>
        <v>9.1847265221878222E-2</v>
      </c>
      <c r="Z173" s="16">
        <f t="shared" si="176"/>
        <v>0.24903122029684874</v>
      </c>
      <c r="AA173" s="16">
        <f t="shared" si="176"/>
        <v>8.5126931567328923E-2</v>
      </c>
      <c r="AB173" s="16">
        <f t="shared" si="176"/>
        <v>7.8125E-2</v>
      </c>
      <c r="AC173" s="16">
        <f t="shared" si="176"/>
        <v>0.12425536401497181</v>
      </c>
      <c r="AD173" s="16">
        <f t="shared" si="176"/>
        <v>0.11585903083700441</v>
      </c>
      <c r="AE173" s="16">
        <f t="shared" si="176"/>
        <v>0.11108806857458869</v>
      </c>
      <c r="AF173" s="16">
        <f t="shared" si="176"/>
        <v>0.10137289348688919</v>
      </c>
      <c r="AG173" s="16">
        <f t="shared" si="176"/>
        <v>8.5030322374720704E-2</v>
      </c>
      <c r="AH173" s="16">
        <f t="shared" si="176"/>
        <v>0.10275710419485791</v>
      </c>
      <c r="AI173" s="16">
        <f t="shared" si="176"/>
        <v>0.1170875008743093</v>
      </c>
      <c r="AJ173" s="16">
        <f t="shared" si="176"/>
        <v>9.959444185891897E-2</v>
      </c>
      <c r="AK173" s="16">
        <f>AF173-0.25%</f>
        <v>9.8872893486889185E-2</v>
      </c>
      <c r="AL173" s="303">
        <f>AG173+0.25%</f>
        <v>8.7530322374720707E-2</v>
      </c>
      <c r="AM173" s="16">
        <f>-AM172/AM12</f>
        <v>9.6868535314652185E-2</v>
      </c>
      <c r="AN173" s="303">
        <f>AI173+0.125%</f>
        <v>0.1183375008743093</v>
      </c>
      <c r="AO173" s="303">
        <f>AJ173+0.125%</f>
        <v>0.10084444185891897</v>
      </c>
      <c r="AP173" s="303">
        <f>AK173+0.125%</f>
        <v>0.10012289348688919</v>
      </c>
      <c r="AQ173" s="303">
        <f>AL173+0.125%</f>
        <v>8.8780322374720708E-2</v>
      </c>
      <c r="AR173" s="16">
        <f>-AR172/AR12</f>
        <v>0.10160737783379378</v>
      </c>
      <c r="AS173" s="303">
        <f>AN173+0.125%</f>
        <v>0.1195875008743093</v>
      </c>
      <c r="AT173" s="303">
        <f>AO173+0.125%</f>
        <v>0.10209444185891897</v>
      </c>
      <c r="AU173" s="303">
        <f>AP173+0.125%</f>
        <v>0.10137289348688919</v>
      </c>
      <c r="AV173" s="303">
        <f>AQ173+0.125%</f>
        <v>9.0030322374720709E-2</v>
      </c>
      <c r="AW173" s="16">
        <f>-AW172/AW12</f>
        <v>0.10284531919707118</v>
      </c>
      <c r="AX173" s="303">
        <f>AS173+0.25%</f>
        <v>0.12208750087430931</v>
      </c>
      <c r="AY173" s="303">
        <f t="shared" ref="AY173:BA173" si="177">AT173+0.25%</f>
        <v>0.10459444185891897</v>
      </c>
      <c r="AZ173" s="303">
        <f t="shared" si="177"/>
        <v>0.10387289348688919</v>
      </c>
      <c r="BA173" s="303">
        <f t="shared" si="177"/>
        <v>9.2530322374720711E-2</v>
      </c>
      <c r="BB173" s="16">
        <f>-BB172/BB12</f>
        <v>0.10534430146925597</v>
      </c>
      <c r="BC173" s="303">
        <f>AX173+0.25%</f>
        <v>0.12458750087430931</v>
      </c>
      <c r="BD173" s="303">
        <f t="shared" ref="BD173:BF173" si="178">AY173+0.25%</f>
        <v>0.10709444185891898</v>
      </c>
      <c r="BE173" s="303">
        <f t="shared" si="178"/>
        <v>0.10637289348688919</v>
      </c>
      <c r="BF173" s="303">
        <f t="shared" si="178"/>
        <v>9.5030322374720713E-2</v>
      </c>
      <c r="BG173" s="16">
        <f>-BG172/BG12</f>
        <v>0.10783646290638163</v>
      </c>
      <c r="BH173" s="303">
        <f>BC173+0.25%</f>
        <v>0.12708750087430931</v>
      </c>
      <c r="BI173" s="303">
        <f t="shared" ref="BI173:BK173" si="179">BD173+0.25%</f>
        <v>0.10959444185891898</v>
      </c>
      <c r="BJ173" s="303">
        <f t="shared" si="179"/>
        <v>0.10887289348688919</v>
      </c>
      <c r="BK173" s="303">
        <f t="shared" si="179"/>
        <v>9.7530322374720715E-2</v>
      </c>
      <c r="BL173" s="16">
        <f>-BL172/BL12</f>
        <v>0.11032940314871846</v>
      </c>
    </row>
    <row r="175" spans="1:74">
      <c r="A175" s="3" t="s">
        <v>1696</v>
      </c>
    </row>
    <row r="176" spans="1:74" hidden="1" outlineLevel="1">
      <c r="A176" s="5" t="s">
        <v>1659</v>
      </c>
      <c r="AD176" s="375">
        <f t="shared" ref="AD176:AK176" si="180">AD178-AD177</f>
        <v>-140.57900000000001</v>
      </c>
      <c r="AE176" s="375">
        <f t="shared" si="180"/>
        <v>-140.69999999999999</v>
      </c>
      <c r="AF176" s="375">
        <f t="shared" si="180"/>
        <v>-121.40200000000002</v>
      </c>
      <c r="AG176" s="375">
        <f t="shared" si="180"/>
        <v>-111.97699999999999</v>
      </c>
      <c r="AH176" s="375">
        <f t="shared" si="180"/>
        <v>-514.65800000000002</v>
      </c>
      <c r="AI176" s="375">
        <f t="shared" si="180"/>
        <v>-141.86799999999999</v>
      </c>
      <c r="AJ176" s="375">
        <f t="shared" si="180"/>
        <v>-129.80000000000001</v>
      </c>
      <c r="AK176" s="375">
        <f t="shared" si="180"/>
        <v>-116.73400000000001</v>
      </c>
      <c r="AL176" s="375">
        <f>-AL181*AL25</f>
        <v>-116.44335219367649</v>
      </c>
      <c r="AM176" s="375">
        <f>SUM(AI176:AL176)</f>
        <v>-504.84535219367655</v>
      </c>
      <c r="AN176" s="375">
        <f>-AN181*AN25</f>
        <v>-147.08672609167832</v>
      </c>
      <c r="AO176" s="375">
        <f>-AO181*AO25</f>
        <v>-133.65831726640153</v>
      </c>
      <c r="AP176" s="375">
        <f>-AP181*AP25</f>
        <v>-121.45990659180474</v>
      </c>
      <c r="AQ176" s="375">
        <f>-AQ181*AQ25</f>
        <v>-120.4141733133267</v>
      </c>
      <c r="AR176" s="375">
        <f>SUM(AN176:AQ176)</f>
        <v>-522.61912326321124</v>
      </c>
      <c r="AS176" s="375">
        <f>-AS181*AS25</f>
        <v>-151.54717119723622</v>
      </c>
      <c r="AT176" s="375">
        <f>-AT181*AT25</f>
        <v>-137.96830159040019</v>
      </c>
      <c r="AU176" s="375">
        <f>-AU181*AU25</f>
        <v>-125.74880802720413</v>
      </c>
      <c r="AV176" s="375">
        <f>-AV181*AV25</f>
        <v>-124.92226982372755</v>
      </c>
      <c r="AW176" s="375">
        <f>SUM(AS176:AV176)</f>
        <v>-540.18655063856806</v>
      </c>
      <c r="AX176" s="375">
        <f>-AX181*AX25</f>
        <v>-156.81071084976142</v>
      </c>
      <c r="AY176" s="375">
        <f>-AY181*AY25</f>
        <v>-143.12353278683787</v>
      </c>
      <c r="AZ176" s="375">
        <f>-AZ181*AZ25</f>
        <v>-130.77588957014041</v>
      </c>
      <c r="BA176" s="375">
        <f>-BA181*BA25</f>
        <v>-130.30800959829511</v>
      </c>
      <c r="BB176" s="375">
        <f>SUM(AX176:BA176)</f>
        <v>-561.01814280503481</v>
      </c>
      <c r="BC176" s="375">
        <f>-BC181*BC25</f>
        <v>-161.25004204460143</v>
      </c>
      <c r="BD176" s="375">
        <f>-BD181*BD25</f>
        <v>-147.43763731689182</v>
      </c>
      <c r="BE176" s="375">
        <f>-BE181*BE25</f>
        <v>-134.87548048823808</v>
      </c>
      <c r="BF176" s="375">
        <f>-BF181*BF25</f>
        <v>-134.82058901485436</v>
      </c>
      <c r="BG176" s="375">
        <f>SUM(BC176:BF176)</f>
        <v>-578.38374886458564</v>
      </c>
      <c r="BH176" s="375">
        <f>-BH181*BH25</f>
        <v>-166.0657327153786</v>
      </c>
      <c r="BI176" s="375">
        <f>-BI181*BI25</f>
        <v>-152.21695959994949</v>
      </c>
      <c r="BJ176" s="375">
        <f>-BJ181*BJ25</f>
        <v>-139.405181742217</v>
      </c>
      <c r="BK176" s="375">
        <f>-BK181*BK25</f>
        <v>-139.86081764873722</v>
      </c>
      <c r="BL176" s="375">
        <f>SUM(BH176:BK176)</f>
        <v>-597.54869170628228</v>
      </c>
    </row>
    <row r="177" spans="1:64" hidden="1" outlineLevel="1">
      <c r="A177" s="5" t="s">
        <v>1660</v>
      </c>
      <c r="AD177" s="376">
        <v>-17.221</v>
      </c>
      <c r="AE177" s="377">
        <v>-20</v>
      </c>
      <c r="AF177" s="376">
        <f>-71.619-AE177-AD177</f>
        <v>-34.397999999999996</v>
      </c>
      <c r="AG177" s="376">
        <f>-92.842-AF177-AE177-AD177</f>
        <v>-21.223000000000003</v>
      </c>
      <c r="AH177" s="375">
        <f>SUM(AD177:AG177)</f>
        <v>-92.841999999999999</v>
      </c>
      <c r="AI177" s="376">
        <v>-25.532</v>
      </c>
      <c r="AJ177" s="377">
        <v>-20</v>
      </c>
      <c r="AK177" s="376">
        <f>-63.598-AJ177-AI177</f>
        <v>-18.065999999999999</v>
      </c>
      <c r="AL177" s="375">
        <f>AL178-AL176</f>
        <v>-23.856138479636755</v>
      </c>
      <c r="AM177" s="375">
        <f>AM178-AM176</f>
        <v>-87.454138479636811</v>
      </c>
      <c r="AN177" s="375">
        <f t="shared" ref="AN177:AQ177" si="181">AN178-AN176</f>
        <v>-25.348995178443715</v>
      </c>
      <c r="AO177" s="375">
        <f t="shared" si="181"/>
        <v>-20.585690100599976</v>
      </c>
      <c r="AP177" s="375">
        <f t="shared" si="181"/>
        <v>-39.214930244847764</v>
      </c>
      <c r="AQ177" s="375">
        <f t="shared" si="181"/>
        <v>-23.751223169215535</v>
      </c>
      <c r="AR177" s="375">
        <f>AR178-AR176</f>
        <v>-108.90083869310695</v>
      </c>
      <c r="AS177" s="375">
        <f t="shared" ref="AS177:AV177" si="182">AS178-AS176</f>
        <v>-25.634312662618981</v>
      </c>
      <c r="AT177" s="375">
        <f t="shared" si="182"/>
        <v>-21.019182865062305</v>
      </c>
      <c r="AU177" s="375">
        <f t="shared" si="182"/>
        <v>-39.787272098870076</v>
      </c>
      <c r="AV177" s="375">
        <f t="shared" si="182"/>
        <v>-24.238022185906502</v>
      </c>
      <c r="AW177" s="375">
        <f>AW178-AW176</f>
        <v>-110.67878981245792</v>
      </c>
      <c r="AX177" s="375">
        <f t="shared" ref="AX177:BA177" si="183">AX178-AX176</f>
        <v>-28.317829953656286</v>
      </c>
      <c r="AY177" s="375">
        <f t="shared" si="183"/>
        <v>-23.345434566535317</v>
      </c>
      <c r="AZ177" s="375">
        <f t="shared" si="183"/>
        <v>-42.852748067150657</v>
      </c>
      <c r="BA177" s="375">
        <f t="shared" si="183"/>
        <v>-26.646661953208792</v>
      </c>
      <c r="BB177" s="375">
        <f>BB178-BB176</f>
        <v>-121.16267454055105</v>
      </c>
      <c r="BC177" s="375">
        <f t="shared" ref="BC177:BF177" si="184">BC178-BC176</f>
        <v>-32.280632320471113</v>
      </c>
      <c r="BD177" s="375">
        <f t="shared" si="184"/>
        <v>-27.287957086111788</v>
      </c>
      <c r="BE177" s="375">
        <f t="shared" si="184"/>
        <v>-47.263767014189057</v>
      </c>
      <c r="BF177" s="375">
        <f t="shared" si="184"/>
        <v>-30.689923944991421</v>
      </c>
      <c r="BG177" s="375">
        <f>BG178-BG176</f>
        <v>-137.52228036576344</v>
      </c>
      <c r="BH177" s="375">
        <f t="shared" ref="BH177:BK177" si="185">BH178-BH176</f>
        <v>-36.415045098562899</v>
      </c>
      <c r="BI177" s="375">
        <f t="shared" si="185"/>
        <v>-31.182937057238092</v>
      </c>
      <c r="BJ177" s="375">
        <f t="shared" si="185"/>
        <v>-51.863860097342496</v>
      </c>
      <c r="BK177" s="375">
        <f t="shared" si="185"/>
        <v>-34.722848656536542</v>
      </c>
      <c r="BL177" s="375">
        <f>BL178-BL176</f>
        <v>-154.18469090967994</v>
      </c>
    </row>
    <row r="178" spans="1:64" hidden="1" outlineLevel="1">
      <c r="A178" s="9" t="s">
        <v>1697</v>
      </c>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378">
        <f t="shared" ref="AD178:AQ178" si="186">AD172</f>
        <v>-157.80000000000001</v>
      </c>
      <c r="AE178" s="378">
        <f t="shared" si="186"/>
        <v>-160.69999999999999</v>
      </c>
      <c r="AF178" s="378">
        <f t="shared" si="186"/>
        <v>-155.80000000000001</v>
      </c>
      <c r="AG178" s="378">
        <f t="shared" si="186"/>
        <v>-133.19999999999999</v>
      </c>
      <c r="AH178" s="378">
        <f t="shared" si="186"/>
        <v>-607.5</v>
      </c>
      <c r="AI178" s="378">
        <f t="shared" si="186"/>
        <v>-167.4</v>
      </c>
      <c r="AJ178" s="378">
        <f t="shared" si="186"/>
        <v>-149.80000000000001</v>
      </c>
      <c r="AK178" s="378">
        <f t="shared" si="186"/>
        <v>-134.80000000000001</v>
      </c>
      <c r="AL178" s="378">
        <f t="shared" si="186"/>
        <v>-140.29949067331324</v>
      </c>
      <c r="AM178" s="378">
        <f t="shared" si="186"/>
        <v>-592.29949067331336</v>
      </c>
      <c r="AN178" s="378">
        <f t="shared" si="186"/>
        <v>-172.43572127012203</v>
      </c>
      <c r="AO178" s="378">
        <f t="shared" si="186"/>
        <v>-154.2440073670015</v>
      </c>
      <c r="AP178" s="378">
        <f t="shared" si="186"/>
        <v>-160.6748368366525</v>
      </c>
      <c r="AQ178" s="378">
        <f t="shared" si="186"/>
        <v>-144.16539648254223</v>
      </c>
      <c r="AR178" s="378">
        <f>AR172</f>
        <v>-631.51996195631818</v>
      </c>
      <c r="AS178" s="378">
        <f t="shared" ref="AS178:AV178" si="187">AS172</f>
        <v>-177.18148385985521</v>
      </c>
      <c r="AT178" s="378">
        <f t="shared" si="187"/>
        <v>-158.98748445546249</v>
      </c>
      <c r="AU178" s="378">
        <f t="shared" si="187"/>
        <v>-165.53608012607421</v>
      </c>
      <c r="AV178" s="378">
        <f t="shared" si="187"/>
        <v>-149.16029200963405</v>
      </c>
      <c r="AW178" s="378">
        <f>AW172</f>
        <v>-650.86534045102599</v>
      </c>
      <c r="AX178" s="378">
        <f t="shared" ref="AX178:BA178" si="188">AX172</f>
        <v>-185.12854080341771</v>
      </c>
      <c r="AY178" s="378">
        <f t="shared" si="188"/>
        <v>-166.46896735337319</v>
      </c>
      <c r="AZ178" s="378">
        <f t="shared" si="188"/>
        <v>-173.62863763729106</v>
      </c>
      <c r="BA178" s="378">
        <f t="shared" si="188"/>
        <v>-156.95467155150391</v>
      </c>
      <c r="BB178" s="378">
        <f>BB172</f>
        <v>-682.18081734558587</v>
      </c>
      <c r="BC178" s="378">
        <f t="shared" ref="BC178:BF178" si="189">BC172</f>
        <v>-193.53067436507254</v>
      </c>
      <c r="BD178" s="378">
        <f t="shared" si="189"/>
        <v>-174.72559440300361</v>
      </c>
      <c r="BE178" s="378">
        <f t="shared" si="189"/>
        <v>-182.13924750242714</v>
      </c>
      <c r="BF178" s="378">
        <f t="shared" si="189"/>
        <v>-165.51051295984578</v>
      </c>
      <c r="BG178" s="378">
        <f>BG172</f>
        <v>-715.90602923034908</v>
      </c>
      <c r="BH178" s="378">
        <f t="shared" ref="BH178:BK178" si="190">BH172</f>
        <v>-202.4807778139415</v>
      </c>
      <c r="BI178" s="378">
        <f t="shared" si="190"/>
        <v>-183.39989665718758</v>
      </c>
      <c r="BJ178" s="378">
        <f t="shared" si="190"/>
        <v>-191.26904183955949</v>
      </c>
      <c r="BK178" s="378">
        <f t="shared" si="190"/>
        <v>-174.58366630527377</v>
      </c>
      <c r="BL178" s="378">
        <f>BL172</f>
        <v>-751.73338261596223</v>
      </c>
    </row>
    <row r="179" spans="1:64" hidden="1" outlineLevel="1"/>
    <row r="180" spans="1:64" hidden="1" outlineLevel="1">
      <c r="A180" s="3" t="s">
        <v>1698</v>
      </c>
    </row>
    <row r="181" spans="1:64" hidden="1" outlineLevel="1">
      <c r="A181" s="5" t="s">
        <v>1659</v>
      </c>
      <c r="AD181" s="16">
        <f t="shared" ref="AD181:AK183" si="191">-AD176/AD25</f>
        <v>0.1447030365414308</v>
      </c>
      <c r="AE181" s="16">
        <f t="shared" si="191"/>
        <v>0.13371982512830261</v>
      </c>
      <c r="AF181" s="16">
        <f t="shared" si="191"/>
        <v>0.11206683282562539</v>
      </c>
      <c r="AG181" s="16">
        <f t="shared" si="191"/>
        <v>9.8858479738677466E-2</v>
      </c>
      <c r="AH181" s="16">
        <f t="shared" si="191"/>
        <v>0.12139019270231383</v>
      </c>
      <c r="AI181" s="16">
        <f t="shared" si="191"/>
        <v>0.14198158526821456</v>
      </c>
      <c r="AJ181" s="16">
        <f t="shared" si="191"/>
        <v>0.12211873177156837</v>
      </c>
      <c r="AK181" s="16">
        <f t="shared" si="191"/>
        <v>0.10586197515189989</v>
      </c>
      <c r="AL181" s="303">
        <f>AG181+0.25%</f>
        <v>0.10135847973867747</v>
      </c>
      <c r="AM181" s="16">
        <f>-AM176/AM25</f>
        <v>0.11703500537532181</v>
      </c>
      <c r="AN181" s="303">
        <f>AI181+0.25%</f>
        <v>0.14448158526821456</v>
      </c>
      <c r="AO181" s="303">
        <f t="shared" ref="AO181:AQ181" si="192">AJ181+0.25%</f>
        <v>0.12461873177156838</v>
      </c>
      <c r="AP181" s="303">
        <f t="shared" si="192"/>
        <v>0.10836197515189989</v>
      </c>
      <c r="AQ181" s="303">
        <f t="shared" si="192"/>
        <v>0.10385847973867747</v>
      </c>
      <c r="AR181" s="16">
        <f>-AR176/AR25</f>
        <v>0.11956929637032365</v>
      </c>
      <c r="AS181" s="303">
        <f>AN181+0.25%</f>
        <v>0.14698158526821456</v>
      </c>
      <c r="AT181" s="303">
        <f t="shared" ref="AT181:AV181" si="193">AO181+0.25%</f>
        <v>0.12711873177156838</v>
      </c>
      <c r="AU181" s="303">
        <f t="shared" si="193"/>
        <v>0.1108619751518999</v>
      </c>
      <c r="AV181" s="303">
        <f t="shared" si="193"/>
        <v>0.10635847973867747</v>
      </c>
      <c r="AW181" s="16">
        <f>-AW176/AW25</f>
        <v>0.12206958493023336</v>
      </c>
      <c r="AX181" s="303">
        <f>AS181+0.25%</f>
        <v>0.14948158526821456</v>
      </c>
      <c r="AY181" s="303">
        <f t="shared" ref="AY181:BA181" si="194">AT181+0.25%</f>
        <v>0.12961873177156838</v>
      </c>
      <c r="AZ181" s="303">
        <f t="shared" si="194"/>
        <v>0.1133619751518999</v>
      </c>
      <c r="BA181" s="303">
        <f t="shared" si="194"/>
        <v>0.10885847973867747</v>
      </c>
      <c r="BB181" s="16">
        <f>-BB176/BB25</f>
        <v>0.12456349592188726</v>
      </c>
      <c r="BC181" s="303">
        <f>AX181+0.125%</f>
        <v>0.15073158526821456</v>
      </c>
      <c r="BD181" s="303">
        <f>AY181+0.125%</f>
        <v>0.13086873177156838</v>
      </c>
      <c r="BE181" s="303">
        <f>AZ181+0.125%</f>
        <v>0.1146119751518999</v>
      </c>
      <c r="BF181" s="303">
        <f>BA181+0.125%</f>
        <v>0.11010847973867748</v>
      </c>
      <c r="BG181" s="16">
        <f>-BG176/BG25</f>
        <v>0.12580055141883356</v>
      </c>
      <c r="BH181" s="303">
        <f>BC181+0.125%</f>
        <v>0.15198158526821456</v>
      </c>
      <c r="BI181" s="303">
        <f>BD181+0.125%</f>
        <v>0.13211873177156838</v>
      </c>
      <c r="BJ181" s="303">
        <f>BE181+0.125%</f>
        <v>0.1158619751518999</v>
      </c>
      <c r="BK181" s="303">
        <f>BF181+0.125%</f>
        <v>0.11135847973867748</v>
      </c>
      <c r="BL181" s="16">
        <f>-BL176/BL25</f>
        <v>0.12703141491460945</v>
      </c>
    </row>
    <row r="182" spans="1:64" hidden="1" outlineLevel="1">
      <c r="A182" s="5" t="s">
        <v>1660</v>
      </c>
      <c r="AD182" s="16">
        <f t="shared" si="191"/>
        <v>4.4099871959026891E-2</v>
      </c>
      <c r="AE182" s="16">
        <f t="shared" si="191"/>
        <v>5.0709939148073029E-2</v>
      </c>
      <c r="AF182" s="16">
        <f t="shared" si="191"/>
        <v>7.5833333333333322E-2</v>
      </c>
      <c r="AG182" s="16">
        <f t="shared" si="191"/>
        <v>4.8923467035500254E-2</v>
      </c>
      <c r="AH182" s="16">
        <f t="shared" si="191"/>
        <v>5.5517550678705979E-2</v>
      </c>
      <c r="AI182" s="16">
        <f t="shared" si="191"/>
        <v>5.9307781649245064E-2</v>
      </c>
      <c r="AJ182" s="16">
        <f t="shared" si="191"/>
        <v>4.533091568449682E-2</v>
      </c>
      <c r="AK182" s="16">
        <f t="shared" si="191"/>
        <v>3.8025678804462226E-2</v>
      </c>
      <c r="AL182" s="16">
        <f>-AL177/AL26</f>
        <v>5.254189078953387E-2</v>
      </c>
      <c r="AM182" s="16">
        <f>-AM177/AM26</f>
        <v>4.8562960333174969E-2</v>
      </c>
      <c r="AN182" s="16">
        <f t="shared" ref="AN182:AQ183" si="195">-AN177/AN26</f>
        <v>5.7726674125517519E-2</v>
      </c>
      <c r="AO182" s="16">
        <f t="shared" si="195"/>
        <v>4.5046634366265104E-2</v>
      </c>
      <c r="AP182" s="16">
        <f t="shared" si="195"/>
        <v>8.103862724402601E-2</v>
      </c>
      <c r="AQ182" s="16">
        <f t="shared" si="195"/>
        <v>5.1139734013458907E-2</v>
      </c>
      <c r="AR182" s="16">
        <f>-AR177/AR26</f>
        <v>5.9042473322888651E-2</v>
      </c>
      <c r="AS182" s="16">
        <f t="shared" ref="AS182:AV183" si="196">-AS177/AS26</f>
        <v>5.6896474775095823E-2</v>
      </c>
      <c r="AT182" s="16">
        <f t="shared" si="196"/>
        <v>4.4540747723544147E-2</v>
      </c>
      <c r="AU182" s="16">
        <f t="shared" si="196"/>
        <v>7.9788432076506655E-2</v>
      </c>
      <c r="AV182" s="16">
        <f t="shared" si="196"/>
        <v>5.0261476541850827E-2</v>
      </c>
      <c r="AW182" s="16">
        <f>-AW177/AW26</f>
        <v>5.8149456843913074E-2</v>
      </c>
      <c r="AX182" s="16">
        <f t="shared" ref="AX182:BA183" si="197">-AX177/AX26</f>
        <v>6.0595036382176885E-2</v>
      </c>
      <c r="AY182" s="16">
        <f t="shared" si="197"/>
        <v>4.7900113036787012E-2</v>
      </c>
      <c r="AZ182" s="16">
        <f t="shared" si="197"/>
        <v>8.2737583662673045E-2</v>
      </c>
      <c r="BA182" s="16">
        <f t="shared" si="197"/>
        <v>5.3377584963976273E-2</v>
      </c>
      <c r="BB182" s="16">
        <f>-BB177/BB26</f>
        <v>6.1446097451968815E-2</v>
      </c>
      <c r="BC182" s="16">
        <f t="shared" ref="BC182:BF183" si="198">-BC177/BC26</f>
        <v>6.6752231551725397E-2</v>
      </c>
      <c r="BD182" s="16">
        <f t="shared" si="198"/>
        <v>5.4046004654889873E-2</v>
      </c>
      <c r="BE182" s="16">
        <f t="shared" si="198"/>
        <v>8.8265896847318837E-2</v>
      </c>
      <c r="BF182" s="16">
        <f t="shared" si="198"/>
        <v>5.9335638849069124E-2</v>
      </c>
      <c r="BG182" s="16">
        <f>-BG177/BG26</f>
        <v>6.7373669590448326E-2</v>
      </c>
      <c r="BH182" s="16">
        <f t="shared" ref="BH182:BK183" si="199">-BH177/BH26</f>
        <v>7.2747299932895762E-2</v>
      </c>
      <c r="BI182" s="16">
        <f t="shared" si="199"/>
        <v>5.9815449074816139E-2</v>
      </c>
      <c r="BJ182" s="16">
        <f t="shared" si="199"/>
        <v>9.3683020218679483E-2</v>
      </c>
      <c r="BK182" s="16">
        <f t="shared" si="199"/>
        <v>6.5012642364517953E-2</v>
      </c>
      <c r="BL182" s="16">
        <f>-BL177/BL26</f>
        <v>7.308744684301445E-2</v>
      </c>
    </row>
    <row r="183" spans="1:64" hidden="1" outlineLevel="1">
      <c r="A183" s="9" t="s">
        <v>1697</v>
      </c>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17">
        <f t="shared" si="191"/>
        <v>0.11585903083700441</v>
      </c>
      <c r="AE183" s="17">
        <f t="shared" si="191"/>
        <v>0.11108806857458869</v>
      </c>
      <c r="AF183" s="17">
        <f t="shared" si="191"/>
        <v>0.10137289348688919</v>
      </c>
      <c r="AG183" s="17">
        <f t="shared" si="191"/>
        <v>8.5030322374720704E-2</v>
      </c>
      <c r="AH183" s="17">
        <f t="shared" si="191"/>
        <v>0.10275710419485791</v>
      </c>
      <c r="AI183" s="17">
        <f t="shared" si="191"/>
        <v>0.1170875008743093</v>
      </c>
      <c r="AJ183" s="17">
        <f t="shared" si="191"/>
        <v>9.959444185891897E-2</v>
      </c>
      <c r="AK183" s="17">
        <f t="shared" si="191"/>
        <v>8.5435416402585895E-2</v>
      </c>
      <c r="AL183" s="17">
        <f>-AL178/AL27</f>
        <v>8.7530322374720707E-2</v>
      </c>
      <c r="AM183" s="17">
        <f>-AM178/AM27</f>
        <v>9.6868535314652185E-2</v>
      </c>
      <c r="AN183" s="17">
        <f t="shared" si="195"/>
        <v>0.1183375008743093</v>
      </c>
      <c r="AO183" s="17">
        <f t="shared" si="195"/>
        <v>0.10084444185891896</v>
      </c>
      <c r="AP183" s="17">
        <f t="shared" si="195"/>
        <v>0.10012289348688917</v>
      </c>
      <c r="AQ183" s="17">
        <f t="shared" si="195"/>
        <v>8.8780322374720708E-2</v>
      </c>
      <c r="AR183" s="17">
        <f>-AR178/AR27</f>
        <v>0.10160737783379378</v>
      </c>
      <c r="AS183" s="17">
        <f t="shared" si="196"/>
        <v>0.1195875008743093</v>
      </c>
      <c r="AT183" s="17">
        <f t="shared" si="196"/>
        <v>0.10209444185891896</v>
      </c>
      <c r="AU183" s="17">
        <f t="shared" si="196"/>
        <v>0.10137289348688919</v>
      </c>
      <c r="AV183" s="17">
        <f t="shared" si="196"/>
        <v>9.0030322374720709E-2</v>
      </c>
      <c r="AW183" s="17">
        <f>-AW178/AW27</f>
        <v>0.10284531919707118</v>
      </c>
      <c r="AX183" s="17">
        <f t="shared" si="197"/>
        <v>0.12208750087430931</v>
      </c>
      <c r="AY183" s="17">
        <f t="shared" si="197"/>
        <v>0.10459444185891899</v>
      </c>
      <c r="AZ183" s="17">
        <f t="shared" si="197"/>
        <v>0.10387289348688919</v>
      </c>
      <c r="BA183" s="17">
        <f t="shared" si="197"/>
        <v>9.2530322374720711E-2</v>
      </c>
      <c r="BB183" s="17">
        <f>-BB178/BB27</f>
        <v>0.10534430146925597</v>
      </c>
      <c r="BC183" s="17">
        <f t="shared" si="198"/>
        <v>0.12458750087430932</v>
      </c>
      <c r="BD183" s="17">
        <f t="shared" si="198"/>
        <v>0.10709444185891898</v>
      </c>
      <c r="BE183" s="17">
        <f t="shared" si="198"/>
        <v>0.10637289348688919</v>
      </c>
      <c r="BF183" s="17">
        <f t="shared" si="198"/>
        <v>9.5030322374720713E-2</v>
      </c>
      <c r="BG183" s="17">
        <f>-BG178/BG27</f>
        <v>0.10783646290638163</v>
      </c>
      <c r="BH183" s="17">
        <f t="shared" si="199"/>
        <v>0.12708750087430931</v>
      </c>
      <c r="BI183" s="17">
        <f t="shared" si="199"/>
        <v>0.10959444185891898</v>
      </c>
      <c r="BJ183" s="17">
        <f t="shared" si="199"/>
        <v>0.10887289348688919</v>
      </c>
      <c r="BK183" s="17">
        <f t="shared" si="199"/>
        <v>9.7530322374720715E-2</v>
      </c>
      <c r="BL183" s="17">
        <f>-BL178/BL27</f>
        <v>0.11032940314871846</v>
      </c>
    </row>
    <row r="184" spans="1:64" collapsed="1"/>
    <row r="185" spans="1:64">
      <c r="A185" s="9" t="s">
        <v>1404</v>
      </c>
      <c r="B185" s="9"/>
      <c r="C185" s="9"/>
      <c r="D185" s="9"/>
      <c r="E185" s="9"/>
      <c r="F185" s="9"/>
      <c r="G185" s="9"/>
      <c r="H185" s="9"/>
      <c r="I185" s="9"/>
      <c r="J185" s="9"/>
      <c r="K185" s="9"/>
      <c r="L185" s="9"/>
      <c r="M185" s="9"/>
      <c r="N185" s="9"/>
      <c r="O185" s="9"/>
      <c r="P185" s="9"/>
      <c r="Q185" s="9"/>
      <c r="R185" s="9"/>
      <c r="S185" s="9"/>
      <c r="T185" s="9"/>
      <c r="U185" s="9"/>
      <c r="V185" s="9"/>
      <c r="W185" s="9"/>
      <c r="X185" s="9"/>
      <c r="Y185" s="381">
        <f t="shared" ref="Y185:BL185" si="200">Y79+Y172</f>
        <v>345.4</v>
      </c>
      <c r="Z185" s="381">
        <f t="shared" si="200"/>
        <v>137.59999999999997</v>
      </c>
      <c r="AA185" s="381">
        <f t="shared" si="200"/>
        <v>314.70000000000005</v>
      </c>
      <c r="AB185" s="381">
        <f t="shared" si="200"/>
        <v>237.10000000000002</v>
      </c>
      <c r="AC185" s="381">
        <f t="shared" si="200"/>
        <v>1034.8000000000002</v>
      </c>
      <c r="AD185" s="381">
        <f t="shared" si="200"/>
        <v>272.8</v>
      </c>
      <c r="AE185" s="381">
        <f t="shared" si="200"/>
        <v>266.90000000000003</v>
      </c>
      <c r="AF185" s="381">
        <f t="shared" si="200"/>
        <v>249.09999999999997</v>
      </c>
      <c r="AG185" s="381">
        <f t="shared" si="200"/>
        <v>170.10000000000002</v>
      </c>
      <c r="AH185" s="381">
        <f t="shared" si="200"/>
        <v>958.89999999999986</v>
      </c>
      <c r="AI185" s="381">
        <f t="shared" si="200"/>
        <v>263.5</v>
      </c>
      <c r="AJ185" s="381">
        <f t="shared" si="200"/>
        <v>309.89999999999998</v>
      </c>
      <c r="AK185" s="381">
        <f t="shared" si="200"/>
        <v>283.59999999999997</v>
      </c>
      <c r="AL185" s="381">
        <f t="shared" si="200"/>
        <v>155.87233230441689</v>
      </c>
      <c r="AM185" s="381">
        <f t="shared" si="200"/>
        <v>1012.8723323044169</v>
      </c>
      <c r="AN185" s="381">
        <f t="shared" si="200"/>
        <v>267.95046931456955</v>
      </c>
      <c r="AO185" s="381">
        <f t="shared" si="200"/>
        <v>300.74397639486358</v>
      </c>
      <c r="AP185" s="381">
        <f t="shared" si="200"/>
        <v>250.30315743980333</v>
      </c>
      <c r="AQ185" s="381">
        <f t="shared" si="200"/>
        <v>160.07206744424536</v>
      </c>
      <c r="AR185" s="381">
        <f t="shared" si="200"/>
        <v>979.06967059348176</v>
      </c>
      <c r="AS185" s="381">
        <f t="shared" si="200"/>
        <v>267.63274138224483</v>
      </c>
      <c r="AT185" s="381">
        <f t="shared" si="200"/>
        <v>296.919862497959</v>
      </c>
      <c r="AU185" s="381">
        <f t="shared" si="200"/>
        <v>249.38257232229066</v>
      </c>
      <c r="AV185" s="381">
        <f t="shared" si="200"/>
        <v>171.84475707297273</v>
      </c>
      <c r="AW185" s="381">
        <f t="shared" si="200"/>
        <v>985.7799332754671</v>
      </c>
      <c r="AX185" s="381">
        <f t="shared" si="200"/>
        <v>269.74645822416204</v>
      </c>
      <c r="AY185" s="381">
        <f t="shared" si="200"/>
        <v>306.15410452146568</v>
      </c>
      <c r="AZ185" s="381">
        <f t="shared" si="200"/>
        <v>254.3638306849447</v>
      </c>
      <c r="BA185" s="381">
        <f t="shared" si="200"/>
        <v>177.66390253590896</v>
      </c>
      <c r="BB185" s="381">
        <f t="shared" si="200"/>
        <v>1007.9282959664813</v>
      </c>
      <c r="BC185" s="381">
        <f t="shared" si="200"/>
        <v>277.17392826476896</v>
      </c>
      <c r="BD185" s="381">
        <f t="shared" si="200"/>
        <v>313.31086289407517</v>
      </c>
      <c r="BE185" s="381">
        <f t="shared" si="200"/>
        <v>264.0694543525733</v>
      </c>
      <c r="BF185" s="381">
        <f t="shared" si="200"/>
        <v>188.18888455138378</v>
      </c>
      <c r="BG185" s="381">
        <f t="shared" si="200"/>
        <v>1042.7431300628011</v>
      </c>
      <c r="BH185" s="381">
        <f t="shared" si="200"/>
        <v>288.49351528199463</v>
      </c>
      <c r="BI185" s="381">
        <f t="shared" si="200"/>
        <v>325.0388542269169</v>
      </c>
      <c r="BJ185" s="381">
        <f t="shared" si="200"/>
        <v>276.65260280916743</v>
      </c>
      <c r="BK185" s="381">
        <f t="shared" si="200"/>
        <v>200.79209128287346</v>
      </c>
      <c r="BL185" s="381">
        <f t="shared" si="200"/>
        <v>1090.9770636009525</v>
      </c>
    </row>
    <row r="186" spans="1:64">
      <c r="A186" s="1" t="s">
        <v>1699</v>
      </c>
      <c r="Y186" s="16">
        <f t="shared" ref="Y186:BL186" si="201">Y185/Y12</f>
        <v>0.25460710600029485</v>
      </c>
      <c r="Z186" s="16">
        <f t="shared" si="201"/>
        <v>0.10060685822914379</v>
      </c>
      <c r="AA186" s="16">
        <f t="shared" si="201"/>
        <v>0.2170943708609272</v>
      </c>
      <c r="AB186" s="16">
        <f t="shared" si="201"/>
        <v>0.1563159282700422</v>
      </c>
      <c r="AC186" s="16">
        <f t="shared" si="201"/>
        <v>0.18184054685715292</v>
      </c>
      <c r="AD186" s="16">
        <f t="shared" si="201"/>
        <v>0.20029368575624082</v>
      </c>
      <c r="AE186" s="16">
        <f t="shared" si="201"/>
        <v>0.18450158993502008</v>
      </c>
      <c r="AF186" s="16">
        <f t="shared" si="201"/>
        <v>0.16207951070336388</v>
      </c>
      <c r="AG186" s="16">
        <f t="shared" si="201"/>
        <v>0.10858601978933931</v>
      </c>
      <c r="AH186" s="16">
        <f t="shared" si="201"/>
        <v>0.16219553450608928</v>
      </c>
      <c r="AI186" s="16">
        <f t="shared" si="201"/>
        <v>0.18430439952437574</v>
      </c>
      <c r="AJ186" s="16">
        <f t="shared" si="201"/>
        <v>0.20603683265740311</v>
      </c>
      <c r="AK186" s="16">
        <f t="shared" si="201"/>
        <v>0.1797439472683483</v>
      </c>
      <c r="AL186" s="16">
        <f t="shared" si="201"/>
        <v>9.7245937461556159E-2</v>
      </c>
      <c r="AM186" s="16">
        <f t="shared" si="201"/>
        <v>0.16565177049119018</v>
      </c>
      <c r="AN186" s="16">
        <f t="shared" si="201"/>
        <v>0.18388642830630603</v>
      </c>
      <c r="AO186" s="16">
        <f t="shared" si="201"/>
        <v>0.19662584601948221</v>
      </c>
      <c r="AP186" s="16">
        <f t="shared" si="201"/>
        <v>0.15597387161037185</v>
      </c>
      <c r="AQ186" s="16">
        <f t="shared" si="201"/>
        <v>9.8576011287209664E-2</v>
      </c>
      <c r="AR186" s="16">
        <f t="shared" si="201"/>
        <v>0.15752582331274104</v>
      </c>
      <c r="AS186" s="16">
        <f t="shared" si="201"/>
        <v>0.18063699432248989</v>
      </c>
      <c r="AT186" s="16">
        <f t="shared" si="201"/>
        <v>0.19066826387235516</v>
      </c>
      <c r="AU186" s="16">
        <f t="shared" si="201"/>
        <v>0.15271977518290866</v>
      </c>
      <c r="AV186" s="16">
        <f t="shared" si="201"/>
        <v>0.10372223511526805</v>
      </c>
      <c r="AW186" s="16">
        <f t="shared" si="201"/>
        <v>0.15576624778564538</v>
      </c>
      <c r="AX186" s="16">
        <f t="shared" si="201"/>
        <v>0.17789083634194694</v>
      </c>
      <c r="AY186" s="16">
        <f t="shared" si="201"/>
        <v>0.19236028308666611</v>
      </c>
      <c r="AZ186" s="16">
        <f t="shared" si="201"/>
        <v>0.15217251860749326</v>
      </c>
      <c r="BA186" s="16">
        <f t="shared" si="201"/>
        <v>0.10473914547108043</v>
      </c>
      <c r="BB186" s="16">
        <f t="shared" si="201"/>
        <v>0.15564715332049128</v>
      </c>
      <c r="BC186" s="16">
        <f t="shared" si="201"/>
        <v>0.17843376582712353</v>
      </c>
      <c r="BD186" s="16">
        <f t="shared" si="201"/>
        <v>0.19203741789875098</v>
      </c>
      <c r="BE186" s="16">
        <f t="shared" si="201"/>
        <v>0.15422174147619069</v>
      </c>
      <c r="BF186" s="16">
        <f t="shared" si="201"/>
        <v>0.10805144668118949</v>
      </c>
      <c r="BG186" s="16">
        <f t="shared" si="201"/>
        <v>0.15706772435872463</v>
      </c>
      <c r="BH186" s="16">
        <f t="shared" si="201"/>
        <v>0.18107358274434987</v>
      </c>
      <c r="BI186" s="16">
        <f t="shared" si="201"/>
        <v>0.19423376163644862</v>
      </c>
      <c r="BJ186" s="16">
        <f t="shared" si="201"/>
        <v>0.15747435689973507</v>
      </c>
      <c r="BK186" s="16">
        <f t="shared" si="201"/>
        <v>0.11217153246667401</v>
      </c>
      <c r="BL186" s="16">
        <f t="shared" si="201"/>
        <v>0.16011906755712926</v>
      </c>
    </row>
    <row r="187" spans="1:64">
      <c r="A187" s="1" t="s">
        <v>28</v>
      </c>
      <c r="AD187" s="16">
        <f>AD185/Y185-1</f>
        <v>-0.21019108280254772</v>
      </c>
      <c r="AE187" s="16">
        <f t="shared" ref="AE187:AH187" si="202">AE185/Z185-1</f>
        <v>0.93968023255814037</v>
      </c>
      <c r="AF187" s="16">
        <f t="shared" si="202"/>
        <v>-0.20845249443914859</v>
      </c>
      <c r="AG187" s="16">
        <f t="shared" si="202"/>
        <v>-0.28258118937157317</v>
      </c>
      <c r="AH187" s="16">
        <f t="shared" si="202"/>
        <v>-7.3347506764592452E-2</v>
      </c>
      <c r="AI187" s="16">
        <f>AI185/AD185-1</f>
        <v>-3.4090909090909172E-2</v>
      </c>
      <c r="AJ187" s="16">
        <f t="shared" ref="AJ187:AM187" si="203">AJ185/AE185-1</f>
        <v>0.16110902959910045</v>
      </c>
      <c r="AK187" s="16">
        <f t="shared" si="203"/>
        <v>0.13849859494179051</v>
      </c>
      <c r="AL187" s="16">
        <f t="shared" si="203"/>
        <v>-8.3642961173328256E-2</v>
      </c>
      <c r="AM187" s="16">
        <f t="shared" si="203"/>
        <v>5.6285673484635534E-2</v>
      </c>
      <c r="AN187" s="16">
        <f>AN185/AI185-1</f>
        <v>1.6889826620757331E-2</v>
      </c>
      <c r="AO187" s="16">
        <f t="shared" ref="AO187:AR187" si="204">AO185/AJ185-1</f>
        <v>-2.9545090690985432E-2</v>
      </c>
      <c r="AP187" s="16">
        <f t="shared" si="204"/>
        <v>-0.11740776643228712</v>
      </c>
      <c r="AQ187" s="16">
        <f t="shared" si="204"/>
        <v>2.6943429136778718E-2</v>
      </c>
      <c r="AR187" s="16">
        <f t="shared" si="204"/>
        <v>-3.3373072432563822E-2</v>
      </c>
      <c r="AS187" s="16">
        <f>AS185/AN185-1</f>
        <v>-1.1857711357531331E-3</v>
      </c>
      <c r="AT187" s="16">
        <f t="shared" ref="AT187:AW187" si="205">AT185/AO185-1</f>
        <v>-1.2715512851647848E-2</v>
      </c>
      <c r="AU187" s="16">
        <f t="shared" si="205"/>
        <v>-3.6778805626296318E-3</v>
      </c>
      <c r="AV187" s="16">
        <f t="shared" si="205"/>
        <v>7.3546183395350351E-2</v>
      </c>
      <c r="AW187" s="16">
        <f t="shared" si="205"/>
        <v>6.8537131559982534E-3</v>
      </c>
      <c r="AX187" s="16">
        <f>AX185/AS185-1</f>
        <v>7.8978260694131386E-3</v>
      </c>
      <c r="AY187" s="16">
        <f t="shared" ref="AY187:BB187" si="206">AY185/AT185-1</f>
        <v>3.1100115518779559E-2</v>
      </c>
      <c r="AZ187" s="16">
        <f t="shared" si="206"/>
        <v>1.9974364352199014E-2</v>
      </c>
      <c r="BA187" s="16">
        <f t="shared" si="206"/>
        <v>3.3862804789936973E-2</v>
      </c>
      <c r="BB187" s="16">
        <f t="shared" si="206"/>
        <v>2.246785711839494E-2</v>
      </c>
      <c r="BC187" s="16">
        <f>BC185/AX185-1</f>
        <v>2.7535004869033708E-2</v>
      </c>
      <c r="BD187" s="16">
        <f t="shared" ref="BD187:BG187" si="207">BD185/AY185-1</f>
        <v>2.3376326715579543E-2</v>
      </c>
      <c r="BE187" s="16">
        <f t="shared" si="207"/>
        <v>3.8156461323504809E-2</v>
      </c>
      <c r="BF187" s="16">
        <f t="shared" si="207"/>
        <v>5.9240970536192927E-2</v>
      </c>
      <c r="BG187" s="16">
        <f t="shared" si="207"/>
        <v>3.4540982960436395E-2</v>
      </c>
      <c r="BH187" s="16">
        <f>BH185/BC185-1</f>
        <v>4.0839292093925561E-2</v>
      </c>
      <c r="BI187" s="16">
        <f t="shared" ref="BI187:BL187" si="208">BI185/BD185-1</f>
        <v>3.7432444009471766E-2</v>
      </c>
      <c r="BJ187" s="16">
        <f t="shared" si="208"/>
        <v>4.7650904900926827E-2</v>
      </c>
      <c r="BK187" s="16">
        <f t="shared" si="208"/>
        <v>6.6971047527774941E-2</v>
      </c>
      <c r="BL187" s="16">
        <f t="shared" si="208"/>
        <v>4.6256774221323793E-2</v>
      </c>
    </row>
    <row r="189" spans="1:64">
      <c r="A189" s="3" t="s">
        <v>1700</v>
      </c>
    </row>
    <row r="190" spans="1:64" hidden="1" outlineLevel="1">
      <c r="A190" s="5" t="s">
        <v>1659</v>
      </c>
      <c r="AD190" s="398">
        <f t="shared" ref="AD190:BL192" si="209">AD93+AD176</f>
        <v>203.52100000000002</v>
      </c>
      <c r="AE190" s="398">
        <f t="shared" si="209"/>
        <v>206.3</v>
      </c>
      <c r="AF190" s="398">
        <f t="shared" si="209"/>
        <v>189.89799999999994</v>
      </c>
      <c r="AG190" s="398">
        <f t="shared" si="209"/>
        <v>119.42299999999999</v>
      </c>
      <c r="AH190" s="398">
        <f t="shared" si="209"/>
        <v>719.14199999999971</v>
      </c>
      <c r="AI190" s="398">
        <f t="shared" si="209"/>
        <v>189.13200000000001</v>
      </c>
      <c r="AJ190" s="398">
        <f t="shared" si="209"/>
        <v>226.49999999999994</v>
      </c>
      <c r="AK190" s="398">
        <f t="shared" si="209"/>
        <v>191.86599999999996</v>
      </c>
      <c r="AL190" s="398">
        <f t="shared" si="209"/>
        <v>99.408877020218299</v>
      </c>
      <c r="AM190" s="398">
        <f t="shared" si="209"/>
        <v>706.90687702021842</v>
      </c>
      <c r="AN190" s="398">
        <f t="shared" si="209"/>
        <v>184.9558250086701</v>
      </c>
      <c r="AO190" s="398">
        <f t="shared" si="209"/>
        <v>210.605494111567</v>
      </c>
      <c r="AP190" s="398">
        <f t="shared" si="209"/>
        <v>180.54419490242503</v>
      </c>
      <c r="AQ190" s="398">
        <f t="shared" si="209"/>
        <v>100.69328627717616</v>
      </c>
      <c r="AR190" s="398">
        <f t="shared" si="209"/>
        <v>676.79880029983826</v>
      </c>
      <c r="AS190" s="398">
        <f t="shared" si="209"/>
        <v>179.76880934914058</v>
      </c>
      <c r="AT190" s="398">
        <f t="shared" si="209"/>
        <v>205.13438772496772</v>
      </c>
      <c r="AU190" s="398">
        <f t="shared" si="209"/>
        <v>175.33080690691003</v>
      </c>
      <c r="AV190" s="398">
        <f t="shared" si="209"/>
        <v>100.00019088870978</v>
      </c>
      <c r="AW190" s="398">
        <f t="shared" si="209"/>
        <v>660.23419486972796</v>
      </c>
      <c r="AX190" s="398">
        <f t="shared" si="209"/>
        <v>177.98876034537832</v>
      </c>
      <c r="AY190" s="398">
        <f t="shared" si="209"/>
        <v>203.24849447394473</v>
      </c>
      <c r="AZ190" s="398">
        <f t="shared" si="209"/>
        <v>174.05551456009977</v>
      </c>
      <c r="BA190" s="398">
        <f t="shared" si="209"/>
        <v>101.88235553487519</v>
      </c>
      <c r="BB190" s="398">
        <f t="shared" si="209"/>
        <v>657.17512491429784</v>
      </c>
      <c r="BC190" s="398">
        <f t="shared" si="209"/>
        <v>180.4512652610567</v>
      </c>
      <c r="BD190" s="398">
        <f t="shared" si="209"/>
        <v>206.47155872834946</v>
      </c>
      <c r="BE190" s="398">
        <f t="shared" si="209"/>
        <v>177.88188958506967</v>
      </c>
      <c r="BF190" s="398">
        <f t="shared" si="209"/>
        <v>106.82949557715781</v>
      </c>
      <c r="BG190" s="398">
        <f t="shared" si="209"/>
        <v>671.63420915163374</v>
      </c>
      <c r="BH190" s="398">
        <f t="shared" si="209"/>
        <v>185.23848680806276</v>
      </c>
      <c r="BI190" s="398">
        <f t="shared" si="209"/>
        <v>212.39571483165926</v>
      </c>
      <c r="BJ190" s="398">
        <f t="shared" si="209"/>
        <v>184.75506656651413</v>
      </c>
      <c r="BK190" s="398">
        <f t="shared" si="209"/>
        <v>112.91817055506601</v>
      </c>
      <c r="BL190" s="398">
        <f t="shared" si="209"/>
        <v>695.30743876130225</v>
      </c>
    </row>
    <row r="191" spans="1:64" hidden="1" outlineLevel="1">
      <c r="A191" s="5" t="s">
        <v>1660</v>
      </c>
      <c r="AD191" s="398">
        <f t="shared" si="209"/>
        <v>69.278999999999996</v>
      </c>
      <c r="AE191" s="398">
        <f t="shared" si="209"/>
        <v>60.599999999999994</v>
      </c>
      <c r="AF191" s="398">
        <f t="shared" si="209"/>
        <v>59.201999999999998</v>
      </c>
      <c r="AG191" s="398">
        <f t="shared" si="209"/>
        <v>50.677000000000035</v>
      </c>
      <c r="AH191" s="398">
        <f t="shared" si="209"/>
        <v>239.75800000000004</v>
      </c>
      <c r="AI191" s="398">
        <f t="shared" si="209"/>
        <v>74.368000000000009</v>
      </c>
      <c r="AJ191" s="398">
        <f t="shared" si="209"/>
        <v>83.4</v>
      </c>
      <c r="AK191" s="398">
        <f t="shared" si="209"/>
        <v>91.734000000000009</v>
      </c>
      <c r="AL191" s="398">
        <f t="shared" si="209"/>
        <v>56.463455284198588</v>
      </c>
      <c r="AM191" s="398">
        <f t="shared" si="209"/>
        <v>305.96545528419853</v>
      </c>
      <c r="AN191" s="398">
        <f t="shared" si="209"/>
        <v>82.994644305899428</v>
      </c>
      <c r="AO191" s="398">
        <f t="shared" si="209"/>
        <v>90.138482283296597</v>
      </c>
      <c r="AP191" s="398">
        <f t="shared" si="209"/>
        <v>69.758962537378324</v>
      </c>
      <c r="AQ191" s="398">
        <f t="shared" si="209"/>
        <v>59.378781167069221</v>
      </c>
      <c r="AR191" s="398">
        <f t="shared" si="209"/>
        <v>302.27087029364361</v>
      </c>
      <c r="AS191" s="398">
        <f t="shared" si="209"/>
        <v>87.863932033104277</v>
      </c>
      <c r="AT191" s="398">
        <f t="shared" si="209"/>
        <v>91.785474772991307</v>
      </c>
      <c r="AU191" s="398">
        <f t="shared" si="209"/>
        <v>74.051765415380657</v>
      </c>
      <c r="AV191" s="398">
        <f t="shared" si="209"/>
        <v>71.844566184262945</v>
      </c>
      <c r="AW191" s="398">
        <f t="shared" si="209"/>
        <v>325.54573840573914</v>
      </c>
      <c r="AX191" s="398">
        <f t="shared" si="209"/>
        <v>91.757697878783745</v>
      </c>
      <c r="AY191" s="398">
        <f t="shared" si="209"/>
        <v>102.90561004752091</v>
      </c>
      <c r="AZ191" s="398">
        <f t="shared" si="209"/>
        <v>80.308316124844936</v>
      </c>
      <c r="BA191" s="398">
        <f t="shared" si="209"/>
        <v>75.781547001033772</v>
      </c>
      <c r="BB191" s="398">
        <f t="shared" si="209"/>
        <v>350.75317105218335</v>
      </c>
      <c r="BC191" s="398">
        <f t="shared" si="209"/>
        <v>96.722663003712199</v>
      </c>
      <c r="BD191" s="398">
        <f t="shared" si="209"/>
        <v>106.83930416572565</v>
      </c>
      <c r="BE191" s="398">
        <f t="shared" si="209"/>
        <v>86.187564767503659</v>
      </c>
      <c r="BF191" s="398">
        <f t="shared" si="209"/>
        <v>81.359388974225965</v>
      </c>
      <c r="BG191" s="398">
        <f t="shared" si="209"/>
        <v>371.10892091116739</v>
      </c>
      <c r="BH191" s="398">
        <f t="shared" si="209"/>
        <v>103.25502847393182</v>
      </c>
      <c r="BI191" s="398">
        <f t="shared" si="209"/>
        <v>112.64313939525763</v>
      </c>
      <c r="BJ191" s="398">
        <f t="shared" si="209"/>
        <v>91.897536242653331</v>
      </c>
      <c r="BK191" s="398">
        <f t="shared" si="209"/>
        <v>87.87392072780743</v>
      </c>
      <c r="BL191" s="398">
        <f t="shared" si="209"/>
        <v>395.66962483965028</v>
      </c>
    </row>
    <row r="192" spans="1:64" hidden="1" outlineLevel="1">
      <c r="A192" s="9" t="s">
        <v>1701</v>
      </c>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381">
        <f t="shared" si="209"/>
        <v>272.8</v>
      </c>
      <c r="AE192" s="381">
        <f t="shared" si="209"/>
        <v>266.90000000000003</v>
      </c>
      <c r="AF192" s="381">
        <f t="shared" si="209"/>
        <v>249.09999999999997</v>
      </c>
      <c r="AG192" s="381">
        <f t="shared" si="209"/>
        <v>170.10000000000002</v>
      </c>
      <c r="AH192" s="381">
        <f t="shared" si="209"/>
        <v>958.89999999999986</v>
      </c>
      <c r="AI192" s="381">
        <f t="shared" si="209"/>
        <v>263.5</v>
      </c>
      <c r="AJ192" s="381">
        <f t="shared" si="209"/>
        <v>309.89999999999998</v>
      </c>
      <c r="AK192" s="381">
        <f t="shared" si="209"/>
        <v>283.59999999999997</v>
      </c>
      <c r="AL192" s="381">
        <f t="shared" si="209"/>
        <v>155.87233230441689</v>
      </c>
      <c r="AM192" s="381">
        <f t="shared" si="209"/>
        <v>1012.8723323044169</v>
      </c>
      <c r="AN192" s="381">
        <f t="shared" si="209"/>
        <v>267.95046931456955</v>
      </c>
      <c r="AO192" s="381">
        <f t="shared" si="209"/>
        <v>300.74397639486358</v>
      </c>
      <c r="AP192" s="381">
        <f t="shared" si="209"/>
        <v>250.30315743980333</v>
      </c>
      <c r="AQ192" s="381">
        <f t="shared" si="209"/>
        <v>160.07206744424536</v>
      </c>
      <c r="AR192" s="381">
        <f t="shared" si="209"/>
        <v>979.06967059348176</v>
      </c>
      <c r="AS192" s="381">
        <f t="shared" si="209"/>
        <v>267.63274138224483</v>
      </c>
      <c r="AT192" s="381">
        <f t="shared" si="209"/>
        <v>296.919862497959</v>
      </c>
      <c r="AU192" s="381">
        <f t="shared" si="209"/>
        <v>249.38257232229066</v>
      </c>
      <c r="AV192" s="381">
        <f t="shared" si="209"/>
        <v>171.84475707297273</v>
      </c>
      <c r="AW192" s="381">
        <f t="shared" si="209"/>
        <v>985.7799332754671</v>
      </c>
      <c r="AX192" s="381">
        <f t="shared" si="209"/>
        <v>269.74645822416204</v>
      </c>
      <c r="AY192" s="381">
        <f t="shared" si="209"/>
        <v>306.15410452146568</v>
      </c>
      <c r="AZ192" s="381">
        <f t="shared" si="209"/>
        <v>254.3638306849447</v>
      </c>
      <c r="BA192" s="381">
        <f t="shared" si="209"/>
        <v>177.66390253590896</v>
      </c>
      <c r="BB192" s="381">
        <f t="shared" si="209"/>
        <v>1007.9282959664813</v>
      </c>
      <c r="BC192" s="381">
        <f t="shared" si="209"/>
        <v>277.17392826476896</v>
      </c>
      <c r="BD192" s="381">
        <f t="shared" si="209"/>
        <v>313.31086289407517</v>
      </c>
      <c r="BE192" s="381">
        <f t="shared" si="209"/>
        <v>264.0694543525733</v>
      </c>
      <c r="BF192" s="381">
        <f t="shared" si="209"/>
        <v>188.18888455138378</v>
      </c>
      <c r="BG192" s="381">
        <f t="shared" si="209"/>
        <v>1042.7431300628011</v>
      </c>
      <c r="BH192" s="381">
        <f t="shared" si="209"/>
        <v>288.49351528199463</v>
      </c>
      <c r="BI192" s="381">
        <f t="shared" si="209"/>
        <v>325.0388542269169</v>
      </c>
      <c r="BJ192" s="381">
        <f t="shared" si="209"/>
        <v>276.65260280916743</v>
      </c>
      <c r="BK192" s="381">
        <f t="shared" si="209"/>
        <v>200.79209128287346</v>
      </c>
      <c r="BL192" s="381">
        <f t="shared" si="209"/>
        <v>1090.9770636009525</v>
      </c>
    </row>
    <row r="193" spans="1:66" hidden="1" outlineLevel="1"/>
    <row r="194" spans="1:66" hidden="1" outlineLevel="1">
      <c r="A194" s="3" t="s">
        <v>1702</v>
      </c>
    </row>
    <row r="195" spans="1:66" s="79" customFormat="1" hidden="1" outlineLevel="1">
      <c r="A195" s="165" t="s">
        <v>1659</v>
      </c>
      <c r="AD195" s="119">
        <f>AD190/AD25</f>
        <v>0.20949150797735464</v>
      </c>
      <c r="AE195" s="119">
        <f t="shared" ref="AE195:AH197" si="210">AE190/AE25</f>
        <v>0.19606538680859156</v>
      </c>
      <c r="AF195" s="119">
        <f t="shared" si="210"/>
        <v>0.17529585525708474</v>
      </c>
      <c r="AG195" s="119">
        <f t="shared" si="210"/>
        <v>0.10543215326211702</v>
      </c>
      <c r="AH195" s="119">
        <f t="shared" si="210"/>
        <v>0.16962096374743485</v>
      </c>
      <c r="AI195" s="119">
        <f>AI190/AI25</f>
        <v>0.18928342674139312</v>
      </c>
      <c r="AJ195" s="119">
        <f t="shared" ref="AJ195:AM197" si="211">AJ190/AJ25</f>
        <v>0.21309624611910807</v>
      </c>
      <c r="AK195" s="119">
        <f t="shared" si="211"/>
        <v>0.1739965539131223</v>
      </c>
      <c r="AL195" s="119">
        <f t="shared" si="211"/>
        <v>8.6530767600536795E-2</v>
      </c>
      <c r="AM195" s="119">
        <f t="shared" si="211"/>
        <v>0.16387761082164815</v>
      </c>
      <c r="AN195" s="119">
        <f>AN190/AN25</f>
        <v>0.18167996196466452</v>
      </c>
      <c r="AO195" s="119">
        <f t="shared" ref="AO195:AR197" si="212">AO190/AO25</f>
        <v>0.19636181359366439</v>
      </c>
      <c r="AP195" s="119">
        <f t="shared" si="212"/>
        <v>0.1610747621236554</v>
      </c>
      <c r="AQ195" s="119">
        <f t="shared" si="212"/>
        <v>8.6849009089875459E-2</v>
      </c>
      <c r="AR195" s="119">
        <f t="shared" si="212"/>
        <v>0.15484384848155319</v>
      </c>
      <c r="AS195" s="119">
        <f>AS190/AS25</f>
        <v>0.17435300422419225</v>
      </c>
      <c r="AT195" s="119">
        <f t="shared" ref="AT195:AW197" si="213">AT190/AT25</f>
        <v>0.1890030022095269</v>
      </c>
      <c r="AU195" s="119">
        <f t="shared" si="213"/>
        <v>0.15457418534314346</v>
      </c>
      <c r="AV195" s="119">
        <f t="shared" si="213"/>
        <v>8.513988972109246E-2</v>
      </c>
      <c r="AW195" s="119">
        <f t="shared" si="213"/>
        <v>0.14919755782372165</v>
      </c>
      <c r="AX195" s="119">
        <f>AX190/AX25</f>
        <v>0.169669800692648</v>
      </c>
      <c r="AY195" s="119">
        <f t="shared" ref="AY195:BB197" si="214">AY190/AY25</f>
        <v>0.18407044303070821</v>
      </c>
      <c r="AZ195" s="119">
        <f t="shared" si="214"/>
        <v>0.15087855247224677</v>
      </c>
      <c r="BA195" s="119">
        <f t="shared" si="214"/>
        <v>8.511186971477655E-2</v>
      </c>
      <c r="BB195" s="119">
        <f t="shared" si="214"/>
        <v>0.145913339955346</v>
      </c>
      <c r="BC195" s="119">
        <f>BC190/BC25</f>
        <v>0.16868029881772553</v>
      </c>
      <c r="BD195" s="119">
        <f t="shared" ref="BD195:BG197" si="215">BD190/BD25</f>
        <v>0.18326847560370024</v>
      </c>
      <c r="BE195" s="119">
        <f t="shared" si="215"/>
        <v>0.15115716092573922</v>
      </c>
      <c r="BF195" s="119">
        <f t="shared" si="215"/>
        <v>8.7248048945659198E-2</v>
      </c>
      <c r="BG195" s="119">
        <f t="shared" si="215"/>
        <v>0.14608286285514124</v>
      </c>
      <c r="BH195" s="119">
        <f>BH190/BH25</f>
        <v>0.1695282850798967</v>
      </c>
      <c r="BI195" s="119">
        <f t="shared" ref="BI195:BL197" si="216">BI190/BI25</f>
        <v>0.18435168164588558</v>
      </c>
      <c r="BJ195" s="119">
        <f t="shared" si="216"/>
        <v>0.15355302194792467</v>
      </c>
      <c r="BK195" s="119">
        <f t="shared" si="216"/>
        <v>8.9906494322560385E-2</v>
      </c>
      <c r="BL195" s="119">
        <f t="shared" si="216"/>
        <v>0.14781370785749606</v>
      </c>
      <c r="BN195" s="46"/>
    </row>
    <row r="196" spans="1:66" s="79" customFormat="1" hidden="1" outlineLevel="1">
      <c r="A196" s="165" t="s">
        <v>1660</v>
      </c>
      <c r="AD196" s="119">
        <f>AD191/AD26</f>
        <v>0.17741101152368757</v>
      </c>
      <c r="AE196" s="119">
        <f t="shared" si="210"/>
        <v>0.15365111561866127</v>
      </c>
      <c r="AF196" s="119">
        <f t="shared" si="210"/>
        <v>0.130515873015873</v>
      </c>
      <c r="AG196" s="119">
        <f t="shared" si="210"/>
        <v>0.11682111572153078</v>
      </c>
      <c r="AH196" s="119">
        <f t="shared" si="210"/>
        <v>0.14337020869461226</v>
      </c>
      <c r="AI196" s="119">
        <f>AI191/AI26</f>
        <v>0.17274796747967483</v>
      </c>
      <c r="AJ196" s="119">
        <f t="shared" si="211"/>
        <v>0.18902991840435177</v>
      </c>
      <c r="AK196" s="119">
        <f t="shared" si="211"/>
        <v>0.19308356135550417</v>
      </c>
      <c r="AL196" s="119">
        <f t="shared" si="211"/>
        <v>0.12435779175554416</v>
      </c>
      <c r="AM196" s="119">
        <f t="shared" si="211"/>
        <v>0.16990148810108158</v>
      </c>
      <c r="AN196" s="119">
        <f>AN191/AN26</f>
        <v>0.18900176327636331</v>
      </c>
      <c r="AO196" s="119">
        <f t="shared" si="212"/>
        <v>0.19724552511491386</v>
      </c>
      <c r="AP196" s="119">
        <f t="shared" si="212"/>
        <v>0.14415862852999251</v>
      </c>
      <c r="AQ196" s="119">
        <f t="shared" si="212"/>
        <v>0.12785089228007104</v>
      </c>
      <c r="AR196" s="119">
        <f t="shared" si="212"/>
        <v>0.16388138061904964</v>
      </c>
      <c r="AS196" s="119">
        <f>AS191/AS26</f>
        <v>0.19501782857834205</v>
      </c>
      <c r="AT196" s="119">
        <f t="shared" si="213"/>
        <v>0.19449822111519144</v>
      </c>
      <c r="AU196" s="119">
        <f t="shared" si="213"/>
        <v>0.14850161730887551</v>
      </c>
      <c r="AV196" s="119">
        <f t="shared" si="213"/>
        <v>0.14898137934824773</v>
      </c>
      <c r="AW196" s="119">
        <f t="shared" si="213"/>
        <v>0.17103826214779916</v>
      </c>
      <c r="AX196" s="119">
        <f>AX191/AX26</f>
        <v>0.19634488413868742</v>
      </c>
      <c r="AY196" s="119">
        <f t="shared" si="214"/>
        <v>0.21114151203086023</v>
      </c>
      <c r="AZ196" s="119">
        <f t="shared" si="214"/>
        <v>0.15505460732123258</v>
      </c>
      <c r="BA196" s="119">
        <f t="shared" si="214"/>
        <v>0.15180272751807616</v>
      </c>
      <c r="BB196" s="119">
        <f t="shared" si="214"/>
        <v>0.17787997509782871</v>
      </c>
      <c r="BC196" s="119">
        <f>BC191/BC26</f>
        <v>0.20001013403411153</v>
      </c>
      <c r="BD196" s="119">
        <f t="shared" si="215"/>
        <v>0.21160387756563878</v>
      </c>
      <c r="BE196" s="119">
        <f t="shared" si="215"/>
        <v>0.16095675782690502</v>
      </c>
      <c r="BF196" s="119">
        <f t="shared" si="215"/>
        <v>0.15729955309789734</v>
      </c>
      <c r="BG196" s="119">
        <f t="shared" si="215"/>
        <v>0.18181032013894216</v>
      </c>
      <c r="BH196" s="119">
        <f>BH191/BH26</f>
        <v>0.20627530477146788</v>
      </c>
      <c r="BI196" s="119">
        <f t="shared" si="216"/>
        <v>0.21607329533317615</v>
      </c>
      <c r="BJ196" s="119">
        <f t="shared" si="216"/>
        <v>0.16599687585360542</v>
      </c>
      <c r="BK196" s="119">
        <f t="shared" si="216"/>
        <v>0.16452900618709734</v>
      </c>
      <c r="BL196" s="119">
        <f t="shared" si="216"/>
        <v>0.1875574189775015</v>
      </c>
      <c r="BN196" s="46"/>
    </row>
    <row r="197" spans="1:66" s="79" customFormat="1" hidden="1" outlineLevel="1">
      <c r="A197" s="314" t="s">
        <v>1701</v>
      </c>
      <c r="B197" s="314"/>
      <c r="C197" s="314"/>
      <c r="D197" s="314"/>
      <c r="E197" s="314"/>
      <c r="F197" s="314"/>
      <c r="G197" s="314"/>
      <c r="H197" s="314"/>
      <c r="I197" s="314"/>
      <c r="J197" s="314"/>
      <c r="K197" s="314"/>
      <c r="L197" s="314"/>
      <c r="M197" s="314"/>
      <c r="N197" s="314"/>
      <c r="O197" s="314"/>
      <c r="P197" s="314"/>
      <c r="Q197" s="314"/>
      <c r="R197" s="314"/>
      <c r="S197" s="314"/>
      <c r="T197" s="314"/>
      <c r="U197" s="314"/>
      <c r="V197" s="314"/>
      <c r="W197" s="314"/>
      <c r="X197" s="314"/>
      <c r="Y197" s="314"/>
      <c r="Z197" s="314"/>
      <c r="AA197" s="314"/>
      <c r="AB197" s="314"/>
      <c r="AC197" s="314"/>
      <c r="AD197" s="315">
        <f>AD192/AD27</f>
        <v>0.20029368575624082</v>
      </c>
      <c r="AE197" s="315">
        <f t="shared" si="210"/>
        <v>0.18450158993502008</v>
      </c>
      <c r="AF197" s="315">
        <f t="shared" si="210"/>
        <v>0.16207951070336388</v>
      </c>
      <c r="AG197" s="315">
        <f t="shared" si="210"/>
        <v>0.10858601978933931</v>
      </c>
      <c r="AH197" s="315">
        <f t="shared" si="210"/>
        <v>0.16219553450608928</v>
      </c>
      <c r="AI197" s="315">
        <f>AI192/AI27</f>
        <v>0.18430439952437574</v>
      </c>
      <c r="AJ197" s="315">
        <f t="shared" si="211"/>
        <v>0.20603683265740311</v>
      </c>
      <c r="AK197" s="315">
        <f t="shared" si="211"/>
        <v>0.1797439472683483</v>
      </c>
      <c r="AL197" s="315">
        <f t="shared" si="211"/>
        <v>9.7245937461556159E-2</v>
      </c>
      <c r="AM197" s="315">
        <f t="shared" si="211"/>
        <v>0.16565177049119018</v>
      </c>
      <c r="AN197" s="315">
        <f>AN192/AN27</f>
        <v>0.18388642830630603</v>
      </c>
      <c r="AO197" s="315">
        <f t="shared" si="212"/>
        <v>0.19662584601948221</v>
      </c>
      <c r="AP197" s="315">
        <f t="shared" si="212"/>
        <v>0.15597387161037185</v>
      </c>
      <c r="AQ197" s="315">
        <f t="shared" si="212"/>
        <v>9.8576011287209664E-2</v>
      </c>
      <c r="AR197" s="315">
        <f t="shared" si="212"/>
        <v>0.15752582331274104</v>
      </c>
      <c r="AS197" s="315">
        <f>AS192/AS27</f>
        <v>0.18063699432248989</v>
      </c>
      <c r="AT197" s="315">
        <f t="shared" si="213"/>
        <v>0.19066826387235516</v>
      </c>
      <c r="AU197" s="315">
        <f t="shared" si="213"/>
        <v>0.15271977518290866</v>
      </c>
      <c r="AV197" s="315">
        <f t="shared" si="213"/>
        <v>0.10372223511526805</v>
      </c>
      <c r="AW197" s="315">
        <f t="shared" si="213"/>
        <v>0.15576624778564538</v>
      </c>
      <c r="AX197" s="315">
        <f>AX192/AX27</f>
        <v>0.17789083634194694</v>
      </c>
      <c r="AY197" s="315">
        <f t="shared" si="214"/>
        <v>0.19236028308666611</v>
      </c>
      <c r="AZ197" s="315">
        <f t="shared" si="214"/>
        <v>0.15217251860749326</v>
      </c>
      <c r="BA197" s="315">
        <f t="shared" si="214"/>
        <v>0.10473914547108043</v>
      </c>
      <c r="BB197" s="315">
        <f t="shared" si="214"/>
        <v>0.15564715332049128</v>
      </c>
      <c r="BC197" s="315">
        <f>BC192/BC27</f>
        <v>0.17843376582712353</v>
      </c>
      <c r="BD197" s="315">
        <f t="shared" si="215"/>
        <v>0.19203741789875098</v>
      </c>
      <c r="BE197" s="315">
        <f t="shared" si="215"/>
        <v>0.15422174147619069</v>
      </c>
      <c r="BF197" s="315">
        <f t="shared" si="215"/>
        <v>0.10805144668118949</v>
      </c>
      <c r="BG197" s="315">
        <f t="shared" si="215"/>
        <v>0.15706772435872463</v>
      </c>
      <c r="BH197" s="315">
        <f>BH192/BH27</f>
        <v>0.18107358274434987</v>
      </c>
      <c r="BI197" s="315">
        <f t="shared" si="216"/>
        <v>0.19423376163644862</v>
      </c>
      <c r="BJ197" s="315">
        <f t="shared" si="216"/>
        <v>0.15747435689973507</v>
      </c>
      <c r="BK197" s="315">
        <f t="shared" si="216"/>
        <v>0.11217153246667401</v>
      </c>
      <c r="BL197" s="315">
        <f t="shared" si="216"/>
        <v>0.16011906755712926</v>
      </c>
      <c r="BN197" s="46"/>
    </row>
    <row r="198" spans="1:66" collapsed="1"/>
    <row r="199" spans="1:66">
      <c r="A199" s="9" t="s">
        <v>1405</v>
      </c>
      <c r="B199" s="9"/>
      <c r="C199" s="9"/>
      <c r="D199" s="9"/>
      <c r="E199" s="9"/>
      <c r="F199" s="9"/>
      <c r="G199" s="9"/>
      <c r="H199" s="9"/>
      <c r="I199" s="9"/>
      <c r="J199" s="9"/>
      <c r="K199" s="9"/>
      <c r="L199" s="9"/>
      <c r="M199" s="9"/>
      <c r="N199" s="9"/>
      <c r="O199" s="9"/>
      <c r="P199" s="9"/>
      <c r="Q199" s="9"/>
      <c r="R199" s="9"/>
      <c r="S199" s="9"/>
      <c r="T199" s="9"/>
      <c r="U199" s="9"/>
      <c r="V199" s="9"/>
      <c r="W199" s="9"/>
      <c r="X199" s="9"/>
      <c r="Y199" s="381">
        <f t="shared" ref="Y199:BL199" si="217">Y115+Y172</f>
        <v>313.29999999999995</v>
      </c>
      <c r="Z199" s="381">
        <f t="shared" si="217"/>
        <v>107.09999999999997</v>
      </c>
      <c r="AA199" s="381">
        <f t="shared" si="217"/>
        <v>284.5</v>
      </c>
      <c r="AB199" s="381">
        <f t="shared" si="217"/>
        <v>207.20000000000005</v>
      </c>
      <c r="AC199" s="381">
        <f t="shared" si="217"/>
        <v>912.1</v>
      </c>
      <c r="AD199" s="381">
        <f t="shared" si="217"/>
        <v>243.2</v>
      </c>
      <c r="AE199" s="381">
        <f t="shared" si="217"/>
        <v>237.3</v>
      </c>
      <c r="AF199" s="381">
        <f t="shared" si="217"/>
        <v>218.99999999999994</v>
      </c>
      <c r="AG199" s="381">
        <f t="shared" si="217"/>
        <v>140.5</v>
      </c>
      <c r="AH199" s="381">
        <f t="shared" si="217"/>
        <v>839.99999999999977</v>
      </c>
      <c r="AI199" s="381">
        <f t="shared" si="217"/>
        <v>233.30799999999996</v>
      </c>
      <c r="AJ199" s="381">
        <f t="shared" si="217"/>
        <v>279.70799999999997</v>
      </c>
      <c r="AK199" s="381">
        <f t="shared" si="217"/>
        <v>252.89799999999997</v>
      </c>
      <c r="AL199" s="381">
        <f t="shared" si="217"/>
        <v>125.68033230441688</v>
      </c>
      <c r="AM199" s="381">
        <f t="shared" si="217"/>
        <v>891.59433230441687</v>
      </c>
      <c r="AN199" s="381">
        <f t="shared" si="217"/>
        <v>237.38106931456957</v>
      </c>
      <c r="AO199" s="381">
        <f t="shared" si="217"/>
        <v>270.17457639486361</v>
      </c>
      <c r="AP199" s="381">
        <f t="shared" si="217"/>
        <v>219.21738243980332</v>
      </c>
      <c r="AQ199" s="381">
        <f t="shared" si="217"/>
        <v>129.50266744424533</v>
      </c>
      <c r="AR199" s="381">
        <f t="shared" si="217"/>
        <v>856.27569559348171</v>
      </c>
      <c r="AS199" s="381">
        <f t="shared" si="217"/>
        <v>236.68122388224484</v>
      </c>
      <c r="AT199" s="381">
        <f t="shared" si="217"/>
        <v>265.96834499795898</v>
      </c>
      <c r="AU199" s="381">
        <f t="shared" si="217"/>
        <v>217.90822513479068</v>
      </c>
      <c r="AV199" s="381">
        <f t="shared" si="217"/>
        <v>140.8932395729727</v>
      </c>
      <c r="AW199" s="381">
        <f t="shared" si="217"/>
        <v>861.451033587967</v>
      </c>
      <c r="AX199" s="381">
        <f t="shared" si="217"/>
        <v>238.40804675541204</v>
      </c>
      <c r="AY199" s="381">
        <f t="shared" si="217"/>
        <v>274.81569305271569</v>
      </c>
      <c r="AZ199" s="381">
        <f t="shared" si="217"/>
        <v>222.49605415760092</v>
      </c>
      <c r="BA199" s="381">
        <f t="shared" si="217"/>
        <v>146.32549106715896</v>
      </c>
      <c r="BB199" s="381">
        <f t="shared" si="217"/>
        <v>882.04528503288748</v>
      </c>
      <c r="BC199" s="381">
        <f t="shared" si="217"/>
        <v>245.44378665265955</v>
      </c>
      <c r="BD199" s="381">
        <f t="shared" si="217"/>
        <v>281.58072128196579</v>
      </c>
      <c r="BE199" s="381">
        <f t="shared" si="217"/>
        <v>231.80333061863777</v>
      </c>
      <c r="BF199" s="381">
        <f t="shared" si="217"/>
        <v>156.4587429392744</v>
      </c>
      <c r="BG199" s="381">
        <f t="shared" si="217"/>
        <v>915.28658149253738</v>
      </c>
      <c r="BH199" s="381">
        <f t="shared" si="217"/>
        <v>256.36674689973381</v>
      </c>
      <c r="BI199" s="381">
        <f t="shared" si="217"/>
        <v>292.91208584465613</v>
      </c>
      <c r="BJ199" s="381">
        <f t="shared" si="217"/>
        <v>243.98315252855772</v>
      </c>
      <c r="BK199" s="381">
        <f t="shared" si="217"/>
        <v>168.66532290061269</v>
      </c>
      <c r="BL199" s="381">
        <f t="shared" si="217"/>
        <v>961.9273081735605</v>
      </c>
    </row>
    <row r="200" spans="1:66">
      <c r="A200" s="1" t="s">
        <v>1703</v>
      </c>
      <c r="Y200" s="16">
        <f t="shared" ref="Y200:BL200" si="218">Y199/Y12</f>
        <v>0.23094500958278047</v>
      </c>
      <c r="Z200" s="16">
        <f t="shared" si="218"/>
        <v>7.8306646194340843E-2</v>
      </c>
      <c r="AA200" s="16">
        <f t="shared" si="218"/>
        <v>0.19626103752759383</v>
      </c>
      <c r="AB200" s="16">
        <f t="shared" si="218"/>
        <v>0.13660337552742619</v>
      </c>
      <c r="AC200" s="16">
        <f t="shared" si="218"/>
        <v>0.16027905178624774</v>
      </c>
      <c r="AD200" s="16">
        <f t="shared" si="218"/>
        <v>0.17856093979441998</v>
      </c>
      <c r="AE200" s="16">
        <f t="shared" si="218"/>
        <v>0.16403981750311075</v>
      </c>
      <c r="AF200" s="16">
        <f t="shared" si="218"/>
        <v>0.14249463205153226</v>
      </c>
      <c r="AG200" s="16">
        <f t="shared" si="218"/>
        <v>8.9690392594956911E-2</v>
      </c>
      <c r="AH200" s="16">
        <f t="shared" si="218"/>
        <v>0.14208389715832201</v>
      </c>
      <c r="AI200" s="16">
        <f t="shared" si="218"/>
        <v>0.16318668252080853</v>
      </c>
      <c r="AJ200" s="16">
        <f t="shared" si="218"/>
        <v>0.18596369922212619</v>
      </c>
      <c r="AK200" s="16">
        <f t="shared" si="218"/>
        <v>0.16028520725060208</v>
      </c>
      <c r="AL200" s="16">
        <f t="shared" si="218"/>
        <v>7.8409693078523302E-2</v>
      </c>
      <c r="AM200" s="16">
        <f t="shared" si="218"/>
        <v>0.14581717260467925</v>
      </c>
      <c r="AN200" s="16">
        <f t="shared" si="218"/>
        <v>0.16290755935397186</v>
      </c>
      <c r="AO200" s="16">
        <f t="shared" si="218"/>
        <v>0.17663962980540873</v>
      </c>
      <c r="AP200" s="16">
        <f t="shared" si="218"/>
        <v>0.13660308648583755</v>
      </c>
      <c r="AQ200" s="16">
        <f t="shared" si="218"/>
        <v>7.9750681124638803E-2</v>
      </c>
      <c r="AR200" s="16">
        <f t="shared" si="218"/>
        <v>0.13776908628911955</v>
      </c>
      <c r="AS200" s="16">
        <f t="shared" si="218"/>
        <v>0.15974646701987316</v>
      </c>
      <c r="AT200" s="16">
        <f t="shared" si="218"/>
        <v>0.17079262451198604</v>
      </c>
      <c r="AU200" s="16">
        <f t="shared" si="218"/>
        <v>0.13344515153241646</v>
      </c>
      <c r="AV200" s="16">
        <f t="shared" si="218"/>
        <v>8.5040486367204252E-2</v>
      </c>
      <c r="AW200" s="16">
        <f t="shared" si="218"/>
        <v>0.13612063973264793</v>
      </c>
      <c r="AX200" s="16">
        <f t="shared" si="218"/>
        <v>0.15722396174235062</v>
      </c>
      <c r="AY200" s="16">
        <f t="shared" si="218"/>
        <v>0.17266998459781308</v>
      </c>
      <c r="AZ200" s="16">
        <f t="shared" si="218"/>
        <v>0.1331077018702696</v>
      </c>
      <c r="BA200" s="16">
        <f t="shared" si="218"/>
        <v>8.6264045066289083E-2</v>
      </c>
      <c r="BB200" s="16">
        <f t="shared" si="218"/>
        <v>0.13620794084710941</v>
      </c>
      <c r="BC200" s="16">
        <f t="shared" si="218"/>
        <v>0.15800713806483174</v>
      </c>
      <c r="BD200" s="16">
        <f t="shared" si="218"/>
        <v>0.17258908339650533</v>
      </c>
      <c r="BE200" s="16">
        <f t="shared" si="218"/>
        <v>0.13537769226522106</v>
      </c>
      <c r="BF200" s="16">
        <f t="shared" si="218"/>
        <v>8.9833114005694506E-2</v>
      </c>
      <c r="BG200" s="16">
        <f t="shared" si="218"/>
        <v>0.13786902674913895</v>
      </c>
      <c r="BH200" s="16">
        <f t="shared" si="218"/>
        <v>0.1609091466484896</v>
      </c>
      <c r="BI200" s="16">
        <f t="shared" si="218"/>
        <v>0.17503573964319771</v>
      </c>
      <c r="BJ200" s="16">
        <f t="shared" si="218"/>
        <v>0.13887846941858389</v>
      </c>
      <c r="BK200" s="16">
        <f t="shared" si="218"/>
        <v>9.4224068402647618E-2</v>
      </c>
      <c r="BL200" s="16">
        <f t="shared" si="218"/>
        <v>0.14117886505708144</v>
      </c>
    </row>
    <row r="201" spans="1:66">
      <c r="A201" s="1" t="s">
        <v>28</v>
      </c>
      <c r="AD201" s="16">
        <f>AD199/Y199-1</f>
        <v>-0.22374720714969665</v>
      </c>
      <c r="AE201" s="16">
        <f t="shared" ref="AE201:AH201" si="219">AE199/Z199-1</f>
        <v>1.2156862745098049</v>
      </c>
      <c r="AF201" s="16">
        <f t="shared" si="219"/>
        <v>-0.2302284710017577</v>
      </c>
      <c r="AG201" s="16">
        <f t="shared" si="219"/>
        <v>-0.32191119691119707</v>
      </c>
      <c r="AH201" s="16">
        <f t="shared" si="219"/>
        <v>-7.904834996162724E-2</v>
      </c>
      <c r="AI201" s="16">
        <f>AI199/AD199-1</f>
        <v>-4.0674342105263217E-2</v>
      </c>
      <c r="AJ201" s="16">
        <f t="shared" ref="AJ201:AM201" si="220">AJ199/AE199-1</f>
        <v>0.178710493046776</v>
      </c>
      <c r="AK201" s="16">
        <f t="shared" si="220"/>
        <v>0.15478538812785403</v>
      </c>
      <c r="AL201" s="16">
        <f t="shared" si="220"/>
        <v>-0.10547806189027131</v>
      </c>
      <c r="AM201" s="16">
        <f t="shared" si="220"/>
        <v>6.1421824171925099E-2</v>
      </c>
      <c r="AN201" s="16">
        <f>AN199/AI199-1</f>
        <v>1.7457906778034271E-2</v>
      </c>
      <c r="AO201" s="16">
        <f t="shared" ref="AO201:AR201" si="221">AO199/AJ199-1</f>
        <v>-3.4083485653382706E-2</v>
      </c>
      <c r="AP201" s="16">
        <f t="shared" si="221"/>
        <v>-0.13317866317723615</v>
      </c>
      <c r="AQ201" s="16">
        <f t="shared" si="221"/>
        <v>3.0413152716450398E-2</v>
      </c>
      <c r="AR201" s="16">
        <f t="shared" si="221"/>
        <v>-3.9612899534310131E-2</v>
      </c>
      <c r="AS201" s="16">
        <f>AS199/AN199-1</f>
        <v>-2.9481939496924792E-3</v>
      </c>
      <c r="AT201" s="16">
        <f t="shared" ref="AT201:AW201" si="222">AT199/AO199-1</f>
        <v>-1.5568568490164525E-2</v>
      </c>
      <c r="AU201" s="16">
        <f t="shared" si="222"/>
        <v>-5.9719593877193278E-3</v>
      </c>
      <c r="AV201" s="16">
        <f t="shared" si="222"/>
        <v>8.7956274210578167E-2</v>
      </c>
      <c r="AW201" s="16">
        <f t="shared" si="222"/>
        <v>6.044008981124005E-3</v>
      </c>
      <c r="AX201" s="16">
        <f>AX199/AS199-1</f>
        <v>7.2959859039192221E-3</v>
      </c>
      <c r="AY201" s="16">
        <f t="shared" ref="AY201:BB201" si="223">AY199/AT199-1</f>
        <v>3.3264665593285558E-2</v>
      </c>
      <c r="AZ201" s="16">
        <f t="shared" si="223"/>
        <v>2.1053950671078958E-2</v>
      </c>
      <c r="BA201" s="16">
        <f t="shared" si="223"/>
        <v>3.8555799487971498E-2</v>
      </c>
      <c r="BB201" s="16">
        <f t="shared" si="223"/>
        <v>2.3906467857081726E-2</v>
      </c>
      <c r="BC201" s="16">
        <f>BC199/AX199-1</f>
        <v>2.9511335682665285E-2</v>
      </c>
      <c r="BD201" s="16">
        <f t="shared" ref="BD201:BG201" si="224">BD199/AY199-1</f>
        <v>2.4616600872033878E-2</v>
      </c>
      <c r="BE201" s="16">
        <f t="shared" si="224"/>
        <v>4.1831197844273804E-2</v>
      </c>
      <c r="BF201" s="16">
        <f t="shared" si="224"/>
        <v>6.9251446198561384E-2</v>
      </c>
      <c r="BG201" s="16">
        <f t="shared" si="224"/>
        <v>3.7686609773567969E-2</v>
      </c>
      <c r="BH201" s="16">
        <f>BH199/BC199-1</f>
        <v>4.4502899812786545E-2</v>
      </c>
      <c r="BI201" s="16">
        <f t="shared" ref="BI201:BL201" si="225">BI199/BD199-1</f>
        <v>4.0241975768445792E-2</v>
      </c>
      <c r="BJ201" s="16">
        <f t="shared" si="225"/>
        <v>5.2543774403130294E-2</v>
      </c>
      <c r="BK201" s="16">
        <f t="shared" si="225"/>
        <v>7.8017883385883779E-2</v>
      </c>
      <c r="BL201" s="16">
        <f t="shared" si="225"/>
        <v>5.0957511695371993E-2</v>
      </c>
    </row>
    <row r="245" spans="66:66">
      <c r="BN245" s="316"/>
    </row>
    <row r="246" spans="66:66">
      <c r="BN246" s="316"/>
    </row>
    <row r="259" spans="66:66">
      <c r="BN259" s="328"/>
    </row>
    <row r="260" spans="66:66">
      <c r="BN260" s="328"/>
    </row>
    <row r="262" spans="66:66">
      <c r="BN262" s="328"/>
    </row>
    <row r="263" spans="66:66">
      <c r="BN263" s="328"/>
    </row>
    <row r="275" spans="66:66">
      <c r="BN275" s="328"/>
    </row>
    <row r="276" spans="66:66">
      <c r="BN276" s="328"/>
    </row>
    <row r="277" spans="66:66">
      <c r="BN277" s="328"/>
    </row>
    <row r="282" spans="66:66">
      <c r="BN282" s="328"/>
    </row>
    <row r="283" spans="66:66">
      <c r="BN283" s="328"/>
    </row>
    <row r="284" spans="66:66">
      <c r="BN284" s="328"/>
    </row>
    <row r="294" spans="66:66">
      <c r="BN294" s="316"/>
    </row>
    <row r="295" spans="66:66">
      <c r="BN295" s="316"/>
    </row>
    <row r="306" spans="66:66">
      <c r="BN306" s="328"/>
    </row>
    <row r="307" spans="66:66">
      <c r="BN307" s="328"/>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9B66B-1DDE-4990-8E68-E53B61E38DA6}">
  <sheetPr codeName="Sheet16"/>
  <dimension ref="A1:I115"/>
  <sheetViews>
    <sheetView zoomScale="90" zoomScaleNormal="90" workbookViewId="0">
      <selection activeCell="A3" sqref="A3"/>
    </sheetView>
  </sheetViews>
  <sheetFormatPr defaultColWidth="9.140625" defaultRowHeight="12"/>
  <cols>
    <col min="1" max="3" width="9.7109375" style="229" customWidth="1"/>
    <col min="4" max="9" width="11.42578125" style="229" customWidth="1"/>
    <col min="10" max="16384" width="9.140625" style="229"/>
  </cols>
  <sheetData>
    <row r="1" spans="1:9" s="230" customFormat="1">
      <c r="A1" s="230" t="s">
        <v>853</v>
      </c>
    </row>
    <row r="2" spans="1:9">
      <c r="D2" s="334" t="s">
        <v>1253</v>
      </c>
      <c r="E2" s="233"/>
      <c r="F2" s="233"/>
    </row>
    <row r="3" spans="1:9">
      <c r="A3" s="229" t="s">
        <v>854</v>
      </c>
      <c r="B3" s="229" t="s">
        <v>856</v>
      </c>
      <c r="C3" s="229" t="s">
        <v>855</v>
      </c>
      <c r="D3" s="247" t="s">
        <v>860</v>
      </c>
      <c r="E3" s="247" t="s">
        <v>84</v>
      </c>
      <c r="F3" s="247" t="s">
        <v>861</v>
      </c>
      <c r="G3" s="250" t="s">
        <v>860</v>
      </c>
      <c r="H3" s="250" t="s">
        <v>83</v>
      </c>
      <c r="I3" s="250" t="s">
        <v>924</v>
      </c>
    </row>
    <row r="4" spans="1:9">
      <c r="A4" s="231" t="s">
        <v>2874</v>
      </c>
      <c r="B4" s="231" t="s">
        <v>1175</v>
      </c>
      <c r="C4" s="773">
        <f>FP!$G$11</f>
        <v>20500</v>
      </c>
      <c r="D4" s="248">
        <f t="shared" ref="D4" si="0">100*C4/$C$109</f>
        <v>382.03361150349792</v>
      </c>
      <c r="E4" s="248">
        <f>INDEX('SVF Segment'!$I$745:$BZ$745, MATCH('Thomson Reuters VC Index'!B4, 'SVF Segment'!$I$2:$BZ$2, 0))</f>
        <v>122.92835989429511</v>
      </c>
      <c r="F4" s="248">
        <f>INDEX('SVF Segment'!$I$775:$BZ$775, MATCH('Thomson Reuters VC Index'!B4, 'SVF Segment'!$I$2:$BZ$2, 0))</f>
        <v>99.233520236610559</v>
      </c>
      <c r="G4" s="251">
        <f t="shared" ref="G4" si="1">100*C4/$C$70</f>
        <v>127.53372178238641</v>
      </c>
      <c r="H4" s="251">
        <f>INDEX('SVF Segment'!$Y$915:$BZ$915, MATCH('Thomson Reuters VC Index'!B4, 'SVF Segment'!$Y$2:$BZ$2, 0))</f>
        <v>116.9277465401067</v>
      </c>
      <c r="I4" s="251">
        <f>INDEX('SVF Segment'!$Y$945:$BZ$945, MATCH('Thomson Reuters VC Index'!B4, 'SVF Segment'!$Y$2:$BZ$2, 0))</f>
        <v>89.791324726891148</v>
      </c>
    </row>
    <row r="5" spans="1:9">
      <c r="D5" s="247"/>
      <c r="E5" s="247"/>
      <c r="F5" s="247"/>
      <c r="G5" s="250"/>
      <c r="H5" s="250"/>
      <c r="I5" s="250"/>
    </row>
    <row r="6" spans="1:9">
      <c r="D6" s="247"/>
      <c r="E6" s="247"/>
      <c r="F6" s="247"/>
      <c r="G6" s="250"/>
      <c r="H6" s="250"/>
      <c r="I6" s="250"/>
    </row>
    <row r="7" spans="1:9">
      <c r="A7" s="231" t="s">
        <v>3104</v>
      </c>
      <c r="B7" s="231" t="s">
        <v>1174</v>
      </c>
      <c r="C7" s="720">
        <v>23745</v>
      </c>
      <c r="D7" s="248">
        <f t="shared" ref="D7" si="2">100*C7/$C$109</f>
        <v>442.50673683661256</v>
      </c>
      <c r="E7" s="248">
        <f>INDEX('SVF Segment'!$I$745:$BZ$745, MATCH('Thomson Reuters VC Index'!B7, 'SVF Segment'!$I$2:$BZ$2, 0))</f>
        <v>128.29281614458876</v>
      </c>
      <c r="F7" s="248">
        <f>INDEX('SVF Segment'!$I$775:$BZ$775, MATCH('Thomson Reuters VC Index'!B7, 'SVF Segment'!$I$2:$BZ$2, 0))</f>
        <v>104.18554639651765</v>
      </c>
      <c r="G7" s="251">
        <f t="shared" ref="G7" si="3">100*C7/$C$70</f>
        <v>147.72137676696417</v>
      </c>
      <c r="H7" s="251">
        <f>INDEX('SVF Segment'!$Y$915:$BZ$915, MATCH('Thomson Reuters VC Index'!B7, 'SVF Segment'!$Y$2:$BZ$2, 0))</f>
        <v>116.69813215969988</v>
      </c>
      <c r="I7" s="251">
        <f>INDEX('SVF Segment'!$Y$945:$BZ$945, MATCH('Thomson Reuters VC Index'!B7, 'SVF Segment'!$Y$2:$BZ$2, 0))</f>
        <v>90.036809312400194</v>
      </c>
    </row>
    <row r="8" spans="1:9">
      <c r="D8" s="247"/>
      <c r="E8" s="247"/>
      <c r="F8" s="247"/>
      <c r="G8" s="250"/>
      <c r="H8" s="250"/>
      <c r="I8" s="250"/>
    </row>
    <row r="9" spans="1:9">
      <c r="D9" s="247"/>
      <c r="E9" s="247"/>
      <c r="F9" s="247"/>
      <c r="G9" s="250"/>
      <c r="H9" s="250"/>
      <c r="I9" s="250"/>
    </row>
    <row r="10" spans="1:9">
      <c r="A10" s="231" t="s">
        <v>2877</v>
      </c>
      <c r="B10" s="231" t="s">
        <v>1173</v>
      </c>
      <c r="C10" s="720">
        <v>25805</v>
      </c>
      <c r="D10" s="248">
        <f t="shared" ref="D10" si="4">100*C10/$C$109</f>
        <v>480.89645584623236</v>
      </c>
      <c r="E10" s="248">
        <f>INDEX('SVF Segment'!$I$745:$BZ$745, MATCH('Thomson Reuters VC Index'!B10, 'SVF Segment'!$I$2:$BZ$2, 0))</f>
        <v>141.0653310262403</v>
      </c>
      <c r="F10" s="248">
        <f>INDEX('SVF Segment'!$I$775:$BZ$775, MATCH('Thomson Reuters VC Index'!B10, 'SVF Segment'!$I$2:$BZ$2, 0))</f>
        <v>115.83589563380252</v>
      </c>
      <c r="G10" s="251">
        <f t="shared" ref="G10" si="5">100*C10/$C$70</f>
        <v>160.53696051680396</v>
      </c>
      <c r="H10" s="251">
        <f>INDEX('SVF Segment'!$Y$915:$BZ$915, MATCH('Thomson Reuters VC Index'!B10, 'SVF Segment'!$Y$2:$BZ$2, 0))</f>
        <v>81.445571403123878</v>
      </c>
      <c r="I10" s="251">
        <f>INDEX('SVF Segment'!$Y$945:$BZ$945, MATCH('Thomson Reuters VC Index'!B10, 'SVF Segment'!$Y$2:$BZ$2, 0))</f>
        <v>62.447722732720862</v>
      </c>
    </row>
    <row r="11" spans="1:9">
      <c r="D11" s="247"/>
      <c r="E11" s="247"/>
      <c r="F11" s="247"/>
      <c r="G11" s="250"/>
      <c r="H11" s="250"/>
      <c r="I11" s="250"/>
    </row>
    <row r="12" spans="1:9">
      <c r="D12" s="247"/>
      <c r="E12" s="247"/>
      <c r="F12" s="247"/>
      <c r="G12" s="250"/>
      <c r="H12" s="250"/>
      <c r="I12" s="250"/>
    </row>
    <row r="13" spans="1:9">
      <c r="A13" s="231" t="s">
        <v>2875</v>
      </c>
      <c r="B13" s="231" t="s">
        <v>1172</v>
      </c>
      <c r="C13" s="720">
        <v>24720</v>
      </c>
      <c r="D13" s="248">
        <f t="shared" ref="D13" si="6">100*C13/$C$109</f>
        <v>460.6766281154375</v>
      </c>
      <c r="E13" s="248">
        <f>INDEX('SVF Segment'!$I$745:$BZ$745, MATCH('Thomson Reuters VC Index'!B13, 'SVF Segment'!$I$2:$BZ$2, 0))</f>
        <v>126.56460338581839</v>
      </c>
      <c r="F13" s="248">
        <f>INDEX('SVF Segment'!$I$775:$BZ$775, MATCH('Thomson Reuters VC Index'!B13, 'SVF Segment'!$I$2:$BZ$2, 0))</f>
        <v>103.08662180477718</v>
      </c>
      <c r="G13" s="251">
        <f t="shared" ref="G13" si="7">100*C13/$C$70</f>
        <v>153.78700499807766</v>
      </c>
      <c r="H13" s="251">
        <f>INDEX('SVF Segment'!$Y$915:$BZ$915, MATCH('Thomson Reuters VC Index'!B13, 'SVF Segment'!$Y$2:$BZ$2, 0))</f>
        <v>68.287697904459691</v>
      </c>
      <c r="I13" s="251">
        <f>INDEX('SVF Segment'!$Y$945:$BZ$945, MATCH('Thomson Reuters VC Index'!B13, 'SVF Segment'!$Y$2:$BZ$2, 0))</f>
        <v>52.780540506285917</v>
      </c>
    </row>
    <row r="14" spans="1:9">
      <c r="D14" s="247"/>
      <c r="E14" s="247"/>
      <c r="F14" s="247"/>
      <c r="G14" s="250"/>
      <c r="H14" s="250"/>
      <c r="I14" s="250"/>
    </row>
    <row r="15" spans="1:9">
      <c r="D15" s="247"/>
      <c r="E15" s="247"/>
      <c r="F15" s="247"/>
      <c r="G15" s="250"/>
      <c r="H15" s="250"/>
      <c r="I15" s="250"/>
    </row>
    <row r="16" spans="1:9">
      <c r="A16" s="231" t="s">
        <v>2874</v>
      </c>
      <c r="B16" s="231" t="s">
        <v>697</v>
      </c>
      <c r="C16" s="720">
        <v>18485</v>
      </c>
      <c r="D16" s="248">
        <f t="shared" ref="D16" si="8">100*C16/$C$109</f>
        <v>344.48250286059312</v>
      </c>
      <c r="E16" s="248">
        <f>INDEX('SVF Segment'!$I$745:$BZ$745, MATCH('Thomson Reuters VC Index'!B16, 'SVF Segment'!$I$2:$BZ$2, 0))</f>
        <v>118.37676171941126</v>
      </c>
      <c r="F16" s="248">
        <f>INDEX('SVF Segment'!$I$775:$BZ$775, MATCH('Thomson Reuters VC Index'!B16, 'SVF Segment'!$I$2:$BZ$2, 0))</f>
        <v>95.915499601255547</v>
      </c>
      <c r="G16" s="251">
        <f t="shared" ref="G16" si="9">100*C16/$C$70</f>
        <v>114.99809010475184</v>
      </c>
      <c r="H16" s="251">
        <f>INDEX('SVF Segment'!$Y$915:$BZ$915, MATCH('Thomson Reuters VC Index'!B16, 'SVF Segment'!$Y$2:$BZ$2, 0))</f>
        <v>60.376318269186918</v>
      </c>
      <c r="I16" s="251">
        <f>INDEX('SVF Segment'!$Y$945:$BZ$945, MATCH('Thomson Reuters VC Index'!B16, 'SVF Segment'!$Y$2:$BZ$2, 0))</f>
        <v>47.35668391188311</v>
      </c>
    </row>
    <row r="17" spans="1:9">
      <c r="D17" s="247"/>
      <c r="E17" s="247"/>
      <c r="F17" s="247"/>
      <c r="G17" s="250"/>
      <c r="H17" s="250"/>
      <c r="I17" s="250"/>
    </row>
    <row r="18" spans="1:9">
      <c r="D18" s="247"/>
      <c r="E18" s="247"/>
      <c r="F18" s="247"/>
      <c r="G18" s="250"/>
      <c r="H18" s="250"/>
      <c r="I18" s="250"/>
    </row>
    <row r="19" spans="1:9">
      <c r="A19" s="231" t="s">
        <v>2794</v>
      </c>
      <c r="B19" s="231" t="s">
        <v>696</v>
      </c>
      <c r="C19" s="720">
        <v>20420</v>
      </c>
      <c r="D19" s="248">
        <f t="shared" ref="D19" si="10">100*C19/$C$109</f>
        <v>380.54274862933789</v>
      </c>
      <c r="E19" s="248">
        <f>INDEX('SVF Segment'!$I$745:$BZ$745, MATCH('Thomson Reuters VC Index'!B19, 'SVF Segment'!$I$2:$BZ$2, 0))</f>
        <v>114.27595011250327</v>
      </c>
      <c r="F19" s="248">
        <f>INDEX('SVF Segment'!$I$775:$BZ$775, MATCH('Thomson Reuters VC Index'!B19, 'SVF Segment'!$I$2:$BZ$2, 0))</f>
        <v>92.355197881772995</v>
      </c>
      <c r="G19" s="251">
        <f t="shared" ref="G19" si="11">100*C19/$C$70</f>
        <v>127.03602920957709</v>
      </c>
      <c r="H19" s="251">
        <f>INDEX('SVF Segment'!$Y$915:$BZ$915, MATCH('Thomson Reuters VC Index'!B19, 'SVF Segment'!$Y$2:$BZ$2, 0))</f>
        <v>58.039773444527981</v>
      </c>
      <c r="I19" s="251">
        <f>INDEX('SVF Segment'!$Y$945:$BZ$945, MATCH('Thomson Reuters VC Index'!B19, 'SVF Segment'!$Y$2:$BZ$2, 0))</f>
        <v>45.661159478729687</v>
      </c>
    </row>
    <row r="20" spans="1:9">
      <c r="D20" s="247"/>
      <c r="E20" s="247"/>
      <c r="F20" s="247"/>
      <c r="G20" s="250"/>
      <c r="H20" s="250"/>
      <c r="I20" s="250"/>
    </row>
    <row r="21" spans="1:9">
      <c r="D21" s="247"/>
      <c r="E21" s="247"/>
      <c r="F21" s="247"/>
      <c r="G21" s="250"/>
      <c r="H21" s="250"/>
      <c r="I21" s="250"/>
    </row>
    <row r="22" spans="1:9">
      <c r="A22" s="231" t="s">
        <v>2449</v>
      </c>
      <c r="B22" s="231" t="s">
        <v>695</v>
      </c>
      <c r="C22" s="720">
        <v>18940</v>
      </c>
      <c r="D22" s="248">
        <f t="shared" ref="D22" si="12">100*C22/$C$109</f>
        <v>352.96178545737808</v>
      </c>
      <c r="E22" s="248">
        <f>INDEX('SVF Segment'!$I$745:$BZ$745, MATCH('Thomson Reuters VC Index'!B22, 'SVF Segment'!$I$2:$BZ$2, 0))</f>
        <v>118.07610047253901</v>
      </c>
      <c r="F22" s="248">
        <f>INDEX('SVF Segment'!$I$775:$BZ$775, MATCH('Thomson Reuters VC Index'!B22, 'SVF Segment'!$I$2:$BZ$2, 0))</f>
        <v>96.384684385722409</v>
      </c>
      <c r="G22" s="251">
        <f t="shared" ref="G22" si="13">100*C22/$C$70</f>
        <v>117.82871661260481</v>
      </c>
      <c r="H22" s="251">
        <f>INDEX('SVF Segment'!$Y$915:$BZ$915, MATCH('Thomson Reuters VC Index'!B22, 'SVF Segment'!$Y$2:$BZ$2, 0))</f>
        <v>59.336194500849054</v>
      </c>
      <c r="I22" s="251">
        <f>INDEX('SVF Segment'!$Y$945:$BZ$945, MATCH('Thomson Reuters VC Index'!B22, 'SVF Segment'!$Y$2:$BZ$2, 0))</f>
        <v>47.231480873117633</v>
      </c>
    </row>
    <row r="23" spans="1:9">
      <c r="A23" s="231" t="s">
        <v>2448</v>
      </c>
      <c r="D23" s="247"/>
      <c r="E23" s="247"/>
      <c r="F23" s="247"/>
      <c r="G23" s="250"/>
      <c r="H23" s="250"/>
      <c r="I23" s="250"/>
    </row>
    <row r="24" spans="1:9">
      <c r="A24" s="231" t="s">
        <v>2447</v>
      </c>
      <c r="D24" s="247"/>
      <c r="E24" s="247"/>
      <c r="F24" s="247"/>
      <c r="G24" s="250"/>
      <c r="H24" s="250"/>
      <c r="I24" s="250"/>
    </row>
    <row r="25" spans="1:9">
      <c r="A25" s="231" t="s">
        <v>2446</v>
      </c>
      <c r="B25" s="231" t="s">
        <v>686</v>
      </c>
      <c r="C25" s="232">
        <v>18209.02</v>
      </c>
      <c r="D25" s="248">
        <f t="shared" ref="D25" si="14">100*C25/$C$109</f>
        <v>339.33939866045966</v>
      </c>
      <c r="E25" s="248">
        <f>INDEX('SVF Segment'!$I$745:$BZ$745, MATCH('Thomson Reuters VC Index'!B25, 'SVF Segment'!$I$2:$BZ$2, 0))</f>
        <v>111.21746593484026</v>
      </c>
      <c r="F25" s="248">
        <f>INDEX('SVF Segment'!$I$775:$BZ$775, MATCH('Thomson Reuters VC Index'!B25, 'SVF Segment'!$I$2:$BZ$2, 0))</f>
        <v>89.89107363674313</v>
      </c>
      <c r="G25" s="251">
        <f t="shared" ref="G25" si="15">100*C25/$C$70</f>
        <v>113.28117515170291</v>
      </c>
      <c r="H25" s="251">
        <f>INDEX('SVF Segment'!$Y$915:$BZ$915, MATCH('Thomson Reuters VC Index'!B25, 'SVF Segment'!$Y$2:$BZ$2, 0))</f>
        <v>56.298505362580322</v>
      </c>
      <c r="I25" s="251">
        <f>INDEX('SVF Segment'!$Y$945:$BZ$945, MATCH('Thomson Reuters VC Index'!B25, 'SVF Segment'!$Y$2:$BZ$2, 0))</f>
        <v>44.88389364518904</v>
      </c>
    </row>
    <row r="26" spans="1:9">
      <c r="A26" s="231" t="s">
        <v>2445</v>
      </c>
      <c r="C26" s="232">
        <v>16259.27</v>
      </c>
      <c r="D26" s="248">
        <f t="shared" ref="D26:D94" si="16">100*C26/$C$109</f>
        <v>303.00427504929161</v>
      </c>
      <c r="E26" s="247"/>
      <c r="F26" s="247"/>
      <c r="G26" s="251">
        <f t="shared" ref="G26:G58" si="17">100*C26/$C$70</f>
        <v>101.15147397876595</v>
      </c>
      <c r="H26" s="250"/>
      <c r="I26" s="250"/>
    </row>
    <row r="27" spans="1:9">
      <c r="A27" s="231" t="s">
        <v>2444</v>
      </c>
      <c r="C27" s="232">
        <v>15812.08</v>
      </c>
      <c r="D27" s="248">
        <f t="shared" si="16"/>
        <v>294.67053794059655</v>
      </c>
      <c r="E27" s="247"/>
      <c r="F27" s="247"/>
      <c r="G27" s="251">
        <f t="shared" si="17"/>
        <v>98.369434708333486</v>
      </c>
      <c r="H27" s="250"/>
      <c r="I27" s="250"/>
    </row>
    <row r="28" spans="1:9">
      <c r="A28" s="231" t="s">
        <v>765</v>
      </c>
      <c r="B28" s="231" t="s">
        <v>94</v>
      </c>
      <c r="C28" s="232">
        <v>17772.759999999998</v>
      </c>
      <c r="D28" s="248">
        <f t="shared" si="16"/>
        <v>331.20935069194667</v>
      </c>
      <c r="E28" s="248">
        <f>INDEX('SVF Segment'!$I$745:$BZ$745, MATCH('Thomson Reuters VC Index'!B28, 'SVF Segment'!$I$2:$BZ$2, 0))</f>
        <v>104.8317741108303</v>
      </c>
      <c r="F28" s="248">
        <f>INDEX('SVF Segment'!$I$775:$BZ$775, MATCH('Thomson Reuters VC Index'!B28, 'SVF Segment'!$I$2:$BZ$2, 0))</f>
        <v>83.096192163086201</v>
      </c>
      <c r="G28" s="251">
        <f t="shared" si="17"/>
        <v>110.56713312903051</v>
      </c>
      <c r="H28" s="251">
        <f>INDEX('SVF Segment'!$Y$915:$BZ$915, MATCH('Thomson Reuters VC Index'!B28, 'SVF Segment'!$Y$2:$BZ$2, 0))</f>
        <v>61.057551679201318</v>
      </c>
      <c r="I28" s="251">
        <f>INDEX('SVF Segment'!$Y$945:$BZ$945, MATCH('Thomson Reuters VC Index'!B28, 'SVF Segment'!$Y$2:$BZ$2, 0))</f>
        <v>49.774077720253864</v>
      </c>
    </row>
    <row r="29" spans="1:9">
      <c r="A29" s="231" t="s">
        <v>766</v>
      </c>
      <c r="B29" s="231"/>
      <c r="C29" s="232">
        <v>18024.79</v>
      </c>
      <c r="D29" s="248">
        <f t="shared" si="16"/>
        <v>335.90612781912847</v>
      </c>
      <c r="E29" s="249"/>
      <c r="F29" s="249"/>
      <c r="G29" s="251">
        <f t="shared" si="17"/>
        <v>112.13505136809466</v>
      </c>
      <c r="H29" s="252"/>
      <c r="I29" s="252"/>
    </row>
    <row r="30" spans="1:9">
      <c r="A30" s="231" t="s">
        <v>767</v>
      </c>
      <c r="B30" s="231"/>
      <c r="C30" s="232">
        <v>16853.29</v>
      </c>
      <c r="D30" s="248">
        <f t="shared" si="16"/>
        <v>314.07430460564808</v>
      </c>
      <c r="E30" s="249"/>
      <c r="F30" s="249"/>
      <c r="G30" s="251">
        <f t="shared" si="17"/>
        <v>104.84696575501829</v>
      </c>
      <c r="H30" s="252"/>
      <c r="I30" s="252"/>
    </row>
    <row r="31" spans="1:9">
      <c r="A31" s="231" t="s">
        <v>768</v>
      </c>
      <c r="B31" s="231" t="s">
        <v>93</v>
      </c>
      <c r="C31" s="232">
        <v>15846.53</v>
      </c>
      <c r="D31" s="248">
        <f t="shared" si="16"/>
        <v>295.3125407657817</v>
      </c>
      <c r="E31" s="248">
        <f>INDEX('SVF Segment'!$I$745:$BZ$745, MATCH('Thomson Reuters VC Index'!B31, 'SVF Segment'!$I$2:$BZ$2, 0))</f>
        <v>107.85324128445072</v>
      </c>
      <c r="F31" s="248">
        <f>INDEX('SVF Segment'!$I$775:$BZ$775, MATCH('Thomson Reuters VC Index'!B31, 'SVF Segment'!$I$2:$BZ$2, 0))</f>
        <v>87.263779597625572</v>
      </c>
      <c r="G31" s="251">
        <f t="shared" si="17"/>
        <v>98.583753572499504</v>
      </c>
      <c r="H31" s="251">
        <f>INDEX('SVF Segment'!$Y$915:$BZ$915, MATCH('Thomson Reuters VC Index'!B31, 'SVF Segment'!$Y$2:$BZ$2, 0))</f>
        <v>61.568066325348482</v>
      </c>
      <c r="I31" s="251">
        <f>INDEX('SVF Segment'!$Y$945:$BZ$945, MATCH('Thomson Reuters VC Index'!B31, 'SVF Segment'!$Y$2:$BZ$2, 0))</f>
        <v>50.682944013231136</v>
      </c>
    </row>
    <row r="32" spans="1:9">
      <c r="A32" s="231" t="s">
        <v>769</v>
      </c>
      <c r="B32" s="231"/>
      <c r="C32" s="232">
        <v>15082.58</v>
      </c>
      <c r="D32" s="248">
        <f t="shared" si="16"/>
        <v>281.07573210685013</v>
      </c>
      <c r="E32" s="249"/>
      <c r="F32" s="249"/>
      <c r="G32" s="251">
        <f t="shared" si="17"/>
        <v>93.83110056002856</v>
      </c>
      <c r="H32" s="252"/>
      <c r="I32" s="252"/>
    </row>
    <row r="33" spans="1:9">
      <c r="A33" s="231" t="s">
        <v>770</v>
      </c>
      <c r="B33" s="231"/>
      <c r="C33" s="232">
        <v>12447.51</v>
      </c>
      <c r="D33" s="248">
        <f t="shared" si="16"/>
        <v>231.9691316841905</v>
      </c>
      <c r="E33" s="249"/>
      <c r="F33" s="249"/>
      <c r="G33" s="251">
        <f t="shared" si="17"/>
        <v>77.437915962120613</v>
      </c>
      <c r="H33" s="252"/>
      <c r="I33" s="252"/>
    </row>
    <row r="34" spans="1:9">
      <c r="A34" s="231" t="s">
        <v>771</v>
      </c>
      <c r="B34" s="231" t="s">
        <v>92</v>
      </c>
      <c r="C34" s="232">
        <v>12728.26</v>
      </c>
      <c r="D34" s="248">
        <f t="shared" si="16"/>
        <v>237.20112858319573</v>
      </c>
      <c r="E34" s="248">
        <f>INDEX('SVF Segment'!$I$745:$BZ$745, MATCH('Thomson Reuters VC Index'!B34, 'SVF Segment'!$I$2:$BZ$2, 0))</f>
        <v>105.55305367411883</v>
      </c>
      <c r="F34" s="248">
        <f>INDEX('SVF Segment'!$I$775:$BZ$775, MATCH('Thomson Reuters VC Index'!B34, 'SVF Segment'!$I$2:$BZ$2, 0))</f>
        <v>84.911125164405846</v>
      </c>
      <c r="G34" s="251">
        <f t="shared" si="17"/>
        <v>79.184505834823298</v>
      </c>
      <c r="H34" s="251">
        <f>INDEX('SVF Segment'!$Y$915:$BZ$915, MATCH('Thomson Reuters VC Index'!B34, 'SVF Segment'!$Y$2:$BZ$2, 0))</f>
        <v>58.193072656350978</v>
      </c>
      <c r="I34" s="251">
        <f>INDEX('SVF Segment'!$Y$945:$BZ$945, MATCH('Thomson Reuters VC Index'!B34, 'SVF Segment'!$Y$2:$BZ$2, 0))</f>
        <v>48.032811106661576</v>
      </c>
    </row>
    <row r="35" spans="1:9">
      <c r="A35" s="231" t="s">
        <v>772</v>
      </c>
      <c r="B35" s="231"/>
      <c r="C35" s="232">
        <v>13821.07</v>
      </c>
      <c r="D35" s="248">
        <f t="shared" si="16"/>
        <v>257.5665018020805</v>
      </c>
      <c r="E35" s="249"/>
      <c r="F35" s="249"/>
      <c r="G35" s="251">
        <f t="shared" si="17"/>
        <v>85.983048590970114</v>
      </c>
      <c r="H35" s="252"/>
      <c r="I35" s="252"/>
    </row>
    <row r="36" spans="1:9">
      <c r="A36" s="231" t="s">
        <v>773</v>
      </c>
      <c r="B36" s="231"/>
      <c r="C36" s="232">
        <v>14154.44</v>
      </c>
      <c r="D36" s="248">
        <f t="shared" si="16"/>
        <v>263.77911375656441</v>
      </c>
      <c r="E36" s="249"/>
      <c r="F36" s="249"/>
      <c r="G36" s="251">
        <f t="shared" si="17"/>
        <v>88.056995753438116</v>
      </c>
      <c r="H36" s="252"/>
      <c r="I36" s="252"/>
    </row>
    <row r="37" spans="1:9">
      <c r="A37" s="231" t="s">
        <v>774</v>
      </c>
      <c r="B37" s="231" t="s">
        <v>91</v>
      </c>
      <c r="C37" s="232">
        <v>13169.11</v>
      </c>
      <c r="D37" s="248">
        <f t="shared" si="16"/>
        <v>245.41671480911361</v>
      </c>
      <c r="E37" s="248">
        <f>INDEX('SVF Segment'!$I$745:$BZ$745, MATCH('Thomson Reuters VC Index'!B37, 'SVF Segment'!$I$2:$BZ$2, 0))</f>
        <v>103.5302599625939</v>
      </c>
      <c r="F37" s="248">
        <f>INDEX('SVF Segment'!$I$775:$BZ$775, MATCH('Thomson Reuters VC Index'!B37, 'SVF Segment'!$I$2:$BZ$2, 0))</f>
        <v>82.801300612010948</v>
      </c>
      <c r="G37" s="251">
        <f t="shared" si="17"/>
        <v>81.927102968860623</v>
      </c>
      <c r="H37" s="251">
        <f>INDEX('SVF Segment'!$Y$915:$BZ$915, MATCH('Thomson Reuters VC Index'!B37, 'SVF Segment'!$Y$2:$BZ$2, 0))</f>
        <v>62.276797053287886</v>
      </c>
      <c r="I37" s="251">
        <f>INDEX('SVF Segment'!$Y$945:$BZ$945, MATCH('Thomson Reuters VC Index'!B37, 'SVF Segment'!$Y$2:$BZ$2, 0))</f>
        <v>53.088374856868818</v>
      </c>
    </row>
    <row r="38" spans="1:9">
      <c r="A38" s="231" t="s">
        <v>775</v>
      </c>
      <c r="B38" s="231"/>
      <c r="C38" s="232">
        <v>12125.91</v>
      </c>
      <c r="D38" s="248">
        <f t="shared" si="16"/>
        <v>225.97586293006734</v>
      </c>
      <c r="E38" s="249"/>
      <c r="F38" s="249"/>
      <c r="G38" s="251">
        <f t="shared" si="17"/>
        <v>75.437191819427184</v>
      </c>
      <c r="H38" s="252"/>
      <c r="I38" s="252"/>
    </row>
    <row r="39" spans="1:9">
      <c r="A39" s="231" t="s">
        <v>776</v>
      </c>
      <c r="B39" s="231"/>
      <c r="C39" s="232">
        <v>11487.85</v>
      </c>
      <c r="D39" s="248">
        <f t="shared" si="16"/>
        <v>214.08511336148578</v>
      </c>
      <c r="E39" s="249"/>
      <c r="F39" s="249"/>
      <c r="G39" s="251">
        <f t="shared" si="17"/>
        <v>71.467720281843299</v>
      </c>
      <c r="H39" s="252"/>
      <c r="I39" s="252"/>
    </row>
    <row r="40" spans="1:9">
      <c r="A40" s="231" t="s">
        <v>777</v>
      </c>
      <c r="B40" s="231" t="s">
        <v>13</v>
      </c>
      <c r="C40" s="232">
        <v>11331.19</v>
      </c>
      <c r="D40" s="248">
        <f t="shared" si="16"/>
        <v>211.16563113816198</v>
      </c>
      <c r="E40" s="248">
        <f>INDEX('SVF Segment'!$I$745:$BZ$745, MATCH('Thomson Reuters VC Index'!B40, 'SVF Segment'!$I$2:$BZ$2, 0))</f>
        <v>102.24302760071441</v>
      </c>
      <c r="F40" s="248">
        <f>INDEX('SVF Segment'!$I$775:$BZ$775, MATCH('Thomson Reuters VC Index'!B40, 'SVF Segment'!$I$2:$BZ$2, 0))</f>
        <v>81.711813821952603</v>
      </c>
      <c r="G40" s="251">
        <f t="shared" si="17"/>
        <v>70.493113801139472</v>
      </c>
      <c r="H40" s="251">
        <f>INDEX('SVF Segment'!$Y$915:$BZ$915, MATCH('Thomson Reuters VC Index'!B40, 'SVF Segment'!$Y$2:$BZ$2, 0))</f>
        <v>61.662223398156762</v>
      </c>
      <c r="I40" s="251">
        <f>INDEX('SVF Segment'!$Y$945:$BZ$945, MATCH('Thomson Reuters VC Index'!B40, 'SVF Segment'!$Y$2:$BZ$2, 0))</f>
        <v>53.081841307774141</v>
      </c>
    </row>
    <row r="41" spans="1:9">
      <c r="A41" s="231" t="s">
        <v>778</v>
      </c>
      <c r="B41" s="231"/>
      <c r="C41" s="232">
        <v>10716.22</v>
      </c>
      <c r="D41" s="248">
        <f t="shared" si="16"/>
        <v>199.70518186663486</v>
      </c>
      <c r="E41" s="249"/>
      <c r="F41" s="249"/>
      <c r="G41" s="251">
        <f t="shared" si="17"/>
        <v>66.667288782382684</v>
      </c>
      <c r="H41" s="252"/>
      <c r="I41" s="252"/>
    </row>
    <row r="42" spans="1:9">
      <c r="A42" s="231" t="s">
        <v>779</v>
      </c>
      <c r="B42" s="231"/>
      <c r="C42" s="232">
        <v>11176.64</v>
      </c>
      <c r="D42" s="248">
        <f t="shared" si="16"/>
        <v>208.28547042314415</v>
      </c>
      <c r="E42" s="249"/>
      <c r="F42" s="249"/>
      <c r="G42" s="251">
        <f t="shared" si="17"/>
        <v>69.531633962043472</v>
      </c>
      <c r="H42" s="252"/>
      <c r="I42" s="252"/>
    </row>
    <row r="43" spans="1:9">
      <c r="A43" s="231" t="s">
        <v>780</v>
      </c>
      <c r="B43" s="231" t="s">
        <v>12</v>
      </c>
      <c r="C43" s="232">
        <v>10150.6</v>
      </c>
      <c r="D43" s="248">
        <f t="shared" si="16"/>
        <v>189.16440863060515</v>
      </c>
      <c r="E43" s="248">
        <f>INDEX('SVF Segment'!$I$745:$BZ$745, MATCH('Thomson Reuters VC Index'!B43, 'SVF Segment'!$I$2:$BZ$2, 0))</f>
        <v>102.51738277316714</v>
      </c>
      <c r="F43" s="248">
        <f>INDEX('SVF Segment'!$I$775:$BZ$775, MATCH('Thomson Reuters VC Index'!B43, 'SVF Segment'!$I$2:$BZ$2, 0))</f>
        <v>82.555096276685148</v>
      </c>
      <c r="G43" s="251">
        <f t="shared" si="17"/>
        <v>63.148477869477631</v>
      </c>
      <c r="H43" s="251">
        <f>INDEX('SVF Segment'!$Y$915:$BZ$915, MATCH('Thomson Reuters VC Index'!B43, 'SVF Segment'!$Y$2:$BZ$2, 0))</f>
        <v>64.588566203493016</v>
      </c>
      <c r="I43" s="251">
        <f>INDEX('SVF Segment'!$Y$945:$BZ$945, MATCH('Thomson Reuters VC Index'!B43, 'SVF Segment'!$Y$2:$BZ$2, 0))</f>
        <v>56.889318651224421</v>
      </c>
    </row>
    <row r="44" spans="1:9">
      <c r="A44" s="231" t="s">
        <v>781</v>
      </c>
      <c r="B44" s="231"/>
      <c r="C44" s="232">
        <v>11009.99</v>
      </c>
      <c r="D44" s="248">
        <f t="shared" si="16"/>
        <v>205.17981669840961</v>
      </c>
      <c r="E44" s="249"/>
      <c r="F44" s="249"/>
      <c r="G44" s="251">
        <f t="shared" si="17"/>
        <v>68.49487812131008</v>
      </c>
      <c r="H44" s="252"/>
      <c r="I44" s="252"/>
    </row>
    <row r="45" spans="1:9">
      <c r="A45" s="231" t="s">
        <v>782</v>
      </c>
      <c r="B45" s="231"/>
      <c r="C45" s="232">
        <v>10410.11</v>
      </c>
      <c r="D45" s="248">
        <f t="shared" si="16"/>
        <v>194.00058143652092</v>
      </c>
      <c r="E45" s="249"/>
      <c r="F45" s="249"/>
      <c r="G45" s="251">
        <f t="shared" si="17"/>
        <v>64.762930364099446</v>
      </c>
      <c r="H45" s="252"/>
      <c r="I45" s="252"/>
    </row>
    <row r="46" spans="1:9">
      <c r="A46" s="231" t="s">
        <v>783</v>
      </c>
      <c r="B46" s="231" t="s">
        <v>11</v>
      </c>
      <c r="C46" s="232">
        <v>9508.1299999999992</v>
      </c>
      <c r="D46" s="248">
        <f t="shared" si="16"/>
        <v>177.19147524608553</v>
      </c>
      <c r="E46" s="248">
        <f>INDEX('SVF Segment'!$I$745:$BZ$745, MATCH('Thomson Reuters VC Index'!B46, 'SVF Segment'!$I$2:$BZ$2, 0))</f>
        <v>108.40398160731544</v>
      </c>
      <c r="F46" s="248">
        <f>INDEX('SVF Segment'!$I$775:$BZ$775, MATCH('Thomson Reuters VC Index'!B46, 'SVF Segment'!$I$2:$BZ$2, 0))</f>
        <v>90.73519336922115</v>
      </c>
      <c r="G46" s="251">
        <f t="shared" si="17"/>
        <v>59.151571028817635</v>
      </c>
      <c r="H46" s="251">
        <f>INDEX('SVF Segment'!$Y$915:$BZ$915, MATCH('Thomson Reuters VC Index'!B46, 'SVF Segment'!$Y$2:$BZ$2, 0))</f>
        <v>68.901483490696947</v>
      </c>
      <c r="I46" s="251">
        <f>INDEX('SVF Segment'!$Y$945:$BZ$945, MATCH('Thomson Reuters VC Index'!B46, 'SVF Segment'!$Y$2:$BZ$2, 0))</f>
        <v>62.283083510800118</v>
      </c>
    </row>
    <row r="47" spans="1:9">
      <c r="A47" s="231" t="s">
        <v>784</v>
      </c>
      <c r="B47" s="231"/>
      <c r="C47" s="232">
        <v>11120.6</v>
      </c>
      <c r="D47" s="248">
        <f t="shared" si="16"/>
        <v>207.24112097979506</v>
      </c>
      <c r="E47" s="249"/>
      <c r="F47" s="249"/>
      <c r="G47" s="251">
        <f t="shared" si="17"/>
        <v>69.183000314790547</v>
      </c>
      <c r="H47" s="252"/>
      <c r="I47" s="252"/>
    </row>
    <row r="48" spans="1:9">
      <c r="A48" s="231" t="s">
        <v>785</v>
      </c>
      <c r="B48" s="231"/>
      <c r="C48" s="232">
        <v>11780.64</v>
      </c>
      <c r="D48" s="248">
        <f t="shared" si="16"/>
        <v>219.54148512305207</v>
      </c>
      <c r="E48" s="249"/>
      <c r="F48" s="249"/>
      <c r="G48" s="251">
        <f t="shared" si="17"/>
        <v>73.289212886753788</v>
      </c>
      <c r="H48" s="252"/>
      <c r="I48" s="252"/>
    </row>
    <row r="49" spans="1:9">
      <c r="A49" s="231" t="s">
        <v>786</v>
      </c>
      <c r="B49" s="231" t="s">
        <v>10</v>
      </c>
      <c r="C49" s="232">
        <v>10163.57</v>
      </c>
      <c r="D49" s="248">
        <f t="shared" si="16"/>
        <v>189.40611477407836</v>
      </c>
      <c r="E49" s="248">
        <f>INDEX('SVF Segment'!$I$745:$BZ$745, MATCH('Thomson Reuters VC Index'!B49, 'SVF Segment'!$I$2:$BZ$2, 0))</f>
        <v>118.06374234460097</v>
      </c>
      <c r="F49" s="248">
        <f>INDEX('SVF Segment'!$I$775:$BZ$775, MATCH('Thomson Reuters VC Index'!B49, 'SVF Segment'!$I$2:$BZ$2, 0))</f>
        <v>104.2770843393196</v>
      </c>
      <c r="G49" s="251">
        <f t="shared" si="17"/>
        <v>63.229166277844342</v>
      </c>
      <c r="H49" s="251">
        <f>INDEX('SVF Segment'!$Y$915:$BZ$915, MATCH('Thomson Reuters VC Index'!B49, 'SVF Segment'!$Y$2:$BZ$2, 0))</f>
        <v>78.594046917522817</v>
      </c>
      <c r="I49" s="251">
        <f>INDEX('SVF Segment'!$Y$945:$BZ$945, MATCH('Thomson Reuters VC Index'!B49, 'SVF Segment'!$Y$2:$BZ$2, 0))</f>
        <v>73.812395505524094</v>
      </c>
    </row>
    <row r="50" spans="1:9">
      <c r="A50" s="231" t="s">
        <v>787</v>
      </c>
      <c r="B50" s="231"/>
      <c r="C50" s="232">
        <v>11565.64</v>
      </c>
      <c r="D50" s="248">
        <f t="shared" si="16"/>
        <v>215.5347911487471</v>
      </c>
      <c r="E50" s="249"/>
      <c r="F50" s="249"/>
      <c r="G50" s="251">
        <f t="shared" si="17"/>
        <v>71.951664097328759</v>
      </c>
      <c r="H50" s="252"/>
      <c r="I50" s="252"/>
    </row>
    <row r="51" spans="1:9">
      <c r="A51" s="231" t="s">
        <v>788</v>
      </c>
      <c r="B51" s="231"/>
      <c r="C51" s="232">
        <v>12200.54</v>
      </c>
      <c r="D51" s="248">
        <f t="shared" si="16"/>
        <v>227.36665163379934</v>
      </c>
      <c r="E51" s="249"/>
      <c r="F51" s="249"/>
      <c r="G51" s="251">
        <f t="shared" si="17"/>
        <v>75.901476778286664</v>
      </c>
      <c r="H51" s="252"/>
      <c r="I51" s="252"/>
    </row>
    <row r="52" spans="1:9">
      <c r="A52" s="231" t="s">
        <v>789</v>
      </c>
      <c r="B52" s="231" t="s">
        <v>77</v>
      </c>
      <c r="C52" s="232">
        <v>16100.16</v>
      </c>
      <c r="D52" s="248">
        <f t="shared" si="16"/>
        <v>300.03913515044667</v>
      </c>
      <c r="E52" s="248">
        <f>INDEX('SVF Segment'!$I$745:$BZ$745, MATCH('Thomson Reuters VC Index'!B52, 'SVF Segment'!$I$2:$BZ$2, 0))</f>
        <v>138.00814527460898</v>
      </c>
      <c r="F52" s="248">
        <f>INDEX('SVF Segment'!$I$775:$BZ$775, MATCH('Thomson Reuters VC Index'!B52, 'SVF Segment'!$I$2:$BZ$2, 0))</f>
        <v>133.14663114322843</v>
      </c>
      <c r="G52" s="251">
        <f t="shared" si="17"/>
        <v>100.16162566301982</v>
      </c>
      <c r="H52" s="251">
        <f>INDEX('SVF Segment'!$Y$915:$BZ$915, MATCH('Thomson Reuters VC Index'!B52, 'SVF Segment'!$Y$2:$BZ$2, 0))</f>
        <v>98.453832966574282</v>
      </c>
      <c r="I52" s="251">
        <f>INDEX('SVF Segment'!$Y$945:$BZ$945, MATCH('Thomson Reuters VC Index'!B52, 'SVF Segment'!$Y$2:$BZ$2, 0))</f>
        <v>97.358789917202799</v>
      </c>
    </row>
    <row r="53" spans="1:9">
      <c r="A53" s="231" t="s">
        <v>790</v>
      </c>
      <c r="B53" s="231"/>
      <c r="C53" s="232">
        <v>15505.62</v>
      </c>
      <c r="D53" s="248">
        <f t="shared" si="16"/>
        <v>288.95941498540816</v>
      </c>
      <c r="E53" s="249"/>
      <c r="F53" s="249"/>
      <c r="G53" s="251">
        <f t="shared" si="17"/>
        <v>96.462898885044211</v>
      </c>
      <c r="H53" s="252"/>
      <c r="I53" s="252"/>
    </row>
    <row r="54" spans="1:9">
      <c r="A54" s="231" t="s">
        <v>791</v>
      </c>
      <c r="B54" s="231"/>
      <c r="C54" s="232">
        <v>17942.38</v>
      </c>
      <c r="D54" s="248">
        <f t="shared" si="16"/>
        <v>334.37035270088444</v>
      </c>
      <c r="E54" s="249"/>
      <c r="F54" s="249"/>
      <c r="G54" s="251">
        <f t="shared" si="17"/>
        <v>111.62236580652947</v>
      </c>
      <c r="H54" s="252"/>
      <c r="I54" s="252"/>
    </row>
    <row r="55" spans="1:9">
      <c r="A55" s="231" t="s">
        <v>792</v>
      </c>
      <c r="B55" s="231" t="s">
        <v>76</v>
      </c>
      <c r="C55" s="232">
        <v>22499.200000000001</v>
      </c>
      <c r="D55" s="248">
        <f t="shared" si="16"/>
        <v>419.29027472875612</v>
      </c>
      <c r="E55" s="248">
        <f>INDEX('SVF Segment'!$I$745:$BZ$745, MATCH('Thomson Reuters VC Index'!B55, 'SVF Segment'!$I$2:$BZ$2, 0))</f>
        <v>176.28521355687965</v>
      </c>
      <c r="F55" s="248">
        <f>INDEX('SVF Segment'!$I$775:$BZ$775, MATCH('Thomson Reuters VC Index'!B55, 'SVF Segment'!$I$2:$BZ$2, 0))</f>
        <v>189.6310593651362</v>
      </c>
      <c r="G55" s="251">
        <f t="shared" si="17"/>
        <v>139.97105917689115</v>
      </c>
      <c r="H55" s="251">
        <f>INDEX('SVF Segment'!$Y$915:$BZ$915, MATCH('Thomson Reuters VC Index'!B55, 'SVF Segment'!$Y$2:$BZ$2, 0))</f>
        <v>104.44667497323532</v>
      </c>
      <c r="I55" s="251">
        <f>INDEX('SVF Segment'!$Y$945:$BZ$945, MATCH('Thomson Reuters VC Index'!B55, 'SVF Segment'!$Y$2:$BZ$2, 0))</f>
        <v>104.92900263782229</v>
      </c>
    </row>
    <row r="56" spans="1:9">
      <c r="A56" s="231" t="s">
        <v>793</v>
      </c>
      <c r="B56" s="231"/>
      <c r="C56" s="232">
        <v>22549.11</v>
      </c>
      <c r="D56" s="248">
        <f t="shared" si="16"/>
        <v>420.22038680437265</v>
      </c>
      <c r="E56" s="249"/>
      <c r="F56" s="249"/>
      <c r="G56" s="251">
        <f t="shared" si="17"/>
        <v>140.28155713075256</v>
      </c>
      <c r="H56" s="252"/>
      <c r="I56" s="252"/>
    </row>
    <row r="57" spans="1:9">
      <c r="A57" s="231" t="s">
        <v>794</v>
      </c>
      <c r="B57" s="231"/>
      <c r="C57" s="232">
        <v>23908.94</v>
      </c>
      <c r="D57" s="248">
        <f t="shared" si="16"/>
        <v>445.56188758148494</v>
      </c>
      <c r="E57" s="249"/>
      <c r="F57" s="249"/>
      <c r="G57" s="251">
        <f t="shared" si="17"/>
        <v>148.74127327179363</v>
      </c>
      <c r="H57" s="252"/>
      <c r="I57" s="252"/>
    </row>
    <row r="58" spans="1:9">
      <c r="A58" s="231" t="s">
        <v>795</v>
      </c>
      <c r="B58" s="231" t="s">
        <v>75</v>
      </c>
      <c r="C58" s="232">
        <v>21737.42</v>
      </c>
      <c r="D58" s="248">
        <f t="shared" si="16"/>
        <v>405.09390572528611</v>
      </c>
      <c r="E58" s="248">
        <f>INDEX('SVF Segment'!$I$745:$BZ$745, MATCH('Thomson Reuters VC Index'!B58, 'SVF Segment'!$I$2:$BZ$2, 0))</f>
        <v>178.45407691264836</v>
      </c>
      <c r="F58" s="248">
        <f>INDEX('SVF Segment'!$I$775:$BZ$775, MATCH('Thomson Reuters VC Index'!B58, 'SVF Segment'!$I$2:$BZ$2, 0))</f>
        <v>193.33439142483738</v>
      </c>
      <c r="G58" s="251">
        <f t="shared" si="17"/>
        <v>135.23190607545766</v>
      </c>
      <c r="H58" s="251">
        <f>INDEX('SVF Segment'!$Y$915:$BZ$915, MATCH('Thomson Reuters VC Index'!B58, 'SVF Segment'!$Y$2:$BZ$2, 0))</f>
        <v>92.506723881209481</v>
      </c>
      <c r="I58" s="251">
        <f>INDEX('SVF Segment'!$Y$945:$BZ$945, MATCH('Thomson Reuters VC Index'!B58, 'SVF Segment'!$Y$2:$BZ$2, 0))</f>
        <v>92.220027717875624</v>
      </c>
    </row>
    <row r="59" spans="1:9">
      <c r="A59" s="231" t="s">
        <v>796</v>
      </c>
      <c r="B59" s="231"/>
      <c r="C59" s="232">
        <v>23974.76</v>
      </c>
      <c r="D59" s="248">
        <f t="shared" si="16"/>
        <v>446.7884950112001</v>
      </c>
      <c r="E59" s="249"/>
      <c r="F59" s="249"/>
      <c r="G59" s="251">
        <f t="shared" ref="G59:G70" si="18">100*C59/$C$70</f>
        <v>149.15074983607249</v>
      </c>
      <c r="H59" s="252"/>
      <c r="I59" s="252"/>
    </row>
    <row r="60" spans="1:9">
      <c r="A60" s="231" t="s">
        <v>797</v>
      </c>
      <c r="B60" s="231"/>
      <c r="C60" s="232">
        <v>22773.94</v>
      </c>
      <c r="D60" s="248">
        <f t="shared" si="16"/>
        <v>424.41027055434006</v>
      </c>
      <c r="E60" s="249"/>
      <c r="F60" s="249"/>
      <c r="G60" s="251">
        <f t="shared" si="18"/>
        <v>141.68025989506151</v>
      </c>
      <c r="H60" s="252"/>
      <c r="I60" s="252"/>
    </row>
    <row r="61" spans="1:9">
      <c r="A61" s="231" t="s">
        <v>798</v>
      </c>
      <c r="B61" s="231" t="s">
        <v>74</v>
      </c>
      <c r="C61" s="232">
        <v>21861.58</v>
      </c>
      <c r="D61" s="248">
        <f t="shared" si="16"/>
        <v>407.40772490598243</v>
      </c>
      <c r="E61" s="248">
        <f>INDEX('SVF Segment'!$I$745:$BZ$745, MATCH('Thomson Reuters VC Index'!B61, 'SVF Segment'!$I$2:$BZ$2, 0))</f>
        <v>199.77985092228607</v>
      </c>
      <c r="F61" s="248">
        <f>INDEX('SVF Segment'!$I$775:$BZ$775, MATCH('Thomson Reuters VC Index'!B61, 'SVF Segment'!$I$2:$BZ$2, 0))</f>
        <v>225.23043349460269</v>
      </c>
      <c r="G61" s="251">
        <f t="shared" si="18"/>
        <v>136.00432494845771</v>
      </c>
      <c r="H61" s="251">
        <f>INDEX('SVF Segment'!$Y$915:$BZ$915, MATCH('Thomson Reuters VC Index'!B61, 'SVF Segment'!$Y$2:$BZ$2, 0))</f>
        <v>93.756814744469068</v>
      </c>
      <c r="I61" s="251">
        <f>INDEX('SVF Segment'!$Y$945:$BZ$945, MATCH('Thomson Reuters VC Index'!B61, 'SVF Segment'!$Y$2:$BZ$2, 0))</f>
        <v>93.574365278510399</v>
      </c>
    </row>
    <row r="62" spans="1:9">
      <c r="A62" s="231" t="s">
        <v>799</v>
      </c>
      <c r="B62" s="231"/>
      <c r="C62" s="232">
        <v>20438.919999999998</v>
      </c>
      <c r="D62" s="248">
        <f t="shared" si="16"/>
        <v>380.89533769907672</v>
      </c>
      <c r="E62" s="249"/>
      <c r="F62" s="249"/>
      <c r="G62" s="251">
        <f t="shared" si="18"/>
        <v>127.15373350304648</v>
      </c>
      <c r="H62" s="252"/>
      <c r="I62" s="252"/>
    </row>
    <row r="63" spans="1:9">
      <c r="A63" s="231" t="s">
        <v>800</v>
      </c>
      <c r="B63" s="231"/>
      <c r="C63" s="232">
        <v>20556.14</v>
      </c>
      <c r="D63" s="248">
        <f t="shared" si="16"/>
        <v>383.07982452543968</v>
      </c>
      <c r="E63" s="249"/>
      <c r="F63" s="249"/>
      <c r="G63" s="251">
        <f t="shared" si="18"/>
        <v>127.88297754535535</v>
      </c>
      <c r="H63" s="252"/>
      <c r="I63" s="252"/>
    </row>
    <row r="64" spans="1:9">
      <c r="A64" s="231" t="s">
        <v>801</v>
      </c>
      <c r="B64" s="231" t="s">
        <v>136</v>
      </c>
      <c r="C64" s="232">
        <v>19110.25</v>
      </c>
      <c r="D64" s="248">
        <f t="shared" si="16"/>
        <v>356.13452801144979</v>
      </c>
      <c r="E64" s="248">
        <f>INDEX('SVF Segment'!$I$745:$BZ$745, MATCH('Thomson Reuters VC Index'!B64, 'SVF Segment'!$I$2:$BZ$2, 0))</f>
        <v>197.53419897603226</v>
      </c>
      <c r="F64" s="248">
        <f>INDEX('SVF Segment'!$I$775:$BZ$775, MATCH('Thomson Reuters VC Index'!B64, 'SVF Segment'!$I$2:$BZ$2, 0))</f>
        <v>222.7567674169816</v>
      </c>
      <c r="G64" s="251">
        <f t="shared" si="18"/>
        <v>118.88786861911463</v>
      </c>
      <c r="H64" s="251">
        <f>INDEX('SVF Segment'!$Y$915:$BZ$915, MATCH('Thomson Reuters VC Index'!B64, 'SVF Segment'!$Y$2:$BZ$2, 0))</f>
        <v>95.726495726495727</v>
      </c>
      <c r="I64" s="251">
        <f>INDEX('SVF Segment'!$Y$945:$BZ$945, MATCH('Thomson Reuters VC Index'!B64, 'SVF Segment'!$Y$2:$BZ$2, 0))</f>
        <v>95.726495726495727</v>
      </c>
    </row>
    <row r="65" spans="1:9">
      <c r="A65" s="231" t="s">
        <v>802</v>
      </c>
      <c r="B65" s="231"/>
      <c r="C65" s="232">
        <v>18711.93</v>
      </c>
      <c r="D65" s="248">
        <f t="shared" si="16"/>
        <v>348.71152176100719</v>
      </c>
      <c r="E65" s="249"/>
      <c r="F65" s="249"/>
      <c r="G65" s="251">
        <f t="shared" si="18"/>
        <v>116.40985729909706</v>
      </c>
      <c r="H65" s="252"/>
      <c r="I65" s="252"/>
    </row>
    <row r="66" spans="1:9">
      <c r="A66" s="231" t="s">
        <v>803</v>
      </c>
      <c r="B66" s="231"/>
      <c r="C66" s="232">
        <v>17529.169999999998</v>
      </c>
      <c r="D66" s="248">
        <f t="shared" si="16"/>
        <v>326.66985959798876</v>
      </c>
      <c r="E66" s="249"/>
      <c r="F66" s="249"/>
      <c r="G66" s="251">
        <f t="shared" si="18"/>
        <v>109.05172145639776</v>
      </c>
      <c r="H66" s="252"/>
      <c r="I66" s="252"/>
    </row>
    <row r="67" spans="1:9">
      <c r="A67" s="231" t="s">
        <v>804</v>
      </c>
      <c r="B67" s="231" t="s">
        <v>135</v>
      </c>
      <c r="C67" s="232">
        <v>18269.28</v>
      </c>
      <c r="D67" s="248">
        <f t="shared" si="16"/>
        <v>340.4623911204207</v>
      </c>
      <c r="E67" s="248">
        <f>INDEX('SVF Segment'!$I$745:$BZ$745, MATCH('Thomson Reuters VC Index'!B67, 'SVF Segment'!$I$2:$BZ$2, 0))</f>
        <v>144.10013438143861</v>
      </c>
      <c r="F67" s="248">
        <f>INDEX('SVF Segment'!$I$775:$BZ$775, MATCH('Thomson Reuters VC Index'!B67, 'SVF Segment'!$I$2:$BZ$2, 0))</f>
        <v>152.39871881432526</v>
      </c>
      <c r="G67" s="251">
        <f t="shared" si="18"/>
        <v>113.65606208217153</v>
      </c>
      <c r="H67" s="251">
        <f>INDEX('SVF Segment'!$Y$915:$BZ$915, MATCH('Thomson Reuters VC Index'!B67, 'SVF Segment'!$Y$2:$BZ$2, 0))</f>
        <v>100</v>
      </c>
      <c r="I67" s="251">
        <f>INDEX('SVF Segment'!$Y$945:$BZ$945, MATCH('Thomson Reuters VC Index'!B67, 'SVF Segment'!$Y$2:$BZ$2, 0))</f>
        <v>100</v>
      </c>
    </row>
    <row r="68" spans="1:9">
      <c r="A68" s="231" t="s">
        <v>805</v>
      </c>
      <c r="B68" s="231"/>
      <c r="C68" s="232">
        <v>17294.13</v>
      </c>
      <c r="D68" s="248">
        <f t="shared" si="16"/>
        <v>322.28970447370676</v>
      </c>
      <c r="E68" s="249"/>
      <c r="F68" s="249"/>
      <c r="G68" s="251">
        <f t="shared" si="18"/>
        <v>107.58950067748401</v>
      </c>
      <c r="H68" s="252"/>
      <c r="I68" s="252"/>
    </row>
    <row r="69" spans="1:9">
      <c r="A69" s="231" t="s">
        <v>806</v>
      </c>
      <c r="B69" s="231"/>
      <c r="C69" s="232">
        <v>15221.99</v>
      </c>
      <c r="D69" s="248">
        <f t="shared" si="16"/>
        <v>283.67374702293318</v>
      </c>
      <c r="E69" s="249"/>
      <c r="F69" s="249"/>
      <c r="G69" s="251">
        <f t="shared" si="18"/>
        <v>94.698392079720392</v>
      </c>
      <c r="H69" s="252"/>
      <c r="I69" s="252"/>
    </row>
    <row r="70" spans="1:9">
      <c r="A70" s="231" t="s">
        <v>807</v>
      </c>
      <c r="B70" s="231" t="s">
        <v>134</v>
      </c>
      <c r="C70" s="232">
        <v>16074.18</v>
      </c>
      <c r="D70" s="248">
        <f t="shared" si="16"/>
        <v>299.5549774320632</v>
      </c>
      <c r="E70" s="248">
        <f>INDEX('SVF Segment'!$I$745:$BZ$745, MATCH('Thomson Reuters VC Index'!B70, 'SVF Segment'!$I$2:$BZ$2, 0))</f>
        <v>122.80533674507045</v>
      </c>
      <c r="F70" s="248">
        <f>INDEX('SVF Segment'!$I$775:$BZ$775, MATCH('Thomson Reuters VC Index'!B70, 'SVF Segment'!$I$2:$BZ$2, 0))</f>
        <v>122.26390949529565</v>
      </c>
      <c r="G70" s="251">
        <f t="shared" si="18"/>
        <v>100</v>
      </c>
      <c r="H70" s="251">
        <f>INDEX('SVF Segment'!$Y$915:$BZ$915, MATCH('Thomson Reuters VC Index'!B70, 'SVF Segment'!$Y$2:$BZ$2, 0))</f>
        <v>100</v>
      </c>
      <c r="I70" s="251">
        <f>INDEX('SVF Segment'!$Y$945:$BZ$945, MATCH('Thomson Reuters VC Index'!B70, 'SVF Segment'!$Y$2:$BZ$2, 0))</f>
        <v>100</v>
      </c>
    </row>
    <row r="71" spans="1:9">
      <c r="A71" s="231" t="s">
        <v>808</v>
      </c>
      <c r="B71" s="231"/>
      <c r="C71" s="232">
        <v>17744.330000000002</v>
      </c>
      <c r="D71" s="248">
        <f t="shared" si="16"/>
        <v>330.67953529804214</v>
      </c>
      <c r="E71" s="249"/>
      <c r="F71" s="249"/>
    </row>
    <row r="72" spans="1:9">
      <c r="A72" s="231" t="s">
        <v>809</v>
      </c>
      <c r="B72" s="231"/>
      <c r="C72" s="232">
        <v>14956.53</v>
      </c>
      <c r="D72" s="248">
        <f t="shared" si="16"/>
        <v>278.72669129075177</v>
      </c>
      <c r="E72" s="249"/>
      <c r="F72" s="249"/>
    </row>
    <row r="73" spans="1:9">
      <c r="A73" s="231" t="s">
        <v>810</v>
      </c>
      <c r="B73" s="231" t="s">
        <v>133</v>
      </c>
      <c r="C73" s="232">
        <v>13696.97</v>
      </c>
      <c r="D73" s="248">
        <f t="shared" si="16"/>
        <v>255.2538007685398</v>
      </c>
      <c r="E73" s="248">
        <f>INDEX('SVF Segment'!$I$745:$BZ$745, MATCH('Thomson Reuters VC Index'!B73, 'SVF Segment'!$I$2:$BZ$2, 0))</f>
        <v>114.52722831264749</v>
      </c>
      <c r="F73" s="248">
        <f>INDEX('SVF Segment'!$I$775:$BZ$775, MATCH('Thomson Reuters VC Index'!B73, 'SVF Segment'!$I$2:$BZ$2, 0))</f>
        <v>110.28893549087535</v>
      </c>
    </row>
    <row r="74" spans="1:9">
      <c r="A74" s="231" t="s">
        <v>811</v>
      </c>
      <c r="B74" s="231"/>
      <c r="C74" s="232">
        <v>12398.83</v>
      </c>
      <c r="D74" s="248">
        <f t="shared" si="16"/>
        <v>231.06194162526415</v>
      </c>
      <c r="E74" s="249"/>
      <c r="F74" s="249"/>
    </row>
    <row r="75" spans="1:9">
      <c r="A75" s="231" t="s">
        <v>812</v>
      </c>
      <c r="B75" s="231"/>
      <c r="C75" s="232">
        <v>10936.53</v>
      </c>
      <c r="D75" s="248">
        <f t="shared" si="16"/>
        <v>203.81083186421219</v>
      </c>
      <c r="E75" s="249"/>
      <c r="F75" s="249"/>
    </row>
    <row r="76" spans="1:9">
      <c r="A76" s="231" t="s">
        <v>813</v>
      </c>
      <c r="B76" s="231" t="s">
        <v>157</v>
      </c>
      <c r="C76" s="232">
        <v>9548.75</v>
      </c>
      <c r="D76" s="248">
        <f t="shared" si="16"/>
        <v>177.94846087044027</v>
      </c>
      <c r="E76" s="248">
        <f>INDEX('SVF Segment'!$I$745:$BZ$745, MATCH('Thomson Reuters VC Index'!B76, 'SVF Segment'!$I$2:$BZ$2, 0))</f>
        <v>111.88429227466332</v>
      </c>
      <c r="F76" s="248">
        <f>INDEX('SVF Segment'!$I$775:$BZ$775, MATCH('Thomson Reuters VC Index'!B76, 'SVF Segment'!$I$2:$BZ$2, 0))</f>
        <v>106.73397752814577</v>
      </c>
    </row>
    <row r="77" spans="1:9">
      <c r="A77" s="231" t="s">
        <v>814</v>
      </c>
      <c r="B77" s="231"/>
      <c r="C77" s="232">
        <v>10713.83</v>
      </c>
      <c r="D77" s="248">
        <f t="shared" si="16"/>
        <v>199.66064233826933</v>
      </c>
      <c r="E77" s="249"/>
      <c r="F77" s="249"/>
    </row>
    <row r="78" spans="1:9">
      <c r="A78" s="231" t="s">
        <v>815</v>
      </c>
      <c r="B78" s="231"/>
      <c r="C78" s="232">
        <v>11740.22</v>
      </c>
      <c r="D78" s="248">
        <f t="shared" si="16"/>
        <v>218.78822665588274</v>
      </c>
      <c r="E78" s="249"/>
      <c r="F78" s="249"/>
    </row>
    <row r="79" spans="1:9">
      <c r="A79" s="231" t="s">
        <v>816</v>
      </c>
      <c r="B79" s="231" t="s">
        <v>156</v>
      </c>
      <c r="C79" s="232">
        <v>10880.04</v>
      </c>
      <c r="D79" s="248">
        <f t="shared" si="16"/>
        <v>202.75809631719596</v>
      </c>
      <c r="E79" s="248">
        <f>INDEX('SVF Segment'!$I$745:$BZ$745, MATCH('Thomson Reuters VC Index'!B79, 'SVF Segment'!$I$2:$BZ$2, 0))</f>
        <v>127.23623180372991</v>
      </c>
      <c r="F79" s="248">
        <f>INDEX('SVF Segment'!$I$775:$BZ$775, MATCH('Thomson Reuters VC Index'!B79, 'SVF Segment'!$I$2:$BZ$2, 0))</f>
        <v>136.21800891032976</v>
      </c>
    </row>
    <row r="80" spans="1:9">
      <c r="A80" s="231" t="s">
        <v>817</v>
      </c>
      <c r="B80" s="231"/>
      <c r="C80" s="232">
        <v>10441.969999999999</v>
      </c>
      <c r="D80" s="248">
        <f t="shared" si="16"/>
        <v>194.59431757615511</v>
      </c>
      <c r="E80" s="249"/>
      <c r="F80" s="249"/>
    </row>
    <row r="81" spans="1:6">
      <c r="A81" s="231" t="s">
        <v>818</v>
      </c>
      <c r="B81" s="231"/>
      <c r="C81" s="232">
        <v>9583.84</v>
      </c>
      <c r="D81" s="248">
        <f t="shared" si="16"/>
        <v>178.60239059861871</v>
      </c>
      <c r="E81" s="249"/>
      <c r="F81" s="249"/>
    </row>
    <row r="82" spans="1:6">
      <c r="A82" s="231" t="s">
        <v>819</v>
      </c>
      <c r="B82" s="231" t="s">
        <v>155</v>
      </c>
      <c r="C82" s="232">
        <v>9230.1299999999992</v>
      </c>
      <c r="D82" s="248">
        <f t="shared" si="16"/>
        <v>172.01072675837955</v>
      </c>
      <c r="E82" s="248">
        <f>INDEX('SVF Segment'!$I$745:$BZ$745, MATCH('Thomson Reuters VC Index'!B82, 'SVF Segment'!$I$2:$BZ$2, 0))</f>
        <v>129.94677809528807</v>
      </c>
      <c r="F82" s="248">
        <f>INDEX('SVF Segment'!$I$775:$BZ$775, MATCH('Thomson Reuters VC Index'!B82, 'SVF Segment'!$I$2:$BZ$2, 0))</f>
        <v>141.7021824791903</v>
      </c>
    </row>
    <row r="83" spans="1:6">
      <c r="A83" s="231" t="s">
        <v>820</v>
      </c>
      <c r="B83" s="231"/>
      <c r="C83" s="232">
        <v>9526.48</v>
      </c>
      <c r="D83" s="248">
        <f t="shared" si="16"/>
        <v>177.53344191784598</v>
      </c>
      <c r="E83" s="249"/>
      <c r="F83" s="249"/>
    </row>
    <row r="84" spans="1:6">
      <c r="A84" s="231" t="s">
        <v>821</v>
      </c>
      <c r="B84" s="231"/>
      <c r="C84" s="232">
        <v>9943.01</v>
      </c>
      <c r="D84" s="248">
        <f t="shared" si="16"/>
        <v>185.29580583001925</v>
      </c>
      <c r="E84" s="249"/>
      <c r="F84" s="249"/>
    </row>
    <row r="85" spans="1:6">
      <c r="A85" s="231" t="s">
        <v>822</v>
      </c>
      <c r="B85" s="231" t="s">
        <v>154</v>
      </c>
      <c r="C85" s="232">
        <v>9595.67</v>
      </c>
      <c r="D85" s="248">
        <f t="shared" si="16"/>
        <v>178.8228519461351</v>
      </c>
      <c r="E85" s="248">
        <f>INDEX('SVF Segment'!$I$745:$BZ$745, MATCH('Thomson Reuters VC Index'!B85, 'SVF Segment'!$I$2:$BZ$2, 0))</f>
        <v>145.01792503932921</v>
      </c>
      <c r="F85" s="248">
        <f>INDEX('SVF Segment'!$I$775:$BZ$775, MATCH('Thomson Reuters VC Index'!B85, 'SVF Segment'!$I$2:$BZ$2, 0))</f>
        <v>170.3124444762727</v>
      </c>
    </row>
    <row r="86" spans="1:6">
      <c r="A86" s="231" t="s">
        <v>823</v>
      </c>
      <c r="B86" s="231"/>
      <c r="C86" s="232">
        <v>8810.2999999999993</v>
      </c>
      <c r="D86" s="248">
        <f t="shared" si="16"/>
        <v>164.18686475264718</v>
      </c>
      <c r="E86" s="249"/>
      <c r="F86" s="249"/>
    </row>
    <row r="87" spans="1:6">
      <c r="A87" s="231" t="s">
        <v>824</v>
      </c>
      <c r="B87" s="231"/>
      <c r="C87" s="232">
        <v>9902.2099999999991</v>
      </c>
      <c r="D87" s="248">
        <f t="shared" si="16"/>
        <v>184.53546576419762</v>
      </c>
      <c r="E87" s="249"/>
      <c r="F87" s="249"/>
    </row>
    <row r="88" spans="1:6">
      <c r="A88" s="231" t="s">
        <v>825</v>
      </c>
      <c r="B88" s="231" t="s">
        <v>166</v>
      </c>
      <c r="C88" s="232">
        <v>9145.93</v>
      </c>
      <c r="D88" s="248">
        <f t="shared" si="16"/>
        <v>170.44159358332618</v>
      </c>
      <c r="E88" s="248">
        <f>INDEX('SVF Segment'!$I$745:$BZ$745, MATCH('Thomson Reuters VC Index'!B88, 'SVF Segment'!$I$2:$BZ$2, 0))</f>
        <v>138.49035420422558</v>
      </c>
      <c r="F88" s="248">
        <f>INDEX('SVF Segment'!$I$775:$BZ$775, MATCH('Thomson Reuters VC Index'!B88, 'SVF Segment'!$I$2:$BZ$2, 0))</f>
        <v>160.59170783494631</v>
      </c>
    </row>
    <row r="89" spans="1:6">
      <c r="A89" s="231" t="s">
        <v>826</v>
      </c>
      <c r="B89" s="231"/>
      <c r="C89" s="232">
        <v>8640.15</v>
      </c>
      <c r="D89" s="248">
        <f t="shared" si="16"/>
        <v>161.01598577716817</v>
      </c>
      <c r="E89" s="249"/>
      <c r="F89" s="249"/>
    </row>
    <row r="90" spans="1:6">
      <c r="A90" s="231" t="s">
        <v>827</v>
      </c>
      <c r="B90" s="231"/>
      <c r="C90" s="232">
        <v>8102.56</v>
      </c>
      <c r="D90" s="248">
        <f t="shared" si="16"/>
        <v>150.99757362067228</v>
      </c>
      <c r="E90" s="249"/>
      <c r="F90" s="249"/>
    </row>
    <row r="91" spans="1:6">
      <c r="A91" s="231" t="s">
        <v>828</v>
      </c>
      <c r="B91" s="231" t="s">
        <v>165</v>
      </c>
      <c r="C91" s="232">
        <v>7080.34</v>
      </c>
      <c r="D91" s="248">
        <f t="shared" si="16"/>
        <v>131.94770053037445</v>
      </c>
      <c r="E91" s="248">
        <f>INDEX('SVF Segment'!$I$745:$BZ$745, MATCH('Thomson Reuters VC Index'!B91, 'SVF Segment'!$I$2:$BZ$2, 0))</f>
        <v>133.89316402317246</v>
      </c>
      <c r="F91" s="248">
        <f>INDEX('SVF Segment'!$I$775:$BZ$775, MATCH('Thomson Reuters VC Index'!B91, 'SVF Segment'!$I$2:$BZ$2, 0))</f>
        <v>153.93607714477085</v>
      </c>
    </row>
    <row r="92" spans="1:6">
      <c r="A92" s="231" t="s">
        <v>829</v>
      </c>
      <c r="B92" s="231"/>
      <c r="C92" s="232">
        <v>7945.94</v>
      </c>
      <c r="D92" s="248">
        <f t="shared" si="16"/>
        <v>148.07883682878557</v>
      </c>
      <c r="E92" s="249"/>
      <c r="F92" s="249"/>
    </row>
    <row r="93" spans="1:6">
      <c r="A93" s="231" t="s">
        <v>830</v>
      </c>
      <c r="B93" s="231"/>
      <c r="C93" s="232">
        <v>7912.01</v>
      </c>
      <c r="D93" s="248">
        <f t="shared" si="16"/>
        <v>147.44652461228247</v>
      </c>
      <c r="E93" s="249"/>
      <c r="F93" s="249"/>
    </row>
    <row r="94" spans="1:6">
      <c r="A94" s="231" t="s">
        <v>831</v>
      </c>
      <c r="B94" s="231" t="s">
        <v>164</v>
      </c>
      <c r="C94" s="232">
        <v>9295.16</v>
      </c>
      <c r="D94" s="248">
        <f t="shared" si="16"/>
        <v>173.22261191721236</v>
      </c>
      <c r="E94" s="248">
        <f>INDEX('SVF Segment'!$I$745:$BZ$745, MATCH('Thomson Reuters VC Index'!B94, 'SVF Segment'!$I$2:$BZ$2, 0))</f>
        <v>129.23021801241521</v>
      </c>
      <c r="F94" s="248">
        <f>INDEX('SVF Segment'!$I$775:$BZ$775, MATCH('Thomson Reuters VC Index'!B94, 'SVF Segment'!$I$2:$BZ$2, 0))</f>
        <v>146.19979372175368</v>
      </c>
    </row>
    <row r="95" spans="1:6">
      <c r="A95" s="231" t="s">
        <v>832</v>
      </c>
      <c r="B95" s="231"/>
      <c r="C95" s="232">
        <v>9224.61</v>
      </c>
      <c r="D95" s="248">
        <f t="shared" ref="D95:D107" si="19">100*C95/$C$109</f>
        <v>171.90785722006254</v>
      </c>
      <c r="E95" s="249"/>
      <c r="F95" s="249"/>
    </row>
    <row r="96" spans="1:6">
      <c r="A96" s="231" t="s">
        <v>833</v>
      </c>
      <c r="B96" s="231"/>
      <c r="C96" s="232">
        <v>8367.9</v>
      </c>
      <c r="D96" s="248">
        <f t="shared" si="19"/>
        <v>155.94239305854245</v>
      </c>
      <c r="E96" s="249"/>
      <c r="F96" s="249"/>
    </row>
    <row r="97" spans="1:6">
      <c r="A97" s="231" t="s">
        <v>834</v>
      </c>
      <c r="B97" s="231" t="s">
        <v>163</v>
      </c>
      <c r="C97" s="232">
        <v>8356.59</v>
      </c>
      <c r="D97" s="248">
        <f t="shared" si="19"/>
        <v>155.73162231970807</v>
      </c>
      <c r="E97" s="248">
        <f>INDEX('SVF Segment'!$I$745:$BZ$745, MATCH('Thomson Reuters VC Index'!B97, 'SVF Segment'!$I$2:$BZ$2, 0))</f>
        <v>121.94518121269574</v>
      </c>
      <c r="F97" s="248">
        <f>INDEX('SVF Segment'!$I$775:$BZ$775, MATCH('Thomson Reuters VC Index'!B97, 'SVF Segment'!$I$2:$BZ$2, 0))</f>
        <v>134.11669076398951</v>
      </c>
    </row>
    <row r="98" spans="1:6">
      <c r="A98" s="231" t="s">
        <v>835</v>
      </c>
      <c r="B98" s="231"/>
      <c r="C98" s="232">
        <v>8181.43</v>
      </c>
      <c r="D98" s="248">
        <f t="shared" si="19"/>
        <v>152.46737805673479</v>
      </c>
      <c r="E98" s="249"/>
      <c r="F98" s="249"/>
    </row>
    <row r="99" spans="1:6">
      <c r="A99" s="231" t="s">
        <v>836</v>
      </c>
      <c r="B99" s="231"/>
      <c r="C99" s="232">
        <v>7461.44</v>
      </c>
      <c r="D99" s="248">
        <f t="shared" si="19"/>
        <v>139.04979854715413</v>
      </c>
      <c r="E99" s="249"/>
      <c r="F99" s="249"/>
    </row>
    <row r="100" spans="1:6">
      <c r="A100" s="231" t="s">
        <v>837</v>
      </c>
      <c r="B100" s="231" t="s">
        <v>197</v>
      </c>
      <c r="C100" s="232">
        <v>7330.03</v>
      </c>
      <c r="D100" s="248">
        <f t="shared" si="19"/>
        <v>136.60086991848706</v>
      </c>
      <c r="E100" s="248">
        <f>INDEX('SVF Segment'!$I$745:$BZ$745, MATCH('Thomson Reuters VC Index'!B100, 'SVF Segment'!$I$2:$BZ$2, 0))</f>
        <v>115.13441311305051</v>
      </c>
      <c r="F100" s="248">
        <f>INDEX('SVF Segment'!$I$775:$BZ$775, MATCH('Thomson Reuters VC Index'!B100, 'SVF Segment'!$I$2:$BZ$2, 0))</f>
        <v>122.73574448548668</v>
      </c>
    </row>
    <row r="101" spans="1:6">
      <c r="A101" s="231" t="s">
        <v>838</v>
      </c>
      <c r="B101" s="231"/>
      <c r="C101" s="232">
        <v>7848.98</v>
      </c>
      <c r="D101" s="248">
        <f t="shared" si="19"/>
        <v>146.27191102530367</v>
      </c>
      <c r="E101" s="249"/>
      <c r="F101" s="249"/>
    </row>
    <row r="102" spans="1:6">
      <c r="A102" s="231" t="s">
        <v>839</v>
      </c>
      <c r="B102" s="231"/>
      <c r="C102" s="232">
        <v>7686.79</v>
      </c>
      <c r="D102" s="248">
        <f t="shared" si="19"/>
        <v>143.24937290580354</v>
      </c>
      <c r="E102" s="249"/>
      <c r="F102" s="249"/>
    </row>
    <row r="103" spans="1:6">
      <c r="A103" s="231" t="s">
        <v>840</v>
      </c>
      <c r="B103" s="231" t="s">
        <v>196</v>
      </c>
      <c r="C103" s="232">
        <v>6524.28</v>
      </c>
      <c r="D103" s="248">
        <f t="shared" si="19"/>
        <v>121.5850854078069</v>
      </c>
      <c r="E103" s="248">
        <f>INDEX('SVF Segment'!$I$745:$BZ$745, MATCH('Thomson Reuters VC Index'!B103, 'SVF Segment'!$I$2:$BZ$2, 0))</f>
        <v>111.65603205223327</v>
      </c>
      <c r="F103" s="248">
        <f>INDEX('SVF Segment'!$I$775:$BZ$775, MATCH('Thomson Reuters VC Index'!B103, 'SVF Segment'!$I$2:$BZ$2, 0))</f>
        <v>117.24048807370322</v>
      </c>
    </row>
    <row r="104" spans="1:6">
      <c r="A104" s="231" t="s">
        <v>841</v>
      </c>
      <c r="B104" s="231"/>
      <c r="C104" s="232">
        <v>6571.91</v>
      </c>
      <c r="D104" s="248">
        <f t="shared" si="19"/>
        <v>122.4727078915099</v>
      </c>
      <c r="E104" s="249"/>
      <c r="F104" s="249"/>
    </row>
    <row r="105" spans="1:6">
      <c r="A105" s="231" t="s">
        <v>842</v>
      </c>
      <c r="B105" s="231"/>
      <c r="C105" s="232">
        <v>6590.35</v>
      </c>
      <c r="D105" s="248">
        <f t="shared" si="19"/>
        <v>122.81635178400377</v>
      </c>
      <c r="E105" s="249"/>
      <c r="F105" s="249"/>
    </row>
    <row r="106" spans="1:6">
      <c r="A106" s="231" t="s">
        <v>843</v>
      </c>
      <c r="B106" s="231" t="s">
        <v>195</v>
      </c>
      <c r="C106" s="232">
        <v>5932.65</v>
      </c>
      <c r="D106" s="248">
        <f t="shared" si="19"/>
        <v>110.55959537981595</v>
      </c>
      <c r="E106" s="248">
        <f>INDEX('SVF Segment'!$I$745:$BZ$745, MATCH('Thomson Reuters VC Index'!B106, 'SVF Segment'!$I$2:$BZ$2, 0))</f>
        <v>109.78260869565217</v>
      </c>
      <c r="F106" s="248">
        <f>INDEX('SVF Segment'!$I$775:$BZ$775, MATCH('Thomson Reuters VC Index'!B106, 'SVF Segment'!$I$2:$BZ$2, 0))</f>
        <v>114.71632051768358</v>
      </c>
    </row>
    <row r="107" spans="1:6">
      <c r="A107" s="231" t="s">
        <v>844</v>
      </c>
      <c r="B107" s="231"/>
      <c r="C107" s="232">
        <v>6011.14</v>
      </c>
      <c r="D107" s="248">
        <f t="shared" si="19"/>
        <v>112.02231821722617</v>
      </c>
      <c r="E107" s="249"/>
      <c r="F107" s="249"/>
    </row>
    <row r="108" spans="1:6">
      <c r="A108" s="231" t="s">
        <v>845</v>
      </c>
      <c r="B108" s="231"/>
      <c r="C108" s="232">
        <v>5780.14</v>
      </c>
      <c r="D108" s="248">
        <f>100*C108/$C$109</f>
        <v>107.71745166808918</v>
      </c>
      <c r="E108" s="249"/>
      <c r="F108" s="249"/>
    </row>
    <row r="109" spans="1:6">
      <c r="A109" s="231" t="s">
        <v>846</v>
      </c>
      <c r="B109" s="231" t="s">
        <v>194</v>
      </c>
      <c r="C109" s="232">
        <v>5366.02</v>
      </c>
      <c r="D109" s="248">
        <f>100*C109/$C$109</f>
        <v>99.999999999999986</v>
      </c>
      <c r="E109" s="248">
        <f>INDEX('SVF Segment'!$I$745:$BZ$745, MATCH('Thomson Reuters VC Index'!B109, 'SVF Segment'!$I$2:$BZ$2, 0))</f>
        <v>100</v>
      </c>
      <c r="F109" s="248">
        <f>INDEX('SVF Segment'!$I$775:$BZ$775, MATCH('Thomson Reuters VC Index'!B109, 'SVF Segment'!$I$2:$BZ$2, 0))</f>
        <v>100</v>
      </c>
    </row>
    <row r="110" spans="1:6">
      <c r="A110" s="231" t="s">
        <v>847</v>
      </c>
      <c r="B110" s="231"/>
      <c r="C110" s="232">
        <v>5496.01</v>
      </c>
    </row>
    <row r="111" spans="1:6">
      <c r="A111" s="231" t="s">
        <v>848</v>
      </c>
      <c r="B111" s="231"/>
      <c r="C111" s="232">
        <v>5146.6499999999996</v>
      </c>
    </row>
    <row r="112" spans="1:6">
      <c r="A112" s="231" t="s">
        <v>849</v>
      </c>
      <c r="B112" s="231" t="s">
        <v>857</v>
      </c>
      <c r="C112" s="232">
        <v>4897.3599999999997</v>
      </c>
      <c r="E112" s="234"/>
      <c r="F112" s="234"/>
    </row>
    <row r="113" spans="1:3">
      <c r="A113" s="231" t="s">
        <v>850</v>
      </c>
      <c r="B113" s="231"/>
      <c r="C113" s="232">
        <v>4781.25</v>
      </c>
    </row>
    <row r="114" spans="1:3">
      <c r="A114" s="231" t="s">
        <v>851</v>
      </c>
      <c r="B114" s="231"/>
      <c r="C114" s="232">
        <v>4529.6400000000003</v>
      </c>
    </row>
    <row r="115" spans="1:3">
      <c r="A115" s="231" t="s">
        <v>852</v>
      </c>
      <c r="B115" s="231" t="s">
        <v>858</v>
      </c>
      <c r="C115" s="232">
        <v>4186.87</v>
      </c>
    </row>
  </sheetData>
  <phoneticPr fontId="30"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D3D96-CFEB-4709-AA35-868CC5E895A4}">
  <sheetPr codeName="Sheet17"/>
  <dimension ref="A1:V116"/>
  <sheetViews>
    <sheetView topLeftCell="A25" zoomScale="90" zoomScaleNormal="90" workbookViewId="0">
      <selection activeCell="I40" sqref="I40"/>
    </sheetView>
  </sheetViews>
  <sheetFormatPr defaultColWidth="9.140625" defaultRowHeight="12" outlineLevelCol="1"/>
  <cols>
    <col min="1" max="1" width="9.140625" style="229" outlineLevel="1"/>
    <col min="2" max="2" width="9.7109375" style="229" customWidth="1"/>
    <col min="3" max="9" width="11.42578125" style="229" customWidth="1"/>
    <col min="10" max="10" width="12.85546875" style="229" customWidth="1"/>
    <col min="11" max="16384" width="9.140625" style="229"/>
  </cols>
  <sheetData>
    <row r="1" spans="1:22" s="230" customFormat="1">
      <c r="B1" s="230" t="s">
        <v>853</v>
      </c>
    </row>
    <row r="3" spans="1:22" ht="36">
      <c r="C3" s="244" t="s">
        <v>84</v>
      </c>
      <c r="D3" s="244" t="s">
        <v>861</v>
      </c>
      <c r="E3" s="245" t="s">
        <v>859</v>
      </c>
      <c r="F3" s="241" t="s">
        <v>83</v>
      </c>
      <c r="G3" s="241" t="s">
        <v>924</v>
      </c>
      <c r="H3" s="242" t="s">
        <v>859</v>
      </c>
      <c r="I3" s="238" t="s">
        <v>962</v>
      </c>
      <c r="J3" s="265" t="s">
        <v>1001</v>
      </c>
      <c r="S3" s="245" t="s">
        <v>2381</v>
      </c>
      <c r="T3" s="245" t="s">
        <v>2382</v>
      </c>
      <c r="U3" s="242" t="s">
        <v>2383</v>
      </c>
      <c r="V3" s="242" t="s">
        <v>2384</v>
      </c>
    </row>
    <row r="4" spans="1:22">
      <c r="A4" s="233" t="s">
        <v>194</v>
      </c>
      <c r="B4" s="233" t="s">
        <v>194</v>
      </c>
      <c r="C4" s="246">
        <f>VLOOKUP(B4, 'Thomson Reuters VC Index'!B:E, 4, FALSE)</f>
        <v>100</v>
      </c>
      <c r="D4" s="246">
        <f>VLOOKUP(B4, 'Thomson Reuters VC Index'!B:F, 5, FALSE)</f>
        <v>100</v>
      </c>
      <c r="E4" s="246">
        <f>VLOOKUP(B4, 'Thomson Reuters VC Index'!B:D, 3, FALSE)</f>
        <v>99.999999999999986</v>
      </c>
      <c r="F4" s="243"/>
      <c r="G4" s="243"/>
      <c r="H4" s="243"/>
      <c r="I4" s="237"/>
      <c r="J4" s="235"/>
      <c r="S4" s="551">
        <f>INDEX('SVF Segment'!$I$754:$BZ$754, MATCH('SVF Indexes'!B4, 'SVF Segment'!$I$2:$BZ$2, 0))/1000</f>
        <v>0</v>
      </c>
      <c r="T4" s="550">
        <f>INDEX('SVF Segment'!$I$765:$BZ$765, MATCH('SVF Indexes'!B4, 'SVF Segment'!$I$2:$BZ$2, 0))</f>
        <v>0</v>
      </c>
      <c r="U4" s="552">
        <f>INDEX('SVF Segment'!$I$924:$BZ$924, MATCH('SVF Indexes'!B4, 'SVF Segment'!$I$2:$BZ$2, 0))/1000</f>
        <v>0</v>
      </c>
      <c r="V4" s="553">
        <f>INDEX('SVF Segment'!$I$933:$BZ$933, MATCH('SVF Indexes'!B4, 'SVF Segment'!$I$2:$BZ$2, 0))</f>
        <v>0</v>
      </c>
    </row>
    <row r="5" spans="1:22">
      <c r="A5" s="233" t="s">
        <v>195</v>
      </c>
      <c r="B5" s="233" t="s">
        <v>195</v>
      </c>
      <c r="C5" s="246">
        <f>VLOOKUP(B5, 'Thomson Reuters VC Index'!B:E, 4, FALSE)</f>
        <v>109.78260869565217</v>
      </c>
      <c r="D5" s="246">
        <f>VLOOKUP(B5, 'Thomson Reuters VC Index'!B:F, 5, FALSE)</f>
        <v>114.71632051768358</v>
      </c>
      <c r="E5" s="246">
        <f>VLOOKUP(B5, 'Thomson Reuters VC Index'!B:D, 3, FALSE)</f>
        <v>110.55959537981595</v>
      </c>
      <c r="F5" s="243"/>
      <c r="G5" s="243"/>
      <c r="H5" s="243"/>
      <c r="I5" s="237"/>
      <c r="J5" s="235"/>
      <c r="S5" s="551">
        <f>INDEX('SVF Segment'!$I$754:$BZ$754, MATCH('SVF Indexes'!B5, 'SVF Segment'!$I$2:$BZ$2, 0))/1000</f>
        <v>2.1690942961057393</v>
      </c>
      <c r="T5" s="550">
        <f>INDEX('SVF Segment'!$I$765:$BZ$765, MATCH('SVF Indexes'!B5, 'SVF Segment'!$I$2:$BZ$2, 0))</f>
        <v>9.6968355866037872E-2</v>
      </c>
      <c r="U5" s="552">
        <f>INDEX('SVF Segment'!$I$924:$BZ$924, MATCH('SVF Indexes'!B5, 'SVF Segment'!$I$2:$BZ$2, 0))/1000</f>
        <v>0</v>
      </c>
      <c r="V5" s="553">
        <f>INDEX('SVF Segment'!$I$933:$BZ$933, MATCH('SVF Indexes'!B5, 'SVF Segment'!$I$2:$BZ$2, 0))</f>
        <v>0</v>
      </c>
    </row>
    <row r="6" spans="1:22">
      <c r="A6" s="233" t="s">
        <v>196</v>
      </c>
      <c r="B6" s="233" t="s">
        <v>196</v>
      </c>
      <c r="C6" s="246">
        <f>VLOOKUP(B6, 'Thomson Reuters VC Index'!B:E, 4, FALSE)</f>
        <v>111.65603205223327</v>
      </c>
      <c r="D6" s="246">
        <f>VLOOKUP(B6, 'Thomson Reuters VC Index'!B:F, 5, FALSE)</f>
        <v>117.24048807370322</v>
      </c>
      <c r="E6" s="246">
        <f>VLOOKUP(B6, 'Thomson Reuters VC Index'!B:D, 3, FALSE)</f>
        <v>121.5850854078069</v>
      </c>
      <c r="F6" s="243"/>
      <c r="G6" s="243"/>
      <c r="H6" s="243"/>
      <c r="I6" s="237"/>
      <c r="J6" s="235"/>
      <c r="S6" s="551">
        <f>INDEX('SVF Segment'!$I$754:$BZ$754, MATCH('SVF Indexes'!B6, 'SVF Segment'!$I$2:$BZ$2, 0))/1000</f>
        <v>3.2980884955752212</v>
      </c>
      <c r="T6" s="550">
        <f>INDEX('SVF Segment'!$I$765:$BZ$765, MATCH('SVF Indexes'!B6, 'SVF Segment'!$I$2:$BZ$2, 0))</f>
        <v>9.9645890306207033E-2</v>
      </c>
      <c r="U6" s="552">
        <f>INDEX('SVF Segment'!$I$924:$BZ$924, MATCH('SVF Indexes'!B6, 'SVF Segment'!$I$2:$BZ$2, 0))/1000</f>
        <v>0</v>
      </c>
      <c r="V6" s="553">
        <f>INDEX('SVF Segment'!$I$933:$BZ$933, MATCH('SVF Indexes'!B6, 'SVF Segment'!$I$2:$BZ$2, 0))</f>
        <v>0</v>
      </c>
    </row>
    <row r="7" spans="1:22">
      <c r="A7" s="233" t="s">
        <v>197</v>
      </c>
      <c r="B7" s="233" t="s">
        <v>197</v>
      </c>
      <c r="C7" s="246">
        <f>VLOOKUP(B7, 'Thomson Reuters VC Index'!B:E, 4, FALSE)</f>
        <v>115.13441311305051</v>
      </c>
      <c r="D7" s="246">
        <f>VLOOKUP(B7, 'Thomson Reuters VC Index'!B:F, 5, FALSE)</f>
        <v>122.73574448548668</v>
      </c>
      <c r="E7" s="246">
        <f>VLOOKUP(B7, 'Thomson Reuters VC Index'!B:D, 3, FALSE)</f>
        <v>136.60086991848706</v>
      </c>
      <c r="F7" s="243"/>
      <c r="G7" s="243"/>
      <c r="H7" s="243"/>
      <c r="I7" s="237"/>
      <c r="J7" s="235"/>
      <c r="S7" s="551">
        <f>INDEX('SVF Segment'!$I$754:$BZ$754, MATCH('SVF Indexes'!B7, 'SVF Segment'!$I$2:$BZ$2, 0))/1000</f>
        <v>4.6913309487951809</v>
      </c>
      <c r="T7" s="550">
        <f>INDEX('SVF Segment'!$I$765:$BZ$765, MATCH('SVF Indexes'!B7, 'SVF Segment'!$I$2:$BZ$2, 0))</f>
        <v>0.12413775410957695</v>
      </c>
      <c r="U7" s="552">
        <f>INDEX('SVF Segment'!$I$924:$BZ$924, MATCH('SVF Indexes'!B7, 'SVF Segment'!$I$2:$BZ$2, 0))/1000</f>
        <v>0</v>
      </c>
      <c r="V7" s="553">
        <f>INDEX('SVF Segment'!$I$933:$BZ$933, MATCH('SVF Indexes'!B7, 'SVF Segment'!$I$2:$BZ$2, 0))</f>
        <v>0</v>
      </c>
    </row>
    <row r="8" spans="1:22">
      <c r="A8" s="233" t="s">
        <v>163</v>
      </c>
      <c r="B8" s="233" t="s">
        <v>163</v>
      </c>
      <c r="C8" s="246">
        <f>VLOOKUP(B8, 'Thomson Reuters VC Index'!B:E, 4, FALSE)</f>
        <v>121.94518121269574</v>
      </c>
      <c r="D8" s="246">
        <f>VLOOKUP(B8, 'Thomson Reuters VC Index'!B:F, 5, FALSE)</f>
        <v>134.11669076398951</v>
      </c>
      <c r="E8" s="246">
        <f>VLOOKUP(B8, 'Thomson Reuters VC Index'!B:D, 3, FALSE)</f>
        <v>155.73162231970807</v>
      </c>
      <c r="F8" s="243"/>
      <c r="G8" s="243"/>
      <c r="H8" s="243"/>
      <c r="I8" s="266"/>
      <c r="J8" s="266"/>
      <c r="S8" s="551">
        <f>INDEX('SVF Segment'!$I$754:$BZ$754, MATCH('SVF Indexes'!B8, 'SVF Segment'!$I$2:$BZ$2, 0))/1000</f>
        <v>5.5635245160123032</v>
      </c>
      <c r="T8" s="550">
        <f>INDEX('SVF Segment'!$I$765:$BZ$765, MATCH('SVF Indexes'!B8, 'SVF Segment'!$I$2:$BZ$2, 0))</f>
        <v>0.12889412017196167</v>
      </c>
      <c r="U8" s="552">
        <f>INDEX('SVF Segment'!$I$924:$BZ$924, MATCH('SVF Indexes'!B8, 'SVF Segment'!$I$2:$BZ$2, 0))/1000</f>
        <v>0</v>
      </c>
      <c r="V8" s="553">
        <f>INDEX('SVF Segment'!$I$933:$BZ$933, MATCH('SVF Indexes'!B8, 'SVF Segment'!$I$2:$BZ$2, 0))</f>
        <v>0</v>
      </c>
    </row>
    <row r="9" spans="1:22">
      <c r="A9" s="233" t="s">
        <v>164</v>
      </c>
      <c r="B9" s="233" t="s">
        <v>164</v>
      </c>
      <c r="C9" s="246">
        <f>VLOOKUP(B9, 'Thomson Reuters VC Index'!B:E, 4, FALSE)</f>
        <v>129.23021801241521</v>
      </c>
      <c r="D9" s="246">
        <f>VLOOKUP(B9, 'Thomson Reuters VC Index'!B:F, 5, FALSE)</f>
        <v>146.19979372175368</v>
      </c>
      <c r="E9" s="246">
        <f>VLOOKUP(B9, 'Thomson Reuters VC Index'!B:D, 3, FALSE)</f>
        <v>173.22261191721236</v>
      </c>
      <c r="F9" s="243"/>
      <c r="G9" s="243"/>
      <c r="H9" s="243"/>
      <c r="I9" s="266"/>
      <c r="J9" s="266"/>
      <c r="S9" s="551">
        <f>INDEX('SVF Segment'!$I$754:$BZ$754, MATCH('SVF Indexes'!B9, 'SVF Segment'!$I$2:$BZ$2, 0))/1000</f>
        <v>5.5990930703530868</v>
      </c>
      <c r="T9" s="550">
        <f>INDEX('SVF Segment'!$I$765:$BZ$765, MATCH('SVF Indexes'!B9, 'SVF Segment'!$I$2:$BZ$2, 0))</f>
        <v>0.12067246792654773</v>
      </c>
      <c r="U9" s="552">
        <f>INDEX('SVF Segment'!$I$924:$BZ$924, MATCH('SVF Indexes'!B9, 'SVF Segment'!$I$2:$BZ$2, 0))/1000</f>
        <v>0</v>
      </c>
      <c r="V9" s="553">
        <f>INDEX('SVF Segment'!$I$933:$BZ$933, MATCH('SVF Indexes'!B9, 'SVF Segment'!$I$2:$BZ$2, 0))</f>
        <v>0</v>
      </c>
    </row>
    <row r="10" spans="1:22">
      <c r="A10" s="233" t="s">
        <v>165</v>
      </c>
      <c r="B10" s="233" t="s">
        <v>165</v>
      </c>
      <c r="C10" s="246">
        <f>VLOOKUP(B10, 'Thomson Reuters VC Index'!B:E, 4, FALSE)</f>
        <v>133.89316402317246</v>
      </c>
      <c r="D10" s="246">
        <f>VLOOKUP(B10, 'Thomson Reuters VC Index'!B:F, 5, FALSE)</f>
        <v>153.93607714477085</v>
      </c>
      <c r="E10" s="246">
        <f>VLOOKUP(B10, 'Thomson Reuters VC Index'!B:D, 3, FALSE)</f>
        <v>131.94770053037445</v>
      </c>
      <c r="F10" s="243"/>
      <c r="G10" s="243"/>
      <c r="H10" s="243"/>
      <c r="I10" s="266">
        <f>VLOOKUP(B10, 'SBG Discount to NAV Workings'!B:H, 7, FALSE)</f>
        <v>0.63412953605879652</v>
      </c>
      <c r="J10" s="266">
        <f>VLOOKUP(B10, 'SBG Discount to NAV Workings'!B:T, 19, FALSE)</f>
        <v>0.97492937853107342</v>
      </c>
      <c r="S10" s="551">
        <f>INDEX('SVF Segment'!$I$754:$BZ$754, MATCH('SVF Indexes'!B10, 'SVF Segment'!$I$2:$BZ$2, 0))/1000</f>
        <v>5.6697027027027023</v>
      </c>
      <c r="T10" s="550">
        <f>INDEX('SVF Segment'!$I$765:$BZ$765, MATCH('SVF Indexes'!B10, 'SVF Segment'!$I$2:$BZ$2, 0))</f>
        <v>8.5944039012175524E-2</v>
      </c>
      <c r="U10" s="552">
        <f>INDEX('SVF Segment'!$I$924:$BZ$924, MATCH('SVF Indexes'!B10, 'SVF Segment'!$I$2:$BZ$2, 0))/1000</f>
        <v>0</v>
      </c>
      <c r="V10" s="553">
        <f>INDEX('SVF Segment'!$I$933:$BZ$933, MATCH('SVF Indexes'!B10, 'SVF Segment'!$I$2:$BZ$2, 0))</f>
        <v>0</v>
      </c>
    </row>
    <row r="11" spans="1:22">
      <c r="A11" s="233" t="s">
        <v>166</v>
      </c>
      <c r="B11" s="233" t="s">
        <v>166</v>
      </c>
      <c r="C11" s="246">
        <f>VLOOKUP(B11, 'Thomson Reuters VC Index'!B:E, 4, FALSE)</f>
        <v>138.49035420422558</v>
      </c>
      <c r="D11" s="246">
        <f>VLOOKUP(B11, 'Thomson Reuters VC Index'!B:F, 5, FALSE)</f>
        <v>160.59170783494631</v>
      </c>
      <c r="E11" s="246">
        <f>VLOOKUP(B11, 'Thomson Reuters VC Index'!B:D, 3, FALSE)</f>
        <v>170.44159358332618</v>
      </c>
      <c r="F11" s="243"/>
      <c r="G11" s="243"/>
      <c r="H11" s="243"/>
      <c r="I11" s="266">
        <f>VLOOKUP(B11, 'SBG Discount to NAV Workings'!B:H, 7, FALSE)</f>
        <v>0.49978118161925589</v>
      </c>
      <c r="J11" s="266">
        <f>VLOOKUP(B11, 'SBG Discount to NAV Workings'!B:T, 19, FALSE)</f>
        <v>0.76387959866220734</v>
      </c>
      <c r="S11" s="551">
        <f>INDEX('SVF Segment'!$I$754:$BZ$754, MATCH('SVF Indexes'!B11, 'SVF Segment'!$I$2:$BZ$2, 0))/1000</f>
        <v>0.32949815298675561</v>
      </c>
      <c r="T11" s="550">
        <f>INDEX('SVF Segment'!$I$765:$BZ$765, MATCH('SVF Indexes'!B11, 'SVF Segment'!$I$2:$BZ$2, 0))</f>
        <v>4.5366987431566825E-3</v>
      </c>
      <c r="U11" s="552">
        <f>INDEX('SVF Segment'!$I$924:$BZ$924, MATCH('SVF Indexes'!B11, 'SVF Segment'!$I$2:$BZ$2, 0))/1000</f>
        <v>0</v>
      </c>
      <c r="V11" s="553">
        <f>INDEX('SVF Segment'!$I$933:$BZ$933, MATCH('SVF Indexes'!B11, 'SVF Segment'!$I$2:$BZ$2, 0))</f>
        <v>0</v>
      </c>
    </row>
    <row r="12" spans="1:22">
      <c r="A12" s="233" t="s">
        <v>154</v>
      </c>
      <c r="B12" s="233" t="s">
        <v>154</v>
      </c>
      <c r="C12" s="246">
        <f>VLOOKUP(B12, 'Thomson Reuters VC Index'!B:E, 4, FALSE)</f>
        <v>145.01792503932921</v>
      </c>
      <c r="D12" s="246">
        <f>VLOOKUP(B12, 'Thomson Reuters VC Index'!B:F, 5, FALSE)</f>
        <v>170.3124444762727</v>
      </c>
      <c r="E12" s="246">
        <f>VLOOKUP(B12, 'Thomson Reuters VC Index'!B:D, 3, FALSE)</f>
        <v>178.8228519461351</v>
      </c>
      <c r="F12" s="243"/>
      <c r="G12" s="243"/>
      <c r="H12" s="243"/>
      <c r="I12" s="266">
        <f>VLOOKUP(B12, 'SBG Discount to NAV Workings'!B:H, 7, FALSE)</f>
        <v>0.51718377088305489</v>
      </c>
      <c r="J12" s="266">
        <f>VLOOKUP(B12, 'SBG Discount to NAV Workings'!B:T, 19, FALSE)</f>
        <v>0.81161048689138582</v>
      </c>
      <c r="S12" s="551">
        <f>INDEX('SVF Segment'!$I$754:$BZ$754, MATCH('SVF Indexes'!B12, 'SVF Segment'!$I$2:$BZ$2, 0))/1000</f>
        <v>1.1820205956025605</v>
      </c>
      <c r="T12" s="550">
        <f>INDEX('SVF Segment'!$I$765:$BZ$765, MATCH('SVF Indexes'!B12, 'SVF Segment'!$I$2:$BZ$2, 0))</f>
        <v>1.4175964880190231E-2</v>
      </c>
      <c r="U12" s="552">
        <f>INDEX('SVF Segment'!$I$924:$BZ$924, MATCH('SVF Indexes'!B12, 'SVF Segment'!$I$2:$BZ$2, 0))/1000</f>
        <v>0</v>
      </c>
      <c r="V12" s="553">
        <f>INDEX('SVF Segment'!$I$933:$BZ$933, MATCH('SVF Indexes'!B12, 'SVF Segment'!$I$2:$BZ$2, 0))</f>
        <v>0</v>
      </c>
    </row>
    <row r="13" spans="1:22">
      <c r="A13" s="233" t="s">
        <v>155</v>
      </c>
      <c r="B13" s="233" t="s">
        <v>155</v>
      </c>
      <c r="C13" s="246">
        <f>VLOOKUP(B13, 'Thomson Reuters VC Index'!B:E, 4, FALSE)</f>
        <v>129.94677809528807</v>
      </c>
      <c r="D13" s="246">
        <f>VLOOKUP(B13, 'Thomson Reuters VC Index'!B:F, 5, FALSE)</f>
        <v>141.7021824791903</v>
      </c>
      <c r="E13" s="246">
        <f>VLOOKUP(B13, 'Thomson Reuters VC Index'!B:D, 3, FALSE)</f>
        <v>172.01072675837955</v>
      </c>
      <c r="F13" s="243"/>
      <c r="G13" s="243"/>
      <c r="H13" s="243"/>
      <c r="I13" s="266">
        <f>VLOOKUP(B13, 'SBG Discount to NAV Workings'!B:H, 7, FALSE)</f>
        <v>0.60803571428571423</v>
      </c>
      <c r="J13" s="266">
        <f>VLOOKUP(B13, 'SBG Discount to NAV Workings'!B:T, 19, FALSE)</f>
        <v>0.94060773480662985</v>
      </c>
      <c r="S13" s="551">
        <f>INDEX('SVF Segment'!$I$754:$BZ$754, MATCH('SVF Indexes'!B13, 'SVF Segment'!$I$2:$BZ$2, 0))/1000</f>
        <v>5.7853039288361749</v>
      </c>
      <c r="T13" s="550">
        <f>INDEX('SVF Segment'!$I$765:$BZ$765, MATCH('SVF Indexes'!B13, 'SVF Segment'!$I$2:$BZ$2, 0))</f>
        <v>6.9380378271134538E-2</v>
      </c>
      <c r="U13" s="552">
        <f>INDEX('SVF Segment'!$I$924:$BZ$924, MATCH('SVF Indexes'!B13, 'SVF Segment'!$I$2:$BZ$2, 0))/1000</f>
        <v>0</v>
      </c>
      <c r="V13" s="553">
        <f>INDEX('SVF Segment'!$I$933:$BZ$933, MATCH('SVF Indexes'!B13, 'SVF Segment'!$I$2:$BZ$2, 0))</f>
        <v>0</v>
      </c>
    </row>
    <row r="14" spans="1:22">
      <c r="A14" s="233" t="s">
        <v>156</v>
      </c>
      <c r="B14" s="233" t="s">
        <v>156</v>
      </c>
      <c r="C14" s="246">
        <f>VLOOKUP(B14, 'Thomson Reuters VC Index'!B:E, 4, FALSE)</f>
        <v>127.23623180372991</v>
      </c>
      <c r="D14" s="246">
        <f>VLOOKUP(B14, 'Thomson Reuters VC Index'!B:F, 5, FALSE)</f>
        <v>136.21800891032976</v>
      </c>
      <c r="E14" s="246">
        <f>VLOOKUP(B14, 'Thomson Reuters VC Index'!B:D, 3, FALSE)</f>
        <v>202.75809631719596</v>
      </c>
      <c r="F14" s="243"/>
      <c r="G14" s="243"/>
      <c r="H14" s="243"/>
      <c r="I14" s="266">
        <f>VLOOKUP(B14, 'SBG Discount to NAV Workings'!B:H, 7, FALSE)</f>
        <v>0.60694333599361527</v>
      </c>
      <c r="J14" s="266">
        <f>VLOOKUP(B14, 'SBG Discount to NAV Workings'!B:T, 19, FALSE)</f>
        <v>0.89260563380281688</v>
      </c>
      <c r="L14" s="479" t="s">
        <v>2217</v>
      </c>
      <c r="O14" s="479" t="s">
        <v>2218</v>
      </c>
      <c r="S14" s="551">
        <f>INDEX('SVF Segment'!$I$754:$BZ$754, MATCH('SVF Indexes'!B14, 'SVF Segment'!$I$2:$BZ$2, 0))/1000</f>
        <v>6.5835615188024823</v>
      </c>
      <c r="T14" s="550">
        <f>INDEX('SVF Segment'!$I$765:$BZ$765, MATCH('SVF Indexes'!B14, 'SVF Segment'!$I$2:$BZ$2, 0))</f>
        <v>7.621312901493979E-2</v>
      </c>
      <c r="U14" s="552">
        <f>INDEX('SVF Segment'!$I$924:$BZ$924, MATCH('SVF Indexes'!B14, 'SVF Segment'!$I$2:$BZ$2, 0))/1000</f>
        <v>0</v>
      </c>
      <c r="V14" s="553">
        <f>INDEX('SVF Segment'!$I$933:$BZ$933, MATCH('SVF Indexes'!B14, 'SVF Segment'!$I$2:$BZ$2, 0))</f>
        <v>0</v>
      </c>
    </row>
    <row r="15" spans="1:22">
      <c r="A15" s="233" t="s">
        <v>157</v>
      </c>
      <c r="B15" s="233" t="s">
        <v>157</v>
      </c>
      <c r="C15" s="246">
        <f>VLOOKUP(B15, 'Thomson Reuters VC Index'!B:E, 4, FALSE)</f>
        <v>111.88429227466332</v>
      </c>
      <c r="D15" s="246">
        <f>VLOOKUP(B15, 'Thomson Reuters VC Index'!B:F, 5, FALSE)</f>
        <v>106.73397752814577</v>
      </c>
      <c r="E15" s="246">
        <f>VLOOKUP(B15, 'Thomson Reuters VC Index'!B:D, 3, FALSE)</f>
        <v>177.94846087044027</v>
      </c>
      <c r="F15" s="243"/>
      <c r="G15" s="243"/>
      <c r="H15" s="243"/>
      <c r="I15" s="266">
        <f>VLOOKUP(B15, 'SBG Discount to NAV Workings'!B:H, 7, FALSE)</f>
        <v>0.63781163434903054</v>
      </c>
      <c r="J15" s="266">
        <f>VLOOKUP(B15, 'SBG Discount to NAV Workings'!B:T, 19, FALSE)</f>
        <v>0.98608137044967881</v>
      </c>
      <c r="L15" s="480">
        <v>0.6</v>
      </c>
      <c r="M15" s="480">
        <v>0.4</v>
      </c>
      <c r="O15" s="480">
        <v>0.8</v>
      </c>
      <c r="P15" s="480">
        <v>0.4</v>
      </c>
      <c r="Q15" s="904">
        <v>0.25</v>
      </c>
      <c r="R15" s="904">
        <v>0.05</v>
      </c>
      <c r="S15" s="551">
        <f>INDEX('SVF Segment'!$I$754:$BZ$754, MATCH('SVF Indexes'!B15, 'SVF Segment'!$I$2:$BZ$2, 0))/1000</f>
        <v>5.3435909216208763</v>
      </c>
      <c r="T15" s="550">
        <f>INDEX('SVF Segment'!$I$765:$BZ$765, MATCH('SVF Indexes'!B15, 'SVF Segment'!$I$2:$BZ$2, 0))</f>
        <v>7.1301506318391203E-2</v>
      </c>
      <c r="U15" s="552">
        <f>INDEX('SVF Segment'!$I$924:$BZ$924, MATCH('SVF Indexes'!B15, 'SVF Segment'!$I$2:$BZ$2, 0))/1000</f>
        <v>0</v>
      </c>
      <c r="V15" s="553">
        <f>INDEX('SVF Segment'!$I$933:$BZ$933, MATCH('SVF Indexes'!B15, 'SVF Segment'!$I$2:$BZ$2, 0))</f>
        <v>0</v>
      </c>
    </row>
    <row r="16" spans="1:22">
      <c r="A16" s="233" t="s">
        <v>133</v>
      </c>
      <c r="B16" s="233" t="s">
        <v>133</v>
      </c>
      <c r="C16" s="246">
        <f>VLOOKUP(B16, 'Thomson Reuters VC Index'!B:E, 4, FALSE)</f>
        <v>114.52722831264749</v>
      </c>
      <c r="D16" s="246">
        <f>VLOOKUP(B16, 'Thomson Reuters VC Index'!B:F, 5, FALSE)</f>
        <v>110.28893549087535</v>
      </c>
      <c r="E16" s="246">
        <f>VLOOKUP(B16, 'Thomson Reuters VC Index'!B:D, 3, FALSE)</f>
        <v>255.2538007685398</v>
      </c>
      <c r="F16" s="243"/>
      <c r="G16" s="243"/>
      <c r="H16" s="243"/>
      <c r="I16" s="266">
        <f>VLOOKUP(B16, 'SBG Discount to NAV Workings'!B:H, 7, FALSE)</f>
        <v>0.52756947507719454</v>
      </c>
      <c r="J16" s="266">
        <f>VLOOKUP(B16, 'SBG Discount to NAV Workings'!B:T, 19, FALSE)</f>
        <v>0.67342342342342343</v>
      </c>
      <c r="L16" s="480">
        <v>0.6</v>
      </c>
      <c r="M16" s="480">
        <v>0.4</v>
      </c>
      <c r="O16" s="480">
        <v>0.8</v>
      </c>
      <c r="P16" s="480">
        <v>0.4</v>
      </c>
      <c r="Q16" s="904">
        <v>0.25</v>
      </c>
      <c r="R16" s="904">
        <v>0.05</v>
      </c>
      <c r="S16" s="551">
        <f>INDEX('SVF Segment'!$I$754:$BZ$754, MATCH('SVF Indexes'!B16, 'SVF Segment'!$I$2:$BZ$2, 0))/1000</f>
        <v>1.4764432894004085</v>
      </c>
      <c r="T16" s="550">
        <f>INDEX('SVF Segment'!$I$765:$BZ$765, MATCH('SVF Indexes'!B16, 'SVF Segment'!$I$2:$BZ$2, 0))</f>
        <v>2.0231779226966753E-2</v>
      </c>
      <c r="U16" s="552">
        <f>INDEX('SVF Segment'!$I$924:$BZ$924, MATCH('SVF Indexes'!B16, 'SVF Segment'!$I$2:$BZ$2, 0))/1000</f>
        <v>0</v>
      </c>
      <c r="V16" s="553">
        <f>INDEX('SVF Segment'!$I$933:$BZ$933, MATCH('SVF Indexes'!B16, 'SVF Segment'!$I$2:$BZ$2, 0))</f>
        <v>0</v>
      </c>
    </row>
    <row r="17" spans="1:22">
      <c r="A17" s="233" t="s">
        <v>134</v>
      </c>
      <c r="B17" s="233" t="s">
        <v>134</v>
      </c>
      <c r="C17" s="246">
        <f>VLOOKUP(B17, 'Thomson Reuters VC Index'!B:E, 4, FALSE)</f>
        <v>122.80533674507045</v>
      </c>
      <c r="D17" s="246">
        <f>VLOOKUP(B17, 'Thomson Reuters VC Index'!B:F, 5, FALSE)</f>
        <v>122.26390949529565</v>
      </c>
      <c r="E17" s="246">
        <f>VLOOKUP(B17, 'Thomson Reuters VC Index'!B:D, 3, FALSE)</f>
        <v>299.5549774320632</v>
      </c>
      <c r="F17" s="243">
        <f>VLOOKUP(B17, 'Thomson Reuters VC Index'!B:H, 7, FALSE)</f>
        <v>100</v>
      </c>
      <c r="G17" s="243">
        <f>VLOOKUP(B17, 'Thomson Reuters VC Index'!B:I, 8, FALSE)</f>
        <v>100</v>
      </c>
      <c r="H17" s="243">
        <f>VLOOKUP(B17, 'Thomson Reuters VC Index'!B:G, 6, FALSE)</f>
        <v>100</v>
      </c>
      <c r="I17" s="266">
        <f>VLOOKUP(B17, 'SBG Discount to NAV Workings'!B:H, 7, FALSE)</f>
        <v>0.56310505557547508</v>
      </c>
      <c r="J17" s="266">
        <f>VLOOKUP(B17, 'SBG Discount to NAV Workings'!B:T, 19, FALSE)</f>
        <v>0.63173773129525346</v>
      </c>
      <c r="L17" s="480">
        <v>0.6</v>
      </c>
      <c r="M17" s="480">
        <v>0.4</v>
      </c>
      <c r="O17" s="480">
        <v>0.8</v>
      </c>
      <c r="P17" s="480">
        <v>0.4</v>
      </c>
      <c r="Q17" s="904">
        <v>0.25</v>
      </c>
      <c r="R17" s="904">
        <v>0.05</v>
      </c>
      <c r="S17" s="551">
        <f>INDEX('SVF Segment'!$I$754:$BZ$754, MATCH('SVF Indexes'!B17, 'SVF Segment'!$I$2:$BZ$2, 0))/1000</f>
        <v>1.477693761814745</v>
      </c>
      <c r="T17" s="550">
        <f>INDEX('SVF Segment'!$I$765:$BZ$765, MATCH('SVF Indexes'!B17, 'SVF Segment'!$I$2:$BZ$2, 0))</f>
        <v>1.8974544448301225E-2</v>
      </c>
      <c r="U17" s="552">
        <f>INDEX('SVF Segment'!$I$924:$BZ$924, MATCH('SVF Indexes'!B17, 'SVF Segment'!$I$2:$BZ$2, 0))/1000</f>
        <v>0</v>
      </c>
      <c r="V17" s="553">
        <f>INDEX('SVF Segment'!$I$933:$BZ$933, MATCH('SVF Indexes'!B17, 'SVF Segment'!$I$2:$BZ$2, 0))</f>
        <v>0</v>
      </c>
    </row>
    <row r="18" spans="1:22">
      <c r="A18" s="233" t="s">
        <v>135</v>
      </c>
      <c r="B18" s="233" t="s">
        <v>135</v>
      </c>
      <c r="C18" s="246">
        <f>VLOOKUP(B18, 'Thomson Reuters VC Index'!B:E, 4, FALSE)</f>
        <v>144.10013438143861</v>
      </c>
      <c r="D18" s="246">
        <f>VLOOKUP(B18, 'Thomson Reuters VC Index'!B:F, 5, FALSE)</f>
        <v>152.39871881432526</v>
      </c>
      <c r="E18" s="246">
        <f>VLOOKUP(B18, 'Thomson Reuters VC Index'!B:D, 3, FALSE)</f>
        <v>340.4623911204207</v>
      </c>
      <c r="F18" s="243">
        <f>VLOOKUP(B18, 'Thomson Reuters VC Index'!B:H, 7, FALSE)</f>
        <v>100</v>
      </c>
      <c r="G18" s="243">
        <f>VLOOKUP(B18, 'Thomson Reuters VC Index'!B:I, 8, FALSE)</f>
        <v>100</v>
      </c>
      <c r="H18" s="243">
        <f>VLOOKUP(B18, 'Thomson Reuters VC Index'!B:G, 6, FALSE)</f>
        <v>113.65606208217153</v>
      </c>
      <c r="I18" s="266">
        <f>VLOOKUP(B18, 'SBG Discount to NAV Workings'!B:H, 7, FALSE)</f>
        <v>0.39214463840399005</v>
      </c>
      <c r="J18" s="266">
        <f>VLOOKUP(B18, 'SBG Discount to NAV Workings'!B:T, 19, FALSE)</f>
        <v>0.46001950268161873</v>
      </c>
      <c r="L18" s="480">
        <v>0.6</v>
      </c>
      <c r="M18" s="480">
        <v>0.4</v>
      </c>
      <c r="O18" s="480">
        <v>0.8</v>
      </c>
      <c r="P18" s="480">
        <v>0.4</v>
      </c>
      <c r="Q18" s="904">
        <v>0.25</v>
      </c>
      <c r="R18" s="904">
        <v>0.05</v>
      </c>
      <c r="S18" s="551">
        <f>INDEX('SVF Segment'!$I$754:$BZ$754, MATCH('SVF Indexes'!B18, 'SVF Segment'!$I$2:$BZ$2, 0))/1000</f>
        <v>2.5151787439613527</v>
      </c>
      <c r="T18" s="550">
        <f>INDEX('SVF Segment'!$I$765:$BZ$765, MATCH('SVF Indexes'!B18, 'SVF Segment'!$I$2:$BZ$2, 0))</f>
        <v>2.7186660374101296E-2</v>
      </c>
      <c r="U18" s="552">
        <f>INDEX('SVF Segment'!$I$924:$BZ$924, MATCH('SVF Indexes'!B18, 'SVF Segment'!$I$2:$BZ$2, 0))/1000</f>
        <v>0</v>
      </c>
      <c r="V18" s="553">
        <f>INDEX('SVF Segment'!$I$933:$BZ$933, MATCH('SVF Indexes'!B18, 'SVF Segment'!$I$2:$BZ$2, 0))</f>
        <v>0</v>
      </c>
    </row>
    <row r="19" spans="1:22">
      <c r="A19" s="233" t="s">
        <v>136</v>
      </c>
      <c r="B19" s="233" t="s">
        <v>136</v>
      </c>
      <c r="C19" s="246">
        <f>VLOOKUP(B19, 'Thomson Reuters VC Index'!B:E, 4, FALSE)</f>
        <v>197.53419897603226</v>
      </c>
      <c r="D19" s="246">
        <f>VLOOKUP(B19, 'Thomson Reuters VC Index'!B:F, 5, FALSE)</f>
        <v>222.7567674169816</v>
      </c>
      <c r="E19" s="246">
        <f>VLOOKUP(B19, 'Thomson Reuters VC Index'!B:D, 3, FALSE)</f>
        <v>356.13452801144979</v>
      </c>
      <c r="F19" s="243">
        <f>VLOOKUP(B19, 'Thomson Reuters VC Index'!B:H, 7, FALSE)</f>
        <v>95.726495726495727</v>
      </c>
      <c r="G19" s="243">
        <f>VLOOKUP(B19, 'Thomson Reuters VC Index'!B:I, 8, FALSE)</f>
        <v>95.726495726495727</v>
      </c>
      <c r="H19" s="243">
        <f>VLOOKUP(B19, 'Thomson Reuters VC Index'!B:G, 6, FALSE)</f>
        <v>118.88786861911463</v>
      </c>
      <c r="I19" s="266">
        <f>VLOOKUP(B19, 'SBG Discount to NAV Workings'!B:H, 7, FALSE)</f>
        <v>0.38441363806669171</v>
      </c>
      <c r="J19" s="266">
        <f>VLOOKUP(B19, 'SBG Discount to NAV Workings'!B:T, 19, FALSE)</f>
        <v>0.44764397905759168</v>
      </c>
      <c r="L19" s="480">
        <v>0.6</v>
      </c>
      <c r="M19" s="480">
        <v>0.4</v>
      </c>
      <c r="O19" s="480">
        <v>0.8</v>
      </c>
      <c r="P19" s="480">
        <v>0.4</v>
      </c>
      <c r="Q19" s="904">
        <v>0.25</v>
      </c>
      <c r="R19" s="904">
        <v>0.05</v>
      </c>
      <c r="S19" s="551">
        <f>INDEX('SVF Segment'!$I$754:$BZ$754, MATCH('SVF Indexes'!B19, 'SVF Segment'!$I$2:$BZ$2, 0))/1000</f>
        <v>4.0125282268991063</v>
      </c>
      <c r="T19" s="550">
        <f>INDEX('SVF Segment'!$I$765:$BZ$765, MATCH('SVF Indexes'!B19, 'SVF Segment'!$I$2:$BZ$2, 0))</f>
        <v>3.2174219254049639E-2</v>
      </c>
      <c r="U19" s="552">
        <f>INDEX('SVF Segment'!$I$924:$BZ$924, MATCH('SVF Indexes'!B19, 'SVF Segment'!$I$2:$BZ$2, 0))/1000</f>
        <v>0</v>
      </c>
      <c r="V19" s="553">
        <f>INDEX('SVF Segment'!$I$933:$BZ$933, MATCH('SVF Indexes'!B19, 'SVF Segment'!$I$2:$BZ$2, 0))</f>
        <v>0</v>
      </c>
    </row>
    <row r="20" spans="1:22">
      <c r="A20" s="233" t="s">
        <v>74</v>
      </c>
      <c r="B20" s="233" t="s">
        <v>74</v>
      </c>
      <c r="C20" s="246">
        <f>VLOOKUP(B20, 'Thomson Reuters VC Index'!B:E, 4, FALSE)</f>
        <v>199.77985092228607</v>
      </c>
      <c r="D20" s="246">
        <f>VLOOKUP(B20, 'Thomson Reuters VC Index'!B:F, 5, FALSE)</f>
        <v>225.23043349460269</v>
      </c>
      <c r="E20" s="246">
        <f>VLOOKUP(B20, 'Thomson Reuters VC Index'!B:D, 3, FALSE)</f>
        <v>407.40772490598243</v>
      </c>
      <c r="F20" s="243">
        <f>VLOOKUP(B20, 'Thomson Reuters VC Index'!B:H, 7, FALSE)</f>
        <v>93.756814744469068</v>
      </c>
      <c r="G20" s="243">
        <f>VLOOKUP(B20, 'Thomson Reuters VC Index'!B:I, 8, FALSE)</f>
        <v>93.574365278510399</v>
      </c>
      <c r="H20" s="243">
        <f>VLOOKUP(B20, 'Thomson Reuters VC Index'!B:G, 6, FALSE)</f>
        <v>136.00432494845771</v>
      </c>
      <c r="I20" s="266">
        <f>VLOOKUP(B20, 'SBG Discount to NAV Workings'!B:H, 7, FALSE)</f>
        <v>0.5066666666666666</v>
      </c>
      <c r="J20" s="266">
        <f>VLOOKUP(B20, 'SBG Discount to NAV Workings'!B:T, 19, FALSE)</f>
        <v>0.59894921190893169</v>
      </c>
      <c r="L20" s="480">
        <v>0.6</v>
      </c>
      <c r="M20" s="480">
        <v>0.4</v>
      </c>
      <c r="O20" s="480">
        <v>0.8</v>
      </c>
      <c r="P20" s="480">
        <v>0.4</v>
      </c>
      <c r="Q20" s="904">
        <v>0.25</v>
      </c>
      <c r="R20" s="904">
        <v>0.05</v>
      </c>
      <c r="S20" s="551">
        <f>INDEX('SVF Segment'!$I$754:$BZ$754, MATCH('SVF Indexes'!B20, 'SVF Segment'!$I$2:$BZ$2, 0))/1000</f>
        <v>4.0156719117381083</v>
      </c>
      <c r="T20" s="550">
        <f>INDEX('SVF Segment'!$I$765:$BZ$765, MATCH('SVF Indexes'!B20, 'SVF Segment'!$I$2:$BZ$2, 0))</f>
        <v>3.2354269609028562E-2</v>
      </c>
      <c r="U20" s="552">
        <f>INDEX('SVF Segment'!$I$924:$BZ$924, MATCH('SVF Indexes'!B20, 'SVF Segment'!$I$2:$BZ$2, 0))/1000</f>
        <v>0.8977663230240549</v>
      </c>
      <c r="V20" s="553">
        <f>INDEX('SVF Segment'!$I$933:$BZ$933, MATCH('SVF Indexes'!B20, 'SVF Segment'!$I$2:$BZ$2, 0))</f>
        <v>3.685522334301472E-2</v>
      </c>
    </row>
    <row r="21" spans="1:22">
      <c r="A21" s="233" t="s">
        <v>75</v>
      </c>
      <c r="B21" s="233" t="s">
        <v>75</v>
      </c>
      <c r="C21" s="246">
        <f>VLOOKUP(B21, 'Thomson Reuters VC Index'!B:E, 4, FALSE)</f>
        <v>178.45407691264836</v>
      </c>
      <c r="D21" s="246">
        <f>VLOOKUP(B21, 'Thomson Reuters VC Index'!B:F, 5, FALSE)</f>
        <v>193.33439142483738</v>
      </c>
      <c r="E21" s="246">
        <f>VLOOKUP(B21, 'Thomson Reuters VC Index'!B:D, 3, FALSE)</f>
        <v>405.09390572528611</v>
      </c>
      <c r="F21" s="243">
        <f>VLOOKUP(B21, 'Thomson Reuters VC Index'!B:H, 7, FALSE)</f>
        <v>92.506723881209481</v>
      </c>
      <c r="G21" s="243">
        <f>VLOOKUP(B21, 'Thomson Reuters VC Index'!B:I, 8, FALSE)</f>
        <v>92.220027717875624</v>
      </c>
      <c r="H21" s="243">
        <f>VLOOKUP(B21, 'Thomson Reuters VC Index'!B:G, 6, FALSE)</f>
        <v>135.23190607545766</v>
      </c>
      <c r="I21" s="266">
        <f>VLOOKUP(B21, 'SBG Discount to NAV Workings'!B:H, 7, FALSE)</f>
        <v>0.46864528482527523</v>
      </c>
      <c r="J21" s="266">
        <f>VLOOKUP(B21, 'SBG Discount to NAV Workings'!B:T, 19, FALSE)</f>
        <v>0.56918604651162785</v>
      </c>
      <c r="L21" s="480">
        <v>0.6</v>
      </c>
      <c r="M21" s="480">
        <v>0.4</v>
      </c>
      <c r="O21" s="480">
        <v>0.8</v>
      </c>
      <c r="P21" s="480">
        <v>0.4</v>
      </c>
      <c r="Q21" s="904">
        <v>0.25</v>
      </c>
      <c r="R21" s="904">
        <v>0.05</v>
      </c>
      <c r="S21" s="551">
        <f>INDEX('SVF Segment'!$I$754:$BZ$754, MATCH('SVF Indexes'!B21, 'SVF Segment'!$I$2:$BZ$2, 0))/1000</f>
        <v>6.3910471765546815</v>
      </c>
      <c r="T21" s="550">
        <f>INDEX('SVF Segment'!$I$765:$BZ$765, MATCH('SVF Indexes'!B21, 'SVF Segment'!$I$2:$BZ$2, 0))</f>
        <v>5.7581645899676688E-2</v>
      </c>
      <c r="U21" s="552">
        <f>INDEX('SVF Segment'!$I$924:$BZ$924, MATCH('SVF Indexes'!B21, 'SVF Segment'!$I$2:$BZ$2, 0))/1000</f>
        <v>1</v>
      </c>
      <c r="V21" s="553">
        <f>INDEX('SVF Segment'!$I$933:$BZ$933, MATCH('SVF Indexes'!B21, 'SVF Segment'!$I$2:$BZ$2, 0))</f>
        <v>2.6824854212748842E-2</v>
      </c>
    </row>
    <row r="22" spans="1:22">
      <c r="A22" s="233" t="s">
        <v>76</v>
      </c>
      <c r="B22" s="233" t="s">
        <v>76</v>
      </c>
      <c r="C22" s="246">
        <f>VLOOKUP(B22, 'Thomson Reuters VC Index'!B:E, 4, FALSE)</f>
        <v>176.28521355687965</v>
      </c>
      <c r="D22" s="246">
        <f>VLOOKUP(B22, 'Thomson Reuters VC Index'!B:F, 5, FALSE)</f>
        <v>189.6310593651362</v>
      </c>
      <c r="E22" s="246">
        <f>VLOOKUP(B22, 'Thomson Reuters VC Index'!B:D, 3, FALSE)</f>
        <v>419.29027472875612</v>
      </c>
      <c r="F22" s="243">
        <f>VLOOKUP(B22, 'Thomson Reuters VC Index'!B:H, 7, FALSE)</f>
        <v>104.44667497323532</v>
      </c>
      <c r="G22" s="243">
        <f>VLOOKUP(B22, 'Thomson Reuters VC Index'!B:I, 8, FALSE)</f>
        <v>104.92900263782229</v>
      </c>
      <c r="H22" s="243">
        <f>VLOOKUP(B22, 'Thomson Reuters VC Index'!B:G, 6, FALSE)</f>
        <v>139.97105917689115</v>
      </c>
      <c r="I22" s="266">
        <f>VLOOKUP(B22, 'SBG Discount to NAV Workings'!B:H, 7, FALSE)</f>
        <v>0.51989664082687326</v>
      </c>
      <c r="J22" s="266">
        <f>VLOOKUP(B22, 'SBG Discount to NAV Workings'!B:T, 19, FALSE)</f>
        <v>0.61945812807881762</v>
      </c>
      <c r="L22" s="480">
        <v>0.6</v>
      </c>
      <c r="M22" s="480">
        <v>0.4</v>
      </c>
      <c r="O22" s="480">
        <v>0.8</v>
      </c>
      <c r="P22" s="480">
        <v>0.4</v>
      </c>
      <c r="Q22" s="904">
        <v>0.25</v>
      </c>
      <c r="R22" s="904">
        <v>0.05</v>
      </c>
      <c r="S22" s="551">
        <f>INDEX('SVF Segment'!$I$754:$BZ$754, MATCH('SVF Indexes'!B22, 'SVF Segment'!$I$2:$BZ$2, 0))/1000</f>
        <v>5.7868544600938971</v>
      </c>
      <c r="T22" s="550">
        <f>INDEX('SVF Segment'!$I$765:$BZ$765, MATCH('SVF Indexes'!B22, 'SVF Segment'!$I$2:$BZ$2, 0))</f>
        <v>5.3887922215324353E-2</v>
      </c>
      <c r="U22" s="552">
        <f>INDEX('SVF Segment'!$I$924:$BZ$924, MATCH('SVF Indexes'!B22, 'SVF Segment'!$I$2:$BZ$2, 0))/1000</f>
        <v>4.6455312119631369</v>
      </c>
      <c r="V22" s="553">
        <f>INDEX('SVF Segment'!$I$933:$BZ$933, MATCH('SVF Indexes'!B22, 'SVF Segment'!$I$2:$BZ$2, 0))</f>
        <v>9.434019688789054E-2</v>
      </c>
    </row>
    <row r="23" spans="1:22">
      <c r="A23" s="233" t="s">
        <v>77</v>
      </c>
      <c r="B23" s="233" t="s">
        <v>77</v>
      </c>
      <c r="C23" s="246">
        <f>VLOOKUP(B23, 'Thomson Reuters VC Index'!B:E, 4, FALSE)</f>
        <v>138.00814527460898</v>
      </c>
      <c r="D23" s="246">
        <f>VLOOKUP(B23, 'Thomson Reuters VC Index'!B:F, 5, FALSE)</f>
        <v>133.14663114322843</v>
      </c>
      <c r="E23" s="246">
        <f>VLOOKUP(B23, 'Thomson Reuters VC Index'!B:D, 3, FALSE)</f>
        <v>300.03913515044667</v>
      </c>
      <c r="F23" s="243">
        <f>VLOOKUP(B23, 'Thomson Reuters VC Index'!B:H, 7, FALSE)</f>
        <v>98.453832966574282</v>
      </c>
      <c r="G23" s="243">
        <f>VLOOKUP(B23, 'Thomson Reuters VC Index'!B:I, 8, FALSE)</f>
        <v>97.358789917202799</v>
      </c>
      <c r="H23" s="243">
        <f>VLOOKUP(B23, 'Thomson Reuters VC Index'!B:G, 6, FALSE)</f>
        <v>100.16162566301982</v>
      </c>
      <c r="I23" s="266">
        <f>VLOOKUP(B23, 'SBG Discount to NAV Workings'!B:H, 7, FALSE)</f>
        <v>0.49512459371614281</v>
      </c>
      <c r="J23" s="266">
        <f>VLOOKUP(B23, 'SBG Discount to NAV Workings'!B:T, 19, FALSE)</f>
        <v>0.60290237467018448</v>
      </c>
      <c r="L23" s="480">
        <v>0.6</v>
      </c>
      <c r="M23" s="480">
        <v>0.4</v>
      </c>
      <c r="O23" s="480">
        <v>0.8</v>
      </c>
      <c r="P23" s="480">
        <v>0.4</v>
      </c>
      <c r="Q23" s="904">
        <v>0.25</v>
      </c>
      <c r="R23" s="904">
        <v>0.05</v>
      </c>
      <c r="S23" s="551">
        <f>INDEX('SVF Segment'!$I$754:$BZ$754, MATCH('SVF Indexes'!B23, 'SVF Segment'!$I$2:$BZ$2, 0))/1000</f>
        <v>2.7496936024184984</v>
      </c>
      <c r="T23" s="550">
        <f>INDEX('SVF Segment'!$I$765:$BZ$765, MATCH('SVF Indexes'!B23, 'SVF Segment'!$I$2:$BZ$2, 0))</f>
        <v>3.3800909144871702E-2</v>
      </c>
      <c r="U23" s="552">
        <f>INDEX('SVF Segment'!$I$924:$BZ$924, MATCH('SVF Indexes'!B23, 'SVF Segment'!$I$2:$BZ$2, 0))/1000</f>
        <v>5.9771223139145357</v>
      </c>
      <c r="V23" s="553">
        <f>INDEX('SVF Segment'!$I$933:$BZ$933, MATCH('SVF Indexes'!B23, 'SVF Segment'!$I$2:$BZ$2, 0))</f>
        <v>0.12072294768702307</v>
      </c>
    </row>
    <row r="24" spans="1:22">
      <c r="A24" s="233" t="s">
        <v>10</v>
      </c>
      <c r="B24" s="233" t="s">
        <v>10</v>
      </c>
      <c r="C24" s="246">
        <f>VLOOKUP(B24, 'Thomson Reuters VC Index'!B:E, 4, FALSE)</f>
        <v>118.06374234460097</v>
      </c>
      <c r="D24" s="246">
        <f>VLOOKUP(B24, 'Thomson Reuters VC Index'!B:F, 5, FALSE)</f>
        <v>104.2770843393196</v>
      </c>
      <c r="E24" s="246">
        <f>VLOOKUP(B24, 'Thomson Reuters VC Index'!B:D, 3, FALSE)</f>
        <v>189.40611477407836</v>
      </c>
      <c r="F24" s="243">
        <f>VLOOKUP(B24, 'Thomson Reuters VC Index'!B:H, 7, FALSE)</f>
        <v>78.594046917522817</v>
      </c>
      <c r="G24" s="243">
        <f>VLOOKUP(B24, 'Thomson Reuters VC Index'!B:I, 8, FALSE)</f>
        <v>73.812395505524094</v>
      </c>
      <c r="H24" s="243">
        <f>VLOOKUP(B24, 'Thomson Reuters VC Index'!B:G, 6, FALSE)</f>
        <v>63.229166277844342</v>
      </c>
      <c r="I24" s="266">
        <f>VLOOKUP(B24, 'SBG Discount to NAV Workings'!B:H, 7, FALSE)</f>
        <v>0.54538087520259326</v>
      </c>
      <c r="J24" s="266">
        <f>VLOOKUP(B24, 'SBG Discount to NAV Workings'!B:T, 19, FALSE)</f>
        <v>0.67525083612040127</v>
      </c>
      <c r="L24" s="480">
        <v>0.6</v>
      </c>
      <c r="M24" s="480">
        <v>0.4</v>
      </c>
      <c r="O24" s="480">
        <v>0.8</v>
      </c>
      <c r="P24" s="480">
        <v>0.4</v>
      </c>
      <c r="Q24" s="904">
        <v>0.25</v>
      </c>
      <c r="R24" s="904">
        <v>0.05</v>
      </c>
      <c r="S24" s="551">
        <f>INDEX('SVF Segment'!$I$754:$BZ$754, MATCH('SVF Indexes'!B24, 'SVF Segment'!$I$2:$BZ$2, 0))/1000</f>
        <v>4.4668129938542576</v>
      </c>
      <c r="T24" s="550">
        <f>INDEX('SVF Segment'!$I$765:$BZ$765, MATCH('SVF Indexes'!B24, 'SVF Segment'!$I$2:$BZ$2, 0))</f>
        <v>6.3120166146837478E-2</v>
      </c>
      <c r="U24" s="552">
        <f>INDEX('SVF Segment'!$I$924:$BZ$924, MATCH('SVF Indexes'!B24, 'SVF Segment'!$I$2:$BZ$2, 0))/1000</f>
        <v>5.7991805677494872</v>
      </c>
      <c r="V24" s="553">
        <f>INDEX('SVF Segment'!$I$933:$BZ$933, MATCH('SVF Indexes'!B24, 'SVF Segment'!$I$2:$BZ$2, 0))</f>
        <v>0.14275158401625887</v>
      </c>
    </row>
    <row r="25" spans="1:22">
      <c r="A25" s="233" t="s">
        <v>11</v>
      </c>
      <c r="B25" s="233" t="s">
        <v>11</v>
      </c>
      <c r="C25" s="246">
        <f>VLOOKUP(B25, 'Thomson Reuters VC Index'!B:E, 4, FALSE)</f>
        <v>108.40398160731544</v>
      </c>
      <c r="D25" s="246">
        <f>VLOOKUP(B25, 'Thomson Reuters VC Index'!B:F, 5, FALSE)</f>
        <v>90.73519336922115</v>
      </c>
      <c r="E25" s="246">
        <f>VLOOKUP(B25, 'Thomson Reuters VC Index'!B:D, 3, FALSE)</f>
        <v>177.19147524608553</v>
      </c>
      <c r="F25" s="243">
        <f>VLOOKUP(B25, 'Thomson Reuters VC Index'!B:H, 7, FALSE)</f>
        <v>68.901483490696947</v>
      </c>
      <c r="G25" s="243">
        <f>VLOOKUP(B25, 'Thomson Reuters VC Index'!B:I, 8, FALSE)</f>
        <v>62.283083510800118</v>
      </c>
      <c r="H25" s="243">
        <f>VLOOKUP(B25, 'Thomson Reuters VC Index'!B:G, 6, FALSE)</f>
        <v>59.151571028817635</v>
      </c>
      <c r="I25" s="266">
        <f>VLOOKUP(B25, 'SBG Discount to NAV Workings'!B:H, 7, FALSE)</f>
        <v>0.54154213986849964</v>
      </c>
      <c r="J25" s="266">
        <f>VLOOKUP(B25, 'SBG Discount to NAV Workings'!B:T, 19, FALSE)</f>
        <v>0.68429003021148038</v>
      </c>
      <c r="L25" s="480">
        <v>0.6</v>
      </c>
      <c r="M25" s="480">
        <v>0.4</v>
      </c>
      <c r="O25" s="480">
        <v>0.8</v>
      </c>
      <c r="P25" s="480">
        <v>0.4</v>
      </c>
      <c r="Q25" s="904">
        <v>0.25</v>
      </c>
      <c r="R25" s="904">
        <v>0.05</v>
      </c>
      <c r="S25" s="551">
        <f>INDEX('SVF Segment'!$I$754:$BZ$754, MATCH('SVF Indexes'!B25, 'SVF Segment'!$I$2:$BZ$2, 0))/1000</f>
        <v>4.4584006629376427</v>
      </c>
      <c r="T25" s="550">
        <f>INDEX('SVF Segment'!$I$765:$BZ$765, MATCH('SVF Indexes'!B25, 'SVF Segment'!$I$2:$BZ$2, 0))</f>
        <v>6.8529207873342268E-2</v>
      </c>
      <c r="U25" s="552">
        <f>INDEX('SVF Segment'!$I$924:$BZ$924, MATCH('SVF Indexes'!B25, 'SVF Segment'!$I$2:$BZ$2, 0))/1000</f>
        <v>5.7698225260686415</v>
      </c>
      <c r="V25" s="553">
        <f>INDEX('SVF Segment'!$I$933:$BZ$933, MATCH('SVF Indexes'!B25, 'SVF Segment'!$I$2:$BZ$2, 0))</f>
        <v>0.16065069531788551</v>
      </c>
    </row>
    <row r="26" spans="1:22">
      <c r="A26" s="233" t="s">
        <v>12</v>
      </c>
      <c r="B26" s="233" t="s">
        <v>12</v>
      </c>
      <c r="C26" s="246">
        <f>VLOOKUP(B26, 'Thomson Reuters VC Index'!B:E, 4, FALSE)</f>
        <v>102.51738277316714</v>
      </c>
      <c r="D26" s="246">
        <f>VLOOKUP(B26, 'Thomson Reuters VC Index'!B:F, 5, FALSE)</f>
        <v>82.555096276685148</v>
      </c>
      <c r="E26" s="246">
        <f>VLOOKUP(B26, 'Thomson Reuters VC Index'!B:D, 3, FALSE)</f>
        <v>189.16440863060515</v>
      </c>
      <c r="F26" s="243">
        <f>VLOOKUP(B26, 'Thomson Reuters VC Index'!B:H, 7, FALSE)</f>
        <v>64.588566203493016</v>
      </c>
      <c r="G26" s="243">
        <f>VLOOKUP(B26, 'Thomson Reuters VC Index'!B:I, 8, FALSE)</f>
        <v>56.889318651224421</v>
      </c>
      <c r="H26" s="243">
        <f>VLOOKUP(B26, 'Thomson Reuters VC Index'!B:G, 6, FALSE)</f>
        <v>63.148477869477631</v>
      </c>
      <c r="I26" s="266">
        <f>VLOOKUP(B26, 'SBG Discount to NAV Workings'!B:H, 7, FALSE)</f>
        <v>0.404332129963899</v>
      </c>
      <c r="J26" s="266">
        <f>VLOOKUP(B26, 'SBG Discount to NAV Workings'!B:T, 19, FALSE)</f>
        <v>0.54634146341463419</v>
      </c>
      <c r="L26" s="480">
        <v>0.6</v>
      </c>
      <c r="M26" s="480">
        <v>0.4</v>
      </c>
      <c r="O26" s="480">
        <v>0.8</v>
      </c>
      <c r="P26" s="480">
        <v>0.4</v>
      </c>
      <c r="Q26" s="904">
        <v>0.25</v>
      </c>
      <c r="R26" s="904">
        <v>0.05</v>
      </c>
      <c r="S26" s="551">
        <f>INDEX('SVF Segment'!$I$754:$BZ$754, MATCH('SVF Indexes'!B26, 'SVF Segment'!$I$2:$BZ$2, 0))/1000</f>
        <v>4.1809495101733241</v>
      </c>
      <c r="T26" s="550">
        <f>INDEX('SVF Segment'!$I$765:$BZ$765, MATCH('SVF Indexes'!B26, 'SVF Segment'!$I$2:$BZ$2, 0))</f>
        <v>6.8787170056853572E-2</v>
      </c>
      <c r="U26" s="552">
        <f>INDEX('SVF Segment'!$I$924:$BZ$924, MATCH('SVF Indexes'!B26, 'SVF Segment'!$I$2:$BZ$2, 0))/1000</f>
        <v>5.7657724189902035</v>
      </c>
      <c r="V26" s="553">
        <f>INDEX('SVF Segment'!$I$933:$BZ$933, MATCH('SVF Indexes'!B26, 'SVF Segment'!$I$2:$BZ$2, 0))</f>
        <v>0.16931028960705682</v>
      </c>
    </row>
    <row r="27" spans="1:22">
      <c r="A27" s="233" t="s">
        <v>13</v>
      </c>
      <c r="B27" s="233" t="s">
        <v>13</v>
      </c>
      <c r="C27" s="246">
        <f>VLOOKUP(B27, 'Thomson Reuters VC Index'!B:E, 4, FALSE)</f>
        <v>102.24302760071441</v>
      </c>
      <c r="D27" s="246">
        <f>VLOOKUP(B27, 'Thomson Reuters VC Index'!B:F, 5, FALSE)</f>
        <v>81.711813821952603</v>
      </c>
      <c r="E27" s="246">
        <f>VLOOKUP(B27, 'Thomson Reuters VC Index'!B:D, 3, FALSE)</f>
        <v>211.16563113816198</v>
      </c>
      <c r="F27" s="243">
        <f>VLOOKUP(B27, 'Thomson Reuters VC Index'!B:H, 7, FALSE)</f>
        <v>61.662223398156762</v>
      </c>
      <c r="G27" s="243">
        <f>VLOOKUP(B27, 'Thomson Reuters VC Index'!B:I, 8, FALSE)</f>
        <v>53.081841307774141</v>
      </c>
      <c r="H27" s="243">
        <f>VLOOKUP(B27, 'Thomson Reuters VC Index'!B:G, 6, FALSE)</f>
        <v>70.493113801139472</v>
      </c>
      <c r="I27" s="266">
        <f>VLOOKUP(B27, 'SBG Discount to NAV Workings'!B:H, 7, FALSE)</f>
        <v>0.46317280453257792</v>
      </c>
      <c r="J27" s="266">
        <f>VLOOKUP(B27, 'SBG Discount to NAV Workings'!B:T, 19, FALSE)</f>
        <v>0.638671875</v>
      </c>
      <c r="L27" s="480">
        <v>0.6</v>
      </c>
      <c r="M27" s="480">
        <v>0.4</v>
      </c>
      <c r="O27" s="480">
        <v>0.8</v>
      </c>
      <c r="P27" s="480">
        <v>0.4</v>
      </c>
      <c r="Q27" s="904">
        <v>0.25</v>
      </c>
      <c r="R27" s="904">
        <v>0.05</v>
      </c>
      <c r="S27" s="551">
        <f>INDEX('SVF Segment'!$I$754:$BZ$754, MATCH('SVF Indexes'!B27, 'SVF Segment'!$I$2:$BZ$2, 0))/1000</f>
        <v>4.1390024713547522</v>
      </c>
      <c r="T27" s="550">
        <f>INDEX('SVF Segment'!$I$765:$BZ$765, MATCH('SVF Indexes'!B27, 'SVF Segment'!$I$2:$BZ$2, 0))</f>
        <v>6.8938561618000133E-2</v>
      </c>
      <c r="U27" s="552">
        <f>INDEX('SVF Segment'!$I$924:$BZ$924, MATCH('SVF Indexes'!B27, 'SVF Segment'!$I$2:$BZ$2, 0))/1000</f>
        <v>5.7665243765445968</v>
      </c>
      <c r="V27" s="553">
        <f>INDEX('SVF Segment'!$I$933:$BZ$933, MATCH('SVF Indexes'!B27, 'SVF Segment'!$I$2:$BZ$2, 0))</f>
        <v>0.17697190311237762</v>
      </c>
    </row>
    <row r="28" spans="1:22">
      <c r="A28" s="233" t="s">
        <v>91</v>
      </c>
      <c r="B28" s="233" t="s">
        <v>91</v>
      </c>
      <c r="C28" s="246">
        <f>VLOOKUP(B28, 'Thomson Reuters VC Index'!B:E, 4, FALSE)</f>
        <v>103.5302599625939</v>
      </c>
      <c r="D28" s="246">
        <f>VLOOKUP(B28, 'Thomson Reuters VC Index'!B:F, 5, FALSE)</f>
        <v>82.801300612010948</v>
      </c>
      <c r="E28" s="246">
        <f>VLOOKUP(B28, 'Thomson Reuters VC Index'!B:D, 3, FALSE)</f>
        <v>245.41671480911361</v>
      </c>
      <c r="F28" s="243">
        <f>VLOOKUP(B28, 'Thomson Reuters VC Index'!B:H, 7, FALSE)</f>
        <v>62.276797053287886</v>
      </c>
      <c r="G28" s="243">
        <f>VLOOKUP(B28, 'Thomson Reuters VC Index'!B:I, 8, FALSE)</f>
        <v>53.088374856868818</v>
      </c>
      <c r="H28" s="243">
        <f>VLOOKUP(B28, 'Thomson Reuters VC Index'!B:G, 6, FALSE)</f>
        <v>81.927102968860623</v>
      </c>
      <c r="I28" s="266">
        <f>VLOOKUP(B28, 'SBG Discount to NAV Workings'!B:H, 7, FALSE)</f>
        <v>0.36270096463022505</v>
      </c>
      <c r="J28" s="266">
        <f>VLOOKUP(B28, 'SBG Discount to NAV Workings'!B:T, 19, FALSE)</f>
        <v>0.48081841432225059</v>
      </c>
      <c r="L28" s="480">
        <v>0.6</v>
      </c>
      <c r="M28" s="480">
        <v>0.4</v>
      </c>
      <c r="O28" s="480">
        <v>0.8</v>
      </c>
      <c r="P28" s="480">
        <v>0.4</v>
      </c>
      <c r="Q28" s="904">
        <v>0.25</v>
      </c>
      <c r="R28" s="904">
        <v>0.05</v>
      </c>
      <c r="S28" s="551">
        <f>INDEX('SVF Segment'!$I$754:$BZ$754, MATCH('SVF Indexes'!B28, 'SVF Segment'!$I$2:$BZ$2, 0))/1000</f>
        <v>4.0735223118835782</v>
      </c>
      <c r="T28" s="550">
        <f>INDEX('SVF Segment'!$I$765:$BZ$765, MATCH('SVF Indexes'!B28, 'SVF Segment'!$I$2:$BZ$2, 0))</f>
        <v>6.7472000239445509E-2</v>
      </c>
      <c r="U28" s="552">
        <f>INDEX('SVF Segment'!$I$924:$BZ$924, MATCH('SVF Indexes'!B28, 'SVF Segment'!$I$2:$BZ$2, 0))/1000</f>
        <v>5.7196772191185588</v>
      </c>
      <c r="V28" s="553">
        <f>INDEX('SVF Segment'!$I$933:$BZ$933, MATCH('SVF Indexes'!B28, 'SVF Segment'!$I$2:$BZ$2, 0))</f>
        <v>0.1710636651589133</v>
      </c>
    </row>
    <row r="29" spans="1:22">
      <c r="A29" s="233" t="s">
        <v>92</v>
      </c>
      <c r="B29" s="233" t="s">
        <v>92</v>
      </c>
      <c r="C29" s="246">
        <f>VLOOKUP(B29, 'Thomson Reuters VC Index'!B:E, 4, FALSE)</f>
        <v>105.55305367411883</v>
      </c>
      <c r="D29" s="246">
        <f>VLOOKUP(B29, 'Thomson Reuters VC Index'!B:F, 5, FALSE)</f>
        <v>84.911125164405846</v>
      </c>
      <c r="E29" s="246">
        <f>VLOOKUP(B29, 'Thomson Reuters VC Index'!B:D, 3, FALSE)</f>
        <v>237.20112858319573</v>
      </c>
      <c r="F29" s="243">
        <f>VLOOKUP(B29, 'Thomson Reuters VC Index'!B:H, 7, FALSE)</f>
        <v>58.193072656350978</v>
      </c>
      <c r="G29" s="243">
        <f>VLOOKUP(B29, 'Thomson Reuters VC Index'!B:I, 8, FALSE)</f>
        <v>48.032811106661576</v>
      </c>
      <c r="H29" s="243">
        <f>VLOOKUP(B29, 'Thomson Reuters VC Index'!B:G, 6, FALSE)</f>
        <v>79.184505834823298</v>
      </c>
      <c r="I29" s="266">
        <f>VLOOKUP(B29, 'SBG Discount to NAV Workings'!B:H, 7, FALSE)</f>
        <v>0.43479585618525274</v>
      </c>
      <c r="J29" s="266">
        <f>VLOOKUP(B29, 'SBG Discount to NAV Workings'!B:T, 19, FALSE)</f>
        <v>0.58292483660130712</v>
      </c>
      <c r="L29" s="480">
        <v>0.6</v>
      </c>
      <c r="M29" s="480">
        <v>0.4</v>
      </c>
      <c r="O29" s="480">
        <v>0.8</v>
      </c>
      <c r="P29" s="480">
        <v>0.4</v>
      </c>
      <c r="Q29" s="904">
        <v>0.25</v>
      </c>
      <c r="R29" s="904">
        <v>0.05</v>
      </c>
      <c r="S29" s="551">
        <f>INDEX('SVF Segment'!$I$754:$BZ$754, MATCH('SVF Indexes'!B29, 'SVF Segment'!$I$2:$BZ$2, 0))/1000</f>
        <v>0</v>
      </c>
      <c r="T29" s="550">
        <f>INDEX('SVF Segment'!$I$765:$BZ$765, MATCH('SVF Indexes'!B29, 'SVF Segment'!$I$2:$BZ$2, 0))</f>
        <v>0</v>
      </c>
      <c r="U29" s="552">
        <f>INDEX('SVF Segment'!$I$924:$BZ$924, MATCH('SVF Indexes'!B29, 'SVF Segment'!$I$2:$BZ$2, 0))/1000</f>
        <v>3.6249030619066716</v>
      </c>
      <c r="V29" s="553">
        <f>INDEX('SVF Segment'!$I$933:$BZ$933, MATCH('SVF Indexes'!B29, 'SVF Segment'!$I$2:$BZ$2, 0))</f>
        <v>0.12114526335164338</v>
      </c>
    </row>
    <row r="30" spans="1:22">
      <c r="A30" s="233" t="s">
        <v>93</v>
      </c>
      <c r="B30" s="233" t="s">
        <v>93</v>
      </c>
      <c r="C30" s="246">
        <f>VLOOKUP(B30, 'Thomson Reuters VC Index'!B:E, 4, FALSE)</f>
        <v>107.85324128445072</v>
      </c>
      <c r="D30" s="246">
        <f>VLOOKUP(B30, 'Thomson Reuters VC Index'!B:F, 5, FALSE)</f>
        <v>87.263779597625572</v>
      </c>
      <c r="E30" s="246">
        <f>VLOOKUP(B30, 'Thomson Reuters VC Index'!B:D, 3, FALSE)</f>
        <v>295.3125407657817</v>
      </c>
      <c r="F30" s="243">
        <f>VLOOKUP(B30, 'Thomson Reuters VC Index'!B:H, 7, FALSE)</f>
        <v>61.568066325348482</v>
      </c>
      <c r="G30" s="243">
        <f>VLOOKUP(B30, 'Thomson Reuters VC Index'!B:I, 8, FALSE)</f>
        <v>50.682944013231136</v>
      </c>
      <c r="H30" s="243">
        <f>VLOOKUP(B30, 'Thomson Reuters VC Index'!B:G, 6, FALSE)</f>
        <v>98.583753572499504</v>
      </c>
      <c r="I30" s="266">
        <f>VLOOKUP(B30, 'SBG Discount to NAV Workings'!B:H, 7, FALSE)</f>
        <v>0.52053014553014554</v>
      </c>
      <c r="J30" s="266">
        <f>VLOOKUP(B30, 'SBG Discount to NAV Workings'!B:T, 19, FALSE)</f>
        <v>0.68926359256710257</v>
      </c>
      <c r="L30" s="480">
        <v>0.6</v>
      </c>
      <c r="M30" s="480">
        <v>0.4</v>
      </c>
      <c r="O30" s="480">
        <v>0.8</v>
      </c>
      <c r="P30" s="480">
        <v>0.4</v>
      </c>
      <c r="Q30" s="904">
        <v>0.25</v>
      </c>
      <c r="R30" s="904">
        <v>0.05</v>
      </c>
      <c r="S30" s="551">
        <f>INDEX('SVF Segment'!$I$754:$BZ$754, MATCH('SVF Indexes'!B30, 'SVF Segment'!$I$2:$BZ$2, 0))/1000</f>
        <v>0</v>
      </c>
      <c r="T30" s="550">
        <f>INDEX('SVF Segment'!$I$765:$BZ$765, MATCH('SVF Indexes'!B30, 'SVF Segment'!$I$2:$BZ$2, 0))</f>
        <v>0</v>
      </c>
      <c r="U30" s="552">
        <f>INDEX('SVF Segment'!$I$924:$BZ$924, MATCH('SVF Indexes'!B30, 'SVF Segment'!$I$2:$BZ$2, 0))/1000</f>
        <v>3.6186772897130361</v>
      </c>
      <c r="V30" s="553">
        <f>INDEX('SVF Segment'!$I$933:$BZ$933, MATCH('SVF Indexes'!B30, 'SVF Segment'!$I$2:$BZ$2, 0))</f>
        <v>0.11523171886885633</v>
      </c>
    </row>
    <row r="31" spans="1:22">
      <c r="A31" s="233" t="s">
        <v>94</v>
      </c>
      <c r="B31" s="233" t="s">
        <v>94</v>
      </c>
      <c r="C31" s="246">
        <f>VLOOKUP(B31, 'Thomson Reuters VC Index'!B:E, 4, FALSE)</f>
        <v>104.8317741108303</v>
      </c>
      <c r="D31" s="246">
        <f>VLOOKUP(B31, 'Thomson Reuters VC Index'!B:F, 5, FALSE)</f>
        <v>83.096192163086201</v>
      </c>
      <c r="E31" s="246">
        <f>VLOOKUP(B31, 'Thomson Reuters VC Index'!B:D, 3, FALSE)</f>
        <v>331.20935069194667</v>
      </c>
      <c r="F31" s="243">
        <f>VLOOKUP(B31, 'Thomson Reuters VC Index'!B:H, 7, FALSE)</f>
        <v>61.057551679201318</v>
      </c>
      <c r="G31" s="243">
        <f>VLOOKUP(B31, 'Thomson Reuters VC Index'!B:I, 8, FALSE)</f>
        <v>49.774077720253864</v>
      </c>
      <c r="H31" s="243">
        <f>VLOOKUP(B31, 'Thomson Reuters VC Index'!B:G, 6, FALSE)</f>
        <v>110.56713312903051</v>
      </c>
      <c r="I31" s="266">
        <f>VLOOKUP(B31, 'SBG Discount to NAV Workings'!B:H, 7, FALSE)</f>
        <v>0.52717782577393801</v>
      </c>
      <c r="J31" s="266">
        <f>VLOOKUP(B31, 'SBG Discount to NAV Workings'!B:T, 19, FALSE)</f>
        <v>0.65002219263204608</v>
      </c>
      <c r="L31" s="480">
        <v>0.6</v>
      </c>
      <c r="M31" s="480">
        <v>0.4</v>
      </c>
      <c r="O31" s="480">
        <v>0.8</v>
      </c>
      <c r="P31" s="480">
        <v>0.4</v>
      </c>
      <c r="Q31" s="904">
        <v>0.25</v>
      </c>
      <c r="R31" s="904">
        <v>0.05</v>
      </c>
      <c r="S31" s="551">
        <f>INDEX('SVF Segment'!$I$754:$BZ$754, MATCH('SVF Indexes'!B31, 'SVF Segment'!$I$2:$BZ$2, 0))/1000</f>
        <v>0</v>
      </c>
      <c r="T31" s="550">
        <f>INDEX('SVF Segment'!$I$765:$BZ$765, MATCH('SVF Indexes'!B31, 'SVF Segment'!$I$2:$BZ$2, 0))</f>
        <v>0</v>
      </c>
      <c r="U31" s="552">
        <f>INDEX('SVF Segment'!$I$924:$BZ$924, MATCH('SVF Indexes'!B31, 'SVF Segment'!$I$2:$BZ$2, 0))/1000</f>
        <v>3.6186117165312726</v>
      </c>
      <c r="V31" s="553">
        <f>INDEX('SVF Segment'!$I$933:$BZ$933, MATCH('SVF Indexes'!B31, 'SVF Segment'!$I$2:$BZ$2, 0))</f>
        <v>0.11664761999897316</v>
      </c>
    </row>
    <row r="32" spans="1:22">
      <c r="A32" s="233" t="s">
        <v>686</v>
      </c>
      <c r="B32" s="233" t="s">
        <v>686</v>
      </c>
      <c r="C32" s="246">
        <f>VLOOKUP(B32, 'Thomson Reuters VC Index'!B:E, 4, FALSE)</f>
        <v>111.21746593484026</v>
      </c>
      <c r="D32" s="246">
        <f>VLOOKUP(B32, 'Thomson Reuters VC Index'!B:F, 5, FALSE)</f>
        <v>89.89107363674313</v>
      </c>
      <c r="E32" s="246">
        <f>VLOOKUP(B32, 'Thomson Reuters VC Index'!B:D, 3, FALSE)</f>
        <v>339.33939866045966</v>
      </c>
      <c r="F32" s="243">
        <f>VLOOKUP(B32, 'Thomson Reuters VC Index'!B:H, 7, FALSE)</f>
        <v>56.298505362580322</v>
      </c>
      <c r="G32" s="243">
        <f>VLOOKUP(B32, 'Thomson Reuters VC Index'!B:I, 8, FALSE)</f>
        <v>44.88389364518904</v>
      </c>
      <c r="H32" s="243">
        <f>VLOOKUP(B32, 'Thomson Reuters VC Index'!B:G, 6, FALSE)</f>
        <v>113.28117515170291</v>
      </c>
      <c r="I32" s="266">
        <f>VLOOKUP(B32, 'SBG Discount to NAV Workings'!B:H, 7, FALSE)</f>
        <v>0.56691239013325756</v>
      </c>
      <c r="J32" s="266">
        <f>VLOOKUP(B32, 'SBG Discount to NAV Workings'!B:T, 19, FALSE)</f>
        <v>0.68288934426229497</v>
      </c>
      <c r="L32" s="480">
        <v>0.6</v>
      </c>
      <c r="M32" s="480">
        <v>0.4</v>
      </c>
      <c r="O32" s="480">
        <v>0.8</v>
      </c>
      <c r="P32" s="480">
        <v>0.4</v>
      </c>
      <c r="Q32" s="904">
        <v>0.25</v>
      </c>
      <c r="R32" s="904">
        <v>0.05</v>
      </c>
      <c r="S32" s="551">
        <f>INDEX('SVF Segment'!$I$754:$BZ$754, MATCH('SVF Indexes'!B32, 'SVF Segment'!$I$2:$BZ$2, 0))/1000</f>
        <v>0</v>
      </c>
      <c r="T32" s="550">
        <f>INDEX('SVF Segment'!$I$765:$BZ$765, MATCH('SVF Indexes'!B32, 'SVF Segment'!$I$2:$BZ$2, 0))</f>
        <v>0</v>
      </c>
      <c r="U32" s="552">
        <f>INDEX('SVF Segment'!$I$924:$BZ$924, MATCH('SVF Indexes'!B32, 'SVF Segment'!$I$2:$BZ$2, 0))/1000</f>
        <v>3.6186378593158257</v>
      </c>
      <c r="V32" s="553">
        <f>INDEX('SVF Segment'!$I$933:$BZ$933, MATCH('SVF Indexes'!B32, 'SVF Segment'!$I$2:$BZ$2, 0))</f>
        <v>0.12429629600548578</v>
      </c>
    </row>
    <row r="33" spans="1:22">
      <c r="A33" s="233" t="s">
        <v>695</v>
      </c>
      <c r="B33" s="233" t="s">
        <v>695</v>
      </c>
      <c r="C33" s="246">
        <f>VLOOKUP(B33, 'Thomson Reuters VC Index'!B:E, 4, FALSE)</f>
        <v>118.07610047253901</v>
      </c>
      <c r="D33" s="246">
        <f>VLOOKUP(B33, 'Thomson Reuters VC Index'!B:F, 5, FALSE)</f>
        <v>96.384684385722409</v>
      </c>
      <c r="E33" s="246">
        <f>VLOOKUP(B33, 'Thomson Reuters VC Index'!B:D, 3, FALSE)</f>
        <v>352.96178545737808</v>
      </c>
      <c r="F33" s="243">
        <f>VLOOKUP(B33, 'Thomson Reuters VC Index'!B:H, 7, FALSE)</f>
        <v>59.336194500849054</v>
      </c>
      <c r="G33" s="243">
        <f>VLOOKUP(B33, 'Thomson Reuters VC Index'!B:I, 8, FALSE)</f>
        <v>47.231480873117633</v>
      </c>
      <c r="H33" s="243">
        <f>VLOOKUP(B33, 'Thomson Reuters VC Index'!B:G, 6, FALSE)</f>
        <v>117.82871661260481</v>
      </c>
      <c r="I33" s="266">
        <f>VLOOKUP(B33, 'SBG Discount to NAV Workings'!B:H, 7, FALSE)</f>
        <v>0.57876594277835225</v>
      </c>
      <c r="J33" s="266">
        <f>VLOOKUP(B33, 'SBG Discount to NAV Workings'!B:T, 19, FALSE)</f>
        <v>0.7277850021673169</v>
      </c>
      <c r="L33" s="480">
        <v>0.6</v>
      </c>
      <c r="M33" s="480">
        <v>0.4</v>
      </c>
      <c r="O33" s="480">
        <v>0.8</v>
      </c>
      <c r="P33" s="480">
        <v>0.4</v>
      </c>
      <c r="Q33" s="904">
        <v>0.25</v>
      </c>
      <c r="R33" s="904">
        <v>0.05</v>
      </c>
      <c r="S33" s="551"/>
      <c r="T33" s="550"/>
      <c r="U33" s="552"/>
      <c r="V33" s="553"/>
    </row>
    <row r="34" spans="1:22">
      <c r="A34" s="233" t="s">
        <v>696</v>
      </c>
      <c r="B34" s="233" t="s">
        <v>696</v>
      </c>
      <c r="C34" s="246">
        <f>VLOOKUP(B34, 'Thomson Reuters VC Index'!B:E, 4, FALSE)</f>
        <v>114.27595011250327</v>
      </c>
      <c r="D34" s="246">
        <f>VLOOKUP(B34, 'Thomson Reuters VC Index'!B:F, 5, FALSE)</f>
        <v>92.355197881772995</v>
      </c>
      <c r="E34" s="246">
        <f>VLOOKUP(B34, 'Thomson Reuters VC Index'!B:D, 3, FALSE)</f>
        <v>380.54274862933789</v>
      </c>
      <c r="F34" s="243">
        <f>VLOOKUP(B34, 'Thomson Reuters VC Index'!B:H, 7, FALSE)</f>
        <v>58.039773444527981</v>
      </c>
      <c r="G34" s="243">
        <f>VLOOKUP(B34, 'Thomson Reuters VC Index'!B:I, 8, FALSE)</f>
        <v>45.661159478729687</v>
      </c>
      <c r="H34" s="243">
        <f>VLOOKUP(B34, 'Thomson Reuters VC Index'!B:G, 6, FALSE)</f>
        <v>127.03602920957709</v>
      </c>
      <c r="I34" s="266">
        <f>VLOOKUP(B34, 'SBG Discount to NAV Workings'!B:H, 7, FALSE)</f>
        <v>0.54856850715746419</v>
      </c>
      <c r="J34" s="266">
        <f>VLOOKUP(B34, 'SBG Discount to NAV Workings'!B:T, 19, FALSE)</f>
        <v>0.70996912218791364</v>
      </c>
      <c r="L34" s="480">
        <v>0.6</v>
      </c>
      <c r="M34" s="480">
        <v>0.4</v>
      </c>
      <c r="O34" s="480">
        <v>0.8</v>
      </c>
      <c r="P34" s="480">
        <v>0.4</v>
      </c>
      <c r="Q34" s="904">
        <v>0.25</v>
      </c>
      <c r="R34" s="904">
        <v>0.05</v>
      </c>
      <c r="S34" s="551"/>
      <c r="T34" s="550"/>
      <c r="U34" s="552"/>
      <c r="V34" s="553"/>
    </row>
    <row r="35" spans="1:22">
      <c r="A35" s="233" t="s">
        <v>697</v>
      </c>
      <c r="B35" s="233" t="s">
        <v>697</v>
      </c>
      <c r="C35" s="246">
        <f>VLOOKUP(B35, 'Thomson Reuters VC Index'!B:E, 4, FALSE)</f>
        <v>118.37676171941126</v>
      </c>
      <c r="D35" s="246">
        <f>VLOOKUP(B35, 'Thomson Reuters VC Index'!B:F, 5, FALSE)</f>
        <v>95.915499601255547</v>
      </c>
      <c r="E35" s="246">
        <f>VLOOKUP(B35, 'Thomson Reuters VC Index'!B:D, 3, FALSE)</f>
        <v>344.48250286059312</v>
      </c>
      <c r="F35" s="243">
        <f>VLOOKUP(B35, 'Thomson Reuters VC Index'!B:H, 7, FALSE)</f>
        <v>60.376318269186918</v>
      </c>
      <c r="G35" s="243">
        <f>VLOOKUP(B35, 'Thomson Reuters VC Index'!B:I, 8, FALSE)</f>
        <v>47.35668391188311</v>
      </c>
      <c r="H35" s="243">
        <f>VLOOKUP(B35, 'Thomson Reuters VC Index'!B:G, 6, FALSE)</f>
        <v>114.99809010475184</v>
      </c>
      <c r="I35" s="266">
        <f>VLOOKUP(B35, 'SBG Discount to NAV Workings'!B:H, 7, FALSE)</f>
        <v>0.58093385214007776</v>
      </c>
      <c r="J35" s="266">
        <f>VLOOKUP(B35, 'SBG Discount to NAV Workings'!B:T, 19, FALSE)</f>
        <v>0.79839572192513364</v>
      </c>
      <c r="L35" s="480">
        <v>0.6</v>
      </c>
      <c r="M35" s="480">
        <v>0.4</v>
      </c>
      <c r="O35" s="480">
        <v>0.8</v>
      </c>
      <c r="P35" s="480">
        <v>0.4</v>
      </c>
      <c r="Q35" s="904">
        <v>0.25</v>
      </c>
      <c r="R35" s="904">
        <v>0.05</v>
      </c>
      <c r="S35" s="551"/>
      <c r="T35" s="550"/>
      <c r="U35" s="552"/>
      <c r="V35" s="553"/>
    </row>
    <row r="36" spans="1:22">
      <c r="A36" s="233" t="s">
        <v>1172</v>
      </c>
      <c r="B36" s="233" t="s">
        <v>1172</v>
      </c>
      <c r="C36" s="246">
        <f>VLOOKUP(B36, 'Thomson Reuters VC Index'!B:E, 4, FALSE)</f>
        <v>126.56460338581839</v>
      </c>
      <c r="D36" s="246">
        <f>VLOOKUP(B36, 'Thomson Reuters VC Index'!B:F, 5, FALSE)</f>
        <v>103.08662180477718</v>
      </c>
      <c r="E36" s="246">
        <f>VLOOKUP(B36, 'Thomson Reuters VC Index'!B:D, 3, FALSE)</f>
        <v>460.6766281154375</v>
      </c>
      <c r="F36" s="243">
        <f>VLOOKUP(B36, 'Thomson Reuters VC Index'!B:H, 7, FALSE)</f>
        <v>68.287697904459691</v>
      </c>
      <c r="G36" s="243">
        <f>VLOOKUP(B36, 'Thomson Reuters VC Index'!B:I, 8, FALSE)</f>
        <v>52.780540506285917</v>
      </c>
      <c r="H36" s="243">
        <f>VLOOKUP(B36, 'Thomson Reuters VC Index'!B:G, 6, FALSE)</f>
        <v>153.78700499807766</v>
      </c>
      <c r="I36" s="844">
        <f>VLOOKUP(B36, 'SBG Discount to NAV Workings'!B:H, 7, FALSE)</f>
        <v>0.53672839506172831</v>
      </c>
      <c r="J36" s="266">
        <f>VLOOKUP(B36, 'SBG Discount to NAV Workings'!B:T, 19, FALSE)</f>
        <v>0.65921152388172866</v>
      </c>
      <c r="L36" s="480">
        <v>0.6</v>
      </c>
      <c r="M36" s="480">
        <v>0.4</v>
      </c>
      <c r="O36" s="480">
        <v>0.8</v>
      </c>
      <c r="P36" s="480">
        <v>0.4</v>
      </c>
      <c r="Q36" s="904">
        <v>0.25</v>
      </c>
      <c r="R36" s="904">
        <v>0.05</v>
      </c>
      <c r="S36" s="551"/>
      <c r="T36" s="550"/>
      <c r="U36" s="552"/>
      <c r="V36" s="553"/>
    </row>
    <row r="37" spans="1:22">
      <c r="A37" s="233" t="s">
        <v>1173</v>
      </c>
      <c r="B37" s="233" t="s">
        <v>1173</v>
      </c>
      <c r="C37" s="246">
        <f>VLOOKUP(B37, 'Thomson Reuters VC Index'!B:E, 4, FALSE)</f>
        <v>141.0653310262403</v>
      </c>
      <c r="D37" s="246">
        <f>VLOOKUP(B37, 'Thomson Reuters VC Index'!B:F, 5, FALSE)</f>
        <v>115.83589563380252</v>
      </c>
      <c r="E37" s="246">
        <f>VLOOKUP(B37, 'Thomson Reuters VC Index'!B:D, 3, FALSE)</f>
        <v>480.89645584623236</v>
      </c>
      <c r="F37" s="243">
        <f>VLOOKUP(B37, 'Thomson Reuters VC Index'!B:H, 7, FALSE)</f>
        <v>81.445571403123878</v>
      </c>
      <c r="G37" s="243">
        <f>VLOOKUP(B37, 'Thomson Reuters VC Index'!B:I, 8, FALSE)</f>
        <v>62.447722732720862</v>
      </c>
      <c r="H37" s="243">
        <f>VLOOKUP(B37, 'Thomson Reuters VC Index'!B:G, 6, FALSE)</f>
        <v>160.53696051680396</v>
      </c>
      <c r="I37" s="844">
        <f>VLOOKUP(B37, 'SBG Discount to NAV Workings'!B:H, 7, FALSE)</f>
        <v>0.20075075075075077</v>
      </c>
      <c r="J37" s="266">
        <f>VLOOKUP(B37, 'SBG Discount to NAV Workings'!B:T, 19, FALSE)</f>
        <v>0.23646975592500885</v>
      </c>
      <c r="L37" s="480">
        <v>0.6</v>
      </c>
      <c r="M37" s="480">
        <v>0.4</v>
      </c>
      <c r="O37" s="480">
        <v>0.8</v>
      </c>
      <c r="P37" s="480">
        <v>0.4</v>
      </c>
      <c r="Q37" s="904">
        <v>0.25</v>
      </c>
      <c r="R37" s="904">
        <v>0.05</v>
      </c>
      <c r="S37" s="551"/>
      <c r="T37" s="550"/>
      <c r="U37" s="552"/>
      <c r="V37" s="553"/>
    </row>
    <row r="38" spans="1:22">
      <c r="A38" s="233" t="s">
        <v>3140</v>
      </c>
      <c r="B38" s="233" t="s">
        <v>3140</v>
      </c>
      <c r="C38" s="246"/>
      <c r="D38" s="246"/>
      <c r="E38" s="246"/>
      <c r="F38" s="243"/>
      <c r="G38" s="243"/>
      <c r="H38" s="243"/>
      <c r="I38" s="903">
        <v>0.05</v>
      </c>
      <c r="J38" s="266"/>
      <c r="L38" s="480">
        <v>0.6</v>
      </c>
      <c r="M38" s="480">
        <v>0.4</v>
      </c>
      <c r="O38" s="480">
        <v>0.8</v>
      </c>
      <c r="P38" s="480">
        <v>0.4</v>
      </c>
      <c r="Q38" s="904">
        <v>0.25</v>
      </c>
      <c r="R38" s="904">
        <v>0.05</v>
      </c>
      <c r="S38" s="551"/>
      <c r="T38" s="550"/>
      <c r="U38" s="552"/>
      <c r="V38" s="553"/>
    </row>
    <row r="39" spans="1:22">
      <c r="A39" s="233" t="s">
        <v>3296</v>
      </c>
      <c r="B39" s="233" t="s">
        <v>3296</v>
      </c>
      <c r="C39" s="246"/>
      <c r="D39" s="246"/>
      <c r="E39" s="246"/>
      <c r="F39" s="243"/>
      <c r="G39" s="243"/>
      <c r="H39" s="243"/>
      <c r="I39" s="903">
        <v>0.35</v>
      </c>
      <c r="J39" s="266"/>
      <c r="L39" s="480">
        <v>0.6</v>
      </c>
      <c r="M39" s="480">
        <v>0.4</v>
      </c>
      <c r="O39" s="480"/>
      <c r="P39" s="480"/>
      <c r="Q39" s="904"/>
      <c r="R39" s="904"/>
      <c r="S39" s="551"/>
      <c r="T39" s="550"/>
      <c r="U39" s="552"/>
      <c r="V39" s="553"/>
    </row>
    <row r="40" spans="1:22">
      <c r="A40" s="233" t="s">
        <v>1459</v>
      </c>
      <c r="B40" s="233" t="s">
        <v>1174</v>
      </c>
      <c r="C40" s="246">
        <f>VLOOKUP(B40, 'Thomson Reuters VC Index'!B:E, 4, FALSE)</f>
        <v>128.29281614458876</v>
      </c>
      <c r="D40" s="246">
        <f>VLOOKUP(B40, 'Thomson Reuters VC Index'!B:F, 5, FALSE)</f>
        <v>104.18554639651765</v>
      </c>
      <c r="E40" s="246">
        <f>VLOOKUP(B40, 'Thomson Reuters VC Index'!B:D, 3, FALSE)</f>
        <v>442.50673683661256</v>
      </c>
      <c r="F40" s="243">
        <f>VLOOKUP(B40, 'Thomson Reuters VC Index'!B:H, 7, FALSE)</f>
        <v>116.69813215969988</v>
      </c>
      <c r="G40" s="243">
        <f>VLOOKUP(B40, 'Thomson Reuters VC Index'!B:I, 8, FALSE)</f>
        <v>90.036809312400194</v>
      </c>
      <c r="H40" s="243">
        <f>VLOOKUP(B40, 'Thomson Reuters VC Index'!B:G, 6, FALSE)</f>
        <v>147.72137676696417</v>
      </c>
      <c r="I40" s="844">
        <f>VLOOKUP(B40, 'SBG Discount to NAV Workings'!B:H, 7, FALSE)</f>
        <v>0.19036845507433753</v>
      </c>
      <c r="J40" s="266">
        <f>VLOOKUP(B40, 'SBG Discount to NAV Workings'!B:T, 19, FALSE)</f>
        <v>0.21726300258207309</v>
      </c>
      <c r="L40" s="480">
        <v>0.6</v>
      </c>
      <c r="M40" s="480">
        <v>0.4</v>
      </c>
      <c r="O40" s="480">
        <v>0.8</v>
      </c>
      <c r="P40" s="480">
        <v>0.4</v>
      </c>
      <c r="Q40" s="904">
        <v>0.25</v>
      </c>
      <c r="R40" s="904">
        <v>0.05</v>
      </c>
      <c r="S40" s="551"/>
      <c r="T40" s="550"/>
      <c r="U40" s="552"/>
      <c r="V40" s="553"/>
    </row>
    <row r="41" spans="1:22">
      <c r="A41" s="233" t="s">
        <v>1460</v>
      </c>
      <c r="B41" s="233" t="s">
        <v>1175</v>
      </c>
      <c r="C41" s="246">
        <f>VLOOKUP(B41, 'Thomson Reuters VC Index'!B:E, 4, FALSE)</f>
        <v>122.92835989429511</v>
      </c>
      <c r="D41" s="246">
        <f>VLOOKUP(B41, 'Thomson Reuters VC Index'!B:F, 5, FALSE)</f>
        <v>99.233520236610559</v>
      </c>
      <c r="E41" s="246">
        <f>VLOOKUP(B41, 'Thomson Reuters VC Index'!B:D, 3, FALSE)</f>
        <v>382.03361150349792</v>
      </c>
      <c r="F41" s="243">
        <f>VLOOKUP(B41, 'Thomson Reuters VC Index'!B:H, 7, FALSE)</f>
        <v>116.9277465401067</v>
      </c>
      <c r="G41" s="243">
        <f>VLOOKUP(B41, 'Thomson Reuters VC Index'!B:I, 8, FALSE)</f>
        <v>89.791324726891148</v>
      </c>
      <c r="H41" s="243">
        <f>VLOOKUP(B41, 'Thomson Reuters VC Index'!B:G, 6, FALSE)</f>
        <v>127.53372178238641</v>
      </c>
      <c r="I41" s="844">
        <f>VLOOKUP(B41, 'SBG Discount to NAV Workings'!B:H, 7, FALSE)</f>
        <v>0.29878252216738399</v>
      </c>
      <c r="J41" s="266">
        <f>VLOOKUP(B41, 'SBG Discount to NAV Workings'!B:T, 19, FALSE)</f>
        <v>0.33304657238334212</v>
      </c>
      <c r="L41" s="480">
        <v>0.6</v>
      </c>
      <c r="M41" s="480">
        <v>0.4</v>
      </c>
      <c r="O41" s="480"/>
      <c r="P41" s="480"/>
      <c r="Q41" s="904"/>
      <c r="R41" s="904"/>
      <c r="S41" s="551"/>
      <c r="T41" s="550"/>
      <c r="U41" s="552"/>
      <c r="V41" s="553"/>
    </row>
    <row r="43" spans="1:22">
      <c r="B43" s="236" t="s">
        <v>862</v>
      </c>
      <c r="I43" s="236" t="s">
        <v>925</v>
      </c>
      <c r="R43" s="229" t="s">
        <v>2215</v>
      </c>
    </row>
    <row r="63" spans="2:18">
      <c r="B63" s="229" t="s">
        <v>863</v>
      </c>
      <c r="I63" s="229" t="s">
        <v>926</v>
      </c>
      <c r="R63" s="229" t="s">
        <v>2216</v>
      </c>
    </row>
    <row r="83" spans="2:9">
      <c r="B83" s="229" t="s">
        <v>864</v>
      </c>
      <c r="I83" s="229" t="s">
        <v>927</v>
      </c>
    </row>
    <row r="103" spans="2:8">
      <c r="C103" s="244" t="s">
        <v>84</v>
      </c>
      <c r="D103" s="244" t="s">
        <v>861</v>
      </c>
      <c r="E103" s="245" t="s">
        <v>1294</v>
      </c>
      <c r="F103" s="241" t="s">
        <v>83</v>
      </c>
      <c r="G103" s="241" t="s">
        <v>924</v>
      </c>
      <c r="H103" s="242" t="s">
        <v>1294</v>
      </c>
    </row>
    <row r="104" spans="2:8">
      <c r="B104" s="233" t="s">
        <v>13</v>
      </c>
      <c r="C104" s="246">
        <v>100</v>
      </c>
      <c r="D104" s="246">
        <v>100</v>
      </c>
      <c r="E104" s="246"/>
      <c r="F104" s="243">
        <v>100</v>
      </c>
      <c r="G104" s="243">
        <v>100</v>
      </c>
      <c r="H104" s="243"/>
    </row>
    <row r="105" spans="2:8">
      <c r="B105" s="233" t="s">
        <v>91</v>
      </c>
      <c r="C105" s="246">
        <f t="shared" ref="C105:C114" si="0">C104*C28/C27</f>
        <v>101.25899280575538</v>
      </c>
      <c r="D105" s="246">
        <f t="shared" ref="D105:D114" si="1">D104*D28/D27</f>
        <v>101.33332836354887</v>
      </c>
      <c r="E105" s="652">
        <f t="shared" ref="E105:E111" si="2">C105/C104-1</f>
        <v>1.2589928057553879E-2</v>
      </c>
      <c r="F105" s="243">
        <f t="shared" ref="F105:F114" si="3">F104*F28/F27</f>
        <v>100.99667774086377</v>
      </c>
      <c r="G105" s="243">
        <f t="shared" ref="G105:G114" si="4">G104*G28/G27</f>
        <v>100.01230844472178</v>
      </c>
      <c r="H105" s="653">
        <f t="shared" ref="H105:H110" si="5">F105/F104-1</f>
        <v>9.966777408637828E-3</v>
      </c>
    </row>
    <row r="106" spans="2:8">
      <c r="B106" s="233" t="s">
        <v>92</v>
      </c>
      <c r="C106" s="246">
        <f t="shared" si="0"/>
        <v>103.23741007194243</v>
      </c>
      <c r="D106" s="246">
        <f t="shared" si="1"/>
        <v>103.91535959466574</v>
      </c>
      <c r="E106" s="652">
        <f t="shared" si="2"/>
        <v>1.9538188277087087E-2</v>
      </c>
      <c r="F106" s="243">
        <f t="shared" si="3"/>
        <v>94.373944774249765</v>
      </c>
      <c r="G106" s="243">
        <f t="shared" si="4"/>
        <v>90.488215787697044</v>
      </c>
      <c r="H106" s="653">
        <f t="shared" si="5"/>
        <v>-6.557377049180324E-2</v>
      </c>
    </row>
    <row r="107" spans="2:8">
      <c r="B107" s="233" t="s">
        <v>93</v>
      </c>
      <c r="C107" s="246">
        <f t="shared" si="0"/>
        <v>105.48713571515668</v>
      </c>
      <c r="D107" s="246">
        <f t="shared" si="1"/>
        <v>106.79456925013378</v>
      </c>
      <c r="E107" s="652">
        <f t="shared" si="2"/>
        <v>2.1791767554479424E-2</v>
      </c>
      <c r="F107" s="243">
        <f t="shared" si="3"/>
        <v>99.847301852545442</v>
      </c>
      <c r="G107" s="243">
        <f t="shared" si="4"/>
        <v>95.480757194095915</v>
      </c>
      <c r="H107" s="653">
        <f t="shared" si="5"/>
        <v>5.7996485061511338E-2</v>
      </c>
    </row>
    <row r="108" spans="2:8">
      <c r="B108" s="233" t="s">
        <v>94</v>
      </c>
      <c r="C108" s="246">
        <f t="shared" si="0"/>
        <v>102.53195408123635</v>
      </c>
      <c r="D108" s="246">
        <f t="shared" si="1"/>
        <v>101.69422054949129</v>
      </c>
      <c r="E108" s="652">
        <f t="shared" si="2"/>
        <v>-2.8014616321558994E-2</v>
      </c>
      <c r="F108" s="243">
        <f t="shared" si="3"/>
        <v>99.019380609987024</v>
      </c>
      <c r="G108" s="243">
        <f t="shared" si="4"/>
        <v>93.768559066477152</v>
      </c>
      <c r="H108" s="653">
        <f t="shared" si="5"/>
        <v>-8.2918739635157168E-3</v>
      </c>
    </row>
    <row r="109" spans="2:8">
      <c r="B109" s="233" t="s">
        <v>686</v>
      </c>
      <c r="C109" s="246">
        <f t="shared" si="0"/>
        <v>108.777555345068</v>
      </c>
      <c r="D109" s="246">
        <f t="shared" si="1"/>
        <v>110.0098864928061</v>
      </c>
      <c r="E109" s="652">
        <f t="shared" si="2"/>
        <v>6.0913705583756306E-2</v>
      </c>
      <c r="F109" s="243">
        <f t="shared" si="3"/>
        <v>91.301452104730984</v>
      </c>
      <c r="G109" s="243">
        <f t="shared" si="4"/>
        <v>84.556022435144001</v>
      </c>
      <c r="H109" s="653">
        <f t="shared" si="5"/>
        <v>-7.7943615257048182E-2</v>
      </c>
    </row>
    <row r="110" spans="2:8">
      <c r="B110" s="233" t="s">
        <v>695</v>
      </c>
      <c r="C110" s="246">
        <f t="shared" si="0"/>
        <v>115.48572381253895</v>
      </c>
      <c r="D110" s="246">
        <f t="shared" si="1"/>
        <v>117.95685333303393</v>
      </c>
      <c r="E110" s="652">
        <f t="shared" si="2"/>
        <v>6.1668681983071405E-2</v>
      </c>
      <c r="F110" s="243">
        <f t="shared" si="3"/>
        <v>96.227789448511444</v>
      </c>
      <c r="G110" s="243">
        <f t="shared" si="4"/>
        <v>88.978603057992089</v>
      </c>
      <c r="H110" s="653">
        <f t="shared" si="5"/>
        <v>5.3956834532374209E-2</v>
      </c>
    </row>
    <row r="111" spans="2:8">
      <c r="B111" s="233" t="s">
        <v>696</v>
      </c>
      <c r="C111" s="246">
        <f t="shared" si="0"/>
        <v>111.7689418967331</v>
      </c>
      <c r="D111" s="246">
        <f t="shared" si="1"/>
        <v>113.02551438034646</v>
      </c>
      <c r="E111" s="652">
        <f t="shared" si="2"/>
        <v>-3.2183908045977039E-2</v>
      </c>
      <c r="F111" s="243">
        <f t="shared" si="3"/>
        <v>94.125333544594397</v>
      </c>
      <c r="G111" s="243">
        <f t="shared" si="4"/>
        <v>86.020300641007239</v>
      </c>
      <c r="H111" s="653">
        <f t="shared" ref="H111" si="6">F111/F110-1</f>
        <v>-2.1848739495798242E-2</v>
      </c>
    </row>
    <row r="112" spans="2:8">
      <c r="B112" s="233" t="s">
        <v>697</v>
      </c>
      <c r="C112" s="246">
        <f t="shared" si="0"/>
        <v>115.77978909398426</v>
      </c>
      <c r="D112" s="246">
        <f t="shared" si="1"/>
        <v>117.38265877961329</v>
      </c>
      <c r="E112" s="652">
        <f t="shared" ref="E112" si="7">C112/C111-1</f>
        <v>3.5885167464114742E-2</v>
      </c>
      <c r="F112" s="243">
        <f t="shared" si="3"/>
        <v>97.914598180045061</v>
      </c>
      <c r="G112" s="243">
        <f t="shared" si="4"/>
        <v>89.214470985103986</v>
      </c>
      <c r="H112" s="653">
        <f t="shared" ref="H112" si="8">F112/F111-1</f>
        <v>4.0257648953301084E-2</v>
      </c>
    </row>
    <row r="113" spans="2:8">
      <c r="B113" s="233" t="s">
        <v>1172</v>
      </c>
      <c r="C113" s="246">
        <f t="shared" si="0"/>
        <v>123.78800428336889</v>
      </c>
      <c r="D113" s="246">
        <f t="shared" si="1"/>
        <v>126.1587731113148</v>
      </c>
      <c r="E113" s="652">
        <f t="shared" ref="E113:E115" si="9">C113/C112-1</f>
        <v>6.9167643610785534E-2</v>
      </c>
      <c r="F113" s="243">
        <f t="shared" si="3"/>
        <v>110.74478690708547</v>
      </c>
      <c r="G113" s="243">
        <f t="shared" si="4"/>
        <v>99.432384419859787</v>
      </c>
      <c r="H113" s="653">
        <f t="shared" ref="H113" si="10">F113/F112-1</f>
        <v>0.13103448275862095</v>
      </c>
    </row>
    <row r="114" spans="2:8">
      <c r="B114" s="233" t="s">
        <v>1458</v>
      </c>
      <c r="C114" s="246">
        <f t="shared" si="0"/>
        <v>137.97061211561251</v>
      </c>
      <c r="D114" s="246">
        <f t="shared" si="1"/>
        <v>141.76150328299548</v>
      </c>
      <c r="E114" s="652">
        <f t="shared" si="9"/>
        <v>0.11457174638487233</v>
      </c>
      <c r="F114" s="243">
        <f t="shared" si="3"/>
        <v>132.08341657942634</v>
      </c>
      <c r="G114" s="243">
        <f t="shared" si="4"/>
        <v>117.64422859908409</v>
      </c>
      <c r="H114" s="653">
        <f t="shared" ref="H114" si="11">F114/F113-1</f>
        <v>0.19268292682926846</v>
      </c>
    </row>
    <row r="115" spans="2:8">
      <c r="B115" s="233" t="s">
        <v>1459</v>
      </c>
      <c r="C115" s="246">
        <f>C114*C40/C37</f>
        <v>125.47830317154298</v>
      </c>
      <c r="D115" s="246">
        <f>D114*D40/D37</f>
        <v>127.50365158156269</v>
      </c>
      <c r="E115" s="652">
        <f t="shared" si="9"/>
        <v>-9.0543259557343991E-2</v>
      </c>
      <c r="F115" s="243">
        <f>F114*F40/F37</f>
        <v>189.25385062126759</v>
      </c>
      <c r="G115" s="243">
        <f>G114*G40/G37</f>
        <v>169.61885099342584</v>
      </c>
      <c r="H115" s="653">
        <f>'OpenAI SBG "rough"'!$G$45</f>
        <v>7.2566978665916784E-2</v>
      </c>
    </row>
    <row r="116" spans="2:8">
      <c r="B116" s="233" t="s">
        <v>3255</v>
      </c>
      <c r="C116" s="246">
        <f>C115*C41/C40</f>
        <v>120.23153341503377</v>
      </c>
      <c r="D116" s="246">
        <f>D115*D41/D40</f>
        <v>121.44329637919576</v>
      </c>
      <c r="E116" s="652">
        <f t="shared" ref="E116" si="12">C116/C115-1</f>
        <v>-4.1814159292035358E-2</v>
      </c>
      <c r="F116" s="243">
        <f>F115*F41/F40</f>
        <v>189.62622509586961</v>
      </c>
      <c r="G116" s="243">
        <f>G115*G41/G40</f>
        <v>169.1563866563549</v>
      </c>
      <c r="H116" s="653">
        <f t="shared" ref="H116" si="13">F116/F115-1</f>
        <v>1.9675925925926041E-3</v>
      </c>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9AECD-7014-456D-8698-AAB0960D997D}">
  <sheetPr codeName="Sheet18"/>
  <dimension ref="A1:AB147"/>
  <sheetViews>
    <sheetView zoomScale="90" zoomScaleNormal="90" workbookViewId="0">
      <pane xSplit="2" ySplit="3" topLeftCell="C4" activePane="bottomRight" state="frozen"/>
      <selection pane="topRight" activeCell="C1" sqref="C1"/>
      <selection pane="bottomLeft" activeCell="A5" sqref="A5"/>
      <selection pane="bottomRight"/>
    </sheetView>
  </sheetViews>
  <sheetFormatPr defaultColWidth="9.140625" defaultRowHeight="12"/>
  <cols>
    <col min="1" max="3" width="9.7109375" style="1" customWidth="1"/>
    <col min="4" max="7" width="11.42578125" style="1" customWidth="1"/>
    <col min="8" max="8" width="9.7109375" style="1" customWidth="1"/>
    <col min="9" max="9" width="9.7109375" style="26" customWidth="1"/>
    <col min="10" max="12" width="9.7109375" style="1" customWidth="1"/>
    <col min="13" max="13" width="9.7109375" style="26" customWidth="1"/>
    <col min="14" max="15" width="11.42578125" style="1" customWidth="1"/>
    <col min="16" max="16" width="9.7109375" style="1" customWidth="1"/>
    <col min="17" max="17" width="9.7109375" style="26" customWidth="1"/>
    <col min="18" max="19" width="11.42578125" style="1" customWidth="1"/>
    <col min="20" max="20" width="9.7109375" style="1" customWidth="1"/>
    <col min="21" max="21" width="9.7109375" style="26" customWidth="1"/>
    <col min="22" max="23" width="9.7109375" style="1" customWidth="1"/>
    <col min="24" max="25" width="9.140625" style="219"/>
    <col min="26" max="26" width="9.140625" style="1"/>
    <col min="27" max="28" width="9.140625" style="26"/>
    <col min="29" max="16384" width="9.140625" style="1"/>
  </cols>
  <sheetData>
    <row r="1" spans="1:28" s="2" customFormat="1">
      <c r="A1" s="2" t="s">
        <v>911</v>
      </c>
      <c r="I1" s="258"/>
      <c r="M1" s="258"/>
      <c r="Q1" s="258"/>
      <c r="U1" s="258"/>
      <c r="X1" s="698"/>
      <c r="Y1" s="698"/>
      <c r="AA1" s="258"/>
      <c r="AB1" s="258"/>
    </row>
    <row r="2" spans="1:28">
      <c r="Q2" s="1"/>
      <c r="S2" s="263" t="s">
        <v>976</v>
      </c>
      <c r="T2" s="261">
        <v>0</v>
      </c>
    </row>
    <row r="3" spans="1:28" ht="36">
      <c r="A3" s="240" t="s">
        <v>854</v>
      </c>
      <c r="B3" s="240" t="s">
        <v>856</v>
      </c>
      <c r="C3" s="239" t="s">
        <v>15</v>
      </c>
      <c r="D3" s="240" t="s">
        <v>923</v>
      </c>
      <c r="E3" s="240" t="s">
        <v>82</v>
      </c>
      <c r="F3" s="240" t="s">
        <v>960</v>
      </c>
      <c r="G3" s="240" t="s">
        <v>961</v>
      </c>
      <c r="H3" s="240" t="s">
        <v>962</v>
      </c>
      <c r="I3" s="259" t="s">
        <v>962</v>
      </c>
      <c r="J3" s="240" t="s">
        <v>971</v>
      </c>
      <c r="K3" s="240" t="s">
        <v>972</v>
      </c>
      <c r="L3" s="240" t="s">
        <v>973</v>
      </c>
      <c r="M3" s="259" t="s">
        <v>973</v>
      </c>
      <c r="N3" s="240" t="s">
        <v>963</v>
      </c>
      <c r="O3" s="240" t="s">
        <v>964</v>
      </c>
      <c r="P3" s="240" t="s">
        <v>974</v>
      </c>
      <c r="Q3" s="259" t="s">
        <v>974</v>
      </c>
      <c r="R3" s="240" t="s">
        <v>965</v>
      </c>
      <c r="S3" s="240" t="s">
        <v>966</v>
      </c>
      <c r="T3" s="240" t="s">
        <v>975</v>
      </c>
      <c r="U3" s="259" t="s">
        <v>975</v>
      </c>
      <c r="V3" s="240" t="s">
        <v>968</v>
      </c>
      <c r="W3" s="240" t="s">
        <v>967</v>
      </c>
      <c r="X3" s="699" t="s">
        <v>2686</v>
      </c>
      <c r="Y3" s="699" t="s">
        <v>2687</v>
      </c>
      <c r="Z3" s="699" t="s">
        <v>2838</v>
      </c>
      <c r="AA3" s="259" t="s">
        <v>2839</v>
      </c>
      <c r="AB3" s="259" t="s">
        <v>2838</v>
      </c>
    </row>
    <row r="4" spans="1:28">
      <c r="A4" s="240"/>
      <c r="B4" s="239" t="s">
        <v>1175</v>
      </c>
      <c r="C4" s="296">
        <f>FP!$G$4</f>
        <v>155.1</v>
      </c>
      <c r="D4" s="23">
        <f>MROUND(FP!$D$7, 5)</f>
        <v>23110</v>
      </c>
      <c r="E4" s="697">
        <f t="shared" ref="E4" si="0">MROUND(D4/C4, 0.05)</f>
        <v>149</v>
      </c>
      <c r="F4" s="11">
        <f>1000*INDEX('Valuation &amp; SBG NAV'!$I$33:$BP$33, MATCH('SBG Discount to NAV Workings'!B4, 'Valuation &amp; SBG NAV'!$I$3:$BP$3, 0))</f>
        <v>32956.965179234263</v>
      </c>
      <c r="G4" s="257">
        <f>F4/C4</f>
        <v>212.48849245154264</v>
      </c>
      <c r="H4" s="21">
        <f>1-D4/F4</f>
        <v>0.29878252216738399</v>
      </c>
      <c r="I4" s="260">
        <f>1-E4/G4</f>
        <v>0.29878555642734861</v>
      </c>
      <c r="J4" s="11">
        <f>1000*INDEX('Valuation &amp; SBG NAV'!$I$34:$BP$34, MATCH('SBG Discount to NAV Workings'!B4, 'Valuation &amp; SBG NAV'!$I$3:$BP$3, 0))</f>
        <v>3390.6342340827186</v>
      </c>
      <c r="K4" s="257">
        <f>J4/C4</f>
        <v>21.860955732319269</v>
      </c>
      <c r="L4" s="21">
        <f>J4/D4</f>
        <v>0.14671718883958107</v>
      </c>
      <c r="M4" s="260">
        <f>K4/E4</f>
        <v>0.14671782370684072</v>
      </c>
      <c r="N4" s="11">
        <f>D4-J4</f>
        <v>19719.365765917282</v>
      </c>
      <c r="O4" s="257">
        <f>E4-K4</f>
        <v>127.13904426768073</v>
      </c>
      <c r="P4" s="21">
        <f>N4/D4</f>
        <v>0.85328281116041893</v>
      </c>
      <c r="Q4" s="260">
        <f>O4/E4</f>
        <v>0.85328217629315928</v>
      </c>
      <c r="R4" s="11">
        <f>F4-J4</f>
        <v>29566.330945151545</v>
      </c>
      <c r="S4" s="257">
        <f>G4-K4</f>
        <v>190.62753671922337</v>
      </c>
      <c r="T4" s="21">
        <f>1-((D4-J4*(1-$T$2))/R4)</f>
        <v>0.33304657238334212</v>
      </c>
      <c r="U4" s="260">
        <f>1-((E4-K4*(1-$T$2))/S4)</f>
        <v>0.33304995460889408</v>
      </c>
      <c r="V4" s="11">
        <f>1000*INDEX('Valuation &amp; SBG NAV'!$I$20:$BP$20, MATCH('SBG Discount to NAV Workings'!B4, 'Valuation &amp; SBG NAV'!$I$3:$BP$3, 0))</f>
        <v>15137.569423009845</v>
      </c>
      <c r="W4" s="257">
        <f>V4/C4</f>
        <v>97.59877126376432</v>
      </c>
      <c r="X4" s="700">
        <f>HLOOKUP(B4, 'Investment Business Of HoldCo'!$2:$152, 151, FALSE)/1000</f>
        <v>3.4577600000000013</v>
      </c>
      <c r="Y4" s="700">
        <f>HLOOKUP(B4, 'Investment Business Of HoldCo'!$2:$219, 218, 0)/1000</f>
        <v>0</v>
      </c>
      <c r="Z4" s="767">
        <f>SUM(X4:Y4)/E4</f>
        <v>2.3206442953020143E-2</v>
      </c>
      <c r="AA4" s="259"/>
      <c r="AB4" s="259"/>
    </row>
    <row r="5" spans="1:28">
      <c r="A5" s="240"/>
      <c r="B5" s="240"/>
      <c r="C5" s="239"/>
      <c r="D5" s="240"/>
      <c r="E5" s="240"/>
      <c r="F5" s="240"/>
      <c r="G5" s="240"/>
      <c r="H5" s="240"/>
      <c r="I5" s="259"/>
      <c r="J5" s="240"/>
      <c r="K5" s="240"/>
      <c r="L5" s="240"/>
      <c r="M5" s="259"/>
      <c r="N5" s="240"/>
      <c r="O5" s="240"/>
      <c r="P5" s="240"/>
      <c r="Q5" s="259"/>
      <c r="R5" s="240"/>
      <c r="S5" s="240"/>
      <c r="T5" s="240"/>
      <c r="U5" s="259"/>
      <c r="V5" s="240"/>
      <c r="W5" s="240"/>
      <c r="X5" s="699"/>
      <c r="Y5" s="699"/>
      <c r="Z5" s="699"/>
      <c r="AA5" s="259"/>
      <c r="AB5" s="259"/>
    </row>
    <row r="6" spans="1:28">
      <c r="A6" s="240"/>
      <c r="B6" s="240"/>
      <c r="C6" s="239"/>
      <c r="D6" s="240"/>
      <c r="E6" s="240"/>
      <c r="F6" s="240"/>
      <c r="G6" s="240"/>
      <c r="H6" s="240"/>
      <c r="I6" s="259"/>
      <c r="J6" s="240"/>
      <c r="K6" s="240"/>
      <c r="L6" s="240"/>
      <c r="M6" s="259"/>
      <c r="N6" s="240"/>
      <c r="O6" s="240"/>
      <c r="P6" s="240"/>
      <c r="Q6" s="259"/>
      <c r="R6" s="240"/>
      <c r="S6" s="240"/>
      <c r="T6" s="240"/>
      <c r="U6" s="259"/>
      <c r="V6" s="240"/>
      <c r="W6" s="240"/>
      <c r="X6" s="699"/>
      <c r="Y6" s="699"/>
      <c r="Z6" s="699"/>
      <c r="AA6" s="259"/>
      <c r="AB6" s="259"/>
    </row>
    <row r="7" spans="1:28">
      <c r="A7" s="256" t="s">
        <v>3104</v>
      </c>
      <c r="B7" s="239" t="s">
        <v>1174</v>
      </c>
      <c r="C7" s="790">
        <v>156.9</v>
      </c>
      <c r="D7" s="1072">
        <v>25050</v>
      </c>
      <c r="E7" s="697">
        <f t="shared" ref="E7:E22" si="1">MROUND(D7/C7, 0.05)</f>
        <v>159.65</v>
      </c>
      <c r="F7" s="11">
        <f>1000*INDEX('Valuation &amp; SBG NAV'!$I$33:$BP$33, MATCH('SBG Discount to NAV Workings'!B7, 'Valuation &amp; SBG NAV'!$I$3:$BP$3, 0))</f>
        <v>30940.000000000004</v>
      </c>
      <c r="G7" s="257">
        <f>F7/C7</f>
        <v>197.19566602931806</v>
      </c>
      <c r="H7" s="21">
        <f>1-D7/F7</f>
        <v>0.19036845507433753</v>
      </c>
      <c r="I7" s="260">
        <f>1-E7/G7</f>
        <v>0.19039802844214615</v>
      </c>
      <c r="J7" s="11">
        <f>1000*INDEX('Valuation &amp; SBG NAV'!$I$34:$BP$34, MATCH('SBG Discount to NAV Workings'!B7, 'Valuation &amp; SBG NAV'!$I$3:$BP$3, 0))</f>
        <v>3830</v>
      </c>
      <c r="K7" s="257">
        <f>J7/C7</f>
        <v>24.410452517527087</v>
      </c>
      <c r="L7" s="21">
        <f>J7/D7</f>
        <v>0.1528942115768463</v>
      </c>
      <c r="M7" s="260">
        <f>K7/E7</f>
        <v>0.15289979653947439</v>
      </c>
      <c r="N7" s="11">
        <f>D7-J7</f>
        <v>21220</v>
      </c>
      <c r="O7" s="257">
        <f>E7-K7</f>
        <v>135.23954748247291</v>
      </c>
      <c r="P7" s="21">
        <f>N7/D7</f>
        <v>0.84710578842315365</v>
      </c>
      <c r="Q7" s="260">
        <f>O7/E7</f>
        <v>0.84710020346052561</v>
      </c>
      <c r="R7" s="11">
        <f>F7-J7</f>
        <v>27110.000000000004</v>
      </c>
      <c r="S7" s="257">
        <f>G7-K7</f>
        <v>172.78521351179097</v>
      </c>
      <c r="T7" s="21">
        <f>1-((D7-J7*(1-$T$2))/R7)</f>
        <v>0.21726300258207309</v>
      </c>
      <c r="U7" s="260">
        <f>1-((E7-K7*(1-$T$2))/S7)</f>
        <v>0.21729675396532655</v>
      </c>
      <c r="V7" s="11">
        <f>1000*INDEX('Valuation &amp; SBG NAV'!$I$20:$BP$20, MATCH('SBG Discount to NAV Workings'!B7, 'Valuation &amp; SBG NAV'!$I$3:$BP$3, 0))</f>
        <v>12690</v>
      </c>
      <c r="W7" s="257">
        <f>V7/C7</f>
        <v>80.879541108986615</v>
      </c>
      <c r="X7" s="700">
        <f>HLOOKUP(B7, 'Investment Business Of HoldCo'!$2:$152, 151, FALSE)/1000</f>
        <v>5.7866400000000002</v>
      </c>
      <c r="Y7" s="700">
        <f>HLOOKUP(B7, 'Investment Business Of HoldCo'!$2:$219, 218, 0)/1000</f>
        <v>0</v>
      </c>
      <c r="Z7" s="767">
        <f>SUM(X7:Y7)/E7</f>
        <v>3.6245787660507359E-2</v>
      </c>
      <c r="AA7" s="768"/>
      <c r="AB7" s="260"/>
    </row>
    <row r="8" spans="1:28">
      <c r="A8" s="256" t="s">
        <v>3279</v>
      </c>
      <c r="B8" s="240"/>
      <c r="C8" s="790">
        <v>155.94999999999999</v>
      </c>
      <c r="D8" s="1072">
        <v>23950</v>
      </c>
      <c r="E8" s="240"/>
      <c r="F8" s="240"/>
      <c r="G8" s="240"/>
      <c r="H8" s="240"/>
      <c r="I8" s="259"/>
      <c r="J8" s="240"/>
      <c r="K8" s="240"/>
      <c r="L8" s="240"/>
      <c r="M8" s="259"/>
      <c r="N8" s="240"/>
      <c r="O8" s="240"/>
      <c r="P8" s="240"/>
      <c r="Q8" s="259"/>
      <c r="R8" s="240"/>
      <c r="S8" s="240"/>
      <c r="T8" s="240"/>
      <c r="U8" s="259"/>
      <c r="V8" s="240"/>
      <c r="W8" s="240"/>
      <c r="X8" s="699"/>
      <c r="Y8" s="699"/>
      <c r="Z8" s="699"/>
      <c r="AA8" s="259"/>
      <c r="AB8" s="259"/>
    </row>
    <row r="9" spans="1:28">
      <c r="A9" s="256" t="s">
        <v>3139</v>
      </c>
      <c r="B9" s="240"/>
      <c r="C9" s="636">
        <v>148</v>
      </c>
      <c r="D9" s="696">
        <v>38555</v>
      </c>
      <c r="E9" s="697">
        <f t="shared" si="1"/>
        <v>260.5</v>
      </c>
      <c r="F9" s="240"/>
      <c r="G9" s="240"/>
      <c r="H9" s="240"/>
      <c r="I9" s="259"/>
      <c r="J9" s="240"/>
      <c r="K9" s="240"/>
      <c r="L9" s="240"/>
      <c r="M9" s="259"/>
      <c r="N9" s="240"/>
      <c r="O9" s="240"/>
      <c r="P9" s="240"/>
      <c r="Q9" s="259"/>
      <c r="R9" s="240"/>
      <c r="S9" s="240"/>
      <c r="T9" s="240"/>
      <c r="U9" s="259"/>
      <c r="V9" s="240"/>
      <c r="W9" s="240"/>
      <c r="X9" s="699"/>
      <c r="Y9" s="699"/>
      <c r="Z9" s="699"/>
      <c r="AA9" s="259"/>
      <c r="AB9" s="259"/>
    </row>
    <row r="10" spans="1:28">
      <c r="A10" s="256" t="s">
        <v>2877</v>
      </c>
      <c r="B10" s="239" t="s">
        <v>1173</v>
      </c>
      <c r="C10" s="636">
        <f>FP!$G$4</f>
        <v>155.1</v>
      </c>
      <c r="D10" s="696">
        <v>26615</v>
      </c>
      <c r="E10" s="697">
        <f t="shared" si="1"/>
        <v>171.60000000000002</v>
      </c>
      <c r="F10" s="11">
        <f>1000*INDEX('Valuation &amp; SBG NAV'!$I$33:$BP$33, MATCH('SBG Discount to NAV Workings'!B10, 'Valuation &amp; SBG NAV'!$I$3:$BP$3, 0))</f>
        <v>33300</v>
      </c>
      <c r="G10" s="257">
        <f>F10/C10</f>
        <v>214.70019342359768</v>
      </c>
      <c r="H10" s="21">
        <f>1-D10/F10</f>
        <v>0.20075075075075077</v>
      </c>
      <c r="I10" s="260">
        <f>1-E10/G10</f>
        <v>0.20074594594594586</v>
      </c>
      <c r="J10" s="11">
        <f>1000*INDEX('Valuation &amp; SBG NAV'!$I$34:$BP$34, MATCH('SBG Discount to NAV Workings'!B10, 'Valuation &amp; SBG NAV'!$I$3:$BP$3, 0))</f>
        <v>5030</v>
      </c>
      <c r="K10" s="257">
        <f>J10/C10</f>
        <v>32.430689877498388</v>
      </c>
      <c r="L10" s="21">
        <f>J10/D10</f>
        <v>0.18899117039263574</v>
      </c>
      <c r="M10" s="260">
        <f>K10/E10</f>
        <v>0.18899003425115607</v>
      </c>
      <c r="N10" s="11">
        <f>D10-J10</f>
        <v>21585</v>
      </c>
      <c r="O10" s="257">
        <f>E10-K10</f>
        <v>139.16931012250163</v>
      </c>
      <c r="P10" s="21">
        <f>N10/D10</f>
        <v>0.81100882960736431</v>
      </c>
      <c r="Q10" s="260">
        <f>O10/E10</f>
        <v>0.81100996574884388</v>
      </c>
      <c r="R10" s="11">
        <f>F10-J10</f>
        <v>28270</v>
      </c>
      <c r="S10" s="257">
        <f>G10-K10</f>
        <v>182.26950354609929</v>
      </c>
      <c r="T10" s="21">
        <f>1-((D10-J10*(1-$T$2))/R10)</f>
        <v>0.23646975592500885</v>
      </c>
      <c r="U10" s="260">
        <f>1-((E10-K10*(1-$T$2))/S10)</f>
        <v>0.23646409621506892</v>
      </c>
      <c r="V10" s="11">
        <f>1000*INDEX('Valuation &amp; SBG NAV'!$I$20:$BP$20, MATCH('SBG Discount to NAV Workings'!B10, 'Valuation &amp; SBG NAV'!$I$3:$BP$3, 0))</f>
        <v>18180</v>
      </c>
      <c r="W10" s="257">
        <f>V10/C10</f>
        <v>117.2147001934236</v>
      </c>
      <c r="X10" s="700">
        <f>HLOOKUP(B10, 'Investment Business Of HoldCo'!$2:$152, 151, FALSE)/1000</f>
        <v>10.814078452444923</v>
      </c>
      <c r="Y10" s="700">
        <f>HLOOKUP(B10, 'Investment Business Of HoldCo'!$2:$219, 218, 0)/1000</f>
        <v>0.33584094572810319</v>
      </c>
      <c r="Z10" s="767">
        <f>SUM(X10:Y10)/E10</f>
        <v>6.497622026907357E-2</v>
      </c>
      <c r="AA10" s="768"/>
      <c r="AB10" s="260"/>
    </row>
    <row r="11" spans="1:28">
      <c r="A11" s="256" t="s">
        <v>3138</v>
      </c>
      <c r="B11" s="240"/>
      <c r="C11" s="636">
        <v>147.02000000000001</v>
      </c>
      <c r="D11" s="696">
        <v>23120</v>
      </c>
      <c r="E11" s="697">
        <f t="shared" si="1"/>
        <v>157.25</v>
      </c>
      <c r="F11" s="240"/>
      <c r="G11" s="240"/>
      <c r="H11" s="240"/>
      <c r="I11" s="259"/>
      <c r="J11" s="240"/>
      <c r="K11" s="240"/>
      <c r="L11" s="240"/>
      <c r="M11" s="259"/>
      <c r="N11" s="240"/>
      <c r="O11" s="240"/>
      <c r="P11" s="240"/>
      <c r="Q11" s="259"/>
      <c r="R11" s="240"/>
      <c r="S11" s="240"/>
      <c r="T11" s="240"/>
      <c r="U11" s="259"/>
      <c r="V11" s="240"/>
      <c r="W11" s="240"/>
      <c r="X11" s="699"/>
      <c r="Y11" s="699"/>
      <c r="Z11" s="699"/>
      <c r="AA11" s="259"/>
      <c r="AB11" s="259"/>
    </row>
    <row r="12" spans="1:28">
      <c r="A12" s="256" t="s">
        <v>3137</v>
      </c>
      <c r="B12" s="240"/>
      <c r="C12" s="636">
        <v>150.77000000000001</v>
      </c>
      <c r="D12" s="696">
        <v>16825</v>
      </c>
      <c r="E12" s="697">
        <f t="shared" si="1"/>
        <v>111.60000000000001</v>
      </c>
      <c r="F12" s="240"/>
      <c r="G12" s="240"/>
      <c r="H12" s="240"/>
      <c r="I12" s="259"/>
      <c r="J12" s="240"/>
      <c r="K12" s="240"/>
      <c r="L12" s="240"/>
      <c r="M12" s="259"/>
      <c r="N12" s="240"/>
      <c r="O12" s="240"/>
      <c r="P12" s="240"/>
      <c r="Q12" s="259"/>
      <c r="R12" s="240"/>
      <c r="S12" s="240"/>
      <c r="T12" s="240"/>
      <c r="U12" s="259"/>
      <c r="V12" s="240"/>
      <c r="W12" s="240"/>
      <c r="X12" s="699"/>
      <c r="Y12" s="699"/>
      <c r="Z12" s="699"/>
      <c r="AA12" s="259"/>
      <c r="AB12" s="259"/>
    </row>
    <row r="13" spans="1:28">
      <c r="A13" s="256" t="s">
        <v>2875</v>
      </c>
      <c r="B13" s="239" t="s">
        <v>1172</v>
      </c>
      <c r="C13" s="636">
        <v>143.80000000000001</v>
      </c>
      <c r="D13" s="696">
        <v>15010</v>
      </c>
      <c r="E13" s="697">
        <f t="shared" si="1"/>
        <v>104.4</v>
      </c>
      <c r="F13" s="11">
        <f>1000*INDEX('Valuation &amp; SBG NAV'!$I$33:$BP$33, MATCH('SBG Discount to NAV Workings'!B13, 'Valuation &amp; SBG NAV'!$I$3:$BP$3, 0))</f>
        <v>32400</v>
      </c>
      <c r="G13" s="257">
        <f>F13/C13</f>
        <v>225.31293463143254</v>
      </c>
      <c r="H13" s="21">
        <f>1-D13/F13</f>
        <v>0.53672839506172831</v>
      </c>
      <c r="I13" s="260">
        <f>1-E13/G13</f>
        <v>0.53664444444444448</v>
      </c>
      <c r="J13" s="11">
        <f>1000*INDEX('Valuation &amp; SBG NAV'!$I$34:$BP$34, MATCH('SBG Discount to NAV Workings'!B13, 'Valuation &amp; SBG NAV'!$I$3:$BP$3, 0))</f>
        <v>6020.0000000000009</v>
      </c>
      <c r="K13" s="257">
        <f>J13/C13</f>
        <v>41.863699582753824</v>
      </c>
      <c r="L13" s="21">
        <f>J13/D13</f>
        <v>0.40106595602931383</v>
      </c>
      <c r="M13" s="260">
        <f>K13/E13</f>
        <v>0.40099329102254616</v>
      </c>
      <c r="N13" s="11">
        <f>D13-J13</f>
        <v>8990</v>
      </c>
      <c r="O13" s="257">
        <f>E13-K13</f>
        <v>62.536300417246181</v>
      </c>
      <c r="P13" s="21">
        <f>N13/D13</f>
        <v>0.59893404397068617</v>
      </c>
      <c r="Q13" s="260">
        <f>O13/E13</f>
        <v>0.59900670897745378</v>
      </c>
      <c r="R13" s="11">
        <f>F13-J13</f>
        <v>26380</v>
      </c>
      <c r="S13" s="257">
        <f>G13-K13</f>
        <v>183.4492350486787</v>
      </c>
      <c r="T13" s="21">
        <f>1-((D13-J13*(1-$T$2))/R13)</f>
        <v>0.65921152388172866</v>
      </c>
      <c r="U13" s="260">
        <f>1-((E13-K13*(1-$T$2))/S13)</f>
        <v>0.65910841546626231</v>
      </c>
      <c r="V13" s="11">
        <f>1000*INDEX('Valuation &amp; SBG NAV'!$I$20:$BP$20, MATCH('SBG Discount to NAV Workings'!B13, 'Valuation &amp; SBG NAV'!$I$3:$BP$3, 0))</f>
        <v>19830</v>
      </c>
      <c r="W13" s="257">
        <f>V13/C13</f>
        <v>137.89986091794157</v>
      </c>
      <c r="X13" s="700">
        <f>HLOOKUP(B13, 'Investment Business Of HoldCo'!$2:$152, 151, FALSE)/1000</f>
        <v>15.192320972308542</v>
      </c>
      <c r="Y13" s="700">
        <f>HLOOKUP(B13, 'Investment Business Of HoldCo'!$2:$219, 218, 0)/1000</f>
        <v>2.4169601546854498</v>
      </c>
      <c r="Z13" s="767">
        <f>SUM(X13:Y13)/E13</f>
        <v>0.16867127516277769</v>
      </c>
      <c r="AA13" s="768"/>
      <c r="AB13" s="260"/>
    </row>
    <row r="14" spans="1:28">
      <c r="A14" s="256" t="s">
        <v>2894</v>
      </c>
      <c r="B14" s="240"/>
      <c r="C14" s="636">
        <v>144.04</v>
      </c>
      <c r="D14" s="696">
        <v>10890</v>
      </c>
      <c r="E14" s="697">
        <f t="shared" si="1"/>
        <v>75.600000000000009</v>
      </c>
      <c r="F14" s="240"/>
      <c r="G14" s="240"/>
      <c r="H14" s="240"/>
      <c r="I14" s="259"/>
      <c r="J14" s="240"/>
      <c r="K14" s="240"/>
      <c r="L14" s="240"/>
      <c r="M14" s="259"/>
      <c r="N14" s="240"/>
      <c r="O14" s="240"/>
      <c r="P14" s="240"/>
      <c r="Q14" s="259"/>
      <c r="R14" s="240"/>
      <c r="S14" s="240"/>
      <c r="T14" s="240"/>
      <c r="U14" s="259"/>
      <c r="V14" s="240"/>
      <c r="W14" s="240"/>
      <c r="X14" s="699"/>
      <c r="Y14" s="699"/>
      <c r="AA14" s="259"/>
    </row>
    <row r="15" spans="1:28">
      <c r="A15" s="256" t="s">
        <v>2893</v>
      </c>
      <c r="B15" s="240"/>
      <c r="C15" s="636">
        <v>142.30000000000001</v>
      </c>
      <c r="D15" s="696">
        <v>10300</v>
      </c>
      <c r="E15" s="697">
        <f t="shared" si="1"/>
        <v>72.400000000000006</v>
      </c>
      <c r="F15" s="240"/>
      <c r="G15" s="240"/>
      <c r="H15" s="240"/>
      <c r="I15" s="259"/>
      <c r="J15" s="240"/>
      <c r="K15" s="240"/>
      <c r="L15" s="240"/>
      <c r="M15" s="259"/>
      <c r="N15" s="240"/>
      <c r="O15" s="240"/>
      <c r="P15" s="240"/>
      <c r="Q15" s="259"/>
      <c r="R15" s="240"/>
      <c r="S15" s="240"/>
      <c r="T15" s="240"/>
      <c r="U15" s="259"/>
      <c r="V15" s="240"/>
      <c r="W15" s="240"/>
      <c r="X15" s="699"/>
      <c r="Y15" s="699"/>
      <c r="AA15" s="259"/>
    </row>
    <row r="16" spans="1:28">
      <c r="A16" s="256" t="s">
        <v>2874</v>
      </c>
      <c r="B16" s="239" t="s">
        <v>697</v>
      </c>
      <c r="C16" s="636">
        <v>149.74799999999999</v>
      </c>
      <c r="D16" s="696">
        <v>10770</v>
      </c>
      <c r="E16" s="697">
        <f t="shared" si="1"/>
        <v>71.900000000000006</v>
      </c>
      <c r="F16" s="11">
        <f>1000*INDEX('Valuation &amp; SBG NAV'!$I$33:$BP$33, MATCH('SBG Discount to NAV Workings'!B16, 'Valuation &amp; SBG NAV'!$I$3:$BP$3, 0))</f>
        <v>25699.999999999996</v>
      </c>
      <c r="G16" s="257">
        <f>F16/C16</f>
        <v>171.62165771830007</v>
      </c>
      <c r="H16" s="21">
        <f>1-D16/F16</f>
        <v>0.58093385214007776</v>
      </c>
      <c r="I16" s="260">
        <f>1-E16/G16</f>
        <v>0.58105520622568085</v>
      </c>
      <c r="J16" s="11">
        <f>1000*INDEX('Valuation &amp; SBG NAV'!$I$34:$BP$34, MATCH('SBG Discount to NAV Workings'!B16, 'Valuation &amp; SBG NAV'!$I$3:$BP$3, 0))</f>
        <v>7000</v>
      </c>
      <c r="K16" s="257">
        <f>J16/C16</f>
        <v>46.745198600315199</v>
      </c>
      <c r="L16" s="21">
        <f>J16/D16</f>
        <v>0.64995357474466109</v>
      </c>
      <c r="M16" s="260">
        <f>K16/E16</f>
        <v>0.65014184423247834</v>
      </c>
      <c r="N16" s="11">
        <f>D16-J16</f>
        <v>3770</v>
      </c>
      <c r="O16" s="257">
        <f>E16-K16</f>
        <v>25.154801399684807</v>
      </c>
      <c r="P16" s="21">
        <f>N16/D16</f>
        <v>0.35004642525533891</v>
      </c>
      <c r="Q16" s="260">
        <f>O16/E16</f>
        <v>0.34985815576752161</v>
      </c>
      <c r="R16" s="11">
        <f>F16-J16</f>
        <v>18699.999999999996</v>
      </c>
      <c r="S16" s="257">
        <f>G16-K16</f>
        <v>124.87645911798487</v>
      </c>
      <c r="T16" s="21">
        <f>1-((D16-J16*(1-$T$2))/R16)</f>
        <v>0.79839572192513364</v>
      </c>
      <c r="U16" s="260">
        <f>1-((E16-K16*(1-$T$2))/S16)</f>
        <v>0.7985625026737968</v>
      </c>
      <c r="V16" s="11">
        <f>1000*INDEX('Valuation &amp; SBG NAV'!$I$20:$BP$20, MATCH('SBG Discount to NAV Workings'!B16, 'Valuation &amp; SBG NAV'!$I$3:$BP$3, 0))</f>
        <v>12900</v>
      </c>
      <c r="W16" s="257">
        <f>V16/C16</f>
        <v>86.144723134866581</v>
      </c>
      <c r="X16" s="700">
        <f>HLOOKUP(B16, 'Investment Business Of HoldCo'!$2:$152, 151, FALSE)/1000</f>
        <v>22.739432851792401</v>
      </c>
      <c r="Y16" s="700">
        <f>HLOOKUP(B16, 'Investment Business Of HoldCo'!$2:$219, 218, 0)/1000</f>
        <v>2.7421080791867309</v>
      </c>
      <c r="Z16" s="767">
        <f>SUM(X16:Y16)/E16</f>
        <v>0.35440251642530085</v>
      </c>
      <c r="AA16" s="768"/>
      <c r="AB16" s="260"/>
    </row>
    <row r="17" spans="1:28">
      <c r="A17" s="256" t="s">
        <v>2891</v>
      </c>
      <c r="B17" s="240"/>
      <c r="C17" s="636">
        <v>150.298</v>
      </c>
      <c r="D17" s="696">
        <v>11920</v>
      </c>
      <c r="E17" s="697">
        <f t="shared" si="1"/>
        <v>79.300000000000011</v>
      </c>
      <c r="F17" s="240"/>
      <c r="G17" s="240"/>
      <c r="H17" s="240"/>
      <c r="I17" s="259"/>
      <c r="J17" s="240"/>
      <c r="K17" s="240"/>
      <c r="L17" s="240"/>
      <c r="M17" s="259"/>
      <c r="N17" s="240"/>
      <c r="O17" s="240"/>
      <c r="P17" s="240"/>
      <c r="Q17" s="259"/>
      <c r="R17" s="240"/>
      <c r="S17" s="240"/>
      <c r="T17" s="240"/>
      <c r="U17" s="259"/>
      <c r="V17" s="240"/>
      <c r="W17" s="240"/>
      <c r="X17" s="699"/>
      <c r="Y17" s="699"/>
      <c r="AA17" s="259"/>
    </row>
    <row r="18" spans="1:28">
      <c r="A18" s="256" t="s">
        <v>2892</v>
      </c>
      <c r="B18" s="240"/>
      <c r="C18" s="636">
        <v>154.916</v>
      </c>
      <c r="D18" s="696">
        <v>13560</v>
      </c>
      <c r="E18" s="697">
        <f t="shared" si="1"/>
        <v>87.550000000000011</v>
      </c>
      <c r="F18" s="240"/>
      <c r="G18" s="240"/>
      <c r="H18" s="240"/>
      <c r="I18" s="259"/>
      <c r="J18" s="240"/>
      <c r="K18" s="240"/>
      <c r="L18" s="240"/>
      <c r="M18" s="259"/>
      <c r="N18" s="240"/>
      <c r="O18" s="240"/>
      <c r="P18" s="240"/>
      <c r="Q18" s="259"/>
      <c r="R18" s="240"/>
      <c r="S18" s="240"/>
      <c r="T18" s="240"/>
      <c r="U18" s="259"/>
      <c r="V18" s="240"/>
      <c r="W18" s="240"/>
      <c r="X18" s="699"/>
      <c r="Y18" s="699"/>
      <c r="AA18" s="259"/>
    </row>
    <row r="19" spans="1:28">
      <c r="A19" s="256" t="s">
        <v>2742</v>
      </c>
      <c r="B19" s="239" t="s">
        <v>696</v>
      </c>
      <c r="C19" s="636">
        <v>157.35</v>
      </c>
      <c r="D19" s="696">
        <v>13245</v>
      </c>
      <c r="E19" s="697">
        <f t="shared" si="1"/>
        <v>84.2</v>
      </c>
      <c r="F19" s="11">
        <f>1000*INDEX('Valuation &amp; SBG NAV'!$I$33:$BP$33, MATCH('SBG Discount to NAV Workings'!B19, 'Valuation &amp; SBG NAV'!$I$3:$BP$3, 0))</f>
        <v>29340.000000000004</v>
      </c>
      <c r="G19" s="257">
        <f>F19/C19</f>
        <v>186.463298379409</v>
      </c>
      <c r="H19" s="21">
        <f>1-D19/F19</f>
        <v>0.54856850715746419</v>
      </c>
      <c r="I19" s="260">
        <f>1-E19/G19</f>
        <v>0.54843660531697347</v>
      </c>
      <c r="J19" s="11">
        <f>1000*INDEX('Valuation &amp; SBG NAV'!$I$34:$BP$34, MATCH('SBG Discount to NAV Workings'!B19, 'Valuation &amp; SBG NAV'!$I$3:$BP$3, 0))</f>
        <v>6670</v>
      </c>
      <c r="K19" s="257">
        <f>J19/C19</f>
        <v>42.389577375278044</v>
      </c>
      <c r="L19" s="21">
        <f>J19/D19</f>
        <v>0.50358625896564746</v>
      </c>
      <c r="M19" s="260">
        <f>K19/E19</f>
        <v>0.50343916122658006</v>
      </c>
      <c r="N19" s="11">
        <f>D19-J19</f>
        <v>6575</v>
      </c>
      <c r="O19" s="257">
        <f>E19-K19</f>
        <v>41.810422624721959</v>
      </c>
      <c r="P19" s="21">
        <f>N19/D19</f>
        <v>0.4964137410343526</v>
      </c>
      <c r="Q19" s="260">
        <f>O19/E19</f>
        <v>0.49656083877341994</v>
      </c>
      <c r="R19" s="11">
        <f>F19-J19</f>
        <v>22670.000000000004</v>
      </c>
      <c r="S19" s="257">
        <f>G19-K19</f>
        <v>144.07372100413096</v>
      </c>
      <c r="T19" s="21">
        <f>1-((D19-J19*(1-$T$2))/R19)</f>
        <v>0.70996912218791364</v>
      </c>
      <c r="U19" s="260">
        <f>1-((E19-K19*(1-$T$2))/S19)</f>
        <v>0.70979841199823568</v>
      </c>
      <c r="V19" s="11">
        <f>1000*INDEX('Valuation &amp; SBG NAV'!$I$20:$BP$20, MATCH('SBG Discount to NAV Workings'!B19, 'Valuation &amp; SBG NAV'!$I$3:$BP$3, 0))</f>
        <v>15420</v>
      </c>
      <c r="W19" s="257">
        <f>V19/C19</f>
        <v>97.998093422306965</v>
      </c>
      <c r="X19" s="700">
        <f>HLOOKUP(B19, 'Investment Business Of HoldCo'!$2:$152, 151, FALSE)/1000</f>
        <v>18.839297003413833</v>
      </c>
      <c r="Y19" s="700">
        <f>HLOOKUP(B19, 'Investment Business Of HoldCo'!$2:$219, 218, 0)/1000</f>
        <v>2.4023264635225692</v>
      </c>
      <c r="Z19" s="767">
        <f>SUM(X19:Y19)/E19</f>
        <v>0.25227581314651309</v>
      </c>
      <c r="AA19" s="768"/>
      <c r="AB19" s="260"/>
    </row>
    <row r="20" spans="1:28">
      <c r="A20" s="256" t="s">
        <v>2741</v>
      </c>
      <c r="B20" s="240"/>
      <c r="C20" s="636">
        <v>149.75</v>
      </c>
      <c r="D20" s="696">
        <v>12910</v>
      </c>
      <c r="E20" s="697">
        <f t="shared" si="1"/>
        <v>86.2</v>
      </c>
      <c r="F20" s="240"/>
      <c r="G20" s="240"/>
      <c r="H20" s="240"/>
      <c r="I20" s="259"/>
      <c r="J20" s="240"/>
      <c r="K20" s="240"/>
      <c r="L20" s="240"/>
      <c r="M20" s="259"/>
      <c r="N20" s="240"/>
      <c r="O20" s="240"/>
      <c r="P20" s="240"/>
      <c r="Q20" s="259"/>
      <c r="R20" s="240"/>
      <c r="S20" s="240"/>
      <c r="T20" s="240"/>
      <c r="U20" s="259"/>
      <c r="V20" s="240"/>
      <c r="W20" s="240"/>
      <c r="X20" s="699"/>
      <c r="Y20" s="699"/>
      <c r="AA20" s="259"/>
    </row>
    <row r="21" spans="1:28">
      <c r="A21" s="256" t="s">
        <v>2740</v>
      </c>
      <c r="B21" s="240"/>
      <c r="C21" s="636">
        <v>151.97999999999999</v>
      </c>
      <c r="D21" s="696">
        <v>13740</v>
      </c>
      <c r="E21" s="697">
        <f t="shared" si="1"/>
        <v>90.4</v>
      </c>
      <c r="F21" s="240"/>
      <c r="G21" s="240"/>
      <c r="H21" s="240"/>
      <c r="I21" s="259"/>
      <c r="J21" s="240"/>
      <c r="K21" s="240"/>
      <c r="L21" s="240"/>
      <c r="M21" s="259"/>
      <c r="N21" s="240"/>
      <c r="O21" s="240"/>
      <c r="P21" s="240"/>
      <c r="Q21" s="259"/>
      <c r="R21" s="240"/>
      <c r="S21" s="240"/>
      <c r="T21" s="240"/>
      <c r="U21" s="259"/>
      <c r="V21" s="240"/>
      <c r="W21" s="240"/>
      <c r="X21" s="699"/>
      <c r="Y21" s="699"/>
      <c r="AA21" s="259"/>
    </row>
    <row r="22" spans="1:28">
      <c r="A22" s="256" t="s">
        <v>2449</v>
      </c>
      <c r="B22" s="239" t="s">
        <v>695</v>
      </c>
      <c r="C22" s="636">
        <v>143.26400000000001</v>
      </c>
      <c r="D22" s="696">
        <v>12220</v>
      </c>
      <c r="E22" s="697">
        <f t="shared" si="1"/>
        <v>85.300000000000011</v>
      </c>
      <c r="F22" s="11">
        <f>1000*INDEX('Valuation &amp; SBG NAV'!$I$33:$BP$33, MATCH('SBG Discount to NAV Workings'!B22, 'Valuation &amp; SBG NAV'!$I$3:$BP$3, 0))</f>
        <v>29010</v>
      </c>
      <c r="G22" s="257">
        <f>F22/C22</f>
        <v>202.49329908420816</v>
      </c>
      <c r="H22" s="21">
        <f>1-D22/F22</f>
        <v>0.57876594277835225</v>
      </c>
      <c r="I22" s="260">
        <f>1-E22/G22</f>
        <v>0.57875149258876246</v>
      </c>
      <c r="J22" s="11">
        <f>1000*INDEX('Valuation &amp; SBG NAV'!$I$34:$BP$34, MATCH('SBG Discount to NAV Workings'!B22, 'Valuation &amp; SBG NAV'!$I$3:$BP$3, 0))</f>
        <v>5939.9999999999991</v>
      </c>
      <c r="K22" s="257">
        <f>J22/C22</f>
        <v>41.461916461916452</v>
      </c>
      <c r="L22" s="21">
        <f>J22/D22</f>
        <v>0.48608837970540092</v>
      </c>
      <c r="M22" s="260">
        <f>K22/E22</f>
        <v>0.4860717052979654</v>
      </c>
      <c r="N22" s="11">
        <f>D22-J22</f>
        <v>6280.0000000000009</v>
      </c>
      <c r="O22" s="257">
        <f>E22-K22</f>
        <v>43.838083538083559</v>
      </c>
      <c r="P22" s="21">
        <f>N22/D22</f>
        <v>0.51391162029459914</v>
      </c>
      <c r="Q22" s="260">
        <f>O22/E22</f>
        <v>0.5139282947020346</v>
      </c>
      <c r="R22" s="11">
        <f>F22-J22</f>
        <v>23070</v>
      </c>
      <c r="S22" s="257">
        <f>G22-K22</f>
        <v>161.03138262229172</v>
      </c>
      <c r="T22" s="21">
        <f>1-((D22-J22*(1-$T$2))/R22)</f>
        <v>0.7277850021673169</v>
      </c>
      <c r="U22" s="260">
        <f>1-((E22-K22*(1-$T$2))/S22)</f>
        <v>0.72776683138274811</v>
      </c>
      <c r="V22" s="11">
        <f>1000*INDEX('Valuation &amp; SBG NAV'!$I$20:$BP$20, MATCH('SBG Discount to NAV Workings'!B22, 'Valuation &amp; SBG NAV'!$I$3:$BP$3, 0))</f>
        <v>16500</v>
      </c>
      <c r="W22" s="257">
        <f>V22/C22</f>
        <v>115.17199017199016</v>
      </c>
      <c r="X22" s="700">
        <f>HLOOKUP(B22, 'Investment Business Of HoldCo'!$2:$152, 151, FALSE)/1000</f>
        <v>17.58565122959434</v>
      </c>
      <c r="Y22" s="700">
        <f>HLOOKUP(B22, 'Investment Business Of HoldCo'!$2:$219, 218, 0)/1000</f>
        <v>2.5923071533664963</v>
      </c>
      <c r="Z22" s="767">
        <f>SUM(X22:Y22)/E22</f>
        <v>0.23655285325862643</v>
      </c>
      <c r="AA22" s="768"/>
      <c r="AB22" s="260"/>
    </row>
    <row r="23" spans="1:28">
      <c r="A23" s="256" t="s">
        <v>2448</v>
      </c>
      <c r="B23" s="240"/>
      <c r="C23" s="636">
        <v>145.76900000000001</v>
      </c>
      <c r="D23" s="696">
        <v>12320</v>
      </c>
      <c r="E23" s="697">
        <f t="shared" ref="E23:E86" si="2">MROUND(D23/C23, 0.05)</f>
        <v>84.5</v>
      </c>
      <c r="F23" s="240"/>
      <c r="G23" s="240"/>
      <c r="H23" s="240"/>
      <c r="I23" s="259"/>
      <c r="J23" s="240"/>
      <c r="K23" s="240"/>
      <c r="L23" s="240"/>
      <c r="M23" s="259"/>
      <c r="N23" s="240"/>
      <c r="O23" s="240"/>
      <c r="P23" s="240"/>
      <c r="Q23" s="259"/>
      <c r="R23" s="240"/>
      <c r="S23" s="240"/>
      <c r="T23" s="240"/>
      <c r="U23" s="259"/>
      <c r="V23" s="240"/>
      <c r="W23" s="240"/>
      <c r="X23" s="699"/>
      <c r="Y23" s="699"/>
      <c r="AA23" s="259"/>
    </row>
    <row r="24" spans="1:28">
      <c r="A24" s="256" t="s">
        <v>2447</v>
      </c>
      <c r="B24" s="240"/>
      <c r="C24" s="636">
        <v>150.47300000000001</v>
      </c>
      <c r="D24" s="696">
        <v>13470</v>
      </c>
      <c r="E24" s="697">
        <f t="shared" si="2"/>
        <v>89.5</v>
      </c>
      <c r="F24" s="240"/>
      <c r="G24" s="240"/>
      <c r="H24" s="240"/>
      <c r="I24" s="259"/>
      <c r="J24" s="240"/>
      <c r="K24" s="240"/>
      <c r="L24" s="240"/>
      <c r="M24" s="259"/>
      <c r="N24" s="240"/>
      <c r="O24" s="240"/>
      <c r="P24" s="240"/>
      <c r="Q24" s="259"/>
      <c r="R24" s="240"/>
      <c r="S24" s="240"/>
      <c r="T24" s="240"/>
      <c r="U24" s="259"/>
      <c r="V24" s="240"/>
      <c r="W24" s="240"/>
      <c r="X24" s="699"/>
      <c r="Y24" s="699"/>
      <c r="AA24" s="259"/>
    </row>
    <row r="25" spans="1:28">
      <c r="A25" s="256" t="s">
        <v>2446</v>
      </c>
      <c r="B25" s="239" t="s">
        <v>686</v>
      </c>
      <c r="C25" s="636">
        <v>160.86600000000001</v>
      </c>
      <c r="D25" s="696">
        <v>15275</v>
      </c>
      <c r="E25" s="697">
        <f t="shared" si="2"/>
        <v>94.95</v>
      </c>
      <c r="F25" s="11">
        <f>1000*INDEX('Valuation &amp; SBG NAV'!$I$33:$BP$33, MATCH('SBG Discount to NAV Workings'!B25, 'Valuation &amp; SBG NAV'!$I$3:$BP$3, 0))</f>
        <v>35269.999999999993</v>
      </c>
      <c r="G25" s="257">
        <f>F25/C25</f>
        <v>219.25080501784086</v>
      </c>
      <c r="H25" s="21">
        <f>1-D25/F25</f>
        <v>0.56691239013325756</v>
      </c>
      <c r="I25" s="260">
        <f>1-E25/G25</f>
        <v>0.56693431528210936</v>
      </c>
      <c r="J25" s="11">
        <f>1000*INDEX('Valuation &amp; SBG NAV'!$I$34:$BP$34, MATCH('SBG Discount to NAV Workings'!B25, 'Valuation &amp; SBG NAV'!$I$3:$BP$3, 0))</f>
        <v>5990</v>
      </c>
      <c r="K25" s="257">
        <f>J25/C25</f>
        <v>37.235960364526996</v>
      </c>
      <c r="L25" s="21">
        <f>J25/D25</f>
        <v>0.3921440261865794</v>
      </c>
      <c r="M25" s="260">
        <f>K25/E25</f>
        <v>0.39216387956321214</v>
      </c>
      <c r="N25" s="11">
        <f>D25-J25</f>
        <v>9285</v>
      </c>
      <c r="O25" s="257">
        <f>E25-K25</f>
        <v>57.714039635473007</v>
      </c>
      <c r="P25" s="21">
        <f>N25/D25</f>
        <v>0.6078559738134206</v>
      </c>
      <c r="Q25" s="260">
        <f>O25/E25</f>
        <v>0.60783612043678781</v>
      </c>
      <c r="R25" s="11">
        <f>F25-J25</f>
        <v>29279.999999999993</v>
      </c>
      <c r="S25" s="257">
        <f>G25-K25</f>
        <v>182.01484465331387</v>
      </c>
      <c r="T25" s="21">
        <f>1-((D25-J25*(1-$T$2))/R25)</f>
        <v>0.68288934426229497</v>
      </c>
      <c r="U25" s="260">
        <f>1-((E25-K25*(1-$T$2))/S25)</f>
        <v>0.68291575478142064</v>
      </c>
      <c r="V25" s="11">
        <f>1000*INDEX('Valuation &amp; SBG NAV'!$I$20:$BP$20, MATCH('SBG Discount to NAV Workings'!B25, 'Valuation &amp; SBG NAV'!$I$3:$BP$3, 0))</f>
        <v>21020</v>
      </c>
      <c r="W25" s="257">
        <f>V25/C25</f>
        <v>130.66776074496784</v>
      </c>
      <c r="X25" s="700">
        <f>HLOOKUP(B25, 'Investment Business Of HoldCo'!$2:$152, 151, FALSE)/1000</f>
        <v>15.024523499099772</v>
      </c>
      <c r="Y25" s="700">
        <f>HLOOKUP(B25, 'Investment Business Of HoldCo'!$2:$219, 218, 0)/1000</f>
        <v>2.2971378903582296</v>
      </c>
      <c r="Z25" s="767">
        <f>SUM(X25:Y25)/E25</f>
        <v>0.18242929320124276</v>
      </c>
      <c r="AA25" s="768"/>
      <c r="AB25" s="260"/>
    </row>
    <row r="26" spans="1:28">
      <c r="A26" s="256" t="s">
        <v>2445</v>
      </c>
      <c r="B26" s="240"/>
      <c r="C26" s="636">
        <v>157.21700000000001</v>
      </c>
      <c r="D26" s="696">
        <v>13255</v>
      </c>
      <c r="E26" s="697">
        <f t="shared" si="2"/>
        <v>84.300000000000011</v>
      </c>
      <c r="F26" s="240"/>
      <c r="G26" s="240"/>
      <c r="H26" s="240"/>
      <c r="I26" s="259"/>
      <c r="J26" s="240"/>
      <c r="K26" s="240"/>
      <c r="L26" s="240"/>
      <c r="M26" s="259"/>
      <c r="N26" s="240"/>
      <c r="O26" s="240"/>
      <c r="P26" s="240"/>
      <c r="Q26" s="259"/>
      <c r="R26" s="240"/>
      <c r="S26" s="240"/>
      <c r="T26" s="240"/>
      <c r="U26" s="259"/>
      <c r="V26" s="240"/>
      <c r="W26" s="240"/>
      <c r="X26" s="699"/>
      <c r="Y26" s="699"/>
      <c r="AA26" s="259"/>
    </row>
    <row r="27" spans="1:28">
      <c r="A27" s="256" t="s">
        <v>2444</v>
      </c>
      <c r="B27" s="240"/>
      <c r="C27" s="636">
        <v>157.452</v>
      </c>
      <c r="D27" s="696">
        <v>11600</v>
      </c>
      <c r="E27" s="697">
        <f t="shared" si="2"/>
        <v>73.650000000000006</v>
      </c>
      <c r="F27" s="240"/>
      <c r="G27" s="240"/>
      <c r="H27" s="240"/>
      <c r="I27" s="259"/>
      <c r="J27" s="240"/>
      <c r="K27" s="240"/>
      <c r="L27" s="240"/>
      <c r="M27" s="259"/>
      <c r="N27" s="240"/>
      <c r="O27" s="240"/>
      <c r="P27" s="240"/>
      <c r="Q27" s="259"/>
      <c r="R27" s="240"/>
      <c r="S27" s="240"/>
      <c r="T27" s="240"/>
      <c r="U27" s="259"/>
      <c r="V27" s="240"/>
      <c r="W27" s="240"/>
      <c r="X27" s="699"/>
      <c r="Y27" s="699"/>
      <c r="AA27" s="259"/>
    </row>
    <row r="28" spans="1:28">
      <c r="A28" s="256" t="s">
        <v>765</v>
      </c>
      <c r="B28" s="239" t="s">
        <v>94</v>
      </c>
      <c r="C28" s="24">
        <v>151.39799500000001</v>
      </c>
      <c r="D28" s="11">
        <v>13135</v>
      </c>
      <c r="E28" s="697">
        <f t="shared" si="2"/>
        <v>86.75</v>
      </c>
      <c r="F28" s="11">
        <f>1000*INDEX('Valuation &amp; SBG NAV'!$I$33:$BP$33, MATCH('SBG Discount to NAV Workings'!B28, 'Valuation &amp; SBG NAV'!$I$3:$BP$3, 0))</f>
        <v>27779.999999999996</v>
      </c>
      <c r="G28" s="257">
        <f>F28/C28</f>
        <v>183.48988043071506</v>
      </c>
      <c r="H28" s="21">
        <f>1-D28/F28</f>
        <v>0.52717782577393801</v>
      </c>
      <c r="I28" s="260">
        <f>1-E28/G28</f>
        <v>0.52722188386429081</v>
      </c>
      <c r="J28" s="11">
        <f>1000*INDEX('Valuation &amp; SBG NAV'!$I$34:$BP$34, MATCH('SBG Discount to NAV Workings'!B28, 'Valuation &amp; SBG NAV'!$I$3:$BP$3, 0))</f>
        <v>5250</v>
      </c>
      <c r="K28" s="257">
        <f>J28/C28</f>
        <v>34.676813256344644</v>
      </c>
      <c r="L28" s="21">
        <f>J28/D28</f>
        <v>0.39969547011800532</v>
      </c>
      <c r="M28" s="260">
        <f>K28/E28</f>
        <v>0.39973271765238783</v>
      </c>
      <c r="N28" s="11">
        <f>D28-J28</f>
        <v>7885</v>
      </c>
      <c r="O28" s="257">
        <f>E28-K28</f>
        <v>52.073186743655356</v>
      </c>
      <c r="P28" s="21">
        <f>N28/D28</f>
        <v>0.60030452988199468</v>
      </c>
      <c r="Q28" s="260">
        <f>O28/E28</f>
        <v>0.60026728234761217</v>
      </c>
      <c r="R28" s="11">
        <f>F28-J28</f>
        <v>22529.999999999996</v>
      </c>
      <c r="S28" s="257">
        <f>G28-K28</f>
        <v>148.81306717437042</v>
      </c>
      <c r="T28" s="21">
        <f>1-((D28-J28*(1-$T$2))/R28)</f>
        <v>0.65002219263204608</v>
      </c>
      <c r="U28" s="260">
        <f>1-((E28-K28*(1-$T$2))/S28)</f>
        <v>0.65007651725477134</v>
      </c>
      <c r="V28" s="11">
        <f>1000*INDEX('Valuation &amp; SBG NAV'!$I$20:$BP$20, MATCH('SBG Discount to NAV Workings'!B28, 'Valuation &amp; SBG NAV'!$I$3:$BP$3, 0))</f>
        <v>14360</v>
      </c>
      <c r="W28" s="257">
        <f>V28/C28</f>
        <v>94.849340640211253</v>
      </c>
      <c r="X28" s="700">
        <f>HLOOKUP(B28, 'Investment Business Of HoldCo'!$2:$152, 151, FALSE)/1000</f>
        <v>11.624067102569184</v>
      </c>
      <c r="Y28" s="700">
        <f>HLOOKUP(B28, 'Investment Business Of HoldCo'!$2:$219, 218, 0)/1000</f>
        <v>2.1795125817317218</v>
      </c>
      <c r="Z28" s="767">
        <f>SUM(X28:Y28)/E28</f>
        <v>0.15911907417061563</v>
      </c>
      <c r="AA28" s="768"/>
      <c r="AB28" s="260"/>
    </row>
    <row r="29" spans="1:28">
      <c r="A29" s="256" t="s">
        <v>766</v>
      </c>
      <c r="C29" s="24">
        <v>150.095001</v>
      </c>
      <c r="D29" s="11">
        <v>12885</v>
      </c>
      <c r="E29" s="697">
        <f t="shared" si="2"/>
        <v>85.850000000000009</v>
      </c>
      <c r="F29" s="11"/>
      <c r="G29" s="257"/>
      <c r="J29" s="11"/>
      <c r="K29" s="257"/>
      <c r="N29" s="11"/>
      <c r="O29" s="11"/>
      <c r="R29" s="11"/>
      <c r="S29" s="11"/>
      <c r="V29" s="11"/>
      <c r="W29" s="257"/>
      <c r="X29" s="700"/>
      <c r="Y29" s="700"/>
      <c r="AA29" s="768"/>
    </row>
    <row r="30" spans="1:28">
      <c r="A30" s="256" t="s">
        <v>767</v>
      </c>
      <c r="C30" s="24">
        <v>146.996002</v>
      </c>
      <c r="D30" s="11">
        <v>9470</v>
      </c>
      <c r="E30" s="697">
        <f t="shared" si="2"/>
        <v>64.400000000000006</v>
      </c>
      <c r="F30" s="11"/>
      <c r="G30" s="257"/>
      <c r="J30" s="11"/>
      <c r="K30" s="257"/>
      <c r="N30" s="11"/>
      <c r="O30" s="11"/>
      <c r="R30" s="11"/>
      <c r="S30" s="11"/>
      <c r="V30" s="11"/>
      <c r="W30" s="257"/>
      <c r="X30" s="700"/>
      <c r="Y30" s="700"/>
      <c r="AA30" s="768"/>
    </row>
    <row r="31" spans="1:28">
      <c r="A31" s="256" t="s">
        <v>768</v>
      </c>
      <c r="B31" s="239" t="s">
        <v>93</v>
      </c>
      <c r="C31" s="24">
        <v>140.95199600000001</v>
      </c>
      <c r="D31" s="11">
        <v>9225</v>
      </c>
      <c r="E31" s="697">
        <f t="shared" si="2"/>
        <v>65.45</v>
      </c>
      <c r="F31" s="11">
        <f>1000*INDEX('Valuation &amp; SBG NAV'!$I$33:$BP$33, MATCH('SBG Discount to NAV Workings'!B31, 'Valuation &amp; SBG NAV'!$I$3:$BP$3, 0))</f>
        <v>19240</v>
      </c>
      <c r="G31" s="257">
        <f>F31/C31</f>
        <v>136.50037279358568</v>
      </c>
      <c r="H31" s="21">
        <f>1-D31/F31</f>
        <v>0.52053014553014554</v>
      </c>
      <c r="I31" s="260">
        <f>1-E31/G31</f>
        <v>0.52051413003118496</v>
      </c>
      <c r="J31" s="11">
        <f>1000*INDEX('Valuation &amp; SBG NAV'!$I$34:$BP$34, MATCH('SBG Discount to NAV Workings'!B31, 'Valuation &amp; SBG NAV'!$I$3:$BP$3, 0))</f>
        <v>4710</v>
      </c>
      <c r="K31" s="257">
        <f>J31/C31</f>
        <v>33.415631801340361</v>
      </c>
      <c r="L31" s="21">
        <f>J31/D31</f>
        <v>0.51056910569105696</v>
      </c>
      <c r="M31" s="260">
        <f>K31/E31</f>
        <v>0.51055205196853104</v>
      </c>
      <c r="N31" s="11">
        <f>D31-J31</f>
        <v>4515</v>
      </c>
      <c r="O31" s="257">
        <f>E31-K31</f>
        <v>32.034368198659642</v>
      </c>
      <c r="P31" s="21">
        <f>N31/D31</f>
        <v>0.4894308943089431</v>
      </c>
      <c r="Q31" s="260">
        <f>O31/E31</f>
        <v>0.4894479480314689</v>
      </c>
      <c r="R31" s="11">
        <f>F31-J31</f>
        <v>14530</v>
      </c>
      <c r="S31" s="257">
        <f>G31-K31</f>
        <v>103.08474099224532</v>
      </c>
      <c r="T31" s="21">
        <f>1-((D31-J31*(1-$T$2))/R31)</f>
        <v>0.68926359256710257</v>
      </c>
      <c r="U31" s="260">
        <f>1-((E31-K31*(1-$T$2))/S31)</f>
        <v>0.68924238553337913</v>
      </c>
      <c r="V31" s="11">
        <f>1000*INDEX('Valuation &amp; SBG NAV'!$I$20:$BP$20, MATCH('SBG Discount to NAV Workings'!B31, 'Valuation &amp; SBG NAV'!$I$3:$BP$3, 0))</f>
        <v>6930</v>
      </c>
      <c r="W31" s="257">
        <f>V31/C31</f>
        <v>49.165674815984865</v>
      </c>
      <c r="X31" s="700">
        <f>HLOOKUP(B31, 'Investment Business Of HoldCo'!$2:$152, 151, FALSE)/1000</f>
        <v>11.422125079320312</v>
      </c>
      <c r="Y31" s="700">
        <f>HLOOKUP(B31, 'Investment Business Of HoldCo'!$2:$219, 218, 0)/1000</f>
        <v>2.044701403088204</v>
      </c>
      <c r="Z31" s="767">
        <f>SUM(X31:Y31)/E31</f>
        <v>0.20575747108339978</v>
      </c>
      <c r="AA31" s="768"/>
      <c r="AB31" s="260"/>
    </row>
    <row r="32" spans="1:28">
      <c r="A32" s="256" t="s">
        <v>769</v>
      </c>
      <c r="C32" s="24">
        <v>147.99899300000001</v>
      </c>
      <c r="D32" s="11">
        <v>8825</v>
      </c>
      <c r="E32" s="697">
        <f t="shared" si="2"/>
        <v>59.650000000000006</v>
      </c>
      <c r="F32" s="11"/>
      <c r="G32" s="257"/>
      <c r="J32" s="11"/>
      <c r="K32" s="257"/>
      <c r="N32" s="11"/>
      <c r="O32" s="257"/>
      <c r="R32" s="11"/>
      <c r="S32" s="257"/>
      <c r="V32" s="11"/>
      <c r="W32" s="257"/>
      <c r="X32" s="700"/>
      <c r="Y32" s="700"/>
      <c r="AA32" s="768"/>
    </row>
    <row r="33" spans="1:28">
      <c r="A33" s="256" t="s">
        <v>770</v>
      </c>
      <c r="C33" s="24">
        <v>151.294006</v>
      </c>
      <c r="D33" s="11">
        <v>8965</v>
      </c>
      <c r="E33" s="697">
        <f t="shared" si="2"/>
        <v>59.25</v>
      </c>
      <c r="F33" s="11"/>
      <c r="G33" s="257"/>
      <c r="J33" s="11"/>
      <c r="K33" s="257"/>
      <c r="N33" s="11"/>
      <c r="O33" s="257"/>
      <c r="R33" s="11"/>
      <c r="S33" s="257"/>
      <c r="V33" s="11"/>
      <c r="W33" s="257"/>
      <c r="X33" s="700"/>
      <c r="Y33" s="700"/>
      <c r="AA33" s="768"/>
    </row>
    <row r="34" spans="1:28">
      <c r="A34" s="256" t="s">
        <v>771</v>
      </c>
      <c r="B34" s="239" t="s">
        <v>92</v>
      </c>
      <c r="C34" s="24">
        <v>149.36999499999999</v>
      </c>
      <c r="D34" s="11">
        <v>9275</v>
      </c>
      <c r="E34" s="697">
        <f t="shared" si="2"/>
        <v>62.1</v>
      </c>
      <c r="F34" s="11">
        <f>1000*INDEX('Valuation &amp; SBG NAV'!$I$33:$BP$33, MATCH('SBG Discount to NAV Workings'!B34, 'Valuation &amp; SBG NAV'!$I$3:$BP$3, 0))</f>
        <v>16409.999999999996</v>
      </c>
      <c r="G34" s="257">
        <f>F34/C34</f>
        <v>109.86142163290558</v>
      </c>
      <c r="H34" s="21">
        <f>1-D34/F34</f>
        <v>0.43479585618525274</v>
      </c>
      <c r="I34" s="260">
        <f>1-E34/G34</f>
        <v>0.43474243208409502</v>
      </c>
      <c r="J34" s="11">
        <f>1000*INDEX('Valuation &amp; SBG NAV'!$I$34:$BP$34, MATCH('SBG Discount to NAV Workings'!B34, 'Valuation &amp; SBG NAV'!$I$3:$BP$3, 0))</f>
        <v>4170</v>
      </c>
      <c r="K34" s="257">
        <f>J34/C34</f>
        <v>27.917253394833416</v>
      </c>
      <c r="L34" s="21">
        <f>J34/D34</f>
        <v>0.44959568733153638</v>
      </c>
      <c r="M34" s="260">
        <f>K34/E34</f>
        <v>0.44955319476382311</v>
      </c>
      <c r="N34" s="11">
        <f>D34-J34</f>
        <v>5105</v>
      </c>
      <c r="O34" s="257">
        <f>E34-K34</f>
        <v>34.182746605166585</v>
      </c>
      <c r="P34" s="21">
        <f>N34/D34</f>
        <v>0.55040431266846357</v>
      </c>
      <c r="Q34" s="260">
        <f>O34/E34</f>
        <v>0.55044680523617684</v>
      </c>
      <c r="R34" s="11">
        <f>F34-J34</f>
        <v>12239.999999999996</v>
      </c>
      <c r="S34" s="257">
        <f>G34-K34</f>
        <v>81.944168238072166</v>
      </c>
      <c r="T34" s="21">
        <f>1-((D34-J34*(1-$T$2))/R34)</f>
        <v>0.58292483660130712</v>
      </c>
      <c r="U34" s="260">
        <f>1-((E34-K34*(1-$T$2))/S34)</f>
        <v>0.58285321164215675</v>
      </c>
      <c r="V34" s="11">
        <f>1000*INDEX('Valuation &amp; SBG NAV'!$I$20:$BP$20, MATCH('SBG Discount to NAV Workings'!B34, 'Valuation &amp; SBG NAV'!$I$3:$BP$3, 0))</f>
        <v>4330</v>
      </c>
      <c r="W34" s="257">
        <f>V34/C34</f>
        <v>28.988418992716714</v>
      </c>
      <c r="X34" s="700">
        <f>HLOOKUP(B34, 'Investment Business Of HoldCo'!$2:$152, 151, FALSE)/1000</f>
        <v>8.4904398983821352</v>
      </c>
      <c r="Y34" s="700">
        <f>HLOOKUP(B34, 'Investment Business Of HoldCo'!$2:$219, 218, 0)/1000</f>
        <v>1.5376387217542451</v>
      </c>
      <c r="Z34" s="767">
        <f>SUM(X34:Y34)/E34</f>
        <v>0.16148274750622191</v>
      </c>
      <c r="AA34" s="768"/>
      <c r="AB34" s="260"/>
    </row>
    <row r="35" spans="1:28">
      <c r="A35" s="256" t="s">
        <v>772</v>
      </c>
      <c r="C35" s="24">
        <v>145.473007</v>
      </c>
      <c r="D35" s="11">
        <v>9580</v>
      </c>
      <c r="E35" s="697">
        <f t="shared" si="2"/>
        <v>65.850000000000009</v>
      </c>
      <c r="F35" s="11"/>
      <c r="G35" s="257"/>
      <c r="J35" s="11"/>
      <c r="K35" s="257"/>
      <c r="N35" s="11"/>
      <c r="O35" s="257"/>
      <c r="R35" s="11"/>
      <c r="S35" s="257"/>
      <c r="V35" s="11"/>
      <c r="W35" s="257"/>
      <c r="X35" s="700"/>
      <c r="Y35" s="700"/>
      <c r="AA35" s="768"/>
    </row>
    <row r="36" spans="1:28">
      <c r="A36" s="256" t="s">
        <v>773</v>
      </c>
      <c r="C36" s="24">
        <v>142.32299800000001</v>
      </c>
      <c r="D36" s="11">
        <v>10600</v>
      </c>
      <c r="E36" s="697">
        <f t="shared" si="2"/>
        <v>74.5</v>
      </c>
      <c r="F36" s="11"/>
      <c r="G36" s="257"/>
      <c r="J36" s="11"/>
      <c r="K36" s="257"/>
      <c r="N36" s="11"/>
      <c r="O36" s="257"/>
      <c r="R36" s="11"/>
      <c r="S36" s="257"/>
      <c r="V36" s="11"/>
      <c r="W36" s="257"/>
      <c r="X36" s="700"/>
      <c r="Y36" s="700"/>
      <c r="AA36" s="768"/>
    </row>
    <row r="37" spans="1:28">
      <c r="A37" s="256" t="s">
        <v>774</v>
      </c>
      <c r="B37" s="239" t="s">
        <v>91</v>
      </c>
      <c r="C37" s="24">
        <v>144.28999300000001</v>
      </c>
      <c r="D37" s="11">
        <v>9910</v>
      </c>
      <c r="E37" s="697">
        <f t="shared" si="2"/>
        <v>68.7</v>
      </c>
      <c r="F37" s="11">
        <f>1000*INDEX('Valuation &amp; SBG NAV'!$I$33:$BP$33, MATCH('SBG Discount to NAV Workings'!B37, 'Valuation &amp; SBG NAV'!$I$3:$BP$3, 0))</f>
        <v>15549.999999999998</v>
      </c>
      <c r="G37" s="257">
        <f>F37/C37</f>
        <v>107.76908139430014</v>
      </c>
      <c r="H37" s="21">
        <f>1-D37/F37</f>
        <v>0.36270096463022505</v>
      </c>
      <c r="I37" s="260">
        <f>1-E37/G37</f>
        <v>0.36252588301607702</v>
      </c>
      <c r="J37" s="11">
        <f>1000*INDEX('Valuation &amp; SBG NAV'!$I$34:$BP$34, MATCH('SBG Discount to NAV Workings'!B37, 'Valuation &amp; SBG NAV'!$I$3:$BP$3, 0))</f>
        <v>3820.0000000000005</v>
      </c>
      <c r="K37" s="257">
        <f>J37/C37</f>
        <v>26.474462438985636</v>
      </c>
      <c r="L37" s="21">
        <f>J37/D37</f>
        <v>0.3854692230070636</v>
      </c>
      <c r="M37" s="260">
        <f>K37/E37</f>
        <v>0.38536335427926688</v>
      </c>
      <c r="N37" s="11">
        <f>D37-J37</f>
        <v>6090</v>
      </c>
      <c r="O37" s="257">
        <f>E37-K37</f>
        <v>42.225537561014363</v>
      </c>
      <c r="P37" s="21">
        <f>N37/D37</f>
        <v>0.61453077699293646</v>
      </c>
      <c r="Q37" s="260">
        <f>O37/E37</f>
        <v>0.61463664572073307</v>
      </c>
      <c r="R37" s="11">
        <f>F37-J37</f>
        <v>11729.999999999998</v>
      </c>
      <c r="S37" s="257">
        <f>G37-K37</f>
        <v>81.294618955314505</v>
      </c>
      <c r="T37" s="21">
        <f>1-((D37-J37*(1-$T$2))/R37)</f>
        <v>0.48081841432225059</v>
      </c>
      <c r="U37" s="260">
        <f>1-((E37-K37*(1-$T$2))/S37)</f>
        <v>0.48058631550724629</v>
      </c>
      <c r="V37" s="11">
        <f>1000*INDEX('Valuation &amp; SBG NAV'!$I$20:$BP$20, MATCH('SBG Discount to NAV Workings'!B37, 'Valuation &amp; SBG NAV'!$I$3:$BP$3, 0))</f>
        <v>3660</v>
      </c>
      <c r="W37" s="257">
        <f>V37/C37</f>
        <v>25.365584431070005</v>
      </c>
      <c r="X37" s="700">
        <f>HLOOKUP(B37, 'Investment Business Of HoldCo'!$2:$152, 151, FALSE)/1000</f>
        <v>8.2764328574384436</v>
      </c>
      <c r="Y37" s="700">
        <f>HLOOKUP(B37, 'Investment Business Of HoldCo'!$2:$219, 218, 0)/1000</f>
        <v>1.5863162976757017</v>
      </c>
      <c r="Z37" s="767">
        <f>SUM(X37:Y37)/E37</f>
        <v>0.14356257867706179</v>
      </c>
      <c r="AA37" s="768"/>
      <c r="AB37" s="260"/>
    </row>
    <row r="38" spans="1:28">
      <c r="A38" s="256" t="s">
        <v>775</v>
      </c>
      <c r="B38" s="239"/>
      <c r="C38" s="24">
        <v>139.12699900000001</v>
      </c>
      <c r="D38" s="11">
        <v>8010</v>
      </c>
      <c r="E38" s="697">
        <f t="shared" si="2"/>
        <v>57.550000000000004</v>
      </c>
      <c r="F38" s="11"/>
      <c r="G38" s="257"/>
      <c r="J38" s="11"/>
      <c r="K38" s="257"/>
      <c r="N38" s="11"/>
      <c r="O38" s="257"/>
      <c r="R38" s="11"/>
      <c r="S38" s="257"/>
      <c r="V38" s="11"/>
      <c r="W38" s="257"/>
      <c r="X38" s="700"/>
      <c r="Y38" s="700"/>
      <c r="AA38" s="768"/>
    </row>
    <row r="39" spans="1:28">
      <c r="A39" s="256" t="s">
        <v>776</v>
      </c>
      <c r="B39" s="239"/>
      <c r="C39" s="24">
        <v>136.38600199999999</v>
      </c>
      <c r="D39" s="11">
        <v>7450</v>
      </c>
      <c r="E39" s="697">
        <f t="shared" si="2"/>
        <v>54.6</v>
      </c>
      <c r="F39" s="11"/>
      <c r="G39" s="257"/>
      <c r="J39" s="11"/>
      <c r="K39" s="257"/>
      <c r="N39" s="11"/>
      <c r="O39" s="257"/>
      <c r="R39" s="11"/>
      <c r="S39" s="257"/>
      <c r="V39" s="11"/>
      <c r="W39" s="257"/>
      <c r="X39" s="700"/>
      <c r="Y39" s="700"/>
      <c r="AA39" s="768"/>
    </row>
    <row r="40" spans="1:28">
      <c r="A40" s="256" t="s">
        <v>777</v>
      </c>
      <c r="B40" s="239" t="s">
        <v>13</v>
      </c>
      <c r="C40" s="24">
        <v>132.770004</v>
      </c>
      <c r="D40" s="11">
        <v>7580</v>
      </c>
      <c r="E40" s="697">
        <f t="shared" si="2"/>
        <v>57.1</v>
      </c>
      <c r="F40" s="11">
        <f>1000*INDEX('Valuation &amp; SBG NAV'!$I$33:$BP$33, MATCH('SBG Discount to NAV Workings'!B40, 'Valuation &amp; SBG NAV'!$I$3:$BP$3, 0))</f>
        <v>14120.000000000002</v>
      </c>
      <c r="G40" s="257">
        <f>F40/C40</f>
        <v>106.34932269791904</v>
      </c>
      <c r="H40" s="21">
        <f>1-D40/F40</f>
        <v>0.46317280453257792</v>
      </c>
      <c r="I40" s="260">
        <f>1-E40/G40</f>
        <v>0.46309013963172807</v>
      </c>
      <c r="J40" s="11">
        <f>1000*INDEX('Valuation &amp; SBG NAV'!$I$34:$BP$34, MATCH('SBG Discount to NAV Workings'!B40, 'Valuation &amp; SBG NAV'!$I$3:$BP$3, 0))</f>
        <v>3880</v>
      </c>
      <c r="K40" s="257">
        <f>J40/C40</f>
        <v>29.223468276765285</v>
      </c>
      <c r="L40" s="21">
        <f>J40/D40</f>
        <v>0.51187335092348285</v>
      </c>
      <c r="M40" s="260">
        <f>K40/E40</f>
        <v>0.51179454074895414</v>
      </c>
      <c r="N40" s="11">
        <f>D40-J40</f>
        <v>3700</v>
      </c>
      <c r="O40" s="257">
        <f>E40-K40</f>
        <v>27.876531723234717</v>
      </c>
      <c r="P40" s="21">
        <f>N40/D40</f>
        <v>0.48812664907651715</v>
      </c>
      <c r="Q40" s="260">
        <f>O40/E40</f>
        <v>0.4882054592510458</v>
      </c>
      <c r="R40" s="11">
        <f>F40-J40</f>
        <v>10240.000000000002</v>
      </c>
      <c r="S40" s="257">
        <f>G40-K40</f>
        <v>77.125854421153747</v>
      </c>
      <c r="T40" s="21">
        <f>1-((D40-J40*(1-$T$2))/R40)</f>
        <v>0.638671875</v>
      </c>
      <c r="U40" s="260">
        <f>1-((E40-K40*(1-$T$2))/S40)</f>
        <v>0.63855788785156253</v>
      </c>
      <c r="V40" s="11">
        <f>1000*INDEX('Valuation &amp; SBG NAV'!$I$20:$BP$20, MATCH('SBG Discount to NAV Workings'!B40, 'Valuation &amp; SBG NAV'!$I$3:$BP$3, 0))</f>
        <v>2870</v>
      </c>
      <c r="W40" s="257">
        <f>V40/C40</f>
        <v>21.616328338741333</v>
      </c>
      <c r="X40" s="700">
        <f>HLOOKUP(B40, 'Investment Business Of HoldCo'!$2:$152, 151, FALSE)/1000</f>
        <v>9.2114131655807689</v>
      </c>
      <c r="Y40" s="700">
        <f>HLOOKUP(B40, 'Investment Business Of HoldCo'!$2:$219, 218, 0)/1000</f>
        <v>2.0969070620834271</v>
      </c>
      <c r="Z40" s="767">
        <f>SUM(X40:Y40)/E40</f>
        <v>0.19804413708693866</v>
      </c>
      <c r="AA40" s="768"/>
      <c r="AB40" s="260"/>
    </row>
    <row r="41" spans="1:28">
      <c r="A41" s="256" t="s">
        <v>778</v>
      </c>
      <c r="C41" s="24">
        <v>136.348007</v>
      </c>
      <c r="D41" s="11">
        <v>8070</v>
      </c>
      <c r="E41" s="697">
        <f t="shared" si="2"/>
        <v>59.2</v>
      </c>
      <c r="F41" s="11"/>
      <c r="G41" s="257"/>
      <c r="J41" s="11"/>
      <c r="K41" s="257"/>
      <c r="N41" s="11"/>
      <c r="O41" s="257"/>
      <c r="R41" s="11"/>
      <c r="S41" s="257"/>
      <c r="V41" s="11"/>
      <c r="W41" s="257"/>
      <c r="X41" s="700"/>
      <c r="Y41" s="700"/>
      <c r="AA41" s="768"/>
    </row>
    <row r="42" spans="1:28">
      <c r="A42" s="256" t="s">
        <v>779</v>
      </c>
      <c r="C42" s="24">
        <v>130.11000100000001</v>
      </c>
      <c r="D42" s="11">
        <v>8985</v>
      </c>
      <c r="E42" s="697">
        <f t="shared" si="2"/>
        <v>69.05</v>
      </c>
      <c r="F42" s="11"/>
      <c r="G42" s="257"/>
      <c r="J42" s="11"/>
      <c r="K42" s="257"/>
      <c r="N42" s="11"/>
      <c r="O42" s="257"/>
      <c r="R42" s="11"/>
      <c r="S42" s="257"/>
      <c r="V42" s="11"/>
      <c r="W42" s="257"/>
      <c r="X42" s="700"/>
      <c r="Y42" s="700"/>
      <c r="AA42" s="768"/>
    </row>
    <row r="43" spans="1:28">
      <c r="A43" s="256" t="s">
        <v>780</v>
      </c>
      <c r="B43" s="239" t="s">
        <v>12</v>
      </c>
      <c r="C43" s="24">
        <v>131.11000100000001</v>
      </c>
      <c r="D43" s="11">
        <v>8250</v>
      </c>
      <c r="E43" s="697">
        <f t="shared" si="2"/>
        <v>62.900000000000006</v>
      </c>
      <c r="F43" s="11">
        <f>1000*INDEX('Valuation &amp; SBG NAV'!$I$33:$BP$33, MATCH('SBG Discount to NAV Workings'!B43, 'Valuation &amp; SBG NAV'!$I$3:$BP$3, 0))</f>
        <v>13850.000000000002</v>
      </c>
      <c r="G43" s="257">
        <f>F43/C43</f>
        <v>105.63648763910848</v>
      </c>
      <c r="H43" s="21">
        <f>1-D43/F43</f>
        <v>0.404332129963899</v>
      </c>
      <c r="I43" s="260">
        <f>1-E43/G43</f>
        <v>0.40456180051263535</v>
      </c>
      <c r="J43" s="11">
        <f>1000*INDEX('Valuation &amp; SBG NAV'!$I$34:$BP$34, MATCH('SBG Discount to NAV Workings'!B43, 'Valuation &amp; SBG NAV'!$I$3:$BP$3, 0))</f>
        <v>3599.9999999999995</v>
      </c>
      <c r="K43" s="257">
        <f>J43/C43</f>
        <v>27.457859602945156</v>
      </c>
      <c r="L43" s="21">
        <f>J43/D43</f>
        <v>0.43636363636363629</v>
      </c>
      <c r="M43" s="260">
        <f>K43/E43</f>
        <v>0.436531949172419</v>
      </c>
      <c r="N43" s="11">
        <f>D43-J43</f>
        <v>4650</v>
      </c>
      <c r="O43" s="257">
        <f>E43-K43</f>
        <v>35.44214039705485</v>
      </c>
      <c r="P43" s="21">
        <f>N43/D43</f>
        <v>0.5636363636363636</v>
      </c>
      <c r="Q43" s="260">
        <f>O43/E43</f>
        <v>0.563468050827581</v>
      </c>
      <c r="R43" s="11">
        <f>F43-J43</f>
        <v>10250.000000000002</v>
      </c>
      <c r="S43" s="257">
        <f>G43-K43</f>
        <v>78.178628036163332</v>
      </c>
      <c r="T43" s="21">
        <f>1-((D43-J43*(1-$T$2))/R43)</f>
        <v>0.54634146341463419</v>
      </c>
      <c r="U43" s="260">
        <f>1-((E43-K43*(1-$T$2))/S43)</f>
        <v>0.54665179874146341</v>
      </c>
      <c r="V43" s="11">
        <f>1000*INDEX('Valuation &amp; SBG NAV'!$I$20:$BP$20, MATCH('SBG Discount to NAV Workings'!B43, 'Valuation &amp; SBG NAV'!$I$3:$BP$3, 0))</f>
        <v>2630</v>
      </c>
      <c r="W43" s="257">
        <f>V43/C43</f>
        <v>20.059491876596049</v>
      </c>
      <c r="X43" s="700">
        <f>HLOOKUP(B43, 'Investment Business Of HoldCo'!$2:$152, 151, FALSE)/1000</f>
        <v>8.666164280331575</v>
      </c>
      <c r="Y43" s="700">
        <f>HLOOKUP(B43, 'Investment Business Of HoldCo'!$2:$219, 218, 0)/1000</f>
        <v>1.2057272042200453</v>
      </c>
      <c r="Z43" s="767">
        <f>SUM(X43:Y43)/E43</f>
        <v>0.15694581056520857</v>
      </c>
      <c r="AA43" s="768"/>
      <c r="AB43" s="260"/>
    </row>
    <row r="44" spans="1:28">
      <c r="A44" s="256" t="s">
        <v>781</v>
      </c>
      <c r="C44" s="24">
        <v>137.358994</v>
      </c>
      <c r="D44" s="11">
        <v>8700</v>
      </c>
      <c r="E44" s="697">
        <f t="shared" si="2"/>
        <v>63.35</v>
      </c>
      <c r="F44" s="11"/>
      <c r="G44" s="257"/>
      <c r="J44" s="11"/>
      <c r="K44" s="257"/>
      <c r="N44" s="11"/>
      <c r="O44" s="257"/>
      <c r="R44" s="11"/>
      <c r="S44" s="257"/>
      <c r="V44" s="11"/>
      <c r="W44" s="257"/>
      <c r="X44" s="700"/>
      <c r="Y44" s="700"/>
      <c r="AA44" s="768"/>
    </row>
    <row r="45" spans="1:28">
      <c r="A45" s="256" t="s">
        <v>782</v>
      </c>
      <c r="C45" s="24">
        <v>148.73699999999999</v>
      </c>
      <c r="D45" s="11">
        <v>9760</v>
      </c>
      <c r="E45" s="697">
        <f t="shared" si="2"/>
        <v>65.600000000000009</v>
      </c>
      <c r="F45" s="11"/>
      <c r="G45" s="257"/>
      <c r="J45" s="11"/>
      <c r="K45" s="257"/>
      <c r="N45" s="11"/>
      <c r="O45" s="257"/>
      <c r="R45" s="11"/>
      <c r="S45" s="257"/>
      <c r="V45" s="11"/>
      <c r="W45" s="257"/>
      <c r="X45" s="700"/>
      <c r="Y45" s="700"/>
      <c r="AA45" s="768"/>
    </row>
    <row r="46" spans="1:28">
      <c r="A46" s="256" t="s">
        <v>783</v>
      </c>
      <c r="B46" s="239" t="s">
        <v>11</v>
      </c>
      <c r="C46" s="24">
        <v>144.68400600000001</v>
      </c>
      <c r="D46" s="11">
        <v>7670</v>
      </c>
      <c r="E46" s="697">
        <f t="shared" si="2"/>
        <v>53</v>
      </c>
      <c r="F46" s="11">
        <f>1000*INDEX('Valuation &amp; SBG NAV'!$I$33:$BP$33, MATCH('SBG Discount to NAV Workings'!B46, 'Valuation &amp; SBG NAV'!$I$3:$BP$3, 0))</f>
        <v>16730</v>
      </c>
      <c r="G46" s="257">
        <f>F46/C46</f>
        <v>115.63130205283368</v>
      </c>
      <c r="H46" s="21">
        <f>1-D46/F46</f>
        <v>0.54154213986849964</v>
      </c>
      <c r="I46" s="260">
        <f>1-E46/G46</f>
        <v>0.54164660382546326</v>
      </c>
      <c r="J46" s="11">
        <f>1000*INDEX('Valuation &amp; SBG NAV'!$I$34:$BP$34, MATCH('SBG Discount to NAV Workings'!B46, 'Valuation &amp; SBG NAV'!$I$3:$BP$3, 0))</f>
        <v>3489.9999999999995</v>
      </c>
      <c r="K46" s="257">
        <f>J46/C46</f>
        <v>24.121532825127883</v>
      </c>
      <c r="L46" s="21">
        <f>J46/D46</f>
        <v>0.45501955671447192</v>
      </c>
      <c r="M46" s="260">
        <f>K46/E46</f>
        <v>0.45512326085146948</v>
      </c>
      <c r="N46" s="11">
        <f>D46-J46</f>
        <v>4180</v>
      </c>
      <c r="O46" s="257">
        <f>E46-K46</f>
        <v>28.878467174872117</v>
      </c>
      <c r="P46" s="21">
        <f>N46/D46</f>
        <v>0.54498044328552808</v>
      </c>
      <c r="Q46" s="260">
        <f>O46/E46</f>
        <v>0.54487673914853052</v>
      </c>
      <c r="R46" s="11">
        <f>F46-J46</f>
        <v>13240</v>
      </c>
      <c r="S46" s="257">
        <f>G46-K46</f>
        <v>91.509769227705789</v>
      </c>
      <c r="T46" s="21">
        <f>1-((D46-J46*(1-$T$2))/R46)</f>
        <v>0.68429003021148038</v>
      </c>
      <c r="U46" s="260">
        <f>1-((E46-K46*(1-$T$2))/S46)</f>
        <v>0.68442203036253768</v>
      </c>
      <c r="V46" s="11">
        <f>1000*INDEX('Valuation &amp; SBG NAV'!$I$20:$BP$20, MATCH('SBG Discount to NAV Workings'!B46, 'Valuation &amp; SBG NAV'!$I$3:$BP$3, 0))</f>
        <v>3130</v>
      </c>
      <c r="W46" s="257">
        <f>V46/C46</f>
        <v>21.633351788725008</v>
      </c>
      <c r="X46" s="700">
        <f>HLOOKUP(B46, 'Investment Business Of HoldCo'!$2:$152, 151, FALSE)/1000</f>
        <v>7.9414405082521924</v>
      </c>
      <c r="Y46" s="700">
        <f>HLOOKUP(B46, 'Investment Business Of HoldCo'!$2:$219, 218, 0)/1000</f>
        <v>0.89772805745459572</v>
      </c>
      <c r="Z46" s="767">
        <f>SUM(X46:Y46)/E46</f>
        <v>0.16677676539069414</v>
      </c>
      <c r="AA46" s="768"/>
      <c r="AB46" s="260"/>
    </row>
    <row r="47" spans="1:28">
      <c r="A47" s="256" t="s">
        <v>784</v>
      </c>
      <c r="C47" s="24">
        <v>139.29600500000001</v>
      </c>
      <c r="D47" s="11">
        <v>8780</v>
      </c>
      <c r="E47" s="697">
        <f t="shared" si="2"/>
        <v>63.050000000000004</v>
      </c>
      <c r="F47" s="11"/>
      <c r="G47" s="257"/>
      <c r="J47" s="11"/>
      <c r="K47" s="257"/>
      <c r="N47" s="11"/>
      <c r="O47" s="257"/>
      <c r="R47" s="11"/>
      <c r="S47" s="257"/>
      <c r="V47" s="11"/>
      <c r="W47" s="257"/>
      <c r="X47" s="700"/>
      <c r="Y47" s="700"/>
      <c r="AA47" s="768"/>
    </row>
    <row r="48" spans="1:28">
      <c r="A48" s="256" t="s">
        <v>785</v>
      </c>
      <c r="C48" s="24">
        <v>133.40699799999999</v>
      </c>
      <c r="D48" s="11">
        <v>8915</v>
      </c>
      <c r="E48" s="697">
        <f t="shared" si="2"/>
        <v>66.850000000000009</v>
      </c>
      <c r="F48" s="11"/>
      <c r="G48" s="257"/>
      <c r="J48" s="11"/>
      <c r="K48" s="257"/>
      <c r="N48" s="11"/>
      <c r="O48" s="257"/>
      <c r="R48" s="11"/>
      <c r="S48" s="257"/>
      <c r="V48" s="11"/>
      <c r="W48" s="257"/>
      <c r="X48" s="700"/>
      <c r="Y48" s="700"/>
      <c r="AA48" s="768"/>
    </row>
    <row r="49" spans="1:28">
      <c r="A49" s="256" t="s">
        <v>786</v>
      </c>
      <c r="B49" s="239" t="s">
        <v>10</v>
      </c>
      <c r="C49" s="24">
        <v>135.78599500000001</v>
      </c>
      <c r="D49" s="11">
        <v>8415</v>
      </c>
      <c r="E49" s="697">
        <f t="shared" si="2"/>
        <v>61.95</v>
      </c>
      <c r="F49" s="11">
        <f>1000*INDEX('Valuation &amp; SBG NAV'!$I$33:$BP$33, MATCH('SBG Discount to NAV Workings'!B49, 'Valuation &amp; SBG NAV'!$I$3:$BP$3, 0))</f>
        <v>18510</v>
      </c>
      <c r="G49" s="257">
        <f>F49/C49</f>
        <v>136.31744569828427</v>
      </c>
      <c r="H49" s="21">
        <f>1-D49/F49</f>
        <v>0.54538087520259326</v>
      </c>
      <c r="I49" s="260">
        <f>1-E49/G49</f>
        <v>0.54554606211507295</v>
      </c>
      <c r="J49" s="11">
        <f>1000*INDEX('Valuation &amp; SBG NAV'!$I$34:$BP$34, MATCH('SBG Discount to NAV Workings'!B49, 'Valuation &amp; SBG NAV'!$I$3:$BP$3, 0))</f>
        <v>3560</v>
      </c>
      <c r="K49" s="257">
        <f>J49/C49</f>
        <v>26.217725914959047</v>
      </c>
      <c r="L49" s="21">
        <f>J49/D49</f>
        <v>0.42305407011289364</v>
      </c>
      <c r="M49" s="260">
        <f>K49/E49</f>
        <v>0.42320784366358427</v>
      </c>
      <c r="N49" s="11">
        <f>D49-J49</f>
        <v>4855</v>
      </c>
      <c r="O49" s="257">
        <f>E49-K49</f>
        <v>35.732274085040956</v>
      </c>
      <c r="P49" s="21">
        <f>N49/D49</f>
        <v>0.57694592988710636</v>
      </c>
      <c r="Q49" s="260">
        <f>O49/E49</f>
        <v>0.57679215633641567</v>
      </c>
      <c r="R49" s="11">
        <f>F49-J49</f>
        <v>14950</v>
      </c>
      <c r="S49" s="257">
        <f>G49-K49</f>
        <v>110.09971978332523</v>
      </c>
      <c r="T49" s="21">
        <f>1-((D49-J49*(1-$T$2))/R49)</f>
        <v>0.67525083612040127</v>
      </c>
      <c r="U49" s="260">
        <f>1-((E49-K49*(1-$T$2))/S49)</f>
        <v>0.67545535851170557</v>
      </c>
      <c r="V49" s="11">
        <f>1000*INDEX('Valuation &amp; SBG NAV'!$I$20:$BP$20, MATCH('SBG Discount to NAV Workings'!B49, 'Valuation &amp; SBG NAV'!$I$3:$BP$3, 0))</f>
        <v>2960</v>
      </c>
      <c r="W49" s="257">
        <f>V49/C49</f>
        <v>21.799008064123253</v>
      </c>
      <c r="X49" s="700">
        <f>HLOOKUP(B49, 'Investment Business Of HoldCo'!$2:$152, 151, FALSE)/1000</f>
        <v>7.3163593795727246</v>
      </c>
      <c r="Y49" s="700">
        <f>HLOOKUP(B49, 'Investment Business Of HoldCo'!$2:$219, 218, 0)/1000</f>
        <v>1.2437810945273631</v>
      </c>
      <c r="Z49" s="767">
        <f>SUM(X49:Y49)/E49</f>
        <v>0.13817821588539286</v>
      </c>
      <c r="AA49" s="768"/>
      <c r="AB49" s="260"/>
    </row>
    <row r="50" spans="1:28">
      <c r="A50" s="256" t="s">
        <v>787</v>
      </c>
      <c r="B50" s="239"/>
      <c r="C50" s="24">
        <v>128.73599200000001</v>
      </c>
      <c r="D50" s="11">
        <v>8770</v>
      </c>
      <c r="E50" s="697">
        <f t="shared" si="2"/>
        <v>68.100000000000009</v>
      </c>
      <c r="F50" s="11"/>
      <c r="G50" s="257"/>
      <c r="J50" s="11"/>
      <c r="K50" s="257"/>
      <c r="N50" s="11"/>
      <c r="O50" s="257"/>
      <c r="R50" s="11"/>
      <c r="S50" s="257"/>
      <c r="V50" s="11"/>
      <c r="W50" s="257"/>
      <c r="X50" s="700"/>
      <c r="Y50" s="700"/>
      <c r="AA50" s="768"/>
    </row>
    <row r="51" spans="1:28">
      <c r="A51" s="256" t="s">
        <v>872</v>
      </c>
      <c r="B51" s="239"/>
      <c r="C51" s="24">
        <v>129.682007</v>
      </c>
      <c r="D51" s="11">
        <v>8675</v>
      </c>
      <c r="E51" s="697">
        <f t="shared" si="2"/>
        <v>66.900000000000006</v>
      </c>
      <c r="F51" s="11"/>
      <c r="G51" s="257"/>
      <c r="J51" s="11"/>
      <c r="K51" s="257"/>
      <c r="N51" s="11"/>
      <c r="O51" s="257"/>
      <c r="R51" s="11"/>
      <c r="S51" s="257"/>
      <c r="V51" s="11"/>
      <c r="W51" s="257"/>
      <c r="X51" s="700"/>
      <c r="Y51" s="700"/>
      <c r="AA51" s="768"/>
    </row>
    <row r="52" spans="1:28">
      <c r="A52" s="256" t="s">
        <v>789</v>
      </c>
      <c r="B52" s="239" t="s">
        <v>77</v>
      </c>
      <c r="C52" s="24">
        <v>121.75599699999999</v>
      </c>
      <c r="D52" s="11">
        <v>9320</v>
      </c>
      <c r="E52" s="697">
        <f t="shared" si="2"/>
        <v>76.55</v>
      </c>
      <c r="F52" s="11">
        <f>1000*INDEX('Valuation &amp; SBG NAV'!$I$33:$BP$33, MATCH('SBG Discount to NAV Workings'!B52, 'Valuation &amp; SBG NAV'!$I$3:$BP$3, 0))</f>
        <v>18459.999999999993</v>
      </c>
      <c r="G52" s="257">
        <f>F52/C52</f>
        <v>151.61470855517692</v>
      </c>
      <c r="H52" s="21">
        <f>1-D52/F52</f>
        <v>0.49512459371614281</v>
      </c>
      <c r="I52" s="260">
        <f>1-E52/G52</f>
        <v>0.49510175675243762</v>
      </c>
      <c r="J52" s="11">
        <f>1000*INDEX('Valuation &amp; SBG NAV'!$I$34:$BP$34, MATCH('SBG Discount to NAV Workings'!B52, 'Valuation &amp; SBG NAV'!$I$3:$BP$3, 0))</f>
        <v>3300.0000000000005</v>
      </c>
      <c r="K52" s="257">
        <f>J52/C52</f>
        <v>27.103387769885376</v>
      </c>
      <c r="L52" s="21">
        <f>J52/D52</f>
        <v>0.35407725321888417</v>
      </c>
      <c r="M52" s="260">
        <f>K52/E52</f>
        <v>0.35406123801287231</v>
      </c>
      <c r="N52" s="11">
        <f>D52-J52</f>
        <v>6020</v>
      </c>
      <c r="O52" s="257">
        <f>E52-K52</f>
        <v>49.446612230114624</v>
      </c>
      <c r="P52" s="21">
        <f>N52/D52</f>
        <v>0.64592274678111583</v>
      </c>
      <c r="Q52" s="260">
        <f>O52/E52</f>
        <v>0.64593876198712774</v>
      </c>
      <c r="R52" s="11">
        <f>F52-J52</f>
        <v>15159.999999999993</v>
      </c>
      <c r="S52" s="257">
        <f>G52-K52</f>
        <v>124.51132078529155</v>
      </c>
      <c r="T52" s="21">
        <f>1-((D52-J52*(1-$T$2))/R52)</f>
        <v>0.60290237467018448</v>
      </c>
      <c r="U52" s="260">
        <f>1-((E52-K52*(1-$T$2))/S52)</f>
        <v>0.60287456659960414</v>
      </c>
      <c r="V52" s="11">
        <f>1000*INDEX('Valuation &amp; SBG NAV'!$I$20:$BP$20, MATCH('SBG Discount to NAV Workings'!B52, 'Valuation &amp; SBG NAV'!$I$3:$BP$3, 0))</f>
        <v>2710</v>
      </c>
      <c r="W52" s="257">
        <f>V52/C52</f>
        <v>22.257630562542232</v>
      </c>
      <c r="X52" s="700">
        <f>HLOOKUP(B52, 'Investment Business Of HoldCo'!$2:$152, 151, FALSE)/1000</f>
        <v>7.8437780864449707</v>
      </c>
      <c r="Y52" s="700">
        <f>HLOOKUP(B52, 'Investment Business Of HoldCo'!$2:$219, 218, 0)/1000</f>
        <v>0.81706021733801781</v>
      </c>
      <c r="Z52" s="767">
        <f>SUM(X52:Y52)/E52</f>
        <v>0.11313962513106451</v>
      </c>
      <c r="AA52" s="768"/>
      <c r="AB52" s="260"/>
    </row>
    <row r="53" spans="1:28">
      <c r="A53" s="256" t="s">
        <v>790</v>
      </c>
      <c r="B53" s="239"/>
      <c r="C53" s="24">
        <v>115.08200100000001</v>
      </c>
      <c r="D53" s="11">
        <v>8635</v>
      </c>
      <c r="E53" s="697">
        <f t="shared" si="2"/>
        <v>75.05</v>
      </c>
      <c r="F53" s="11"/>
      <c r="G53" s="257"/>
      <c r="J53" s="11"/>
      <c r="K53" s="257"/>
      <c r="N53" s="11"/>
      <c r="O53" s="257"/>
      <c r="R53" s="11"/>
      <c r="S53" s="257"/>
      <c r="V53" s="11"/>
      <c r="W53" s="257"/>
      <c r="X53" s="700"/>
      <c r="Y53" s="700"/>
      <c r="AA53" s="768"/>
    </row>
    <row r="54" spans="1:28">
      <c r="A54" s="256" t="s">
        <v>791</v>
      </c>
      <c r="C54" s="24">
        <v>115.143997</v>
      </c>
      <c r="D54" s="11">
        <v>8565</v>
      </c>
      <c r="E54" s="697">
        <f t="shared" si="2"/>
        <v>74.400000000000006</v>
      </c>
      <c r="F54" s="11"/>
      <c r="G54" s="257"/>
      <c r="J54" s="11"/>
      <c r="K54" s="257"/>
      <c r="N54" s="11"/>
      <c r="O54" s="257"/>
      <c r="R54" s="11"/>
      <c r="S54" s="257"/>
      <c r="V54" s="11"/>
      <c r="W54" s="257"/>
      <c r="X54" s="700"/>
      <c r="Y54" s="700"/>
      <c r="AA54" s="768"/>
    </row>
    <row r="55" spans="1:28">
      <c r="A55" s="256" t="s">
        <v>873</v>
      </c>
      <c r="B55" s="239" t="s">
        <v>76</v>
      </c>
      <c r="C55" s="24">
        <v>115.102997</v>
      </c>
      <c r="D55" s="11">
        <v>9290</v>
      </c>
      <c r="E55" s="697">
        <f t="shared" si="2"/>
        <v>80.7</v>
      </c>
      <c r="F55" s="11">
        <f>1000*INDEX('Valuation &amp; SBG NAV'!$I$33:$BP$33, MATCH('SBG Discount to NAV Workings'!B55, 'Valuation &amp; SBG NAV'!$I$3:$BP$3, 0))</f>
        <v>19349.999999999996</v>
      </c>
      <c r="G55" s="257">
        <f>F55/C55</f>
        <v>168.11030559004467</v>
      </c>
      <c r="H55" s="21">
        <f>1-D55/F55</f>
        <v>0.51989664082687326</v>
      </c>
      <c r="I55" s="260">
        <f>1-E55/G55</f>
        <v>0.5199580435193798</v>
      </c>
      <c r="J55" s="11">
        <f>1000*INDEX('Valuation &amp; SBG NAV'!$I$34:$BP$34, MATCH('SBG Discount to NAV Workings'!B55, 'Valuation &amp; SBG NAV'!$I$3:$BP$3, 0))</f>
        <v>3110</v>
      </c>
      <c r="K55" s="257">
        <f>J55/C55</f>
        <v>27.019279089666099</v>
      </c>
      <c r="L55" s="21">
        <f>J55/D55</f>
        <v>0.33476856835306784</v>
      </c>
      <c r="M55" s="260">
        <f>K55/E55</f>
        <v>0.33481138896736179</v>
      </c>
      <c r="N55" s="11">
        <f>D55-J55</f>
        <v>6180</v>
      </c>
      <c r="O55" s="257">
        <f>E55-K55</f>
        <v>53.680720910333903</v>
      </c>
      <c r="P55" s="21">
        <f>N55/D55</f>
        <v>0.66523143164693221</v>
      </c>
      <c r="Q55" s="260">
        <f>O55/E55</f>
        <v>0.66518861103263816</v>
      </c>
      <c r="R55" s="11">
        <f>F55-J55</f>
        <v>16239.999999999996</v>
      </c>
      <c r="S55" s="257">
        <f>G55-K55</f>
        <v>141.09102650037858</v>
      </c>
      <c r="T55" s="21">
        <f>1-((D55-J55*(1-$T$2))/R55)</f>
        <v>0.61945812807881762</v>
      </c>
      <c r="U55" s="260">
        <f>1-((E55-K55*(1-$T$2))/S55)</f>
        <v>0.61953128953817727</v>
      </c>
      <c r="V55" s="11">
        <f>1000*INDEX('Valuation &amp; SBG NAV'!$I$20:$BP$20, MATCH('SBG Discount to NAV Workings'!B55, 'Valuation &amp; SBG NAV'!$I$3:$BP$3, 0))</f>
        <v>2830</v>
      </c>
      <c r="W55" s="257">
        <f>V55/C55</f>
        <v>24.586675184487159</v>
      </c>
      <c r="X55" s="700">
        <f>HLOOKUP(B55, 'Investment Business Of HoldCo'!$2:$152, 151, FALSE)/1000</f>
        <v>6.4336637106590162</v>
      </c>
      <c r="Y55" s="700">
        <f>HLOOKUP(B55, 'Investment Business Of HoldCo'!$2:$219, 218, 0)/1000</f>
        <v>0.69553121196313683</v>
      </c>
      <c r="Z55" s="767">
        <f>SUM(X55:Y55)/E55</f>
        <v>8.8341944518242288E-2</v>
      </c>
      <c r="AA55" s="768"/>
      <c r="AB55" s="260"/>
    </row>
    <row r="56" spans="1:28">
      <c r="A56" s="256" t="s">
        <v>793</v>
      </c>
      <c r="C56" s="24">
        <v>113.26300000000001</v>
      </c>
      <c r="D56" s="11">
        <v>10335</v>
      </c>
      <c r="E56" s="697">
        <f t="shared" si="2"/>
        <v>91.25</v>
      </c>
      <c r="F56" s="11"/>
      <c r="G56" s="257"/>
      <c r="J56" s="11"/>
      <c r="K56" s="257"/>
      <c r="N56" s="11"/>
      <c r="O56" s="257"/>
      <c r="R56" s="11"/>
      <c r="S56" s="257"/>
      <c r="V56" s="11"/>
      <c r="W56" s="257"/>
      <c r="X56" s="700"/>
      <c r="Y56" s="700"/>
      <c r="AA56" s="768"/>
    </row>
    <row r="57" spans="1:28">
      <c r="A57" s="256" t="s">
        <v>794</v>
      </c>
      <c r="C57" s="24">
        <v>114.218002</v>
      </c>
      <c r="D57" s="11">
        <v>10560</v>
      </c>
      <c r="E57" s="697">
        <f t="shared" si="2"/>
        <v>92.45</v>
      </c>
      <c r="F57" s="11"/>
      <c r="G57" s="257"/>
      <c r="J57" s="11"/>
      <c r="K57" s="257"/>
      <c r="N57" s="11"/>
      <c r="O57" s="257"/>
      <c r="R57" s="11"/>
      <c r="S57" s="257"/>
      <c r="V57" s="11"/>
      <c r="W57" s="257"/>
      <c r="X57" s="700"/>
      <c r="Y57" s="700"/>
      <c r="AA57" s="768"/>
    </row>
    <row r="58" spans="1:28">
      <c r="A58" s="256" t="s">
        <v>795</v>
      </c>
      <c r="B58" s="239" t="s">
        <v>75</v>
      </c>
      <c r="C58" s="24">
        <v>111.46399700000001</v>
      </c>
      <c r="D58" s="11">
        <v>11100</v>
      </c>
      <c r="E58" s="697">
        <f t="shared" si="2"/>
        <v>99.600000000000009</v>
      </c>
      <c r="F58" s="11">
        <f>1000*INDEX('Valuation &amp; SBG NAV'!$I$33:$BP$33, MATCH('SBG Discount to NAV Workings'!B58, 'Valuation &amp; SBG NAV'!$I$3:$BP$3, 0))</f>
        <v>20890</v>
      </c>
      <c r="G58" s="257">
        <f>F58/C58</f>
        <v>187.41477573247261</v>
      </c>
      <c r="H58" s="21">
        <f>1-D58/F58</f>
        <v>0.46864528482527523</v>
      </c>
      <c r="I58" s="260">
        <f>1-E58/G58</f>
        <v>0.46855844417424597</v>
      </c>
      <c r="J58" s="11">
        <f>1000*INDEX('Valuation &amp; SBG NAV'!$I$34:$BP$34, MATCH('SBG Discount to NAV Workings'!B58, 'Valuation &amp; SBG NAV'!$I$3:$BP$3, 0))</f>
        <v>3690</v>
      </c>
      <c r="K58" s="257">
        <f>J58/C58</f>
        <v>33.104859858919284</v>
      </c>
      <c r="L58" s="21">
        <f>J58/D58</f>
        <v>0.33243243243243242</v>
      </c>
      <c r="M58" s="260">
        <f>K58/E58</f>
        <v>0.3323781110333261</v>
      </c>
      <c r="N58" s="11">
        <f>D58-J58</f>
        <v>7410</v>
      </c>
      <c r="O58" s="257">
        <f>E58-K58</f>
        <v>66.495140141080725</v>
      </c>
      <c r="P58" s="21">
        <f>N58/D58</f>
        <v>0.66756756756756752</v>
      </c>
      <c r="Q58" s="260">
        <f>O58/E58</f>
        <v>0.66762188896667385</v>
      </c>
      <c r="R58" s="11">
        <f>F58-J58</f>
        <v>17200</v>
      </c>
      <c r="S58" s="257">
        <f>G58-K58</f>
        <v>154.30991587355334</v>
      </c>
      <c r="T58" s="21">
        <f>1-((D58-J58*(1-$T$2))/R58)</f>
        <v>0.56918604651162785</v>
      </c>
      <c r="U58" s="260">
        <f>1-((E58-K58*(1-$T$2))/S58)</f>
        <v>0.56908057551162783</v>
      </c>
      <c r="V58" s="11">
        <f>1000*INDEX('Valuation &amp; SBG NAV'!$I$20:$BP$20, MATCH('SBG Discount to NAV Workings'!B58, 'Valuation &amp; SBG NAV'!$I$3:$BP$3, 0))</f>
        <v>2750</v>
      </c>
      <c r="W58" s="257">
        <f>V58/C58</f>
        <v>24.671643526294861</v>
      </c>
      <c r="X58" s="700">
        <f>HLOOKUP(B58, 'Investment Business Of HoldCo'!$2:$152, 151, FALSE)/1000</f>
        <v>6.9692637598284488</v>
      </c>
      <c r="Y58" s="700">
        <f>HLOOKUP(B58, 'Investment Business Of HoldCo'!$2:$219, 218, 0)/1000</f>
        <v>4.5568263045032165</v>
      </c>
      <c r="Z58" s="767">
        <f>SUM(X58:Y58)/E58</f>
        <v>0.11572379582662314</v>
      </c>
      <c r="AA58" s="768"/>
      <c r="AB58" s="260"/>
    </row>
    <row r="59" spans="1:28">
      <c r="A59" s="256" t="s">
        <v>796</v>
      </c>
      <c r="C59" s="24">
        <v>110.06199599999999</v>
      </c>
      <c r="D59" s="11">
        <v>10590</v>
      </c>
      <c r="E59" s="697">
        <f t="shared" si="2"/>
        <v>96.2</v>
      </c>
      <c r="F59" s="11"/>
      <c r="G59" s="257"/>
      <c r="J59" s="11"/>
      <c r="K59" s="257"/>
      <c r="N59" s="11"/>
      <c r="O59" s="257"/>
      <c r="R59" s="11"/>
      <c r="S59" s="257"/>
      <c r="V59" s="11"/>
      <c r="W59" s="257"/>
      <c r="X59" s="700"/>
      <c r="Y59" s="700"/>
      <c r="AA59" s="768"/>
    </row>
    <row r="60" spans="1:28">
      <c r="A60" s="256" t="s">
        <v>797</v>
      </c>
      <c r="C60" s="24">
        <v>109.66999800000001</v>
      </c>
      <c r="D60" s="11">
        <v>11710</v>
      </c>
      <c r="E60" s="697">
        <f t="shared" si="2"/>
        <v>106.75</v>
      </c>
      <c r="F60" s="11"/>
      <c r="G60" s="257"/>
      <c r="J60" s="11"/>
      <c r="K60" s="257"/>
      <c r="N60" s="11"/>
      <c r="O60" s="257"/>
      <c r="R60" s="11"/>
      <c r="S60" s="257"/>
      <c r="V60" s="11"/>
      <c r="W60" s="257"/>
      <c r="X60" s="700"/>
      <c r="Y60" s="700"/>
      <c r="AA60" s="768"/>
    </row>
    <row r="61" spans="1:28">
      <c r="A61" s="256" t="s">
        <v>798</v>
      </c>
      <c r="B61" s="239" t="s">
        <v>74</v>
      </c>
      <c r="C61" s="24">
        <v>111.128998</v>
      </c>
      <c r="D61" s="11">
        <v>13320</v>
      </c>
      <c r="E61" s="697">
        <f t="shared" si="2"/>
        <v>119.85000000000001</v>
      </c>
      <c r="F61" s="11">
        <f>1000*INDEX('Valuation &amp; SBG NAV'!$I$33:$BP$33, MATCH('SBG Discount to NAV Workings'!B61, 'Valuation &amp; SBG NAV'!$I$3:$BP$3, 0))</f>
        <v>27000</v>
      </c>
      <c r="G61" s="257">
        <f>F61/C61</f>
        <v>242.96088767038106</v>
      </c>
      <c r="H61" s="21">
        <f>1-D61/F61</f>
        <v>0.5066666666666666</v>
      </c>
      <c r="I61" s="260">
        <f>1-E61/G61</f>
        <v>0.50671072554444441</v>
      </c>
      <c r="J61" s="11">
        <f>1000*INDEX('Valuation &amp; SBG NAV'!$I$34:$BP$34, MATCH('SBG Discount to NAV Workings'!B61, 'Valuation &amp; SBG NAV'!$I$3:$BP$3, 0))</f>
        <v>4160</v>
      </c>
      <c r="K61" s="257">
        <f>J61/C61</f>
        <v>37.43397380402908</v>
      </c>
      <c r="L61" s="21">
        <f>J61/D61</f>
        <v>0.31231231231231232</v>
      </c>
      <c r="M61" s="260">
        <f>K61/E61</f>
        <v>0.31234020695894099</v>
      </c>
      <c r="N61" s="11">
        <f>D61-J61</f>
        <v>9160</v>
      </c>
      <c r="O61" s="257">
        <f>E61-K61</f>
        <v>82.416026195970929</v>
      </c>
      <c r="P61" s="21">
        <f>N61/D61</f>
        <v>0.68768768768768773</v>
      </c>
      <c r="Q61" s="260">
        <f>O61/E61</f>
        <v>0.68765979304105906</v>
      </c>
      <c r="R61" s="11">
        <f>F61-J61</f>
        <v>22840</v>
      </c>
      <c r="S61" s="257">
        <f>G61-K61</f>
        <v>205.52691386635198</v>
      </c>
      <c r="T61" s="21">
        <f>1-((D61-J61*(1-$T$2))/R61)</f>
        <v>0.59894921190893169</v>
      </c>
      <c r="U61" s="260">
        <f>1-((E61-K61*(1-$T$2))/S61)</f>
        <v>0.59900129552101578</v>
      </c>
      <c r="V61" s="11">
        <f>1000*INDEX('Valuation &amp; SBG NAV'!$I$20:$BP$20, MATCH('SBG Discount to NAV Workings'!B61, 'Valuation &amp; SBG NAV'!$I$3:$BP$3, 0))</f>
        <v>2720</v>
      </c>
      <c r="W61" s="257">
        <f>V61/C61</f>
        <v>24.476059794942092</v>
      </c>
      <c r="X61" s="700">
        <f>HLOOKUP(B61, 'Investment Business Of HoldCo'!$2:$152, 151, FALSE)/1000</f>
        <v>17.001266051727256</v>
      </c>
      <c r="Y61" s="700">
        <f>HLOOKUP(B61, 'Investment Business Of HoldCo'!$2:$219, 218, 0)/1000</f>
        <v>0</v>
      </c>
      <c r="AA61" s="768"/>
    </row>
    <row r="62" spans="1:28">
      <c r="A62" s="256" t="s">
        <v>799</v>
      </c>
      <c r="C62" s="24">
        <v>109.477997</v>
      </c>
      <c r="D62" s="11">
        <v>14140</v>
      </c>
      <c r="E62" s="697">
        <f t="shared" si="2"/>
        <v>129.15</v>
      </c>
      <c r="F62" s="11"/>
      <c r="G62" s="257"/>
      <c r="J62" s="11"/>
      <c r="K62" s="257"/>
      <c r="N62" s="11"/>
      <c r="O62" s="257"/>
      <c r="R62" s="11"/>
      <c r="S62" s="257"/>
      <c r="V62" s="11"/>
      <c r="W62" s="257"/>
      <c r="X62" s="700"/>
      <c r="Y62" s="700"/>
      <c r="AA62" s="768"/>
    </row>
    <row r="63" spans="1:28">
      <c r="A63" s="256" t="s">
        <v>800</v>
      </c>
      <c r="C63" s="24">
        <v>109.170998</v>
      </c>
      <c r="D63" s="11">
        <v>17185</v>
      </c>
      <c r="E63" s="697">
        <f t="shared" si="2"/>
        <v>157.4</v>
      </c>
      <c r="F63" s="11"/>
      <c r="G63" s="257"/>
      <c r="J63" s="11"/>
      <c r="K63" s="257"/>
      <c r="N63" s="11"/>
      <c r="O63" s="257"/>
      <c r="R63" s="11"/>
      <c r="S63" s="257"/>
      <c r="V63" s="11"/>
      <c r="W63" s="257"/>
      <c r="X63" s="700"/>
      <c r="Y63" s="700"/>
      <c r="AA63" s="768"/>
    </row>
    <row r="64" spans="1:28">
      <c r="A64" s="256" t="s">
        <v>801</v>
      </c>
      <c r="B64" s="239" t="s">
        <v>136</v>
      </c>
      <c r="C64" s="24">
        <v>110.737999</v>
      </c>
      <c r="D64" s="11">
        <v>16430</v>
      </c>
      <c r="E64" s="697">
        <f t="shared" si="2"/>
        <v>148.35</v>
      </c>
      <c r="F64" s="11">
        <f>1000*INDEX('Valuation &amp; SBG NAV'!$I$33:$BP$33, MATCH('SBG Discount to NAV Workings'!B64, 'Valuation &amp; SBG NAV'!$I$3:$BP$3, 0))</f>
        <v>26690.000000000004</v>
      </c>
      <c r="G64" s="257">
        <f>F64/C64</f>
        <v>241.01934513012108</v>
      </c>
      <c r="H64" s="21">
        <f>1-D64/F64</f>
        <v>0.38441363806669171</v>
      </c>
      <c r="I64" s="260">
        <f>1-E64/G64</f>
        <v>0.38448924122705141</v>
      </c>
      <c r="J64" s="11">
        <f>1000*INDEX('Valuation &amp; SBG NAV'!$I$34:$BP$34, MATCH('SBG Discount to NAV Workings'!B64, 'Valuation &amp; SBG NAV'!$I$3:$BP$3, 0))</f>
        <v>3769.9999999999995</v>
      </c>
      <c r="K64" s="257">
        <f>J64/C64</f>
        <v>34.044321136776183</v>
      </c>
      <c r="L64" s="21">
        <f>J64/D64</f>
        <v>0.2294583079732197</v>
      </c>
      <c r="M64" s="260">
        <f>K64/E64</f>
        <v>0.22948649232744311</v>
      </c>
      <c r="N64" s="11">
        <f>D64-J64</f>
        <v>12660</v>
      </c>
      <c r="O64" s="257">
        <f>E64-K64</f>
        <v>114.30567886322382</v>
      </c>
      <c r="P64" s="21">
        <f>N64/D64</f>
        <v>0.77054169202678024</v>
      </c>
      <c r="Q64" s="260">
        <f>O64/E64</f>
        <v>0.770513507672557</v>
      </c>
      <c r="R64" s="11">
        <f>F64-J64</f>
        <v>22920.000000000004</v>
      </c>
      <c r="S64" s="257">
        <f>G64-K64</f>
        <v>206.97502399334491</v>
      </c>
      <c r="T64" s="21">
        <f>1-((D64-J64*(1-$T$2))/R64)</f>
        <v>0.44764397905759168</v>
      </c>
      <c r="U64" s="260">
        <f>1-((E64-K64*(1-$T$2))/S64)</f>
        <v>0.44773201781631766</v>
      </c>
      <c r="V64" s="11">
        <f>1000*INDEX('Valuation &amp; SBG NAV'!$I$20:$BP$20, MATCH('SBG Discount to NAV Workings'!B64, 'Valuation &amp; SBG NAV'!$I$3:$BP$3, 0))</f>
        <v>2720</v>
      </c>
      <c r="W64" s="257">
        <f>V64/C64</f>
        <v>24.562481032369025</v>
      </c>
      <c r="X64" s="700">
        <f>HLOOKUP(B64, 'Investment Business Of HoldCo'!$2:$152, 151, FALSE)/1000</f>
        <v>13.639237647908953</v>
      </c>
      <c r="Y64" s="700">
        <f>HLOOKUP(B64, 'Investment Business Of HoldCo'!$2:$219, 218, 0)/1000</f>
        <v>0</v>
      </c>
      <c r="AA64" s="768"/>
    </row>
    <row r="65" spans="1:27">
      <c r="A65" s="256" t="s">
        <v>802</v>
      </c>
      <c r="B65" s="239"/>
      <c r="C65" s="24">
        <v>106.47399900000001</v>
      </c>
      <c r="D65" s="11">
        <v>17605</v>
      </c>
      <c r="E65" s="697">
        <f t="shared" si="2"/>
        <v>165.35000000000002</v>
      </c>
      <c r="F65" s="11"/>
      <c r="G65" s="257"/>
      <c r="J65" s="11"/>
      <c r="K65" s="257"/>
      <c r="N65" s="11"/>
      <c r="O65" s="257"/>
      <c r="R65" s="11"/>
      <c r="S65" s="257"/>
      <c r="V65" s="11"/>
      <c r="W65" s="257"/>
      <c r="X65" s="700"/>
      <c r="Y65" s="700"/>
      <c r="AA65" s="768"/>
    </row>
    <row r="66" spans="1:27">
      <c r="A66" s="256" t="s">
        <v>803</v>
      </c>
      <c r="C66" s="24">
        <v>104.719002</v>
      </c>
      <c r="D66" s="11">
        <v>14595</v>
      </c>
      <c r="E66" s="697">
        <f t="shared" si="2"/>
        <v>139.35</v>
      </c>
      <c r="F66" s="11"/>
      <c r="G66" s="257"/>
      <c r="J66" s="11"/>
      <c r="K66" s="257"/>
      <c r="N66" s="11"/>
      <c r="O66" s="257"/>
      <c r="R66" s="11"/>
      <c r="S66" s="257"/>
      <c r="V66" s="11"/>
      <c r="W66" s="257"/>
      <c r="X66" s="700"/>
      <c r="Y66" s="700"/>
      <c r="AA66" s="768"/>
    </row>
    <row r="67" spans="1:27">
      <c r="A67" s="256" t="s">
        <v>874</v>
      </c>
      <c r="B67" s="239" t="s">
        <v>135</v>
      </c>
      <c r="C67" s="24">
        <v>103.225998</v>
      </c>
      <c r="D67" s="11">
        <v>14625</v>
      </c>
      <c r="E67" s="697">
        <f t="shared" si="2"/>
        <v>141.70000000000002</v>
      </c>
      <c r="F67" s="11">
        <f>1000*INDEX('Valuation &amp; SBG NAV'!$I$33:$BP$33, MATCH('SBG Discount to NAV Workings'!B67, 'Valuation &amp; SBG NAV'!$I$3:$BP$3, 0))</f>
        <v>24060</v>
      </c>
      <c r="G67" s="257">
        <f>F67/C67</f>
        <v>233.08081748940805</v>
      </c>
      <c r="H67" s="21">
        <f>1-D67/F67</f>
        <v>0.39214463840399005</v>
      </c>
      <c r="I67" s="260">
        <f>1-E67/G67</f>
        <v>0.39205636256857845</v>
      </c>
      <c r="J67" s="11">
        <f>1000*INDEX('Valuation &amp; SBG NAV'!$I$34:$BP$34, MATCH('SBG Discount to NAV Workings'!B67, 'Valuation &amp; SBG NAV'!$I$3:$BP$3, 0))</f>
        <v>3550</v>
      </c>
      <c r="K67" s="257">
        <f>J67/C67</f>
        <v>34.390561184014899</v>
      </c>
      <c r="L67" s="21">
        <f>J67/D67</f>
        <v>0.24273504273504273</v>
      </c>
      <c r="M67" s="260">
        <f>K67/E67</f>
        <v>0.24269979664089553</v>
      </c>
      <c r="N67" s="11">
        <f>D67-J67</f>
        <v>11075</v>
      </c>
      <c r="O67" s="257">
        <f>E67-K67</f>
        <v>107.30943881598512</v>
      </c>
      <c r="P67" s="21">
        <f>N67/D67</f>
        <v>0.75726495726495724</v>
      </c>
      <c r="Q67" s="260">
        <f>O67/E67</f>
        <v>0.75730020335910453</v>
      </c>
      <c r="R67" s="11">
        <f>F67-J67</f>
        <v>20510</v>
      </c>
      <c r="S67" s="257">
        <f>G67-K67</f>
        <v>198.69025630539315</v>
      </c>
      <c r="T67" s="21">
        <f>1-((D67-J67*(1-$T$2))/R67)</f>
        <v>0.46001950268161873</v>
      </c>
      <c r="U67" s="260">
        <f>1-((E67-K67*(1-$T$2))/S67)</f>
        <v>0.45991594750853237</v>
      </c>
      <c r="V67" s="11">
        <f>1000*INDEX('Valuation &amp; SBG NAV'!$I$20:$BP$20, MATCH('SBG Discount to NAV Workings'!B67, 'Valuation &amp; SBG NAV'!$I$3:$BP$3, 0))</f>
        <v>2550</v>
      </c>
      <c r="W67" s="257">
        <f>V67/C67</f>
        <v>24.703079160348732</v>
      </c>
      <c r="X67" s="700">
        <f>HLOOKUP(B67, 'Investment Business Of HoldCo'!$2:$152, 151, FALSE)/1000</f>
        <v>15.169082125603865</v>
      </c>
      <c r="Y67" s="700">
        <f>HLOOKUP(B67, 'Investment Business Of HoldCo'!$2:$219, 218, 0)/1000</f>
        <v>0</v>
      </c>
      <c r="AA67" s="768"/>
    </row>
    <row r="68" spans="1:27">
      <c r="A68" s="256" t="s">
        <v>805</v>
      </c>
      <c r="C68" s="24">
        <v>104.30100299999999</v>
      </c>
      <c r="D68" s="11">
        <v>13520</v>
      </c>
      <c r="E68" s="697">
        <f t="shared" si="2"/>
        <v>129.6</v>
      </c>
      <c r="F68" s="11"/>
      <c r="G68" s="257"/>
      <c r="J68" s="11"/>
      <c r="K68" s="257"/>
      <c r="N68" s="11"/>
      <c r="O68" s="257"/>
      <c r="R68" s="11"/>
      <c r="S68" s="257"/>
      <c r="V68" s="11"/>
      <c r="W68" s="257"/>
      <c r="X68" s="700"/>
      <c r="Y68" s="700"/>
      <c r="AA68" s="768"/>
    </row>
    <row r="69" spans="1:27">
      <c r="A69" s="256" t="s">
        <v>806</v>
      </c>
      <c r="C69" s="24">
        <v>104.557999</v>
      </c>
      <c r="D69" s="11">
        <v>12750</v>
      </c>
      <c r="E69" s="697">
        <f t="shared" si="2"/>
        <v>121.95</v>
      </c>
      <c r="F69" s="11"/>
      <c r="G69" s="257"/>
      <c r="J69" s="11"/>
      <c r="K69" s="257"/>
      <c r="N69" s="11"/>
      <c r="O69" s="257"/>
      <c r="R69" s="11"/>
      <c r="S69" s="257"/>
      <c r="V69" s="11"/>
      <c r="W69" s="257"/>
      <c r="X69" s="700"/>
      <c r="Y69" s="700"/>
      <c r="AA69" s="768"/>
    </row>
    <row r="70" spans="1:27">
      <c r="A70" s="256" t="s">
        <v>807</v>
      </c>
      <c r="B70" s="239" t="s">
        <v>134</v>
      </c>
      <c r="C70" s="24">
        <v>105.44899700000001</v>
      </c>
      <c r="D70" s="11">
        <v>12185</v>
      </c>
      <c r="E70" s="697">
        <f t="shared" si="2"/>
        <v>115.55000000000001</v>
      </c>
      <c r="F70" s="11">
        <f>1000*INDEX('Valuation &amp; SBG NAV'!$I$33:$BP$33, MATCH('SBG Discount to NAV Workings'!B70, 'Valuation &amp; SBG NAV'!$I$3:$BP$3, 0))</f>
        <v>27890</v>
      </c>
      <c r="G70" s="257">
        <f>F70/C70</f>
        <v>264.4880538787865</v>
      </c>
      <c r="H70" s="21">
        <f>1-D70/F70</f>
        <v>0.56310505557547508</v>
      </c>
      <c r="I70" s="260">
        <f>1-E70/G70</f>
        <v>0.56311826449085678</v>
      </c>
      <c r="J70" s="11">
        <f>1000*INDEX('Valuation &amp; SBG NAV'!$I$34:$BP$34, MATCH('SBG Discount to NAV Workings'!B70, 'Valuation &amp; SBG NAV'!$I$3:$BP$3, 0))</f>
        <v>3030.0000000000005</v>
      </c>
      <c r="K70" s="257">
        <f>J70/C70</f>
        <v>28.734270464421776</v>
      </c>
      <c r="L70" s="21">
        <f>J70/D70</f>
        <v>0.24866639310627825</v>
      </c>
      <c r="M70" s="260">
        <f>K70/E70</f>
        <v>0.24867391141862202</v>
      </c>
      <c r="N70" s="11">
        <f>D70-J70</f>
        <v>9155</v>
      </c>
      <c r="O70" s="257">
        <f>E70-K70</f>
        <v>86.815729535578242</v>
      </c>
      <c r="P70" s="21">
        <f>N70/D70</f>
        <v>0.75133360689372175</v>
      </c>
      <c r="Q70" s="260">
        <f>O70/E70</f>
        <v>0.75132608858137806</v>
      </c>
      <c r="R70" s="11">
        <f>F70-J70</f>
        <v>24860</v>
      </c>
      <c r="S70" s="257">
        <f>G70-K70</f>
        <v>235.75378341436473</v>
      </c>
      <c r="T70" s="21">
        <f>1-((D70-J70*(1-$T$2))/R70)</f>
        <v>0.63173773129525346</v>
      </c>
      <c r="U70" s="260">
        <f>1-((E70-K70*(1-$T$2))/S70)</f>
        <v>0.63175255014682208</v>
      </c>
      <c r="V70" s="11">
        <f>1000*INDEX('Valuation &amp; SBG NAV'!$I$20:$BP$20, MATCH('SBG Discount to NAV Workings'!B70, 'Valuation &amp; SBG NAV'!$I$3:$BP$3, 0))</f>
        <v>2600</v>
      </c>
      <c r="W70" s="257">
        <f>V70/C70</f>
        <v>24.656469705444422</v>
      </c>
      <c r="X70" s="700">
        <f>HLOOKUP(B70, 'Investment Business Of HoldCo'!$2:$152, 151, FALSE)/1000</f>
        <v>12.003780718336484</v>
      </c>
      <c r="Y70" s="700">
        <f>HLOOKUP(B70, 'Investment Business Of HoldCo'!$2:$219, 218, 0)/1000</f>
        <v>0</v>
      </c>
      <c r="AA70" s="768"/>
    </row>
    <row r="71" spans="1:27">
      <c r="A71" s="256" t="s">
        <v>808</v>
      </c>
      <c r="C71" s="24">
        <v>105.989998</v>
      </c>
      <c r="D71" s="11">
        <v>12425</v>
      </c>
      <c r="E71" s="697">
        <f t="shared" si="2"/>
        <v>117.25</v>
      </c>
      <c r="F71" s="11"/>
      <c r="G71" s="257"/>
      <c r="J71" s="11"/>
      <c r="K71" s="257"/>
      <c r="N71" s="11"/>
      <c r="O71" s="257"/>
      <c r="R71" s="11"/>
      <c r="S71" s="257"/>
      <c r="V71" s="11"/>
      <c r="W71" s="257"/>
      <c r="X71" s="700"/>
      <c r="Y71" s="700"/>
      <c r="AA71" s="768"/>
    </row>
    <row r="72" spans="1:27">
      <c r="A72" s="256" t="s">
        <v>809</v>
      </c>
      <c r="C72" s="24">
        <v>105.834</v>
      </c>
      <c r="D72" s="11">
        <v>12835</v>
      </c>
      <c r="E72" s="697">
        <f t="shared" si="2"/>
        <v>121.25</v>
      </c>
      <c r="F72" s="11"/>
      <c r="G72" s="257"/>
      <c r="J72" s="11"/>
      <c r="K72" s="257"/>
      <c r="N72" s="11"/>
      <c r="O72" s="257"/>
      <c r="R72" s="11"/>
      <c r="S72" s="257"/>
      <c r="V72" s="11"/>
      <c r="W72" s="257"/>
      <c r="X72" s="700"/>
      <c r="Y72" s="700"/>
      <c r="AA72" s="768"/>
    </row>
    <row r="73" spans="1:27">
      <c r="A73" s="256" t="s">
        <v>810</v>
      </c>
      <c r="B73" s="239" t="s">
        <v>133</v>
      </c>
      <c r="C73" s="24">
        <v>107.985001</v>
      </c>
      <c r="D73" s="11">
        <v>10710</v>
      </c>
      <c r="E73" s="697">
        <f t="shared" si="2"/>
        <v>99.2</v>
      </c>
      <c r="F73" s="11">
        <f>1000*INDEX('Valuation &amp; SBG NAV'!$I$33:$BP$33, MATCH('SBG Discount to NAV Workings'!B73, 'Valuation &amp; SBG NAV'!$I$3:$BP$3, 0))</f>
        <v>22670</v>
      </c>
      <c r="G73" s="257">
        <f>F73/C73</f>
        <v>209.93656331956694</v>
      </c>
      <c r="H73" s="21">
        <f>1-D73/F73</f>
        <v>0.52756947507719454</v>
      </c>
      <c r="I73" s="260">
        <f>1-E73/G73</f>
        <v>0.52747630793118661</v>
      </c>
      <c r="J73" s="11">
        <f>1000*INDEX('Valuation &amp; SBG NAV'!$I$34:$BP$34, MATCH('SBG Discount to NAV Workings'!B73, 'Valuation &amp; SBG NAV'!$I$3:$BP$3, 0))</f>
        <v>4910</v>
      </c>
      <c r="K73" s="257">
        <f>J73/C73</f>
        <v>45.469277719412162</v>
      </c>
      <c r="L73" s="21">
        <f>J73/D73</f>
        <v>0.45845004668534078</v>
      </c>
      <c r="M73" s="260">
        <f>K73/E73</f>
        <v>0.45835965442955806</v>
      </c>
      <c r="N73" s="11">
        <f>D73-J73</f>
        <v>5800</v>
      </c>
      <c r="O73" s="257">
        <f>E73-K73</f>
        <v>53.730722280587841</v>
      </c>
      <c r="P73" s="21">
        <f>N73/D73</f>
        <v>0.54154995331465916</v>
      </c>
      <c r="Q73" s="260">
        <f>O73/E73</f>
        <v>0.54164034557044194</v>
      </c>
      <c r="R73" s="11">
        <f>F73-J73</f>
        <v>17760</v>
      </c>
      <c r="S73" s="257">
        <f>G73-K73</f>
        <v>164.46728560015478</v>
      </c>
      <c r="T73" s="21">
        <f>1-((D73-J73*(1-$T$2))/R73)</f>
        <v>0.67342342342342343</v>
      </c>
      <c r="U73" s="260">
        <f>1-((E73-K73*(1-$T$2))/S73)</f>
        <v>0.67330449891891897</v>
      </c>
      <c r="V73" s="11">
        <f>1000*INDEX('Valuation &amp; SBG NAV'!$I$20:$BP$20, MATCH('SBG Discount to NAV Workings'!B73, 'Valuation &amp; SBG NAV'!$I$3:$BP$3, 0))</f>
        <v>2650</v>
      </c>
      <c r="W73" s="257">
        <f>V73/C73</f>
        <v>24.540445204978052</v>
      </c>
      <c r="X73" s="700">
        <f>HLOOKUP(B73, 'Investment Business Of HoldCo'!$2:$152, 151, FALSE)/1000</f>
        <v>12.622981251160201</v>
      </c>
      <c r="Y73" s="700">
        <f>HLOOKUP(B73, 'Investment Business Of HoldCo'!$2:$219, 218, 0)/1000</f>
        <v>0</v>
      </c>
      <c r="AA73" s="768"/>
    </row>
    <row r="74" spans="1:27">
      <c r="A74" s="256" t="s">
        <v>811</v>
      </c>
      <c r="C74" s="24">
        <v>107.71399700000001</v>
      </c>
      <c r="D74" s="11">
        <v>9730</v>
      </c>
      <c r="E74" s="697">
        <f t="shared" si="2"/>
        <v>90.350000000000009</v>
      </c>
      <c r="F74" s="11"/>
      <c r="G74" s="257"/>
      <c r="J74" s="11"/>
      <c r="K74" s="257"/>
      <c r="N74" s="11"/>
      <c r="O74" s="11"/>
      <c r="R74" s="11"/>
      <c r="S74" s="11"/>
      <c r="V74" s="11"/>
      <c r="W74" s="257"/>
      <c r="X74" s="700"/>
      <c r="Y74" s="700"/>
      <c r="AA74" s="768"/>
    </row>
    <row r="75" spans="1:27">
      <c r="A75" s="256" t="s">
        <v>812</v>
      </c>
      <c r="C75" s="24">
        <v>107.30500000000001</v>
      </c>
      <c r="D75" s="11">
        <v>9575</v>
      </c>
      <c r="E75" s="697">
        <f t="shared" si="2"/>
        <v>89.25</v>
      </c>
      <c r="F75" s="11"/>
      <c r="G75" s="257"/>
      <c r="J75" s="11"/>
      <c r="K75" s="257"/>
      <c r="N75" s="11"/>
      <c r="O75" s="11"/>
      <c r="R75" s="11"/>
      <c r="S75" s="11"/>
      <c r="V75" s="11"/>
      <c r="W75" s="257"/>
      <c r="X75" s="700"/>
      <c r="Y75" s="700"/>
      <c r="AA75" s="768"/>
    </row>
    <row r="76" spans="1:27">
      <c r="A76" s="256" t="s">
        <v>813</v>
      </c>
      <c r="B76" s="239" t="s">
        <v>157</v>
      </c>
      <c r="C76" s="24">
        <v>107.45700100000001</v>
      </c>
      <c r="D76" s="11">
        <v>7845</v>
      </c>
      <c r="E76" s="697">
        <f t="shared" si="2"/>
        <v>73</v>
      </c>
      <c r="F76" s="11">
        <f>1000*INDEX('Valuation &amp; SBG NAV'!$I$33:$BP$33, MATCH('SBG Discount to NAV Workings'!B76, 'Valuation &amp; SBG NAV'!$I$3:$BP$3, 0))</f>
        <v>21660</v>
      </c>
      <c r="G76" s="257">
        <f>F76/C76</f>
        <v>201.56899781708964</v>
      </c>
      <c r="H76" s="21">
        <f>1-D76/F76</f>
        <v>0.63781163434903054</v>
      </c>
      <c r="I76" s="260">
        <f>1-E76/G76</f>
        <v>0.63784113236380424</v>
      </c>
      <c r="J76" s="11">
        <f>1000*INDEX('Valuation &amp; SBG NAV'!$I$34:$BP$34, MATCH('SBG Discount to NAV Workings'!B76, 'Valuation &amp; SBG NAV'!$I$3:$BP$3, 0))</f>
        <v>7650</v>
      </c>
      <c r="K76" s="257">
        <f>J76/C76</f>
        <v>71.19126654204689</v>
      </c>
      <c r="L76" s="21">
        <f>J76/D76</f>
        <v>0.9751434034416826</v>
      </c>
      <c r="M76" s="260">
        <f>K76/E76</f>
        <v>0.97522282934310811</v>
      </c>
      <c r="N76" s="11">
        <f>D76-J76</f>
        <v>195</v>
      </c>
      <c r="O76" s="257">
        <f>E76-K76</f>
        <v>1.8087334579531102</v>
      </c>
      <c r="P76" s="21">
        <f>N76/D76</f>
        <v>2.4856596558317401E-2</v>
      </c>
      <c r="Q76" s="260">
        <f>O76/E76</f>
        <v>2.477717065689192E-2</v>
      </c>
      <c r="R76" s="11">
        <f>F76-J76</f>
        <v>14010</v>
      </c>
      <c r="S76" s="257">
        <f>G76-K76</f>
        <v>130.37773127504275</v>
      </c>
      <c r="T76" s="21">
        <f>1-((D76-J76*(1-$T$2))/R76)</f>
        <v>0.98608137044967881</v>
      </c>
      <c r="U76" s="260">
        <f>1-((E76-K76*(1-$T$2))/S76)</f>
        <v>0.9861269755174874</v>
      </c>
      <c r="V76" s="11">
        <f>1000*INDEX('Valuation &amp; SBG NAV'!$I$20:$BP$20, MATCH('SBG Discount to NAV Workings'!B76, 'Valuation &amp; SBG NAV'!$I$3:$BP$3, 0))</f>
        <v>2630</v>
      </c>
      <c r="W76" s="257">
        <f>V76/C76</f>
        <v>24.474906013801743</v>
      </c>
      <c r="X76" s="700">
        <f>HLOOKUP(B76, 'Investment Business Of HoldCo'!$2:$152, 151, FALSE)/1000</f>
        <v>29.127997794725719</v>
      </c>
      <c r="Y76" s="700">
        <f>HLOOKUP(B76, 'Investment Business Of HoldCo'!$2:$219, 218, 0)/1000</f>
        <v>0</v>
      </c>
      <c r="AA76" s="768"/>
    </row>
    <row r="77" spans="1:27">
      <c r="A77" s="256" t="s">
        <v>814</v>
      </c>
      <c r="B77" s="239"/>
      <c r="C77" s="24">
        <v>108.136002</v>
      </c>
      <c r="D77" s="11">
        <v>10385</v>
      </c>
      <c r="E77" s="697">
        <f t="shared" si="2"/>
        <v>96.050000000000011</v>
      </c>
      <c r="F77" s="11"/>
      <c r="G77" s="257"/>
      <c r="J77" s="11"/>
      <c r="K77" s="257"/>
      <c r="N77" s="11"/>
      <c r="O77" s="11"/>
      <c r="R77" s="11"/>
      <c r="S77" s="11"/>
      <c r="V77" s="11"/>
      <c r="W77" s="257"/>
      <c r="X77" s="700"/>
      <c r="Y77" s="700"/>
      <c r="AA77" s="768"/>
    </row>
    <row r="78" spans="1:27">
      <c r="A78" s="256" t="s">
        <v>815</v>
      </c>
      <c r="C78" s="24">
        <v>108.32</v>
      </c>
      <c r="D78" s="11">
        <v>9370</v>
      </c>
      <c r="E78" s="697">
        <f t="shared" si="2"/>
        <v>86.5</v>
      </c>
      <c r="F78" s="11"/>
      <c r="G78" s="257"/>
      <c r="J78" s="11"/>
      <c r="K78" s="257"/>
      <c r="N78" s="11"/>
      <c r="O78" s="11"/>
      <c r="R78" s="11"/>
      <c r="S78" s="11"/>
      <c r="V78" s="11"/>
      <c r="W78" s="257"/>
      <c r="X78" s="700"/>
      <c r="Y78" s="700"/>
      <c r="AA78" s="768"/>
    </row>
    <row r="79" spans="1:27">
      <c r="A79" s="256" t="s">
        <v>875</v>
      </c>
      <c r="B79" s="239" t="s">
        <v>156</v>
      </c>
      <c r="C79" s="24">
        <v>108.68</v>
      </c>
      <c r="D79" s="11">
        <v>9850</v>
      </c>
      <c r="E79" s="697">
        <f t="shared" si="2"/>
        <v>90.65</v>
      </c>
      <c r="F79" s="11">
        <f>1000*INDEX('Valuation &amp; SBG NAV'!$I$33:$BP$33, MATCH('SBG Discount to NAV Workings'!B79, 'Valuation &amp; SBG NAV'!$I$3:$BP$3, 0))</f>
        <v>25059.999999999996</v>
      </c>
      <c r="G79" s="257">
        <f>F79/C79</f>
        <v>230.58520426941476</v>
      </c>
      <c r="H79" s="21">
        <f>1-D79/F79</f>
        <v>0.60694333599361527</v>
      </c>
      <c r="I79" s="260">
        <f>1-E79/G79</f>
        <v>0.60686983240223458</v>
      </c>
      <c r="J79" s="11">
        <f>1000*INDEX('Valuation &amp; SBG NAV'!$I$34:$BP$34, MATCH('SBG Discount to NAV Workings'!B79, 'Valuation &amp; SBG NAV'!$I$3:$BP$3, 0))</f>
        <v>8020</v>
      </c>
      <c r="K79" s="257">
        <f>J79/C79</f>
        <v>73.794626426205369</v>
      </c>
      <c r="L79" s="21">
        <f>J79/D79</f>
        <v>0.81421319796954317</v>
      </c>
      <c r="M79" s="260">
        <f>K79/E79</f>
        <v>0.81406096443690423</v>
      </c>
      <c r="N79" s="11">
        <f>D79-J79</f>
        <v>1830</v>
      </c>
      <c r="O79" s="257">
        <f>E79-K79</f>
        <v>16.855373573794637</v>
      </c>
      <c r="P79" s="21">
        <f>N79/D79</f>
        <v>0.18578680203045686</v>
      </c>
      <c r="Q79" s="260">
        <f>O79/E79</f>
        <v>0.18593903556309582</v>
      </c>
      <c r="R79" s="11">
        <f>F79-J79</f>
        <v>17039.999999999996</v>
      </c>
      <c r="S79" s="257">
        <f>G79-K79</f>
        <v>156.79057784320941</v>
      </c>
      <c r="T79" s="21">
        <f>1-((D79-J79*(1-$T$2))/R79)</f>
        <v>0.89260563380281688</v>
      </c>
      <c r="U79" s="260">
        <f>1-((E79-K79*(1-$T$2))/S79)</f>
        <v>0.89249753521126751</v>
      </c>
      <c r="V79" s="11">
        <f>1000*INDEX('Valuation &amp; SBG NAV'!$I$20:$BP$20, MATCH('SBG Discount to NAV Workings'!B79, 'Valuation &amp; SBG NAV'!$I$3:$BP$3, 0))</f>
        <v>2700</v>
      </c>
      <c r="W79" s="257">
        <f>V79/C79</f>
        <v>24.843577475156422</v>
      </c>
      <c r="X79" s="700"/>
      <c r="Y79" s="700"/>
      <c r="AA79" s="768"/>
    </row>
    <row r="80" spans="1:27">
      <c r="A80" s="256" t="s">
        <v>817</v>
      </c>
      <c r="C80" s="24">
        <v>109.449997</v>
      </c>
      <c r="D80" s="11">
        <v>8810</v>
      </c>
      <c r="E80" s="697">
        <f t="shared" si="2"/>
        <v>80.5</v>
      </c>
      <c r="F80" s="11"/>
      <c r="G80" s="257"/>
      <c r="J80" s="11"/>
      <c r="K80" s="257"/>
      <c r="N80" s="11"/>
      <c r="O80" s="11"/>
      <c r="R80" s="11"/>
      <c r="S80" s="11"/>
      <c r="V80" s="11"/>
      <c r="W80" s="257"/>
      <c r="X80" s="700"/>
      <c r="Y80" s="700"/>
      <c r="AA80" s="768"/>
    </row>
    <row r="81" spans="1:27">
      <c r="A81" s="256" t="s">
        <v>818</v>
      </c>
      <c r="C81" s="24">
        <v>108.016998</v>
      </c>
      <c r="D81" s="11">
        <v>8675</v>
      </c>
      <c r="E81" s="697">
        <f t="shared" si="2"/>
        <v>80.300000000000011</v>
      </c>
      <c r="F81" s="11"/>
      <c r="G81" s="257"/>
      <c r="J81" s="11"/>
      <c r="K81" s="257"/>
      <c r="N81" s="11"/>
      <c r="O81" s="11"/>
      <c r="R81" s="11"/>
      <c r="S81" s="11"/>
      <c r="V81" s="11"/>
      <c r="W81" s="257"/>
      <c r="X81" s="700"/>
      <c r="Y81" s="700"/>
      <c r="AA81" s="768"/>
    </row>
    <row r="82" spans="1:27">
      <c r="A82" s="256" t="s">
        <v>819</v>
      </c>
      <c r="B82" s="239" t="s">
        <v>155</v>
      </c>
      <c r="C82" s="24">
        <v>108.057999</v>
      </c>
      <c r="D82" s="11">
        <v>8780</v>
      </c>
      <c r="E82" s="697">
        <f t="shared" si="2"/>
        <v>81.25</v>
      </c>
      <c r="F82" s="11">
        <f>1000*INDEX('Valuation &amp; SBG NAV'!$I$33:$BP$33, MATCH('SBG Discount to NAV Workings'!B82, 'Valuation &amp; SBG NAV'!$I$3:$BP$3, 0))</f>
        <v>22400</v>
      </c>
      <c r="G82" s="257">
        <f>F82/C82</f>
        <v>207.29608365226161</v>
      </c>
      <c r="H82" s="21">
        <f>1-D82/F82</f>
        <v>0.60803571428571423</v>
      </c>
      <c r="I82" s="260">
        <f>1-E82/G82</f>
        <v>0.60804855273437508</v>
      </c>
      <c r="J82" s="11">
        <f>1000*INDEX('Valuation &amp; SBG NAV'!$I$34:$BP$34, MATCH('SBG Discount to NAV Workings'!B82, 'Valuation &amp; SBG NAV'!$I$3:$BP$3, 0))</f>
        <v>7920</v>
      </c>
      <c r="K82" s="257">
        <f>J82/C82</f>
        <v>73.293972434192497</v>
      </c>
      <c r="L82" s="21">
        <f>J82/D82</f>
        <v>0.90205011389521639</v>
      </c>
      <c r="M82" s="260">
        <f>K82/E82</f>
        <v>0.90207966072852308</v>
      </c>
      <c r="N82" s="11">
        <f>D82-J82</f>
        <v>860</v>
      </c>
      <c r="O82" s="257">
        <f>E82-K82</f>
        <v>7.9560275658075028</v>
      </c>
      <c r="P82" s="21">
        <f>N82/D82</f>
        <v>9.7949886104783598E-2</v>
      </c>
      <c r="Q82" s="260">
        <f>O82/E82</f>
        <v>9.7920339271476961E-2</v>
      </c>
      <c r="R82" s="11">
        <f>F82-J82</f>
        <v>14480</v>
      </c>
      <c r="S82" s="257">
        <f>G82-K82</f>
        <v>134.0021112180691</v>
      </c>
      <c r="T82" s="21">
        <f>1-((D82-J82*(1-$T$2))/R82)</f>
        <v>0.94060773480662985</v>
      </c>
      <c r="U82" s="260">
        <f>1-((E82-K82*(1-$T$2))/S82)</f>
        <v>0.94062759539019336</v>
      </c>
      <c r="V82" s="11">
        <f>1000*INDEX('Valuation &amp; SBG NAV'!$I$20:$BP$20, MATCH('SBG Discount to NAV Workings'!B82, 'Valuation &amp; SBG NAV'!$I$3:$BP$3, 0))</f>
        <v>2680</v>
      </c>
      <c r="W82" s="257">
        <f>V82/C82</f>
        <v>24.801495722681299</v>
      </c>
      <c r="X82" s="700"/>
      <c r="Y82" s="700"/>
      <c r="AA82" s="768"/>
    </row>
    <row r="83" spans="1:27">
      <c r="A83" s="256" t="s">
        <v>820</v>
      </c>
      <c r="C83" s="24">
        <v>106.466003</v>
      </c>
      <c r="D83" s="11">
        <v>9990</v>
      </c>
      <c r="E83" s="697">
        <f t="shared" si="2"/>
        <v>93.850000000000009</v>
      </c>
      <c r="F83" s="11"/>
      <c r="G83" s="257"/>
      <c r="J83" s="11"/>
      <c r="K83" s="257"/>
      <c r="N83" s="11"/>
      <c r="O83" s="11"/>
      <c r="R83" s="11"/>
      <c r="S83" s="11"/>
      <c r="V83" s="11"/>
      <c r="W83" s="257"/>
      <c r="X83" s="700"/>
      <c r="Y83" s="700"/>
      <c r="AA83" s="768"/>
    </row>
    <row r="84" spans="1:27">
      <c r="A84" s="256" t="s">
        <v>821</v>
      </c>
      <c r="C84" s="24">
        <v>108.81500200000001</v>
      </c>
      <c r="D84" s="11">
        <v>11020</v>
      </c>
      <c r="E84" s="697">
        <f t="shared" si="2"/>
        <v>101.25</v>
      </c>
      <c r="F84" s="11"/>
      <c r="G84" s="257"/>
      <c r="J84" s="11"/>
      <c r="K84" s="257"/>
      <c r="N84" s="11"/>
      <c r="O84" s="11"/>
      <c r="R84" s="11"/>
      <c r="S84" s="11"/>
      <c r="V84" s="11"/>
      <c r="W84" s="257"/>
      <c r="X84" s="700"/>
      <c r="Y84" s="700"/>
      <c r="AA84" s="768"/>
    </row>
    <row r="85" spans="1:27">
      <c r="A85" s="256" t="s">
        <v>822</v>
      </c>
      <c r="B85" s="239" t="s">
        <v>154</v>
      </c>
      <c r="C85" s="24">
        <v>108.366997</v>
      </c>
      <c r="D85" s="11">
        <v>10115</v>
      </c>
      <c r="E85" s="697">
        <f t="shared" si="2"/>
        <v>93.350000000000009</v>
      </c>
      <c r="F85" s="11">
        <f>1000*INDEX('Valuation &amp; SBG NAV'!$I$33:$BP$33, MATCH('SBG Discount to NAV Workings'!B85, 'Valuation &amp; SBG NAV'!$I$3:$BP$3, 0))</f>
        <v>20950.000000000004</v>
      </c>
      <c r="G85" s="257">
        <f>F85/C85</f>
        <v>193.32454141919246</v>
      </c>
      <c r="H85" s="21">
        <f>1-D85/F85</f>
        <v>0.51718377088305489</v>
      </c>
      <c r="I85" s="260">
        <f>1-E85/G85</f>
        <v>0.51713321384486877</v>
      </c>
      <c r="J85" s="11">
        <f>1000*INDEX('Valuation &amp; SBG NAV'!$I$34:$BP$34, MATCH('SBG Discount to NAV Workings'!B85, 'Valuation &amp; SBG NAV'!$I$3:$BP$3, 0))</f>
        <v>7600</v>
      </c>
      <c r="K85" s="257">
        <f>J85/C85</f>
        <v>70.132053211735681</v>
      </c>
      <c r="L85" s="21">
        <f>J85/D85</f>
        <v>0.75135936727632224</v>
      </c>
      <c r="M85" s="260">
        <f>K85/E85</f>
        <v>0.75128069857242286</v>
      </c>
      <c r="N85" s="11">
        <f>D85-J85</f>
        <v>2515</v>
      </c>
      <c r="O85" s="257">
        <f>E85-K85</f>
        <v>23.217946788264328</v>
      </c>
      <c r="P85" s="21">
        <f>N85/D85</f>
        <v>0.2486406327236777</v>
      </c>
      <c r="Q85" s="260">
        <f>O85/E85</f>
        <v>0.24871930142757714</v>
      </c>
      <c r="R85" s="11">
        <f>F85-J85</f>
        <v>13350.000000000004</v>
      </c>
      <c r="S85" s="257">
        <f>G85-K85</f>
        <v>123.19248820745678</v>
      </c>
      <c r="T85" s="21">
        <f>1-((D85-J85*(1-$T$2))/R85)</f>
        <v>0.81161048689138582</v>
      </c>
      <c r="U85" s="260">
        <f>1-((E85-K85*(1-$T$2))/S85)</f>
        <v>0.81153114831835205</v>
      </c>
      <c r="V85" s="11">
        <f>1000*INDEX('Valuation &amp; SBG NAV'!$I$20:$BP$20, MATCH('SBG Discount to NAV Workings'!B85, 'Valuation &amp; SBG NAV'!$I$3:$BP$3, 0))</f>
        <v>2620</v>
      </c>
      <c r="W85" s="257">
        <f>V85/C85</f>
        <v>24.177102554572034</v>
      </c>
      <c r="X85" s="700"/>
      <c r="Y85" s="700"/>
      <c r="AA85" s="768"/>
    </row>
    <row r="86" spans="1:27">
      <c r="A86" s="256" t="s">
        <v>823</v>
      </c>
      <c r="C86" s="24">
        <v>109.300003</v>
      </c>
      <c r="D86" s="11">
        <v>10605</v>
      </c>
      <c r="E86" s="697">
        <f t="shared" si="2"/>
        <v>97.050000000000011</v>
      </c>
      <c r="F86" s="11"/>
      <c r="G86" s="257"/>
      <c r="J86" s="11"/>
      <c r="K86" s="257"/>
      <c r="N86" s="11"/>
      <c r="O86" s="11"/>
      <c r="R86" s="11"/>
      <c r="S86" s="11"/>
      <c r="V86" s="11"/>
      <c r="W86" s="257"/>
      <c r="X86" s="700"/>
      <c r="Y86" s="700"/>
      <c r="AA86" s="768"/>
    </row>
    <row r="87" spans="1:27">
      <c r="A87" s="256" t="s">
        <v>876</v>
      </c>
      <c r="C87" s="24">
        <v>111.403999</v>
      </c>
      <c r="D87" s="11">
        <v>12175</v>
      </c>
      <c r="E87" s="697">
        <f t="shared" ref="E87:E147" si="3">MROUND(D87/C87, 0.05)</f>
        <v>109.30000000000001</v>
      </c>
      <c r="F87" s="11"/>
      <c r="G87" s="257"/>
      <c r="J87" s="11"/>
      <c r="K87" s="257"/>
      <c r="N87" s="11"/>
      <c r="O87" s="11"/>
      <c r="R87" s="11"/>
      <c r="S87" s="11"/>
      <c r="V87" s="11"/>
      <c r="W87" s="257"/>
      <c r="X87" s="700"/>
      <c r="Y87" s="700"/>
      <c r="AA87" s="768"/>
    </row>
    <row r="88" spans="1:27">
      <c r="A88" s="256" t="s">
        <v>825</v>
      </c>
      <c r="B88" s="239" t="s">
        <v>166</v>
      </c>
      <c r="C88" s="24">
        <v>110.99299600000001</v>
      </c>
      <c r="D88" s="11">
        <v>11430</v>
      </c>
      <c r="E88" s="697">
        <f t="shared" si="3"/>
        <v>103</v>
      </c>
      <c r="F88" s="11">
        <f>1000*INDEX('Valuation &amp; SBG NAV'!$I$33:$BP$33, MATCH('SBG Discount to NAV Workings'!B88, 'Valuation &amp; SBG NAV'!$I$3:$BP$3, 0))</f>
        <v>22849.999999999996</v>
      </c>
      <c r="G88" s="257">
        <f>F88/C88</f>
        <v>205.86884599457065</v>
      </c>
      <c r="H88" s="21">
        <f>1-D88/F88</f>
        <v>0.49978118161925589</v>
      </c>
      <c r="I88" s="260">
        <f>1-E88/G88</f>
        <v>0.49968146223194743</v>
      </c>
      <c r="J88" s="11">
        <f>1000*INDEX('Valuation &amp; SBG NAV'!$I$34:$BP$34, MATCH('SBG Discount to NAV Workings'!B88, 'Valuation &amp; SBG NAV'!$I$3:$BP$3, 0))</f>
        <v>7900</v>
      </c>
      <c r="K88" s="257">
        <f>J88/C88</f>
        <v>71.175662291339535</v>
      </c>
      <c r="L88" s="21">
        <f>J88/D88</f>
        <v>0.69116360454943138</v>
      </c>
      <c r="M88" s="260">
        <f>K88/E88</f>
        <v>0.6910258474887333</v>
      </c>
      <c r="N88" s="11">
        <f>D88-J88</f>
        <v>3530</v>
      </c>
      <c r="O88" s="257">
        <f>E88-K88</f>
        <v>31.824337708660465</v>
      </c>
      <c r="P88" s="21">
        <f>N88/D88</f>
        <v>0.30883639545056868</v>
      </c>
      <c r="Q88" s="260">
        <f>O88/E88</f>
        <v>0.30897415251126664</v>
      </c>
      <c r="R88" s="11">
        <f>F88-J88</f>
        <v>14949.999999999996</v>
      </c>
      <c r="S88" s="257">
        <f>G88-K88</f>
        <v>134.69318370323111</v>
      </c>
      <c r="T88" s="21">
        <f>1-((D88-J88*(1-$T$2))/R88)</f>
        <v>0.76387959866220734</v>
      </c>
      <c r="U88" s="260">
        <f>1-((E88-K88*(1-$T$2))/S88)</f>
        <v>0.76372718474916379</v>
      </c>
      <c r="V88" s="11">
        <f>1000*INDEX('Valuation &amp; SBG NAV'!$I$20:$BP$20, MATCH('SBG Discount to NAV Workings'!B88, 'Valuation &amp; SBG NAV'!$I$3:$BP$3, 0))</f>
        <v>2710</v>
      </c>
      <c r="W88" s="257">
        <f>V88/C88</f>
        <v>24.415955039181028</v>
      </c>
      <c r="X88" s="700"/>
      <c r="Y88" s="700"/>
      <c r="AA88" s="768"/>
    </row>
    <row r="89" spans="1:27">
      <c r="A89" s="256" t="s">
        <v>826</v>
      </c>
      <c r="B89" s="239"/>
      <c r="C89" s="24">
        <v>111.371002</v>
      </c>
      <c r="D89" s="11">
        <v>11210</v>
      </c>
      <c r="E89" s="697">
        <f t="shared" si="3"/>
        <v>100.65</v>
      </c>
      <c r="F89" s="11"/>
      <c r="G89" s="257"/>
      <c r="J89" s="11"/>
      <c r="K89" s="257"/>
      <c r="N89" s="11"/>
      <c r="O89" s="11"/>
      <c r="R89" s="11"/>
      <c r="S89" s="11"/>
      <c r="V89" s="11"/>
      <c r="W89" s="257"/>
      <c r="X89" s="700"/>
      <c r="Y89" s="700"/>
      <c r="AA89" s="768"/>
    </row>
    <row r="90" spans="1:27">
      <c r="A90" s="256" t="s">
        <v>827</v>
      </c>
      <c r="C90" s="24">
        <v>108.846001</v>
      </c>
      <c r="D90" s="11">
        <v>9295</v>
      </c>
      <c r="E90" s="697">
        <f t="shared" si="3"/>
        <v>85.4</v>
      </c>
      <c r="F90" s="11"/>
      <c r="G90" s="257"/>
      <c r="J90" s="11"/>
      <c r="K90" s="257"/>
      <c r="N90" s="11"/>
      <c r="O90" s="11"/>
      <c r="R90" s="11"/>
      <c r="S90" s="11"/>
      <c r="V90" s="11"/>
      <c r="W90" s="257"/>
      <c r="X90" s="700"/>
      <c r="Y90" s="700"/>
      <c r="AA90" s="768"/>
    </row>
    <row r="91" spans="1:27">
      <c r="A91" s="256" t="s">
        <v>877</v>
      </c>
      <c r="B91" s="239" t="s">
        <v>165</v>
      </c>
      <c r="C91" s="24">
        <v>109.629997</v>
      </c>
      <c r="D91" s="11">
        <v>7965</v>
      </c>
      <c r="E91" s="697">
        <f t="shared" si="3"/>
        <v>72.650000000000006</v>
      </c>
      <c r="F91" s="11">
        <f>1000*INDEX('Valuation &amp; SBG NAV'!$I$33:$BP$33, MATCH('SBG Discount to NAV Workings'!B91, 'Valuation &amp; SBG NAV'!$I$3:$BP$3, 0))</f>
        <v>21770</v>
      </c>
      <c r="G91" s="257">
        <f>F91/C91</f>
        <v>198.57703726836735</v>
      </c>
      <c r="H91" s="21">
        <f>1-D91/F91</f>
        <v>0.63412953605879652</v>
      </c>
      <c r="I91" s="260">
        <f>1-E91/G91</f>
        <v>0.63414702425126324</v>
      </c>
      <c r="J91" s="11">
        <f>1000*INDEX('Valuation &amp; SBG NAV'!$I$34:$BP$34, MATCH('SBG Discount to NAV Workings'!B91, 'Valuation &amp; SBG NAV'!$I$3:$BP$3, 0))</f>
        <v>7609.9999999999991</v>
      </c>
      <c r="K91" s="257">
        <f>J91/C91</f>
        <v>69.415307928905619</v>
      </c>
      <c r="L91" s="21">
        <f>J91/D91</f>
        <v>0.95543000627746377</v>
      </c>
      <c r="M91" s="260">
        <f>K91/E91</f>
        <v>0.95547567692918944</v>
      </c>
      <c r="N91" s="11">
        <f>D91-J91</f>
        <v>355.00000000000091</v>
      </c>
      <c r="O91" s="257">
        <f>E91-K91</f>
        <v>3.2346920710943863</v>
      </c>
      <c r="P91" s="21">
        <f>N91/D91</f>
        <v>4.4569993722536207E-2</v>
      </c>
      <c r="Q91" s="260">
        <f>O91/E91</f>
        <v>4.4524323070810543E-2</v>
      </c>
      <c r="R91" s="11">
        <f>F91-J91</f>
        <v>14160</v>
      </c>
      <c r="S91" s="257">
        <f>G91-K91</f>
        <v>129.16172933946171</v>
      </c>
      <c r="T91" s="21">
        <f>1-((D91-J91*(1-$T$2))/R91)</f>
        <v>0.97492937853107342</v>
      </c>
      <c r="U91" s="260">
        <f>1-((E91-K91*(1-$T$2))/S91)</f>
        <v>0.97495626539194902</v>
      </c>
      <c r="V91" s="11">
        <f>1000*INDEX('Valuation &amp; SBG NAV'!$I$20:$BP$20, MATCH('SBG Discount to NAV Workings'!B91, 'Valuation &amp; SBG NAV'!$I$3:$BP$3, 0))</f>
        <v>2700</v>
      </c>
      <c r="W91" s="257">
        <f>V91/C91</f>
        <v>24.628295848626173</v>
      </c>
      <c r="X91" s="700"/>
      <c r="Y91" s="700"/>
      <c r="AA91" s="768"/>
    </row>
    <row r="92" spans="1:27">
      <c r="A92" s="256" t="s">
        <v>829</v>
      </c>
      <c r="C92" s="24">
        <v>113.412003</v>
      </c>
      <c r="D92" s="11">
        <v>10385</v>
      </c>
      <c r="E92" s="697">
        <f t="shared" si="3"/>
        <v>91.550000000000011</v>
      </c>
      <c r="F92" s="11"/>
      <c r="G92" s="257"/>
      <c r="J92" s="11"/>
      <c r="K92" s="257"/>
      <c r="N92" s="11"/>
      <c r="O92" s="11"/>
      <c r="R92" s="11"/>
      <c r="S92" s="11"/>
      <c r="V92" s="11"/>
      <c r="W92" s="257"/>
    </row>
    <row r="93" spans="1:27">
      <c r="A93" s="256" t="s">
        <v>830</v>
      </c>
      <c r="C93" s="24">
        <v>112.846001</v>
      </c>
      <c r="D93" s="11">
        <v>9860</v>
      </c>
      <c r="E93" s="697">
        <f t="shared" si="3"/>
        <v>87.4</v>
      </c>
      <c r="F93" s="11"/>
      <c r="G93" s="257"/>
      <c r="J93" s="11"/>
      <c r="K93" s="257"/>
      <c r="N93" s="11"/>
      <c r="O93" s="11"/>
      <c r="R93" s="11"/>
      <c r="S93" s="11"/>
      <c r="V93" s="11"/>
      <c r="W93" s="257"/>
    </row>
    <row r="94" spans="1:27">
      <c r="A94" s="256" t="s">
        <v>831</v>
      </c>
      <c r="B94" s="239" t="s">
        <v>164</v>
      </c>
      <c r="C94" s="24">
        <v>113.783997</v>
      </c>
      <c r="D94" s="11">
        <v>12495</v>
      </c>
      <c r="E94" s="697">
        <f t="shared" si="3"/>
        <v>109.80000000000001</v>
      </c>
      <c r="F94" s="11"/>
      <c r="G94" s="257"/>
      <c r="J94" s="11"/>
      <c r="K94" s="257"/>
      <c r="N94" s="11"/>
      <c r="O94" s="11"/>
      <c r="R94" s="11"/>
      <c r="S94" s="11"/>
      <c r="V94" s="11"/>
      <c r="W94" s="257"/>
    </row>
    <row r="95" spans="1:27">
      <c r="A95" s="256" t="s">
        <v>832</v>
      </c>
      <c r="C95" s="24">
        <v>110.998001</v>
      </c>
      <c r="D95" s="11">
        <v>11220</v>
      </c>
      <c r="E95" s="697">
        <f t="shared" si="3"/>
        <v>101.10000000000001</v>
      </c>
      <c r="F95" s="11"/>
      <c r="G95" s="257"/>
      <c r="J95" s="11"/>
      <c r="K95" s="257"/>
      <c r="N95" s="11"/>
      <c r="O95" s="11"/>
      <c r="R95" s="11"/>
      <c r="S95" s="11"/>
      <c r="V95" s="11"/>
      <c r="W95" s="257"/>
    </row>
    <row r="96" spans="1:27">
      <c r="A96" s="256" t="s">
        <v>833</v>
      </c>
      <c r="C96" s="24">
        <v>111.79499800000001</v>
      </c>
      <c r="D96" s="11">
        <v>10090</v>
      </c>
      <c r="E96" s="697">
        <f t="shared" si="3"/>
        <v>90.25</v>
      </c>
      <c r="F96" s="11"/>
      <c r="G96" s="257"/>
      <c r="J96" s="11"/>
      <c r="K96" s="257"/>
      <c r="N96" s="11"/>
      <c r="O96" s="11"/>
      <c r="R96" s="11"/>
      <c r="S96" s="11"/>
      <c r="V96" s="11"/>
      <c r="W96" s="257"/>
    </row>
    <row r="97" spans="1:23">
      <c r="A97" s="256" t="s">
        <v>834</v>
      </c>
      <c r="B97" s="239" t="s">
        <v>163</v>
      </c>
      <c r="C97" s="24">
        <v>110.73699999999999</v>
      </c>
      <c r="D97" s="11">
        <v>8685</v>
      </c>
      <c r="E97" s="697">
        <f t="shared" si="3"/>
        <v>78.45</v>
      </c>
      <c r="F97" s="11"/>
      <c r="G97" s="257"/>
      <c r="J97" s="11"/>
      <c r="K97" s="257"/>
      <c r="N97" s="11"/>
      <c r="O97" s="11"/>
      <c r="R97" s="11"/>
      <c r="S97" s="11"/>
      <c r="V97" s="11"/>
      <c r="W97" s="257"/>
    </row>
    <row r="98" spans="1:23">
      <c r="A98" s="256" t="s">
        <v>835</v>
      </c>
      <c r="C98" s="24">
        <v>108.764999</v>
      </c>
      <c r="D98" s="11">
        <v>8460</v>
      </c>
      <c r="E98" s="697">
        <f t="shared" si="3"/>
        <v>77.800000000000011</v>
      </c>
      <c r="F98" s="11"/>
      <c r="G98" s="257"/>
      <c r="J98" s="11"/>
      <c r="K98" s="257"/>
      <c r="N98" s="11"/>
      <c r="O98" s="11"/>
      <c r="R98" s="11"/>
      <c r="S98" s="11"/>
      <c r="V98" s="11"/>
      <c r="W98" s="257"/>
    </row>
    <row r="99" spans="1:23">
      <c r="A99" s="256" t="s">
        <v>878</v>
      </c>
      <c r="C99" s="24">
        <v>109.306</v>
      </c>
      <c r="D99" s="11">
        <v>9260</v>
      </c>
      <c r="E99" s="697">
        <f t="shared" si="3"/>
        <v>84.7</v>
      </c>
      <c r="F99" s="11"/>
      <c r="G99" s="257"/>
      <c r="J99" s="11"/>
      <c r="K99" s="257"/>
      <c r="N99" s="11"/>
      <c r="O99" s="11"/>
      <c r="R99" s="11"/>
      <c r="S99" s="11"/>
      <c r="V99" s="11"/>
      <c r="W99" s="257"/>
    </row>
    <row r="100" spans="1:23">
      <c r="A100" s="256" t="s">
        <v>837</v>
      </c>
      <c r="B100" s="239" t="s">
        <v>197</v>
      </c>
      <c r="C100" s="24">
        <v>106.269997</v>
      </c>
      <c r="D100" s="11">
        <v>8660</v>
      </c>
      <c r="E100" s="697">
        <f t="shared" si="3"/>
        <v>81.5</v>
      </c>
      <c r="F100" s="11"/>
      <c r="G100" s="257"/>
      <c r="J100" s="11"/>
      <c r="K100" s="257"/>
      <c r="N100" s="11"/>
      <c r="O100" s="11"/>
      <c r="R100" s="11"/>
      <c r="S100" s="11"/>
      <c r="V100" s="11"/>
      <c r="W100" s="257"/>
    </row>
    <row r="101" spans="1:23">
      <c r="A101" s="256" t="s">
        <v>838</v>
      </c>
      <c r="B101" s="239"/>
      <c r="C101" s="24">
        <v>106.64299800000001</v>
      </c>
      <c r="D101" s="11">
        <v>9690</v>
      </c>
      <c r="E101" s="697">
        <f t="shared" si="3"/>
        <v>90.850000000000009</v>
      </c>
      <c r="F101" s="11"/>
      <c r="G101" s="257"/>
      <c r="J101" s="11"/>
      <c r="K101" s="257"/>
      <c r="N101" s="11"/>
      <c r="O101" s="11"/>
      <c r="R101" s="11"/>
      <c r="S101" s="11"/>
      <c r="V101" s="11"/>
      <c r="W101" s="257"/>
    </row>
    <row r="102" spans="1:23">
      <c r="A102" s="256" t="s">
        <v>839</v>
      </c>
      <c r="C102" s="24">
        <v>109.179001</v>
      </c>
      <c r="D102" s="11">
        <v>9785</v>
      </c>
      <c r="E102" s="697">
        <f t="shared" si="3"/>
        <v>89.600000000000009</v>
      </c>
      <c r="F102" s="11"/>
      <c r="G102" s="257"/>
      <c r="J102" s="11"/>
      <c r="K102" s="257"/>
      <c r="N102" s="11"/>
      <c r="O102" s="11"/>
      <c r="R102" s="11"/>
      <c r="S102" s="11"/>
      <c r="V102" s="11"/>
      <c r="W102" s="257"/>
    </row>
    <row r="103" spans="1:23">
      <c r="A103" s="256" t="s">
        <v>840</v>
      </c>
      <c r="B103" s="239" t="s">
        <v>196</v>
      </c>
      <c r="C103" s="24">
        <v>112.68</v>
      </c>
      <c r="D103" s="11">
        <v>9720</v>
      </c>
      <c r="E103" s="697">
        <f t="shared" si="3"/>
        <v>86.25</v>
      </c>
      <c r="F103" s="11"/>
      <c r="G103" s="257"/>
      <c r="J103" s="11"/>
      <c r="K103" s="257"/>
      <c r="N103" s="11"/>
      <c r="O103" s="11"/>
      <c r="R103" s="11"/>
      <c r="S103" s="11"/>
      <c r="V103" s="11"/>
      <c r="W103" s="257"/>
    </row>
    <row r="104" spans="1:23">
      <c r="A104" s="256" t="s">
        <v>841</v>
      </c>
      <c r="C104" s="24">
        <v>112.55500000000001</v>
      </c>
      <c r="D104" s="11">
        <v>10335</v>
      </c>
      <c r="E104" s="697">
        <f t="shared" si="3"/>
        <v>91.800000000000011</v>
      </c>
      <c r="F104" s="11"/>
      <c r="G104" s="257"/>
      <c r="J104" s="11"/>
      <c r="K104" s="257"/>
      <c r="N104" s="11"/>
      <c r="O104" s="11"/>
      <c r="R104" s="11"/>
      <c r="S104" s="11"/>
      <c r="V104" s="11"/>
      <c r="W104" s="257"/>
    </row>
    <row r="105" spans="1:23">
      <c r="A105" s="256" t="s">
        <v>842</v>
      </c>
      <c r="C105" s="24">
        <v>113.643997</v>
      </c>
      <c r="D105" s="11">
        <v>10835</v>
      </c>
      <c r="E105" s="697">
        <f t="shared" si="3"/>
        <v>95.350000000000009</v>
      </c>
      <c r="F105" s="11"/>
      <c r="G105" s="257"/>
      <c r="J105" s="11"/>
      <c r="K105" s="257"/>
      <c r="N105" s="11"/>
      <c r="O105" s="11"/>
      <c r="R105" s="11"/>
      <c r="S105" s="11"/>
      <c r="V105" s="11"/>
      <c r="W105" s="257"/>
    </row>
    <row r="106" spans="1:23">
      <c r="A106" s="256" t="s">
        <v>843</v>
      </c>
      <c r="B106" s="239" t="s">
        <v>195</v>
      </c>
      <c r="C106" s="24">
        <v>112.459</v>
      </c>
      <c r="D106" s="11">
        <v>9895</v>
      </c>
      <c r="E106" s="697">
        <f t="shared" si="3"/>
        <v>88</v>
      </c>
      <c r="F106" s="11"/>
      <c r="G106" s="257"/>
      <c r="J106" s="11"/>
      <c r="K106" s="257"/>
      <c r="N106" s="11"/>
      <c r="O106" s="11"/>
      <c r="R106" s="11"/>
      <c r="S106" s="11"/>
      <c r="V106" s="11"/>
      <c r="W106" s="257"/>
    </row>
    <row r="107" spans="1:23">
      <c r="A107" s="256" t="s">
        <v>844</v>
      </c>
      <c r="C107" s="24">
        <v>110.116997</v>
      </c>
      <c r="D107" s="11">
        <v>9720</v>
      </c>
      <c r="E107" s="697">
        <f t="shared" si="3"/>
        <v>88.25</v>
      </c>
      <c r="F107" s="11"/>
      <c r="G107" s="257"/>
      <c r="J107" s="11"/>
      <c r="K107" s="257"/>
      <c r="N107" s="11"/>
      <c r="O107" s="11"/>
      <c r="R107" s="11"/>
      <c r="S107" s="11"/>
      <c r="V107" s="11"/>
      <c r="W107" s="257"/>
    </row>
    <row r="108" spans="1:23">
      <c r="A108" s="256" t="s">
        <v>845</v>
      </c>
      <c r="C108" s="24">
        <v>110.351997</v>
      </c>
      <c r="D108" s="11">
        <v>9760</v>
      </c>
      <c r="E108" s="697">
        <f t="shared" si="3"/>
        <v>88.45</v>
      </c>
      <c r="F108" s="11"/>
      <c r="G108" s="257"/>
      <c r="J108" s="11"/>
      <c r="K108" s="257"/>
      <c r="N108" s="11"/>
      <c r="O108" s="11"/>
      <c r="R108" s="11"/>
      <c r="S108" s="11"/>
      <c r="V108" s="11"/>
      <c r="W108" s="257"/>
    </row>
    <row r="109" spans="1:23">
      <c r="A109" s="256" t="s">
        <v>846</v>
      </c>
      <c r="B109" s="239" t="s">
        <v>194</v>
      </c>
      <c r="C109" s="24">
        <v>112.400002</v>
      </c>
      <c r="D109" s="11">
        <v>9910</v>
      </c>
      <c r="E109" s="697">
        <f t="shared" si="3"/>
        <v>88.15</v>
      </c>
      <c r="F109" s="11"/>
      <c r="G109" s="257"/>
      <c r="J109" s="11"/>
      <c r="K109" s="257"/>
      <c r="N109" s="11"/>
      <c r="O109" s="11"/>
      <c r="R109" s="11"/>
      <c r="S109" s="11"/>
      <c r="V109" s="11"/>
      <c r="W109" s="257"/>
    </row>
    <row r="110" spans="1:23">
      <c r="A110" s="256" t="s">
        <v>847</v>
      </c>
      <c r="C110" s="24">
        <v>110.768997</v>
      </c>
      <c r="D110" s="11">
        <v>9805</v>
      </c>
      <c r="E110" s="697">
        <f t="shared" si="3"/>
        <v>88.5</v>
      </c>
      <c r="F110" s="11"/>
      <c r="G110" s="257"/>
      <c r="J110" s="11"/>
      <c r="K110" s="257"/>
      <c r="N110" s="11"/>
      <c r="O110" s="11"/>
      <c r="R110" s="11"/>
      <c r="S110" s="11"/>
      <c r="V110" s="11"/>
      <c r="W110" s="257"/>
    </row>
    <row r="111" spans="1:23">
      <c r="A111" s="256" t="s">
        <v>848</v>
      </c>
      <c r="C111" s="24">
        <v>111.30300099999999</v>
      </c>
      <c r="D111" s="11">
        <v>9195</v>
      </c>
      <c r="E111" s="697">
        <f t="shared" si="3"/>
        <v>82.600000000000009</v>
      </c>
      <c r="F111" s="11"/>
      <c r="G111" s="257"/>
      <c r="J111" s="11"/>
      <c r="K111" s="257"/>
      <c r="N111" s="11"/>
      <c r="O111" s="11"/>
      <c r="R111" s="11"/>
      <c r="S111" s="11"/>
      <c r="V111" s="11"/>
      <c r="W111" s="257"/>
    </row>
    <row r="112" spans="1:23">
      <c r="A112" s="256" t="s">
        <v>849</v>
      </c>
      <c r="B112" s="239" t="s">
        <v>857</v>
      </c>
      <c r="C112" s="24">
        <v>111.358574</v>
      </c>
      <c r="D112" s="11">
        <v>8560</v>
      </c>
      <c r="E112" s="697">
        <f t="shared" si="3"/>
        <v>76.850000000000009</v>
      </c>
      <c r="F112" s="11"/>
      <c r="G112" s="257"/>
      <c r="J112" s="11"/>
      <c r="K112" s="257"/>
      <c r="N112" s="11"/>
      <c r="O112" s="11"/>
      <c r="R112" s="11"/>
      <c r="S112" s="11"/>
      <c r="V112" s="11"/>
      <c r="W112" s="257"/>
    </row>
    <row r="113" spans="1:23">
      <c r="A113" s="256" t="s">
        <v>850</v>
      </c>
      <c r="B113" s="239"/>
      <c r="C113" s="24">
        <v>113.033997</v>
      </c>
      <c r="D113" s="11">
        <v>9105</v>
      </c>
      <c r="E113" s="697">
        <f t="shared" si="3"/>
        <v>80.550000000000011</v>
      </c>
      <c r="F113" s="11"/>
      <c r="G113" s="257"/>
      <c r="J113" s="11"/>
      <c r="K113" s="257"/>
      <c r="N113" s="11"/>
      <c r="O113" s="11"/>
      <c r="R113" s="11"/>
      <c r="S113" s="11"/>
      <c r="V113" s="11"/>
      <c r="W113" s="257"/>
    </row>
    <row r="114" spans="1:23">
      <c r="A114" s="256" t="s">
        <v>851</v>
      </c>
      <c r="C114" s="24">
        <v>112.76799800000001</v>
      </c>
      <c r="D114" s="11">
        <v>8605</v>
      </c>
      <c r="E114" s="697">
        <f t="shared" si="3"/>
        <v>76.3</v>
      </c>
      <c r="F114" s="11"/>
      <c r="G114" s="257"/>
      <c r="J114" s="11"/>
      <c r="K114" s="257"/>
      <c r="N114" s="11"/>
      <c r="O114" s="11"/>
      <c r="R114" s="11"/>
      <c r="S114" s="11"/>
      <c r="V114" s="11"/>
      <c r="W114" s="257"/>
    </row>
    <row r="115" spans="1:23">
      <c r="A115" s="256" t="s">
        <v>852</v>
      </c>
      <c r="B115" s="239" t="s">
        <v>858</v>
      </c>
      <c r="C115" s="24">
        <v>116.889999</v>
      </c>
      <c r="D115" s="11">
        <v>7680</v>
      </c>
      <c r="E115" s="697">
        <f t="shared" si="3"/>
        <v>65.7</v>
      </c>
      <c r="F115" s="11"/>
      <c r="G115" s="257"/>
      <c r="J115" s="11"/>
      <c r="K115" s="257"/>
      <c r="N115" s="11"/>
      <c r="O115" s="11"/>
      <c r="R115" s="11"/>
      <c r="S115" s="11"/>
      <c r="V115" s="11"/>
      <c r="W115" s="257"/>
    </row>
    <row r="116" spans="1:23">
      <c r="A116" s="256" t="s">
        <v>879</v>
      </c>
      <c r="C116" s="24">
        <v>114.670998</v>
      </c>
      <c r="D116" s="11">
        <v>6640</v>
      </c>
      <c r="E116" s="697">
        <f t="shared" si="3"/>
        <v>57.900000000000006</v>
      </c>
      <c r="F116" s="11"/>
      <c r="G116" s="257"/>
      <c r="J116" s="11"/>
      <c r="K116" s="257"/>
      <c r="N116" s="11"/>
      <c r="O116" s="11"/>
      <c r="R116" s="11"/>
      <c r="S116" s="11"/>
      <c r="V116" s="11"/>
      <c r="W116" s="257"/>
    </row>
    <row r="117" spans="1:23">
      <c r="A117" s="256" t="s">
        <v>880</v>
      </c>
      <c r="C117" s="24">
        <v>104.829002</v>
      </c>
      <c r="D117" s="11">
        <v>7190</v>
      </c>
      <c r="E117" s="697">
        <f t="shared" si="3"/>
        <v>68.600000000000009</v>
      </c>
      <c r="F117" s="11"/>
      <c r="G117" s="257"/>
      <c r="J117" s="11"/>
      <c r="K117" s="257"/>
      <c r="N117" s="11"/>
      <c r="O117" s="11"/>
      <c r="R117" s="11"/>
      <c r="S117" s="11"/>
      <c r="V117" s="11"/>
      <c r="W117" s="257"/>
    </row>
    <row r="118" spans="1:23">
      <c r="A118" s="256" t="s">
        <v>881</v>
      </c>
      <c r="B118" s="239" t="s">
        <v>914</v>
      </c>
      <c r="C118" s="24">
        <v>101.33000199999999</v>
      </c>
      <c r="D118" s="11">
        <v>7220</v>
      </c>
      <c r="E118" s="697">
        <f t="shared" si="3"/>
        <v>71.25</v>
      </c>
      <c r="F118" s="11"/>
      <c r="G118" s="257"/>
      <c r="J118" s="11"/>
      <c r="K118" s="257"/>
      <c r="N118" s="11"/>
      <c r="O118" s="11"/>
      <c r="R118" s="11"/>
      <c r="S118" s="11"/>
      <c r="V118" s="11"/>
      <c r="W118" s="257"/>
    </row>
    <row r="119" spans="1:23">
      <c r="A119" s="256" t="s">
        <v>882</v>
      </c>
      <c r="C119" s="24">
        <v>103.306999</v>
      </c>
      <c r="D119" s="11">
        <v>7480</v>
      </c>
      <c r="E119" s="697">
        <f t="shared" si="3"/>
        <v>72.400000000000006</v>
      </c>
      <c r="F119" s="11"/>
      <c r="G119" s="257"/>
      <c r="J119" s="11"/>
      <c r="K119" s="257"/>
      <c r="N119" s="11"/>
      <c r="O119" s="11"/>
      <c r="R119" s="11"/>
      <c r="S119" s="11"/>
      <c r="V119" s="11"/>
      <c r="W119" s="257"/>
    </row>
    <row r="120" spans="1:23">
      <c r="A120" s="256" t="s">
        <v>883</v>
      </c>
      <c r="C120" s="24">
        <v>102.34699999999999</v>
      </c>
      <c r="D120" s="11">
        <v>6540</v>
      </c>
      <c r="E120" s="697">
        <f t="shared" si="3"/>
        <v>63.900000000000006</v>
      </c>
      <c r="F120" s="11"/>
      <c r="G120" s="257"/>
      <c r="J120" s="11"/>
      <c r="K120" s="257"/>
      <c r="N120" s="11"/>
      <c r="O120" s="11"/>
      <c r="R120" s="11"/>
      <c r="S120" s="11"/>
      <c r="V120" s="11"/>
      <c r="W120" s="257"/>
    </row>
    <row r="121" spans="1:23">
      <c r="A121" s="256" t="s">
        <v>884</v>
      </c>
      <c r="B121" s="239" t="s">
        <v>916</v>
      </c>
      <c r="C121" s="24">
        <v>103.05300099999999</v>
      </c>
      <c r="D121" s="11">
        <v>6555</v>
      </c>
      <c r="E121" s="697">
        <f t="shared" si="3"/>
        <v>63.6</v>
      </c>
      <c r="F121" s="11"/>
      <c r="G121" s="257"/>
      <c r="J121" s="11"/>
      <c r="K121" s="257"/>
      <c r="N121" s="11"/>
      <c r="O121" s="11"/>
      <c r="R121" s="11"/>
      <c r="S121" s="11"/>
      <c r="V121" s="11"/>
      <c r="W121" s="257"/>
    </row>
    <row r="122" spans="1:23">
      <c r="A122" s="256" t="s">
        <v>885</v>
      </c>
      <c r="C122" s="24">
        <v>110.650002</v>
      </c>
      <c r="D122" s="11">
        <v>7145</v>
      </c>
      <c r="E122" s="697">
        <f t="shared" si="3"/>
        <v>64.55</v>
      </c>
      <c r="F122" s="11"/>
      <c r="G122" s="257"/>
      <c r="J122" s="11"/>
      <c r="K122" s="257"/>
      <c r="N122" s="11"/>
      <c r="O122" s="11"/>
      <c r="R122" s="11"/>
      <c r="S122" s="11"/>
      <c r="V122" s="11"/>
      <c r="W122" s="257"/>
    </row>
    <row r="123" spans="1:23">
      <c r="A123" s="256" t="s">
        <v>886</v>
      </c>
      <c r="C123" s="24">
        <v>106.29499800000001</v>
      </c>
      <c r="D123" s="11">
        <v>6870</v>
      </c>
      <c r="E123" s="697">
        <f t="shared" si="3"/>
        <v>64.650000000000006</v>
      </c>
      <c r="F123" s="11"/>
      <c r="G123" s="257"/>
      <c r="J123" s="11"/>
      <c r="K123" s="257"/>
      <c r="N123" s="11"/>
      <c r="O123" s="11"/>
      <c r="R123" s="11"/>
      <c r="S123" s="11"/>
      <c r="V123" s="11"/>
      <c r="W123" s="257"/>
    </row>
    <row r="124" spans="1:23">
      <c r="A124" s="256" t="s">
        <v>887</v>
      </c>
      <c r="B124" s="239" t="s">
        <v>918</v>
      </c>
      <c r="C124" s="24">
        <v>112.480003</v>
      </c>
      <c r="D124" s="11">
        <v>6300</v>
      </c>
      <c r="E124" s="697">
        <f t="shared" si="3"/>
        <v>56</v>
      </c>
      <c r="F124" s="11"/>
      <c r="G124" s="257"/>
      <c r="J124" s="11"/>
      <c r="K124" s="257"/>
      <c r="N124" s="11"/>
      <c r="O124" s="11"/>
      <c r="R124" s="11"/>
      <c r="S124" s="11"/>
      <c r="V124" s="11"/>
      <c r="W124" s="257"/>
    </row>
    <row r="125" spans="1:23">
      <c r="A125" s="256" t="s">
        <v>888</v>
      </c>
      <c r="B125" s="239"/>
      <c r="C125" s="24">
        <v>112.420998</v>
      </c>
      <c r="D125" s="11">
        <v>6545</v>
      </c>
      <c r="E125" s="697">
        <f t="shared" si="3"/>
        <v>58.2</v>
      </c>
      <c r="F125" s="11"/>
      <c r="G125" s="257"/>
      <c r="J125" s="11"/>
      <c r="K125" s="257"/>
      <c r="N125" s="11"/>
      <c r="O125" s="11"/>
      <c r="R125" s="11"/>
      <c r="S125" s="11"/>
      <c r="V125" s="11"/>
      <c r="W125" s="257"/>
    </row>
    <row r="126" spans="1:23">
      <c r="A126" s="256" t="s">
        <v>889</v>
      </c>
      <c r="C126" s="24">
        <v>121.34200300000001</v>
      </c>
      <c r="D126" s="11">
        <v>6180</v>
      </c>
      <c r="E126" s="697">
        <f t="shared" si="3"/>
        <v>50.95</v>
      </c>
      <c r="F126" s="11"/>
      <c r="G126" s="257"/>
      <c r="J126" s="11"/>
      <c r="K126" s="257"/>
      <c r="N126" s="11"/>
      <c r="O126" s="11"/>
      <c r="R126" s="11"/>
      <c r="S126" s="11"/>
      <c r="V126" s="11"/>
      <c r="W126" s="257"/>
    </row>
    <row r="127" spans="1:23">
      <c r="A127" s="256" t="s">
        <v>890</v>
      </c>
      <c r="B127" s="239" t="s">
        <v>913</v>
      </c>
      <c r="C127" s="24">
        <v>120.28800200000001</v>
      </c>
      <c r="D127" s="11">
        <v>7205</v>
      </c>
      <c r="E127" s="697">
        <f t="shared" si="3"/>
        <v>59.900000000000006</v>
      </c>
      <c r="F127" s="11"/>
      <c r="G127" s="257"/>
      <c r="J127" s="11"/>
      <c r="K127" s="257"/>
      <c r="N127" s="11"/>
      <c r="O127" s="11"/>
      <c r="R127" s="11"/>
      <c r="S127" s="11"/>
      <c r="V127" s="11"/>
      <c r="W127" s="257"/>
    </row>
    <row r="128" spans="1:23">
      <c r="A128" s="256" t="s">
        <v>891</v>
      </c>
      <c r="C128" s="24">
        <v>123.199997</v>
      </c>
      <c r="D128" s="11">
        <v>7675</v>
      </c>
      <c r="E128" s="697">
        <f t="shared" si="3"/>
        <v>62.300000000000004</v>
      </c>
      <c r="F128" s="11"/>
      <c r="G128" s="257"/>
      <c r="J128" s="11"/>
      <c r="K128" s="257"/>
      <c r="N128" s="11"/>
      <c r="O128" s="11"/>
      <c r="R128" s="11"/>
      <c r="S128" s="11"/>
      <c r="V128" s="11"/>
      <c r="W128" s="257"/>
    </row>
    <row r="129" spans="1:23">
      <c r="A129" s="256" t="s">
        <v>892</v>
      </c>
      <c r="C129" s="24">
        <v>120.510002</v>
      </c>
      <c r="D129" s="11">
        <v>7975</v>
      </c>
      <c r="E129" s="697">
        <f t="shared" si="3"/>
        <v>66.2</v>
      </c>
      <c r="F129" s="11"/>
      <c r="G129" s="257"/>
      <c r="J129" s="11"/>
      <c r="K129" s="257"/>
      <c r="N129" s="11"/>
      <c r="O129" s="11"/>
      <c r="R129" s="11"/>
      <c r="S129" s="11"/>
      <c r="V129" s="11"/>
      <c r="W129" s="257"/>
    </row>
    <row r="130" spans="1:23">
      <c r="A130" s="256" t="s">
        <v>893</v>
      </c>
      <c r="B130" s="239" t="s">
        <v>915</v>
      </c>
      <c r="C130" s="24">
        <v>119.86900300000001</v>
      </c>
      <c r="D130" s="11">
        <v>6430</v>
      </c>
      <c r="E130" s="697">
        <f t="shared" si="3"/>
        <v>53.650000000000006</v>
      </c>
      <c r="F130" s="11"/>
      <c r="G130" s="257"/>
      <c r="J130" s="11"/>
      <c r="K130" s="257"/>
      <c r="N130" s="11"/>
      <c r="O130" s="11"/>
      <c r="R130" s="11"/>
      <c r="S130" s="11"/>
      <c r="V130" s="11"/>
      <c r="W130" s="257"/>
    </row>
    <row r="131" spans="1:23">
      <c r="A131" s="256" t="s">
        <v>894</v>
      </c>
      <c r="C131" s="24">
        <v>121.112999</v>
      </c>
      <c r="D131" s="11">
        <v>8290</v>
      </c>
      <c r="E131" s="697">
        <f t="shared" si="3"/>
        <v>68.45</v>
      </c>
      <c r="F131" s="11"/>
      <c r="G131" s="257"/>
      <c r="J131" s="11"/>
      <c r="K131" s="257"/>
      <c r="N131" s="11"/>
      <c r="O131" s="11"/>
      <c r="R131" s="11"/>
      <c r="S131" s="11"/>
      <c r="V131" s="11"/>
      <c r="W131" s="257"/>
    </row>
    <row r="132" spans="1:23">
      <c r="A132" s="256" t="s">
        <v>895</v>
      </c>
      <c r="C132" s="24">
        <v>124.042</v>
      </c>
      <c r="D132" s="11">
        <v>8185</v>
      </c>
      <c r="E132" s="697">
        <f t="shared" si="3"/>
        <v>66</v>
      </c>
      <c r="F132" s="11"/>
      <c r="G132" s="257"/>
      <c r="J132" s="11"/>
      <c r="K132" s="257"/>
      <c r="N132" s="11"/>
      <c r="O132" s="11"/>
      <c r="R132" s="11"/>
      <c r="S132" s="11"/>
      <c r="V132" s="11"/>
      <c r="W132" s="257"/>
    </row>
    <row r="133" spans="1:23">
      <c r="A133" s="256" t="s">
        <v>896</v>
      </c>
      <c r="B133" s="239" t="s">
        <v>917</v>
      </c>
      <c r="C133" s="24">
        <v>122.40799699999999</v>
      </c>
      <c r="D133" s="11">
        <v>8575</v>
      </c>
      <c r="E133" s="697">
        <f t="shared" si="3"/>
        <v>70.05</v>
      </c>
      <c r="F133" s="11"/>
      <c r="G133" s="257"/>
      <c r="J133" s="11"/>
      <c r="K133" s="257"/>
      <c r="N133" s="11"/>
      <c r="O133" s="11"/>
      <c r="R133" s="11"/>
      <c r="S133" s="11"/>
      <c r="V133" s="11"/>
      <c r="W133" s="257"/>
    </row>
    <row r="134" spans="1:23">
      <c r="A134" s="256" t="s">
        <v>897</v>
      </c>
      <c r="C134" s="24">
        <v>124.245003</v>
      </c>
      <c r="D134" s="11">
        <v>8855</v>
      </c>
      <c r="E134" s="697">
        <f t="shared" si="3"/>
        <v>71.25</v>
      </c>
      <c r="F134" s="11"/>
      <c r="G134" s="257"/>
      <c r="J134" s="11"/>
      <c r="K134" s="257"/>
      <c r="N134" s="11"/>
      <c r="O134" s="11"/>
      <c r="R134" s="11"/>
      <c r="S134" s="11"/>
      <c r="V134" s="11"/>
      <c r="W134" s="257"/>
    </row>
    <row r="135" spans="1:23">
      <c r="A135" s="256" t="s">
        <v>898</v>
      </c>
      <c r="C135" s="24">
        <v>119.491997</v>
      </c>
      <c r="D135" s="11">
        <v>8925</v>
      </c>
      <c r="E135" s="697">
        <f t="shared" si="3"/>
        <v>74.7</v>
      </c>
      <c r="F135" s="11"/>
      <c r="G135" s="257"/>
      <c r="J135" s="11"/>
      <c r="K135" s="257"/>
      <c r="N135" s="11"/>
      <c r="O135" s="11"/>
      <c r="R135" s="11"/>
      <c r="S135" s="11"/>
      <c r="V135" s="11"/>
      <c r="W135" s="257"/>
    </row>
    <row r="136" spans="1:23">
      <c r="A136" s="256" t="s">
        <v>899</v>
      </c>
      <c r="B136" s="239" t="s">
        <v>919</v>
      </c>
      <c r="C136" s="24">
        <v>119.952003</v>
      </c>
      <c r="D136" s="11">
        <v>8300</v>
      </c>
      <c r="E136" s="697">
        <f t="shared" si="3"/>
        <v>69.2</v>
      </c>
      <c r="F136" s="11"/>
      <c r="G136" s="257"/>
      <c r="J136" s="11"/>
      <c r="K136" s="257"/>
      <c r="N136" s="11"/>
      <c r="O136" s="11"/>
      <c r="R136" s="11"/>
      <c r="S136" s="11"/>
      <c r="V136" s="11"/>
      <c r="W136" s="257"/>
    </row>
    <row r="137" spans="1:23">
      <c r="A137" s="256" t="s">
        <v>900</v>
      </c>
      <c r="B137" s="239"/>
      <c r="C137" s="24">
        <v>119.68</v>
      </c>
      <c r="D137" s="11">
        <v>8760</v>
      </c>
      <c r="E137" s="697">
        <f t="shared" si="3"/>
        <v>73.2</v>
      </c>
      <c r="F137" s="11"/>
      <c r="G137" s="257"/>
      <c r="J137" s="11"/>
      <c r="K137" s="257"/>
      <c r="N137" s="11"/>
      <c r="O137" s="11"/>
      <c r="R137" s="11"/>
      <c r="S137" s="11"/>
      <c r="V137" s="11"/>
      <c r="W137" s="257"/>
    </row>
    <row r="138" spans="1:23">
      <c r="A138" s="256" t="s">
        <v>901</v>
      </c>
      <c r="C138" s="24">
        <v>116.903999</v>
      </c>
      <c r="D138" s="11">
        <v>8280</v>
      </c>
      <c r="E138" s="697">
        <f t="shared" si="3"/>
        <v>70.850000000000009</v>
      </c>
      <c r="F138" s="11"/>
      <c r="G138" s="257"/>
      <c r="J138" s="11"/>
      <c r="K138" s="257"/>
      <c r="N138" s="11"/>
      <c r="O138" s="11"/>
      <c r="R138" s="11"/>
      <c r="S138" s="11"/>
      <c r="V138" s="11"/>
      <c r="W138" s="257"/>
    </row>
    <row r="139" spans="1:23">
      <c r="A139" s="256" t="s">
        <v>902</v>
      </c>
      <c r="B139" s="239" t="s">
        <v>920</v>
      </c>
      <c r="C139" s="24">
        <v>119.672997</v>
      </c>
      <c r="D139" s="11">
        <v>8570</v>
      </c>
      <c r="E139" s="697">
        <f t="shared" si="3"/>
        <v>71.600000000000009</v>
      </c>
      <c r="F139" s="11"/>
      <c r="G139" s="257"/>
      <c r="J139" s="11"/>
      <c r="K139" s="257"/>
      <c r="N139" s="11"/>
      <c r="O139" s="11"/>
      <c r="R139" s="11"/>
      <c r="S139" s="11"/>
      <c r="V139" s="11"/>
      <c r="W139" s="257"/>
    </row>
    <row r="140" spans="1:23">
      <c r="A140" s="256" t="s">
        <v>903</v>
      </c>
      <c r="C140" s="24">
        <v>118.87400100000001</v>
      </c>
      <c r="D140" s="11">
        <v>9465</v>
      </c>
      <c r="E140" s="697">
        <f t="shared" si="3"/>
        <v>79.600000000000009</v>
      </c>
      <c r="F140" s="11"/>
      <c r="G140" s="257"/>
      <c r="J140" s="11"/>
      <c r="K140" s="257"/>
      <c r="N140" s="11"/>
      <c r="O140" s="11"/>
      <c r="R140" s="11"/>
      <c r="S140" s="11"/>
      <c r="V140" s="11"/>
      <c r="W140" s="257"/>
    </row>
    <row r="141" spans="1:23">
      <c r="A141" s="256" t="s">
        <v>904</v>
      </c>
      <c r="C141" s="24">
        <v>112.35955</v>
      </c>
      <c r="D141" s="11">
        <v>9435</v>
      </c>
      <c r="E141" s="697">
        <f t="shared" si="3"/>
        <v>83.95</v>
      </c>
      <c r="F141" s="11"/>
      <c r="G141" s="257"/>
      <c r="J141" s="11"/>
      <c r="K141" s="257"/>
      <c r="N141" s="11"/>
      <c r="O141" s="11"/>
      <c r="R141" s="11"/>
      <c r="S141" s="11"/>
      <c r="V141" s="11"/>
      <c r="W141" s="257"/>
    </row>
    <row r="142" spans="1:23">
      <c r="A142" s="256" t="s">
        <v>905</v>
      </c>
      <c r="B142" s="239" t="s">
        <v>921</v>
      </c>
      <c r="C142" s="24">
        <v>109.62200199999999</v>
      </c>
      <c r="D142" s="11">
        <v>9140</v>
      </c>
      <c r="E142" s="697">
        <f t="shared" si="3"/>
        <v>83.4</v>
      </c>
      <c r="F142" s="11"/>
      <c r="G142" s="257"/>
      <c r="J142" s="11"/>
      <c r="K142" s="257"/>
      <c r="N142" s="11"/>
      <c r="O142" s="11"/>
      <c r="R142" s="11"/>
      <c r="S142" s="11"/>
      <c r="V142" s="11"/>
      <c r="W142" s="257"/>
    </row>
    <row r="143" spans="1:23">
      <c r="A143" s="256" t="s">
        <v>906</v>
      </c>
      <c r="C143" s="24">
        <v>104.168999</v>
      </c>
      <c r="D143" s="11">
        <v>8920</v>
      </c>
      <c r="E143" s="697">
        <f t="shared" si="3"/>
        <v>85.65</v>
      </c>
      <c r="F143" s="11"/>
      <c r="G143" s="257"/>
      <c r="J143" s="11"/>
      <c r="K143" s="257"/>
      <c r="N143" s="11"/>
      <c r="O143" s="11"/>
      <c r="R143" s="11"/>
      <c r="S143" s="11"/>
      <c r="V143" s="11"/>
      <c r="W143" s="257"/>
    </row>
    <row r="144" spans="1:23">
      <c r="A144" s="256" t="s">
        <v>907</v>
      </c>
      <c r="C144" s="24">
        <v>102.76599899999999</v>
      </c>
      <c r="D144" s="11">
        <v>9000</v>
      </c>
      <c r="E144" s="697">
        <f t="shared" si="3"/>
        <v>87.600000000000009</v>
      </c>
      <c r="F144" s="11"/>
      <c r="G144" s="257"/>
      <c r="J144" s="11"/>
      <c r="K144" s="257"/>
      <c r="N144" s="11"/>
      <c r="O144" s="11"/>
      <c r="R144" s="11"/>
      <c r="S144" s="11"/>
      <c r="V144" s="11"/>
      <c r="W144" s="257"/>
    </row>
    <row r="145" spans="1:23">
      <c r="A145" s="256" t="s">
        <v>908</v>
      </c>
      <c r="B145" s="239" t="s">
        <v>922</v>
      </c>
      <c r="C145" s="24">
        <v>101.279999</v>
      </c>
      <c r="D145" s="11">
        <v>8965</v>
      </c>
      <c r="E145" s="697">
        <f t="shared" si="3"/>
        <v>88.5</v>
      </c>
      <c r="F145" s="11"/>
      <c r="G145" s="257"/>
      <c r="J145" s="11"/>
      <c r="K145" s="257"/>
      <c r="N145" s="11"/>
      <c r="O145" s="11"/>
      <c r="R145" s="11"/>
      <c r="S145" s="11"/>
      <c r="V145" s="11"/>
      <c r="W145" s="257"/>
    </row>
    <row r="146" spans="1:23">
      <c r="A146" s="256" t="s">
        <v>909</v>
      </c>
      <c r="C146" s="24">
        <v>101.80300099999999</v>
      </c>
      <c r="D146" s="11">
        <v>8730</v>
      </c>
      <c r="E146" s="697">
        <f t="shared" si="3"/>
        <v>85.75</v>
      </c>
      <c r="F146" s="11"/>
      <c r="G146" s="257"/>
      <c r="J146" s="11"/>
      <c r="K146" s="257"/>
      <c r="N146" s="11"/>
      <c r="O146" s="11"/>
      <c r="R146" s="11"/>
      <c r="S146" s="11"/>
      <c r="V146" s="11"/>
      <c r="W146" s="257"/>
    </row>
    <row r="147" spans="1:23">
      <c r="A147" s="256" t="s">
        <v>910</v>
      </c>
      <c r="C147" s="24">
        <v>102.241997</v>
      </c>
      <c r="D147" s="11">
        <v>9020</v>
      </c>
      <c r="E147" s="697">
        <f t="shared" si="3"/>
        <v>88.2</v>
      </c>
      <c r="F147" s="11"/>
      <c r="G147" s="257"/>
      <c r="J147" s="11"/>
      <c r="K147" s="257"/>
      <c r="N147" s="11"/>
      <c r="O147" s="11"/>
      <c r="R147" s="11"/>
      <c r="S147" s="11"/>
      <c r="V147" s="11"/>
      <c r="W147" s="257"/>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A629B-8023-48B0-A77B-1CA23FCF9445}">
  <sheetPr codeName="Sheet35"/>
  <dimension ref="A1:X48"/>
  <sheetViews>
    <sheetView zoomScale="90" zoomScaleNormal="90" workbookViewId="0">
      <pane xSplit="1" ySplit="3" topLeftCell="B4" activePane="bottomRight" state="frozen"/>
      <selection pane="topRight" activeCell="C1" sqref="C1"/>
      <selection pane="bottomLeft" activeCell="A5" sqref="A5"/>
      <selection pane="bottomRight"/>
    </sheetView>
  </sheetViews>
  <sheetFormatPr defaultColWidth="9.140625" defaultRowHeight="12"/>
  <cols>
    <col min="1" max="2" width="9.7109375" style="1" customWidth="1"/>
    <col min="3" max="6" width="11.42578125" style="1" customWidth="1"/>
    <col min="7" max="7" width="9.7109375" style="1" customWidth="1"/>
    <col min="8" max="8" width="9.7109375" style="26" customWidth="1"/>
    <col min="9" max="11" width="9.7109375" style="1" customWidth="1"/>
    <col min="12" max="12" width="9.7109375" style="26" customWidth="1"/>
    <col min="13" max="14" width="11.42578125" style="1" customWidth="1"/>
    <col min="15" max="15" width="9.7109375" style="1" customWidth="1"/>
    <col min="16" max="16" width="9.7109375" style="26" customWidth="1"/>
    <col min="17" max="18" width="11.42578125" style="1" customWidth="1"/>
    <col min="19" max="19" width="9.7109375" style="1" customWidth="1"/>
    <col min="20" max="20" width="9.7109375" style="26" customWidth="1"/>
    <col min="21" max="22" width="9.7109375" style="1" customWidth="1"/>
    <col min="23" max="24" width="9.140625" style="219"/>
    <col min="25" max="16384" width="9.140625" style="1"/>
  </cols>
  <sheetData>
    <row r="1" spans="1:24" s="2" customFormat="1">
      <c r="A1" s="2" t="s">
        <v>911</v>
      </c>
      <c r="H1" s="258"/>
      <c r="L1" s="258"/>
      <c r="P1" s="258"/>
      <c r="T1" s="258"/>
      <c r="W1" s="698"/>
      <c r="X1" s="698"/>
    </row>
    <row r="2" spans="1:24">
      <c r="P2" s="1"/>
      <c r="R2" s="263" t="s">
        <v>976</v>
      </c>
      <c r="S2" s="261">
        <v>0</v>
      </c>
    </row>
    <row r="3" spans="1:24" ht="36">
      <c r="A3" s="240" t="s">
        <v>856</v>
      </c>
      <c r="B3" s="239" t="s">
        <v>15</v>
      </c>
      <c r="C3" s="240" t="s">
        <v>923</v>
      </c>
      <c r="D3" s="240" t="s">
        <v>82</v>
      </c>
      <c r="E3" s="240" t="s">
        <v>960</v>
      </c>
      <c r="F3" s="240" t="s">
        <v>961</v>
      </c>
      <c r="G3" s="240" t="s">
        <v>962</v>
      </c>
      <c r="H3" s="259" t="s">
        <v>962</v>
      </c>
      <c r="I3" s="240" t="s">
        <v>971</v>
      </c>
      <c r="J3" s="240" t="s">
        <v>972</v>
      </c>
      <c r="K3" s="240" t="s">
        <v>973</v>
      </c>
      <c r="L3" s="259" t="s">
        <v>973</v>
      </c>
      <c r="M3" s="240" t="s">
        <v>963</v>
      </c>
      <c r="N3" s="240" t="s">
        <v>964</v>
      </c>
      <c r="O3" s="240" t="s">
        <v>974</v>
      </c>
      <c r="P3" s="259" t="s">
        <v>974</v>
      </c>
      <c r="Q3" s="240" t="s">
        <v>965</v>
      </c>
      <c r="R3" s="240" t="s">
        <v>966</v>
      </c>
      <c r="S3" s="240" t="s">
        <v>975</v>
      </c>
      <c r="T3" s="259" t="s">
        <v>975</v>
      </c>
      <c r="U3" s="240" t="s">
        <v>968</v>
      </c>
      <c r="V3" s="240" t="s">
        <v>967</v>
      </c>
      <c r="W3" s="699" t="s">
        <v>2686</v>
      </c>
      <c r="X3" s="699" t="s">
        <v>2687</v>
      </c>
    </row>
    <row r="4" spans="1:24">
      <c r="A4" s="240" t="s">
        <v>1172</v>
      </c>
      <c r="B4" s="239"/>
      <c r="C4" s="240"/>
      <c r="D4" s="240"/>
      <c r="E4" s="240"/>
      <c r="F4" s="240"/>
      <c r="G4" s="240"/>
      <c r="H4" s="259"/>
      <c r="I4" s="240"/>
      <c r="J4" s="240"/>
      <c r="K4" s="240"/>
      <c r="L4" s="259"/>
      <c r="M4" s="240"/>
      <c r="N4" s="240"/>
      <c r="O4" s="240"/>
      <c r="P4" s="259"/>
      <c r="Q4" s="240"/>
      <c r="R4" s="240"/>
      <c r="S4" s="240"/>
      <c r="T4" s="259"/>
      <c r="U4" s="240"/>
      <c r="V4" s="240"/>
      <c r="W4" s="701">
        <f>VLOOKUP(A4, 'SBG Discount to NAV Workings'!B:X, 23, FALSE)</f>
        <v>15.192320972308542</v>
      </c>
      <c r="X4" s="701">
        <f>VLOOKUP(A4, 'SBG Discount to NAV Workings'!B:Y, 24, FALSE)</f>
        <v>2.4169601546854498</v>
      </c>
    </row>
    <row r="5" spans="1:24">
      <c r="A5" s="239" t="s">
        <v>697</v>
      </c>
      <c r="B5" s="239"/>
      <c r="C5" s="240"/>
      <c r="D5" s="240"/>
      <c r="E5" s="240"/>
      <c r="F5" s="240"/>
      <c r="G5" s="240"/>
      <c r="H5" s="259"/>
      <c r="I5" s="240"/>
      <c r="J5" s="240"/>
      <c r="K5" s="240"/>
      <c r="L5" s="259"/>
      <c r="M5" s="240"/>
      <c r="N5" s="240"/>
      <c r="O5" s="240"/>
      <c r="P5" s="259"/>
      <c r="Q5" s="240"/>
      <c r="R5" s="240"/>
      <c r="S5" s="240"/>
      <c r="T5" s="259"/>
      <c r="U5" s="240"/>
      <c r="V5" s="240"/>
      <c r="W5" s="701">
        <f>VLOOKUP(A5, 'SBG Discount to NAV Workings'!B:X, 23, FALSE)</f>
        <v>22.739432851792401</v>
      </c>
      <c r="X5" s="701">
        <f>VLOOKUP(A5, 'SBG Discount to NAV Workings'!B:Y, 24, FALSE)</f>
        <v>2.7421080791867309</v>
      </c>
    </row>
    <row r="6" spans="1:24">
      <c r="A6" s="239" t="s">
        <v>696</v>
      </c>
      <c r="B6" s="224"/>
      <c r="C6" s="486"/>
      <c r="D6" s="257"/>
      <c r="E6" s="11"/>
      <c r="F6" s="257"/>
      <c r="G6" s="21"/>
      <c r="H6" s="260"/>
      <c r="I6" s="11"/>
      <c r="J6" s="257"/>
      <c r="K6" s="21"/>
      <c r="L6" s="260"/>
      <c r="M6" s="11"/>
      <c r="N6" s="257"/>
      <c r="O6" s="21"/>
      <c r="P6" s="260"/>
      <c r="Q6" s="11"/>
      <c r="R6" s="257"/>
      <c r="S6" s="21"/>
      <c r="T6" s="260"/>
      <c r="U6" s="11"/>
      <c r="V6" s="257"/>
      <c r="W6" s="701">
        <f>VLOOKUP(A6, 'SBG Discount to NAV Workings'!B:X, 23, FALSE)</f>
        <v>18.839297003413833</v>
      </c>
      <c r="X6" s="701">
        <f>VLOOKUP(A6, 'SBG Discount to NAV Workings'!B:Y, 24, FALSE)</f>
        <v>2.4023264635225692</v>
      </c>
    </row>
    <row r="7" spans="1:24">
      <c r="A7" s="239" t="s">
        <v>695</v>
      </c>
      <c r="B7" s="224"/>
      <c r="C7" s="486"/>
      <c r="D7" s="697"/>
      <c r="E7" s="11"/>
      <c r="F7" s="257"/>
      <c r="G7" s="21"/>
      <c r="H7" s="260"/>
      <c r="I7" s="11"/>
      <c r="J7" s="257"/>
      <c r="K7" s="21"/>
      <c r="L7" s="260"/>
      <c r="M7" s="11"/>
      <c r="N7" s="257"/>
      <c r="O7" s="21"/>
      <c r="P7" s="260"/>
      <c r="Q7" s="11"/>
      <c r="R7" s="257"/>
      <c r="S7" s="21"/>
      <c r="T7" s="260"/>
      <c r="U7" s="11"/>
      <c r="V7" s="257"/>
      <c r="W7" s="701">
        <f>VLOOKUP(A7, 'SBG Discount to NAV Workings'!B:X, 23, FALSE)</f>
        <v>17.58565122959434</v>
      </c>
      <c r="X7" s="701">
        <f>VLOOKUP(A7, 'SBG Discount to NAV Workings'!B:Y, 24, FALSE)</f>
        <v>2.5923071533664963</v>
      </c>
    </row>
    <row r="8" spans="1:24">
      <c r="A8" s="239" t="s">
        <v>686</v>
      </c>
      <c r="B8" s="224"/>
      <c r="C8" s="486"/>
      <c r="D8" s="697"/>
      <c r="E8" s="240"/>
      <c r="F8" s="240"/>
      <c r="G8" s="240"/>
      <c r="H8" s="259"/>
      <c r="I8" s="240"/>
      <c r="J8" s="240"/>
      <c r="K8" s="240"/>
      <c r="L8" s="259"/>
      <c r="M8" s="240"/>
      <c r="N8" s="240"/>
      <c r="O8" s="240"/>
      <c r="P8" s="259"/>
      <c r="Q8" s="240"/>
      <c r="R8" s="240"/>
      <c r="S8" s="240"/>
      <c r="T8" s="259"/>
      <c r="U8" s="240"/>
      <c r="V8" s="240"/>
      <c r="W8" s="701">
        <f>VLOOKUP(A8, 'SBG Discount to NAV Workings'!B:X, 23, FALSE)</f>
        <v>15.024523499099772</v>
      </c>
      <c r="X8" s="701">
        <f>VLOOKUP(A8, 'SBG Discount to NAV Workings'!B:Y, 24, FALSE)</f>
        <v>2.2971378903582296</v>
      </c>
    </row>
    <row r="9" spans="1:24">
      <c r="A9" s="239" t="s">
        <v>94</v>
      </c>
      <c r="B9" s="224"/>
      <c r="C9" s="486"/>
      <c r="D9" s="697"/>
      <c r="E9" s="11"/>
      <c r="F9" s="257"/>
      <c r="G9" s="21"/>
      <c r="H9" s="260"/>
      <c r="I9" s="11"/>
      <c r="J9" s="257"/>
      <c r="K9" s="21"/>
      <c r="L9" s="260"/>
      <c r="M9" s="11"/>
      <c r="N9" s="257"/>
      <c r="O9" s="21"/>
      <c r="P9" s="260"/>
      <c r="Q9" s="11"/>
      <c r="R9" s="257"/>
      <c r="S9" s="21"/>
      <c r="T9" s="260"/>
      <c r="U9" s="11"/>
      <c r="V9" s="257"/>
      <c r="W9" s="701">
        <f>VLOOKUP(A9, 'SBG Discount to NAV Workings'!B:X, 23, FALSE)</f>
        <v>11.624067102569184</v>
      </c>
      <c r="X9" s="701">
        <f>VLOOKUP(A9, 'SBG Discount to NAV Workings'!B:Y, 24, FALSE)</f>
        <v>2.1795125817317218</v>
      </c>
    </row>
    <row r="10" spans="1:24">
      <c r="A10" s="239" t="s">
        <v>93</v>
      </c>
      <c r="B10" s="24"/>
      <c r="C10" s="11"/>
      <c r="D10" s="697"/>
      <c r="E10" s="11"/>
      <c r="F10" s="257"/>
      <c r="I10" s="11"/>
      <c r="J10" s="257"/>
      <c r="M10" s="11"/>
      <c r="N10" s="11"/>
      <c r="Q10" s="11"/>
      <c r="R10" s="11"/>
      <c r="U10" s="11"/>
      <c r="V10" s="257"/>
      <c r="W10" s="701">
        <f>VLOOKUP(A10, 'SBG Discount to NAV Workings'!B:X, 23, FALSE)</f>
        <v>11.422125079320312</v>
      </c>
      <c r="X10" s="701">
        <f>VLOOKUP(A10, 'SBG Discount to NAV Workings'!B:Y, 24, FALSE)</f>
        <v>2.044701403088204</v>
      </c>
    </row>
    <row r="11" spans="1:24">
      <c r="A11" s="239" t="s">
        <v>92</v>
      </c>
      <c r="B11" s="24"/>
      <c r="C11" s="11"/>
      <c r="D11" s="697"/>
      <c r="E11" s="11"/>
      <c r="F11" s="257"/>
      <c r="I11" s="11"/>
      <c r="J11" s="257"/>
      <c r="M11" s="11"/>
      <c r="N11" s="11"/>
      <c r="Q11" s="11"/>
      <c r="R11" s="11"/>
      <c r="U11" s="11"/>
      <c r="V11" s="257"/>
      <c r="W11" s="701">
        <f>VLOOKUP(A11, 'SBG Discount to NAV Workings'!B:X, 23, FALSE)</f>
        <v>8.4904398983821352</v>
      </c>
      <c r="X11" s="701">
        <f>VLOOKUP(A11, 'SBG Discount to NAV Workings'!B:Y, 24, FALSE)</f>
        <v>1.5376387217542451</v>
      </c>
    </row>
    <row r="12" spans="1:24">
      <c r="A12" s="239" t="s">
        <v>91</v>
      </c>
      <c r="B12" s="24"/>
      <c r="C12" s="11"/>
      <c r="D12" s="697"/>
      <c r="E12" s="11"/>
      <c r="F12" s="257"/>
      <c r="G12" s="21"/>
      <c r="H12" s="260"/>
      <c r="I12" s="11"/>
      <c r="J12" s="257"/>
      <c r="K12" s="21"/>
      <c r="L12" s="260"/>
      <c r="M12" s="11"/>
      <c r="N12" s="257"/>
      <c r="O12" s="21"/>
      <c r="P12" s="260"/>
      <c r="Q12" s="11"/>
      <c r="R12" s="257"/>
      <c r="S12" s="21"/>
      <c r="T12" s="260"/>
      <c r="U12" s="11"/>
      <c r="V12" s="257"/>
      <c r="W12" s="701">
        <f>VLOOKUP(A12, 'SBG Discount to NAV Workings'!B:X, 23, FALSE)</f>
        <v>8.2764328574384436</v>
      </c>
      <c r="X12" s="701">
        <f>VLOOKUP(A12, 'SBG Discount to NAV Workings'!B:Y, 24, FALSE)</f>
        <v>1.5863162976757017</v>
      </c>
    </row>
    <row r="13" spans="1:24">
      <c r="A13" s="239" t="s">
        <v>13</v>
      </c>
      <c r="B13" s="24"/>
      <c r="C13" s="11"/>
      <c r="D13" s="697"/>
      <c r="E13" s="11"/>
      <c r="F13" s="257"/>
      <c r="I13" s="11"/>
      <c r="J13" s="257"/>
      <c r="M13" s="11"/>
      <c r="N13" s="257"/>
      <c r="Q13" s="11"/>
      <c r="R13" s="257"/>
      <c r="U13" s="11"/>
      <c r="V13" s="257"/>
      <c r="W13" s="701">
        <f>VLOOKUP(A13, 'SBG Discount to NAV Workings'!B:X, 23, FALSE)</f>
        <v>9.2114131655807689</v>
      </c>
      <c r="X13" s="701">
        <f>VLOOKUP(A13, 'SBG Discount to NAV Workings'!B:Y, 24, FALSE)</f>
        <v>2.0969070620834271</v>
      </c>
    </row>
    <row r="14" spans="1:24">
      <c r="A14" s="239" t="s">
        <v>12</v>
      </c>
      <c r="B14" s="24"/>
      <c r="C14" s="11"/>
      <c r="D14" s="697"/>
      <c r="E14" s="11"/>
      <c r="F14" s="257"/>
      <c r="I14" s="11"/>
      <c r="J14" s="257"/>
      <c r="M14" s="11"/>
      <c r="N14" s="257"/>
      <c r="Q14" s="11"/>
      <c r="R14" s="257"/>
      <c r="U14" s="11"/>
      <c r="V14" s="257"/>
      <c r="W14" s="701">
        <f>VLOOKUP(A14, 'SBG Discount to NAV Workings'!B:X, 23, FALSE)</f>
        <v>8.666164280331575</v>
      </c>
      <c r="X14" s="701">
        <f>VLOOKUP(A14, 'SBG Discount to NAV Workings'!B:Y, 24, FALSE)</f>
        <v>1.2057272042200453</v>
      </c>
    </row>
    <row r="15" spans="1:24">
      <c r="A15" s="239" t="s">
        <v>11</v>
      </c>
      <c r="B15" s="24"/>
      <c r="C15" s="11"/>
      <c r="D15" s="697"/>
      <c r="E15" s="11"/>
      <c r="F15" s="257"/>
      <c r="G15" s="21"/>
      <c r="H15" s="260"/>
      <c r="I15" s="11"/>
      <c r="J15" s="257"/>
      <c r="K15" s="21"/>
      <c r="L15" s="260"/>
      <c r="M15" s="11"/>
      <c r="N15" s="257"/>
      <c r="O15" s="21"/>
      <c r="P15" s="260"/>
      <c r="Q15" s="11"/>
      <c r="R15" s="257"/>
      <c r="S15" s="21"/>
      <c r="T15" s="260"/>
      <c r="U15" s="11"/>
      <c r="V15" s="257"/>
      <c r="W15" s="701">
        <f>VLOOKUP(A15, 'SBG Discount to NAV Workings'!B:X, 23, FALSE)</f>
        <v>7.9414405082521924</v>
      </c>
      <c r="X15" s="701">
        <f>VLOOKUP(A15, 'SBG Discount to NAV Workings'!B:Y, 24, FALSE)</f>
        <v>0.89772805745459572</v>
      </c>
    </row>
    <row r="16" spans="1:24">
      <c r="A16" s="239" t="s">
        <v>10</v>
      </c>
      <c r="B16" s="24"/>
      <c r="C16" s="11"/>
      <c r="D16" s="697"/>
      <c r="E16" s="11"/>
      <c r="F16" s="257"/>
      <c r="I16" s="11"/>
      <c r="J16" s="257"/>
      <c r="M16" s="11"/>
      <c r="N16" s="257"/>
      <c r="Q16" s="11"/>
      <c r="R16" s="257"/>
      <c r="U16" s="11"/>
      <c r="V16" s="257"/>
      <c r="W16" s="701">
        <f>VLOOKUP(A16, 'SBG Discount to NAV Workings'!B:X, 23, FALSE)</f>
        <v>7.3163593795727246</v>
      </c>
      <c r="X16" s="701">
        <f>VLOOKUP(A16, 'SBG Discount to NAV Workings'!B:Y, 24, FALSE)</f>
        <v>1.2437810945273631</v>
      </c>
    </row>
    <row r="17" spans="1:24">
      <c r="A17" s="239" t="s">
        <v>77</v>
      </c>
      <c r="B17" s="24"/>
      <c r="C17" s="11"/>
      <c r="D17" s="697"/>
      <c r="E17" s="11"/>
      <c r="F17" s="257"/>
      <c r="I17" s="11"/>
      <c r="J17" s="257"/>
      <c r="M17" s="11"/>
      <c r="N17" s="257"/>
      <c r="Q17" s="11"/>
      <c r="R17" s="257"/>
      <c r="U17" s="11"/>
      <c r="V17" s="257"/>
      <c r="W17" s="701">
        <f>VLOOKUP(A17, 'SBG Discount to NAV Workings'!B:X, 23, FALSE)</f>
        <v>7.8437780864449707</v>
      </c>
      <c r="X17" s="701">
        <f>VLOOKUP(A17, 'SBG Discount to NAV Workings'!B:Y, 24, FALSE)</f>
        <v>0.81706021733801781</v>
      </c>
    </row>
    <row r="18" spans="1:24">
      <c r="A18" s="239" t="s">
        <v>76</v>
      </c>
      <c r="B18" s="24"/>
      <c r="C18" s="11"/>
      <c r="D18" s="697"/>
      <c r="E18" s="11"/>
      <c r="F18" s="257"/>
      <c r="G18" s="21"/>
      <c r="H18" s="260"/>
      <c r="I18" s="11"/>
      <c r="J18" s="257"/>
      <c r="K18" s="21"/>
      <c r="L18" s="260"/>
      <c r="M18" s="11"/>
      <c r="N18" s="257"/>
      <c r="O18" s="21"/>
      <c r="P18" s="260"/>
      <c r="Q18" s="11"/>
      <c r="R18" s="257"/>
      <c r="S18" s="21"/>
      <c r="T18" s="260"/>
      <c r="U18" s="11"/>
      <c r="V18" s="257"/>
      <c r="W18" s="701">
        <f>VLOOKUP(A18, 'SBG Discount to NAV Workings'!B:X, 23, FALSE)</f>
        <v>6.4336637106590162</v>
      </c>
      <c r="X18" s="701">
        <f>VLOOKUP(A18, 'SBG Discount to NAV Workings'!B:Y, 24, FALSE)</f>
        <v>0.69553121196313683</v>
      </c>
    </row>
    <row r="19" spans="1:24">
      <c r="A19" s="239" t="s">
        <v>75</v>
      </c>
      <c r="B19" s="24"/>
      <c r="C19" s="11"/>
      <c r="D19" s="697"/>
      <c r="E19" s="11"/>
      <c r="F19" s="257"/>
      <c r="I19" s="11"/>
      <c r="J19" s="257"/>
      <c r="M19" s="11"/>
      <c r="N19" s="257"/>
      <c r="Q19" s="11"/>
      <c r="R19" s="257"/>
      <c r="U19" s="11"/>
      <c r="V19" s="257"/>
      <c r="W19" s="701">
        <f>VLOOKUP(A19, 'SBG Discount to NAV Workings'!B:X, 23, FALSE)</f>
        <v>6.9692637598284488</v>
      </c>
      <c r="X19" s="701">
        <f>VLOOKUP(A19, 'SBG Discount to NAV Workings'!B:Y, 24, FALSE)</f>
        <v>4.5568263045032165</v>
      </c>
    </row>
    <row r="20" spans="1:24">
      <c r="A20" s="239" t="s">
        <v>74</v>
      </c>
      <c r="B20" s="24"/>
      <c r="C20" s="11"/>
      <c r="D20" s="697"/>
      <c r="E20" s="11"/>
      <c r="F20" s="257"/>
      <c r="I20" s="11"/>
      <c r="J20" s="257"/>
      <c r="M20" s="11"/>
      <c r="N20" s="257"/>
      <c r="Q20" s="11"/>
      <c r="R20" s="257"/>
      <c r="U20" s="11"/>
      <c r="V20" s="257"/>
      <c r="W20" s="701">
        <f>VLOOKUP(A20, 'SBG Discount to NAV Workings'!B:X, 23, FALSE)</f>
        <v>17.001266051727256</v>
      </c>
      <c r="X20" s="701">
        <f>VLOOKUP(A20, 'SBG Discount to NAV Workings'!B:Y, 24, FALSE)</f>
        <v>0</v>
      </c>
    </row>
    <row r="21" spans="1:24">
      <c r="A21" s="239" t="s">
        <v>136</v>
      </c>
      <c r="B21" s="24"/>
      <c r="C21" s="11"/>
      <c r="D21" s="697"/>
      <c r="E21" s="11"/>
      <c r="F21" s="257"/>
      <c r="G21" s="21"/>
      <c r="H21" s="260"/>
      <c r="I21" s="11"/>
      <c r="J21" s="257"/>
      <c r="K21" s="21"/>
      <c r="L21" s="260"/>
      <c r="M21" s="11"/>
      <c r="N21" s="257"/>
      <c r="O21" s="21"/>
      <c r="P21" s="260"/>
      <c r="Q21" s="11"/>
      <c r="R21" s="257"/>
      <c r="S21" s="21"/>
      <c r="T21" s="260"/>
      <c r="U21" s="11"/>
      <c r="V21" s="257"/>
      <c r="W21" s="701">
        <f>VLOOKUP(A21, 'SBG Discount to NAV Workings'!B:X, 23, FALSE)</f>
        <v>13.639237647908953</v>
      </c>
      <c r="X21" s="701">
        <f>VLOOKUP(A21, 'SBG Discount to NAV Workings'!B:Y, 24, FALSE)</f>
        <v>0</v>
      </c>
    </row>
    <row r="22" spans="1:24">
      <c r="A22" s="239" t="s">
        <v>135</v>
      </c>
      <c r="B22" s="24"/>
      <c r="C22" s="11"/>
      <c r="D22" s="697"/>
      <c r="E22" s="11"/>
      <c r="F22" s="257"/>
      <c r="I22" s="11"/>
      <c r="J22" s="257"/>
      <c r="M22" s="11"/>
      <c r="N22" s="257"/>
      <c r="Q22" s="11"/>
      <c r="R22" s="257"/>
      <c r="U22" s="11"/>
      <c r="V22" s="257"/>
      <c r="W22" s="701">
        <f>VLOOKUP(A22, 'SBG Discount to NAV Workings'!B:X, 23, FALSE)</f>
        <v>15.169082125603865</v>
      </c>
      <c r="X22" s="701">
        <f>VLOOKUP(A22, 'SBG Discount to NAV Workings'!B:Y, 24, FALSE)</f>
        <v>0</v>
      </c>
    </row>
    <row r="23" spans="1:24">
      <c r="A23" s="239" t="s">
        <v>134</v>
      </c>
      <c r="B23" s="24"/>
      <c r="C23" s="11"/>
      <c r="D23" s="697"/>
      <c r="E23" s="11"/>
      <c r="F23" s="257"/>
      <c r="I23" s="11"/>
      <c r="J23" s="257"/>
      <c r="M23" s="11"/>
      <c r="N23" s="257"/>
      <c r="Q23" s="11"/>
      <c r="R23" s="257"/>
      <c r="U23" s="11"/>
      <c r="V23" s="257"/>
      <c r="W23" s="701">
        <f>VLOOKUP(A23, 'SBG Discount to NAV Workings'!B:X, 23, FALSE)</f>
        <v>12.003780718336484</v>
      </c>
      <c r="X23" s="701">
        <f>VLOOKUP(A23, 'SBG Discount to NAV Workings'!B:Y, 24, FALSE)</f>
        <v>0</v>
      </c>
    </row>
    <row r="24" spans="1:24">
      <c r="A24" s="239" t="s">
        <v>133</v>
      </c>
      <c r="B24" s="24"/>
      <c r="C24" s="11"/>
      <c r="D24" s="697"/>
      <c r="E24" s="11"/>
      <c r="F24" s="257"/>
      <c r="G24" s="21"/>
      <c r="H24" s="260"/>
      <c r="I24" s="11"/>
      <c r="J24" s="257"/>
      <c r="K24" s="21"/>
      <c r="L24" s="260"/>
      <c r="M24" s="11"/>
      <c r="N24" s="257"/>
      <c r="O24" s="21"/>
      <c r="P24" s="260"/>
      <c r="Q24" s="11"/>
      <c r="R24" s="257"/>
      <c r="S24" s="21"/>
      <c r="T24" s="260"/>
      <c r="U24" s="11"/>
      <c r="V24" s="257"/>
      <c r="W24" s="701">
        <f>VLOOKUP(A24, 'SBG Discount to NAV Workings'!B:X, 23, FALSE)</f>
        <v>12.622981251160201</v>
      </c>
      <c r="X24" s="701">
        <f>VLOOKUP(A24, 'SBG Discount to NAV Workings'!B:Y, 24, FALSE)</f>
        <v>0</v>
      </c>
    </row>
    <row r="25" spans="1:24">
      <c r="A25" s="239" t="s">
        <v>157</v>
      </c>
      <c r="B25" s="24"/>
      <c r="C25" s="11"/>
      <c r="D25" s="697"/>
      <c r="E25" s="11"/>
      <c r="F25" s="257"/>
      <c r="I25" s="11"/>
      <c r="J25" s="257"/>
      <c r="M25" s="11"/>
      <c r="N25" s="257"/>
      <c r="Q25" s="11"/>
      <c r="R25" s="257"/>
      <c r="U25" s="11"/>
      <c r="V25" s="257"/>
      <c r="W25" s="701">
        <f>VLOOKUP(A25, 'SBG Discount to NAV Workings'!B:X, 23, FALSE)</f>
        <v>29.127997794725719</v>
      </c>
      <c r="X25" s="701">
        <f>VLOOKUP(A25, 'SBG Discount to NAV Workings'!B:Y, 24, FALSE)</f>
        <v>0</v>
      </c>
    </row>
    <row r="26" spans="1:24">
      <c r="A26" s="239" t="s">
        <v>156</v>
      </c>
      <c r="B26" s="24"/>
      <c r="C26" s="11"/>
      <c r="D26" s="697"/>
      <c r="E26" s="11"/>
      <c r="F26" s="257"/>
      <c r="I26" s="11"/>
      <c r="J26" s="257"/>
      <c r="M26" s="11"/>
      <c r="N26" s="257"/>
      <c r="Q26" s="11"/>
      <c r="R26" s="257"/>
      <c r="U26" s="11"/>
      <c r="V26" s="257"/>
      <c r="W26" s="700"/>
      <c r="X26" s="700"/>
    </row>
    <row r="27" spans="1:24">
      <c r="A27" s="239" t="s">
        <v>155</v>
      </c>
      <c r="B27" s="24"/>
      <c r="C27" s="11"/>
      <c r="D27" s="697"/>
      <c r="E27" s="11"/>
      <c r="F27" s="257"/>
      <c r="G27" s="21"/>
      <c r="H27" s="260"/>
      <c r="I27" s="11"/>
      <c r="J27" s="257"/>
      <c r="K27" s="21"/>
      <c r="L27" s="260"/>
      <c r="M27" s="11"/>
      <c r="N27" s="257"/>
      <c r="O27" s="21"/>
      <c r="P27" s="260"/>
      <c r="Q27" s="11"/>
      <c r="R27" s="257"/>
      <c r="S27" s="21"/>
      <c r="T27" s="260"/>
      <c r="U27" s="11"/>
      <c r="V27" s="257"/>
      <c r="W27" s="700"/>
      <c r="X27" s="700"/>
    </row>
    <row r="28" spans="1:24">
      <c r="A28" s="239" t="s">
        <v>154</v>
      </c>
      <c r="B28" s="24"/>
      <c r="C28" s="11"/>
      <c r="D28" s="697"/>
      <c r="E28" s="11"/>
      <c r="F28" s="257"/>
      <c r="I28" s="11"/>
      <c r="J28" s="257"/>
      <c r="M28" s="11"/>
      <c r="N28" s="257"/>
      <c r="Q28" s="11"/>
      <c r="R28" s="257"/>
      <c r="U28" s="11"/>
      <c r="V28" s="257"/>
      <c r="W28" s="700"/>
      <c r="X28" s="700"/>
    </row>
    <row r="29" spans="1:24">
      <c r="A29" s="239" t="s">
        <v>166</v>
      </c>
      <c r="B29" s="24"/>
      <c r="C29" s="11"/>
      <c r="D29" s="697"/>
      <c r="E29" s="11"/>
      <c r="F29" s="257"/>
      <c r="I29" s="11"/>
      <c r="J29" s="257"/>
      <c r="M29" s="11"/>
      <c r="N29" s="257"/>
      <c r="Q29" s="11"/>
      <c r="R29" s="257"/>
      <c r="U29" s="11"/>
      <c r="V29" s="257"/>
      <c r="W29" s="700"/>
      <c r="X29" s="700"/>
    </row>
    <row r="30" spans="1:24">
      <c r="A30" s="239" t="s">
        <v>165</v>
      </c>
      <c r="B30" s="24"/>
      <c r="C30" s="11"/>
      <c r="D30" s="697"/>
      <c r="E30" s="11"/>
      <c r="F30" s="257"/>
      <c r="G30" s="21"/>
      <c r="H30" s="260"/>
      <c r="I30" s="11"/>
      <c r="J30" s="257"/>
      <c r="K30" s="21"/>
      <c r="L30" s="260"/>
      <c r="M30" s="11"/>
      <c r="N30" s="257"/>
      <c r="O30" s="21"/>
      <c r="P30" s="260"/>
      <c r="Q30" s="11"/>
      <c r="R30" s="257"/>
      <c r="S30" s="21"/>
      <c r="T30" s="260"/>
      <c r="U30" s="11"/>
      <c r="V30" s="257"/>
      <c r="W30" s="700"/>
      <c r="X30" s="700"/>
    </row>
    <row r="31" spans="1:24">
      <c r="A31" s="239" t="s">
        <v>164</v>
      </c>
      <c r="B31" s="24"/>
      <c r="C31" s="11"/>
      <c r="D31" s="697"/>
      <c r="E31" s="11"/>
      <c r="F31" s="257"/>
      <c r="I31" s="11"/>
      <c r="J31" s="257"/>
      <c r="M31" s="11"/>
      <c r="N31" s="257"/>
      <c r="Q31" s="11"/>
      <c r="R31" s="257"/>
      <c r="U31" s="11"/>
      <c r="V31" s="257"/>
      <c r="W31" s="700"/>
      <c r="X31" s="700"/>
    </row>
    <row r="32" spans="1:24">
      <c r="A32" s="239" t="s">
        <v>163</v>
      </c>
      <c r="B32" s="24"/>
      <c r="C32" s="11"/>
      <c r="D32" s="697"/>
      <c r="E32" s="11"/>
      <c r="F32" s="257"/>
      <c r="I32" s="11"/>
      <c r="J32" s="257"/>
      <c r="M32" s="11"/>
      <c r="N32" s="257"/>
      <c r="Q32" s="11"/>
      <c r="R32" s="257"/>
      <c r="U32" s="11"/>
      <c r="V32" s="257"/>
      <c r="W32" s="700"/>
      <c r="X32" s="700"/>
    </row>
    <row r="33" spans="1:24">
      <c r="A33" s="239" t="s">
        <v>197</v>
      </c>
      <c r="B33" s="24"/>
      <c r="C33" s="11"/>
      <c r="D33" s="697"/>
      <c r="E33" s="11"/>
      <c r="F33" s="257"/>
      <c r="G33" s="21"/>
      <c r="H33" s="260"/>
      <c r="I33" s="11"/>
      <c r="J33" s="257"/>
      <c r="K33" s="21"/>
      <c r="L33" s="260"/>
      <c r="M33" s="11"/>
      <c r="N33" s="257"/>
      <c r="O33" s="21"/>
      <c r="P33" s="260"/>
      <c r="Q33" s="11"/>
      <c r="R33" s="257"/>
      <c r="S33" s="21"/>
      <c r="T33" s="260"/>
      <c r="U33" s="11"/>
      <c r="V33" s="257"/>
      <c r="W33" s="700"/>
      <c r="X33" s="700"/>
    </row>
    <row r="34" spans="1:24">
      <c r="A34" s="239" t="s">
        <v>196</v>
      </c>
      <c r="B34" s="24"/>
      <c r="C34" s="11"/>
      <c r="D34" s="697"/>
      <c r="E34" s="11"/>
      <c r="F34" s="257"/>
      <c r="I34" s="11"/>
      <c r="J34" s="257"/>
      <c r="M34" s="11"/>
      <c r="N34" s="257"/>
      <c r="Q34" s="11"/>
      <c r="R34" s="257"/>
      <c r="U34" s="11"/>
      <c r="V34" s="257"/>
      <c r="W34" s="700"/>
      <c r="X34" s="700"/>
    </row>
    <row r="35" spans="1:24">
      <c r="A35" s="239" t="s">
        <v>195</v>
      </c>
      <c r="B35" s="24"/>
      <c r="C35" s="11"/>
      <c r="D35" s="697"/>
      <c r="E35" s="11"/>
      <c r="F35" s="257"/>
      <c r="I35" s="11"/>
      <c r="J35" s="257"/>
      <c r="M35" s="11"/>
      <c r="N35" s="257"/>
      <c r="Q35" s="11"/>
      <c r="R35" s="257"/>
      <c r="U35" s="11"/>
      <c r="V35" s="257"/>
      <c r="W35" s="700"/>
      <c r="X35" s="700"/>
    </row>
    <row r="36" spans="1:24">
      <c r="A36" s="239" t="s">
        <v>194</v>
      </c>
      <c r="B36" s="24"/>
      <c r="C36" s="11"/>
      <c r="D36" s="697"/>
      <c r="E36" s="11"/>
      <c r="F36" s="257"/>
      <c r="G36" s="21"/>
      <c r="H36" s="260"/>
      <c r="I36" s="11"/>
      <c r="J36" s="257"/>
      <c r="K36" s="21"/>
      <c r="L36" s="260"/>
      <c r="M36" s="11"/>
      <c r="N36" s="257"/>
      <c r="O36" s="21"/>
      <c r="P36" s="260"/>
      <c r="Q36" s="11"/>
      <c r="R36" s="257"/>
      <c r="S36" s="21"/>
      <c r="T36" s="260"/>
      <c r="U36" s="11"/>
      <c r="V36" s="257"/>
      <c r="W36" s="700"/>
      <c r="X36" s="700"/>
    </row>
    <row r="37" spans="1:24">
      <c r="A37" s="239" t="s">
        <v>857</v>
      </c>
      <c r="B37" s="24"/>
      <c r="C37" s="11"/>
      <c r="D37" s="697"/>
      <c r="E37" s="11"/>
      <c r="F37" s="257"/>
      <c r="I37" s="11"/>
      <c r="J37" s="257"/>
      <c r="M37" s="11"/>
      <c r="N37" s="257"/>
      <c r="Q37" s="11"/>
      <c r="R37" s="257"/>
      <c r="U37" s="11"/>
      <c r="V37" s="257"/>
      <c r="W37" s="700"/>
      <c r="X37" s="700"/>
    </row>
    <row r="38" spans="1:24">
      <c r="A38" s="239" t="s">
        <v>858</v>
      </c>
      <c r="B38" s="24"/>
      <c r="C38" s="11"/>
      <c r="D38" s="697"/>
      <c r="E38" s="11"/>
      <c r="F38" s="257"/>
      <c r="I38" s="11"/>
      <c r="J38" s="257"/>
      <c r="M38" s="11"/>
      <c r="N38" s="257"/>
      <c r="Q38" s="11"/>
      <c r="R38" s="257"/>
      <c r="U38" s="11"/>
      <c r="V38" s="257"/>
      <c r="W38" s="700"/>
      <c r="X38" s="700"/>
    </row>
    <row r="39" spans="1:24">
      <c r="A39" s="239" t="s">
        <v>914</v>
      </c>
      <c r="B39" s="24"/>
      <c r="C39" s="11"/>
      <c r="D39" s="697"/>
      <c r="E39" s="11"/>
      <c r="F39" s="257"/>
      <c r="G39" s="21"/>
      <c r="H39" s="260"/>
      <c r="I39" s="11"/>
      <c r="J39" s="257"/>
      <c r="K39" s="21"/>
      <c r="L39" s="260"/>
      <c r="M39" s="11"/>
      <c r="N39" s="257"/>
      <c r="O39" s="21"/>
      <c r="P39" s="260"/>
      <c r="Q39" s="11"/>
      <c r="R39" s="257"/>
      <c r="S39" s="21"/>
      <c r="T39" s="260"/>
      <c r="U39" s="11"/>
      <c r="V39" s="257"/>
      <c r="W39" s="700"/>
      <c r="X39" s="700"/>
    </row>
    <row r="40" spans="1:24">
      <c r="A40" s="239" t="s">
        <v>916</v>
      </c>
      <c r="B40" s="24"/>
      <c r="C40" s="11"/>
      <c r="D40" s="697"/>
      <c r="E40" s="11"/>
      <c r="F40" s="257"/>
      <c r="I40" s="11"/>
      <c r="J40" s="257"/>
      <c r="M40" s="11"/>
      <c r="N40" s="257"/>
      <c r="Q40" s="11"/>
      <c r="R40" s="257"/>
      <c r="U40" s="11"/>
      <c r="V40" s="257"/>
      <c r="W40" s="700"/>
      <c r="X40" s="700"/>
    </row>
    <row r="41" spans="1:24">
      <c r="A41" s="239" t="s">
        <v>918</v>
      </c>
      <c r="B41" s="24"/>
      <c r="C41" s="11"/>
      <c r="D41" s="697"/>
      <c r="E41" s="11"/>
      <c r="F41" s="257"/>
      <c r="I41" s="11"/>
      <c r="J41" s="257"/>
      <c r="M41" s="11"/>
      <c r="N41" s="257"/>
      <c r="Q41" s="11"/>
      <c r="R41" s="257"/>
      <c r="U41" s="11"/>
      <c r="V41" s="257"/>
      <c r="W41" s="700"/>
      <c r="X41" s="700"/>
    </row>
    <row r="42" spans="1:24">
      <c r="A42" s="239" t="s">
        <v>913</v>
      </c>
      <c r="B42" s="24"/>
      <c r="C42" s="11"/>
      <c r="D42" s="697"/>
      <c r="E42" s="11"/>
      <c r="F42" s="257"/>
      <c r="G42" s="21"/>
      <c r="H42" s="260"/>
      <c r="I42" s="11"/>
      <c r="J42" s="257"/>
      <c r="K42" s="21"/>
      <c r="L42" s="260"/>
      <c r="M42" s="11"/>
      <c r="N42" s="257"/>
      <c r="O42" s="21"/>
      <c r="P42" s="260"/>
      <c r="Q42" s="11"/>
      <c r="R42" s="257"/>
      <c r="S42" s="21"/>
      <c r="T42" s="260"/>
      <c r="U42" s="11"/>
      <c r="V42" s="257"/>
      <c r="W42" s="700"/>
      <c r="X42" s="700"/>
    </row>
    <row r="43" spans="1:24">
      <c r="A43" s="239" t="s">
        <v>915</v>
      </c>
      <c r="B43" s="24"/>
      <c r="C43" s="11"/>
      <c r="D43" s="697"/>
      <c r="E43" s="11"/>
      <c r="F43" s="257"/>
      <c r="I43" s="11"/>
      <c r="J43" s="257"/>
      <c r="M43" s="11"/>
      <c r="N43" s="257"/>
      <c r="Q43" s="11"/>
      <c r="R43" s="257"/>
      <c r="U43" s="11"/>
      <c r="V43" s="257"/>
      <c r="W43" s="700"/>
      <c r="X43" s="700"/>
    </row>
    <row r="44" spans="1:24">
      <c r="A44" s="239" t="s">
        <v>917</v>
      </c>
      <c r="B44" s="24"/>
      <c r="C44" s="11"/>
      <c r="D44" s="697"/>
      <c r="E44" s="11"/>
      <c r="F44" s="257"/>
      <c r="I44" s="11"/>
      <c r="J44" s="257"/>
      <c r="M44" s="11"/>
      <c r="N44" s="257"/>
      <c r="Q44" s="11"/>
      <c r="R44" s="257"/>
      <c r="U44" s="11"/>
      <c r="V44" s="257"/>
      <c r="W44" s="700"/>
      <c r="X44" s="700"/>
    </row>
    <row r="45" spans="1:24">
      <c r="A45" s="239" t="s">
        <v>919</v>
      </c>
      <c r="B45" s="24"/>
      <c r="C45" s="11"/>
      <c r="D45" s="697"/>
      <c r="E45" s="11"/>
      <c r="F45" s="257"/>
      <c r="G45" s="21"/>
      <c r="H45" s="260"/>
      <c r="I45" s="11"/>
      <c r="J45" s="257"/>
      <c r="K45" s="21"/>
      <c r="L45" s="260"/>
      <c r="M45" s="11"/>
      <c r="N45" s="257"/>
      <c r="O45" s="21"/>
      <c r="P45" s="260"/>
      <c r="Q45" s="11"/>
      <c r="R45" s="257"/>
      <c r="S45" s="21"/>
      <c r="T45" s="260"/>
      <c r="U45" s="11"/>
      <c r="V45" s="257"/>
      <c r="W45" s="700"/>
      <c r="X45" s="700"/>
    </row>
    <row r="46" spans="1:24">
      <c r="A46" s="239" t="s">
        <v>920</v>
      </c>
      <c r="B46" s="24"/>
      <c r="C46" s="11"/>
      <c r="D46" s="697"/>
      <c r="E46" s="11"/>
      <c r="F46" s="257"/>
      <c r="I46" s="11"/>
      <c r="J46" s="257"/>
      <c r="M46" s="11"/>
      <c r="N46" s="257"/>
      <c r="Q46" s="11"/>
      <c r="R46" s="257"/>
      <c r="U46" s="11"/>
      <c r="V46" s="257"/>
      <c r="W46" s="700"/>
      <c r="X46" s="700"/>
    </row>
    <row r="47" spans="1:24">
      <c r="A47" s="239" t="s">
        <v>921</v>
      </c>
      <c r="B47" s="24"/>
      <c r="C47" s="11"/>
      <c r="D47" s="697"/>
      <c r="E47" s="11"/>
      <c r="F47" s="257"/>
      <c r="I47" s="11"/>
      <c r="J47" s="257"/>
      <c r="M47" s="11"/>
      <c r="N47" s="257"/>
      <c r="Q47" s="11"/>
      <c r="R47" s="257"/>
      <c r="U47" s="11"/>
      <c r="V47" s="257"/>
      <c r="W47" s="700"/>
      <c r="X47" s="700"/>
    </row>
    <row r="48" spans="1:24">
      <c r="A48" s="239" t="s">
        <v>922</v>
      </c>
      <c r="B48" s="24"/>
      <c r="C48" s="11"/>
      <c r="D48" s="697"/>
      <c r="E48" s="11"/>
      <c r="F48" s="257"/>
      <c r="G48" s="21"/>
      <c r="H48" s="260"/>
      <c r="I48" s="11"/>
      <c r="J48" s="257"/>
      <c r="K48" s="21"/>
      <c r="L48" s="260"/>
      <c r="M48" s="11"/>
      <c r="N48" s="257"/>
      <c r="O48" s="21"/>
      <c r="P48" s="260"/>
      <c r="Q48" s="11"/>
      <c r="R48" s="257"/>
      <c r="S48" s="21"/>
      <c r="T48" s="260"/>
      <c r="U48" s="11"/>
      <c r="V48" s="257"/>
      <c r="W48" s="700"/>
      <c r="X48" s="700"/>
    </row>
  </sheetData>
  <phoneticPr fontId="30"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C13F6-8143-4187-9115-BE5771C0CD85}">
  <sheetPr codeName="Sheet19"/>
  <dimension ref="A1:BZ10"/>
  <sheetViews>
    <sheetView zoomScale="90" zoomScaleNormal="90" workbookViewId="0">
      <pane xSplit="8" ySplit="2" topLeftCell="AR3" activePane="bottomRight" state="frozen"/>
      <selection pane="topRight" activeCell="I1" sqref="I1"/>
      <selection pane="bottomLeft" activeCell="A3" sqref="A3"/>
      <selection pane="bottomRight"/>
    </sheetView>
  </sheetViews>
  <sheetFormatPr defaultColWidth="9.140625" defaultRowHeight="12" outlineLevelCol="1"/>
  <cols>
    <col min="1" max="8" width="9.140625" style="1"/>
    <col min="9" max="12" width="11.42578125" style="1" customWidth="1" outlineLevel="1"/>
    <col min="13" max="13" width="11.42578125" style="1" customWidth="1"/>
    <col min="14" max="17" width="11.42578125" style="1" customWidth="1" outlineLevel="1"/>
    <col min="18" max="18" width="11.42578125" style="1" customWidth="1"/>
    <col min="19" max="22" width="11.42578125" style="1" customWidth="1" outlineLevel="1"/>
    <col min="23" max="23" width="11.42578125" style="1" customWidth="1"/>
    <col min="24" max="27" width="11.42578125" style="1" customWidth="1" outlineLevel="1"/>
    <col min="28" max="28" width="11.42578125" style="1" customWidth="1"/>
    <col min="29" max="32" width="11.42578125" style="1" customWidth="1" outlineLevel="1"/>
    <col min="33" max="33" width="11.42578125" style="1" customWidth="1"/>
    <col min="34" max="37" width="11.42578125" style="1" customWidth="1" outlineLevel="1"/>
    <col min="38" max="38" width="11.42578125" style="1" customWidth="1"/>
    <col min="39" max="42" width="11.42578125" style="1" customWidth="1" outlineLevel="1"/>
    <col min="43" max="43" width="11.42578125" style="1" customWidth="1"/>
    <col min="44" max="47" width="11.42578125" style="1" customWidth="1" outlineLevel="1"/>
    <col min="48" max="78" width="11.42578125" style="1" customWidth="1"/>
    <col min="79" max="16384" width="9.140625" style="1"/>
  </cols>
  <sheetData>
    <row r="1" spans="1:78" s="2" customFormat="1">
      <c r="A1" s="2" t="s">
        <v>0</v>
      </c>
      <c r="I1" s="43" t="s">
        <v>160</v>
      </c>
      <c r="J1" s="43" t="s">
        <v>161</v>
      </c>
      <c r="K1" s="43" t="s">
        <v>162</v>
      </c>
      <c r="M1" s="18" t="s">
        <v>159</v>
      </c>
      <c r="N1" s="43" t="s">
        <v>150</v>
      </c>
      <c r="O1" s="43" t="s">
        <v>151</v>
      </c>
      <c r="P1" s="43" t="s">
        <v>152</v>
      </c>
      <c r="R1" s="18" t="s">
        <v>153</v>
      </c>
      <c r="S1" s="43" t="s">
        <v>146</v>
      </c>
      <c r="T1" s="43" t="s">
        <v>147</v>
      </c>
      <c r="U1" s="43" t="s">
        <v>148</v>
      </c>
      <c r="W1" s="18" t="s">
        <v>149</v>
      </c>
      <c r="X1" s="43" t="s">
        <v>142</v>
      </c>
      <c r="Y1" s="43" t="s">
        <v>143</v>
      </c>
      <c r="Z1" s="43" t="s">
        <v>144</v>
      </c>
      <c r="AB1" s="18" t="s">
        <v>145</v>
      </c>
      <c r="AC1" s="43" t="s">
        <v>138</v>
      </c>
      <c r="AD1" s="43" t="s">
        <v>139</v>
      </c>
      <c r="AE1" s="43" t="s">
        <v>140</v>
      </c>
      <c r="AG1" s="18" t="s">
        <v>141</v>
      </c>
      <c r="AH1" s="43" t="s">
        <v>126</v>
      </c>
      <c r="AI1" s="43" t="s">
        <v>127</v>
      </c>
      <c r="AJ1" s="43" t="s">
        <v>128</v>
      </c>
      <c r="AL1" s="18" t="s">
        <v>79</v>
      </c>
      <c r="AM1" s="43" t="s">
        <v>129</v>
      </c>
      <c r="AN1" s="43" t="s">
        <v>130</v>
      </c>
      <c r="AO1" s="43" t="s">
        <v>131</v>
      </c>
      <c r="AQ1" s="18" t="s">
        <v>90</v>
      </c>
      <c r="AR1" s="43" t="s">
        <v>700</v>
      </c>
      <c r="AS1" s="43" t="s">
        <v>701</v>
      </c>
      <c r="AT1" s="43" t="s">
        <v>702</v>
      </c>
      <c r="AV1" s="18" t="s">
        <v>699</v>
      </c>
      <c r="AW1" s="43" t="s">
        <v>1177</v>
      </c>
      <c r="AX1" s="43" t="s">
        <v>1178</v>
      </c>
      <c r="AY1" s="43" t="s">
        <v>1179</v>
      </c>
      <c r="BA1" s="18" t="s">
        <v>1180</v>
      </c>
      <c r="BB1" s="43" t="s">
        <v>1189</v>
      </c>
      <c r="BC1" s="43" t="s">
        <v>1190</v>
      </c>
      <c r="BD1" s="43" t="s">
        <v>1191</v>
      </c>
      <c r="BF1" s="18" t="s">
        <v>1198</v>
      </c>
      <c r="BG1" s="43" t="s">
        <v>1192</v>
      </c>
      <c r="BH1" s="43" t="s">
        <v>1199</v>
      </c>
      <c r="BI1" s="43" t="s">
        <v>1200</v>
      </c>
      <c r="BK1" s="18" t="s">
        <v>1209</v>
      </c>
      <c r="BL1" s="43" t="s">
        <v>1201</v>
      </c>
      <c r="BM1" s="43" t="s">
        <v>1203</v>
      </c>
      <c r="BN1" s="43" t="s">
        <v>1205</v>
      </c>
      <c r="BP1" s="18" t="s">
        <v>1210</v>
      </c>
      <c r="BQ1" s="43" t="s">
        <v>1211</v>
      </c>
      <c r="BR1" s="43" t="s">
        <v>1213</v>
      </c>
      <c r="BS1" s="43" t="s">
        <v>1215</v>
      </c>
      <c r="BU1" s="18" t="s">
        <v>1219</v>
      </c>
      <c r="BV1" s="43" t="s">
        <v>1211</v>
      </c>
      <c r="BW1" s="43" t="s">
        <v>1213</v>
      </c>
      <c r="BX1" s="43" t="s">
        <v>1215</v>
      </c>
      <c r="BZ1" s="18" t="s">
        <v>1220</v>
      </c>
    </row>
    <row r="2" spans="1:78" s="2" customFormat="1">
      <c r="A2" s="2" t="s">
        <v>2</v>
      </c>
      <c r="I2" s="6" t="s">
        <v>194</v>
      </c>
      <c r="J2" s="6" t="s">
        <v>195</v>
      </c>
      <c r="K2" s="6" t="s">
        <v>196</v>
      </c>
      <c r="L2" s="6" t="s">
        <v>197</v>
      </c>
      <c r="M2" s="6" t="s">
        <v>198</v>
      </c>
      <c r="N2" s="6" t="s">
        <v>163</v>
      </c>
      <c r="O2" s="6" t="s">
        <v>164</v>
      </c>
      <c r="P2" s="6" t="s">
        <v>165</v>
      </c>
      <c r="Q2" s="6" t="s">
        <v>166</v>
      </c>
      <c r="R2" s="6" t="s">
        <v>167</v>
      </c>
      <c r="S2" s="6" t="s">
        <v>154</v>
      </c>
      <c r="T2" s="6" t="s">
        <v>155</v>
      </c>
      <c r="U2" s="6" t="s">
        <v>156</v>
      </c>
      <c r="V2" s="6" t="s">
        <v>157</v>
      </c>
      <c r="W2" s="6" t="s">
        <v>158</v>
      </c>
      <c r="X2" s="6" t="s">
        <v>133</v>
      </c>
      <c r="Y2" s="6" t="s">
        <v>134</v>
      </c>
      <c r="Z2" s="6" t="s">
        <v>135</v>
      </c>
      <c r="AA2" s="6" t="s">
        <v>136</v>
      </c>
      <c r="AB2" s="6" t="s">
        <v>137</v>
      </c>
      <c r="AC2" s="6" t="s">
        <v>74</v>
      </c>
      <c r="AD2" s="6" t="s">
        <v>75</v>
      </c>
      <c r="AE2" s="6" t="s">
        <v>76</v>
      </c>
      <c r="AF2" s="6" t="s">
        <v>77</v>
      </c>
      <c r="AG2" s="6" t="s">
        <v>78</v>
      </c>
      <c r="AH2" s="6" t="s">
        <v>10</v>
      </c>
      <c r="AI2" s="6" t="s">
        <v>11</v>
      </c>
      <c r="AJ2" s="6" t="s">
        <v>12</v>
      </c>
      <c r="AK2" s="6" t="s">
        <v>13</v>
      </c>
      <c r="AL2" s="6" t="s">
        <v>14</v>
      </c>
      <c r="AM2" s="6" t="s">
        <v>91</v>
      </c>
      <c r="AN2" s="6" t="s">
        <v>92</v>
      </c>
      <c r="AO2" s="6" t="s">
        <v>93</v>
      </c>
      <c r="AP2" s="6" t="s">
        <v>94</v>
      </c>
      <c r="AQ2" s="6" t="s">
        <v>95</v>
      </c>
      <c r="AR2" s="6" t="s">
        <v>686</v>
      </c>
      <c r="AS2" s="6" t="s">
        <v>695</v>
      </c>
      <c r="AT2" s="6" t="s">
        <v>696</v>
      </c>
      <c r="AU2" s="6" t="s">
        <v>697</v>
      </c>
      <c r="AV2" s="6" t="s">
        <v>698</v>
      </c>
      <c r="AW2" s="6" t="s">
        <v>1172</v>
      </c>
      <c r="AX2" s="6" t="s">
        <v>1173</v>
      </c>
      <c r="AY2" s="6" t="s">
        <v>1174</v>
      </c>
      <c r="AZ2" s="6" t="s">
        <v>1175</v>
      </c>
      <c r="BA2" s="6" t="s">
        <v>1176</v>
      </c>
      <c r="BB2" s="6" t="s">
        <v>1184</v>
      </c>
      <c r="BC2" s="6" t="s">
        <v>1185</v>
      </c>
      <c r="BD2" s="6" t="s">
        <v>1186</v>
      </c>
      <c r="BE2" s="6" t="s">
        <v>1187</v>
      </c>
      <c r="BF2" s="6" t="s">
        <v>1188</v>
      </c>
      <c r="BG2" s="6" t="s">
        <v>1193</v>
      </c>
      <c r="BH2" s="6" t="s">
        <v>1194</v>
      </c>
      <c r="BI2" s="6" t="s">
        <v>1195</v>
      </c>
      <c r="BJ2" s="6" t="s">
        <v>1196</v>
      </c>
      <c r="BK2" s="6" t="s">
        <v>1197</v>
      </c>
      <c r="BL2" s="6" t="s">
        <v>1202</v>
      </c>
      <c r="BM2" s="6" t="s">
        <v>1204</v>
      </c>
      <c r="BN2" s="6" t="s">
        <v>1206</v>
      </c>
      <c r="BO2" s="6" t="s">
        <v>1207</v>
      </c>
      <c r="BP2" s="6" t="s">
        <v>1208</v>
      </c>
      <c r="BQ2" s="6" t="s">
        <v>1212</v>
      </c>
      <c r="BR2" s="6" t="s">
        <v>1214</v>
      </c>
      <c r="BS2" s="6" t="s">
        <v>1216</v>
      </c>
      <c r="BT2" s="6" t="s">
        <v>1217</v>
      </c>
      <c r="BU2" s="6" t="s">
        <v>1218</v>
      </c>
      <c r="BV2" s="6" t="s">
        <v>1221</v>
      </c>
      <c r="BW2" s="6" t="s">
        <v>1222</v>
      </c>
      <c r="BX2" s="6" t="s">
        <v>1223</v>
      </c>
      <c r="BY2" s="6" t="s">
        <v>1224</v>
      </c>
      <c r="BZ2" s="6" t="s">
        <v>1225</v>
      </c>
    </row>
    <row r="4" spans="1:78">
      <c r="A4" s="1" t="s">
        <v>113</v>
      </c>
      <c r="AY4" s="522" t="s">
        <v>2268</v>
      </c>
      <c r="AZ4" s="71"/>
      <c r="BA4" s="71"/>
      <c r="BB4" s="71"/>
    </row>
    <row r="5" spans="1:78">
      <c r="A5" s="5" t="s">
        <v>111</v>
      </c>
      <c r="I5" s="40">
        <v>111.61</v>
      </c>
      <c r="J5" s="40">
        <v>111.38</v>
      </c>
      <c r="K5" s="40">
        <v>112.74</v>
      </c>
      <c r="L5" s="40">
        <v>108.85</v>
      </c>
      <c r="M5" s="41"/>
      <c r="N5" s="40">
        <v>108.71</v>
      </c>
      <c r="O5" s="40">
        <v>111.55</v>
      </c>
      <c r="P5" s="40">
        <v>112.83</v>
      </c>
      <c r="Q5" s="40">
        <v>110.46</v>
      </c>
      <c r="R5" s="41"/>
      <c r="S5" s="40">
        <v>110</v>
      </c>
      <c r="T5" s="40">
        <v>107.7</v>
      </c>
      <c r="U5" s="40">
        <v>108.98</v>
      </c>
      <c r="V5" s="40">
        <v>109.22</v>
      </c>
      <c r="X5" s="40">
        <v>107.74</v>
      </c>
      <c r="Y5" s="40">
        <v>105.88</v>
      </c>
      <c r="Z5" s="40">
        <v>104.45</v>
      </c>
      <c r="AA5" s="40">
        <v>106.24</v>
      </c>
      <c r="AB5" s="41">
        <f>AVERAGE(X5:AA5)</f>
        <v>106.0775</v>
      </c>
      <c r="AC5" s="40">
        <v>110</v>
      </c>
      <c r="AD5" s="40">
        <v>110.47</v>
      </c>
      <c r="AE5" s="40">
        <v>113.6</v>
      </c>
      <c r="AF5" s="40">
        <v>117.1</v>
      </c>
      <c r="AG5" s="41">
        <f>AVERAGE(AC5:AF5)</f>
        <v>112.79249999999999</v>
      </c>
      <c r="AH5" s="40">
        <v>129.04</v>
      </c>
      <c r="AI5" s="40">
        <v>138.68</v>
      </c>
      <c r="AJ5" s="40">
        <v>141.16</v>
      </c>
      <c r="AK5" s="40">
        <v>133.26</v>
      </c>
      <c r="AL5" s="41">
        <f>AVERAGE(AH5:AK5)</f>
        <v>135.535</v>
      </c>
      <c r="AM5" s="40">
        <v>138.11000000000001</v>
      </c>
      <c r="AN5" s="40">
        <v>145.44</v>
      </c>
      <c r="AO5" s="40">
        <v>147</v>
      </c>
      <c r="AP5" s="40">
        <v>147.87</v>
      </c>
      <c r="AQ5" s="41">
        <f>AVERAGE(AM5:AP5)</f>
        <v>144.60500000000002</v>
      </c>
      <c r="AR5" s="40">
        <v>156.53</v>
      </c>
      <c r="AS5" s="40">
        <v>150.26</v>
      </c>
      <c r="AT5" s="40">
        <v>151.32</v>
      </c>
      <c r="AU5" s="40">
        <v>152.94999999999999</v>
      </c>
      <c r="AV5" s="41">
        <f>AVERAGE(AR5:AU5)</f>
        <v>152.76499999999999</v>
      </c>
      <c r="AW5" s="40">
        <v>145.19</v>
      </c>
      <c r="AX5" s="40">
        <v>147.5</v>
      </c>
      <c r="AY5" s="40">
        <v>154.04</v>
      </c>
      <c r="AZ5" s="221">
        <f>FP!$G$4</f>
        <v>155.1</v>
      </c>
      <c r="BA5" s="41">
        <f>AVERAGE(AW5:AZ5)</f>
        <v>150.45750000000001</v>
      </c>
      <c r="BB5" s="723">
        <f>MROUND(AZ5*0.9975, 0.1)</f>
        <v>154.70000000000002</v>
      </c>
      <c r="BC5" s="723">
        <f t="shared" ref="BC5:BE5" si="0">MROUND(BB5*0.9975, 0.1)</f>
        <v>154.30000000000001</v>
      </c>
      <c r="BD5" s="723">
        <f t="shared" si="0"/>
        <v>153.9</v>
      </c>
      <c r="BE5" s="723">
        <f t="shared" si="0"/>
        <v>153.5</v>
      </c>
      <c r="BF5" s="24"/>
      <c r="BG5" s="723">
        <f>MROUND(BE5*0.9975, 0.1)</f>
        <v>153.1</v>
      </c>
      <c r="BH5" s="723">
        <f t="shared" ref="BH5:BJ5" si="1">MROUND(BG5*0.9975, 0.1)</f>
        <v>152.70000000000002</v>
      </c>
      <c r="BI5" s="723">
        <f t="shared" si="1"/>
        <v>152.30000000000001</v>
      </c>
      <c r="BJ5" s="723">
        <f t="shared" si="1"/>
        <v>151.9</v>
      </c>
      <c r="BK5" s="24"/>
      <c r="BL5" s="723">
        <f>MROUND(BJ5*0.9975, 0.1)</f>
        <v>151.5</v>
      </c>
      <c r="BM5" s="723">
        <f t="shared" ref="BM5:BO5" si="2">MROUND(BL5*0.9975, 0.1)</f>
        <v>151.1</v>
      </c>
      <c r="BN5" s="723">
        <f t="shared" si="2"/>
        <v>150.70000000000002</v>
      </c>
      <c r="BO5" s="723">
        <f t="shared" si="2"/>
        <v>150.30000000000001</v>
      </c>
      <c r="BP5" s="24"/>
      <c r="BQ5" s="723">
        <f>MROUND(BO5*0.9975, 0.1)</f>
        <v>149.9</v>
      </c>
      <c r="BR5" s="723">
        <f t="shared" ref="BR5:BT5" si="3">MROUND(BQ5*0.9975, 0.1)</f>
        <v>149.5</v>
      </c>
      <c r="BS5" s="723">
        <f t="shared" si="3"/>
        <v>149.1</v>
      </c>
      <c r="BT5" s="723">
        <f t="shared" si="3"/>
        <v>148.70000000000002</v>
      </c>
      <c r="BU5" s="24"/>
      <c r="BV5" s="723">
        <f>MROUND(BT5*0.9975, 0.1)</f>
        <v>148.30000000000001</v>
      </c>
      <c r="BW5" s="723">
        <f t="shared" ref="BW5:BY5" si="4">MROUND(BV5*0.9975, 0.1)</f>
        <v>147.9</v>
      </c>
      <c r="BX5" s="723">
        <f t="shared" si="4"/>
        <v>147.5</v>
      </c>
      <c r="BY5" s="723">
        <f t="shared" si="4"/>
        <v>147.1</v>
      </c>
      <c r="BZ5" s="24"/>
    </row>
    <row r="6" spans="1:78">
      <c r="A6" s="5" t="s">
        <v>112</v>
      </c>
      <c r="I6" s="40">
        <v>112</v>
      </c>
      <c r="J6" s="40">
        <v>112.73</v>
      </c>
      <c r="K6" s="40">
        <v>113</v>
      </c>
      <c r="L6" s="40">
        <v>106.24</v>
      </c>
      <c r="N6" s="40">
        <v>110.54</v>
      </c>
      <c r="O6" s="40">
        <v>113.57</v>
      </c>
      <c r="P6" s="40">
        <v>111</v>
      </c>
      <c r="Q6" s="40">
        <v>110.99</v>
      </c>
      <c r="S6" s="40">
        <v>107.79</v>
      </c>
      <c r="T6" s="40">
        <v>107.92</v>
      </c>
      <c r="U6" s="40">
        <v>109.56</v>
      </c>
      <c r="V6" s="40">
        <v>108.83</v>
      </c>
      <c r="X6" s="40">
        <v>107.74</v>
      </c>
      <c r="Y6" s="40">
        <v>105.8</v>
      </c>
      <c r="Z6" s="40">
        <v>103.5</v>
      </c>
      <c r="AA6" s="40">
        <v>110.71</v>
      </c>
      <c r="AB6" s="41">
        <f>AA6</f>
        <v>110.71</v>
      </c>
      <c r="AC6" s="40">
        <v>110.58</v>
      </c>
      <c r="AD6" s="40">
        <v>111.92</v>
      </c>
      <c r="AE6" s="40">
        <v>115.02</v>
      </c>
      <c r="AF6" s="40">
        <v>122.39</v>
      </c>
      <c r="AG6" s="41">
        <f>AF6</f>
        <v>122.39</v>
      </c>
      <c r="AH6" s="40">
        <v>136.68</v>
      </c>
      <c r="AI6" s="40">
        <v>144.81</v>
      </c>
      <c r="AJ6" s="40">
        <v>132.69999999999999</v>
      </c>
      <c r="AK6" s="40">
        <v>133.53</v>
      </c>
      <c r="AL6" s="41">
        <f>AK6</f>
        <v>133.53</v>
      </c>
      <c r="AM6" s="40">
        <v>144.99</v>
      </c>
      <c r="AN6" s="40">
        <v>149.58000000000001</v>
      </c>
      <c r="AO6" s="40">
        <v>141.83000000000001</v>
      </c>
      <c r="AP6" s="40">
        <v>151.41</v>
      </c>
      <c r="AQ6" s="41">
        <f>AP6</f>
        <v>151.41</v>
      </c>
      <c r="AR6" s="40">
        <v>161.07</v>
      </c>
      <c r="AS6" s="40">
        <v>142.72999999999999</v>
      </c>
      <c r="AT6" s="40">
        <v>158.18</v>
      </c>
      <c r="AU6" s="40">
        <v>149.52000000000001</v>
      </c>
      <c r="AV6" s="41">
        <f>AU6</f>
        <v>149.52000000000001</v>
      </c>
      <c r="AW6" s="40">
        <v>144.81</v>
      </c>
      <c r="AX6" s="40">
        <v>148.88</v>
      </c>
      <c r="AY6" s="40">
        <v>156.56</v>
      </c>
      <c r="AZ6" s="221">
        <f>FP!$G$4</f>
        <v>155.1</v>
      </c>
      <c r="BA6" s="41">
        <f>AZ6</f>
        <v>155.1</v>
      </c>
      <c r="BB6" s="723">
        <f>MROUND(AZ6*0.9975, 0.1)</f>
        <v>154.70000000000002</v>
      </c>
      <c r="BC6" s="723">
        <f t="shared" ref="BC6:BE6" si="5">MROUND(BB6*0.9975, 0.1)</f>
        <v>154.30000000000001</v>
      </c>
      <c r="BD6" s="723">
        <f t="shared" si="5"/>
        <v>153.9</v>
      </c>
      <c r="BE6" s="723">
        <f t="shared" si="5"/>
        <v>153.5</v>
      </c>
      <c r="BF6" s="24"/>
      <c r="BG6" s="723">
        <f>MROUND(BE6*0.9975, 0.1)</f>
        <v>153.1</v>
      </c>
      <c r="BH6" s="723">
        <f t="shared" ref="BH6:BJ6" si="6">MROUND(BG6*0.9975, 0.1)</f>
        <v>152.70000000000002</v>
      </c>
      <c r="BI6" s="723">
        <f t="shared" si="6"/>
        <v>152.30000000000001</v>
      </c>
      <c r="BJ6" s="723">
        <f t="shared" si="6"/>
        <v>151.9</v>
      </c>
      <c r="BK6" s="24"/>
      <c r="BL6" s="723">
        <f>MROUND(BJ6*0.9975, 0.1)</f>
        <v>151.5</v>
      </c>
      <c r="BM6" s="723">
        <f t="shared" ref="BM6:BO6" si="7">MROUND(BL6*0.9975, 0.1)</f>
        <v>151.1</v>
      </c>
      <c r="BN6" s="723">
        <f t="shared" si="7"/>
        <v>150.70000000000002</v>
      </c>
      <c r="BO6" s="723">
        <f t="shared" si="7"/>
        <v>150.30000000000001</v>
      </c>
      <c r="BP6" s="24"/>
      <c r="BQ6" s="723">
        <f>MROUND(BO6*0.9975, 0.1)</f>
        <v>149.9</v>
      </c>
      <c r="BR6" s="723">
        <f t="shared" ref="BR6:BT6" si="8">MROUND(BQ6*0.9975, 0.1)</f>
        <v>149.5</v>
      </c>
      <c r="BS6" s="723">
        <f t="shared" si="8"/>
        <v>149.1</v>
      </c>
      <c r="BT6" s="723">
        <f t="shared" si="8"/>
        <v>148.70000000000002</v>
      </c>
      <c r="BU6" s="24"/>
      <c r="BV6" s="723">
        <f>MROUND(BT6*0.9975, 0.1)</f>
        <v>148.30000000000001</v>
      </c>
      <c r="BW6" s="723">
        <f t="shared" ref="BW6:BY6" si="9">MROUND(BV6*0.9975, 0.1)</f>
        <v>147.9</v>
      </c>
      <c r="BX6" s="723">
        <f t="shared" si="9"/>
        <v>147.5</v>
      </c>
      <c r="BY6" s="723">
        <f t="shared" si="9"/>
        <v>147.1</v>
      </c>
      <c r="BZ6" s="24"/>
    </row>
    <row r="8" spans="1:78">
      <c r="A8" s="1" t="s">
        <v>114</v>
      </c>
    </row>
    <row r="9" spans="1:78">
      <c r="A9" s="5" t="s">
        <v>115</v>
      </c>
      <c r="I9" s="16"/>
      <c r="J9" s="16">
        <f>J5/I5-1</f>
        <v>-2.0607472448705977E-3</v>
      </c>
      <c r="K9" s="16">
        <f>K5/J5-1</f>
        <v>1.2210450709283505E-2</v>
      </c>
      <c r="L9" s="16">
        <f>L5/K5-1</f>
        <v>-3.4504168884158193E-2</v>
      </c>
      <c r="N9" s="16">
        <f>N5/L5-1</f>
        <v>-1.2861736334405238E-3</v>
      </c>
      <c r="O9" s="16">
        <f>O5/N5-1</f>
        <v>2.6124551559194131E-2</v>
      </c>
      <c r="P9" s="16">
        <f>P5/O5-1</f>
        <v>1.147467503361721E-2</v>
      </c>
      <c r="Q9" s="16">
        <f>Q5/P5-1</f>
        <v>-2.1005051847912792E-2</v>
      </c>
      <c r="S9" s="16">
        <f>S5/Q5-1</f>
        <v>-4.1644034039470812E-3</v>
      </c>
      <c r="T9" s="16">
        <f>T5/S5-1</f>
        <v>-2.0909090909090877E-2</v>
      </c>
      <c r="U9" s="16">
        <f>U5/T5-1</f>
        <v>1.1884865366759589E-2</v>
      </c>
      <c r="V9" s="16">
        <f>V5/U5-1</f>
        <v>2.2022389429252609E-3</v>
      </c>
      <c r="X9" s="16">
        <f>X5/V5-1</f>
        <v>-1.3550631752426323E-2</v>
      </c>
      <c r="Y9" s="16">
        <f>Y5/X5-1</f>
        <v>-1.7263783181733827E-2</v>
      </c>
      <c r="Z9" s="16">
        <f>Z5/Y5-1</f>
        <v>-1.3505855685681856E-2</v>
      </c>
      <c r="AA9" s="16">
        <f>AA5/Z5-1</f>
        <v>1.7137386309238778E-2</v>
      </c>
      <c r="AC9" s="16">
        <f>AC5/AA5-1</f>
        <v>3.5391566265060348E-2</v>
      </c>
      <c r="AD9" s="16">
        <f>AD5/AC5-1</f>
        <v>4.2727272727272059E-3</v>
      </c>
      <c r="AE9" s="16">
        <f>AE5/AD5-1</f>
        <v>2.8333484203856285E-2</v>
      </c>
      <c r="AF9" s="16">
        <f>AF5/AE5-1</f>
        <v>3.0809859154929509E-2</v>
      </c>
      <c r="AH9" s="16">
        <f>AH5/AF5-1</f>
        <v>0.10196413321947051</v>
      </c>
      <c r="AI9" s="16">
        <f>AI5/AH5-1</f>
        <v>7.4705517668939958E-2</v>
      </c>
      <c r="AJ9" s="16">
        <f>AJ5/AI5-1</f>
        <v>1.7882895875396487E-2</v>
      </c>
      <c r="AK9" s="16">
        <f>AK5/AJ5-1</f>
        <v>-5.59648625672996E-2</v>
      </c>
      <c r="AM9" s="16">
        <f>AM5/AK5-1</f>
        <v>3.6395017259492901E-2</v>
      </c>
      <c r="AN9" s="16">
        <f>AN5/AM5-1</f>
        <v>5.3073636956049386E-2</v>
      </c>
      <c r="AO9" s="16">
        <f>AO5/AN5-1</f>
        <v>1.0726072607260662E-2</v>
      </c>
      <c r="AP9" s="16">
        <f>AP5/AO5-1</f>
        <v>5.9183673469387355E-3</v>
      </c>
      <c r="AR9" s="16">
        <f>AR5/AP5-1</f>
        <v>5.8564955704334842E-2</v>
      </c>
      <c r="AS9" s="16">
        <f>AS5/AR5-1</f>
        <v>-4.0056219255094949E-2</v>
      </c>
      <c r="AT9" s="16">
        <f>AT5/AS5-1</f>
        <v>7.0544389724478407E-3</v>
      </c>
      <c r="AU9" s="16">
        <f>AU5/AT5-1</f>
        <v>1.0771874173935991E-2</v>
      </c>
      <c r="AW9" s="16">
        <f>AW5/AU5-1</f>
        <v>-5.0735534488394851E-2</v>
      </c>
      <c r="AX9" s="16">
        <f>AX5/AW5-1</f>
        <v>1.5910186651973302E-2</v>
      </c>
      <c r="AY9" s="16">
        <f>AY5/AX5-1</f>
        <v>4.433898305084738E-2</v>
      </c>
      <c r="AZ9" s="16">
        <f>AZ5/AY5-1</f>
        <v>6.8813295247986961E-3</v>
      </c>
      <c r="BB9" s="16">
        <f>BB5/AZ5-1</f>
        <v>-2.5789813023854302E-3</v>
      </c>
      <c r="BC9" s="16">
        <f>BC5/BB5-1</f>
        <v>-2.5856496444731647E-3</v>
      </c>
      <c r="BD9" s="16">
        <f>BD5/BC5-1</f>
        <v>-2.5923525599481634E-3</v>
      </c>
      <c r="BE9" s="16">
        <f>BE5/BD5-1</f>
        <v>-2.5990903183885639E-3</v>
      </c>
      <c r="BG9" s="16">
        <f>BG5/BE5-1</f>
        <v>-2.6058631921824782E-3</v>
      </c>
      <c r="BH9" s="16">
        <f>BH5/BG5-1</f>
        <v>-2.6126714565641862E-3</v>
      </c>
      <c r="BI9" s="16">
        <f>BI5/BH5-1</f>
        <v>-2.6195153896529932E-3</v>
      </c>
      <c r="BJ9" s="16">
        <f>BJ5/BI5-1</f>
        <v>-2.6263952724885353E-3</v>
      </c>
      <c r="BL9" s="16">
        <f>BL5/BJ5-1</f>
        <v>-2.6333113890717463E-3</v>
      </c>
      <c r="BM9" s="16">
        <f>BM5/BL5-1</f>
        <v>-2.6402640264027166E-3</v>
      </c>
      <c r="BN9" s="16">
        <f>BN5/BM5-1</f>
        <v>-2.6472534745199949E-3</v>
      </c>
      <c r="BO9" s="16">
        <f>BO5/BN5-1</f>
        <v>-2.6542800265428879E-3</v>
      </c>
      <c r="BQ9" s="16">
        <f>BQ5/BO5-1</f>
        <v>-2.6613439787093185E-3</v>
      </c>
      <c r="BR9" s="16">
        <f>BR5/BQ5-1</f>
        <v>-2.6684456304203463E-3</v>
      </c>
      <c r="BS9" s="16">
        <f>BS5/BR5-1</f>
        <v>-2.6755852842810235E-3</v>
      </c>
      <c r="BT9" s="16">
        <f>BT5/BS5-1</f>
        <v>-2.6827632461433604E-3</v>
      </c>
      <c r="BV9" s="16">
        <f>BV5/BT5-1</f>
        <v>-2.6899798251514007E-3</v>
      </c>
      <c r="BW9" s="16">
        <f>BW5/BV5-1</f>
        <v>-2.6972353337829658E-3</v>
      </c>
      <c r="BX9" s="16">
        <f>BX5/BW5-1</f>
        <v>-2.7045300878972833E-3</v>
      </c>
      <c r="BY9" s="16">
        <f>BY5/BX5-1</f>
        <v>-2.7118644067797293E-3</v>
      </c>
    </row>
    <row r="10" spans="1:78">
      <c r="A10" s="5" t="s">
        <v>116</v>
      </c>
      <c r="N10" s="16">
        <f t="shared" ref="N10" si="10">N5/I5-1</f>
        <v>-2.5983334826628512E-2</v>
      </c>
      <c r="O10" s="16">
        <f t="shared" ref="O10" si="11">O5/J5-1</f>
        <v>1.5263063386603548E-3</v>
      </c>
      <c r="P10" s="16">
        <f t="shared" ref="P10" si="12">P5/K5-1</f>
        <v>7.9829696647149007E-4</v>
      </c>
      <c r="Q10" s="16">
        <f t="shared" ref="Q10" si="13">Q5/L5-1</f>
        <v>1.4790996784565857E-2</v>
      </c>
      <c r="S10" s="16">
        <f t="shared" ref="S10" si="14">S5/N5-1</f>
        <v>1.1866433630760786E-2</v>
      </c>
      <c r="T10" s="16">
        <f t="shared" ref="T10" si="15">T5/O5-1</f>
        <v>-3.4513670999551715E-2</v>
      </c>
      <c r="U10" s="16">
        <f t="shared" ref="U10" si="16">U5/P5-1</f>
        <v>-3.412213063901437E-2</v>
      </c>
      <c r="V10" s="16">
        <f t="shared" ref="V10" si="17">V5/Q5-1</f>
        <v>-1.1225783088900876E-2</v>
      </c>
      <c r="X10" s="16">
        <f t="shared" ref="X10" si="18">X5/S5-1</f>
        <v>-2.0545454545454644E-2</v>
      </c>
      <c r="Y10" s="16">
        <f t="shared" ref="Y10" si="19">Y5/T5-1</f>
        <v>-1.6898792943361274E-2</v>
      </c>
      <c r="Z10" s="16">
        <f t="shared" ref="Z10" si="20">Z5/U5-1</f>
        <v>-4.156726004771516E-2</v>
      </c>
      <c r="AA10" s="16">
        <f t="shared" ref="AA10" si="21">AA5/V5-1</f>
        <v>-2.7284380150155663E-2</v>
      </c>
      <c r="AC10" s="16">
        <f t="shared" ref="AC10" si="22">AC5/X5-1</f>
        <v>2.0976424726192766E-2</v>
      </c>
      <c r="AD10" s="16">
        <f t="shared" ref="AD10" si="23">AD5/Y5-1</f>
        <v>4.3350963354741312E-2</v>
      </c>
      <c r="AE10" s="16">
        <f t="shared" ref="AE10" si="24">AE5/Z5-1</f>
        <v>8.7601723312589641E-2</v>
      </c>
      <c r="AF10" s="16">
        <f t="shared" ref="AF10" si="25">AF5/AA5-1</f>
        <v>0.10222138554216875</v>
      </c>
      <c r="AH10" s="16">
        <f t="shared" ref="AH10:AK10" si="26">AH5/AC5-1</f>
        <v>0.17309090909090896</v>
      </c>
      <c r="AI10" s="16">
        <f t="shared" si="26"/>
        <v>0.25536344708970771</v>
      </c>
      <c r="AJ10" s="16">
        <f t="shared" si="26"/>
        <v>0.24260563380281686</v>
      </c>
      <c r="AK10" s="16">
        <f t="shared" si="26"/>
        <v>0.13800170794193001</v>
      </c>
      <c r="AM10" s="16">
        <f>AM5/AH5-1</f>
        <v>7.0288282703037996E-2</v>
      </c>
      <c r="AN10" s="16">
        <f>AN5/AI5-1</f>
        <v>4.8745312950677855E-2</v>
      </c>
      <c r="AO10" s="16">
        <f>AO5/AJ5-1</f>
        <v>4.1371493340889742E-2</v>
      </c>
      <c r="AP10" s="16">
        <f t="shared" ref="AP10" si="27">AP5/AK5-1</f>
        <v>0.10963529941467809</v>
      </c>
      <c r="AR10" s="16">
        <f>AR5/AM5-1</f>
        <v>0.13337194989501122</v>
      </c>
      <c r="AS10" s="16">
        <f>AS5/AN5-1</f>
        <v>3.314081408140801E-2</v>
      </c>
      <c r="AT10" s="16">
        <f>AT5/AO5-1</f>
        <v>2.9387755102040725E-2</v>
      </c>
      <c r="AU10" s="16">
        <f>AU5/AP5-1</f>
        <v>3.4354500574829139E-2</v>
      </c>
      <c r="AW10" s="16">
        <f>AW5/AR5-1</f>
        <v>-7.2446176451798405E-2</v>
      </c>
      <c r="AX10" s="16">
        <f>AX5/AS5-1</f>
        <v>-1.8368161852788445E-2</v>
      </c>
      <c r="AY10" s="16">
        <f>AY5/AT5-1</f>
        <v>1.7975151995770489E-2</v>
      </c>
      <c r="AZ10" s="16">
        <f>AZ5/AU5-1</f>
        <v>1.4056881333769145E-2</v>
      </c>
      <c r="BB10" s="16">
        <f>BB5/AW5-1</f>
        <v>6.5500378813968085E-2</v>
      </c>
      <c r="BC10" s="16">
        <f>BC5/AX5-1</f>
        <v>4.6101694915254399E-2</v>
      </c>
      <c r="BD10" s="16">
        <f>BD5/AY5-1</f>
        <v>-9.0885484289782159E-4</v>
      </c>
      <c r="BE10" s="16">
        <f>BE5/AZ5-1</f>
        <v>-1.0315925209542165E-2</v>
      </c>
      <c r="BG10" s="16">
        <f>BG5/BB5-1</f>
        <v>-1.0342598577892881E-2</v>
      </c>
      <c r="BH10" s="16">
        <f>BH5/BC5-1</f>
        <v>-1.0369410239792543E-2</v>
      </c>
      <c r="BI10" s="16">
        <f>BI5/BD5-1</f>
        <v>-1.0396361273554255E-2</v>
      </c>
      <c r="BJ10" s="16">
        <f>BJ5/BE5-1</f>
        <v>-1.042345276872958E-2</v>
      </c>
      <c r="BL10" s="16">
        <f>BL5/BG5-1</f>
        <v>-1.04506858262573E-2</v>
      </c>
      <c r="BM10" s="16">
        <f>BM5/BH5-1</f>
        <v>-1.0478061558611751E-2</v>
      </c>
      <c r="BN10" s="16">
        <f>BN5/BI5-1</f>
        <v>-1.050558108995403E-2</v>
      </c>
      <c r="BO10" s="16">
        <f>BO5/BJ5-1</f>
        <v>-1.0533245556286985E-2</v>
      </c>
      <c r="BQ10" s="16">
        <f>BQ5/BL5-1</f>
        <v>-1.0561056105610533E-2</v>
      </c>
      <c r="BR10" s="16">
        <f>BR5/BM5-1</f>
        <v>-1.0589013898080757E-2</v>
      </c>
      <c r="BS10" s="16">
        <f>BS5/BN5-1</f>
        <v>-1.0617120106171329E-2</v>
      </c>
      <c r="BT10" s="16">
        <f>BT5/BO5-1</f>
        <v>-1.0645375914836941E-2</v>
      </c>
      <c r="BV10" s="16">
        <f>BV5/BQ5-1</f>
        <v>-1.0673782521681052E-2</v>
      </c>
      <c r="BW10" s="16">
        <f>BW5/BR5-1</f>
        <v>-1.0702341137123761E-2</v>
      </c>
      <c r="BX10" s="16">
        <f>BX5/BS5-1</f>
        <v>-1.0731052984574108E-2</v>
      </c>
      <c r="BY10" s="16">
        <f>BY5/BT5-1</f>
        <v>-1.0759919300605381E-2</v>
      </c>
    </row>
  </sheetData>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3280D-E6DE-4E19-BB68-6092775845B8}">
  <sheetPr codeName="Sheet20"/>
  <dimension ref="A1:F142"/>
  <sheetViews>
    <sheetView zoomScale="90" zoomScaleNormal="90" workbookViewId="0">
      <selection activeCell="A4" sqref="A4:A6"/>
    </sheetView>
  </sheetViews>
  <sheetFormatPr defaultColWidth="9.140625" defaultRowHeight="12"/>
  <cols>
    <col min="1" max="6" width="9.7109375" style="229" customWidth="1"/>
    <col min="7" max="12" width="11.42578125" style="229" customWidth="1"/>
    <col min="13" max="16384" width="9.140625" style="229"/>
  </cols>
  <sheetData>
    <row r="1" spans="1:6" s="230" customFormat="1">
      <c r="A1" s="230" t="s">
        <v>992</v>
      </c>
    </row>
    <row r="3" spans="1:6" s="1" customFormat="1" ht="24">
      <c r="A3" s="1" t="s">
        <v>854</v>
      </c>
      <c r="B3" s="1" t="s">
        <v>856</v>
      </c>
      <c r="C3" s="240" t="s">
        <v>704</v>
      </c>
      <c r="D3" s="240" t="s">
        <v>85</v>
      </c>
      <c r="E3" s="240" t="s">
        <v>705</v>
      </c>
      <c r="F3" s="240" t="s">
        <v>88</v>
      </c>
    </row>
    <row r="4" spans="1:6" s="1" customFormat="1">
      <c r="A4" s="256" t="s">
        <v>3104</v>
      </c>
      <c r="B4" s="231" t="s">
        <v>1174</v>
      </c>
      <c r="C4" s="240"/>
      <c r="D4" s="687">
        <f>1.374491238*10</f>
        <v>13.744912380000001</v>
      </c>
      <c r="E4" s="234">
        <v>203.04</v>
      </c>
      <c r="F4" s="234">
        <v>32.537348541359997</v>
      </c>
    </row>
    <row r="5" spans="1:6" s="1" customFormat="1">
      <c r="A5" s="256" t="s">
        <v>3279</v>
      </c>
      <c r="C5" s="240"/>
      <c r="D5" s="687">
        <f>1.4292208008*10</f>
        <v>14.292208007999999</v>
      </c>
      <c r="E5" s="234">
        <v>209.01</v>
      </c>
      <c r="F5" s="234">
        <v>32.18923933256</v>
      </c>
    </row>
    <row r="6" spans="1:6" s="1" customFormat="1">
      <c r="A6" s="256" t="s">
        <v>3139</v>
      </c>
      <c r="C6" s="240"/>
      <c r="D6" s="687">
        <f>1.4189135715*10</f>
        <v>14.189135715000001</v>
      </c>
      <c r="E6" s="234">
        <v>210.05</v>
      </c>
      <c r="F6" s="234">
        <v>31.014994219929999</v>
      </c>
    </row>
    <row r="7" spans="1:6" s="1" customFormat="1">
      <c r="A7" s="256" t="s">
        <v>2877</v>
      </c>
      <c r="B7" s="231" t="s">
        <v>1173</v>
      </c>
      <c r="C7" s="240"/>
      <c r="D7" s="687">
        <f>1.4710552843*10</f>
        <v>14.710552843</v>
      </c>
      <c r="E7" s="234">
        <v>239.38</v>
      </c>
      <c r="F7" s="234">
        <v>34.037310809879997</v>
      </c>
    </row>
    <row r="8" spans="1:6" s="1" customFormat="1">
      <c r="A8" s="256" t="s">
        <v>3138</v>
      </c>
      <c r="C8" s="240"/>
      <c r="D8" s="687">
        <f>1.5530465916*10</f>
        <v>15.530465916000001</v>
      </c>
      <c r="E8" s="234">
        <v>251.99</v>
      </c>
      <c r="F8" s="234">
        <v>36.518891113880002</v>
      </c>
    </row>
    <row r="9" spans="1:6" s="1" customFormat="1">
      <c r="A9" s="256" t="s">
        <v>3137</v>
      </c>
      <c r="C9" s="240"/>
      <c r="D9" s="687">
        <f>1.4522601374*10</f>
        <v>14.522601373999999</v>
      </c>
      <c r="E9" s="234">
        <v>238.41</v>
      </c>
      <c r="F9" s="234">
        <v>36.010066345559999</v>
      </c>
    </row>
    <row r="10" spans="1:6" s="1" customFormat="1">
      <c r="A10" s="256" t="s">
        <v>2875</v>
      </c>
      <c r="B10" s="231" t="s">
        <v>1172</v>
      </c>
      <c r="C10" s="240"/>
      <c r="D10" s="687">
        <f>1.54564868*10</f>
        <v>15.4564868</v>
      </c>
      <c r="E10" s="234">
        <v>238.26</v>
      </c>
      <c r="F10" s="234">
        <v>36.371109807369997</v>
      </c>
    </row>
    <row r="11" spans="1:6" s="1" customFormat="1">
      <c r="A11" s="256" t="s">
        <v>2894</v>
      </c>
      <c r="C11" s="240"/>
      <c r="D11" s="687">
        <f>1.535271732*10</f>
        <v>15.35271732</v>
      </c>
      <c r="E11" s="234">
        <v>242.2</v>
      </c>
      <c r="F11" s="234">
        <v>37.762396472319999</v>
      </c>
    </row>
    <row r="12" spans="1:6" s="1" customFormat="1">
      <c r="A12" s="256" t="s">
        <v>2893</v>
      </c>
      <c r="C12" s="240"/>
      <c r="D12" s="687">
        <f>1.5115659888*10</f>
        <v>15.115659888</v>
      </c>
      <c r="E12" s="234">
        <v>246.95</v>
      </c>
      <c r="F12" s="234">
        <v>35.852053561200002</v>
      </c>
    </row>
    <row r="13" spans="1:6" s="1" customFormat="1">
      <c r="A13" s="256" t="s">
        <v>2874</v>
      </c>
      <c r="B13" s="231" t="s">
        <v>697</v>
      </c>
      <c r="C13" s="240"/>
      <c r="D13" s="687">
        <f>1.39167134118653*10</f>
        <v>13.916713411865301</v>
      </c>
      <c r="E13" s="234">
        <v>266.70999999999998</v>
      </c>
      <c r="F13" s="234">
        <v>36.9865974924341</v>
      </c>
    </row>
    <row r="14" spans="1:6" s="1" customFormat="1">
      <c r="A14" s="256" t="s">
        <v>2891</v>
      </c>
      <c r="C14" s="240"/>
      <c r="D14" s="687">
        <f>1.42184194067785*10</f>
        <v>14.2184194067785</v>
      </c>
      <c r="E14" s="234">
        <v>269.69</v>
      </c>
      <c r="F14" s="234">
        <v>36.156487358235402</v>
      </c>
    </row>
    <row r="15" spans="1:6" s="1" customFormat="1">
      <c r="A15" s="256" t="s">
        <v>2892</v>
      </c>
      <c r="C15" s="240"/>
      <c r="D15" s="687">
        <f>1.29231325363423*10</f>
        <v>12.923132536342301</v>
      </c>
      <c r="E15" s="234">
        <v>232.97</v>
      </c>
      <c r="F15" s="234">
        <v>33.624363371790899</v>
      </c>
    </row>
    <row r="16" spans="1:6" s="1" customFormat="1">
      <c r="A16" s="256" t="s">
        <v>2794</v>
      </c>
      <c r="B16" s="231" t="s">
        <v>696</v>
      </c>
      <c r="C16" s="240"/>
      <c r="D16" s="687">
        <f>1.26552478876107*10</f>
        <v>12.655247887610701</v>
      </c>
      <c r="E16" s="234">
        <v>220.73</v>
      </c>
      <c r="F16" s="234">
        <v>29.975098568167699</v>
      </c>
    </row>
    <row r="17" spans="1:6" s="1" customFormat="1">
      <c r="A17" s="256" t="s">
        <v>2741</v>
      </c>
      <c r="C17" s="240"/>
      <c r="D17" s="687">
        <f>1.28302237814277*10</f>
        <v>12.830223781427701</v>
      </c>
      <c r="E17" s="234">
        <v>246.94</v>
      </c>
      <c r="F17" s="234">
        <v>31.947668284448199</v>
      </c>
    </row>
    <row r="18" spans="1:6" s="1" customFormat="1">
      <c r="A18" s="256" t="s">
        <v>2740</v>
      </c>
      <c r="C18" s="240"/>
      <c r="D18" s="687">
        <f>1.26497565840408*10</f>
        <v>12.649756584040801</v>
      </c>
      <c r="E18" s="234">
        <v>223.16</v>
      </c>
      <c r="F18" s="234">
        <v>30.206297502714399</v>
      </c>
    </row>
    <row r="19" spans="1:6" s="1" customFormat="1">
      <c r="A19" s="256" t="s">
        <v>2449</v>
      </c>
      <c r="B19" s="231" t="s">
        <v>695</v>
      </c>
      <c r="C19" s="234">
        <v>106.12</v>
      </c>
      <c r="D19" s="687">
        <f>1.30667857940585*10</f>
        <v>13.0667857940585</v>
      </c>
      <c r="E19" s="234">
        <v>206.36</v>
      </c>
      <c r="F19" s="234">
        <v>29.433415123801002</v>
      </c>
    </row>
    <row r="20" spans="1:6" s="1" customFormat="1">
      <c r="A20" s="256" t="s">
        <v>2448</v>
      </c>
      <c r="C20" s="234">
        <v>83.34</v>
      </c>
      <c r="D20" s="687">
        <f>1.39810247720709*10</f>
        <v>13.981024772070899</v>
      </c>
      <c r="E20" s="234">
        <v>198.72</v>
      </c>
      <c r="F20" s="234">
        <v>28.437119787634099</v>
      </c>
    </row>
    <row r="21" spans="1:6" s="1" customFormat="1">
      <c r="A21" s="256" t="s">
        <v>2447</v>
      </c>
      <c r="C21" s="234">
        <v>78.849999999999994</v>
      </c>
      <c r="D21" s="687">
        <f>1.30588211838669*10</f>
        <v>13.0588211838669</v>
      </c>
      <c r="E21" s="234">
        <v>182.28</v>
      </c>
      <c r="F21" s="234">
        <v>26.158008658008701</v>
      </c>
    </row>
    <row r="22" spans="1:6" s="1" customFormat="1">
      <c r="A22" s="256" t="s">
        <v>2446</v>
      </c>
      <c r="B22" s="231" t="s">
        <v>686</v>
      </c>
      <c r="C22" s="234">
        <v>72</v>
      </c>
      <c r="D22" s="234">
        <v>12.212027401688401</v>
      </c>
      <c r="E22" s="234">
        <v>176.18</v>
      </c>
      <c r="F22" s="234">
        <v>25.15804135862</v>
      </c>
    </row>
    <row r="23" spans="1:6" s="1" customFormat="1">
      <c r="A23" s="256" t="s">
        <v>2445</v>
      </c>
      <c r="C23" s="234">
        <v>78.34</v>
      </c>
      <c r="D23" s="234">
        <v>12.005699129229001</v>
      </c>
      <c r="E23" s="234">
        <v>174.96</v>
      </c>
      <c r="F23" s="234">
        <v>24.173083179698502</v>
      </c>
    </row>
    <row r="24" spans="1:6" s="1" customFormat="1">
      <c r="A24" s="256" t="s">
        <v>2444</v>
      </c>
      <c r="C24" s="234">
        <v>74.849999999999994</v>
      </c>
      <c r="D24" s="234">
        <v>12.1370322383965</v>
      </c>
      <c r="E24" s="234">
        <v>164.17</v>
      </c>
      <c r="F24" s="234">
        <v>22.979041916167699</v>
      </c>
    </row>
    <row r="25" spans="1:6">
      <c r="A25" s="264" t="s">
        <v>993</v>
      </c>
      <c r="B25" s="231" t="s">
        <v>94</v>
      </c>
      <c r="C25" s="234">
        <v>72.36</v>
      </c>
      <c r="D25" s="234">
        <v>12.8987471488546</v>
      </c>
      <c r="E25" s="234">
        <v>163.22</v>
      </c>
      <c r="F25" s="234">
        <v>24.303305249513901</v>
      </c>
    </row>
    <row r="26" spans="1:6">
      <c r="A26" s="264" t="s">
        <v>766</v>
      </c>
      <c r="B26" s="231"/>
      <c r="C26" s="234">
        <v>74.03</v>
      </c>
      <c r="D26" s="234">
        <v>13.163778087731799</v>
      </c>
      <c r="E26" s="234">
        <v>163.30000000000001</v>
      </c>
      <c r="F26" s="234">
        <v>23.764998378553699</v>
      </c>
    </row>
    <row r="27" spans="1:6">
      <c r="A27" s="264" t="s">
        <v>767</v>
      </c>
      <c r="B27" s="231"/>
      <c r="C27" s="234">
        <v>72.17</v>
      </c>
      <c r="D27" s="234">
        <v>13.420960895687699</v>
      </c>
      <c r="E27" s="234">
        <v>161.22999999999999</v>
      </c>
      <c r="F27" s="234">
        <v>24.677226863404599</v>
      </c>
    </row>
    <row r="28" spans="1:6">
      <c r="A28" s="264" t="s">
        <v>768</v>
      </c>
      <c r="B28" s="231" t="s">
        <v>93</v>
      </c>
      <c r="C28" s="234">
        <v>77.510000000000005</v>
      </c>
      <c r="D28" s="234">
        <v>12.4820873710645</v>
      </c>
      <c r="E28" s="234">
        <v>160.33000000000001</v>
      </c>
      <c r="F28" s="234">
        <v>24.0411186028518</v>
      </c>
    </row>
    <row r="29" spans="1:6">
      <c r="A29" s="264" t="s">
        <v>769</v>
      </c>
      <c r="B29" s="231"/>
      <c r="C29" s="234">
        <v>74.88</v>
      </c>
      <c r="D29" s="234">
        <v>12.16748301897</v>
      </c>
      <c r="E29" s="234">
        <v>150.44999999999999</v>
      </c>
      <c r="F29" s="234">
        <v>23.966626676845902</v>
      </c>
    </row>
    <row r="30" spans="1:6">
      <c r="A30" s="264" t="s">
        <v>770</v>
      </c>
      <c r="B30" s="231"/>
      <c r="C30" s="234">
        <v>82.54</v>
      </c>
      <c r="D30" s="234">
        <v>11.2513033034618</v>
      </c>
      <c r="E30" s="234">
        <v>143.86000000000001</v>
      </c>
      <c r="F30" s="234">
        <v>21.6323296354992</v>
      </c>
    </row>
    <row r="31" spans="1:6">
      <c r="A31" s="264" t="s">
        <v>771</v>
      </c>
      <c r="B31" s="231" t="s">
        <v>92</v>
      </c>
      <c r="C31" s="234">
        <v>86.74</v>
      </c>
      <c r="D31" s="234">
        <v>11.318139821373601</v>
      </c>
      <c r="E31" s="234">
        <v>140.05000000000001</v>
      </c>
      <c r="F31" s="234">
        <v>21.0287891617273</v>
      </c>
    </row>
    <row r="32" spans="1:6">
      <c r="A32" s="264" t="s">
        <v>772</v>
      </c>
      <c r="B32" s="231"/>
      <c r="C32" s="234">
        <v>92.9</v>
      </c>
      <c r="D32" s="234">
        <v>11.467181202062701</v>
      </c>
      <c r="E32" s="234">
        <v>136.25</v>
      </c>
      <c r="F32" s="234">
        <v>21.412147505423</v>
      </c>
    </row>
    <row r="33" spans="1:6">
      <c r="A33" s="264" t="s">
        <v>773</v>
      </c>
      <c r="B33" s="231"/>
      <c r="C33" s="234">
        <v>102.16</v>
      </c>
      <c r="D33" s="234">
        <v>11.102199333023799</v>
      </c>
      <c r="E33" s="234">
        <v>137.77000000000001</v>
      </c>
      <c r="F33" s="234">
        <v>21.866872382631701</v>
      </c>
    </row>
    <row r="34" spans="1:6">
      <c r="A34" s="264" t="s">
        <v>774</v>
      </c>
      <c r="B34" s="231" t="s">
        <v>91</v>
      </c>
      <c r="C34" s="234">
        <v>83.35</v>
      </c>
      <c r="D34" s="234">
        <v>10.651174049866899</v>
      </c>
      <c r="E34" s="234">
        <v>138.9</v>
      </c>
      <c r="F34" s="234">
        <v>21.807860262008699</v>
      </c>
    </row>
    <row r="35" spans="1:6">
      <c r="A35" s="264" t="s">
        <v>775</v>
      </c>
      <c r="B35" s="231"/>
      <c r="C35" s="234">
        <v>79.55</v>
      </c>
      <c r="D35" s="234">
        <v>10.632130434160199</v>
      </c>
      <c r="E35" s="234">
        <v>137.25</v>
      </c>
      <c r="F35" s="234">
        <v>22.109133539379702</v>
      </c>
    </row>
    <row r="36" spans="1:6">
      <c r="A36" s="264" t="s">
        <v>776</v>
      </c>
      <c r="B36" s="231"/>
      <c r="C36" s="234">
        <v>84.69</v>
      </c>
      <c r="D36" s="234">
        <v>11.2509366597611</v>
      </c>
      <c r="E36" s="234">
        <v>143.9</v>
      </c>
      <c r="F36" s="234">
        <v>24.1474450943604</v>
      </c>
    </row>
    <row r="37" spans="1:6">
      <c r="A37" s="264" t="s">
        <v>777</v>
      </c>
      <c r="B37" s="231" t="s">
        <v>13</v>
      </c>
      <c r="C37" s="234">
        <v>102.18</v>
      </c>
      <c r="D37" s="234">
        <v>11.5019483352641</v>
      </c>
      <c r="E37" s="234">
        <v>144.84</v>
      </c>
      <c r="F37" s="234">
        <v>24.282920469361098</v>
      </c>
    </row>
    <row r="38" spans="1:6">
      <c r="A38" s="264" t="s">
        <v>778</v>
      </c>
      <c r="B38" s="231"/>
      <c r="C38" s="234">
        <v>87.79</v>
      </c>
      <c r="D38" s="234">
        <v>11.2949317896314</v>
      </c>
      <c r="E38" s="234">
        <v>142.18</v>
      </c>
      <c r="F38" s="234">
        <v>22.542462845010601</v>
      </c>
    </row>
    <row r="39" spans="1:6">
      <c r="A39" s="264" t="s">
        <v>779</v>
      </c>
      <c r="B39" s="231"/>
      <c r="C39" s="234">
        <v>110.2</v>
      </c>
      <c r="D39" s="234">
        <v>11.4237189142664</v>
      </c>
      <c r="E39" s="234">
        <v>149.31</v>
      </c>
      <c r="F39" s="234">
        <v>22.211360921038299</v>
      </c>
    </row>
    <row r="40" spans="1:6">
      <c r="A40" s="264" t="s">
        <v>780</v>
      </c>
      <c r="B40" s="231" t="s">
        <v>12</v>
      </c>
      <c r="C40" s="234">
        <v>88.09</v>
      </c>
      <c r="D40" s="234">
        <v>11.2835834477111</v>
      </c>
      <c r="E40" s="234">
        <v>140</v>
      </c>
      <c r="F40" s="234">
        <v>19.9187773859143</v>
      </c>
    </row>
    <row r="41" spans="1:6">
      <c r="A41" s="264" t="s">
        <v>781</v>
      </c>
      <c r="B41" s="231"/>
      <c r="C41" s="234">
        <v>87.56</v>
      </c>
      <c r="D41" s="234">
        <v>10.746090862773</v>
      </c>
      <c r="E41" s="234">
        <v>151.46</v>
      </c>
      <c r="F41" s="234">
        <v>20.012374961328199</v>
      </c>
    </row>
    <row r="42" spans="1:6">
      <c r="A42" s="264" t="s">
        <v>782</v>
      </c>
      <c r="B42" s="231"/>
      <c r="C42" s="234">
        <v>63.58</v>
      </c>
      <c r="D42" s="234">
        <v>9.86078496020024</v>
      </c>
      <c r="E42" s="234">
        <v>151.56</v>
      </c>
      <c r="F42" s="234">
        <v>18.949866508454502</v>
      </c>
    </row>
    <row r="43" spans="1:6">
      <c r="A43" s="264" t="s">
        <v>783</v>
      </c>
      <c r="B43" s="231" t="s">
        <v>11</v>
      </c>
      <c r="C43" s="234">
        <v>79.989999999999995</v>
      </c>
      <c r="D43" s="234">
        <v>9.9974427557416998</v>
      </c>
      <c r="E43" s="234">
        <v>134.16999999999999</v>
      </c>
      <c r="F43" s="234">
        <v>17.152382820160799</v>
      </c>
    </row>
    <row r="44" spans="1:6">
      <c r="A44" s="264" t="s">
        <v>784</v>
      </c>
      <c r="B44" s="231"/>
      <c r="C44" s="234">
        <v>95.41</v>
      </c>
      <c r="D44" s="234">
        <v>11.0334429824561</v>
      </c>
      <c r="E44" s="234">
        <v>143.96</v>
      </c>
      <c r="F44" s="234">
        <v>18.922348675596702</v>
      </c>
    </row>
    <row r="45" spans="1:6">
      <c r="A45" s="264" t="s">
        <v>785</v>
      </c>
      <c r="B45" s="231"/>
      <c r="C45" s="234">
        <v>89.37</v>
      </c>
      <c r="D45" s="234">
        <v>11.529785591702399</v>
      </c>
      <c r="E45" s="234">
        <v>143.06</v>
      </c>
      <c r="F45" s="234">
        <v>18.875968992248101</v>
      </c>
    </row>
    <row r="46" spans="1:6">
      <c r="A46" s="264" t="s">
        <v>786</v>
      </c>
      <c r="B46" s="231" t="s">
        <v>10</v>
      </c>
      <c r="C46" s="234">
        <v>113.68</v>
      </c>
      <c r="D46" s="234">
        <v>11.086172639635</v>
      </c>
      <c r="E46" s="234">
        <v>134.54</v>
      </c>
      <c r="F46" s="234">
        <v>19.8055613631612</v>
      </c>
    </row>
    <row r="47" spans="1:6">
      <c r="A47" s="264" t="s">
        <v>787</v>
      </c>
      <c r="B47" s="231"/>
      <c r="C47" s="234">
        <v>96.05</v>
      </c>
      <c r="D47" s="234">
        <v>11.5072114450103</v>
      </c>
      <c r="E47" s="234">
        <v>133.29</v>
      </c>
      <c r="F47" s="234">
        <v>20.517111897865</v>
      </c>
    </row>
    <row r="48" spans="1:6">
      <c r="A48" s="264" t="s">
        <v>788</v>
      </c>
      <c r="B48" s="231"/>
      <c r="C48" s="234">
        <v>97.09</v>
      </c>
      <c r="D48" s="234">
        <v>11.584340113167199</v>
      </c>
      <c r="E48" s="234">
        <v>123.14</v>
      </c>
      <c r="F48" s="234">
        <v>18.516176625566398</v>
      </c>
    </row>
    <row r="49" spans="1:6">
      <c r="A49" s="264" t="s">
        <v>789</v>
      </c>
      <c r="B49" s="231" t="s">
        <v>77</v>
      </c>
      <c r="C49" s="234">
        <v>108.8</v>
      </c>
      <c r="D49" s="234">
        <v>11.759474282326201</v>
      </c>
      <c r="E49" s="234">
        <v>128.35</v>
      </c>
      <c r="F49" s="234">
        <v>18.809153521439701</v>
      </c>
    </row>
    <row r="50" spans="1:6">
      <c r="A50" s="264" t="s">
        <v>790</v>
      </c>
      <c r="B50" s="231"/>
      <c r="C50" s="234">
        <v>105.19</v>
      </c>
      <c r="D50" s="234">
        <v>12.583062963027199</v>
      </c>
      <c r="E50" s="234">
        <v>123.21</v>
      </c>
      <c r="F50" s="234">
        <v>18.0011229646266</v>
      </c>
    </row>
    <row r="51" spans="1:6">
      <c r="A51" s="264" t="s">
        <v>791</v>
      </c>
      <c r="B51" s="231"/>
      <c r="C51" s="234">
        <v>125.79</v>
      </c>
      <c r="D51" s="234">
        <v>12.446944249147201</v>
      </c>
      <c r="E51" s="234">
        <v>108.17</v>
      </c>
      <c r="F51" s="234">
        <v>18.673835125448001</v>
      </c>
    </row>
    <row r="52" spans="1:6">
      <c r="A52" s="264" t="s">
        <v>873</v>
      </c>
      <c r="B52" s="231" t="s">
        <v>76</v>
      </c>
      <c r="C52" s="234">
        <v>118.79</v>
      </c>
      <c r="D52" s="234">
        <v>12.6323377424202</v>
      </c>
      <c r="E52" s="234">
        <v>115.98</v>
      </c>
      <c r="F52" s="234">
        <v>18.455615942028999</v>
      </c>
    </row>
    <row r="53" spans="1:6">
      <c r="A53" s="264" t="s">
        <v>793</v>
      </c>
      <c r="B53" s="231"/>
      <c r="C53" s="234">
        <v>127.53</v>
      </c>
      <c r="D53" s="234">
        <v>13.7792671634552</v>
      </c>
      <c r="E53" s="234">
        <v>108.81</v>
      </c>
      <c r="F53" s="234">
        <v>17.569882777276799</v>
      </c>
    </row>
    <row r="54" spans="1:6">
      <c r="A54" s="264" t="s">
        <v>794</v>
      </c>
      <c r="B54" s="231"/>
      <c r="C54" s="234">
        <v>164.94</v>
      </c>
      <c r="D54" s="234">
        <v>13.6277165575222</v>
      </c>
      <c r="E54" s="234">
        <v>115.03</v>
      </c>
      <c r="F54" s="234">
        <v>18.591581868640102</v>
      </c>
    </row>
    <row r="55" spans="1:6">
      <c r="A55" s="264" t="s">
        <v>795</v>
      </c>
      <c r="B55" s="231" t="s">
        <v>75</v>
      </c>
      <c r="C55" s="234">
        <v>148.05000000000001</v>
      </c>
      <c r="D55" s="234">
        <v>13.5777233891862</v>
      </c>
      <c r="E55" s="234">
        <v>127.76</v>
      </c>
      <c r="F55" s="234">
        <v>20.162262401483499</v>
      </c>
    </row>
    <row r="56" spans="1:6">
      <c r="A56" s="264" t="s">
        <v>796</v>
      </c>
      <c r="B56" s="231"/>
      <c r="C56" s="234">
        <v>166.99</v>
      </c>
      <c r="D56" s="234">
        <v>13.3984996590134</v>
      </c>
      <c r="E56" s="234">
        <v>137.02000000000001</v>
      </c>
      <c r="F56" s="234">
        <v>21.255901794145402</v>
      </c>
    </row>
    <row r="57" spans="1:6">
      <c r="A57" s="264" t="s">
        <v>797</v>
      </c>
      <c r="B57" s="231"/>
      <c r="C57" s="234">
        <v>195.19</v>
      </c>
      <c r="D57" s="234">
        <v>13.0239889211819</v>
      </c>
      <c r="E57" s="234">
        <v>144.02000000000001</v>
      </c>
      <c r="F57" s="234">
        <v>20.766310794780502</v>
      </c>
    </row>
    <row r="58" spans="1:6">
      <c r="A58" s="264" t="s">
        <v>798</v>
      </c>
      <c r="B58" s="231" t="s">
        <v>74</v>
      </c>
      <c r="C58" s="234">
        <v>226.78</v>
      </c>
      <c r="D58" s="234">
        <v>13.0974264705882</v>
      </c>
      <c r="E58" s="234">
        <v>144.83000000000001</v>
      </c>
      <c r="F58" s="234">
        <v>21.1192791083709</v>
      </c>
    </row>
    <row r="59" spans="1:6">
      <c r="A59" s="264" t="s">
        <v>799</v>
      </c>
      <c r="B59" s="231"/>
      <c r="C59" s="234">
        <v>213.96</v>
      </c>
      <c r="D59" s="234">
        <v>12.8463913194381</v>
      </c>
      <c r="E59" s="234">
        <v>141.44999999999999</v>
      </c>
      <c r="F59" s="234">
        <v>20.777601173737601</v>
      </c>
    </row>
    <row r="60" spans="1:6">
      <c r="A60" s="264" t="s">
        <v>800</v>
      </c>
      <c r="B60" s="231"/>
      <c r="C60" s="234">
        <v>230.95</v>
      </c>
      <c r="D60" s="234">
        <v>12.8948740702791</v>
      </c>
      <c r="E60" s="234">
        <v>132.13</v>
      </c>
      <c r="F60" s="234">
        <v>19.246962588716499</v>
      </c>
    </row>
    <row r="61" spans="1:6">
      <c r="A61" s="264" t="s">
        <v>801</v>
      </c>
      <c r="B61" s="231" t="s">
        <v>136</v>
      </c>
      <c r="C61" s="234">
        <v>226.73</v>
      </c>
      <c r="D61" s="234">
        <v>13.0064467128998</v>
      </c>
      <c r="E61" s="234">
        <v>125.29</v>
      </c>
      <c r="F61" s="234">
        <v>20.152582159624401</v>
      </c>
    </row>
    <row r="62" spans="1:6">
      <c r="A62" s="264" t="s">
        <v>802</v>
      </c>
      <c r="B62" s="231"/>
      <c r="C62" s="234">
        <v>237.76</v>
      </c>
      <c r="D62" s="234">
        <v>13.511232794509199</v>
      </c>
      <c r="E62" s="234">
        <v>119.97</v>
      </c>
      <c r="F62" s="234">
        <v>18.185117967332101</v>
      </c>
    </row>
    <row r="63" spans="1:6">
      <c r="A63" s="264" t="s">
        <v>803</v>
      </c>
      <c r="B63" s="231"/>
      <c r="C63" s="234">
        <v>253.83</v>
      </c>
      <c r="D63" s="234">
        <v>13.1516112395179</v>
      </c>
      <c r="E63" s="234">
        <v>126.08</v>
      </c>
      <c r="F63" s="234">
        <v>17.844136926438502</v>
      </c>
    </row>
    <row r="64" spans="1:6">
      <c r="A64" s="264" t="s">
        <v>874</v>
      </c>
      <c r="B64" s="231" t="s">
        <v>135</v>
      </c>
      <c r="C64" s="234">
        <v>232.73</v>
      </c>
      <c r="D64" s="234">
        <v>12.516335124146901</v>
      </c>
      <c r="E64" s="234">
        <v>134.85</v>
      </c>
      <c r="F64" s="234">
        <v>18.376751044482699</v>
      </c>
    </row>
    <row r="65" spans="1:6">
      <c r="A65" s="264" t="s">
        <v>805</v>
      </c>
      <c r="B65" s="231"/>
      <c r="C65" s="234">
        <v>263.36</v>
      </c>
      <c r="D65" s="234">
        <v>12.309594200259699</v>
      </c>
      <c r="E65" s="234">
        <v>132.94</v>
      </c>
      <c r="F65" s="234">
        <v>18.065017329986901</v>
      </c>
    </row>
    <row r="66" spans="1:6">
      <c r="A66" s="264" t="s">
        <v>806</v>
      </c>
      <c r="B66" s="231"/>
      <c r="C66" s="234">
        <v>304.69</v>
      </c>
      <c r="D66" s="234">
        <v>11.594105891240099</v>
      </c>
      <c r="E66" s="234">
        <v>109.57</v>
      </c>
      <c r="F66" s="234">
        <v>15.2313250203939</v>
      </c>
    </row>
    <row r="67" spans="1:6">
      <c r="A67" s="264" t="s">
        <v>807</v>
      </c>
      <c r="B67" s="231" t="s">
        <v>134</v>
      </c>
      <c r="C67" s="234">
        <v>293.98</v>
      </c>
      <c r="D67" s="234">
        <v>11.164100424757301</v>
      </c>
      <c r="E67" s="234">
        <v>114.36</v>
      </c>
      <c r="F67" s="234">
        <v>16.780178487552799</v>
      </c>
    </row>
    <row r="68" spans="1:6">
      <c r="A68" s="264" t="s">
        <v>808</v>
      </c>
      <c r="B68" s="231"/>
      <c r="C68" s="234">
        <v>287.02999999999997</v>
      </c>
      <c r="D68" s="234">
        <v>13.1576460805805</v>
      </c>
      <c r="E68" s="234">
        <v>116.68</v>
      </c>
      <c r="F68" s="234">
        <v>17.6329946204423</v>
      </c>
    </row>
    <row r="69" spans="1:6">
      <c r="A69" s="264" t="s">
        <v>809</v>
      </c>
      <c r="B69" s="231"/>
      <c r="C69" s="234">
        <v>251.02</v>
      </c>
      <c r="D69" s="234">
        <v>13.3853797019163</v>
      </c>
      <c r="E69" s="234">
        <v>107.38</v>
      </c>
      <c r="F69" s="234">
        <v>16.757364249378899</v>
      </c>
    </row>
    <row r="70" spans="1:6">
      <c r="A70" s="264" t="s">
        <v>810</v>
      </c>
      <c r="B70" s="231" t="s">
        <v>133</v>
      </c>
      <c r="C70" s="234">
        <v>215.7</v>
      </c>
      <c r="D70" s="234">
        <v>12.754747084960499</v>
      </c>
      <c r="E70" s="234">
        <v>104.15</v>
      </c>
      <c r="F70" s="234">
        <v>16.818591042088698</v>
      </c>
    </row>
    <row r="71" spans="1:6">
      <c r="A71" s="264" t="s">
        <v>811</v>
      </c>
      <c r="B71" s="231"/>
      <c r="C71" s="234">
        <v>207.39</v>
      </c>
      <c r="D71" s="234">
        <v>12.6833797585887</v>
      </c>
      <c r="E71" s="234">
        <v>100.04</v>
      </c>
      <c r="F71" s="234">
        <v>15.7587548638132</v>
      </c>
    </row>
    <row r="72" spans="1:6">
      <c r="A72" s="264" t="s">
        <v>812</v>
      </c>
      <c r="B72" s="231"/>
      <c r="C72" s="234">
        <v>202.67</v>
      </c>
      <c r="D72" s="234">
        <v>13.6813479491996</v>
      </c>
      <c r="E72" s="234">
        <v>87.8</v>
      </c>
      <c r="F72" s="234">
        <v>14.5771797396346</v>
      </c>
    </row>
    <row r="73" spans="1:6">
      <c r="A73" s="264" t="s">
        <v>813</v>
      </c>
      <c r="B73" s="231" t="s">
        <v>157</v>
      </c>
      <c r="C73" s="234">
        <v>194.48</v>
      </c>
      <c r="D73" s="234">
        <v>12.773926135201901</v>
      </c>
      <c r="E73" s="234">
        <v>83.9</v>
      </c>
      <c r="F73" s="234">
        <v>12.9824175824176</v>
      </c>
    </row>
    <row r="74" spans="1:6">
      <c r="A74" s="264" t="s">
        <v>814</v>
      </c>
      <c r="B74" s="231"/>
      <c r="C74" s="234">
        <v>208</v>
      </c>
      <c r="D74" s="234">
        <v>13.0382609498315</v>
      </c>
      <c r="E74" s="234">
        <v>90.16</v>
      </c>
      <c r="F74" s="234">
        <v>16.227867590454199</v>
      </c>
    </row>
    <row r="75" spans="1:6">
      <c r="A75" s="264" t="s">
        <v>815</v>
      </c>
      <c r="B75" s="231"/>
      <c r="C75" s="234">
        <v>206.59</v>
      </c>
      <c r="D75" s="234">
        <v>13.8040489416281</v>
      </c>
      <c r="E75" s="234">
        <v>79.19</v>
      </c>
      <c r="F75" s="234">
        <v>16.1929046563193</v>
      </c>
    </row>
    <row r="76" spans="1:6">
      <c r="A76" s="264" t="s">
        <v>875</v>
      </c>
      <c r="B76" s="231" t="s">
        <v>156</v>
      </c>
      <c r="C76" s="234">
        <v>212.1</v>
      </c>
      <c r="D76" s="234">
        <v>13.4082369477543</v>
      </c>
      <c r="E76" s="234">
        <v>78.42</v>
      </c>
      <c r="F76" s="234">
        <v>16.343241727425699</v>
      </c>
    </row>
    <row r="77" spans="1:6">
      <c r="A77" s="264" t="s">
        <v>817</v>
      </c>
      <c r="B77" s="231"/>
      <c r="C77" s="234">
        <v>200</v>
      </c>
      <c r="D77" s="234">
        <v>13.5694131183169</v>
      </c>
      <c r="E77" s="234">
        <v>78.55</v>
      </c>
      <c r="F77" s="234">
        <v>16.7871308946673</v>
      </c>
    </row>
    <row r="78" spans="1:6">
      <c r="A78" s="264" t="s">
        <v>818</v>
      </c>
      <c r="B78" s="231"/>
      <c r="C78" s="234">
        <v>176.67</v>
      </c>
      <c r="D78" s="234">
        <v>13.7394409851688</v>
      </c>
      <c r="E78" s="234">
        <v>82.66</v>
      </c>
      <c r="F78" s="234">
        <v>17.576635826552199</v>
      </c>
    </row>
    <row r="79" spans="1:6">
      <c r="A79" s="264" t="s">
        <v>819</v>
      </c>
      <c r="B79" s="231" t="s">
        <v>155</v>
      </c>
      <c r="C79" s="234">
        <v>167.23</v>
      </c>
      <c r="D79" s="234">
        <v>13.543892759013101</v>
      </c>
      <c r="E79" s="234">
        <v>78.77</v>
      </c>
      <c r="F79" s="234">
        <v>16.7855195725657</v>
      </c>
    </row>
    <row r="80" spans="1:6">
      <c r="A80" s="264" t="s">
        <v>820</v>
      </c>
      <c r="B80" s="231"/>
      <c r="C80" s="234">
        <v>175.03</v>
      </c>
      <c r="D80" s="234">
        <v>14.0325936526168</v>
      </c>
      <c r="E80" s="234">
        <v>78.05</v>
      </c>
      <c r="F80" s="234">
        <v>16.691597008359</v>
      </c>
    </row>
    <row r="81" spans="1:6">
      <c r="A81" s="264" t="s">
        <v>821</v>
      </c>
      <c r="B81" s="231"/>
      <c r="C81" s="234">
        <v>173.11</v>
      </c>
      <c r="D81" s="234">
        <v>13.526828055507</v>
      </c>
      <c r="E81" s="234">
        <v>79.73</v>
      </c>
      <c r="F81" s="234">
        <v>16.5609348914858</v>
      </c>
    </row>
    <row r="82" spans="1:6">
      <c r="A82" s="264" t="s">
        <v>822</v>
      </c>
      <c r="B82" s="231" t="s">
        <v>154</v>
      </c>
      <c r="C82" s="234">
        <v>169.45</v>
      </c>
      <c r="D82" s="234">
        <v>12.984181472375599</v>
      </c>
      <c r="E82" s="234">
        <v>74.14</v>
      </c>
      <c r="F82" s="234">
        <v>17.3099681383705</v>
      </c>
    </row>
    <row r="83" spans="1:6">
      <c r="A83" s="264" t="s">
        <v>823</v>
      </c>
      <c r="B83" s="231"/>
      <c r="C83" s="234">
        <v>149.26</v>
      </c>
      <c r="D83" s="234">
        <v>12.972674579078101</v>
      </c>
      <c r="E83" s="234">
        <v>73.44</v>
      </c>
      <c r="F83" s="234">
        <v>16.8431612975142</v>
      </c>
    </row>
    <row r="84" spans="1:6">
      <c r="A84" s="264" t="s">
        <v>824</v>
      </c>
      <c r="B84" s="231"/>
      <c r="C84" s="234">
        <v>185.57</v>
      </c>
      <c r="D84" s="234">
        <v>11.7557457103176</v>
      </c>
      <c r="E84" s="234">
        <v>72.989999999999995</v>
      </c>
      <c r="F84" s="234">
        <v>16.7103641456583</v>
      </c>
    </row>
    <row r="85" spans="1:6">
      <c r="A85" s="264" t="s">
        <v>825</v>
      </c>
      <c r="B85" s="231" t="s">
        <v>166</v>
      </c>
      <c r="C85" s="234">
        <v>182.45</v>
      </c>
      <c r="D85" s="234">
        <v>11.253496976807099</v>
      </c>
      <c r="E85" s="234">
        <v>69.099999999999994</v>
      </c>
      <c r="F85" s="234">
        <v>16.604938271604901</v>
      </c>
    </row>
    <row r="86" spans="1:6">
      <c r="A86" s="264" t="s">
        <v>826</v>
      </c>
      <c r="B86" s="231"/>
      <c r="C86" s="234">
        <v>183.03</v>
      </c>
      <c r="D86" s="234">
        <v>12.4797988866942</v>
      </c>
      <c r="E86" s="234">
        <v>72.209999999999994</v>
      </c>
      <c r="F86" s="234">
        <v>16.495843298029801</v>
      </c>
    </row>
    <row r="87" spans="1:6">
      <c r="A87" s="264" t="s">
        <v>827</v>
      </c>
      <c r="B87" s="231"/>
      <c r="C87" s="234">
        <v>168.49</v>
      </c>
      <c r="D87" s="234">
        <v>12.338646699434999</v>
      </c>
      <c r="E87" s="234">
        <v>69.62</v>
      </c>
      <c r="F87" s="234">
        <v>16.254295532646001</v>
      </c>
    </row>
    <row r="88" spans="1:6">
      <c r="A88" s="264" t="s">
        <v>877</v>
      </c>
      <c r="B88" s="231" t="s">
        <v>165</v>
      </c>
      <c r="C88" s="234">
        <v>137.07</v>
      </c>
      <c r="D88" s="234">
        <v>12.3040681344568</v>
      </c>
      <c r="E88" s="234">
        <v>63.61</v>
      </c>
      <c r="F88" s="234">
        <v>16.964285714285701</v>
      </c>
    </row>
    <row r="89" spans="1:6">
      <c r="A89" s="264" t="s">
        <v>829</v>
      </c>
      <c r="B89" s="231"/>
      <c r="C89" s="234">
        <v>160.86000000000001</v>
      </c>
      <c r="E89" s="234">
        <v>68.45</v>
      </c>
      <c r="F89" s="234">
        <v>17.5328351449275</v>
      </c>
    </row>
    <row r="90" spans="1:6">
      <c r="A90" s="264" t="s">
        <v>830</v>
      </c>
      <c r="B90" s="231"/>
      <c r="C90" s="234">
        <v>142.28</v>
      </c>
      <c r="E90" s="234">
        <v>68.55</v>
      </c>
      <c r="F90" s="234">
        <v>16.406338426711901</v>
      </c>
    </row>
    <row r="91" spans="1:6">
      <c r="A91" s="264" t="s">
        <v>831</v>
      </c>
      <c r="B91" s="231" t="s">
        <v>164</v>
      </c>
      <c r="C91" s="234">
        <v>164.76</v>
      </c>
      <c r="E91" s="234">
        <v>70.180000000000007</v>
      </c>
      <c r="F91" s="234">
        <v>16.1322179621238</v>
      </c>
    </row>
    <row r="92" spans="1:6">
      <c r="A92" s="264" t="s">
        <v>832</v>
      </c>
      <c r="B92" s="231"/>
      <c r="C92" s="234">
        <v>175.01</v>
      </c>
      <c r="E92" s="234">
        <v>66.040000000000006</v>
      </c>
      <c r="F92" s="234">
        <v>16.146256529309301</v>
      </c>
    </row>
    <row r="93" spans="1:6">
      <c r="A93" s="264" t="s">
        <v>833</v>
      </c>
      <c r="B93" s="231"/>
      <c r="C93" s="234">
        <v>187.23</v>
      </c>
      <c r="E93" s="234">
        <v>60</v>
      </c>
      <c r="F93" s="234">
        <v>16.559391456992401</v>
      </c>
    </row>
    <row r="94" spans="1:6">
      <c r="A94" s="264" t="s">
        <v>834</v>
      </c>
      <c r="B94" s="231" t="s">
        <v>163</v>
      </c>
      <c r="C94" s="234">
        <v>185.53</v>
      </c>
      <c r="E94" s="234">
        <v>59.75</v>
      </c>
      <c r="F94" s="234">
        <v>15.4824407887061</v>
      </c>
    </row>
    <row r="95" spans="1:6">
      <c r="A95" s="264" t="s">
        <v>835</v>
      </c>
      <c r="B95" s="231"/>
      <c r="C95" s="234">
        <v>198.01</v>
      </c>
      <c r="E95" s="234">
        <v>55.7</v>
      </c>
      <c r="F95" s="234">
        <v>15.4133146787921</v>
      </c>
    </row>
    <row r="96" spans="1:6">
      <c r="A96" s="264" t="s">
        <v>836</v>
      </c>
      <c r="B96" s="231"/>
      <c r="C96" s="234">
        <v>178.54</v>
      </c>
      <c r="E96" s="234">
        <v>60.51</v>
      </c>
      <c r="F96" s="234">
        <v>17.501811156725399</v>
      </c>
    </row>
    <row r="97" spans="1:6">
      <c r="A97" s="264" t="s">
        <v>994</v>
      </c>
      <c r="B97" s="231" t="s">
        <v>197</v>
      </c>
      <c r="C97" s="234">
        <v>183.54</v>
      </c>
      <c r="E97" s="234">
        <v>61.04</v>
      </c>
      <c r="F97" s="234">
        <v>16.293654697491402</v>
      </c>
    </row>
    <row r="98" spans="1:6">
      <c r="A98" s="264" t="s">
        <v>838</v>
      </c>
      <c r="B98" s="231"/>
      <c r="C98" s="234">
        <v>186.14</v>
      </c>
      <c r="E98" s="234">
        <v>60.61</v>
      </c>
      <c r="F98" s="234">
        <v>16.1904761904762</v>
      </c>
    </row>
    <row r="99" spans="1:6">
      <c r="A99" s="264" t="s">
        <v>839</v>
      </c>
      <c r="B99" s="231"/>
      <c r="C99" s="234">
        <v>204.29</v>
      </c>
      <c r="E99" s="234">
        <v>65.099999999999994</v>
      </c>
      <c r="F99" s="234">
        <v>17.570593357382801</v>
      </c>
    </row>
    <row r="100" spans="1:6">
      <c r="A100" s="264" t="s">
        <v>840</v>
      </c>
      <c r="B100" s="231" t="s">
        <v>196</v>
      </c>
      <c r="C100" s="234">
        <v>172.43</v>
      </c>
      <c r="E100" s="234">
        <v>63.51</v>
      </c>
      <c r="F100" s="234">
        <v>17.765369836695498</v>
      </c>
    </row>
    <row r="101" spans="1:6">
      <c r="A101" s="264" t="s">
        <v>841</v>
      </c>
      <c r="B101" s="231"/>
      <c r="C101" s="234">
        <v>177.08</v>
      </c>
      <c r="E101" s="234">
        <v>61.07</v>
      </c>
      <c r="F101" s="234">
        <v>17.8860819828408</v>
      </c>
    </row>
    <row r="102" spans="1:6">
      <c r="A102" s="264" t="s">
        <v>995</v>
      </c>
      <c r="B102" s="231"/>
      <c r="C102" s="234">
        <v>184.89</v>
      </c>
      <c r="E102" s="234">
        <v>59.77</v>
      </c>
      <c r="F102" s="234">
        <v>18.181818181818201</v>
      </c>
    </row>
    <row r="103" spans="1:6">
      <c r="A103" s="264" t="s">
        <v>843</v>
      </c>
      <c r="B103" s="231" t="s">
        <v>195</v>
      </c>
      <c r="C103" s="234">
        <v>172.71</v>
      </c>
      <c r="E103" s="234">
        <v>61.66</v>
      </c>
      <c r="F103" s="234">
        <v>18.6628044454954</v>
      </c>
    </row>
    <row r="104" spans="1:6">
      <c r="A104" s="264" t="s">
        <v>844</v>
      </c>
      <c r="B104" s="231"/>
      <c r="C104" s="234">
        <v>171.74</v>
      </c>
      <c r="E104" s="234">
        <v>64.709999999999994</v>
      </c>
      <c r="F104" s="234">
        <v>18.002612516328199</v>
      </c>
    </row>
    <row r="105" spans="1:6">
      <c r="A105" s="264" t="s">
        <v>845</v>
      </c>
      <c r="B105" s="231"/>
      <c r="C105" s="234">
        <v>154.94999999999999</v>
      </c>
      <c r="E105" s="234">
        <v>61.66</v>
      </c>
      <c r="F105" s="234">
        <v>18.213443396226399</v>
      </c>
    </row>
    <row r="106" spans="1:6">
      <c r="A106" s="264" t="s">
        <v>846</v>
      </c>
      <c r="B106" s="231" t="s">
        <v>194</v>
      </c>
      <c r="C106" s="234">
        <v>140.9</v>
      </c>
      <c r="E106" s="234">
        <v>60.62</v>
      </c>
      <c r="F106" s="234">
        <v>17.934968625213902</v>
      </c>
    </row>
    <row r="107" spans="1:6">
      <c r="A107" s="264" t="s">
        <v>847</v>
      </c>
      <c r="B107" s="231"/>
      <c r="C107" s="234">
        <v>122.46</v>
      </c>
      <c r="E107" s="234">
        <v>67.42</v>
      </c>
      <c r="F107" s="234">
        <v>19.933648223121899</v>
      </c>
    </row>
    <row r="108" spans="1:6">
      <c r="A108" s="264" t="s">
        <v>848</v>
      </c>
      <c r="B108" s="231"/>
      <c r="C108" s="234">
        <v>115.5</v>
      </c>
      <c r="E108" s="234">
        <v>67.27</v>
      </c>
      <c r="F108" s="234">
        <v>17.536216098464202</v>
      </c>
    </row>
    <row r="109" spans="1:6">
      <c r="A109" s="264" t="s">
        <v>849</v>
      </c>
      <c r="B109" s="231" t="s">
        <v>857</v>
      </c>
      <c r="C109" s="234">
        <v>107.83</v>
      </c>
      <c r="E109" s="234">
        <v>64.59</v>
      </c>
      <c r="F109" s="234">
        <v>17.574363364006</v>
      </c>
    </row>
    <row r="110" spans="1:6">
      <c r="A110" s="264" t="s">
        <v>850</v>
      </c>
      <c r="B110" s="231"/>
      <c r="C110" s="234">
        <v>102.9</v>
      </c>
      <c r="E110" s="234">
        <v>62.53</v>
      </c>
      <c r="F110" s="234">
        <v>17.319740894127602</v>
      </c>
    </row>
    <row r="111" spans="1:6">
      <c r="A111" s="264" t="s">
        <v>851</v>
      </c>
      <c r="B111" s="231"/>
      <c r="C111" s="234">
        <v>101.31</v>
      </c>
      <c r="E111" s="234">
        <v>62.27</v>
      </c>
      <c r="F111" s="234">
        <v>17.434458949185501</v>
      </c>
    </row>
    <row r="112" spans="1:6">
      <c r="A112" s="264" t="s">
        <v>852</v>
      </c>
      <c r="B112" s="231" t="s">
        <v>858</v>
      </c>
      <c r="C112" s="234">
        <v>87.81</v>
      </c>
      <c r="E112" s="234">
        <v>57.51</v>
      </c>
      <c r="F112" s="234">
        <v>17.248470786753799</v>
      </c>
    </row>
    <row r="113" spans="1:6">
      <c r="A113" s="264" t="s">
        <v>879</v>
      </c>
      <c r="C113" s="234">
        <v>94.02</v>
      </c>
      <c r="E113" s="234">
        <v>54.21</v>
      </c>
      <c r="F113" s="234">
        <v>15.7668646584642</v>
      </c>
    </row>
    <row r="114" spans="1:6">
      <c r="A114" s="264" t="s">
        <v>880</v>
      </c>
      <c r="C114" s="234">
        <v>101.69</v>
      </c>
      <c r="E114" s="234">
        <v>49.73</v>
      </c>
      <c r="F114" s="234">
        <v>16.241794310722099</v>
      </c>
    </row>
    <row r="115" spans="1:6">
      <c r="A115" s="264" t="s">
        <v>881</v>
      </c>
      <c r="B115" s="231" t="s">
        <v>914</v>
      </c>
      <c r="C115" s="234">
        <v>105.79</v>
      </c>
      <c r="E115" s="234">
        <v>46.72</v>
      </c>
      <c r="F115" s="234">
        <v>16.771582733812998</v>
      </c>
    </row>
    <row r="116" spans="1:6">
      <c r="A116" s="264" t="s">
        <v>882</v>
      </c>
      <c r="C116" s="234">
        <v>97.19</v>
      </c>
      <c r="E116" s="234">
        <v>46.34</v>
      </c>
      <c r="F116" s="234">
        <v>16.675949649103298</v>
      </c>
    </row>
    <row r="117" spans="1:6">
      <c r="A117" s="264" t="s">
        <v>883</v>
      </c>
      <c r="C117" s="234">
        <v>82.48</v>
      </c>
      <c r="E117" s="234">
        <v>46.34</v>
      </c>
      <c r="F117" s="234">
        <v>17.028296611117302</v>
      </c>
    </row>
    <row r="118" spans="1:6">
      <c r="A118" s="264" t="s">
        <v>884</v>
      </c>
      <c r="B118" s="231" t="s">
        <v>916</v>
      </c>
      <c r="C118" s="234">
        <v>79.53</v>
      </c>
      <c r="E118" s="234">
        <v>43.27</v>
      </c>
      <c r="F118" s="234">
        <v>16.958934517203101</v>
      </c>
    </row>
    <row r="119" spans="1:6">
      <c r="A119" s="264" t="s">
        <v>885</v>
      </c>
      <c r="C119" s="234">
        <v>82</v>
      </c>
      <c r="E119" s="234">
        <v>42.76</v>
      </c>
      <c r="F119" s="234">
        <v>17.6608056977521</v>
      </c>
    </row>
    <row r="120" spans="1:6">
      <c r="A120" s="264" t="s">
        <v>996</v>
      </c>
      <c r="C120" s="234">
        <v>76.94</v>
      </c>
      <c r="E120" s="234">
        <v>39.28</v>
      </c>
      <c r="F120" s="234">
        <v>17.506585729011601</v>
      </c>
    </row>
    <row r="121" spans="1:6">
      <c r="A121" s="264" t="s">
        <v>887</v>
      </c>
      <c r="B121" s="231" t="s">
        <v>918</v>
      </c>
      <c r="C121" s="234">
        <v>79.03</v>
      </c>
      <c r="E121" s="234">
        <v>38.299999999999997</v>
      </c>
      <c r="F121" s="234">
        <v>17.973111541529001</v>
      </c>
    </row>
    <row r="122" spans="1:6">
      <c r="A122" s="264" t="s">
        <v>888</v>
      </c>
      <c r="B122" s="231"/>
      <c r="C122" s="234">
        <v>68.81</v>
      </c>
      <c r="E122" s="234">
        <v>37.1</v>
      </c>
      <c r="F122" s="234">
        <v>16.8079096045198</v>
      </c>
    </row>
    <row r="123" spans="1:6">
      <c r="A123" s="264" t="s">
        <v>889</v>
      </c>
      <c r="B123" s="231"/>
      <c r="C123" s="234">
        <v>67.03</v>
      </c>
      <c r="E123" s="234">
        <v>40.15</v>
      </c>
      <c r="F123" s="234">
        <v>17.3228772309356</v>
      </c>
    </row>
    <row r="124" spans="1:6">
      <c r="A124" s="264" t="s">
        <v>890</v>
      </c>
      <c r="B124" s="231" t="s">
        <v>913</v>
      </c>
      <c r="C124" s="234">
        <v>81.27</v>
      </c>
      <c r="E124" s="234">
        <v>39.119999999999997</v>
      </c>
      <c r="F124" s="234">
        <v>18.220524017467199</v>
      </c>
    </row>
    <row r="125" spans="1:6">
      <c r="A125" s="264" t="s">
        <v>891</v>
      </c>
      <c r="C125" s="234">
        <v>84.08</v>
      </c>
      <c r="E125" s="234">
        <v>35.5</v>
      </c>
      <c r="F125" s="234">
        <v>18.431890179514301</v>
      </c>
    </row>
    <row r="126" spans="1:6">
      <c r="A126" s="264" t="s">
        <v>892</v>
      </c>
      <c r="C126" s="234">
        <v>83.83</v>
      </c>
      <c r="E126" s="234">
        <v>37.89</v>
      </c>
      <c r="F126" s="234">
        <v>18.781753920918899</v>
      </c>
    </row>
    <row r="127" spans="1:6">
      <c r="A127" s="264" t="s">
        <v>893</v>
      </c>
      <c r="B127" s="231" t="s">
        <v>915</v>
      </c>
      <c r="C127" s="234">
        <v>58.97</v>
      </c>
      <c r="E127" s="234">
        <v>39.81</v>
      </c>
      <c r="F127" s="234">
        <v>17.7287946428571</v>
      </c>
    </row>
    <row r="128" spans="1:6">
      <c r="A128" s="264" t="s">
        <v>894</v>
      </c>
      <c r="C128" s="234">
        <v>66.12</v>
      </c>
      <c r="E128" s="234">
        <v>39.61</v>
      </c>
      <c r="F128" s="234">
        <v>17.083146571044399</v>
      </c>
    </row>
    <row r="129" spans="1:6">
      <c r="A129" s="264" t="s">
        <v>895</v>
      </c>
      <c r="C129" s="234">
        <v>78.34</v>
      </c>
      <c r="E129" s="234">
        <v>40.659999999999997</v>
      </c>
      <c r="F129" s="234">
        <v>18.1627470464834</v>
      </c>
    </row>
    <row r="130" spans="1:6">
      <c r="A130" s="264" t="s">
        <v>896</v>
      </c>
      <c r="B130" s="231" t="s">
        <v>917</v>
      </c>
      <c r="C130" s="234">
        <v>82.27</v>
      </c>
      <c r="E130" s="234">
        <v>38.770000000000003</v>
      </c>
      <c r="F130" s="234">
        <v>17.1876738235621</v>
      </c>
    </row>
    <row r="131" spans="1:6">
      <c r="A131" s="264" t="s">
        <v>897</v>
      </c>
      <c r="C131" s="234">
        <v>89.32</v>
      </c>
      <c r="E131" s="234">
        <v>38.880000000000003</v>
      </c>
      <c r="F131" s="234">
        <v>17.169666374012301</v>
      </c>
    </row>
    <row r="132" spans="1:6">
      <c r="A132" s="264" t="s">
        <v>898</v>
      </c>
      <c r="C132" s="234">
        <v>81.290000000000006</v>
      </c>
      <c r="E132" s="234">
        <v>34.04</v>
      </c>
      <c r="F132" s="234">
        <v>18.486310592459599</v>
      </c>
    </row>
    <row r="133" spans="1:6">
      <c r="A133" s="264" t="s">
        <v>899</v>
      </c>
      <c r="B133" s="231" t="s">
        <v>919</v>
      </c>
      <c r="C133" s="234">
        <v>83.24</v>
      </c>
      <c r="E133" s="234">
        <v>31.69</v>
      </c>
      <c r="F133" s="234">
        <v>18.301846285959599</v>
      </c>
    </row>
    <row r="134" spans="1:6">
      <c r="A134" s="264" t="s">
        <v>900</v>
      </c>
      <c r="B134" s="231"/>
      <c r="C134" s="234">
        <v>85.12</v>
      </c>
      <c r="E134" s="234">
        <v>33.03</v>
      </c>
      <c r="F134" s="234">
        <v>18.690436147550201</v>
      </c>
    </row>
    <row r="135" spans="1:6">
      <c r="A135" s="264" t="s">
        <v>901</v>
      </c>
      <c r="B135" s="231"/>
      <c r="C135" s="234">
        <v>89.08</v>
      </c>
      <c r="E135" s="234">
        <v>30.18</v>
      </c>
      <c r="F135" s="234">
        <v>17.259485094850898</v>
      </c>
    </row>
    <row r="136" spans="1:6">
      <c r="A136" s="264" t="s">
        <v>902</v>
      </c>
      <c r="B136" s="231" t="s">
        <v>920</v>
      </c>
      <c r="C136" s="234">
        <v>103.94</v>
      </c>
      <c r="E136" s="234">
        <v>26.94</v>
      </c>
      <c r="F136" s="234">
        <v>16.1153004135247</v>
      </c>
    </row>
    <row r="137" spans="1:6">
      <c r="A137" s="264" t="s">
        <v>903</v>
      </c>
      <c r="C137" s="234">
        <v>111.64</v>
      </c>
      <c r="E137" s="234">
        <v>29.19</v>
      </c>
      <c r="F137" s="234">
        <v>17.0695240468477</v>
      </c>
    </row>
    <row r="138" spans="1:6">
      <c r="A138" s="264" t="s">
        <v>904</v>
      </c>
      <c r="C138" s="234">
        <v>98.6</v>
      </c>
      <c r="E138" s="234">
        <v>29.19</v>
      </c>
      <c r="F138" s="234">
        <v>15.0588824855926</v>
      </c>
    </row>
    <row r="139" spans="1:6">
      <c r="A139" s="264" t="s">
        <v>905</v>
      </c>
      <c r="B139" s="231" t="s">
        <v>921</v>
      </c>
      <c r="C139" s="234"/>
      <c r="E139" s="234">
        <v>28.87</v>
      </c>
      <c r="F139" s="234">
        <v>15.1572565365669</v>
      </c>
    </row>
    <row r="140" spans="1:6">
      <c r="A140" s="264" t="s">
        <v>906</v>
      </c>
      <c r="C140" s="234"/>
      <c r="E140" s="234">
        <v>30.08</v>
      </c>
      <c r="F140" s="234">
        <v>14.9914372282967</v>
      </c>
    </row>
    <row r="141" spans="1:6">
      <c r="A141" s="264" t="s">
        <v>907</v>
      </c>
      <c r="C141" s="234"/>
      <c r="E141" s="234">
        <v>32.94</v>
      </c>
      <c r="F141" s="234">
        <v>16.198313930148501</v>
      </c>
    </row>
    <row r="142" spans="1:6">
      <c r="A142" s="264" t="s">
        <v>908</v>
      </c>
      <c r="B142" s="231" t="s">
        <v>922</v>
      </c>
      <c r="C142" s="234"/>
      <c r="E142" s="234">
        <v>33.619999999999997</v>
      </c>
      <c r="F142" s="234">
        <v>17.5198467013414</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FA310-E212-46E4-B317-EA023A4D4306}">
  <sheetPr codeName="Sheet21"/>
  <dimension ref="A1:AG15"/>
  <sheetViews>
    <sheetView zoomScale="90" zoomScaleNormal="90" workbookViewId="0"/>
  </sheetViews>
  <sheetFormatPr defaultColWidth="9.140625" defaultRowHeight="12"/>
  <cols>
    <col min="1" max="1" width="9.140625" style="1"/>
    <col min="2" max="24" width="11.42578125" style="1" customWidth="1"/>
    <col min="25" max="25" width="9.140625" style="1"/>
    <col min="26" max="27" width="11.42578125" style="1" customWidth="1"/>
    <col min="28" max="28" width="12.85546875" style="1" customWidth="1"/>
    <col min="29" max="31" width="11.42578125" style="1" customWidth="1"/>
    <col min="32" max="32" width="12.85546875" style="1" customWidth="1"/>
    <col min="33" max="16384" width="9.140625" style="1"/>
  </cols>
  <sheetData>
    <row r="1" spans="1:33" s="2" customFormat="1">
      <c r="A1" s="2" t="s">
        <v>85</v>
      </c>
    </row>
    <row r="2" spans="1:33" s="2" customFormat="1">
      <c r="A2" s="2" t="s">
        <v>1390</v>
      </c>
    </row>
    <row r="4" spans="1:33">
      <c r="B4" s="1" t="s">
        <v>1391</v>
      </c>
      <c r="E4" s="363">
        <v>1910</v>
      </c>
      <c r="G4" s="1" t="s">
        <v>1392</v>
      </c>
      <c r="I4" s="301">
        <v>155</v>
      </c>
      <c r="Z4" s="1" t="s">
        <v>1393</v>
      </c>
      <c r="AC4" s="363">
        <v>350</v>
      </c>
    </row>
    <row r="5" spans="1:33">
      <c r="B5" s="1" t="s">
        <v>1394</v>
      </c>
      <c r="E5" s="364">
        <f>'Valuation SoftBank Corp.'!$G$44</f>
        <v>1570</v>
      </c>
      <c r="Z5" s="1" t="s">
        <v>1395</v>
      </c>
      <c r="AC5" s="363">
        <v>7636.2124110000004</v>
      </c>
      <c r="AD5" s="262" t="s">
        <v>1396</v>
      </c>
    </row>
    <row r="6" spans="1:33">
      <c r="B6" s="1" t="s">
        <v>1397</v>
      </c>
      <c r="E6" s="215">
        <f>E5/E4-1</f>
        <v>-0.17801047120418845</v>
      </c>
    </row>
    <row r="7" spans="1:33">
      <c r="J7" s="25" t="s">
        <v>1398</v>
      </c>
      <c r="AC7" s="25" t="s">
        <v>1399</v>
      </c>
    </row>
    <row r="8" spans="1:33" ht="37.5" customHeight="1">
      <c r="B8" s="365" t="s">
        <v>1400</v>
      </c>
      <c r="C8" s="365" t="s">
        <v>1401</v>
      </c>
      <c r="D8" s="365" t="s">
        <v>1117</v>
      </c>
      <c r="E8" s="365" t="s">
        <v>1402</v>
      </c>
      <c r="F8" s="365" t="s">
        <v>1403</v>
      </c>
      <c r="G8" s="365" t="s">
        <v>1404</v>
      </c>
      <c r="H8" s="365" t="s">
        <v>1405</v>
      </c>
      <c r="I8" s="365" t="s">
        <v>1116</v>
      </c>
      <c r="J8" s="365" t="s">
        <v>71</v>
      </c>
      <c r="K8" s="365" t="s">
        <v>1406</v>
      </c>
      <c r="L8" s="365" t="s">
        <v>1407</v>
      </c>
      <c r="M8" s="365" t="s">
        <v>1128</v>
      </c>
      <c r="N8" s="365" t="s">
        <v>1408</v>
      </c>
      <c r="O8" s="365" t="s">
        <v>1409</v>
      </c>
      <c r="P8" s="365" t="s">
        <v>1410</v>
      </c>
      <c r="Q8" s="365" t="s">
        <v>1411</v>
      </c>
      <c r="R8" s="365" t="s">
        <v>1412</v>
      </c>
      <c r="S8" s="365" t="s">
        <v>1413</v>
      </c>
      <c r="T8" s="20" t="s">
        <v>1414</v>
      </c>
      <c r="U8" s="365" t="s">
        <v>1415</v>
      </c>
      <c r="V8" s="20" t="s">
        <v>1416</v>
      </c>
      <c r="W8" s="20" t="s">
        <v>1417</v>
      </c>
      <c r="X8" s="20" t="s">
        <v>1418</v>
      </c>
      <c r="Y8" s="239"/>
      <c r="Z8" s="20" t="s">
        <v>1419</v>
      </c>
      <c r="AA8" s="20" t="s">
        <v>923</v>
      </c>
      <c r="AB8" s="20" t="s">
        <v>1420</v>
      </c>
      <c r="AC8" s="20" t="s">
        <v>1421</v>
      </c>
      <c r="AD8" s="20" t="s">
        <v>1422</v>
      </c>
      <c r="AF8" s="20" t="s">
        <v>1423</v>
      </c>
      <c r="AG8" s="20" t="s">
        <v>1422</v>
      </c>
    </row>
    <row r="9" spans="1:33">
      <c r="B9" s="239" t="s">
        <v>1424</v>
      </c>
      <c r="C9" s="366" cm="1">
        <f t="array" ref="C9:C15">TRANSPOSE('Financial statements KK'!BP6:BV6)</f>
        <v>5912</v>
      </c>
      <c r="D9" s="366" cm="1">
        <f t="array" ref="D9:D15">TRANSPOSE('Consolidated KK'!BP79:BV79)</f>
        <v>1566.3999999999999</v>
      </c>
      <c r="E9" s="366" cm="1">
        <f t="array" ref="E9:E15">TRANSPOSE('Consolidated KK'!BP115:BV115)</f>
        <v>1447.4999999999998</v>
      </c>
      <c r="F9" s="366" cm="1">
        <f t="array" ref="F9:F15">-TRANSPOSE('Consolidated KK'!BP172:BV172)</f>
        <v>607.5</v>
      </c>
      <c r="G9" s="366">
        <f>D9-F9</f>
        <v>958.89999999999986</v>
      </c>
      <c r="H9" s="366">
        <f>E9-F9</f>
        <v>839.99999999999977</v>
      </c>
      <c r="I9" s="366" cm="1">
        <f t="array" ref="I9:I15">TRANSPOSE('Financial statements KK'!BP27:BV27)</f>
        <v>753.33500000000004</v>
      </c>
      <c r="J9" s="366" cm="1">
        <f t="array" ref="J9:J15">TRANSPOSE('Financial statements KK'!BP53:BV53)</f>
        <v>531.36599999999999</v>
      </c>
      <c r="K9" s="366" cm="1">
        <f t="array" ref="K9:K15">TRANSPOSE('Financial statements KK'!BP233:BV233)</f>
        <v>606.41000000000008</v>
      </c>
      <c r="L9" s="366" cm="1">
        <f t="array" ref="L9:L15">TRANSPOSE('Financial statements KK'!BP218:BV218)</f>
        <v>546.52900000000022</v>
      </c>
      <c r="M9" s="367">
        <f t="shared" ref="M9:M15" si="0">AG9/D9</f>
        <v>9.4810584935139826</v>
      </c>
      <c r="N9" s="367">
        <f t="shared" ref="N9:N15" si="1">AD9/E9</f>
        <v>9.9286563207186891</v>
      </c>
      <c r="O9" s="367">
        <f t="shared" ref="O9:O15" si="2">AG9/G9</f>
        <v>15.48767340102232</v>
      </c>
      <c r="P9" s="367">
        <f t="shared" ref="P9:P15" si="3">AD9/H9</f>
        <v>17.109202409809885</v>
      </c>
      <c r="Q9" s="367">
        <f t="shared" ref="Q9:Q15" si="4">AA9/J9</f>
        <v>16.973153756751469</v>
      </c>
      <c r="R9" s="367">
        <f>AA9/L9</f>
        <v>16.502247491185276</v>
      </c>
      <c r="S9" s="366" cm="1">
        <f t="array" ref="S9:S15">TRANSPOSE('Financial statements KK'!BP84:BV84)</f>
        <v>86</v>
      </c>
      <c r="T9" s="368">
        <f t="shared" ref="T9:T15" si="5">S9/$E$4</f>
        <v>4.5026178010471207E-2</v>
      </c>
      <c r="U9" s="366">
        <f>S9*Z9/1000</f>
        <v>406.08915520600004</v>
      </c>
      <c r="V9" s="367">
        <f t="shared" ref="V9:V15" si="6">L9/U9</f>
        <v>1.3458350044407321</v>
      </c>
      <c r="W9" s="367">
        <f>AB9/E9</f>
        <v>2.4460794473229708</v>
      </c>
      <c r="X9" s="367">
        <f>AF9/D9</f>
        <v>2.5664581205311543</v>
      </c>
      <c r="Z9" s="366" cm="1">
        <f t="array" ref="Z9:Z15">TRANSPOSE('Financial statements KK'!BP58:BV58)</f>
        <v>4721.9669210000002</v>
      </c>
      <c r="AA9" s="366">
        <f>Z9*$E$4/1000</f>
        <v>9018.9568191100007</v>
      </c>
      <c r="AB9" s="366" cm="1">
        <f t="array" ref="AB9:AB15">TRANSPOSE('Financial statements KK'!BP292:BV292)</f>
        <v>3540.6999999999994</v>
      </c>
      <c r="AC9" s="366">
        <f t="shared" ref="AC9:AC15" si="7">0.678*$AC$4*$AC$5/1000</f>
        <v>1812.0732051303003</v>
      </c>
      <c r="AD9" s="369">
        <f t="shared" ref="AD9:AD15" si="8">SUM(AA9:AC9)</f>
        <v>14371.7300242403</v>
      </c>
      <c r="AF9" s="366" cm="1">
        <f t="array" ref="AF9:AF15">TRANSPOSE('Financial statements KK'!BP284:BV284)</f>
        <v>4020.1</v>
      </c>
      <c r="AG9" s="366">
        <f>AD9-AB9+AF9</f>
        <v>14851.130024240301</v>
      </c>
    </row>
    <row r="10" spans="1:33">
      <c r="B10" s="239" t="s">
        <v>1425</v>
      </c>
      <c r="C10" s="366">
        <v>6114.4672906365604</v>
      </c>
      <c r="D10" s="366">
        <v>1605.1718229777302</v>
      </c>
      <c r="E10" s="366">
        <v>1483.8938229777302</v>
      </c>
      <c r="F10" s="366">
        <v>592.29949067331336</v>
      </c>
      <c r="G10" s="366">
        <f t="shared" ref="G10:G15" si="9">D10-F10</f>
        <v>1012.8723323044169</v>
      </c>
      <c r="H10" s="366">
        <f t="shared" ref="H10:H15" si="10">E10-F10</f>
        <v>891.59433230441687</v>
      </c>
      <c r="I10" s="366">
        <v>794.98120386161372</v>
      </c>
      <c r="J10" s="366">
        <v>449.30089241680145</v>
      </c>
      <c r="K10" s="366">
        <v>670.06305164528078</v>
      </c>
      <c r="L10" s="366">
        <v>589.99234565620304</v>
      </c>
      <c r="M10" s="367">
        <f t="shared" si="0"/>
        <v>9.3700677869877893</v>
      </c>
      <c r="N10" s="367">
        <f t="shared" si="1"/>
        <v>9.8050605547149399</v>
      </c>
      <c r="O10" s="367">
        <f t="shared" si="2"/>
        <v>14.849422095324529</v>
      </c>
      <c r="P10" s="367">
        <f t="shared" si="3"/>
        <v>16.318709377008922</v>
      </c>
      <c r="Q10" s="367">
        <f t="shared" si="4"/>
        <v>20.122517191002832</v>
      </c>
      <c r="R10" s="367">
        <f t="shared" ref="R10:R15" si="11">AA10/L10</f>
        <v>15.324037672953741</v>
      </c>
      <c r="S10" s="366">
        <v>86</v>
      </c>
      <c r="T10" s="368">
        <f t="shared" si="5"/>
        <v>4.5026178010471207E-2</v>
      </c>
      <c r="U10" s="366">
        <f t="shared" ref="U10:U15" si="12">S10*Z10/1000</f>
        <v>407.08459901400005</v>
      </c>
      <c r="V10" s="367">
        <f t="shared" si="6"/>
        <v>1.4493113890459723</v>
      </c>
      <c r="W10" s="367">
        <f t="shared" ref="W10:W15" si="13">AB10/E10</f>
        <v>2.4911018545288952</v>
      </c>
      <c r="X10" s="367">
        <f t="shared" ref="X10:X15" si="14">AF10/D10</f>
        <v>2.6087117867392888</v>
      </c>
      <c r="Z10" s="366">
        <v>4733.5418490000002</v>
      </c>
      <c r="AA10" s="366">
        <f t="shared" ref="AA10:AA15" si="15">Z10*$E$4/1000</f>
        <v>9041.0649315900009</v>
      </c>
      <c r="AB10" s="366">
        <v>3696.530654343796</v>
      </c>
      <c r="AC10" s="366">
        <f t="shared" si="7"/>
        <v>1812.0732051303003</v>
      </c>
      <c r="AD10" s="369">
        <f t="shared" si="8"/>
        <v>14549.668791064098</v>
      </c>
      <c r="AF10" s="366">
        <v>4187.430654343796</v>
      </c>
      <c r="AG10" s="366">
        <f t="shared" ref="AG10:AG15" si="16">AD10-AB10+AF10</f>
        <v>15040.568791064097</v>
      </c>
    </row>
    <row r="11" spans="1:33">
      <c r="B11" s="239" t="s">
        <v>1426</v>
      </c>
      <c r="C11" s="366">
        <v>6215.2963241442867</v>
      </c>
      <c r="D11" s="366">
        <v>1610.5896325497999</v>
      </c>
      <c r="E11" s="366">
        <v>1487.7956575497999</v>
      </c>
      <c r="F11" s="366">
        <v>631.51996195631818</v>
      </c>
      <c r="G11" s="366">
        <f t="shared" si="9"/>
        <v>979.06967059348176</v>
      </c>
      <c r="H11" s="366">
        <f t="shared" si="10"/>
        <v>856.27569559348171</v>
      </c>
      <c r="I11" s="366">
        <v>832.75491595122844</v>
      </c>
      <c r="J11" s="366">
        <v>445.86375313980011</v>
      </c>
      <c r="K11" s="366">
        <v>721.89905402455747</v>
      </c>
      <c r="L11" s="366">
        <v>655.23929359251679</v>
      </c>
      <c r="M11" s="367">
        <f t="shared" si="0"/>
        <v>9.3079183240887087</v>
      </c>
      <c r="N11" s="367">
        <f t="shared" si="1"/>
        <v>9.7461883826692262</v>
      </c>
      <c r="O11" s="367">
        <f t="shared" si="2"/>
        <v>15.311716013335761</v>
      </c>
      <c r="P11" s="367">
        <f t="shared" si="3"/>
        <v>16.934191672166342</v>
      </c>
      <c r="Q11" s="367">
        <f t="shared" si="4"/>
        <v>20.266970744932205</v>
      </c>
      <c r="R11" s="367">
        <f t="shared" si="11"/>
        <v>13.790851265292925</v>
      </c>
      <c r="S11" s="366">
        <v>86</v>
      </c>
      <c r="T11" s="368">
        <f t="shared" si="5"/>
        <v>4.5026178010471207E-2</v>
      </c>
      <c r="U11" s="366">
        <f t="shared" si="12"/>
        <v>406.87039640600011</v>
      </c>
      <c r="V11" s="367">
        <f t="shared" si="6"/>
        <v>1.6104373760795294</v>
      </c>
      <c r="W11" s="367">
        <f t="shared" si="13"/>
        <v>2.4546085267996824</v>
      </c>
      <c r="X11" s="367">
        <f t="shared" si="14"/>
        <v>2.5722603842907708</v>
      </c>
      <c r="Z11" s="366">
        <v>4731.0511210000013</v>
      </c>
      <c r="AA11" s="366">
        <f t="shared" si="15"/>
        <v>9036.3076411100028</v>
      </c>
      <c r="AB11" s="366">
        <v>3651.9559071572794</v>
      </c>
      <c r="AC11" s="366">
        <f t="shared" si="7"/>
        <v>1812.0732051303003</v>
      </c>
      <c r="AD11" s="369">
        <f t="shared" si="8"/>
        <v>14500.336753397582</v>
      </c>
      <c r="AF11" s="366">
        <v>4142.8559071572799</v>
      </c>
      <c r="AG11" s="366">
        <f t="shared" si="16"/>
        <v>14991.236753397583</v>
      </c>
    </row>
    <row r="12" spans="1:33">
      <c r="B12" s="239" t="s">
        <v>1427</v>
      </c>
      <c r="C12" s="366">
        <v>6328.5849616922696</v>
      </c>
      <c r="D12" s="366">
        <v>1636.6452737264931</v>
      </c>
      <c r="E12" s="366">
        <v>1512.316374038993</v>
      </c>
      <c r="F12" s="366">
        <v>650.86534045102599</v>
      </c>
      <c r="G12" s="366">
        <f t="shared" si="9"/>
        <v>985.7799332754671</v>
      </c>
      <c r="H12" s="366">
        <f t="shared" si="10"/>
        <v>861.451033587967</v>
      </c>
      <c r="I12" s="366">
        <v>859.47258648274556</v>
      </c>
      <c r="J12" s="366">
        <v>459.44198385589152</v>
      </c>
      <c r="K12" s="366">
        <v>737.28338794639308</v>
      </c>
      <c r="L12" s="366">
        <v>665.50804024274885</v>
      </c>
      <c r="M12" s="367">
        <f t="shared" si="0"/>
        <v>9.1073419222800709</v>
      </c>
      <c r="N12" s="367">
        <f t="shared" si="1"/>
        <v>9.5314633635905945</v>
      </c>
      <c r="O12" s="367">
        <f t="shared" si="2"/>
        <v>15.120502670189405</v>
      </c>
      <c r="P12" s="367">
        <f t="shared" si="3"/>
        <v>16.732916383272165</v>
      </c>
      <c r="Q12" s="367">
        <f t="shared" si="4"/>
        <v>19.668005882423511</v>
      </c>
      <c r="R12" s="367">
        <f t="shared" si="11"/>
        <v>13.578059309116602</v>
      </c>
      <c r="S12" s="366">
        <v>86</v>
      </c>
      <c r="T12" s="368">
        <f t="shared" si="5"/>
        <v>4.5026178010471207E-2</v>
      </c>
      <c r="U12" s="366">
        <f t="shared" si="12"/>
        <v>406.87039640600011</v>
      </c>
      <c r="V12" s="367">
        <f t="shared" si="6"/>
        <v>1.6356757486446969</v>
      </c>
      <c r="W12" s="367">
        <f t="shared" si="13"/>
        <v>2.3581092741501855</v>
      </c>
      <c r="X12" s="367">
        <f t="shared" si="14"/>
        <v>2.4789166792587038</v>
      </c>
      <c r="Z12" s="366">
        <v>4731.0511210000013</v>
      </c>
      <c r="AA12" s="366">
        <f t="shared" si="15"/>
        <v>9036.3076411100028</v>
      </c>
      <c r="AB12" s="366">
        <v>3566.2072670705302</v>
      </c>
      <c r="AC12" s="366">
        <f t="shared" si="7"/>
        <v>1812.0732051303003</v>
      </c>
      <c r="AD12" s="369">
        <f t="shared" si="8"/>
        <v>14414.588113310832</v>
      </c>
      <c r="AF12" s="366">
        <v>4057.1072670705307</v>
      </c>
      <c r="AG12" s="366">
        <f t="shared" si="16"/>
        <v>14905.488113310834</v>
      </c>
    </row>
    <row r="13" spans="1:33">
      <c r="B13" s="239" t="s">
        <v>1428</v>
      </c>
      <c r="C13" s="366">
        <v>6475.7258611152856</v>
      </c>
      <c r="D13" s="366">
        <v>1690.1091133120672</v>
      </c>
      <c r="E13" s="366">
        <v>1564.2261023784733</v>
      </c>
      <c r="F13" s="366">
        <v>682.18081734558587</v>
      </c>
      <c r="G13" s="366">
        <f t="shared" si="9"/>
        <v>1007.9282959664813</v>
      </c>
      <c r="H13" s="366">
        <f t="shared" si="10"/>
        <v>882.04528503288748</v>
      </c>
      <c r="I13" s="366">
        <v>914.96198899196406</v>
      </c>
      <c r="J13" s="366">
        <v>488.80772964611697</v>
      </c>
      <c r="K13" s="366">
        <v>766.03414953162019</v>
      </c>
      <c r="L13" s="366">
        <v>686.76703396282846</v>
      </c>
      <c r="M13" s="367">
        <f t="shared" si="0"/>
        <v>8.7621577731019382</v>
      </c>
      <c r="N13" s="367">
        <f t="shared" si="1"/>
        <v>9.1534738378463718</v>
      </c>
      <c r="O13" s="367">
        <f t="shared" si="2"/>
        <v>14.692516088555399</v>
      </c>
      <c r="P13" s="367">
        <f t="shared" si="3"/>
        <v>16.232843083633622</v>
      </c>
      <c r="Q13" s="367">
        <f t="shared" si="4"/>
        <v>18.486425424679833</v>
      </c>
      <c r="R13" s="367">
        <f t="shared" si="11"/>
        <v>13.157748107051825</v>
      </c>
      <c r="S13" s="366">
        <v>86</v>
      </c>
      <c r="T13" s="368">
        <f t="shared" si="5"/>
        <v>4.5026178010471207E-2</v>
      </c>
      <c r="U13" s="366">
        <f t="shared" si="12"/>
        <v>406.87039640600011</v>
      </c>
      <c r="V13" s="367">
        <f t="shared" si="6"/>
        <v>1.6879257867596993</v>
      </c>
      <c r="W13" s="367">
        <f t="shared" si="13"/>
        <v>2.218171562973914</v>
      </c>
      <c r="X13" s="367">
        <f t="shared" si="14"/>
        <v>2.3434119295386289</v>
      </c>
      <c r="Z13" s="366">
        <v>4731.0511210000013</v>
      </c>
      <c r="AA13" s="366">
        <f t="shared" si="15"/>
        <v>9036.3076411100028</v>
      </c>
      <c r="AB13" s="366">
        <v>3469.7218583574518</v>
      </c>
      <c r="AC13" s="366">
        <f t="shared" si="7"/>
        <v>1812.0732051303003</v>
      </c>
      <c r="AD13" s="369">
        <f t="shared" si="8"/>
        <v>14318.102704597755</v>
      </c>
      <c r="AF13" s="366">
        <v>3960.6218583574523</v>
      </c>
      <c r="AG13" s="366">
        <f t="shared" si="16"/>
        <v>14809.002704597755</v>
      </c>
    </row>
    <row r="14" spans="1:33">
      <c r="B14" s="239" t="s">
        <v>1429</v>
      </c>
      <c r="C14" s="366">
        <v>6638.8122341500002</v>
      </c>
      <c r="D14" s="366">
        <v>1758.6491592931502</v>
      </c>
      <c r="E14" s="366">
        <v>1631.1926107228865</v>
      </c>
      <c r="F14" s="366">
        <v>715.90602923034908</v>
      </c>
      <c r="G14" s="366">
        <f t="shared" si="9"/>
        <v>1042.7431300628011</v>
      </c>
      <c r="H14" s="366">
        <f t="shared" si="10"/>
        <v>915.28658149253738</v>
      </c>
      <c r="I14" s="366">
        <v>987.09445385055949</v>
      </c>
      <c r="J14" s="366">
        <v>528.00412606628038</v>
      </c>
      <c r="K14" s="366">
        <v>777.17576685775543</v>
      </c>
      <c r="L14" s="366">
        <v>678.51912173486858</v>
      </c>
      <c r="M14" s="367">
        <f t="shared" si="0"/>
        <v>8.339602820342277</v>
      </c>
      <c r="N14" s="367">
        <f t="shared" si="1"/>
        <v>8.6902891759371315</v>
      </c>
      <c r="O14" s="367">
        <f t="shared" si="2"/>
        <v>14.065242978824918</v>
      </c>
      <c r="P14" s="367">
        <f t="shared" si="3"/>
        <v>15.487537756445638</v>
      </c>
      <c r="Q14" s="367">
        <f t="shared" si="4"/>
        <v>17.114085278901165</v>
      </c>
      <c r="R14" s="367">
        <f t="shared" si="11"/>
        <v>13.3176904698066</v>
      </c>
      <c r="S14" s="366">
        <v>86</v>
      </c>
      <c r="T14" s="368">
        <f t="shared" si="5"/>
        <v>4.5026178010471207E-2</v>
      </c>
      <c r="U14" s="366">
        <f t="shared" si="12"/>
        <v>406.87039640600011</v>
      </c>
      <c r="V14" s="367">
        <f t="shared" si="6"/>
        <v>1.6676541909375013</v>
      </c>
      <c r="W14" s="367">
        <f t="shared" si="13"/>
        <v>2.0397067892055682</v>
      </c>
      <c r="X14" s="367">
        <f t="shared" si="14"/>
        <v>2.1710155333813197</v>
      </c>
      <c r="Z14" s="366">
        <v>4731.0511210000013</v>
      </c>
      <c r="AA14" s="366">
        <f t="shared" si="15"/>
        <v>9036.3076411100028</v>
      </c>
      <c r="AB14" s="366">
        <v>3327.1546425934271</v>
      </c>
      <c r="AC14" s="366">
        <f t="shared" si="7"/>
        <v>1812.0732051303003</v>
      </c>
      <c r="AD14" s="369">
        <f t="shared" si="8"/>
        <v>14175.53548883373</v>
      </c>
      <c r="AF14" s="366">
        <v>3818.0546425934276</v>
      </c>
      <c r="AG14" s="366">
        <f t="shared" si="16"/>
        <v>14666.435488833731</v>
      </c>
    </row>
    <row r="15" spans="1:33">
      <c r="B15" s="239" t="s">
        <v>1430</v>
      </c>
      <c r="C15" s="366">
        <v>6813.5362030615142</v>
      </c>
      <c r="D15" s="366">
        <v>1842.7104462169148</v>
      </c>
      <c r="E15" s="366">
        <v>1713.6606907895227</v>
      </c>
      <c r="F15" s="366">
        <v>751.73338261596223</v>
      </c>
      <c r="G15" s="366">
        <f t="shared" si="9"/>
        <v>1090.9770636009525</v>
      </c>
      <c r="H15" s="366">
        <f t="shared" si="10"/>
        <v>961.9273081735605</v>
      </c>
      <c r="I15" s="366">
        <v>1076.0378084759404</v>
      </c>
      <c r="J15" s="366">
        <v>576.64993386092522</v>
      </c>
      <c r="K15" s="366">
        <v>818.05606810188851</v>
      </c>
      <c r="L15" s="366">
        <v>708.68102050343714</v>
      </c>
      <c r="M15" s="367">
        <f t="shared" si="0"/>
        <v>7.857176607298574</v>
      </c>
      <c r="N15" s="367">
        <f t="shared" si="1"/>
        <v>8.1624101475980346</v>
      </c>
      <c r="O15" s="367">
        <f t="shared" si="2"/>
        <v>13.271132725972754</v>
      </c>
      <c r="P15" s="367">
        <f t="shared" si="3"/>
        <v>14.541224989858044</v>
      </c>
      <c r="Q15" s="367">
        <f t="shared" si="4"/>
        <v>15.670352341164673</v>
      </c>
      <c r="R15" s="367">
        <f t="shared" si="11"/>
        <v>12.7508813975161</v>
      </c>
      <c r="S15" s="366">
        <v>86</v>
      </c>
      <c r="T15" s="368">
        <f t="shared" si="5"/>
        <v>4.5026178010471207E-2</v>
      </c>
      <c r="U15" s="366">
        <f t="shared" si="12"/>
        <v>406.87039640600011</v>
      </c>
      <c r="V15" s="367">
        <f t="shared" si="6"/>
        <v>1.741785656472957</v>
      </c>
      <c r="W15" s="367">
        <f t="shared" si="13"/>
        <v>1.8318798947028683</v>
      </c>
      <c r="X15" s="367">
        <f t="shared" si="14"/>
        <v>1.9699896819126383</v>
      </c>
      <c r="Z15" s="366">
        <v>4731.0511210000013</v>
      </c>
      <c r="AA15" s="366">
        <f t="shared" si="15"/>
        <v>9036.3076411100028</v>
      </c>
      <c r="AB15" s="366">
        <v>3139.2205657999552</v>
      </c>
      <c r="AC15" s="366">
        <f t="shared" si="7"/>
        <v>1812.0732051303003</v>
      </c>
      <c r="AD15" s="369">
        <f t="shared" si="8"/>
        <v>13987.601412040258</v>
      </c>
      <c r="AF15" s="366">
        <v>3630.1205657999558</v>
      </c>
      <c r="AG15" s="366">
        <f t="shared" si="16"/>
        <v>14478.501412040259</v>
      </c>
    </row>
  </sheetData>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17C3B-0C6A-40BC-A27E-2B1286885990}">
  <sheetPr codeName="Sheet22"/>
  <dimension ref="A1:BL45"/>
  <sheetViews>
    <sheetView zoomScale="90" zoomScaleNormal="90" workbookViewId="0"/>
  </sheetViews>
  <sheetFormatPr defaultColWidth="9.140625" defaultRowHeight="12"/>
  <cols>
    <col min="1" max="3" width="9.140625" style="1"/>
    <col min="4" max="4" width="14" style="1" customWidth="1"/>
    <col min="5" max="12" width="11.42578125" style="1" customWidth="1"/>
    <col min="13" max="64" width="9.7109375" style="1" customWidth="1"/>
    <col min="65" max="16384" width="9.140625" style="1"/>
  </cols>
  <sheetData>
    <row r="1" spans="1:64" s="2" customFormat="1">
      <c r="A1" s="2" t="s">
        <v>85</v>
      </c>
      <c r="N1" s="18"/>
      <c r="S1" s="18"/>
      <c r="X1" s="18"/>
      <c r="AC1" s="18"/>
      <c r="AH1" s="18"/>
      <c r="AM1" s="18"/>
      <c r="AR1" s="18"/>
      <c r="AW1" s="18"/>
      <c r="BB1" s="18"/>
      <c r="BG1" s="18"/>
      <c r="BL1" s="18"/>
    </row>
    <row r="2" spans="1:64" s="2" customFormat="1">
      <c r="A2" s="2" t="s">
        <v>1390</v>
      </c>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row>
    <row r="4" spans="1:64">
      <c r="B4" s="1" t="s">
        <v>1431</v>
      </c>
      <c r="C4" s="303">
        <v>0</v>
      </c>
      <c r="E4" s="44" t="s">
        <v>1432</v>
      </c>
      <c r="F4" s="44"/>
      <c r="G4" s="370">
        <f>'FP SoftBank Corp.'!W9/'FP SoftBank Corp.'!M9</f>
        <v>0.25799645145068351</v>
      </c>
      <c r="I4" s="1" t="s">
        <v>1433</v>
      </c>
      <c r="K4" s="371">
        <f>MROUND(1.75%*(1-$L$28), 0.05%)</f>
        <v>1.2500000000000001E-2</v>
      </c>
    </row>
    <row r="5" spans="1:64">
      <c r="B5" s="1" t="s">
        <v>1434</v>
      </c>
      <c r="C5" s="371">
        <f>G4*K4+G5*K5</f>
        <v>5.293919339593775E-2</v>
      </c>
      <c r="E5" s="44" t="s">
        <v>1435</v>
      </c>
      <c r="F5" s="44"/>
      <c r="G5" s="372">
        <f>1-G4</f>
        <v>0.74200354854931649</v>
      </c>
      <c r="I5" s="1" t="s">
        <v>1436</v>
      </c>
      <c r="K5" s="371">
        <f>0.7%+6%</f>
        <v>6.7000000000000004E-2</v>
      </c>
      <c r="L5" s="262" t="s">
        <v>1437</v>
      </c>
    </row>
    <row r="7" spans="1:64">
      <c r="E7" s="297" t="s">
        <v>1424</v>
      </c>
      <c r="F7" s="297" t="s">
        <v>1425</v>
      </c>
      <c r="G7" s="297" t="s">
        <v>1426</v>
      </c>
      <c r="H7" s="297" t="s">
        <v>1427</v>
      </c>
      <c r="I7" s="297" t="s">
        <v>1428</v>
      </c>
      <c r="J7" s="297" t="s">
        <v>1429</v>
      </c>
      <c r="K7" s="297" t="s">
        <v>1430</v>
      </c>
      <c r="L7" s="297" t="s">
        <v>1438</v>
      </c>
    </row>
    <row r="9" spans="1:64">
      <c r="B9" s="1" t="s">
        <v>1401</v>
      </c>
      <c r="E9" s="373">
        <f>'Financial statements KK'!BP6</f>
        <v>5912</v>
      </c>
      <c r="F9" s="373">
        <f>'Financial statements KK'!BQ6</f>
        <v>6114.4672906365604</v>
      </c>
      <c r="G9" s="373">
        <f>'Financial statements KK'!BR6</f>
        <v>6215.2963241442867</v>
      </c>
      <c r="H9" s="373">
        <f>'Financial statements KK'!BS6</f>
        <v>6328.5849616922696</v>
      </c>
      <c r="I9" s="373">
        <f>'Financial statements KK'!BT6</f>
        <v>6475.7258611152856</v>
      </c>
      <c r="J9" s="373">
        <f>'Financial statements KK'!BU6</f>
        <v>6638.8122341500002</v>
      </c>
      <c r="K9" s="373">
        <f>'Financial statements KK'!BV6</f>
        <v>6813.5362030615142</v>
      </c>
      <c r="L9" s="373">
        <f>K9*(1+L10)</f>
        <v>6813.5362030615142</v>
      </c>
    </row>
    <row r="10" spans="1:64">
      <c r="B10" s="1" t="s">
        <v>28</v>
      </c>
      <c r="F10" s="16">
        <f t="shared" ref="F10:K10" si="0">F9/E9-1</f>
        <v>3.4246835358010985E-2</v>
      </c>
      <c r="G10" s="16">
        <f t="shared" si="0"/>
        <v>1.6490240067541295E-2</v>
      </c>
      <c r="H10" s="16">
        <f t="shared" si="0"/>
        <v>1.8227391203842647E-2</v>
      </c>
      <c r="I10" s="16">
        <f t="shared" si="0"/>
        <v>2.3250205269215618E-2</v>
      </c>
      <c r="J10" s="16">
        <f t="shared" si="0"/>
        <v>2.5184261429903598E-2</v>
      </c>
      <c r="K10" s="16">
        <f t="shared" si="0"/>
        <v>2.6318558613954268E-2</v>
      </c>
      <c r="L10" s="371">
        <f>$C$4</f>
        <v>0</v>
      </c>
    </row>
    <row r="12" spans="1:64">
      <c r="B12" s="1" t="s">
        <v>1117</v>
      </c>
      <c r="E12" s="373">
        <f>'Consolidated KK'!BP79</f>
        <v>1566.3999999999999</v>
      </c>
      <c r="F12" s="373">
        <f>'Consolidated KK'!BQ79</f>
        <v>1605.1718229777302</v>
      </c>
      <c r="G12" s="373">
        <f>'Consolidated KK'!BR79</f>
        <v>1610.5896325497999</v>
      </c>
      <c r="H12" s="373">
        <f>'Consolidated KK'!BS79</f>
        <v>1636.6452737264931</v>
      </c>
      <c r="I12" s="373">
        <f>'Consolidated KK'!BT79</f>
        <v>1690.1091133120672</v>
      </c>
      <c r="J12" s="373">
        <f>'Consolidated KK'!BU79</f>
        <v>1758.6491592931502</v>
      </c>
      <c r="K12" s="373">
        <f>'Consolidated KK'!BV79</f>
        <v>1842.7104462169148</v>
      </c>
      <c r="L12" s="373">
        <f>L13*L9</f>
        <v>1737.4517317806863</v>
      </c>
    </row>
    <row r="13" spans="1:64">
      <c r="B13" s="1" t="s">
        <v>1112</v>
      </c>
      <c r="E13" s="16">
        <f>E12/E9</f>
        <v>0.26495263870094721</v>
      </c>
      <c r="F13" s="16">
        <f t="shared" ref="F13:K13" si="1">F12/F9</f>
        <v>0.26252030580584235</v>
      </c>
      <c r="G13" s="16">
        <f t="shared" si="1"/>
        <v>0.25913320114653482</v>
      </c>
      <c r="H13" s="16">
        <f t="shared" si="1"/>
        <v>0.25861156698271653</v>
      </c>
      <c r="I13" s="16">
        <f t="shared" si="1"/>
        <v>0.26099145478974728</v>
      </c>
      <c r="J13" s="16">
        <f t="shared" si="1"/>
        <v>0.26490418726510628</v>
      </c>
      <c r="K13" s="16">
        <f t="shared" si="1"/>
        <v>0.27044847070584771</v>
      </c>
      <c r="L13" s="303">
        <v>0.255</v>
      </c>
    </row>
    <row r="14" spans="1:64">
      <c r="B14" s="1" t="s">
        <v>28</v>
      </c>
      <c r="F14" s="16">
        <f t="shared" ref="F14:L14" si="2">F12/E12-1</f>
        <v>2.4752185251360137E-2</v>
      </c>
      <c r="G14" s="16">
        <f t="shared" si="2"/>
        <v>3.3752209542396994E-3</v>
      </c>
      <c r="H14" s="16">
        <f t="shared" si="2"/>
        <v>1.6177703277180155E-2</v>
      </c>
      <c r="I14" s="16">
        <f t="shared" si="2"/>
        <v>3.2666724087279997E-2</v>
      </c>
      <c r="J14" s="16">
        <f t="shared" si="2"/>
        <v>4.0553621917798433E-2</v>
      </c>
      <c r="K14" s="16">
        <f t="shared" si="2"/>
        <v>4.7798781513392452E-2</v>
      </c>
      <c r="L14" s="16">
        <f t="shared" si="2"/>
        <v>-5.7121678911803309E-2</v>
      </c>
    </row>
    <row r="16" spans="1:64">
      <c r="B16" s="1" t="s">
        <v>1402</v>
      </c>
      <c r="E16" s="373">
        <f>'Consolidated KK'!BP115</f>
        <v>1447.4999999999998</v>
      </c>
      <c r="F16" s="373">
        <f>'Consolidated KK'!BQ115</f>
        <v>1483.8938229777302</v>
      </c>
      <c r="G16" s="373">
        <f>'Consolidated KK'!BR115</f>
        <v>1487.7956575497999</v>
      </c>
      <c r="H16" s="373">
        <f>'Consolidated KK'!BS115</f>
        <v>1512.316374038993</v>
      </c>
      <c r="I16" s="373">
        <f>'Consolidated KK'!BT115</f>
        <v>1564.2261023784733</v>
      </c>
      <c r="J16" s="373">
        <f>'Consolidated KK'!BU115</f>
        <v>1631.1926107228865</v>
      </c>
      <c r="K16" s="373">
        <f>'Consolidated KK'!BV115</f>
        <v>1713.6606907895227</v>
      </c>
      <c r="L16" s="373">
        <f>L17*L9</f>
        <v>1601.1810077194557</v>
      </c>
    </row>
    <row r="17" spans="2:12">
      <c r="B17" s="1" t="s">
        <v>1439</v>
      </c>
      <c r="E17" s="16">
        <f>E16/E9</f>
        <v>0.24484100135317993</v>
      </c>
      <c r="F17" s="16">
        <f t="shared" ref="F17:K17" si="3">F16/F9</f>
        <v>0.24268570791933144</v>
      </c>
      <c r="G17" s="16">
        <f t="shared" si="3"/>
        <v>0.23937646412291333</v>
      </c>
      <c r="H17" s="16">
        <f t="shared" si="3"/>
        <v>0.23896595892971911</v>
      </c>
      <c r="I17" s="16">
        <f t="shared" si="3"/>
        <v>0.24155224231636538</v>
      </c>
      <c r="J17" s="16">
        <f t="shared" si="3"/>
        <v>0.24570548965552061</v>
      </c>
      <c r="K17" s="16">
        <f t="shared" si="3"/>
        <v>0.25150826820579991</v>
      </c>
      <c r="L17" s="303">
        <v>0.23499999999999999</v>
      </c>
    </row>
    <row r="18" spans="2:12">
      <c r="B18" s="1" t="s">
        <v>28</v>
      </c>
      <c r="F18" s="16">
        <f t="shared" ref="F18:L18" si="4">F16/E16-1</f>
        <v>2.5142537463026304E-2</v>
      </c>
      <c r="G18" s="16">
        <f t="shared" si="4"/>
        <v>2.6294567115590084E-3</v>
      </c>
      <c r="H18" s="16">
        <f t="shared" si="4"/>
        <v>1.6481239452987406E-2</v>
      </c>
      <c r="I18" s="16">
        <f t="shared" si="4"/>
        <v>3.4324648751136166E-2</v>
      </c>
      <c r="J18" s="16">
        <f t="shared" si="4"/>
        <v>4.2811271492393388E-2</v>
      </c>
      <c r="K18" s="16">
        <f t="shared" si="4"/>
        <v>5.055692351995722E-2</v>
      </c>
      <c r="L18" s="16">
        <f t="shared" si="4"/>
        <v>-6.5637079542418042E-2</v>
      </c>
    </row>
    <row r="20" spans="2:12">
      <c r="B20" s="1" t="s">
        <v>1440</v>
      </c>
      <c r="E20" s="369">
        <f>-'Financial statements KK'!BP78</f>
        <v>-764.21</v>
      </c>
      <c r="F20" s="369">
        <f>-'Financial statements KK'!BQ78</f>
        <v>-753.08807487638728</v>
      </c>
      <c r="G20" s="369">
        <f>-'Financial statements KK'!BR78</f>
        <v>-745.83555889731429</v>
      </c>
      <c r="H20" s="369">
        <f>-'Financial statements KK'!BS78</f>
        <v>-743.60873299884156</v>
      </c>
      <c r="I20" s="369">
        <f>-'Financial statements KK'!BT78</f>
        <v>-744.7084740282578</v>
      </c>
      <c r="J20" s="369">
        <f>-'Financial statements KK'!BU78</f>
        <v>-753.50518857602503</v>
      </c>
      <c r="K20" s="369">
        <f>-'Financial statements KK'!BV78</f>
        <v>-763.11605474288945</v>
      </c>
      <c r="L20" s="369">
        <f>-L21*L9</f>
        <v>-749.48898233676653</v>
      </c>
    </row>
    <row r="21" spans="2:12">
      <c r="B21" s="1" t="s">
        <v>1115</v>
      </c>
      <c r="E21" s="16">
        <f>-E20/E9</f>
        <v>0.12926420838971583</v>
      </c>
      <c r="F21" s="16">
        <f t="shared" ref="F21:K21" si="5">-F20/F9</f>
        <v>0.12316495273915928</v>
      </c>
      <c r="G21" s="16">
        <f t="shared" si="5"/>
        <v>0.11999999999999998</v>
      </c>
      <c r="H21" s="16">
        <f t="shared" si="5"/>
        <v>0.11749999999999998</v>
      </c>
      <c r="I21" s="16">
        <f t="shared" si="5"/>
        <v>0.11499999999999999</v>
      </c>
      <c r="J21" s="16">
        <f t="shared" si="5"/>
        <v>0.1135</v>
      </c>
      <c r="K21" s="16">
        <f t="shared" si="5"/>
        <v>0.11199999999999997</v>
      </c>
      <c r="L21" s="303">
        <v>0.11</v>
      </c>
    </row>
    <row r="22" spans="2:12">
      <c r="E22" s="369"/>
      <c r="F22" s="369"/>
      <c r="G22" s="369"/>
      <c r="H22" s="369"/>
      <c r="I22" s="369"/>
      <c r="J22" s="369"/>
      <c r="K22" s="369"/>
    </row>
    <row r="23" spans="2:12">
      <c r="B23" s="1" t="s">
        <v>1116</v>
      </c>
      <c r="E23" s="373">
        <f>E12+E20</f>
        <v>802.18999999999983</v>
      </c>
      <c r="F23" s="373">
        <f t="shared" ref="F23:L23" si="6">F12+F20</f>
        <v>852.08374810134296</v>
      </c>
      <c r="G23" s="373">
        <f t="shared" si="6"/>
        <v>864.75407365248566</v>
      </c>
      <c r="H23" s="373">
        <f t="shared" si="6"/>
        <v>893.03654072765153</v>
      </c>
      <c r="I23" s="373">
        <f t="shared" si="6"/>
        <v>945.40063928380937</v>
      </c>
      <c r="J23" s="373">
        <f t="shared" si="6"/>
        <v>1005.1439707171252</v>
      </c>
      <c r="K23" s="373">
        <f t="shared" si="6"/>
        <v>1079.5943914740253</v>
      </c>
      <c r="L23" s="373">
        <f t="shared" si="6"/>
        <v>987.96274944391973</v>
      </c>
    </row>
    <row r="24" spans="2:12">
      <c r="B24" s="1" t="s">
        <v>1118</v>
      </c>
      <c r="E24" s="16">
        <f>E23/E9</f>
        <v>0.13568843031123137</v>
      </c>
      <c r="F24" s="16">
        <f t="shared" ref="F24:L24" si="7">F23/F9</f>
        <v>0.13935535306668309</v>
      </c>
      <c r="G24" s="16">
        <f t="shared" si="7"/>
        <v>0.13913320114653485</v>
      </c>
      <c r="H24" s="16">
        <f t="shared" si="7"/>
        <v>0.14111156698271657</v>
      </c>
      <c r="I24" s="16">
        <f t="shared" si="7"/>
        <v>0.14599145478974726</v>
      </c>
      <c r="J24" s="16">
        <f t="shared" si="7"/>
        <v>0.15140418726510627</v>
      </c>
      <c r="K24" s="16">
        <f t="shared" si="7"/>
        <v>0.15844847070584772</v>
      </c>
      <c r="L24" s="16">
        <f t="shared" si="7"/>
        <v>0.14500000000000002</v>
      </c>
    </row>
    <row r="25" spans="2:12">
      <c r="B25" s="1" t="s">
        <v>28</v>
      </c>
      <c r="F25" s="16">
        <f t="shared" ref="F25:L25" si="8">F23/E23-1</f>
        <v>6.2196921055290177E-2</v>
      </c>
      <c r="G25" s="16">
        <f t="shared" si="8"/>
        <v>1.4869812479554323E-2</v>
      </c>
      <c r="H25" s="16">
        <f t="shared" si="8"/>
        <v>3.270579224415604E-2</v>
      </c>
      <c r="I25" s="16">
        <f t="shared" si="8"/>
        <v>5.8636008906747916E-2</v>
      </c>
      <c r="J25" s="16">
        <f t="shared" si="8"/>
        <v>6.3193665151923817E-2</v>
      </c>
      <c r="K25" s="16">
        <f t="shared" si="8"/>
        <v>7.40694098814354E-2</v>
      </c>
      <c r="L25" s="16">
        <f t="shared" si="8"/>
        <v>-8.4875989310204014E-2</v>
      </c>
    </row>
    <row r="27" spans="2:12">
      <c r="B27" s="1" t="s">
        <v>730</v>
      </c>
      <c r="E27" s="369">
        <f>'Financial statements KK'!BP178</f>
        <v>-287.74099999999999</v>
      </c>
      <c r="F27" s="369">
        <f>'Financial statements KK'!BQ178</f>
        <v>-349.82975490848406</v>
      </c>
      <c r="G27" s="369">
        <f>'Financial statements KK'!BR178</f>
        <v>-301.70421999350873</v>
      </c>
      <c r="H27" s="369">
        <f>'Financial statements KK'!BS178</f>
        <v>-308.13656169068565</v>
      </c>
      <c r="I27" s="369">
        <f>'Financial statements KK'!BT178</f>
        <v>-323.4262244102456</v>
      </c>
      <c r="J27" s="369">
        <f>'Financial statements KK'!BU178</f>
        <v>-343.9839200318637</v>
      </c>
      <c r="K27" s="369">
        <f>'Financial statements KK'!BV178</f>
        <v>-370.00027276551583</v>
      </c>
      <c r="L27" s="369">
        <f>-L28*L23</f>
        <v>-296.38882483317593</v>
      </c>
    </row>
    <row r="28" spans="2:12">
      <c r="B28" s="1" t="s">
        <v>1441</v>
      </c>
      <c r="E28" s="16">
        <f t="shared" ref="E28:K28" si="9">-E27/E23</f>
        <v>0.35869432428726367</v>
      </c>
      <c r="F28" s="16">
        <f t="shared" si="9"/>
        <v>0.41055794772285331</v>
      </c>
      <c r="G28" s="16">
        <f t="shared" si="9"/>
        <v>0.34889019801802412</v>
      </c>
      <c r="H28" s="16">
        <f t="shared" si="9"/>
        <v>0.34504362099182878</v>
      </c>
      <c r="I28" s="16">
        <f t="shared" si="9"/>
        <v>0.34210493516828794</v>
      </c>
      <c r="J28" s="16">
        <f t="shared" si="9"/>
        <v>0.34222353220349777</v>
      </c>
      <c r="K28" s="16">
        <f t="shared" si="9"/>
        <v>0.3427215588442763</v>
      </c>
      <c r="L28" s="303">
        <v>0.3</v>
      </c>
    </row>
    <row r="30" spans="2:12">
      <c r="B30" s="1" t="s">
        <v>1403</v>
      </c>
      <c r="E30" s="369">
        <f>'Financial statements KK'!BP183</f>
        <v>-609.22199999999998</v>
      </c>
      <c r="F30" s="369">
        <f>'Financial statements KK'!BQ183</f>
        <v>-592.29949067331336</v>
      </c>
      <c r="G30" s="369">
        <f>'Financial statements KK'!BR183</f>
        <v>-631.51996195631818</v>
      </c>
      <c r="H30" s="369">
        <f>'Financial statements KK'!BS183</f>
        <v>-650.86534045102599</v>
      </c>
      <c r="I30" s="369">
        <f>'Financial statements KK'!BT183</f>
        <v>-682.18081734558587</v>
      </c>
      <c r="J30" s="369">
        <f>'Financial statements KK'!BU183</f>
        <v>-715.90602923034908</v>
      </c>
      <c r="K30" s="369">
        <f>'Financial statements KK'!BV183</f>
        <v>-751.73338261596223</v>
      </c>
      <c r="L30" s="369">
        <f>-L31*L9</f>
        <v>-749.48898233676653</v>
      </c>
    </row>
    <row r="31" spans="2:12">
      <c r="B31" s="1" t="s">
        <v>1442</v>
      </c>
      <c r="E31" s="16">
        <f t="shared" ref="E31:K31" si="10">-E30/E9</f>
        <v>0.10304837618403247</v>
      </c>
      <c r="F31" s="16">
        <f t="shared" si="10"/>
        <v>9.6868535314652185E-2</v>
      </c>
      <c r="G31" s="16">
        <f t="shared" si="10"/>
        <v>0.10160737783379378</v>
      </c>
      <c r="H31" s="16">
        <f t="shared" si="10"/>
        <v>0.10284531919707118</v>
      </c>
      <c r="I31" s="16">
        <f t="shared" si="10"/>
        <v>0.10534430146925597</v>
      </c>
      <c r="J31" s="16">
        <f t="shared" si="10"/>
        <v>0.10783646290638163</v>
      </c>
      <c r="K31" s="16">
        <f t="shared" si="10"/>
        <v>0.11032940314871846</v>
      </c>
      <c r="L31" s="303">
        <v>0.11</v>
      </c>
    </row>
    <row r="33" spans="2:12">
      <c r="B33" s="9" t="s">
        <v>1406</v>
      </c>
      <c r="C33" s="9"/>
      <c r="D33" s="9"/>
      <c r="E33" s="374">
        <f t="shared" ref="E33:L33" si="11">E16+E27+E30</f>
        <v>550.53699999999981</v>
      </c>
      <c r="F33" s="374">
        <f t="shared" si="11"/>
        <v>541.76457739593275</v>
      </c>
      <c r="G33" s="374">
        <f t="shared" si="11"/>
        <v>554.57147559997293</v>
      </c>
      <c r="H33" s="374">
        <f t="shared" si="11"/>
        <v>553.31447189728124</v>
      </c>
      <c r="I33" s="374">
        <f t="shared" si="11"/>
        <v>558.61906062264188</v>
      </c>
      <c r="J33" s="374">
        <f t="shared" si="11"/>
        <v>571.30266146067356</v>
      </c>
      <c r="K33" s="374">
        <f t="shared" si="11"/>
        <v>591.92703540804473</v>
      </c>
      <c r="L33" s="374">
        <f t="shared" si="11"/>
        <v>555.30320054951324</v>
      </c>
    </row>
    <row r="34" spans="2:12">
      <c r="B34" s="1" t="s">
        <v>1443</v>
      </c>
      <c r="K34" s="369">
        <f>L33/($C$5-$C$4)</f>
        <v>10489.453369573326</v>
      </c>
    </row>
    <row r="36" spans="2:12">
      <c r="B36" s="9" t="s">
        <v>1444</v>
      </c>
      <c r="C36" s="9"/>
      <c r="D36" s="9"/>
      <c r="E36" s="374">
        <f>E33+E34</f>
        <v>550.53699999999981</v>
      </c>
      <c r="F36" s="374">
        <f t="shared" ref="F36:K36" si="12">F33+F34</f>
        <v>541.76457739593275</v>
      </c>
      <c r="G36" s="374">
        <f t="shared" si="12"/>
        <v>554.57147559997293</v>
      </c>
      <c r="H36" s="374">
        <f t="shared" si="12"/>
        <v>553.31447189728124</v>
      </c>
      <c r="I36" s="374">
        <f t="shared" si="12"/>
        <v>558.61906062264188</v>
      </c>
      <c r="J36" s="374">
        <f t="shared" si="12"/>
        <v>571.30266146067356</v>
      </c>
      <c r="K36" s="374">
        <f t="shared" si="12"/>
        <v>11081.380404981372</v>
      </c>
    </row>
    <row r="38" spans="2:12">
      <c r="B38" s="9" t="s">
        <v>1445</v>
      </c>
      <c r="C38" s="9"/>
      <c r="D38" s="9"/>
      <c r="E38" s="374">
        <f>E36+NPV($C$5, F36:$K$36)</f>
        <v>11066.703212585036</v>
      </c>
      <c r="F38" s="374">
        <f>F36+NPV($C$5, G36:$K$36)</f>
        <v>11072.883569496902</v>
      </c>
      <c r="G38" s="374">
        <f>G36+NPV($C$5, H36:$K$36)</f>
        <v>11088.627937099434</v>
      </c>
      <c r="H38" s="374">
        <f>H36+NPV($C$5, I36:$K$36)</f>
        <v>11091.720913758511</v>
      </c>
      <c r="I38" s="374">
        <f>I36+NPV($C$5, J36:$K$36)</f>
        <v>11096.301178571917</v>
      </c>
      <c r="J38" s="374">
        <f>J36+NPV($C$5, K36:$K$36)</f>
        <v>11095.538509536307</v>
      </c>
      <c r="K38" s="374">
        <f>K36</f>
        <v>11081.380404981372</v>
      </c>
    </row>
    <row r="40" spans="2:12">
      <c r="B40" s="1" t="s">
        <v>1446</v>
      </c>
      <c r="E40" s="369">
        <f>-'Financial statements KK'!BP292</f>
        <v>-3540.6999999999994</v>
      </c>
      <c r="F40" s="369">
        <f>-'Financial statements KK'!BQ292</f>
        <v>-3696.530654343796</v>
      </c>
      <c r="G40" s="369">
        <f>-'Financial statements KK'!BR292</f>
        <v>-3651.9559071572794</v>
      </c>
      <c r="H40" s="369">
        <f>-'Financial statements KK'!BS292</f>
        <v>-3566.2072670705302</v>
      </c>
      <c r="I40" s="369">
        <f>-'Financial statements KK'!BT292</f>
        <v>-3469.7218583574518</v>
      </c>
      <c r="J40" s="369">
        <f>-'Financial statements KK'!BU292</f>
        <v>-3327.1546425934271</v>
      </c>
      <c r="K40" s="369">
        <f>-'Financial statements KK'!BV292</f>
        <v>-3139.2205657999552</v>
      </c>
    </row>
    <row r="41" spans="2:12">
      <c r="B41" s="9" t="s">
        <v>1447</v>
      </c>
      <c r="C41" s="9"/>
      <c r="D41" s="9"/>
      <c r="E41" s="374">
        <f t="shared" ref="E41:K41" si="13">E38+E40</f>
        <v>7526.0032125850375</v>
      </c>
      <c r="F41" s="374">
        <f t="shared" si="13"/>
        <v>7376.3529151531056</v>
      </c>
      <c r="G41" s="374">
        <f t="shared" si="13"/>
        <v>7436.6720299421549</v>
      </c>
      <c r="H41" s="374">
        <f t="shared" si="13"/>
        <v>7525.5136466879803</v>
      </c>
      <c r="I41" s="374">
        <f t="shared" si="13"/>
        <v>7626.579320214465</v>
      </c>
      <c r="J41" s="374">
        <f t="shared" si="13"/>
        <v>7768.3838669428806</v>
      </c>
      <c r="K41" s="374">
        <f t="shared" si="13"/>
        <v>7942.1598391814168</v>
      </c>
    </row>
    <row r="43" spans="2:12">
      <c r="B43" s="1" t="s">
        <v>1448</v>
      </c>
      <c r="E43" s="369">
        <f>'Financial statements KK'!BP58</f>
        <v>4721.9669210000002</v>
      </c>
      <c r="F43" s="369">
        <f>'Financial statements KK'!BQ58</f>
        <v>4733.5418490000002</v>
      </c>
      <c r="G43" s="369">
        <f>'Financial statements KK'!BR58</f>
        <v>4731.0511210000013</v>
      </c>
      <c r="H43" s="369">
        <f>'Financial statements KK'!BS58</f>
        <v>4731.0511210000013</v>
      </c>
      <c r="I43" s="369">
        <f>'Financial statements KK'!BT58</f>
        <v>4731.0511210000013</v>
      </c>
      <c r="J43" s="369">
        <f>'Financial statements KK'!BU58</f>
        <v>4731.0511210000013</v>
      </c>
      <c r="K43" s="369">
        <f>'Financial statements KK'!BV58</f>
        <v>4731.0511210000013</v>
      </c>
    </row>
    <row r="44" spans="2:12">
      <c r="B44" s="9" t="s">
        <v>1449</v>
      </c>
      <c r="C44" s="9"/>
      <c r="D44" s="9"/>
      <c r="E44" s="374">
        <f t="shared" ref="E44:K44" si="14">MROUND(1000*E41/E43, 5)</f>
        <v>1595</v>
      </c>
      <c r="F44" s="374">
        <f t="shared" si="14"/>
        <v>1560</v>
      </c>
      <c r="G44" s="374">
        <f t="shared" si="14"/>
        <v>1570</v>
      </c>
      <c r="H44" s="374">
        <f t="shared" si="14"/>
        <v>1590</v>
      </c>
      <c r="I44" s="374">
        <f t="shared" si="14"/>
        <v>1610</v>
      </c>
      <c r="J44" s="374">
        <f t="shared" si="14"/>
        <v>1640</v>
      </c>
      <c r="K44" s="374">
        <f t="shared" si="14"/>
        <v>1680</v>
      </c>
    </row>
    <row r="45" spans="2:12">
      <c r="B45" s="1" t="s">
        <v>1397</v>
      </c>
      <c r="E45" s="21">
        <f>E44/'FP SoftBank Corp.'!$E$4-1</f>
        <v>-0.16492146596858637</v>
      </c>
      <c r="F45" s="21">
        <f>F44/'FP SoftBank Corp.'!$E$4-1</f>
        <v>-0.18324607329842935</v>
      </c>
      <c r="G45" s="21">
        <f>G44/'FP SoftBank Corp.'!$E$4-1</f>
        <v>-0.17801047120418845</v>
      </c>
      <c r="H45" s="21">
        <f>H44/'FP SoftBank Corp.'!$E$4-1</f>
        <v>-0.16753926701570676</v>
      </c>
      <c r="I45" s="21">
        <f>I44/'FP SoftBank Corp.'!$E$4-1</f>
        <v>-0.15706806282722519</v>
      </c>
      <c r="J45" s="21">
        <f>J44/'FP SoftBank Corp.'!$E$4-1</f>
        <v>-0.1413612565445026</v>
      </c>
      <c r="K45" s="21">
        <f>K44/'FP SoftBank Corp.'!$E$4-1</f>
        <v>-0.12041884816753923</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A451E-2508-4078-A01D-457B002B1EC8}">
  <sheetPr codeName="Sheet23"/>
  <dimension ref="A1:BL247"/>
  <sheetViews>
    <sheetView zoomScale="90" zoomScaleNormal="90" workbookViewId="0">
      <pane xSplit="8" ySplit="2" topLeftCell="R3" activePane="bottomRight" state="frozen"/>
      <selection pane="topRight" activeCell="I1" sqref="I1"/>
      <selection pane="bottomLeft" activeCell="A3" sqref="A3"/>
      <selection pane="bottomRight"/>
    </sheetView>
  </sheetViews>
  <sheetFormatPr defaultColWidth="9.140625" defaultRowHeight="12"/>
  <cols>
    <col min="1" max="16384" width="9.140625" style="1"/>
  </cols>
  <sheetData>
    <row r="1" spans="1:64" s="2" customFormat="1">
      <c r="A1" s="2" t="s">
        <v>85</v>
      </c>
      <c r="N1" s="18" t="s">
        <v>153</v>
      </c>
      <c r="S1" s="18" t="s">
        <v>149</v>
      </c>
      <c r="X1" s="18" t="s">
        <v>145</v>
      </c>
      <c r="AC1" s="18" t="s">
        <v>141</v>
      </c>
      <c r="AH1" s="18" t="s">
        <v>79</v>
      </c>
      <c r="AM1" s="18" t="s">
        <v>90</v>
      </c>
      <c r="AR1" s="18" t="s">
        <v>699</v>
      </c>
      <c r="AW1" s="18" t="s">
        <v>1180</v>
      </c>
      <c r="BB1" s="18" t="s">
        <v>1198</v>
      </c>
      <c r="BG1" s="18" t="s">
        <v>1209</v>
      </c>
      <c r="BL1" s="18" t="s">
        <v>1210</v>
      </c>
    </row>
    <row r="2" spans="1:64" s="2" customFormat="1">
      <c r="A2" s="2" t="s">
        <v>1390</v>
      </c>
      <c r="I2" s="6" t="s">
        <v>198</v>
      </c>
      <c r="J2" s="6" t="s">
        <v>163</v>
      </c>
      <c r="K2" s="6" t="s">
        <v>164</v>
      </c>
      <c r="L2" s="6" t="s">
        <v>165</v>
      </c>
      <c r="M2" s="6" t="s">
        <v>166</v>
      </c>
      <c r="N2" s="6" t="s">
        <v>167</v>
      </c>
      <c r="O2" s="6" t="s">
        <v>154</v>
      </c>
      <c r="P2" s="6" t="s">
        <v>155</v>
      </c>
      <c r="Q2" s="6" t="s">
        <v>156</v>
      </c>
      <c r="R2" s="6" t="s">
        <v>157</v>
      </c>
      <c r="S2" s="6" t="s">
        <v>158</v>
      </c>
      <c r="T2" s="6" t="s">
        <v>133</v>
      </c>
      <c r="U2" s="6" t="s">
        <v>134</v>
      </c>
      <c r="V2" s="6" t="s">
        <v>135</v>
      </c>
      <c r="W2" s="6" t="s">
        <v>136</v>
      </c>
      <c r="X2" s="6" t="s">
        <v>137</v>
      </c>
      <c r="Y2" s="6" t="s">
        <v>74</v>
      </c>
      <c r="Z2" s="6" t="s">
        <v>75</v>
      </c>
      <c r="AA2" s="6" t="s">
        <v>76</v>
      </c>
      <c r="AB2" s="6" t="s">
        <v>77</v>
      </c>
      <c r="AC2" s="6" t="s">
        <v>78</v>
      </c>
      <c r="AD2" s="6" t="s">
        <v>10</v>
      </c>
      <c r="AE2" s="6" t="s">
        <v>11</v>
      </c>
      <c r="AF2" s="6" t="s">
        <v>12</v>
      </c>
      <c r="AG2" s="6" t="s">
        <v>13</v>
      </c>
      <c r="AH2" s="6" t="s">
        <v>14</v>
      </c>
      <c r="AI2" s="6" t="s">
        <v>91</v>
      </c>
      <c r="AJ2" s="6" t="s">
        <v>92</v>
      </c>
      <c r="AK2" s="6" t="s">
        <v>93</v>
      </c>
      <c r="AL2" s="6" t="s">
        <v>1450</v>
      </c>
      <c r="AM2" s="6" t="s">
        <v>1451</v>
      </c>
      <c r="AN2" s="6" t="s">
        <v>1452</v>
      </c>
      <c r="AO2" s="6" t="s">
        <v>1453</v>
      </c>
      <c r="AP2" s="6" t="s">
        <v>1454</v>
      </c>
      <c r="AQ2" s="6" t="s">
        <v>1455</v>
      </c>
      <c r="AR2" s="6" t="s">
        <v>1456</v>
      </c>
      <c r="AS2" s="6" t="s">
        <v>1457</v>
      </c>
      <c r="AT2" s="6" t="s">
        <v>1458</v>
      </c>
      <c r="AU2" s="6" t="s">
        <v>1459</v>
      </c>
      <c r="AV2" s="6" t="s">
        <v>1460</v>
      </c>
      <c r="AW2" s="6" t="s">
        <v>1461</v>
      </c>
      <c r="AX2" s="6" t="s">
        <v>1462</v>
      </c>
      <c r="AY2" s="6" t="s">
        <v>1463</v>
      </c>
      <c r="AZ2" s="6" t="s">
        <v>1464</v>
      </c>
      <c r="BA2" s="6" t="s">
        <v>1465</v>
      </c>
      <c r="BB2" s="6" t="s">
        <v>1466</v>
      </c>
      <c r="BC2" s="6" t="s">
        <v>1467</v>
      </c>
      <c r="BD2" s="6" t="s">
        <v>1468</v>
      </c>
      <c r="BE2" s="6" t="s">
        <v>1469</v>
      </c>
      <c r="BF2" s="6" t="s">
        <v>1470</v>
      </c>
      <c r="BG2" s="6" t="s">
        <v>1471</v>
      </c>
      <c r="BH2" s="6" t="s">
        <v>1472</v>
      </c>
      <c r="BI2" s="6" t="s">
        <v>1473</v>
      </c>
      <c r="BJ2" s="6" t="s">
        <v>1474</v>
      </c>
      <c r="BK2" s="6" t="s">
        <v>1475</v>
      </c>
      <c r="BL2" s="6" t="s">
        <v>1476</v>
      </c>
    </row>
    <row r="4" spans="1:64" s="2" customFormat="1">
      <c r="A4" s="4" t="s">
        <v>1649</v>
      </c>
      <c r="T4" s="68"/>
    </row>
    <row r="6" spans="1:64">
      <c r="A6" s="5" t="s">
        <v>1704</v>
      </c>
      <c r="J6" s="375">
        <f>Mobile!J6</f>
        <v>400.46100000000001</v>
      </c>
      <c r="K6" s="375">
        <f>Mobile!K6</f>
        <v>404.839</v>
      </c>
      <c r="L6" s="375">
        <f>Mobile!L6</f>
        <v>408.75299999999999</v>
      </c>
      <c r="M6" s="375">
        <f>Mobile!M6</f>
        <v>414.58699999999999</v>
      </c>
      <c r="N6" s="375">
        <f>SUM(J6:M6)</f>
        <v>1628.6399999999999</v>
      </c>
      <c r="O6" s="375">
        <f>Mobile!O6</f>
        <v>423.33</v>
      </c>
      <c r="P6" s="375">
        <f>Mobile!P6</f>
        <v>424.85500000000002</v>
      </c>
      <c r="Q6" s="375">
        <f>Mobile!Q6</f>
        <v>426.42500000000001</v>
      </c>
      <c r="R6" s="375">
        <f>Mobile!R6</f>
        <v>402.18700000000001</v>
      </c>
      <c r="S6" s="375">
        <f>SUM(O6:R6)</f>
        <v>1676.797</v>
      </c>
      <c r="T6" s="375">
        <f>Mobile!T6</f>
        <v>412</v>
      </c>
      <c r="U6" s="375">
        <f>Mobile!U6</f>
        <v>434.5</v>
      </c>
      <c r="V6" s="375">
        <f>Mobile!V6</f>
        <v>420.2</v>
      </c>
      <c r="W6" s="375">
        <f>Mobile!W6</f>
        <v>410.8</v>
      </c>
      <c r="X6" s="375">
        <f>SUM(T6:W6)</f>
        <v>1677.5</v>
      </c>
      <c r="Y6" s="375">
        <f>Mobile!Y6</f>
        <v>408.1</v>
      </c>
      <c r="Z6" s="375">
        <f>Mobile!Z6</f>
        <v>403.8</v>
      </c>
      <c r="AA6" s="375">
        <f>Mobile!AA6</f>
        <v>399.9</v>
      </c>
      <c r="AB6" s="375">
        <f>Mobile!AB6</f>
        <v>396.3</v>
      </c>
      <c r="AC6" s="375">
        <f>SUM(Y6:AB6)</f>
        <v>1608.1000000000001</v>
      </c>
      <c r="AD6" s="375">
        <f>Mobile!AD6</f>
        <v>390.4</v>
      </c>
      <c r="AE6" s="375">
        <f>Mobile!AE6</f>
        <v>392.5</v>
      </c>
      <c r="AF6" s="375">
        <f>Mobile!AF6</f>
        <v>372.3</v>
      </c>
      <c r="AG6" s="375">
        <f>Mobile!AG6</f>
        <v>358.3</v>
      </c>
      <c r="AH6" s="375">
        <f>SUM(AD6:AG6)</f>
        <v>1513.5</v>
      </c>
      <c r="AI6" s="375">
        <f>Mobile!AI6</f>
        <v>384.6</v>
      </c>
      <c r="AJ6" s="375">
        <f>Mobile!AJ6</f>
        <v>392</v>
      </c>
      <c r="AK6" s="375">
        <f>Mobile!AK6</f>
        <v>374.8</v>
      </c>
      <c r="AL6" s="375">
        <f>Mobile!AL6</f>
        <v>360.89513121926558</v>
      </c>
      <c r="AM6" s="375">
        <f>SUM(AI6:AL6)</f>
        <v>1512.2951312192656</v>
      </c>
      <c r="AN6" s="375">
        <f>Mobile!AN6</f>
        <v>384.00744583734195</v>
      </c>
      <c r="AO6" s="375">
        <f>Mobile!AO6</f>
        <v>390.43774114992925</v>
      </c>
      <c r="AP6" s="375">
        <f>Mobile!AP6</f>
        <v>373.14521044135256</v>
      </c>
      <c r="AQ6" s="375">
        <f>Mobile!AQ6</f>
        <v>358.64036923009024</v>
      </c>
      <c r="AR6" s="375">
        <f>SUM(AN6:AQ6)</f>
        <v>1506.2307666587142</v>
      </c>
      <c r="AS6" s="375">
        <f>Mobile!AS6</f>
        <v>382.13751974370103</v>
      </c>
      <c r="AT6" s="375">
        <f>Mobile!AT6</f>
        <v>387.66651750752067</v>
      </c>
      <c r="AU6" s="375">
        <f>Mobile!AU6</f>
        <v>370.32692866445905</v>
      </c>
      <c r="AV6" s="375">
        <f>Mobile!AV6</f>
        <v>355.31493288120828</v>
      </c>
      <c r="AW6" s="375">
        <f>SUM(AS6:AV6)</f>
        <v>1495.445898796889</v>
      </c>
      <c r="AX6" s="375">
        <f>Mobile!AX6</f>
        <v>379.91126854474913</v>
      </c>
      <c r="AY6" s="375">
        <f>Mobile!AY6</f>
        <v>384.82438050635324</v>
      </c>
      <c r="AZ6" s="375">
        <f>Mobile!AZ6</f>
        <v>367.59391913357581</v>
      </c>
      <c r="BA6" s="375">
        <f>Mobile!BA6</f>
        <v>352.34096037771076</v>
      </c>
      <c r="BB6" s="375">
        <f>SUM(AX6:BA6)</f>
        <v>1484.6705285623889</v>
      </c>
      <c r="BC6" s="375">
        <f>Mobile!BC6</f>
        <v>377.89972773656166</v>
      </c>
      <c r="BD6" s="375">
        <f>Mobile!BD6</f>
        <v>382.3691279599779</v>
      </c>
      <c r="BE6" s="375">
        <f>Mobile!BE6</f>
        <v>365.38637400865719</v>
      </c>
      <c r="BF6" s="375">
        <f>Mobile!BF6</f>
        <v>350.07112636138896</v>
      </c>
      <c r="BG6" s="375">
        <f>SUM(BC6:BF6)</f>
        <v>1475.7263560665856</v>
      </c>
      <c r="BH6" s="375">
        <f>Mobile!BH6</f>
        <v>374.67792154891612</v>
      </c>
      <c r="BI6" s="375">
        <f>Mobile!BI6</f>
        <v>378.81018564873852</v>
      </c>
      <c r="BJ6" s="375">
        <f>Mobile!BJ6</f>
        <v>362.16819162702552</v>
      </c>
      <c r="BK6" s="375">
        <f>Mobile!BK6</f>
        <v>346.93275479029245</v>
      </c>
      <c r="BL6" s="375">
        <f>SUM(BH6:BK6)</f>
        <v>1462.5890536149725</v>
      </c>
    </row>
    <row r="7" spans="1:64">
      <c r="A7" s="5" t="s">
        <v>1705</v>
      </c>
      <c r="J7" s="375">
        <f>Broadband!J10</f>
        <v>87.81</v>
      </c>
      <c r="K7" s="375">
        <f>Broadband!K10</f>
        <v>87.935000000000002</v>
      </c>
      <c r="L7" s="375">
        <f>Broadband!L10</f>
        <v>92.57</v>
      </c>
      <c r="M7" s="375">
        <f>Broadband!M10</f>
        <v>92.762</v>
      </c>
      <c r="N7" s="375">
        <f>SUM(J7:M7)</f>
        <v>361.077</v>
      </c>
      <c r="O7" s="375">
        <f>Broadband!O10</f>
        <v>95.045000000000002</v>
      </c>
      <c r="P7" s="375">
        <f>Broadband!P10</f>
        <v>95.441000000000003</v>
      </c>
      <c r="Q7" s="375">
        <f>Broadband!Q10</f>
        <v>96.147000000000006</v>
      </c>
      <c r="R7" s="375">
        <f>Broadband!R10</f>
        <v>97.197999999999993</v>
      </c>
      <c r="S7" s="375">
        <f>SUM(O7:R7)</f>
        <v>383.83099999999996</v>
      </c>
      <c r="T7" s="375">
        <f>Broadband!T10</f>
        <v>97.2</v>
      </c>
      <c r="U7" s="375">
        <f>Broadband!U10</f>
        <v>98.7</v>
      </c>
      <c r="V7" s="375">
        <f>Broadband!V10</f>
        <v>101.1</v>
      </c>
      <c r="W7" s="375">
        <f>Broadband!W10</f>
        <v>102.6</v>
      </c>
      <c r="X7" s="375">
        <f>SUM(T7:W7)</f>
        <v>399.6</v>
      </c>
      <c r="Y7" s="375">
        <f>Broadband!Y10</f>
        <v>101.6</v>
      </c>
      <c r="Z7" s="375">
        <f>Broadband!Z10</f>
        <v>101</v>
      </c>
      <c r="AA7" s="375">
        <f>Broadband!AA10</f>
        <v>101.7</v>
      </c>
      <c r="AB7" s="375">
        <f>Broadband!AB10</f>
        <v>100.4</v>
      </c>
      <c r="AC7" s="375">
        <f>SUM(Y7:AB7)</f>
        <v>404.70000000000005</v>
      </c>
      <c r="AD7" s="375">
        <f>Broadband!AD10</f>
        <v>99.8</v>
      </c>
      <c r="AE7" s="375">
        <f>Broadband!AE10</f>
        <v>99</v>
      </c>
      <c r="AF7" s="375">
        <f>Broadband!AF10</f>
        <v>99.1</v>
      </c>
      <c r="AG7" s="375">
        <f>Broadband!AG10</f>
        <v>98.9</v>
      </c>
      <c r="AH7" s="375">
        <f>SUM(AD7:AG7)</f>
        <v>396.79999999999995</v>
      </c>
      <c r="AI7" s="375">
        <f>Broadband!AI10</f>
        <v>100.5</v>
      </c>
      <c r="AJ7" s="375">
        <f>Broadband!AJ10</f>
        <v>101</v>
      </c>
      <c r="AK7" s="375">
        <f>Broadband!AK10</f>
        <v>101.1</v>
      </c>
      <c r="AL7" s="375">
        <f>Broadband!AL10</f>
        <v>100.16739455625002</v>
      </c>
      <c r="AM7" s="375">
        <f>SUM(AI7:AL7)</f>
        <v>402.76739455625005</v>
      </c>
      <c r="AN7" s="375">
        <f>Broadband!AN10</f>
        <v>99.875720241750003</v>
      </c>
      <c r="AO7" s="375">
        <f>Broadband!AO10</f>
        <v>100.34121131200001</v>
      </c>
      <c r="AP7" s="375">
        <f>Broadband!AP10</f>
        <v>100.49615862299999</v>
      </c>
      <c r="AQ7" s="375">
        <f>Broadband!AQ10</f>
        <v>99.562953277342501</v>
      </c>
      <c r="AR7" s="375">
        <f>SUM(AN7:AQ7)</f>
        <v>400.27604345409253</v>
      </c>
      <c r="AS7" s="375">
        <f>Broadband!AS10</f>
        <v>99.935580449101295</v>
      </c>
      <c r="AT7" s="375">
        <f>Broadband!AT10</f>
        <v>100.35611535202075</v>
      </c>
      <c r="AU7" s="375">
        <f>Broadband!AU10</f>
        <v>100.54632915531803</v>
      </c>
      <c r="AV7" s="375">
        <f>Broadband!AV10</f>
        <v>99.610575696592534</v>
      </c>
      <c r="AW7" s="375">
        <f>SUM(AS7:AV7)</f>
        <v>400.44860065303266</v>
      </c>
      <c r="AX7" s="375">
        <f>Broadband!AX10</f>
        <v>100.63146060602283</v>
      </c>
      <c r="AY7" s="375">
        <f>Broadband!AY10</f>
        <v>100.88940150083964</v>
      </c>
      <c r="AZ7" s="375">
        <f>Broadband!AZ10</f>
        <v>100.87549469714504</v>
      </c>
      <c r="BA7" s="375">
        <f>Broadband!BA10</f>
        <v>99.718511139669332</v>
      </c>
      <c r="BB7" s="375">
        <f>SUM(AX7:BA7)</f>
        <v>402.11486794367681</v>
      </c>
      <c r="BC7" s="375">
        <f>Broadband!BC10</f>
        <v>101.17952000393684</v>
      </c>
      <c r="BD7" s="375">
        <f>Broadband!BD10</f>
        <v>101.24295893015464</v>
      </c>
      <c r="BE7" s="375">
        <f>Broadband!BE10</f>
        <v>101.23044997429868</v>
      </c>
      <c r="BF7" s="375">
        <f>Broadband!BF10</f>
        <v>100.07036286981896</v>
      </c>
      <c r="BG7" s="375">
        <f>SUM(BC7:BF7)</f>
        <v>403.7232917782091</v>
      </c>
      <c r="BH7" s="375">
        <f>Broadband!BH10</f>
        <v>101.46655396170391</v>
      </c>
      <c r="BI7" s="375">
        <f>Broadband!BI10</f>
        <v>101.45206487447108</v>
      </c>
      <c r="BJ7" s="375">
        <f>Broadband!BJ10</f>
        <v>101.44060024052114</v>
      </c>
      <c r="BK7" s="375">
        <f>Broadband!BK10</f>
        <v>100.27866961269117</v>
      </c>
      <c r="BL7" s="375">
        <f>SUM(BH7:BK7)</f>
        <v>404.6378886893873</v>
      </c>
    </row>
    <row r="8" spans="1:64">
      <c r="A8" s="5" t="s">
        <v>1706</v>
      </c>
      <c r="J8" s="377">
        <f>O8</f>
        <v>11.269</v>
      </c>
      <c r="K8" s="377">
        <f>P8</f>
        <v>17.376000000000001</v>
      </c>
      <c r="L8" s="377">
        <f>Q8</f>
        <v>16.977</v>
      </c>
      <c r="M8" s="377">
        <f>R8</f>
        <v>31.611000000000001</v>
      </c>
      <c r="N8" s="375">
        <f>SUM(J8:M8)</f>
        <v>77.233000000000004</v>
      </c>
      <c r="O8" s="376">
        <v>11.269</v>
      </c>
      <c r="P8" s="376">
        <v>17.376000000000001</v>
      </c>
      <c r="Q8" s="376">
        <v>16.977</v>
      </c>
      <c r="R8" s="376">
        <v>31.611000000000001</v>
      </c>
      <c r="S8" s="375">
        <f>SUM(O8:R8)</f>
        <v>77.233000000000004</v>
      </c>
      <c r="T8" s="376">
        <v>18.899999999999999</v>
      </c>
      <c r="U8" s="376">
        <v>28.6</v>
      </c>
      <c r="V8" s="376">
        <v>28.7</v>
      </c>
      <c r="W8" s="376">
        <v>54.8</v>
      </c>
      <c r="X8" s="375">
        <f>SUM(T8:W8)</f>
        <v>131</v>
      </c>
      <c r="Y8" s="376">
        <v>24.8</v>
      </c>
      <c r="Z8" s="376">
        <v>42.6</v>
      </c>
      <c r="AA8" s="376">
        <v>56.3</v>
      </c>
      <c r="AB8" s="376">
        <v>115.5</v>
      </c>
      <c r="AC8" s="375">
        <f>SUM(Y8:AB8)</f>
        <v>239.2</v>
      </c>
      <c r="AD8" s="376">
        <v>56.6</v>
      </c>
      <c r="AE8" s="376">
        <v>85.8</v>
      </c>
      <c r="AF8" s="376">
        <v>103.3</v>
      </c>
      <c r="AG8" s="376">
        <v>147.30000000000001</v>
      </c>
      <c r="AH8" s="375">
        <f>SUM(AD8:AG8)</f>
        <v>393</v>
      </c>
      <c r="AI8" s="376">
        <v>52.8</v>
      </c>
      <c r="AJ8" s="376">
        <v>76.2</v>
      </c>
      <c r="AK8" s="376">
        <v>62.5</v>
      </c>
      <c r="AL8" s="375">
        <f>AG8*(1+AL19)</f>
        <v>128.88750000000002</v>
      </c>
      <c r="AM8" s="375">
        <f>SUM(AI8:AL8)</f>
        <v>320.38750000000005</v>
      </c>
      <c r="AN8" s="375">
        <f t="shared" ref="AN8:AQ8" si="0">AI8*(1+AN19)</f>
        <v>51.48</v>
      </c>
      <c r="AO8" s="375">
        <f t="shared" si="0"/>
        <v>74.295000000000002</v>
      </c>
      <c r="AP8" s="375">
        <f t="shared" si="0"/>
        <v>60.9375</v>
      </c>
      <c r="AQ8" s="375">
        <f t="shared" si="0"/>
        <v>125.66531250000001</v>
      </c>
      <c r="AR8" s="375">
        <f>SUM(AN8:AQ8)</f>
        <v>312.3778125</v>
      </c>
      <c r="AS8" s="375">
        <f t="shared" ref="AS8:AV8" si="1">AN8*(1+AS19)</f>
        <v>51.48</v>
      </c>
      <c r="AT8" s="375">
        <f t="shared" si="1"/>
        <v>74.295000000000002</v>
      </c>
      <c r="AU8" s="375">
        <f t="shared" si="1"/>
        <v>60.9375</v>
      </c>
      <c r="AV8" s="375">
        <f t="shared" si="1"/>
        <v>125.66531250000001</v>
      </c>
      <c r="AW8" s="375">
        <f>SUM(AS8:AV8)</f>
        <v>312.3778125</v>
      </c>
      <c r="AX8" s="375">
        <f t="shared" ref="AX8:BA8" si="2">AS8*(1+AX19)</f>
        <v>51.994799999999998</v>
      </c>
      <c r="AY8" s="375">
        <f t="shared" si="2"/>
        <v>75.037950000000009</v>
      </c>
      <c r="AZ8" s="375">
        <f t="shared" si="2"/>
        <v>61.546875</v>
      </c>
      <c r="BA8" s="375">
        <f t="shared" si="2"/>
        <v>126.92196562500001</v>
      </c>
      <c r="BB8" s="375">
        <f>SUM(AX8:BA8)</f>
        <v>315.50159062500006</v>
      </c>
      <c r="BC8" s="375">
        <f t="shared" ref="BC8:BF8" si="3">AX8*(1+BC19)</f>
        <v>52.514747999999997</v>
      </c>
      <c r="BD8" s="375">
        <f t="shared" si="3"/>
        <v>75.788329500000003</v>
      </c>
      <c r="BE8" s="375">
        <f t="shared" si="3"/>
        <v>62.162343749999998</v>
      </c>
      <c r="BF8" s="375">
        <f t="shared" si="3"/>
        <v>128.19118528125</v>
      </c>
      <c r="BG8" s="375">
        <f>SUM(BC8:BF8)</f>
        <v>318.65660653124996</v>
      </c>
      <c r="BH8" s="375">
        <f t="shared" ref="BH8:BK8" si="4">BC8*(1+BH19)</f>
        <v>53.039895479999998</v>
      </c>
      <c r="BI8" s="375">
        <f t="shared" si="4"/>
        <v>76.546212795000002</v>
      </c>
      <c r="BJ8" s="375">
        <f t="shared" si="4"/>
        <v>62.783967187499996</v>
      </c>
      <c r="BK8" s="375">
        <f t="shared" si="4"/>
        <v>129.4730971340625</v>
      </c>
      <c r="BL8" s="375">
        <f>SUM(BH8:BK8)</f>
        <v>321.84317259656251</v>
      </c>
    </row>
    <row r="9" spans="1:64">
      <c r="A9" s="288" t="s">
        <v>1707</v>
      </c>
      <c r="B9" s="9"/>
      <c r="C9" s="9"/>
      <c r="D9" s="9"/>
      <c r="E9" s="9"/>
      <c r="F9" s="9"/>
      <c r="G9" s="9"/>
      <c r="H9" s="9"/>
      <c r="I9" s="9"/>
      <c r="J9" s="378">
        <f t="shared" ref="J9:BL9" si="5">SUM(J6:J8)</f>
        <v>499.54</v>
      </c>
      <c r="K9" s="378">
        <f t="shared" si="5"/>
        <v>510.15</v>
      </c>
      <c r="L9" s="378">
        <f t="shared" si="5"/>
        <v>518.29999999999995</v>
      </c>
      <c r="M9" s="378">
        <f t="shared" si="5"/>
        <v>538.96</v>
      </c>
      <c r="N9" s="378">
        <f t="shared" si="5"/>
        <v>2066.9499999999998</v>
      </c>
      <c r="O9" s="378">
        <f t="shared" si="5"/>
        <v>529.64400000000001</v>
      </c>
      <c r="P9" s="378">
        <f t="shared" si="5"/>
        <v>537.67200000000003</v>
      </c>
      <c r="Q9" s="378">
        <f t="shared" si="5"/>
        <v>539.54899999999998</v>
      </c>
      <c r="R9" s="378">
        <f t="shared" si="5"/>
        <v>530.99599999999998</v>
      </c>
      <c r="S9" s="378">
        <f t="shared" si="5"/>
        <v>2137.8610000000003</v>
      </c>
      <c r="T9" s="378">
        <f t="shared" si="5"/>
        <v>528.1</v>
      </c>
      <c r="U9" s="378">
        <f t="shared" si="5"/>
        <v>561.80000000000007</v>
      </c>
      <c r="V9" s="378">
        <f t="shared" si="5"/>
        <v>550</v>
      </c>
      <c r="W9" s="378">
        <f t="shared" si="5"/>
        <v>568.19999999999993</v>
      </c>
      <c r="X9" s="378">
        <f t="shared" si="5"/>
        <v>2208.1</v>
      </c>
      <c r="Y9" s="378">
        <f t="shared" si="5"/>
        <v>534.5</v>
      </c>
      <c r="Z9" s="378">
        <f t="shared" si="5"/>
        <v>547.4</v>
      </c>
      <c r="AA9" s="378">
        <f t="shared" si="5"/>
        <v>557.9</v>
      </c>
      <c r="AB9" s="378">
        <f t="shared" si="5"/>
        <v>612.20000000000005</v>
      </c>
      <c r="AC9" s="378">
        <f t="shared" si="5"/>
        <v>2252</v>
      </c>
      <c r="AD9" s="378">
        <f t="shared" si="5"/>
        <v>546.79999999999995</v>
      </c>
      <c r="AE9" s="378">
        <f t="shared" si="5"/>
        <v>577.29999999999995</v>
      </c>
      <c r="AF9" s="378">
        <f t="shared" si="5"/>
        <v>574.69999999999993</v>
      </c>
      <c r="AG9" s="378">
        <f t="shared" si="5"/>
        <v>604.5</v>
      </c>
      <c r="AH9" s="378">
        <f t="shared" si="5"/>
        <v>2303.3000000000002</v>
      </c>
      <c r="AI9" s="378">
        <f t="shared" si="5"/>
        <v>537.9</v>
      </c>
      <c r="AJ9" s="378">
        <f t="shared" si="5"/>
        <v>569.20000000000005</v>
      </c>
      <c r="AK9" s="378">
        <f t="shared" si="5"/>
        <v>538.4</v>
      </c>
      <c r="AL9" s="378">
        <f t="shared" si="5"/>
        <v>589.95002577551566</v>
      </c>
      <c r="AM9" s="378">
        <f t="shared" si="5"/>
        <v>2235.4500257755158</v>
      </c>
      <c r="AN9" s="378">
        <f t="shared" si="5"/>
        <v>535.36316607909191</v>
      </c>
      <c r="AO9" s="378">
        <f t="shared" si="5"/>
        <v>565.07395246192925</v>
      </c>
      <c r="AP9" s="378">
        <f t="shared" si="5"/>
        <v>534.5788690643526</v>
      </c>
      <c r="AQ9" s="378">
        <f t="shared" si="5"/>
        <v>583.86863500743277</v>
      </c>
      <c r="AR9" s="378">
        <f t="shared" si="5"/>
        <v>2218.8846226128067</v>
      </c>
      <c r="AS9" s="378">
        <f t="shared" si="5"/>
        <v>533.55310019280228</v>
      </c>
      <c r="AT9" s="378">
        <f t="shared" si="5"/>
        <v>562.31763285954139</v>
      </c>
      <c r="AU9" s="378">
        <f t="shared" si="5"/>
        <v>531.81075781977711</v>
      </c>
      <c r="AV9" s="378">
        <f t="shared" si="5"/>
        <v>580.5908210778008</v>
      </c>
      <c r="AW9" s="378">
        <f t="shared" si="5"/>
        <v>2208.2723119499215</v>
      </c>
      <c r="AX9" s="378">
        <f t="shared" si="5"/>
        <v>532.53752915077189</v>
      </c>
      <c r="AY9" s="378">
        <f t="shared" si="5"/>
        <v>560.75173200719291</v>
      </c>
      <c r="AZ9" s="378">
        <f t="shared" si="5"/>
        <v>530.0162888307209</v>
      </c>
      <c r="BA9" s="378">
        <f t="shared" si="5"/>
        <v>578.98143714238006</v>
      </c>
      <c r="BB9" s="378">
        <f t="shared" si="5"/>
        <v>2202.2869871310659</v>
      </c>
      <c r="BC9" s="378">
        <f t="shared" si="5"/>
        <v>531.59399574049849</v>
      </c>
      <c r="BD9" s="378">
        <f t="shared" si="5"/>
        <v>559.40041639013259</v>
      </c>
      <c r="BE9" s="378">
        <f t="shared" si="5"/>
        <v>528.7791677329559</v>
      </c>
      <c r="BF9" s="378">
        <f t="shared" si="5"/>
        <v>578.33267451245797</v>
      </c>
      <c r="BG9" s="378">
        <f t="shared" si="5"/>
        <v>2198.1062543760445</v>
      </c>
      <c r="BH9" s="378">
        <f t="shared" si="5"/>
        <v>529.1843709906201</v>
      </c>
      <c r="BI9" s="378">
        <f t="shared" si="5"/>
        <v>556.80846331820965</v>
      </c>
      <c r="BJ9" s="378">
        <f t="shared" si="5"/>
        <v>526.39275905504667</v>
      </c>
      <c r="BK9" s="378">
        <f t="shared" si="5"/>
        <v>576.68452153704618</v>
      </c>
      <c r="BL9" s="378">
        <f t="shared" si="5"/>
        <v>2189.0701149009224</v>
      </c>
    </row>
    <row r="10" spans="1:64">
      <c r="A10" s="28" t="s">
        <v>1708</v>
      </c>
      <c r="J10" s="375">
        <f t="shared" ref="J10:BL10" si="6">SUM(J6:J7)</f>
        <v>488.27100000000002</v>
      </c>
      <c r="K10" s="375">
        <f t="shared" si="6"/>
        <v>492.774</v>
      </c>
      <c r="L10" s="375">
        <f t="shared" si="6"/>
        <v>501.32299999999998</v>
      </c>
      <c r="M10" s="375">
        <f t="shared" si="6"/>
        <v>507.34899999999999</v>
      </c>
      <c r="N10" s="375">
        <f t="shared" si="6"/>
        <v>1989.7169999999999</v>
      </c>
      <c r="O10" s="375">
        <f t="shared" si="6"/>
        <v>518.375</v>
      </c>
      <c r="P10" s="375">
        <f t="shared" si="6"/>
        <v>520.29600000000005</v>
      </c>
      <c r="Q10" s="375">
        <f t="shared" si="6"/>
        <v>522.572</v>
      </c>
      <c r="R10" s="375">
        <f t="shared" si="6"/>
        <v>499.38499999999999</v>
      </c>
      <c r="S10" s="375">
        <f t="shared" si="6"/>
        <v>2060.6280000000002</v>
      </c>
      <c r="T10" s="375">
        <f t="shared" si="6"/>
        <v>509.2</v>
      </c>
      <c r="U10" s="375">
        <f t="shared" si="6"/>
        <v>533.20000000000005</v>
      </c>
      <c r="V10" s="375">
        <f t="shared" si="6"/>
        <v>521.29999999999995</v>
      </c>
      <c r="W10" s="375">
        <f t="shared" si="6"/>
        <v>513.4</v>
      </c>
      <c r="X10" s="375">
        <f t="shared" si="6"/>
        <v>2077.1</v>
      </c>
      <c r="Y10" s="375">
        <f t="shared" si="6"/>
        <v>509.70000000000005</v>
      </c>
      <c r="Z10" s="375">
        <f t="shared" si="6"/>
        <v>504.8</v>
      </c>
      <c r="AA10" s="375">
        <f t="shared" si="6"/>
        <v>501.59999999999997</v>
      </c>
      <c r="AB10" s="375">
        <f t="shared" si="6"/>
        <v>496.70000000000005</v>
      </c>
      <c r="AC10" s="375">
        <f t="shared" si="6"/>
        <v>2012.8000000000002</v>
      </c>
      <c r="AD10" s="375">
        <f t="shared" si="6"/>
        <v>490.2</v>
      </c>
      <c r="AE10" s="375">
        <f t="shared" si="6"/>
        <v>491.5</v>
      </c>
      <c r="AF10" s="375">
        <f t="shared" si="6"/>
        <v>471.4</v>
      </c>
      <c r="AG10" s="375">
        <f t="shared" si="6"/>
        <v>457.20000000000005</v>
      </c>
      <c r="AH10" s="375">
        <f t="shared" si="6"/>
        <v>1910.3</v>
      </c>
      <c r="AI10" s="375">
        <f t="shared" si="6"/>
        <v>485.1</v>
      </c>
      <c r="AJ10" s="375">
        <f t="shared" si="6"/>
        <v>493</v>
      </c>
      <c r="AK10" s="375">
        <f t="shared" si="6"/>
        <v>475.9</v>
      </c>
      <c r="AL10" s="375">
        <f t="shared" si="6"/>
        <v>461.06252577551561</v>
      </c>
      <c r="AM10" s="375">
        <f t="shared" si="6"/>
        <v>1915.0625257755157</v>
      </c>
      <c r="AN10" s="375">
        <f t="shared" si="6"/>
        <v>483.88316607909195</v>
      </c>
      <c r="AO10" s="375">
        <f t="shared" si="6"/>
        <v>490.77895246192929</v>
      </c>
      <c r="AP10" s="375">
        <f t="shared" si="6"/>
        <v>473.64136906435255</v>
      </c>
      <c r="AQ10" s="375">
        <f t="shared" si="6"/>
        <v>458.20332250743274</v>
      </c>
      <c r="AR10" s="375">
        <f t="shared" si="6"/>
        <v>1906.5068101128068</v>
      </c>
      <c r="AS10" s="375">
        <f t="shared" si="6"/>
        <v>482.07310019280231</v>
      </c>
      <c r="AT10" s="375">
        <f t="shared" si="6"/>
        <v>488.02263285954143</v>
      </c>
      <c r="AU10" s="375">
        <f t="shared" si="6"/>
        <v>470.87325781977711</v>
      </c>
      <c r="AV10" s="375">
        <f t="shared" si="6"/>
        <v>454.92550857780083</v>
      </c>
      <c r="AW10" s="375">
        <f t="shared" si="6"/>
        <v>1895.8944994499216</v>
      </c>
      <c r="AX10" s="375">
        <f t="shared" si="6"/>
        <v>480.54272915077195</v>
      </c>
      <c r="AY10" s="375">
        <f t="shared" si="6"/>
        <v>485.71378200719289</v>
      </c>
      <c r="AZ10" s="375">
        <f t="shared" si="6"/>
        <v>468.46941383072084</v>
      </c>
      <c r="BA10" s="375">
        <f t="shared" si="6"/>
        <v>452.05947151738008</v>
      </c>
      <c r="BB10" s="375">
        <f t="shared" si="6"/>
        <v>1886.7853965060658</v>
      </c>
      <c r="BC10" s="375">
        <f t="shared" si="6"/>
        <v>479.07924774049849</v>
      </c>
      <c r="BD10" s="375">
        <f t="shared" si="6"/>
        <v>483.61208689013256</v>
      </c>
      <c r="BE10" s="375">
        <f t="shared" si="6"/>
        <v>466.61682398295585</v>
      </c>
      <c r="BF10" s="375">
        <f t="shared" si="6"/>
        <v>450.14148923120791</v>
      </c>
      <c r="BG10" s="375">
        <f t="shared" si="6"/>
        <v>1879.4496478447948</v>
      </c>
      <c r="BH10" s="375">
        <f t="shared" si="6"/>
        <v>476.14447551062005</v>
      </c>
      <c r="BI10" s="375">
        <f t="shared" si="6"/>
        <v>480.26225052320962</v>
      </c>
      <c r="BJ10" s="375">
        <f t="shared" si="6"/>
        <v>463.60879186754664</v>
      </c>
      <c r="BK10" s="375">
        <f t="shared" si="6"/>
        <v>447.21142440298365</v>
      </c>
      <c r="BL10" s="375">
        <f t="shared" si="6"/>
        <v>1867.2269423043599</v>
      </c>
    </row>
    <row r="12" spans="1:64">
      <c r="A12" s="5" t="s">
        <v>1709</v>
      </c>
      <c r="J12" s="399">
        <f>J13-J9</f>
        <v>135.76499999999993</v>
      </c>
      <c r="K12" s="399">
        <f>K13-K9</f>
        <v>143.58100000000002</v>
      </c>
      <c r="L12" s="399">
        <f>L13-L9</f>
        <v>202.66700000000003</v>
      </c>
      <c r="M12" s="399">
        <f>M13-M9</f>
        <v>131.51299999999992</v>
      </c>
      <c r="N12" s="375">
        <f>SUM(J12:M12)</f>
        <v>613.52599999999984</v>
      </c>
      <c r="O12" s="376">
        <v>128.42599999999999</v>
      </c>
      <c r="P12" s="376">
        <v>140.30600000000001</v>
      </c>
      <c r="Q12" s="376">
        <v>160.30199999999999</v>
      </c>
      <c r="R12" s="376">
        <v>129.792</v>
      </c>
      <c r="S12" s="375">
        <f>SUM(O12:R12)</f>
        <v>558.82600000000002</v>
      </c>
      <c r="T12" s="376">
        <v>97.4</v>
      </c>
      <c r="U12" s="376">
        <v>114</v>
      </c>
      <c r="V12" s="376">
        <v>193.1</v>
      </c>
      <c r="W12" s="376">
        <v>157.80000000000001</v>
      </c>
      <c r="X12" s="375">
        <f>SUM(T12:W12)</f>
        <v>562.29999999999995</v>
      </c>
      <c r="Y12" s="376">
        <v>158.69999999999999</v>
      </c>
      <c r="Z12" s="376">
        <v>137.9</v>
      </c>
      <c r="AA12" s="376">
        <v>172.1</v>
      </c>
      <c r="AB12" s="376">
        <v>162.19999999999999</v>
      </c>
      <c r="AC12" s="375">
        <f>SUM(Y12:AB12)</f>
        <v>630.90000000000009</v>
      </c>
      <c r="AD12" s="376">
        <v>120.5</v>
      </c>
      <c r="AE12" s="376">
        <v>140.80000000000001</v>
      </c>
      <c r="AF12" s="376">
        <v>167.5</v>
      </c>
      <c r="AG12" s="376">
        <v>150.9</v>
      </c>
      <c r="AH12" s="375">
        <f>SUM(AD12:AG12)</f>
        <v>579.70000000000005</v>
      </c>
      <c r="AI12" s="376">
        <v>130.80000000000001</v>
      </c>
      <c r="AJ12" s="376">
        <v>142.30000000000001</v>
      </c>
      <c r="AK12" s="376">
        <v>203</v>
      </c>
      <c r="AL12" s="375">
        <f>AG12*(1+AL23)</f>
        <v>152.40900000000002</v>
      </c>
      <c r="AM12" s="375">
        <f>SUM(AI12:AL12)</f>
        <v>628.50900000000001</v>
      </c>
      <c r="AN12" s="375">
        <f>AI12*(1+AN23)</f>
        <v>131.45400000000001</v>
      </c>
      <c r="AO12" s="375">
        <f>AJ12*(1+AO23)</f>
        <v>143.01149999999998</v>
      </c>
      <c r="AP12" s="375">
        <f>AK12*(1+AP23)</f>
        <v>204.01499999999999</v>
      </c>
      <c r="AQ12" s="375">
        <f>AL12*(1+AQ23)</f>
        <v>153.17104499999999</v>
      </c>
      <c r="AR12" s="375">
        <f>SUM(AN12:AQ12)</f>
        <v>631.65154499999994</v>
      </c>
      <c r="AS12" s="375">
        <f>AN12*(1+AS23)</f>
        <v>131.782635</v>
      </c>
      <c r="AT12" s="375">
        <f>AO12*(1+AT23)</f>
        <v>143.36902874999998</v>
      </c>
      <c r="AU12" s="375">
        <f>AP12*(1+AU23)</f>
        <v>204.52503749999997</v>
      </c>
      <c r="AV12" s="375">
        <f>AQ12*(1+AV23)</f>
        <v>153.55397261249999</v>
      </c>
      <c r="AW12" s="375">
        <f>SUM(AS12:AV12)</f>
        <v>633.2306738625</v>
      </c>
      <c r="AX12" s="375">
        <f>AS12*(1+AX23)</f>
        <v>132.1120915875</v>
      </c>
      <c r="AY12" s="375">
        <f>AT12*(1+AY23)</f>
        <v>143.72745132187498</v>
      </c>
      <c r="AZ12" s="375">
        <f>AU12*(1+AZ23)</f>
        <v>205.03635009374995</v>
      </c>
      <c r="BA12" s="375">
        <f>AV12*(1+BA23)</f>
        <v>153.93785754403123</v>
      </c>
      <c r="BB12" s="375">
        <f>SUM(AX12:BA12)</f>
        <v>634.81375054715613</v>
      </c>
      <c r="BC12" s="375">
        <f>AX12*(1+BC23)</f>
        <v>132.44237181646875</v>
      </c>
      <c r="BD12" s="375">
        <f>AY12*(1+BD23)</f>
        <v>144.08676995017967</v>
      </c>
      <c r="BE12" s="375">
        <f>AZ12*(1+BE23)</f>
        <v>205.54894096898431</v>
      </c>
      <c r="BF12" s="375">
        <f>BA12*(1+BF23)</f>
        <v>154.32270218789131</v>
      </c>
      <c r="BG12" s="375">
        <f>SUM(BC12:BF12)</f>
        <v>636.40078492352404</v>
      </c>
      <c r="BH12" s="375">
        <f>BC12*(1+BH23)</f>
        <v>132.77347774600992</v>
      </c>
      <c r="BI12" s="375">
        <f>BD12*(1+BI23)</f>
        <v>144.4469868750551</v>
      </c>
      <c r="BJ12" s="375">
        <f>BE12*(1+BJ23)</f>
        <v>206.06281332140676</v>
      </c>
      <c r="BK12" s="375">
        <f>BF12*(1+BK23)</f>
        <v>154.70850894336104</v>
      </c>
      <c r="BL12" s="375">
        <f>SUM(BH12:BK12)</f>
        <v>637.99178688583288</v>
      </c>
    </row>
    <row r="13" spans="1:64">
      <c r="A13" s="288" t="s">
        <v>1710</v>
      </c>
      <c r="B13" s="9"/>
      <c r="C13" s="9"/>
      <c r="D13" s="9"/>
      <c r="E13" s="9"/>
      <c r="F13" s="9"/>
      <c r="G13" s="9"/>
      <c r="H13" s="9"/>
      <c r="I13" s="9"/>
      <c r="J13" s="395">
        <v>635.30499999999995</v>
      </c>
      <c r="K13" s="395">
        <v>653.73099999999999</v>
      </c>
      <c r="L13" s="395">
        <v>720.96699999999998</v>
      </c>
      <c r="M13" s="395">
        <v>670.47299999999996</v>
      </c>
      <c r="N13" s="378">
        <f t="shared" ref="N13:BL13" si="7">N9+N12</f>
        <v>2680.4759999999997</v>
      </c>
      <c r="O13" s="378">
        <f t="shared" si="7"/>
        <v>658.06999999999994</v>
      </c>
      <c r="P13" s="378">
        <f t="shared" si="7"/>
        <v>677.97800000000007</v>
      </c>
      <c r="Q13" s="378">
        <f t="shared" si="7"/>
        <v>699.851</v>
      </c>
      <c r="R13" s="378">
        <f t="shared" si="7"/>
        <v>660.78800000000001</v>
      </c>
      <c r="S13" s="378">
        <f t="shared" si="7"/>
        <v>2696.6870000000004</v>
      </c>
      <c r="T13" s="378">
        <f t="shared" si="7"/>
        <v>625.5</v>
      </c>
      <c r="U13" s="378">
        <f t="shared" si="7"/>
        <v>675.80000000000007</v>
      </c>
      <c r="V13" s="378">
        <f t="shared" si="7"/>
        <v>743.1</v>
      </c>
      <c r="W13" s="378">
        <f t="shared" si="7"/>
        <v>726</v>
      </c>
      <c r="X13" s="378">
        <f t="shared" si="7"/>
        <v>2770.3999999999996</v>
      </c>
      <c r="Y13" s="378">
        <f t="shared" si="7"/>
        <v>693.2</v>
      </c>
      <c r="Z13" s="378">
        <f t="shared" si="7"/>
        <v>685.3</v>
      </c>
      <c r="AA13" s="378">
        <f t="shared" si="7"/>
        <v>730</v>
      </c>
      <c r="AB13" s="378">
        <f t="shared" si="7"/>
        <v>774.40000000000009</v>
      </c>
      <c r="AC13" s="378">
        <f t="shared" si="7"/>
        <v>2882.9</v>
      </c>
      <c r="AD13" s="378">
        <f t="shared" si="7"/>
        <v>667.3</v>
      </c>
      <c r="AE13" s="378">
        <f t="shared" si="7"/>
        <v>718.09999999999991</v>
      </c>
      <c r="AF13" s="378">
        <f t="shared" si="7"/>
        <v>742.19999999999993</v>
      </c>
      <c r="AG13" s="378">
        <f t="shared" si="7"/>
        <v>755.4</v>
      </c>
      <c r="AH13" s="378">
        <f t="shared" si="7"/>
        <v>2883</v>
      </c>
      <c r="AI13" s="378">
        <f t="shared" si="7"/>
        <v>668.7</v>
      </c>
      <c r="AJ13" s="378">
        <f t="shared" si="7"/>
        <v>711.5</v>
      </c>
      <c r="AK13" s="378">
        <f t="shared" si="7"/>
        <v>741.4</v>
      </c>
      <c r="AL13" s="378">
        <f t="shared" si="7"/>
        <v>742.35902577551565</v>
      </c>
      <c r="AM13" s="378">
        <f t="shared" si="7"/>
        <v>2863.9590257755158</v>
      </c>
      <c r="AN13" s="378">
        <f t="shared" si="7"/>
        <v>666.81716607909198</v>
      </c>
      <c r="AO13" s="378">
        <f t="shared" si="7"/>
        <v>708.08545246192921</v>
      </c>
      <c r="AP13" s="378">
        <f t="shared" si="7"/>
        <v>738.59386906435259</v>
      </c>
      <c r="AQ13" s="378">
        <f t="shared" si="7"/>
        <v>737.03968000743271</v>
      </c>
      <c r="AR13" s="378">
        <f t="shared" si="7"/>
        <v>2850.5361676128068</v>
      </c>
      <c r="AS13" s="378">
        <f t="shared" si="7"/>
        <v>665.3357351928023</v>
      </c>
      <c r="AT13" s="378">
        <f t="shared" si="7"/>
        <v>705.68666160954137</v>
      </c>
      <c r="AU13" s="378">
        <f t="shared" si="7"/>
        <v>736.33579531977705</v>
      </c>
      <c r="AV13" s="378">
        <f t="shared" si="7"/>
        <v>734.14479369030073</v>
      </c>
      <c r="AW13" s="378">
        <f t="shared" si="7"/>
        <v>2841.5029858124217</v>
      </c>
      <c r="AX13" s="378">
        <f t="shared" si="7"/>
        <v>664.64962073827189</v>
      </c>
      <c r="AY13" s="378">
        <f t="shared" si="7"/>
        <v>704.47918332906784</v>
      </c>
      <c r="AZ13" s="378">
        <f t="shared" si="7"/>
        <v>735.05263892447078</v>
      </c>
      <c r="BA13" s="378">
        <f t="shared" si="7"/>
        <v>732.91929468641126</v>
      </c>
      <c r="BB13" s="378">
        <f t="shared" si="7"/>
        <v>2837.1007376782218</v>
      </c>
      <c r="BC13" s="378">
        <f t="shared" si="7"/>
        <v>664.03636755696721</v>
      </c>
      <c r="BD13" s="378">
        <f t="shared" si="7"/>
        <v>703.48718634031229</v>
      </c>
      <c r="BE13" s="378">
        <f t="shared" si="7"/>
        <v>734.32810870194021</v>
      </c>
      <c r="BF13" s="378">
        <f t="shared" si="7"/>
        <v>732.65537670034928</v>
      </c>
      <c r="BG13" s="378">
        <f t="shared" si="7"/>
        <v>2834.5070392995685</v>
      </c>
      <c r="BH13" s="378">
        <f t="shared" si="7"/>
        <v>661.95784873663001</v>
      </c>
      <c r="BI13" s="378">
        <f t="shared" si="7"/>
        <v>701.25545019326478</v>
      </c>
      <c r="BJ13" s="378">
        <f t="shared" si="7"/>
        <v>732.45557237645346</v>
      </c>
      <c r="BK13" s="378">
        <f t="shared" si="7"/>
        <v>731.39303048040722</v>
      </c>
      <c r="BL13" s="378">
        <f t="shared" si="7"/>
        <v>2827.0619017867552</v>
      </c>
    </row>
    <row r="15" spans="1:64">
      <c r="A15" s="3" t="s">
        <v>1663</v>
      </c>
    </row>
    <row r="17" spans="1:64">
      <c r="A17" s="5" t="s">
        <v>1704</v>
      </c>
      <c r="O17" s="16">
        <f>O6/J6-1</f>
        <v>5.7106684546060604E-2</v>
      </c>
      <c r="P17" s="16">
        <f t="shared" ref="P17:S18" si="8">P6/K6-1</f>
        <v>4.9441876894271708E-2</v>
      </c>
      <c r="Q17" s="16">
        <f t="shared" si="8"/>
        <v>4.3233933451253037E-2</v>
      </c>
      <c r="R17" s="16">
        <f t="shared" si="8"/>
        <v>-2.9909283214379578E-2</v>
      </c>
      <c r="S17" s="16">
        <f t="shared" si="8"/>
        <v>2.9568842715394617E-2</v>
      </c>
      <c r="T17" s="16">
        <f>T6/O6-1</f>
        <v>-2.676399026763987E-2</v>
      </c>
      <c r="U17" s="16">
        <f t="shared" ref="U17:X19" si="9">U6/P6-1</f>
        <v>2.2701862988548926E-2</v>
      </c>
      <c r="V17" s="16">
        <f t="shared" si="9"/>
        <v>-1.459811221199514E-2</v>
      </c>
      <c r="W17" s="16">
        <f t="shared" si="9"/>
        <v>2.1415411239050552E-2</v>
      </c>
      <c r="X17" s="16">
        <f t="shared" si="9"/>
        <v>4.1925170429091274E-4</v>
      </c>
      <c r="Y17" s="16">
        <f>Y6/T6-1</f>
        <v>-9.4660194174757128E-3</v>
      </c>
      <c r="Z17" s="16">
        <f t="shared" ref="Z17:AC19" si="10">Z6/U6-1</f>
        <v>-7.0655926352128806E-2</v>
      </c>
      <c r="AA17" s="16">
        <f t="shared" si="10"/>
        <v>-4.831032841504046E-2</v>
      </c>
      <c r="AB17" s="16">
        <f t="shared" si="10"/>
        <v>-3.5296981499513103E-2</v>
      </c>
      <c r="AC17" s="16">
        <f t="shared" si="10"/>
        <v>-4.1371087928464889E-2</v>
      </c>
      <c r="AD17" s="16">
        <f>AD6/Y6-1</f>
        <v>-4.3371722617005726E-2</v>
      </c>
      <c r="AE17" s="16">
        <f t="shared" ref="AE17:AH19" si="11">AE6/Z6-1</f>
        <v>-2.7984150569588917E-2</v>
      </c>
      <c r="AF17" s="16">
        <f t="shared" si="11"/>
        <v>-6.9017254313578302E-2</v>
      </c>
      <c r="AG17" s="16">
        <f t="shared" si="11"/>
        <v>-9.5886954327529694E-2</v>
      </c>
      <c r="AH17" s="16">
        <f t="shared" si="11"/>
        <v>-5.8827187363969968E-2</v>
      </c>
      <c r="AI17" s="16">
        <f>AI6/AD6-1</f>
        <v>-1.4856557377049051E-2</v>
      </c>
      <c r="AJ17" s="16">
        <f t="shared" ref="AJ17:AY21" si="12">AJ6/AE6-1</f>
        <v>-1.2738853503184711E-3</v>
      </c>
      <c r="AK17" s="16">
        <f t="shared" si="12"/>
        <v>6.7150147730326015E-3</v>
      </c>
      <c r="AL17" s="16">
        <f t="shared" si="12"/>
        <v>7.2429004165939226E-3</v>
      </c>
      <c r="AM17" s="16">
        <f t="shared" si="12"/>
        <v>-7.9608112370954665E-4</v>
      </c>
      <c r="AN17" s="16">
        <f>AN6/AI6-1</f>
        <v>-1.5407024510090128E-3</v>
      </c>
      <c r="AO17" s="16">
        <f t="shared" ref="AO17:AO18" si="13">AO6/AJ6-1</f>
        <v>-3.9853542093641892E-3</v>
      </c>
      <c r="AP17" s="16">
        <f>AP6/AK6-1</f>
        <v>-4.4151268907349772E-3</v>
      </c>
      <c r="AQ17" s="16">
        <f t="shared" ref="AQ17:AR19" si="14">AQ6/AL6-1</f>
        <v>-6.2476930114233609E-3</v>
      </c>
      <c r="AR17" s="16">
        <f t="shared" si="14"/>
        <v>-4.0100403918262861E-3</v>
      </c>
      <c r="AS17" s="16">
        <f>AS6/AN6-1</f>
        <v>-4.8695047815113801E-3</v>
      </c>
      <c r="AT17" s="16">
        <f t="shared" ref="AT17:AT18" si="15">AT6/AO6-1</f>
        <v>-7.097735055649812E-3</v>
      </c>
      <c r="AU17" s="16">
        <f>AU6/AP6-1</f>
        <v>-7.5527748930773742E-3</v>
      </c>
      <c r="AV17" s="16">
        <f t="shared" ref="AV17:AW19" si="16">AV6/AQ6-1</f>
        <v>-9.2723425308222085E-3</v>
      </c>
      <c r="AW17" s="16">
        <f t="shared" si="16"/>
        <v>-7.1601696768878176E-3</v>
      </c>
      <c r="AX17" s="16">
        <f>AX6/AS6-1</f>
        <v>-5.8257854409193843E-3</v>
      </c>
      <c r="AY17" s="16">
        <f t="shared" ref="AY17:AY18" si="17">AY6/AT6-1</f>
        <v>-7.3313966329637825E-3</v>
      </c>
      <c r="AZ17" s="16">
        <f>AZ6/AU6-1</f>
        <v>-7.3799913518023397E-3</v>
      </c>
      <c r="BA17" s="16">
        <f t="shared" ref="BA17:BB19" si="18">BA6/AV6-1</f>
        <v>-8.3699620485463422E-3</v>
      </c>
      <c r="BB17" s="16">
        <f t="shared" si="18"/>
        <v>-7.2054564081315275E-3</v>
      </c>
      <c r="BC17" s="16">
        <f>BC6/AX6-1</f>
        <v>-5.2947647904540984E-3</v>
      </c>
      <c r="BD17" s="16">
        <f t="shared" ref="BD17:BD18" si="19">BD6/AY6-1</f>
        <v>-6.3801896936589442E-3</v>
      </c>
      <c r="BE17" s="16">
        <f>BE6/AZ6-1</f>
        <v>-6.0053907586987698E-3</v>
      </c>
      <c r="BF17" s="16">
        <f t="shared" ref="BF17:BG19" si="20">BF6/BA6-1</f>
        <v>-6.4421519822405182E-3</v>
      </c>
      <c r="BG17" s="16">
        <f t="shared" si="20"/>
        <v>-6.0243483814984566E-3</v>
      </c>
      <c r="BH17" s="16">
        <f>BH6/BC6-1</f>
        <v>-8.5255583721708383E-3</v>
      </c>
      <c r="BI17" s="16">
        <f t="shared" ref="BI17:BI18" si="21">BI6/BD6-1</f>
        <v>-9.3076089333548051E-3</v>
      </c>
      <c r="BJ17" s="16">
        <f>BJ6/BE6-1</f>
        <v>-8.8076146527440446E-3</v>
      </c>
      <c r="BK17" s="16">
        <f t="shared" ref="BK17:BL19" si="22">BK6/BF6-1</f>
        <v>-8.9649540758087731E-3</v>
      </c>
      <c r="BL17" s="16">
        <f t="shared" si="22"/>
        <v>-8.9022618574282619E-3</v>
      </c>
    </row>
    <row r="18" spans="1:64">
      <c r="A18" s="5" t="s">
        <v>1705</v>
      </c>
      <c r="O18" s="16">
        <f>O7/J7-1</f>
        <v>8.2393804805830806E-2</v>
      </c>
      <c r="P18" s="16">
        <f t="shared" si="8"/>
        <v>8.5358503440041034E-2</v>
      </c>
      <c r="Q18" s="16">
        <f t="shared" si="8"/>
        <v>3.8641028410932421E-2</v>
      </c>
      <c r="R18" s="16">
        <f t="shared" si="8"/>
        <v>4.7821306138289277E-2</v>
      </c>
      <c r="S18" s="16">
        <f t="shared" si="8"/>
        <v>6.3017029608642972E-2</v>
      </c>
      <c r="T18" s="16">
        <f>T7/O7-1</f>
        <v>2.2673470461360479E-2</v>
      </c>
      <c r="U18" s="16">
        <f t="shared" si="9"/>
        <v>3.4146750348382771E-2</v>
      </c>
      <c r="V18" s="16">
        <f t="shared" si="9"/>
        <v>5.1514867858591495E-2</v>
      </c>
      <c r="W18" s="16">
        <f t="shared" si="9"/>
        <v>5.5577275252577163E-2</v>
      </c>
      <c r="X18" s="16">
        <f t="shared" si="9"/>
        <v>4.1083185047586124E-2</v>
      </c>
      <c r="Y18" s="16">
        <f>Y7/T7-1</f>
        <v>4.5267489711934061E-2</v>
      </c>
      <c r="Z18" s="16">
        <f t="shared" si="10"/>
        <v>2.3302938196555267E-2</v>
      </c>
      <c r="AA18" s="16">
        <f t="shared" si="10"/>
        <v>5.9347181008901906E-3</v>
      </c>
      <c r="AB18" s="16">
        <f t="shared" si="10"/>
        <v>-2.1442495126705596E-2</v>
      </c>
      <c r="AC18" s="16">
        <f t="shared" si="10"/>
        <v>1.2762762762762891E-2</v>
      </c>
      <c r="AD18" s="16">
        <f>AD7/Y7-1</f>
        <v>-1.7716535433070835E-2</v>
      </c>
      <c r="AE18" s="16">
        <f t="shared" si="11"/>
        <v>-1.980198019801982E-2</v>
      </c>
      <c r="AF18" s="16">
        <f t="shared" si="11"/>
        <v>-2.5565388397246869E-2</v>
      </c>
      <c r="AG18" s="16">
        <f t="shared" si="11"/>
        <v>-1.4940239043824688E-2</v>
      </c>
      <c r="AH18" s="16">
        <f t="shared" si="11"/>
        <v>-1.9520632567334051E-2</v>
      </c>
      <c r="AI18" s="16">
        <f>AI7/AD7-1</f>
        <v>7.0140280561121759E-3</v>
      </c>
      <c r="AJ18" s="16">
        <f t="shared" si="12"/>
        <v>2.020202020202011E-2</v>
      </c>
      <c r="AK18" s="16">
        <f t="shared" si="12"/>
        <v>2.0181634712411745E-2</v>
      </c>
      <c r="AL18" s="16">
        <f t="shared" si="12"/>
        <v>1.2814909567745225E-2</v>
      </c>
      <c r="AM18" s="16">
        <f t="shared" si="12"/>
        <v>1.5038796764743179E-2</v>
      </c>
      <c r="AN18" s="16">
        <f>AN7/AI7-1</f>
        <v>-6.2117388880597035E-3</v>
      </c>
      <c r="AO18" s="16">
        <f t="shared" si="13"/>
        <v>-6.5226602772275877E-3</v>
      </c>
      <c r="AP18" s="16">
        <f>AP7/AK7-1</f>
        <v>-5.9727139169140075E-3</v>
      </c>
      <c r="AQ18" s="16">
        <f t="shared" si="14"/>
        <v>-6.0343116798159402E-3</v>
      </c>
      <c r="AR18" s="16">
        <f t="shared" si="14"/>
        <v>-6.185582884390084E-3</v>
      </c>
      <c r="AS18" s="16">
        <f>AS7/AN7-1</f>
        <v>5.9934694044150305E-4</v>
      </c>
      <c r="AT18" s="16">
        <f t="shared" si="15"/>
        <v>1.4853358680699813E-4</v>
      </c>
      <c r="AU18" s="16">
        <f>AU7/AP7-1</f>
        <v>4.9922835863069892E-4</v>
      </c>
      <c r="AV18" s="16">
        <f t="shared" si="16"/>
        <v>4.7831465100656168E-4</v>
      </c>
      <c r="AW18" s="16">
        <f t="shared" si="16"/>
        <v>4.3109549462694297E-4</v>
      </c>
      <c r="AX18" s="16">
        <f>AX7/AS7-1</f>
        <v>6.9632872876137508E-3</v>
      </c>
      <c r="AY18" s="16">
        <f t="shared" si="17"/>
        <v>5.3139377400994725E-3</v>
      </c>
      <c r="AZ18" s="16">
        <f>AZ7/AU7-1</f>
        <v>3.2737698590521447E-3</v>
      </c>
      <c r="BA18" s="16">
        <f t="shared" si="18"/>
        <v>1.0835741317825054E-3</v>
      </c>
      <c r="BB18" s="16">
        <f t="shared" si="18"/>
        <v>4.1610016564594954E-3</v>
      </c>
      <c r="BC18" s="16">
        <f>BC7/AX7-1</f>
        <v>5.4462033504580898E-3</v>
      </c>
      <c r="BD18" s="16">
        <f t="shared" si="19"/>
        <v>3.504406053118192E-3</v>
      </c>
      <c r="BE18" s="16">
        <f>BE7/AZ7-1</f>
        <v>3.5187463339763081E-3</v>
      </c>
      <c r="BF18" s="16">
        <f t="shared" si="20"/>
        <v>3.5284494937637412E-3</v>
      </c>
      <c r="BG18" s="16">
        <f t="shared" si="20"/>
        <v>3.999911375466958E-3</v>
      </c>
      <c r="BH18" s="16">
        <f>BH7/BC7-1</f>
        <v>2.836878033775081E-3</v>
      </c>
      <c r="BI18" s="16">
        <f t="shared" si="21"/>
        <v>2.0653875244864839E-3</v>
      </c>
      <c r="BJ18" s="16">
        <f>BJ7/BE7-1</f>
        <v>2.0759590249357363E-3</v>
      </c>
      <c r="BK18" s="16">
        <f t="shared" si="22"/>
        <v>2.0816027532866155E-3</v>
      </c>
      <c r="BL18" s="16">
        <f t="shared" si="22"/>
        <v>2.265405365020845E-3</v>
      </c>
    </row>
    <row r="19" spans="1:64">
      <c r="A19" s="5" t="s">
        <v>1711</v>
      </c>
      <c r="T19" s="16">
        <f>T8/O8-1</f>
        <v>0.67716745052799698</v>
      </c>
      <c r="U19" s="16">
        <f t="shared" si="9"/>
        <v>0.64594843462246776</v>
      </c>
      <c r="V19" s="16">
        <f>V8/Q8-1</f>
        <v>0.69052247157919533</v>
      </c>
      <c r="W19" s="16">
        <f t="shared" si="9"/>
        <v>0.7335737559710227</v>
      </c>
      <c r="X19" s="16">
        <f t="shared" si="9"/>
        <v>0.69616614659536724</v>
      </c>
      <c r="Y19" s="16">
        <f>Y8/T8-1</f>
        <v>0.31216931216931232</v>
      </c>
      <c r="Z19" s="16">
        <f t="shared" si="10"/>
        <v>0.48951048951048959</v>
      </c>
      <c r="AA19" s="16">
        <f>AA8/V8-1</f>
        <v>0.96167247386759569</v>
      </c>
      <c r="AB19" s="16">
        <f t="shared" si="10"/>
        <v>1.1076642335766422</v>
      </c>
      <c r="AC19" s="16">
        <f t="shared" si="10"/>
        <v>0.82595419847328233</v>
      </c>
      <c r="AD19" s="16">
        <f>AD8/Y8-1</f>
        <v>1.282258064516129</v>
      </c>
      <c r="AE19" s="16">
        <f t="shared" si="11"/>
        <v>1.0140845070422535</v>
      </c>
      <c r="AF19" s="16">
        <f>AF8/AA8-1</f>
        <v>0.8348134991119005</v>
      </c>
      <c r="AG19" s="16">
        <f t="shared" si="11"/>
        <v>0.27532467532467542</v>
      </c>
      <c r="AH19" s="16">
        <f t="shared" si="11"/>
        <v>0.64297658862876261</v>
      </c>
      <c r="AI19" s="16">
        <f>AI8/AD8-1</f>
        <v>-6.7137809187279185E-2</v>
      </c>
      <c r="AJ19" s="16">
        <f t="shared" si="12"/>
        <v>-0.11188811188811187</v>
      </c>
      <c r="AK19" s="16">
        <f t="shared" si="12"/>
        <v>-0.39496611810261373</v>
      </c>
      <c r="AL19" s="303">
        <v>-0.125</v>
      </c>
      <c r="AM19" s="16">
        <f t="shared" si="12"/>
        <v>-0.18476463104325691</v>
      </c>
      <c r="AN19" s="303">
        <v>-2.5000000000000001E-2</v>
      </c>
      <c r="AO19" s="303">
        <v>-2.5000000000000001E-2</v>
      </c>
      <c r="AP19" s="303">
        <v>-2.5000000000000001E-2</v>
      </c>
      <c r="AQ19" s="303">
        <v>-2.5000000000000001E-2</v>
      </c>
      <c r="AR19" s="16">
        <f t="shared" si="14"/>
        <v>-2.5000000000000133E-2</v>
      </c>
      <c r="AS19" s="303">
        <v>0</v>
      </c>
      <c r="AT19" s="303">
        <v>0</v>
      </c>
      <c r="AU19" s="303">
        <v>0</v>
      </c>
      <c r="AV19" s="303">
        <v>0</v>
      </c>
      <c r="AW19" s="16">
        <f t="shared" si="16"/>
        <v>0</v>
      </c>
      <c r="AX19" s="303">
        <v>0.01</v>
      </c>
      <c r="AY19" s="303">
        <v>0.01</v>
      </c>
      <c r="AZ19" s="303">
        <v>0.01</v>
      </c>
      <c r="BA19" s="303">
        <v>0.01</v>
      </c>
      <c r="BB19" s="16">
        <f t="shared" si="18"/>
        <v>1.0000000000000231E-2</v>
      </c>
      <c r="BC19" s="303">
        <v>0.01</v>
      </c>
      <c r="BD19" s="303">
        <v>0.01</v>
      </c>
      <c r="BE19" s="303">
        <v>0.01</v>
      </c>
      <c r="BF19" s="303">
        <v>0.01</v>
      </c>
      <c r="BG19" s="16">
        <f t="shared" si="20"/>
        <v>9.9999999999997868E-3</v>
      </c>
      <c r="BH19" s="303">
        <v>0.01</v>
      </c>
      <c r="BI19" s="303">
        <v>0.01</v>
      </c>
      <c r="BJ19" s="303">
        <v>0.01</v>
      </c>
      <c r="BK19" s="303">
        <v>0.01</v>
      </c>
      <c r="BL19" s="16">
        <f t="shared" si="22"/>
        <v>1.0000000000000231E-2</v>
      </c>
    </row>
    <row r="20" spans="1:64">
      <c r="A20" s="9" t="s">
        <v>1707</v>
      </c>
      <c r="B20" s="9"/>
      <c r="C20" s="9"/>
      <c r="D20" s="9"/>
      <c r="E20" s="9"/>
      <c r="F20" s="9"/>
      <c r="G20" s="9"/>
      <c r="H20" s="9"/>
      <c r="I20" s="9"/>
      <c r="J20" s="9"/>
      <c r="K20" s="9"/>
      <c r="L20" s="9"/>
      <c r="M20" s="9"/>
      <c r="N20" s="9"/>
      <c r="O20" s="17">
        <f t="shared" ref="O20:S21" si="23">O9/J9-1</f>
        <v>6.0263442366977671E-2</v>
      </c>
      <c r="P20" s="17">
        <f t="shared" si="23"/>
        <v>5.3948838576889147E-2</v>
      </c>
      <c r="Q20" s="17">
        <f t="shared" si="23"/>
        <v>4.0997491800115915E-2</v>
      </c>
      <c r="R20" s="17">
        <f t="shared" si="23"/>
        <v>-1.4776606798278302E-2</v>
      </c>
      <c r="S20" s="17">
        <f t="shared" si="23"/>
        <v>3.4307070804809214E-2</v>
      </c>
      <c r="T20" s="17">
        <f>T9/O9-1</f>
        <v>-2.915165658442187E-3</v>
      </c>
      <c r="U20" s="17">
        <f>U9/P9-1</f>
        <v>4.4874942344031332E-2</v>
      </c>
      <c r="V20" s="17">
        <f>V9/Q9-1</f>
        <v>1.9369881141471978E-2</v>
      </c>
      <c r="W20" s="17">
        <f>W9/R9-1</f>
        <v>7.0064557925106685E-2</v>
      </c>
      <c r="X20" s="17">
        <f>X9/S9-1</f>
        <v>3.2854802066177191E-2</v>
      </c>
      <c r="Y20" s="17">
        <f>Y9/T9-1</f>
        <v>1.2118916871804553E-2</v>
      </c>
      <c r="Z20" s="17">
        <f>Z9/U9-1</f>
        <v>-2.5631897472410237E-2</v>
      </c>
      <c r="AA20" s="17">
        <f>AA9/V9-1</f>
        <v>1.4363636363636356E-2</v>
      </c>
      <c r="AB20" s="17">
        <f>AB9/W9-1</f>
        <v>7.743752199929621E-2</v>
      </c>
      <c r="AC20" s="17">
        <f>AC9/X9-1</f>
        <v>1.9881345953534746E-2</v>
      </c>
      <c r="AD20" s="17">
        <f>AD9/Y9-1</f>
        <v>2.3012160898035372E-2</v>
      </c>
      <c r="AE20" s="17">
        <f>AE9/Z9-1</f>
        <v>5.4621848739495826E-2</v>
      </c>
      <c r="AF20" s="17">
        <f>AF9/AA9-1</f>
        <v>3.0112923462986219E-2</v>
      </c>
      <c r="AG20" s="17">
        <f>AG9/AB9-1</f>
        <v>-1.2577589023195057E-2</v>
      </c>
      <c r="AH20" s="17">
        <f>AH9/AC9-1</f>
        <v>2.2779751332149267E-2</v>
      </c>
      <c r="AI20" s="17">
        <f>AI9/AD9-1</f>
        <v>-1.6276517922457878E-2</v>
      </c>
      <c r="AJ20" s="17">
        <f t="shared" si="12"/>
        <v>-1.4030833188983016E-2</v>
      </c>
      <c r="AK20" s="17">
        <f t="shared" si="12"/>
        <v>-6.3163389594571018E-2</v>
      </c>
      <c r="AL20" s="17">
        <f t="shared" si="12"/>
        <v>-2.4069436268791322E-2</v>
      </c>
      <c r="AM20" s="17">
        <f t="shared" si="12"/>
        <v>-2.9457723364079591E-2</v>
      </c>
      <c r="AN20" s="17">
        <f t="shared" si="12"/>
        <v>-4.7161812993271601E-3</v>
      </c>
      <c r="AO20" s="17">
        <f t="shared" si="12"/>
        <v>-7.2488537211363724E-3</v>
      </c>
      <c r="AP20" s="17">
        <f t="shared" si="12"/>
        <v>-7.0971971315887394E-3</v>
      </c>
      <c r="AQ20" s="17">
        <f t="shared" si="12"/>
        <v>-1.0308315115485578E-2</v>
      </c>
      <c r="AR20" s="17">
        <f t="shared" si="12"/>
        <v>-7.410321399138553E-3</v>
      </c>
      <c r="AS20" s="17">
        <f t="shared" si="12"/>
        <v>-3.3810056443484005E-3</v>
      </c>
      <c r="AT20" s="17">
        <f t="shared" si="12"/>
        <v>-4.8778033218113137E-3</v>
      </c>
      <c r="AU20" s="17">
        <f t="shared" si="12"/>
        <v>-5.1781157183043991E-3</v>
      </c>
      <c r="AV20" s="17">
        <f t="shared" si="12"/>
        <v>-5.6139578889868869E-3</v>
      </c>
      <c r="AW20" s="17">
        <f t="shared" si="12"/>
        <v>-4.7827230648833652E-3</v>
      </c>
      <c r="AX20" s="17">
        <f t="shared" si="12"/>
        <v>-1.9034113786676743E-3</v>
      </c>
      <c r="AY20" s="17">
        <f t="shared" si="12"/>
        <v>-2.7847265688352163E-3</v>
      </c>
      <c r="AZ20" s="17">
        <f t="shared" ref="AT20:BL21" si="24">AZ9/AU9-1</f>
        <v>-3.3742622966350666E-3</v>
      </c>
      <c r="BA20" s="17">
        <f t="shared" si="24"/>
        <v>-2.7719761956158662E-3</v>
      </c>
      <c r="BB20" s="17">
        <f t="shared" si="24"/>
        <v>-2.7104106619760815E-3</v>
      </c>
      <c r="BC20" s="17">
        <f t="shared" si="24"/>
        <v>-1.7717688587657321E-3</v>
      </c>
      <c r="BD20" s="17">
        <f t="shared" si="24"/>
        <v>-2.4098286994554963E-3</v>
      </c>
      <c r="BE20" s="17">
        <f t="shared" si="24"/>
        <v>-2.3341190145197421E-3</v>
      </c>
      <c r="BF20" s="17">
        <f t="shared" si="24"/>
        <v>-1.1205240588094689E-3</v>
      </c>
      <c r="BG20" s="17">
        <f t="shared" si="24"/>
        <v>-1.8983596504230649E-3</v>
      </c>
      <c r="BH20" s="17">
        <f t="shared" si="24"/>
        <v>-4.5328291312279889E-3</v>
      </c>
      <c r="BI20" s="17">
        <f t="shared" si="24"/>
        <v>-4.6334485924216517E-3</v>
      </c>
      <c r="BJ20" s="17">
        <f t="shared" si="24"/>
        <v>-4.5130535080277756E-3</v>
      </c>
      <c r="BK20" s="17">
        <f t="shared" si="24"/>
        <v>-2.8498354805929216E-3</v>
      </c>
      <c r="BL20" s="17">
        <f t="shared" si="24"/>
        <v>-4.1108747391681577E-3</v>
      </c>
    </row>
    <row r="21" spans="1:64">
      <c r="A21" s="1" t="s">
        <v>1708</v>
      </c>
      <c r="O21" s="16">
        <f t="shared" si="23"/>
        <v>6.1654286246776824E-2</v>
      </c>
      <c r="P21" s="16">
        <f t="shared" si="23"/>
        <v>5.5851160978460879E-2</v>
      </c>
      <c r="Q21" s="16">
        <f t="shared" si="23"/>
        <v>4.2385847048709069E-2</v>
      </c>
      <c r="R21" s="16">
        <f t="shared" si="23"/>
        <v>-1.5697281358591386E-2</v>
      </c>
      <c r="S21" s="16">
        <f t="shared" si="23"/>
        <v>3.563873656404426E-2</v>
      </c>
      <c r="T21" s="16">
        <f>T10/O10-1</f>
        <v>-1.769954183747291E-2</v>
      </c>
      <c r="U21" s="16">
        <f>U10/P10-1</f>
        <v>2.4801266971108848E-2</v>
      </c>
      <c r="V21" s="16">
        <f>V10/Q10-1</f>
        <v>-2.4341143421385825E-3</v>
      </c>
      <c r="W21" s="16">
        <f>W10/R10-1</f>
        <v>2.8064519358811379E-2</v>
      </c>
      <c r="X21" s="16">
        <f>X10/S10-1</f>
        <v>7.9936795967052721E-3</v>
      </c>
      <c r="Y21" s="16">
        <f>Y10/T10-1</f>
        <v>9.8193244304800587E-4</v>
      </c>
      <c r="Z21" s="16">
        <f>Z10/U10-1</f>
        <v>-5.3263315828957269E-2</v>
      </c>
      <c r="AA21" s="16">
        <f>AA10/V10-1</f>
        <v>-3.7790140034529074E-2</v>
      </c>
      <c r="AB21" s="16">
        <f>AB10/W10-1</f>
        <v>-3.2528243085313435E-2</v>
      </c>
      <c r="AC21" s="16">
        <f>AC10/X10-1</f>
        <v>-3.0956622213663132E-2</v>
      </c>
      <c r="AD21" s="16">
        <f>AD10/Y10-1</f>
        <v>-3.8257798705120805E-2</v>
      </c>
      <c r="AE21" s="16">
        <f>AE10/Z10-1</f>
        <v>-2.6347068145800345E-2</v>
      </c>
      <c r="AF21" s="16">
        <f>AF10/AA10-1</f>
        <v>-6.0207336523125932E-2</v>
      </c>
      <c r="AG21" s="16">
        <f>AG10/AB10-1</f>
        <v>-7.952486410308035E-2</v>
      </c>
      <c r="AH21" s="16">
        <f>AH10/AC10-1</f>
        <v>-5.0924085850556522E-2</v>
      </c>
      <c r="AI21" s="16">
        <f>AI10/AD10-1</f>
        <v>-1.0403916768665811E-2</v>
      </c>
      <c r="AJ21" s="16">
        <f t="shared" si="12"/>
        <v>3.0518819938962771E-3</v>
      </c>
      <c r="AK21" s="16">
        <f t="shared" si="12"/>
        <v>9.5460330929146853E-3</v>
      </c>
      <c r="AL21" s="16">
        <f t="shared" si="12"/>
        <v>8.448219106552024E-3</v>
      </c>
      <c r="AM21" s="16">
        <f t="shared" si="12"/>
        <v>2.4930774095774932E-3</v>
      </c>
      <c r="AN21" s="16">
        <f t="shared" si="12"/>
        <v>-2.5084187196621199E-3</v>
      </c>
      <c r="AO21" s="16">
        <f t="shared" si="12"/>
        <v>-4.5051674200217162E-3</v>
      </c>
      <c r="AP21" s="16">
        <f t="shared" si="12"/>
        <v>-4.7460200370822436E-3</v>
      </c>
      <c r="AQ21" s="16">
        <f t="shared" si="12"/>
        <v>-6.2013351947735051E-3</v>
      </c>
      <c r="AR21" s="16">
        <f t="shared" si="12"/>
        <v>-4.4675907692591776E-3</v>
      </c>
      <c r="AS21" s="16">
        <f t="shared" si="12"/>
        <v>-3.7407085287892716E-3</v>
      </c>
      <c r="AT21" s="16">
        <f t="shared" si="24"/>
        <v>-5.6162139565300029E-3</v>
      </c>
      <c r="AU21" s="16">
        <f t="shared" si="24"/>
        <v>-5.8443189834613829E-3</v>
      </c>
      <c r="AV21" s="16">
        <f t="shared" si="24"/>
        <v>-7.1536232249358456E-3</v>
      </c>
      <c r="AW21" s="16">
        <f t="shared" si="24"/>
        <v>-5.5663638894933865E-3</v>
      </c>
      <c r="AX21" s="16">
        <f t="shared" si="24"/>
        <v>-3.1745622010816987E-3</v>
      </c>
      <c r="AY21" s="16">
        <f t="shared" si="24"/>
        <v>-4.7310323269639243E-3</v>
      </c>
      <c r="AZ21" s="16">
        <f t="shared" si="24"/>
        <v>-5.1050764704423379E-3</v>
      </c>
      <c r="BA21" s="16">
        <f t="shared" si="24"/>
        <v>-6.300013972354801E-3</v>
      </c>
      <c r="BB21" s="16">
        <f t="shared" si="24"/>
        <v>-4.8046465383483339E-3</v>
      </c>
      <c r="BC21" s="16">
        <f t="shared" si="24"/>
        <v>-3.0454761283346121E-3</v>
      </c>
      <c r="BD21" s="16">
        <f t="shared" si="24"/>
        <v>-4.3270238459678367E-3</v>
      </c>
      <c r="BE21" s="16">
        <f t="shared" si="24"/>
        <v>-3.9545588101818074E-3</v>
      </c>
      <c r="BF21" s="16">
        <f t="shared" si="24"/>
        <v>-4.2427654037073825E-3</v>
      </c>
      <c r="BG21" s="16">
        <f t="shared" si="24"/>
        <v>-3.887961330872769E-3</v>
      </c>
      <c r="BH21" s="16">
        <f t="shared" si="24"/>
        <v>-6.1258596437224755E-3</v>
      </c>
      <c r="BI21" s="16">
        <f t="shared" si="24"/>
        <v>-6.926701084879916E-3</v>
      </c>
      <c r="BJ21" s="16">
        <f t="shared" si="24"/>
        <v>-6.4464716246902531E-3</v>
      </c>
      <c r="BK21" s="16">
        <f t="shared" si="24"/>
        <v>-6.5092085451364801E-3</v>
      </c>
      <c r="BL21" s="16">
        <f t="shared" si="24"/>
        <v>-6.5033429091601036E-3</v>
      </c>
    </row>
    <row r="23" spans="1:64">
      <c r="A23" s="5" t="s">
        <v>1709</v>
      </c>
      <c r="O23" s="16">
        <f t="shared" ref="O23:AK24" si="25">O12/J12-1</f>
        <v>-5.4056641991676369E-2</v>
      </c>
      <c r="P23" s="16">
        <f t="shared" si="25"/>
        <v>-2.2809424645322207E-2</v>
      </c>
      <c r="Q23" s="16">
        <f t="shared" si="25"/>
        <v>-0.20903748513571541</v>
      </c>
      <c r="R23" s="16">
        <f t="shared" si="25"/>
        <v>-1.3086158782781299E-2</v>
      </c>
      <c r="S23" s="16">
        <f t="shared" si="25"/>
        <v>-8.9156775751964568E-2</v>
      </c>
      <c r="T23" s="16">
        <f t="shared" si="25"/>
        <v>-0.24158659461479748</v>
      </c>
      <c r="U23" s="16">
        <f t="shared" si="25"/>
        <v>-0.18749019999144734</v>
      </c>
      <c r="V23" s="16">
        <f t="shared" si="25"/>
        <v>0.2046013150179038</v>
      </c>
      <c r="W23" s="16">
        <f t="shared" si="25"/>
        <v>0.21579142011834329</v>
      </c>
      <c r="X23" s="16">
        <f t="shared" si="25"/>
        <v>6.216604095013345E-3</v>
      </c>
      <c r="Y23" s="16">
        <f t="shared" si="25"/>
        <v>0.62936344969199154</v>
      </c>
      <c r="Z23" s="16">
        <f t="shared" si="25"/>
        <v>0.20964912280701764</v>
      </c>
      <c r="AA23" s="16">
        <f t="shared" si="25"/>
        <v>-0.10875194199896432</v>
      </c>
      <c r="AB23" s="16">
        <f t="shared" si="25"/>
        <v>2.7883396704689423E-2</v>
      </c>
      <c r="AC23" s="16">
        <f t="shared" si="25"/>
        <v>0.12199893295393949</v>
      </c>
      <c r="AD23" s="16">
        <f t="shared" si="25"/>
        <v>-0.24070573408947693</v>
      </c>
      <c r="AE23" s="16">
        <f t="shared" si="25"/>
        <v>2.1029731689630182E-2</v>
      </c>
      <c r="AF23" s="16">
        <f t="shared" si="25"/>
        <v>-2.6728646135967482E-2</v>
      </c>
      <c r="AG23" s="16">
        <f t="shared" si="25"/>
        <v>-6.9667077681874079E-2</v>
      </c>
      <c r="AH23" s="16">
        <f t="shared" si="25"/>
        <v>-8.1153907116817359E-2</v>
      </c>
      <c r="AI23" s="16">
        <f t="shared" si="25"/>
        <v>8.5477178423236655E-2</v>
      </c>
      <c r="AJ23" s="16">
        <f t="shared" si="25"/>
        <v>1.0653409090909172E-2</v>
      </c>
      <c r="AK23" s="16">
        <f t="shared" si="25"/>
        <v>0.21194029850746277</v>
      </c>
      <c r="AL23" s="303">
        <v>0.01</v>
      </c>
      <c r="AM23" s="16">
        <f>AM12/AH12-1</f>
        <v>8.4196998447472859E-2</v>
      </c>
      <c r="AN23" s="303">
        <v>5.0000000000000001E-3</v>
      </c>
      <c r="AO23" s="303">
        <v>5.0000000000000001E-3</v>
      </c>
      <c r="AP23" s="303">
        <v>5.0000000000000001E-3</v>
      </c>
      <c r="AQ23" s="303">
        <v>5.0000000000000001E-3</v>
      </c>
      <c r="AR23" s="16">
        <f>AR12/AM12-1</f>
        <v>4.9999999999998934E-3</v>
      </c>
      <c r="AS23" s="303">
        <v>2.5000000000000001E-3</v>
      </c>
      <c r="AT23" s="303">
        <v>2.5000000000000001E-3</v>
      </c>
      <c r="AU23" s="303">
        <v>2.5000000000000001E-3</v>
      </c>
      <c r="AV23" s="303">
        <v>2.5000000000000001E-3</v>
      </c>
      <c r="AW23" s="16">
        <f>AW12/AR12-1</f>
        <v>2.5000000000001688E-3</v>
      </c>
      <c r="AX23" s="303">
        <v>2.5000000000000001E-3</v>
      </c>
      <c r="AY23" s="303">
        <v>2.5000000000000001E-3</v>
      </c>
      <c r="AZ23" s="303">
        <v>2.5000000000000001E-3</v>
      </c>
      <c r="BA23" s="303">
        <v>2.5000000000000001E-3</v>
      </c>
      <c r="BB23" s="16">
        <f>BB12/AW12-1</f>
        <v>2.4999999999997247E-3</v>
      </c>
      <c r="BC23" s="303">
        <v>2.5000000000000001E-3</v>
      </c>
      <c r="BD23" s="303">
        <v>2.5000000000000001E-3</v>
      </c>
      <c r="BE23" s="303">
        <v>2.5000000000000001E-3</v>
      </c>
      <c r="BF23" s="303">
        <v>2.5000000000000001E-3</v>
      </c>
      <c r="BG23" s="16">
        <f>BG12/BB12-1</f>
        <v>2.4999999999999467E-3</v>
      </c>
      <c r="BH23" s="303">
        <v>2.5000000000000001E-3</v>
      </c>
      <c r="BI23" s="303">
        <v>2.5000000000000001E-3</v>
      </c>
      <c r="BJ23" s="303">
        <v>2.5000000000000001E-3</v>
      </c>
      <c r="BK23" s="303">
        <v>2.5000000000000001E-3</v>
      </c>
      <c r="BL23" s="16">
        <f>BL12/BG12-1</f>
        <v>2.4999999999999467E-3</v>
      </c>
    </row>
    <row r="24" spans="1:64">
      <c r="A24" s="9" t="s">
        <v>1111</v>
      </c>
      <c r="B24" s="9"/>
      <c r="C24" s="9"/>
      <c r="D24" s="9"/>
      <c r="E24" s="9"/>
      <c r="F24" s="9"/>
      <c r="G24" s="9"/>
      <c r="H24" s="9"/>
      <c r="I24" s="9"/>
      <c r="J24" s="9"/>
      <c r="K24" s="9"/>
      <c r="L24" s="9"/>
      <c r="M24" s="9"/>
      <c r="N24" s="9"/>
      <c r="O24" s="17">
        <f t="shared" si="25"/>
        <v>3.5833182487151838E-2</v>
      </c>
      <c r="P24" s="17">
        <f t="shared" si="25"/>
        <v>3.709017929392977E-2</v>
      </c>
      <c r="Q24" s="17">
        <f t="shared" si="25"/>
        <v>-2.9288441773340557E-2</v>
      </c>
      <c r="R24" s="17">
        <f t="shared" si="25"/>
        <v>-1.4445026123348637E-2</v>
      </c>
      <c r="S24" s="17">
        <f t="shared" si="25"/>
        <v>6.0478064343798543E-3</v>
      </c>
      <c r="T24" s="17">
        <f t="shared" si="25"/>
        <v>-4.9493215007521907E-2</v>
      </c>
      <c r="U24" s="17">
        <f t="shared" si="25"/>
        <v>-3.2124936207369448E-3</v>
      </c>
      <c r="V24" s="17">
        <f t="shared" si="25"/>
        <v>6.1797439740744808E-2</v>
      </c>
      <c r="W24" s="17">
        <f t="shared" si="25"/>
        <v>9.8688232837158107E-2</v>
      </c>
      <c r="X24" s="17">
        <f t="shared" si="25"/>
        <v>2.7334651741191873E-2</v>
      </c>
      <c r="Y24" s="17">
        <f t="shared" si="25"/>
        <v>0.10823341326938452</v>
      </c>
      <c r="Z24" s="17">
        <f t="shared" si="25"/>
        <v>1.4057413435927701E-2</v>
      </c>
      <c r="AA24" s="17">
        <f t="shared" si="25"/>
        <v>-1.7628852106042259E-2</v>
      </c>
      <c r="AB24" s="17">
        <f t="shared" si="25"/>
        <v>6.6666666666666874E-2</v>
      </c>
      <c r="AC24" s="17">
        <f t="shared" si="25"/>
        <v>4.0607854461449877E-2</v>
      </c>
      <c r="AD24" s="17">
        <f t="shared" si="25"/>
        <v>-3.736295441431059E-2</v>
      </c>
      <c r="AE24" s="17">
        <f t="shared" si="25"/>
        <v>4.7862250109441007E-2</v>
      </c>
      <c r="AF24" s="17">
        <f t="shared" si="25"/>
        <v>1.6712328767123141E-2</v>
      </c>
      <c r="AG24" s="17">
        <f t="shared" si="25"/>
        <v>-2.4535123966942241E-2</v>
      </c>
      <c r="AH24" s="17">
        <f t="shared" si="25"/>
        <v>3.4687294044211114E-5</v>
      </c>
      <c r="AI24" s="17">
        <f t="shared" si="25"/>
        <v>2.0980068934512985E-3</v>
      </c>
      <c r="AJ24" s="17">
        <f t="shared" si="25"/>
        <v>-9.1909204846120085E-3</v>
      </c>
      <c r="AK24" s="17">
        <f t="shared" si="25"/>
        <v>-1.0778765831311876E-3</v>
      </c>
      <c r="AL24" s="17">
        <f>AL13/AG13-1</f>
        <v>-1.7263667228599844E-2</v>
      </c>
      <c r="AM24" s="17">
        <f>AM13/AH13-1</f>
        <v>-6.6045696234769968E-3</v>
      </c>
      <c r="AN24" s="17">
        <f>AN13/AI13-1</f>
        <v>-2.8156631088800399E-3</v>
      </c>
      <c r="AO24" s="17">
        <f>AO13/AJ13-1</f>
        <v>-4.7990829769090082E-3</v>
      </c>
      <c r="AP24" s="17">
        <f>AP13/AK13-1</f>
        <v>-3.7849081948305718E-3</v>
      </c>
      <c r="AQ24" s="17">
        <f>AQ13/AL13-1</f>
        <v>-7.1654625099034641E-3</v>
      </c>
      <c r="AR24" s="17">
        <f>AR13/AM13-1</f>
        <v>-4.6868192044312584E-3</v>
      </c>
      <c r="AS24" s="17">
        <f>AS13/AN13-1</f>
        <v>-2.2216447950801355E-3</v>
      </c>
      <c r="AT24" s="17">
        <f>AT13/AO13-1</f>
        <v>-3.387713790825031E-3</v>
      </c>
      <c r="AU24" s="17">
        <f>AU13/AP13-1</f>
        <v>-3.0572603417844402E-3</v>
      </c>
      <c r="AV24" s="17">
        <f>AV13/AQ13-1</f>
        <v>-3.9277211195777317E-3</v>
      </c>
      <c r="AW24" s="17">
        <f>AW13/AR13-1</f>
        <v>-3.1689413041020575E-3</v>
      </c>
      <c r="AX24" s="17">
        <f>AX13/AS13-1</f>
        <v>-1.0312304273444317E-3</v>
      </c>
      <c r="AY24" s="17">
        <f>AY13/AT13-1</f>
        <v>-1.7110685891660316E-3</v>
      </c>
      <c r="AZ24" s="17">
        <f>AZ13/AU13-1</f>
        <v>-1.7426239542639443E-3</v>
      </c>
      <c r="BA24" s="17">
        <f>BA13/AV13-1</f>
        <v>-1.6692878767542441E-3</v>
      </c>
      <c r="BB24" s="17">
        <f>BB13/AW13-1</f>
        <v>-1.5492674673157625E-3</v>
      </c>
      <c r="BC24" s="17">
        <f>BC13/AX13-1</f>
        <v>-9.2267137777568564E-4</v>
      </c>
      <c r="BD24" s="17">
        <f>BD13/AY13-1</f>
        <v>-1.4081281778516308E-3</v>
      </c>
      <c r="BE24" s="17">
        <f>BE13/AZ13-1</f>
        <v>-9.8568481243832551E-4</v>
      </c>
      <c r="BF24" s="17">
        <f>BF13/BA13-1</f>
        <v>-3.6009146979121276E-4</v>
      </c>
      <c r="BG24" s="17">
        <f>BG13/BB13-1</f>
        <v>-9.1420736113012602E-4</v>
      </c>
      <c r="BH24" s="17">
        <f>BH13/BC13-1</f>
        <v>-3.1301279898030554E-3</v>
      </c>
      <c r="BI24" s="17">
        <f>BI13/BD13-1</f>
        <v>-3.1723906140458391E-3</v>
      </c>
      <c r="BJ24" s="17">
        <f>BJ13/BE13-1</f>
        <v>-2.5499995210543913E-3</v>
      </c>
      <c r="BK24" s="17">
        <f>BK13/BF13-1</f>
        <v>-1.7229740749700184E-3</v>
      </c>
      <c r="BL24" s="17">
        <f>BL13/BG13-1</f>
        <v>-2.6266075227857621E-3</v>
      </c>
    </row>
    <row r="26" spans="1:64">
      <c r="A26" s="3" t="s">
        <v>1712</v>
      </c>
    </row>
    <row r="27" spans="1:64">
      <c r="A27" s="5" t="s">
        <v>1713</v>
      </c>
      <c r="J27" s="375">
        <f>N27/4</f>
        <v>61.265470106331463</v>
      </c>
      <c r="K27" s="375">
        <f>N27/4</f>
        <v>61.265470106331463</v>
      </c>
      <c r="L27" s="375">
        <f>N27/4</f>
        <v>61.265470106331463</v>
      </c>
      <c r="M27" s="375">
        <f>N27/4</f>
        <v>61.265470106331463</v>
      </c>
      <c r="N27" s="377">
        <f>S27/1.005</f>
        <v>245.06188042532585</v>
      </c>
      <c r="O27" s="375">
        <f>S27/4</f>
        <v>61.571797456863116</v>
      </c>
      <c r="P27" s="375">
        <f>S27/4</f>
        <v>61.571797456863116</v>
      </c>
      <c r="Q27" s="375">
        <f>S27/4</f>
        <v>61.571797456863116</v>
      </c>
      <c r="R27" s="375">
        <f>S27/4</f>
        <v>61.571797456863116</v>
      </c>
      <c r="S27" s="377">
        <f>X27/1.005</f>
        <v>246.28718982745247</v>
      </c>
      <c r="T27" s="375">
        <f>X27/4</f>
        <v>61.879656444147429</v>
      </c>
      <c r="U27" s="375">
        <f>X27/4</f>
        <v>61.879656444147429</v>
      </c>
      <c r="V27" s="375">
        <f>X27/4</f>
        <v>61.879656444147429</v>
      </c>
      <c r="W27" s="375">
        <f>X27/4</f>
        <v>61.879656444147429</v>
      </c>
      <c r="X27" s="377">
        <f>AC27/1.005</f>
        <v>247.51862577658972</v>
      </c>
      <c r="Y27" s="375">
        <f>AC27/4</f>
        <v>62.189054726368163</v>
      </c>
      <c r="Z27" s="375">
        <f>AC27/4</f>
        <v>62.189054726368163</v>
      </c>
      <c r="AA27" s="375">
        <f>AC27/4</f>
        <v>62.189054726368163</v>
      </c>
      <c r="AB27" s="375">
        <f>AC27/4</f>
        <v>62.189054726368163</v>
      </c>
      <c r="AC27" s="377">
        <f>AH27/1.005</f>
        <v>248.75621890547265</v>
      </c>
      <c r="AD27" s="375">
        <f>AH27/4</f>
        <v>62.5</v>
      </c>
      <c r="AE27" s="375">
        <f>AH27/4</f>
        <v>62.5</v>
      </c>
      <c r="AF27" s="375">
        <f>AH27/4</f>
        <v>62.5</v>
      </c>
      <c r="AG27" s="375">
        <f>AH27/4</f>
        <v>62.5</v>
      </c>
      <c r="AH27" s="400">
        <v>250</v>
      </c>
      <c r="AI27" s="375">
        <f>AM27/4</f>
        <v>63.437499999999993</v>
      </c>
      <c r="AJ27" s="375">
        <f>AM27/4</f>
        <v>63.437499999999993</v>
      </c>
      <c r="AK27" s="375">
        <f>AM27/4</f>
        <v>63.437499999999993</v>
      </c>
      <c r="AL27" s="375">
        <f>AM27/4</f>
        <v>63.437499999999993</v>
      </c>
      <c r="AM27" s="377">
        <f>AH27*1.015</f>
        <v>253.74999999999997</v>
      </c>
      <c r="AN27" s="375">
        <f>AR27/4</f>
        <v>64.706249999999997</v>
      </c>
      <c r="AO27" s="375">
        <f>AR27/4</f>
        <v>64.706249999999997</v>
      </c>
      <c r="AP27" s="375">
        <f>AR27/4</f>
        <v>64.706249999999997</v>
      </c>
      <c r="AQ27" s="375">
        <f>AR27/4</f>
        <v>64.706249999999997</v>
      </c>
      <c r="AR27" s="377">
        <f>AM27*1.02</f>
        <v>258.82499999999999</v>
      </c>
      <c r="AS27" s="375">
        <f>AW27/4</f>
        <v>66.000375000000005</v>
      </c>
      <c r="AT27" s="375">
        <f>AW27/4</f>
        <v>66.000375000000005</v>
      </c>
      <c r="AU27" s="375">
        <f>AW27/4</f>
        <v>66.000375000000005</v>
      </c>
      <c r="AV27" s="375">
        <f>AW27/4</f>
        <v>66.000375000000005</v>
      </c>
      <c r="AW27" s="377">
        <f>AR27*1.02</f>
        <v>264.00150000000002</v>
      </c>
      <c r="AX27" s="375">
        <f>BB27/4</f>
        <v>67.320382500000008</v>
      </c>
      <c r="AY27" s="375">
        <f>BB27/4</f>
        <v>67.320382500000008</v>
      </c>
      <c r="AZ27" s="375">
        <f>BB27/4</f>
        <v>67.320382500000008</v>
      </c>
      <c r="BA27" s="375">
        <f>BB27/4</f>
        <v>67.320382500000008</v>
      </c>
      <c r="BB27" s="377">
        <f>AW27*1.02</f>
        <v>269.28153000000003</v>
      </c>
      <c r="BC27" s="375">
        <f>BG27/4</f>
        <v>68.666790150000011</v>
      </c>
      <c r="BD27" s="375">
        <f>BG27/4</f>
        <v>68.666790150000011</v>
      </c>
      <c r="BE27" s="375">
        <f>BG27/4</f>
        <v>68.666790150000011</v>
      </c>
      <c r="BF27" s="375">
        <f>BG27/4</f>
        <v>68.666790150000011</v>
      </c>
      <c r="BG27" s="377">
        <f>BB27*1.02</f>
        <v>274.66716060000005</v>
      </c>
      <c r="BH27" s="375">
        <f>BL27/4</f>
        <v>70.040125953000015</v>
      </c>
      <c r="BI27" s="375">
        <f>BL27/4</f>
        <v>70.040125953000015</v>
      </c>
      <c r="BJ27" s="375">
        <f>BL27/4</f>
        <v>70.040125953000015</v>
      </c>
      <c r="BK27" s="375">
        <f>BL27/4</f>
        <v>70.040125953000015</v>
      </c>
      <c r="BL27" s="377">
        <f>BG27*1.02</f>
        <v>280.16050381200006</v>
      </c>
    </row>
    <row r="28" spans="1:64">
      <c r="A28" s="5" t="s">
        <v>1705</v>
      </c>
      <c r="J28" s="375">
        <f>J7*(1-J36)</f>
        <v>61.466999999999999</v>
      </c>
      <c r="K28" s="375">
        <f t="shared" ref="K28:M28" si="26">K7*(1-K36)</f>
        <v>61.554499999999997</v>
      </c>
      <c r="L28" s="375">
        <f t="shared" si="26"/>
        <v>64.798999999999992</v>
      </c>
      <c r="M28" s="375">
        <f t="shared" si="26"/>
        <v>64.933399999999992</v>
      </c>
      <c r="N28" s="375">
        <f>SUM(J28:M28)</f>
        <v>252.75389999999999</v>
      </c>
      <c r="O28" s="375">
        <f>O7*(1-O36)</f>
        <v>66.531499999999994</v>
      </c>
      <c r="P28" s="375">
        <f t="shared" ref="P28:R28" si="27">P7*(1-P36)</f>
        <v>66.808700000000002</v>
      </c>
      <c r="Q28" s="375">
        <f t="shared" si="27"/>
        <v>67.302899999999994</v>
      </c>
      <c r="R28" s="375">
        <f t="shared" si="27"/>
        <v>68.038599999999988</v>
      </c>
      <c r="S28" s="375">
        <f>SUM(O28:R28)</f>
        <v>268.68169999999998</v>
      </c>
      <c r="T28" s="375">
        <f>T7*(1-T36)</f>
        <v>68.039999999999992</v>
      </c>
      <c r="U28" s="375">
        <f t="shared" ref="U28:W28" si="28">U7*(1-U36)</f>
        <v>69.09</v>
      </c>
      <c r="V28" s="375">
        <f t="shared" si="28"/>
        <v>70.77</v>
      </c>
      <c r="W28" s="375">
        <f t="shared" si="28"/>
        <v>71.819999999999993</v>
      </c>
      <c r="X28" s="375">
        <f>SUM(T28:W28)</f>
        <v>279.71999999999997</v>
      </c>
      <c r="Y28" s="375">
        <f>Y7*(1-Y36)</f>
        <v>71.11999999999999</v>
      </c>
      <c r="Z28" s="375">
        <f t="shared" ref="Z28:AB28" si="29">Z7*(1-Z36)</f>
        <v>70.699999999999989</v>
      </c>
      <c r="AA28" s="375">
        <f t="shared" si="29"/>
        <v>71.19</v>
      </c>
      <c r="AB28" s="375">
        <f t="shared" si="29"/>
        <v>70.28</v>
      </c>
      <c r="AC28" s="375">
        <f>SUM(Y28:AB28)</f>
        <v>283.28999999999996</v>
      </c>
      <c r="AD28" s="375">
        <f>AD7*(1-AD36)</f>
        <v>69.86</v>
      </c>
      <c r="AE28" s="375">
        <f t="shared" ref="AE28:AG28" si="30">AE7*(1-AE36)</f>
        <v>69.3</v>
      </c>
      <c r="AF28" s="375">
        <f t="shared" si="30"/>
        <v>69.36999999999999</v>
      </c>
      <c r="AG28" s="375">
        <f t="shared" si="30"/>
        <v>69.23</v>
      </c>
      <c r="AH28" s="375">
        <f>SUM(AD28:AG28)</f>
        <v>277.76</v>
      </c>
      <c r="AI28" s="375">
        <f>AI7*(1-AI36)</f>
        <v>70.349999999999994</v>
      </c>
      <c r="AJ28" s="375">
        <f t="shared" ref="AJ28:AL28" si="31">AJ7*(1-AJ36)</f>
        <v>70.699999999999989</v>
      </c>
      <c r="AK28" s="375">
        <f t="shared" si="31"/>
        <v>70.77</v>
      </c>
      <c r="AL28" s="375">
        <f t="shared" si="31"/>
        <v>70.117176189375002</v>
      </c>
      <c r="AM28" s="375">
        <f>SUM(AI28:AL28)</f>
        <v>281.93717618937501</v>
      </c>
      <c r="AN28" s="375">
        <f>AN7*(1-AN36)</f>
        <v>70.412382770433766</v>
      </c>
      <c r="AO28" s="375">
        <f t="shared" ref="AO28:AQ28" si="32">AO7*(1-AO36)</f>
        <v>70.740553974960022</v>
      </c>
      <c r="AP28" s="375">
        <f t="shared" si="32"/>
        <v>70.849791829214993</v>
      </c>
      <c r="AQ28" s="375">
        <f t="shared" si="32"/>
        <v>70.191882060526467</v>
      </c>
      <c r="AR28" s="375">
        <f>SUM(AN28:AQ28)</f>
        <v>282.19461063513529</v>
      </c>
      <c r="AS28" s="375">
        <f>AS7*(1-AS36)</f>
        <v>70.954262118861919</v>
      </c>
      <c r="AT28" s="375">
        <f t="shared" ref="AT28:AV28" si="33">AT7*(1-AT36)</f>
        <v>71.252841899934737</v>
      </c>
      <c r="AU28" s="375">
        <f t="shared" si="33"/>
        <v>71.387893700275797</v>
      </c>
      <c r="AV28" s="375">
        <f t="shared" si="33"/>
        <v>70.723508744580698</v>
      </c>
      <c r="AW28" s="375">
        <f>SUM(AS28:AV28)</f>
        <v>284.31850646365319</v>
      </c>
      <c r="AX28" s="375">
        <f>AX7*(1-AX36)</f>
        <v>71.951494333306329</v>
      </c>
      <c r="AY28" s="375">
        <f t="shared" ref="AY28:BA28" si="34">AY7*(1-AY36)</f>
        <v>72.135922073100346</v>
      </c>
      <c r="AZ28" s="375">
        <f t="shared" si="34"/>
        <v>72.125978708458717</v>
      </c>
      <c r="BA28" s="375">
        <f t="shared" si="34"/>
        <v>71.298735464863583</v>
      </c>
      <c r="BB28" s="375">
        <f>SUM(AX28:BA28)</f>
        <v>287.51213057972899</v>
      </c>
      <c r="BC28" s="375">
        <f>BC7*(1-BC36)</f>
        <v>72.849254402834518</v>
      </c>
      <c r="BD28" s="375">
        <f t="shared" ref="BD28:BF28" si="35">BD7*(1-BD36)</f>
        <v>72.894930429711337</v>
      </c>
      <c r="BE28" s="375">
        <f t="shared" si="35"/>
        <v>72.88592398149504</v>
      </c>
      <c r="BF28" s="375">
        <f t="shared" si="35"/>
        <v>72.050661266269657</v>
      </c>
      <c r="BG28" s="375">
        <f>SUM(BC28:BF28)</f>
        <v>290.68077008031054</v>
      </c>
      <c r="BH28" s="375">
        <f>BH7*(1-BH36)</f>
        <v>73.563251622235342</v>
      </c>
      <c r="BI28" s="375">
        <f t="shared" ref="BI28:BK28" si="36">BI7*(1-BI36)</f>
        <v>73.552747033991537</v>
      </c>
      <c r="BJ28" s="375">
        <f t="shared" si="36"/>
        <v>73.544435174377838</v>
      </c>
      <c r="BK28" s="375">
        <f t="shared" si="36"/>
        <v>72.702035469201107</v>
      </c>
      <c r="BL28" s="375">
        <f>SUM(BH28:BK28)</f>
        <v>293.36246929980581</v>
      </c>
    </row>
    <row r="29" spans="1:64">
      <c r="A29" s="5" t="s">
        <v>1711</v>
      </c>
      <c r="J29" s="375">
        <f>J8*(1-J37)</f>
        <v>9.0152000000000001</v>
      </c>
      <c r="K29" s="375">
        <f>K8*(1-K37)</f>
        <v>13.900800000000002</v>
      </c>
      <c r="L29" s="375">
        <f>L8*(1-L37)</f>
        <v>13.581600000000002</v>
      </c>
      <c r="M29" s="375">
        <f>M8*(1-M37)</f>
        <v>25.288800000000002</v>
      </c>
      <c r="N29" s="375">
        <f>SUM(J29:M29)</f>
        <v>61.786400000000008</v>
      </c>
      <c r="O29" s="375">
        <f>O8*(1-O37)</f>
        <v>9.0152000000000001</v>
      </c>
      <c r="P29" s="375">
        <f>P8*(1-P37)</f>
        <v>13.900800000000002</v>
      </c>
      <c r="Q29" s="375">
        <f>Q8*(1-Q37)</f>
        <v>13.581600000000002</v>
      </c>
      <c r="R29" s="375">
        <f>R8*(1-R37)</f>
        <v>25.288800000000002</v>
      </c>
      <c r="S29" s="375">
        <f>SUM(O29:R29)</f>
        <v>61.786400000000008</v>
      </c>
      <c r="T29" s="375">
        <f>T8*(1-T37)</f>
        <v>15.12</v>
      </c>
      <c r="U29" s="375">
        <f>U8*(1-U37)</f>
        <v>22.880000000000003</v>
      </c>
      <c r="V29" s="375">
        <f>V8*(1-V37)</f>
        <v>22.96</v>
      </c>
      <c r="W29" s="375">
        <f>W8*(1-W37)</f>
        <v>43.84</v>
      </c>
      <c r="X29" s="375">
        <f>SUM(T29:W29)</f>
        <v>104.80000000000001</v>
      </c>
      <c r="Y29" s="375">
        <f>Y8*(1-Y37)</f>
        <v>19.840000000000003</v>
      </c>
      <c r="Z29" s="375">
        <f>Z8*(1-Z37)</f>
        <v>33.866999999999997</v>
      </c>
      <c r="AA29" s="375">
        <f>AA8*(1-AA37)</f>
        <v>44.476999999999997</v>
      </c>
      <c r="AB29" s="375">
        <f>AB8*(1-AB37)</f>
        <v>90.66749999999999</v>
      </c>
      <c r="AC29" s="375">
        <f>SUM(Y29:AB29)</f>
        <v>188.85149999999999</v>
      </c>
      <c r="AD29" s="375">
        <f>AD8*(1-AD37)</f>
        <v>43.865000000000002</v>
      </c>
      <c r="AE29" s="375">
        <f>AE8*(1-AE37)</f>
        <v>66.495000000000005</v>
      </c>
      <c r="AF29" s="375">
        <f>AF8*(1-AF37)</f>
        <v>80.057500000000005</v>
      </c>
      <c r="AG29" s="375">
        <f>AG8*(1-AG37)</f>
        <v>114.15750000000001</v>
      </c>
      <c r="AH29" s="375">
        <f>SUM(AD29:AG29)</f>
        <v>304.57500000000005</v>
      </c>
      <c r="AI29" s="375">
        <f>AI8*(1-AI37)</f>
        <v>41.052</v>
      </c>
      <c r="AJ29" s="375">
        <f>AJ8*(1-AJ37)</f>
        <v>59.436000000000007</v>
      </c>
      <c r="AK29" s="375">
        <f>AK8*(1-AK37)</f>
        <v>48.90625</v>
      </c>
      <c r="AL29" s="375">
        <f>AL8*(1-AL37)</f>
        <v>101.17668750000001</v>
      </c>
      <c r="AM29" s="375">
        <f>SUM(AI29:AL29)</f>
        <v>250.57093750000001</v>
      </c>
      <c r="AN29" s="375">
        <f>AN8*(1-AN37)</f>
        <v>40.540499999999994</v>
      </c>
      <c r="AO29" s="375">
        <f>AO8*(1-AO37)</f>
        <v>58.693050000000007</v>
      </c>
      <c r="AP29" s="375">
        <f>AP8*(1-AP37)</f>
        <v>48.29296875</v>
      </c>
      <c r="AQ29" s="375">
        <f>AQ8*(1-AQ37)</f>
        <v>99.903923437500012</v>
      </c>
      <c r="AR29" s="375">
        <f>SUM(AN29:AQ29)</f>
        <v>247.43044218750003</v>
      </c>
      <c r="AS29" s="375">
        <f>AS8*(1-AS37)</f>
        <v>41.183999999999997</v>
      </c>
      <c r="AT29" s="375">
        <f>AT8*(1-AT37)</f>
        <v>59.436000000000007</v>
      </c>
      <c r="AU29" s="375">
        <f>AU8*(1-AU37)</f>
        <v>48.75</v>
      </c>
      <c r="AV29" s="375">
        <f>AV8*(1-AV37)</f>
        <v>100.53225000000002</v>
      </c>
      <c r="AW29" s="375">
        <f>SUM(AS29:AV29)</f>
        <v>249.90225000000004</v>
      </c>
      <c r="AX29" s="375">
        <f>AX8*(1-AX37)</f>
        <v>41.595840000000003</v>
      </c>
      <c r="AY29" s="375">
        <f>AY8*(1-AY37)</f>
        <v>60.030360000000009</v>
      </c>
      <c r="AZ29" s="375">
        <f>AZ8*(1-AZ37)</f>
        <v>49.237500000000004</v>
      </c>
      <c r="BA29" s="375">
        <f>BA8*(1-BA37)</f>
        <v>101.53757250000001</v>
      </c>
      <c r="BB29" s="375">
        <f>SUM(AX29:BA29)</f>
        <v>252.40127250000003</v>
      </c>
      <c r="BC29" s="375">
        <f>BC8*(1-BC37)</f>
        <v>42.011798400000004</v>
      </c>
      <c r="BD29" s="375">
        <f>BD8*(1-BD37)</f>
        <v>60.630663600000005</v>
      </c>
      <c r="BE29" s="375">
        <f>BE8*(1-BE37)</f>
        <v>49.729875</v>
      </c>
      <c r="BF29" s="375">
        <f>BF8*(1-BF37)</f>
        <v>102.55294822500001</v>
      </c>
      <c r="BG29" s="375">
        <f>SUM(BC29:BF29)</f>
        <v>254.92528522500004</v>
      </c>
      <c r="BH29" s="375">
        <f>BH8*(1-BH37)</f>
        <v>42.431916384000004</v>
      </c>
      <c r="BI29" s="375">
        <f>BI8*(1-BI37)</f>
        <v>61.236970236000005</v>
      </c>
      <c r="BJ29" s="375">
        <f>BJ8*(1-BJ37)</f>
        <v>50.227173749999999</v>
      </c>
      <c r="BK29" s="375">
        <f>BK8*(1-BK37)</f>
        <v>103.57847770725</v>
      </c>
      <c r="BL29" s="375">
        <f>SUM(BH29:BK29)</f>
        <v>257.47453807725003</v>
      </c>
    </row>
    <row r="30" spans="1:64">
      <c r="A30" s="5" t="s">
        <v>192</v>
      </c>
      <c r="J30" s="375">
        <f>J12*(1-J38)</f>
        <v>128.97674999999992</v>
      </c>
      <c r="K30" s="375">
        <f>K12*(1-K38)</f>
        <v>136.40195</v>
      </c>
      <c r="L30" s="375">
        <f>L12*(1-L38)</f>
        <v>192.53365000000002</v>
      </c>
      <c r="M30" s="375">
        <f>M12*(1-M38)</f>
        <v>124.93734999999992</v>
      </c>
      <c r="N30" s="375">
        <f>SUM(J30:M30)</f>
        <v>582.84969999999987</v>
      </c>
      <c r="O30" s="375">
        <f>O12*(1-O38)</f>
        <v>122.00469999999999</v>
      </c>
      <c r="P30" s="375">
        <f>P12*(1-P38)</f>
        <v>133.29070000000002</v>
      </c>
      <c r="Q30" s="375">
        <f>Q12*(1-Q38)</f>
        <v>152.28689999999997</v>
      </c>
      <c r="R30" s="375">
        <f>R12*(1-R38)</f>
        <v>123.30239999999999</v>
      </c>
      <c r="S30" s="375">
        <f>SUM(O30:R30)</f>
        <v>530.88469999999995</v>
      </c>
      <c r="T30" s="375">
        <f>T12*(1-T38)</f>
        <v>92.53</v>
      </c>
      <c r="U30" s="375">
        <f>U12*(1-U38)</f>
        <v>108.3</v>
      </c>
      <c r="V30" s="375">
        <f>V12*(1-V38)</f>
        <v>183.44499999999999</v>
      </c>
      <c r="W30" s="375">
        <f>W12*(1-W38)</f>
        <v>149.91</v>
      </c>
      <c r="X30" s="375">
        <f>SUM(T30:W30)</f>
        <v>534.18499999999995</v>
      </c>
      <c r="Y30" s="375">
        <f>Y12*(1-Y38)</f>
        <v>150.76499999999999</v>
      </c>
      <c r="Z30" s="375">
        <f>Z12*(1-Z38)</f>
        <v>131.005</v>
      </c>
      <c r="AA30" s="375">
        <f>AA12*(1-AA38)</f>
        <v>163.49499999999998</v>
      </c>
      <c r="AB30" s="375">
        <f>AB12*(1-AB38)</f>
        <v>154.08999999999997</v>
      </c>
      <c r="AC30" s="375">
        <f>SUM(Y30:AB30)</f>
        <v>599.35500000000002</v>
      </c>
      <c r="AD30" s="375">
        <f>AD12*(1-AD38)</f>
        <v>114.47499999999999</v>
      </c>
      <c r="AE30" s="375">
        <f>AE12*(1-AE38)</f>
        <v>133.76</v>
      </c>
      <c r="AF30" s="375">
        <f>AF12*(1-AF38)</f>
        <v>159.125</v>
      </c>
      <c r="AG30" s="375">
        <f>AG12*(1-AG38)</f>
        <v>143.35499999999999</v>
      </c>
      <c r="AH30" s="375">
        <f>SUM(AD30:AG30)</f>
        <v>550.71500000000003</v>
      </c>
      <c r="AI30" s="375">
        <f>AI12*(1-AI38)</f>
        <v>124.26</v>
      </c>
      <c r="AJ30" s="375">
        <f>AJ12*(1-AJ38)</f>
        <v>135.185</v>
      </c>
      <c r="AK30" s="375">
        <f>AK12*(1-AK38)</f>
        <v>192.85</v>
      </c>
      <c r="AL30" s="375">
        <f>AL12*(1-AL38)</f>
        <v>144.78855000000001</v>
      </c>
      <c r="AM30" s="375">
        <f>SUM(AI30:AL30)</f>
        <v>597.08354999999995</v>
      </c>
      <c r="AN30" s="375">
        <f>AN12*(1-AN38)</f>
        <v>124.8813</v>
      </c>
      <c r="AO30" s="375">
        <f>AO12*(1-AO38)</f>
        <v>135.86092499999998</v>
      </c>
      <c r="AP30" s="375">
        <f>AP12*(1-AP38)</f>
        <v>193.81424999999999</v>
      </c>
      <c r="AQ30" s="375">
        <f>AQ12*(1-AQ38)</f>
        <v>145.51249274999998</v>
      </c>
      <c r="AR30" s="375">
        <f>SUM(AN30:AQ30)</f>
        <v>600.06896774999996</v>
      </c>
      <c r="AS30" s="375">
        <f>AS12*(1-AS38)</f>
        <v>125.19350324999999</v>
      </c>
      <c r="AT30" s="375">
        <f>AT12*(1-AT38)</f>
        <v>136.20057731249997</v>
      </c>
      <c r="AU30" s="375">
        <f>AU12*(1-AU38)</f>
        <v>194.29878562499997</v>
      </c>
      <c r="AV30" s="375">
        <f>AV12*(1-AV38)</f>
        <v>145.87627398187499</v>
      </c>
      <c r="AW30" s="375">
        <f>SUM(AS30:AV30)</f>
        <v>601.56914016937492</v>
      </c>
      <c r="AX30" s="375">
        <f>AX12*(1-AX38)</f>
        <v>125.50648700812499</v>
      </c>
      <c r="AY30" s="375">
        <f>AY12*(1-AY38)</f>
        <v>136.54107875578123</v>
      </c>
      <c r="AZ30" s="375">
        <f>AZ12*(1-AZ38)</f>
        <v>194.78453258906245</v>
      </c>
      <c r="BA30" s="375">
        <f>BA12*(1-BA38)</f>
        <v>146.24096466682965</v>
      </c>
      <c r="BB30" s="375">
        <f>SUM(AX30:BA30)</f>
        <v>603.07306301979838</v>
      </c>
      <c r="BC30" s="375">
        <f>BC12*(1-BC38)</f>
        <v>125.8202532256453</v>
      </c>
      <c r="BD30" s="375">
        <f>BD12*(1-BD38)</f>
        <v>136.88243145267069</v>
      </c>
      <c r="BE30" s="375">
        <f>BE12*(1-BE38)</f>
        <v>195.27149392053508</v>
      </c>
      <c r="BF30" s="375">
        <f>BF12*(1-BF38)</f>
        <v>146.60656707849674</v>
      </c>
      <c r="BG30" s="375">
        <f>SUM(BC30:BF30)</f>
        <v>604.58074567734786</v>
      </c>
      <c r="BH30" s="375">
        <f>BH12*(1-BH38)</f>
        <v>126.13480385870942</v>
      </c>
      <c r="BI30" s="375">
        <f>BI12*(1-BI38)</f>
        <v>137.22463753130233</v>
      </c>
      <c r="BJ30" s="375">
        <f>BJ12*(1-BJ38)</f>
        <v>195.75967265533643</v>
      </c>
      <c r="BK30" s="375">
        <f>BK12*(1-BK38)</f>
        <v>146.97308349619297</v>
      </c>
      <c r="BL30" s="375">
        <f>SUM(BH30:BK30)</f>
        <v>606.09219754154117</v>
      </c>
    </row>
    <row r="31" spans="1:64">
      <c r="A31" s="9" t="s">
        <v>1714</v>
      </c>
      <c r="B31" s="9"/>
      <c r="C31" s="9"/>
      <c r="D31" s="9"/>
      <c r="E31" s="9"/>
      <c r="F31" s="9"/>
      <c r="G31" s="9"/>
      <c r="H31" s="9"/>
      <c r="I31" s="9"/>
      <c r="J31" s="378">
        <f>SUM(J27:J30)</f>
        <v>260.72442010633142</v>
      </c>
      <c r="K31" s="378">
        <f t="shared" ref="K31:N31" si="37">SUM(K27:K30)</f>
        <v>273.12272010633149</v>
      </c>
      <c r="L31" s="378">
        <f t="shared" si="37"/>
        <v>332.1797201063315</v>
      </c>
      <c r="M31" s="378">
        <f t="shared" si="37"/>
        <v>276.42502010633137</v>
      </c>
      <c r="N31" s="378">
        <f t="shared" si="37"/>
        <v>1142.4518804253257</v>
      </c>
      <c r="O31" s="378">
        <f>SUM(O27:O30)</f>
        <v>259.12319745686307</v>
      </c>
      <c r="P31" s="378">
        <f t="shared" ref="P31:S31" si="38">SUM(P27:P30)</f>
        <v>275.57199745686313</v>
      </c>
      <c r="Q31" s="378">
        <f t="shared" si="38"/>
        <v>294.74319745686307</v>
      </c>
      <c r="R31" s="378">
        <f t="shared" si="38"/>
        <v>278.20159745686311</v>
      </c>
      <c r="S31" s="378">
        <f t="shared" si="38"/>
        <v>1107.6399898274524</v>
      </c>
      <c r="T31" s="378">
        <f>SUM(T27:T30)</f>
        <v>237.56965644414743</v>
      </c>
      <c r="U31" s="378">
        <f t="shared" ref="U31:X31" si="39">SUM(U27:U30)</f>
        <v>262.14965644414741</v>
      </c>
      <c r="V31" s="378">
        <f t="shared" si="39"/>
        <v>339.05465644414744</v>
      </c>
      <c r="W31" s="378">
        <f t="shared" si="39"/>
        <v>327.44965644414742</v>
      </c>
      <c r="X31" s="378">
        <f t="shared" si="39"/>
        <v>1166.2236257765896</v>
      </c>
      <c r="Y31" s="378">
        <f>SUM(Y27:Y30)</f>
        <v>303.91405472636814</v>
      </c>
      <c r="Z31" s="378">
        <f t="shared" ref="Z31:AC31" si="40">SUM(Z27:Z30)</f>
        <v>297.76105472636812</v>
      </c>
      <c r="AA31" s="378">
        <f t="shared" si="40"/>
        <v>341.35105472636815</v>
      </c>
      <c r="AB31" s="378">
        <f t="shared" si="40"/>
        <v>377.22655472636814</v>
      </c>
      <c r="AC31" s="378">
        <f t="shared" si="40"/>
        <v>1320.2527189054726</v>
      </c>
      <c r="AD31" s="378">
        <f>SUM(AD27:AD30)</f>
        <v>290.70000000000005</v>
      </c>
      <c r="AE31" s="378">
        <f t="shared" ref="AE31:AH31" si="41">SUM(AE27:AE30)</f>
        <v>332.05500000000001</v>
      </c>
      <c r="AF31" s="378">
        <f t="shared" si="41"/>
        <v>371.05250000000001</v>
      </c>
      <c r="AG31" s="378">
        <f t="shared" si="41"/>
        <v>389.24250000000006</v>
      </c>
      <c r="AH31" s="378">
        <f t="shared" si="41"/>
        <v>1383.0500000000002</v>
      </c>
      <c r="AI31" s="378">
        <f>SUM(AI27:AI30)</f>
        <v>299.09949999999998</v>
      </c>
      <c r="AJ31" s="378">
        <f t="shared" ref="AJ31:AM31" si="42">SUM(AJ27:AJ30)</f>
        <v>328.75850000000003</v>
      </c>
      <c r="AK31" s="378">
        <f t="shared" si="42"/>
        <v>375.96375</v>
      </c>
      <c r="AL31" s="378">
        <f t="shared" si="42"/>
        <v>379.51991368937502</v>
      </c>
      <c r="AM31" s="378">
        <f t="shared" si="42"/>
        <v>1383.3416636893749</v>
      </c>
      <c r="AN31" s="378">
        <f>SUM(AN27:AN30)</f>
        <v>300.54043277043377</v>
      </c>
      <c r="AO31" s="378">
        <f t="shared" ref="AO31:AR31" si="43">SUM(AO27:AO30)</f>
        <v>330.00077897495999</v>
      </c>
      <c r="AP31" s="378">
        <f t="shared" si="43"/>
        <v>377.66326057921498</v>
      </c>
      <c r="AQ31" s="378">
        <f t="shared" si="43"/>
        <v>380.31454824802643</v>
      </c>
      <c r="AR31" s="378">
        <f t="shared" si="43"/>
        <v>1388.5190205726353</v>
      </c>
      <c r="AS31" s="378">
        <f>SUM(AS27:AS30)</f>
        <v>303.33214036886193</v>
      </c>
      <c r="AT31" s="378">
        <f t="shared" ref="AT31:AW31" si="44">SUM(AT27:AT30)</f>
        <v>332.88979421243471</v>
      </c>
      <c r="AU31" s="378">
        <f t="shared" si="44"/>
        <v>380.43705432527577</v>
      </c>
      <c r="AV31" s="378">
        <f t="shared" si="44"/>
        <v>383.13240772645571</v>
      </c>
      <c r="AW31" s="378">
        <f t="shared" si="44"/>
        <v>1399.7913966330284</v>
      </c>
      <c r="AX31" s="378">
        <f>SUM(AX27:AX30)</f>
        <v>306.37420384143138</v>
      </c>
      <c r="AY31" s="378">
        <f t="shared" ref="AY31:BB31" si="45">SUM(AY27:AY30)</f>
        <v>336.02774332888157</v>
      </c>
      <c r="AZ31" s="378">
        <f t="shared" si="45"/>
        <v>383.46839379752117</v>
      </c>
      <c r="BA31" s="378">
        <f t="shared" si="45"/>
        <v>386.39765513169323</v>
      </c>
      <c r="BB31" s="378">
        <f t="shared" si="45"/>
        <v>1412.2679960995274</v>
      </c>
      <c r="BC31" s="378">
        <f>SUM(BC27:BC30)</f>
        <v>309.34809617847986</v>
      </c>
      <c r="BD31" s="378">
        <f t="shared" ref="BD31:BG31" si="46">SUM(BD27:BD30)</f>
        <v>339.07481563238201</v>
      </c>
      <c r="BE31" s="378">
        <f t="shared" si="46"/>
        <v>386.55408305203014</v>
      </c>
      <c r="BF31" s="378">
        <f t="shared" si="46"/>
        <v>389.87696671976641</v>
      </c>
      <c r="BG31" s="378">
        <f t="shared" si="46"/>
        <v>1424.8539615826585</v>
      </c>
      <c r="BH31" s="378">
        <f>SUM(BH27:BH30)</f>
        <v>312.17009781794479</v>
      </c>
      <c r="BI31" s="378">
        <f t="shared" ref="BI31:BL31" si="47">SUM(BI27:BI30)</f>
        <v>342.05448075429388</v>
      </c>
      <c r="BJ31" s="378">
        <f t="shared" si="47"/>
        <v>389.57140753271426</v>
      </c>
      <c r="BK31" s="378">
        <f t="shared" si="47"/>
        <v>393.29372262564414</v>
      </c>
      <c r="BL31" s="378">
        <f t="shared" si="47"/>
        <v>1437.0897087305971</v>
      </c>
    </row>
    <row r="32" spans="1:64">
      <c r="A32" s="1" t="s">
        <v>1715</v>
      </c>
      <c r="J32" s="21"/>
      <c r="K32" s="21"/>
      <c r="L32" s="21"/>
      <c r="M32" s="21"/>
      <c r="N32" s="21"/>
      <c r="O32" s="21">
        <f t="shared" ref="O32:BL32" si="48">O31/O13</f>
        <v>0.39376236184123742</v>
      </c>
      <c r="P32" s="21">
        <f t="shared" si="48"/>
        <v>0.40646156284844509</v>
      </c>
      <c r="Q32" s="21">
        <f t="shared" si="48"/>
        <v>0.421151355726952</v>
      </c>
      <c r="R32" s="21">
        <f t="shared" si="48"/>
        <v>0.42101490562307897</v>
      </c>
      <c r="S32" s="21">
        <f t="shared" si="48"/>
        <v>0.41074102772307364</v>
      </c>
      <c r="T32" s="21">
        <f t="shared" si="48"/>
        <v>0.37980760422725407</v>
      </c>
      <c r="U32" s="21">
        <f t="shared" si="48"/>
        <v>0.38791011607598014</v>
      </c>
      <c r="V32" s="21">
        <f t="shared" si="48"/>
        <v>0.45627056445181996</v>
      </c>
      <c r="W32" s="21">
        <f t="shared" si="48"/>
        <v>0.45103258463381185</v>
      </c>
      <c r="X32" s="21">
        <f t="shared" si="48"/>
        <v>0.42095857124479852</v>
      </c>
      <c r="Y32" s="21">
        <f t="shared" si="48"/>
        <v>0.43842189083434524</v>
      </c>
      <c r="Z32" s="21">
        <f t="shared" si="48"/>
        <v>0.43449738030989077</v>
      </c>
      <c r="AA32" s="21">
        <f t="shared" si="48"/>
        <v>0.46760418455666869</v>
      </c>
      <c r="AB32" s="21">
        <f t="shared" si="48"/>
        <v>0.48712106757020673</v>
      </c>
      <c r="AC32" s="21">
        <f t="shared" si="48"/>
        <v>0.45795994273317581</v>
      </c>
      <c r="AD32" s="21">
        <f t="shared" si="48"/>
        <v>0.43563614566162157</v>
      </c>
      <c r="AE32" s="21">
        <f t="shared" si="48"/>
        <v>0.46240774265422652</v>
      </c>
      <c r="AF32" s="21">
        <f t="shared" si="48"/>
        <v>0.49993600107787667</v>
      </c>
      <c r="AG32" s="21">
        <f t="shared" si="48"/>
        <v>0.51527998411437659</v>
      </c>
      <c r="AH32" s="21">
        <f t="shared" si="48"/>
        <v>0.47972597988206733</v>
      </c>
      <c r="AI32" s="21">
        <f t="shared" si="48"/>
        <v>0.44728503065649761</v>
      </c>
      <c r="AJ32" s="21">
        <f t="shared" si="48"/>
        <v>0.46206394940267043</v>
      </c>
      <c r="AK32" s="21">
        <f t="shared" si="48"/>
        <v>0.50709974372808198</v>
      </c>
      <c r="AL32" s="21">
        <f t="shared" si="48"/>
        <v>0.5112349961568855</v>
      </c>
      <c r="AM32" s="21">
        <f t="shared" si="48"/>
        <v>0.48301726778887394</v>
      </c>
      <c r="AN32" s="21">
        <f t="shared" si="48"/>
        <v>0.45070890201825775</v>
      </c>
      <c r="AO32" s="21">
        <f t="shared" si="48"/>
        <v>0.46604654541000157</v>
      </c>
      <c r="AP32" s="21">
        <f t="shared" si="48"/>
        <v>0.51132737001680928</v>
      </c>
      <c r="AQ32" s="21">
        <f t="shared" si="48"/>
        <v>0.51600281309710638</v>
      </c>
      <c r="AR32" s="21">
        <f t="shared" si="48"/>
        <v>0.48710801720346397</v>
      </c>
      <c r="AS32" s="21">
        <f t="shared" si="48"/>
        <v>0.45590838478104856</v>
      </c>
      <c r="AT32" s="21">
        <f t="shared" si="48"/>
        <v>0.47172465106988754</v>
      </c>
      <c r="AU32" s="21">
        <f t="shared" si="48"/>
        <v>0.51666244768130409</v>
      </c>
      <c r="AV32" s="21">
        <f t="shared" si="48"/>
        <v>0.52187580844996129</v>
      </c>
      <c r="AW32" s="21">
        <f t="shared" si="48"/>
        <v>0.49262358815815577</v>
      </c>
      <c r="AX32" s="21">
        <f t="shared" si="48"/>
        <v>0.46095595977489695</v>
      </c>
      <c r="AY32" s="21">
        <f t="shared" si="48"/>
        <v>0.4769874700072157</v>
      </c>
      <c r="AZ32" s="21">
        <f t="shared" si="48"/>
        <v>0.52168834378802076</v>
      </c>
      <c r="BA32" s="21">
        <f t="shared" si="48"/>
        <v>0.52720355151383802</v>
      </c>
      <c r="BB32" s="21">
        <f t="shared" si="48"/>
        <v>0.49778563635187495</v>
      </c>
      <c r="BC32" s="21">
        <f t="shared" si="48"/>
        <v>0.46586017165986188</v>
      </c>
      <c r="BD32" s="21">
        <f t="shared" si="48"/>
        <v>0.48199145942702987</v>
      </c>
      <c r="BE32" s="21">
        <f t="shared" si="48"/>
        <v>0.52640512935741413</v>
      </c>
      <c r="BF32" s="21">
        <f t="shared" si="48"/>
        <v>0.53214236750114408</v>
      </c>
      <c r="BG32" s="21">
        <f t="shared" si="48"/>
        <v>0.50268139815054136</v>
      </c>
      <c r="BH32" s="21">
        <f t="shared" si="48"/>
        <v>0.4715860661124156</v>
      </c>
      <c r="BI32" s="21">
        <f t="shared" si="48"/>
        <v>0.48777443463722708</v>
      </c>
      <c r="BJ32" s="21">
        <f t="shared" si="48"/>
        <v>0.53187035804608473</v>
      </c>
      <c r="BK32" s="21">
        <f t="shared" si="48"/>
        <v>0.5377323904321506</v>
      </c>
      <c r="BL32" s="21">
        <f t="shared" si="48"/>
        <v>0.50833330102263763</v>
      </c>
    </row>
    <row r="34" spans="1:64">
      <c r="A34" s="3" t="s">
        <v>1716</v>
      </c>
    </row>
    <row r="35" spans="1:64">
      <c r="A35" s="5" t="s">
        <v>1717</v>
      </c>
      <c r="J35" s="21">
        <f t="shared" ref="J35:BL35" si="49">(J6-J27)/J6</f>
        <v>0.84701264266350162</v>
      </c>
      <c r="K35" s="21">
        <f t="shared" si="49"/>
        <v>0.8486670747968168</v>
      </c>
      <c r="L35" s="21">
        <f t="shared" si="49"/>
        <v>0.85011615790873352</v>
      </c>
      <c r="M35" s="21">
        <f t="shared" si="49"/>
        <v>0.8522252986554536</v>
      </c>
      <c r="N35" s="21">
        <f t="shared" si="49"/>
        <v>0.84952974234617484</v>
      </c>
      <c r="O35" s="21">
        <f t="shared" si="49"/>
        <v>0.85455366391027543</v>
      </c>
      <c r="P35" s="21">
        <f t="shared" si="49"/>
        <v>0.85507573770612766</v>
      </c>
      <c r="Q35" s="21">
        <f t="shared" si="49"/>
        <v>0.85560931592457501</v>
      </c>
      <c r="R35" s="21">
        <f t="shared" si="49"/>
        <v>0.84690753938624785</v>
      </c>
      <c r="S35" s="21">
        <f t="shared" si="49"/>
        <v>0.85312044938805798</v>
      </c>
      <c r="T35" s="21">
        <f t="shared" si="49"/>
        <v>0.84980665911614706</v>
      </c>
      <c r="U35" s="21">
        <f t="shared" si="49"/>
        <v>0.85758421992140987</v>
      </c>
      <c r="V35" s="21">
        <f t="shared" si="49"/>
        <v>0.85273760960459921</v>
      </c>
      <c r="W35" s="21">
        <f t="shared" si="49"/>
        <v>0.84936792491687574</v>
      </c>
      <c r="X35" s="21">
        <f t="shared" si="49"/>
        <v>0.85244791309890333</v>
      </c>
      <c r="Y35" s="21">
        <f t="shared" si="49"/>
        <v>0.84761319596577267</v>
      </c>
      <c r="Z35" s="21">
        <f t="shared" si="49"/>
        <v>0.84599045387229277</v>
      </c>
      <c r="AA35" s="21">
        <f t="shared" si="49"/>
        <v>0.84448848530540588</v>
      </c>
      <c r="AB35" s="21">
        <f t="shared" si="49"/>
        <v>0.84307581446790769</v>
      </c>
      <c r="AC35" s="21">
        <f t="shared" si="49"/>
        <v>0.84531047888472566</v>
      </c>
      <c r="AD35" s="21">
        <f t="shared" si="49"/>
        <v>0.83990778688524592</v>
      </c>
      <c r="AE35" s="21">
        <f t="shared" si="49"/>
        <v>0.84076433121019112</v>
      </c>
      <c r="AF35" s="21">
        <f t="shared" si="49"/>
        <v>0.83212463067418752</v>
      </c>
      <c r="AG35" s="21">
        <f t="shared" si="49"/>
        <v>0.82556516885291653</v>
      </c>
      <c r="AH35" s="21">
        <f t="shared" si="49"/>
        <v>0.83481995374958706</v>
      </c>
      <c r="AI35" s="21">
        <f t="shared" si="49"/>
        <v>0.8350559022360895</v>
      </c>
      <c r="AJ35" s="21">
        <f t="shared" si="49"/>
        <v>0.8381696428571429</v>
      </c>
      <c r="AK35" s="21">
        <f t="shared" si="49"/>
        <v>0.83074306296691569</v>
      </c>
      <c r="AL35" s="21">
        <f t="shared" si="49"/>
        <v>0.82422179045286736</v>
      </c>
      <c r="AM35" s="21">
        <f t="shared" si="49"/>
        <v>0.83220867755130723</v>
      </c>
      <c r="AN35" s="21">
        <f t="shared" si="49"/>
        <v>0.83149740792419868</v>
      </c>
      <c r="AO35" s="21">
        <f t="shared" si="49"/>
        <v>0.83427255313632032</v>
      </c>
      <c r="AP35" s="21">
        <f t="shared" si="49"/>
        <v>0.82659230725897281</v>
      </c>
      <c r="AQ35" s="21">
        <f t="shared" si="49"/>
        <v>0.81957901131178323</v>
      </c>
      <c r="AR35" s="21">
        <f t="shared" si="49"/>
        <v>0.82816378092305609</v>
      </c>
      <c r="AS35" s="21">
        <f t="shared" si="49"/>
        <v>0.8272863260214115</v>
      </c>
      <c r="AT35" s="21">
        <f t="shared" si="49"/>
        <v>0.82974961205227216</v>
      </c>
      <c r="AU35" s="21">
        <f t="shared" si="49"/>
        <v>0.82177808338696112</v>
      </c>
      <c r="AV35" s="21">
        <f t="shared" si="49"/>
        <v>0.8142482375710739</v>
      </c>
      <c r="AW35" s="21">
        <f t="shared" si="49"/>
        <v>0.8234630218235286</v>
      </c>
      <c r="AX35" s="21">
        <f t="shared" si="49"/>
        <v>0.82279972174062943</v>
      </c>
      <c r="AY35" s="21">
        <f t="shared" si="49"/>
        <v>0.82506206490498446</v>
      </c>
      <c r="AZ35" s="21">
        <f t="shared" si="49"/>
        <v>0.81686208885425771</v>
      </c>
      <c r="BA35" s="21">
        <f t="shared" si="49"/>
        <v>0.80893398704529751</v>
      </c>
      <c r="BB35" s="21">
        <f t="shared" si="49"/>
        <v>0.81862539545339652</v>
      </c>
      <c r="BC35" s="21">
        <f t="shared" si="49"/>
        <v>0.81829362365175229</v>
      </c>
      <c r="BD35" s="21">
        <f t="shared" si="49"/>
        <v>0.82041753601721934</v>
      </c>
      <c r="BE35" s="21">
        <f t="shared" si="49"/>
        <v>0.81207074200207296</v>
      </c>
      <c r="BF35" s="21">
        <f t="shared" si="49"/>
        <v>0.80384903244172956</v>
      </c>
      <c r="BG35" s="21">
        <f t="shared" si="49"/>
        <v>0.81387663134776533</v>
      </c>
      <c r="BH35" s="21">
        <f t="shared" si="49"/>
        <v>0.81306577749909947</v>
      </c>
      <c r="BI35" s="21">
        <f t="shared" si="49"/>
        <v>0.81510495597405463</v>
      </c>
      <c r="BJ35" s="21">
        <f t="shared" si="49"/>
        <v>0.80660884204560401</v>
      </c>
      <c r="BK35" s="21">
        <f t="shared" si="49"/>
        <v>0.79811613349873345</v>
      </c>
      <c r="BL35" s="21">
        <f t="shared" si="49"/>
        <v>0.80844892615629238</v>
      </c>
    </row>
    <row r="36" spans="1:64">
      <c r="A36" s="5" t="s">
        <v>1718</v>
      </c>
      <c r="J36" s="261">
        <v>0.3</v>
      </c>
      <c r="K36" s="261">
        <v>0.3</v>
      </c>
      <c r="L36" s="261">
        <v>0.3</v>
      </c>
      <c r="M36" s="261">
        <v>0.3</v>
      </c>
      <c r="N36" s="21">
        <f>(N7-N28)/N7</f>
        <v>0.30000000000000004</v>
      </c>
      <c r="O36" s="261">
        <v>0.3</v>
      </c>
      <c r="P36" s="261">
        <v>0.3</v>
      </c>
      <c r="Q36" s="261">
        <v>0.3</v>
      </c>
      <c r="R36" s="261">
        <v>0.3</v>
      </c>
      <c r="S36" s="21">
        <f>(S7-S28)/S7</f>
        <v>0.3</v>
      </c>
      <c r="T36" s="261">
        <v>0.3</v>
      </c>
      <c r="U36" s="261">
        <v>0.3</v>
      </c>
      <c r="V36" s="261">
        <v>0.3</v>
      </c>
      <c r="W36" s="261">
        <v>0.3</v>
      </c>
      <c r="X36" s="21">
        <f>(X7-X28)/X7</f>
        <v>0.3000000000000001</v>
      </c>
      <c r="Y36" s="261">
        <v>0.3</v>
      </c>
      <c r="Z36" s="261">
        <v>0.3</v>
      </c>
      <c r="AA36" s="261">
        <v>0.3</v>
      </c>
      <c r="AB36" s="261">
        <v>0.3</v>
      </c>
      <c r="AC36" s="21">
        <f>(AC7-AC28)/AC7</f>
        <v>0.30000000000000016</v>
      </c>
      <c r="AD36" s="261">
        <v>0.3</v>
      </c>
      <c r="AE36" s="261">
        <v>0.3</v>
      </c>
      <c r="AF36" s="261">
        <v>0.3</v>
      </c>
      <c r="AG36" s="261">
        <v>0.3</v>
      </c>
      <c r="AH36" s="21">
        <f>(AH7-AH28)/AH7</f>
        <v>0.29999999999999993</v>
      </c>
      <c r="AI36" s="261">
        <v>0.3</v>
      </c>
      <c r="AJ36" s="261">
        <v>0.3</v>
      </c>
      <c r="AK36" s="261">
        <v>0.3</v>
      </c>
      <c r="AL36" s="261">
        <v>0.3</v>
      </c>
      <c r="AM36" s="21">
        <f>(AM7-AM28)/AM7</f>
        <v>0.30000000000000004</v>
      </c>
      <c r="AN36" s="261">
        <f>AI36-0.5%</f>
        <v>0.29499999999999998</v>
      </c>
      <c r="AO36" s="261">
        <f>AJ36-0.5%</f>
        <v>0.29499999999999998</v>
      </c>
      <c r="AP36" s="261">
        <f>AK36-0.5%</f>
        <v>0.29499999999999998</v>
      </c>
      <c r="AQ36" s="261">
        <f>AL36-0.5%</f>
        <v>0.29499999999999998</v>
      </c>
      <c r="AR36" s="21">
        <f>(AR7-AR28)/AR7</f>
        <v>0.29499999999999987</v>
      </c>
      <c r="AS36" s="261">
        <f>AN36-0.5%</f>
        <v>0.28999999999999998</v>
      </c>
      <c r="AT36" s="261">
        <f>AO36-0.5%</f>
        <v>0.28999999999999998</v>
      </c>
      <c r="AU36" s="261">
        <f>AP36-0.5%</f>
        <v>0.28999999999999998</v>
      </c>
      <c r="AV36" s="261">
        <f>AQ36-0.5%</f>
        <v>0.28999999999999998</v>
      </c>
      <c r="AW36" s="21">
        <f>(AW7-AW28)/AW7</f>
        <v>0.28999999999999998</v>
      </c>
      <c r="AX36" s="261">
        <f>AS36-0.5%</f>
        <v>0.28499999999999998</v>
      </c>
      <c r="AY36" s="261">
        <f>AT36-0.5%</f>
        <v>0.28499999999999998</v>
      </c>
      <c r="AZ36" s="261">
        <f>AU36-0.5%</f>
        <v>0.28499999999999998</v>
      </c>
      <c r="BA36" s="261">
        <f>AV36-0.5%</f>
        <v>0.28499999999999998</v>
      </c>
      <c r="BB36" s="21">
        <f>(BB7-BB28)/BB7</f>
        <v>0.28499999999999981</v>
      </c>
      <c r="BC36" s="261">
        <f>AX36-0.5%</f>
        <v>0.27999999999999997</v>
      </c>
      <c r="BD36" s="261">
        <f>AY36-0.5%</f>
        <v>0.27999999999999997</v>
      </c>
      <c r="BE36" s="261">
        <f>AZ36-0.5%</f>
        <v>0.27999999999999997</v>
      </c>
      <c r="BF36" s="261">
        <f>BA36-0.5%</f>
        <v>0.27999999999999997</v>
      </c>
      <c r="BG36" s="21">
        <f>(BG7-BG28)/BG7</f>
        <v>0.28000000000000003</v>
      </c>
      <c r="BH36" s="261">
        <f>BC36-0.5%</f>
        <v>0.27499999999999997</v>
      </c>
      <c r="BI36" s="261">
        <f>BD36-0.5%</f>
        <v>0.27499999999999997</v>
      </c>
      <c r="BJ36" s="261">
        <f>BE36-0.5%</f>
        <v>0.27499999999999997</v>
      </c>
      <c r="BK36" s="261">
        <f>BF36-0.5%</f>
        <v>0.27499999999999997</v>
      </c>
      <c r="BL36" s="21">
        <f>(BL7-BL28)/BL7</f>
        <v>0.27499999999999997</v>
      </c>
    </row>
    <row r="37" spans="1:64">
      <c r="A37" s="5" t="s">
        <v>1719</v>
      </c>
      <c r="J37" s="261">
        <v>0.2</v>
      </c>
      <c r="K37" s="261">
        <v>0.2</v>
      </c>
      <c r="L37" s="261">
        <v>0.2</v>
      </c>
      <c r="M37" s="261">
        <v>0.2</v>
      </c>
      <c r="N37" s="21">
        <f>(N8-N29)/N8</f>
        <v>0.19999999999999996</v>
      </c>
      <c r="O37" s="261">
        <v>0.2</v>
      </c>
      <c r="P37" s="261">
        <v>0.2</v>
      </c>
      <c r="Q37" s="261">
        <v>0.2</v>
      </c>
      <c r="R37" s="261">
        <v>0.2</v>
      </c>
      <c r="S37" s="21">
        <f>(S8-S29)/S8</f>
        <v>0.19999999999999996</v>
      </c>
      <c r="T37" s="261">
        <v>0.2</v>
      </c>
      <c r="U37" s="261">
        <v>0.2</v>
      </c>
      <c r="V37" s="261">
        <v>0.2</v>
      </c>
      <c r="W37" s="261">
        <v>0.2</v>
      </c>
      <c r="X37" s="21">
        <f>(X8-X29)/X8</f>
        <v>0.1999999999999999</v>
      </c>
      <c r="Y37" s="261">
        <v>0.2</v>
      </c>
      <c r="Z37" s="261">
        <f>Y37+0.5%</f>
        <v>0.20500000000000002</v>
      </c>
      <c r="AA37" s="261">
        <f>Z37+0.5%</f>
        <v>0.21000000000000002</v>
      </c>
      <c r="AB37" s="261">
        <f>AA37+0.5%</f>
        <v>0.21500000000000002</v>
      </c>
      <c r="AC37" s="21">
        <f>(AC8-AC29)/AC8</f>
        <v>0.21048704013377928</v>
      </c>
      <c r="AD37" s="261">
        <v>0.22500000000000001</v>
      </c>
      <c r="AE37" s="261">
        <v>0.22500000000000001</v>
      </c>
      <c r="AF37" s="261">
        <v>0.22500000000000001</v>
      </c>
      <c r="AG37" s="261">
        <v>0.22500000000000001</v>
      </c>
      <c r="AH37" s="21">
        <f>(AH8-AH29)/AH8</f>
        <v>0.22499999999999989</v>
      </c>
      <c r="AI37" s="261">
        <f>AG37-0.25%</f>
        <v>0.2225</v>
      </c>
      <c r="AJ37" s="261">
        <f>AI37-0.25%</f>
        <v>0.22</v>
      </c>
      <c r="AK37" s="261">
        <f t="shared" ref="AK37:AL37" si="50">AJ37-0.25%</f>
        <v>0.2175</v>
      </c>
      <c r="AL37" s="261">
        <f t="shared" si="50"/>
        <v>0.215</v>
      </c>
      <c r="AM37" s="21">
        <f>(AM8-AM29)/AM8</f>
        <v>0.21791287893566391</v>
      </c>
      <c r="AN37" s="261">
        <f>AL37-0.25%</f>
        <v>0.21249999999999999</v>
      </c>
      <c r="AO37" s="261">
        <f>AN37-0.25%</f>
        <v>0.21</v>
      </c>
      <c r="AP37" s="261">
        <f t="shared" ref="AP37:AQ37" si="51">AO37-0.25%</f>
        <v>0.20749999999999999</v>
      </c>
      <c r="AQ37" s="261">
        <f t="shared" si="51"/>
        <v>0.20499999999999999</v>
      </c>
      <c r="AR37" s="21">
        <f>(AR8-AR29)/AR8</f>
        <v>0.20791287893566374</v>
      </c>
      <c r="AS37" s="261">
        <v>0.2</v>
      </c>
      <c r="AT37" s="261">
        <v>0.2</v>
      </c>
      <c r="AU37" s="261">
        <v>0.2</v>
      </c>
      <c r="AV37" s="261">
        <v>0.2</v>
      </c>
      <c r="AW37" s="21">
        <f>(AW8-AW29)/AW8</f>
        <v>0.1999999999999999</v>
      </c>
      <c r="AX37" s="261">
        <v>0.2</v>
      </c>
      <c r="AY37" s="261">
        <v>0.2</v>
      </c>
      <c r="AZ37" s="261">
        <v>0.2</v>
      </c>
      <c r="BA37" s="261">
        <v>0.2</v>
      </c>
      <c r="BB37" s="21">
        <f>(BB8-BB29)/BB8</f>
        <v>0.20000000000000007</v>
      </c>
      <c r="BC37" s="261">
        <v>0.2</v>
      </c>
      <c r="BD37" s="261">
        <v>0.2</v>
      </c>
      <c r="BE37" s="261">
        <v>0.2</v>
      </c>
      <c r="BF37" s="261">
        <v>0.2</v>
      </c>
      <c r="BG37" s="21">
        <f>(BG8-BG29)/BG8</f>
        <v>0.19999999999999979</v>
      </c>
      <c r="BH37" s="261">
        <v>0.2</v>
      </c>
      <c r="BI37" s="261">
        <v>0.2</v>
      </c>
      <c r="BJ37" s="261">
        <v>0.2</v>
      </c>
      <c r="BK37" s="261">
        <v>0.2</v>
      </c>
      <c r="BL37" s="21">
        <f>(BL8-BL29)/BL8</f>
        <v>0.19999999999999993</v>
      </c>
    </row>
    <row r="38" spans="1:64">
      <c r="A38" s="5" t="s">
        <v>1720</v>
      </c>
      <c r="J38" s="261">
        <v>0.05</v>
      </c>
      <c r="K38" s="261">
        <v>0.05</v>
      </c>
      <c r="L38" s="261">
        <v>0.05</v>
      </c>
      <c r="M38" s="261">
        <v>0.05</v>
      </c>
      <c r="N38" s="21">
        <f>(N9-N30)/N9</f>
        <v>0.71801461090011864</v>
      </c>
      <c r="O38" s="261">
        <v>0.05</v>
      </c>
      <c r="P38" s="261">
        <v>0.05</v>
      </c>
      <c r="Q38" s="261">
        <v>0.05</v>
      </c>
      <c r="R38" s="261">
        <v>0.05</v>
      </c>
      <c r="S38" s="21">
        <f>(S9-S30)/S9</f>
        <v>0.75167482825122867</v>
      </c>
      <c r="T38" s="261">
        <v>0.05</v>
      </c>
      <c r="U38" s="261">
        <v>0.05</v>
      </c>
      <c r="V38" s="261">
        <v>0.05</v>
      </c>
      <c r="W38" s="261">
        <v>0.05</v>
      </c>
      <c r="X38" s="21">
        <f>(X9-X30)/X9</f>
        <v>0.75807934423259815</v>
      </c>
      <c r="Y38" s="261">
        <v>0.05</v>
      </c>
      <c r="Z38" s="261">
        <v>0.05</v>
      </c>
      <c r="AA38" s="261">
        <v>0.05</v>
      </c>
      <c r="AB38" s="261">
        <v>0.05</v>
      </c>
      <c r="AC38" s="21">
        <f>(AC9-AC30)/AC9</f>
        <v>0.7338565719360568</v>
      </c>
      <c r="AD38" s="261">
        <v>0.05</v>
      </c>
      <c r="AE38" s="261">
        <v>0.05</v>
      </c>
      <c r="AF38" s="261">
        <v>0.05</v>
      </c>
      <c r="AG38" s="261">
        <v>0.05</v>
      </c>
      <c r="AH38" s="21">
        <f>(AH9-AH30)/AH9</f>
        <v>0.76090174966352619</v>
      </c>
      <c r="AI38" s="261">
        <v>0.05</v>
      </c>
      <c r="AJ38" s="261">
        <v>0.05</v>
      </c>
      <c r="AK38" s="261">
        <v>0.05</v>
      </c>
      <c r="AL38" s="261">
        <v>0.05</v>
      </c>
      <c r="AM38" s="21">
        <f>(AM9-AM30)/AM9</f>
        <v>0.73290230462975281</v>
      </c>
      <c r="AN38" s="261">
        <v>0.05</v>
      </c>
      <c r="AO38" s="261">
        <v>0.05</v>
      </c>
      <c r="AP38" s="261">
        <v>0.05</v>
      </c>
      <c r="AQ38" s="261">
        <v>0.05</v>
      </c>
      <c r="AR38" s="21">
        <f>(AR9-AR30)/AR9</f>
        <v>0.72956278950484599</v>
      </c>
      <c r="AS38" s="261">
        <v>0.05</v>
      </c>
      <c r="AT38" s="261">
        <v>0.05</v>
      </c>
      <c r="AU38" s="261">
        <v>0.05</v>
      </c>
      <c r="AV38" s="261">
        <v>0.05</v>
      </c>
      <c r="AW38" s="21">
        <f>(AW9-AW30)/AW9</f>
        <v>0.72758380526078115</v>
      </c>
      <c r="AX38" s="261">
        <v>0.05</v>
      </c>
      <c r="AY38" s="261">
        <v>0.05</v>
      </c>
      <c r="AZ38" s="261">
        <v>0.05</v>
      </c>
      <c r="BA38" s="261">
        <v>0.05</v>
      </c>
      <c r="BB38" s="21">
        <f>(BB9-BB30)/BB9</f>
        <v>0.72616054740194158</v>
      </c>
      <c r="BC38" s="261">
        <v>0.05</v>
      </c>
      <c r="BD38" s="261">
        <v>0.05</v>
      </c>
      <c r="BE38" s="261">
        <v>0.05</v>
      </c>
      <c r="BF38" s="261">
        <v>0.05</v>
      </c>
      <c r="BG38" s="21">
        <f>(BG9-BG30)/BG9</f>
        <v>0.72495381218549682</v>
      </c>
      <c r="BH38" s="261">
        <v>0.05</v>
      </c>
      <c r="BI38" s="261">
        <v>0.05</v>
      </c>
      <c r="BJ38" s="261">
        <v>0.05</v>
      </c>
      <c r="BK38" s="261">
        <v>0.05</v>
      </c>
      <c r="BL38" s="21">
        <f>(BL9-BL30)/BL9</f>
        <v>0.72312801064895393</v>
      </c>
    </row>
    <row r="40" spans="1:64">
      <c r="A40" s="34" t="s">
        <v>1721</v>
      </c>
      <c r="J40" s="375">
        <f t="shared" ref="J40:AQ40" si="52">J31</f>
        <v>260.72442010633142</v>
      </c>
      <c r="K40" s="375">
        <f t="shared" si="52"/>
        <v>273.12272010633149</v>
      </c>
      <c r="L40" s="375">
        <f t="shared" si="52"/>
        <v>332.1797201063315</v>
      </c>
      <c r="M40" s="375">
        <f t="shared" si="52"/>
        <v>276.42502010633137</v>
      </c>
      <c r="N40" s="375">
        <f t="shared" si="52"/>
        <v>1142.4518804253257</v>
      </c>
      <c r="O40" s="375">
        <f t="shared" si="52"/>
        <v>259.12319745686307</v>
      </c>
      <c r="P40" s="375">
        <f t="shared" si="52"/>
        <v>275.57199745686313</v>
      </c>
      <c r="Q40" s="375">
        <f t="shared" si="52"/>
        <v>294.74319745686307</v>
      </c>
      <c r="R40" s="375">
        <f t="shared" si="52"/>
        <v>278.20159745686311</v>
      </c>
      <c r="S40" s="375">
        <f t="shared" si="52"/>
        <v>1107.6399898274524</v>
      </c>
      <c r="T40" s="375">
        <f t="shared" si="52"/>
        <v>237.56965644414743</v>
      </c>
      <c r="U40" s="375">
        <f t="shared" si="52"/>
        <v>262.14965644414741</v>
      </c>
      <c r="V40" s="375">
        <f t="shared" si="52"/>
        <v>339.05465644414744</v>
      </c>
      <c r="W40" s="375">
        <f t="shared" si="52"/>
        <v>327.44965644414742</v>
      </c>
      <c r="X40" s="375">
        <f t="shared" si="52"/>
        <v>1166.2236257765896</v>
      </c>
      <c r="Y40" s="375">
        <f t="shared" si="52"/>
        <v>303.91405472636814</v>
      </c>
      <c r="Z40" s="375">
        <f t="shared" si="52"/>
        <v>297.76105472636812</v>
      </c>
      <c r="AA40" s="375">
        <f t="shared" si="52"/>
        <v>341.35105472636815</v>
      </c>
      <c r="AB40" s="375">
        <f t="shared" si="52"/>
        <v>377.22655472636814</v>
      </c>
      <c r="AC40" s="375">
        <f t="shared" si="52"/>
        <v>1320.2527189054726</v>
      </c>
      <c r="AD40" s="375">
        <f t="shared" si="52"/>
        <v>290.70000000000005</v>
      </c>
      <c r="AE40" s="375">
        <f t="shared" si="52"/>
        <v>332.05500000000001</v>
      </c>
      <c r="AF40" s="375">
        <f t="shared" si="52"/>
        <v>371.05250000000001</v>
      </c>
      <c r="AG40" s="375">
        <f t="shared" si="52"/>
        <v>389.24250000000006</v>
      </c>
      <c r="AH40" s="375">
        <f t="shared" si="52"/>
        <v>1383.0500000000002</v>
      </c>
      <c r="AI40" s="375">
        <f t="shared" si="52"/>
        <v>299.09949999999998</v>
      </c>
      <c r="AJ40" s="375">
        <f t="shared" si="52"/>
        <v>328.75850000000003</v>
      </c>
      <c r="AK40" s="375">
        <f t="shared" si="52"/>
        <v>375.96375</v>
      </c>
      <c r="AL40" s="375">
        <f t="shared" si="52"/>
        <v>379.51991368937502</v>
      </c>
      <c r="AM40" s="375">
        <f t="shared" si="52"/>
        <v>1383.3416636893749</v>
      </c>
      <c r="AN40" s="375">
        <f t="shared" si="52"/>
        <v>300.54043277043377</v>
      </c>
      <c r="AO40" s="375">
        <f t="shared" si="52"/>
        <v>330.00077897495999</v>
      </c>
      <c r="AP40" s="375">
        <f t="shared" si="52"/>
        <v>377.66326057921498</v>
      </c>
      <c r="AQ40" s="375">
        <f t="shared" si="52"/>
        <v>380.31454824802643</v>
      </c>
      <c r="AR40" s="375">
        <f>AR31</f>
        <v>1388.5190205726353</v>
      </c>
      <c r="AS40" s="375">
        <f t="shared" ref="AS40:AV40" si="53">AS31</f>
        <v>303.33214036886193</v>
      </c>
      <c r="AT40" s="375">
        <f t="shared" si="53"/>
        <v>332.88979421243471</v>
      </c>
      <c r="AU40" s="375">
        <f t="shared" si="53"/>
        <v>380.43705432527577</v>
      </c>
      <c r="AV40" s="375">
        <f t="shared" si="53"/>
        <v>383.13240772645571</v>
      </c>
      <c r="AW40" s="375">
        <f>AW31</f>
        <v>1399.7913966330284</v>
      </c>
      <c r="AX40" s="375">
        <f t="shared" ref="AX40:BA40" si="54">AX31</f>
        <v>306.37420384143138</v>
      </c>
      <c r="AY40" s="375">
        <f t="shared" si="54"/>
        <v>336.02774332888157</v>
      </c>
      <c r="AZ40" s="375">
        <f t="shared" si="54"/>
        <v>383.46839379752117</v>
      </c>
      <c r="BA40" s="375">
        <f t="shared" si="54"/>
        <v>386.39765513169323</v>
      </c>
      <c r="BB40" s="375">
        <f>BB31</f>
        <v>1412.2679960995274</v>
      </c>
      <c r="BC40" s="375">
        <f t="shared" ref="BC40:BF40" si="55">BC31</f>
        <v>309.34809617847986</v>
      </c>
      <c r="BD40" s="375">
        <f t="shared" si="55"/>
        <v>339.07481563238201</v>
      </c>
      <c r="BE40" s="375">
        <f t="shared" si="55"/>
        <v>386.55408305203014</v>
      </c>
      <c r="BF40" s="375">
        <f t="shared" si="55"/>
        <v>389.87696671976641</v>
      </c>
      <c r="BG40" s="375">
        <f>BG31</f>
        <v>1424.8539615826585</v>
      </c>
      <c r="BH40" s="375">
        <f t="shared" ref="BH40:BK40" si="56">BH31</f>
        <v>312.17009781794479</v>
      </c>
      <c r="BI40" s="375">
        <f t="shared" si="56"/>
        <v>342.05448075429388</v>
      </c>
      <c r="BJ40" s="375">
        <f t="shared" si="56"/>
        <v>389.57140753271426</v>
      </c>
      <c r="BK40" s="375">
        <f t="shared" si="56"/>
        <v>393.29372262564414</v>
      </c>
      <c r="BL40" s="375">
        <f>BL31</f>
        <v>1437.0897087305971</v>
      </c>
    </row>
    <row r="41" spans="1:64">
      <c r="A41" s="34" t="s">
        <v>1722</v>
      </c>
      <c r="J41" s="375">
        <f>J42-J40</f>
        <v>98.72557989366851</v>
      </c>
      <c r="K41" s="375">
        <f>K42-K40</f>
        <v>103.37227989366852</v>
      </c>
      <c r="L41" s="375">
        <f>L42-L40</f>
        <v>139.23227989366853</v>
      </c>
      <c r="M41" s="375">
        <f>M42-M40</f>
        <v>227.21397989366864</v>
      </c>
      <c r="N41" s="375">
        <f>SUM(J41:M41)</f>
        <v>568.54411957467414</v>
      </c>
      <c r="O41" s="375">
        <f>O42-O40</f>
        <v>90.972802543136936</v>
      </c>
      <c r="P41" s="375">
        <f>P42-P40</f>
        <v>103.42600254313692</v>
      </c>
      <c r="Q41" s="375">
        <f>Q42-Q40</f>
        <v>132.79080254313692</v>
      </c>
      <c r="R41" s="375">
        <f>R42-R40</f>
        <v>192.13340254313692</v>
      </c>
      <c r="S41" s="375">
        <f>SUM(O41:R41)</f>
        <v>519.3230101725477</v>
      </c>
      <c r="T41" s="375">
        <f>T42-T40</f>
        <v>94.130343555852619</v>
      </c>
      <c r="U41" s="375">
        <f>U42-U40</f>
        <v>91.150343555852658</v>
      </c>
      <c r="V41" s="375">
        <f>V42-V40</f>
        <v>128.24534355585251</v>
      </c>
      <c r="W41" s="375">
        <f>W42-W40</f>
        <v>208.1503435558526</v>
      </c>
      <c r="X41" s="375">
        <f>SUM(T41:W41)</f>
        <v>521.67637422341045</v>
      </c>
      <c r="Y41" s="375">
        <f>Y42-Y40</f>
        <v>99.185945273631887</v>
      </c>
      <c r="Z41" s="375">
        <f>Z42-Z40</f>
        <v>102.43894527363193</v>
      </c>
      <c r="AA41" s="375">
        <f>AA42-AA40</f>
        <v>129.84894527363184</v>
      </c>
      <c r="AB41" s="375">
        <f>AB42-AB40</f>
        <v>171.27344527363186</v>
      </c>
      <c r="AC41" s="375">
        <f>SUM(Y41:AB41)</f>
        <v>502.74728109452752</v>
      </c>
      <c r="AD41" s="375">
        <f>AD42-AD40</f>
        <v>116.09999999999997</v>
      </c>
      <c r="AE41" s="375">
        <f>AE42-AE40</f>
        <v>118.94499999999994</v>
      </c>
      <c r="AF41" s="375">
        <f>AF42-AF40</f>
        <v>148.24750000000006</v>
      </c>
      <c r="AG41" s="375">
        <f>AG42-AG40</f>
        <v>226.85749999999996</v>
      </c>
      <c r="AH41" s="375">
        <f>SUM(AD41:AG41)</f>
        <v>610.14999999999986</v>
      </c>
      <c r="AI41" s="375">
        <f>AI42-AI40</f>
        <v>121.90050000000008</v>
      </c>
      <c r="AJ41" s="375">
        <f>AJ42-AJ40</f>
        <v>124.44149999999996</v>
      </c>
      <c r="AK41" s="375">
        <f>AK42-AK40</f>
        <v>151.23625000000004</v>
      </c>
      <c r="AL41" s="375">
        <f>AL47*AL13</f>
        <v>224.79700517612667</v>
      </c>
      <c r="AM41" s="375">
        <f>SUM(AI41:AL41)</f>
        <v>622.37525517612676</v>
      </c>
      <c r="AN41" s="375">
        <f>AN47*AN13</f>
        <v>123.22431217439377</v>
      </c>
      <c r="AO41" s="375">
        <f>AO47*AO13</f>
        <v>125.61450854688376</v>
      </c>
      <c r="AP41" s="375">
        <f>AP47*AP13</f>
        <v>152.51031935068048</v>
      </c>
      <c r="AQ41" s="375">
        <f>AQ47*AQ13</f>
        <v>217.65843306314281</v>
      </c>
      <c r="AR41" s="375">
        <f>SUM(AN41:AQ41)</f>
        <v>619.00757313510076</v>
      </c>
      <c r="AS41" s="375">
        <f>AS47*AS13</f>
        <v>122.95055152262421</v>
      </c>
      <c r="AT41" s="375">
        <f>AT47*AT13</f>
        <v>125.18896254395177</v>
      </c>
      <c r="AU41" s="375">
        <f>AU47*AU13</f>
        <v>152.04405559961677</v>
      </c>
      <c r="AV41" s="375">
        <f>AV47*AV13</f>
        <v>211.29744548606925</v>
      </c>
      <c r="AW41" s="375">
        <f>SUM(AS41:AV41)</f>
        <v>611.48101515226199</v>
      </c>
      <c r="AX41" s="375">
        <f>AX47*AX13</f>
        <v>121.16213712098961</v>
      </c>
      <c r="AY41" s="375">
        <f>AY47*AY13</f>
        <v>123.21355768410986</v>
      </c>
      <c r="AZ41" s="375">
        <f>AZ47*AZ13</f>
        <v>149.94146838891425</v>
      </c>
      <c r="BA41" s="375">
        <f>BA47*BA13</f>
        <v>205.44783451178213</v>
      </c>
      <c r="BB41" s="375">
        <f>SUM(AX41:BA41)</f>
        <v>599.76499770579585</v>
      </c>
      <c r="BC41" s="375">
        <f>BC47*BC13</f>
        <v>117.7301624472131</v>
      </c>
      <c r="BD41" s="375">
        <f>BD47*BD13</f>
        <v>119.52262126993996</v>
      </c>
      <c r="BE41" s="375">
        <f>BE47*BE13</f>
        <v>146.12203281725888</v>
      </c>
      <c r="BF41" s="375">
        <f>BF47*BF13</f>
        <v>199.87893917383474</v>
      </c>
      <c r="BG41" s="375">
        <f>SUM(BC41:BF41)</f>
        <v>583.25375570824667</v>
      </c>
      <c r="BH41" s="375">
        <f>BH47*BH13</f>
        <v>112.39696810496829</v>
      </c>
      <c r="BI41" s="375">
        <f>BI47*BI13</f>
        <v>113.88403295160757</v>
      </c>
      <c r="BJ41" s="375">
        <f>BJ47*BJ13</f>
        <v>140.25600491073598</v>
      </c>
      <c r="BK41" s="375">
        <f>BK47*BK13</f>
        <v>194.04910521490265</v>
      </c>
      <c r="BL41" s="375">
        <f>SUM(BH41:BK41)</f>
        <v>560.58611118221449</v>
      </c>
    </row>
    <row r="42" spans="1:64">
      <c r="A42" s="5" t="s">
        <v>1723</v>
      </c>
      <c r="J42" s="375">
        <f t="shared" ref="J42:AK42" si="57">J44-J43</f>
        <v>359.44999999999993</v>
      </c>
      <c r="K42" s="375">
        <f t="shared" si="57"/>
        <v>376.495</v>
      </c>
      <c r="L42" s="375">
        <f t="shared" si="57"/>
        <v>471.41200000000003</v>
      </c>
      <c r="M42" s="375">
        <f t="shared" si="57"/>
        <v>503.63900000000001</v>
      </c>
      <c r="N42" s="375">
        <f t="shared" si="57"/>
        <v>1710.9959999999999</v>
      </c>
      <c r="O42" s="375">
        <f t="shared" si="57"/>
        <v>350.096</v>
      </c>
      <c r="P42" s="375">
        <f t="shared" si="57"/>
        <v>378.99800000000005</v>
      </c>
      <c r="Q42" s="375">
        <f t="shared" si="57"/>
        <v>427.53399999999999</v>
      </c>
      <c r="R42" s="375">
        <f t="shared" si="57"/>
        <v>470.33500000000004</v>
      </c>
      <c r="S42" s="375">
        <f t="shared" si="57"/>
        <v>1626.963</v>
      </c>
      <c r="T42" s="375">
        <f t="shared" si="57"/>
        <v>331.70000000000005</v>
      </c>
      <c r="U42" s="375">
        <f t="shared" si="57"/>
        <v>353.30000000000007</v>
      </c>
      <c r="V42" s="375">
        <f t="shared" si="57"/>
        <v>467.29999999999995</v>
      </c>
      <c r="W42" s="375">
        <f t="shared" si="57"/>
        <v>535.6</v>
      </c>
      <c r="X42" s="375">
        <f t="shared" si="57"/>
        <v>1687.9</v>
      </c>
      <c r="Y42" s="375">
        <f t="shared" si="57"/>
        <v>403.1</v>
      </c>
      <c r="Z42" s="375">
        <f t="shared" si="57"/>
        <v>400.20000000000005</v>
      </c>
      <c r="AA42" s="375">
        <f t="shared" si="57"/>
        <v>471.2</v>
      </c>
      <c r="AB42" s="375">
        <f t="shared" si="57"/>
        <v>548.5</v>
      </c>
      <c r="AC42" s="375">
        <f t="shared" si="57"/>
        <v>1822.9999999999998</v>
      </c>
      <c r="AD42" s="375">
        <f t="shared" si="57"/>
        <v>406.8</v>
      </c>
      <c r="AE42" s="375">
        <f t="shared" si="57"/>
        <v>450.99999999999994</v>
      </c>
      <c r="AF42" s="375">
        <f t="shared" si="57"/>
        <v>519.30000000000007</v>
      </c>
      <c r="AG42" s="375">
        <f t="shared" si="57"/>
        <v>616.1</v>
      </c>
      <c r="AH42" s="375">
        <f t="shared" si="57"/>
        <v>1993.2000000000003</v>
      </c>
      <c r="AI42" s="375">
        <f t="shared" si="57"/>
        <v>421.00000000000006</v>
      </c>
      <c r="AJ42" s="375">
        <f t="shared" si="57"/>
        <v>453.2</v>
      </c>
      <c r="AK42" s="375">
        <f t="shared" si="57"/>
        <v>527.20000000000005</v>
      </c>
      <c r="AL42" s="375">
        <f>SUM(AL40:AL41)</f>
        <v>604.31691886550175</v>
      </c>
      <c r="AM42" s="375">
        <f>SUM(AM40:AM41)</f>
        <v>2005.7169188655016</v>
      </c>
      <c r="AN42" s="375">
        <f t="shared" ref="AN42:AQ42" si="58">SUM(AN40:AN41)</f>
        <v>423.76474494482756</v>
      </c>
      <c r="AO42" s="375">
        <f t="shared" si="58"/>
        <v>455.61528752184375</v>
      </c>
      <c r="AP42" s="375">
        <f t="shared" si="58"/>
        <v>530.17357992989548</v>
      </c>
      <c r="AQ42" s="375">
        <f t="shared" si="58"/>
        <v>597.97298131116918</v>
      </c>
      <c r="AR42" s="375">
        <f>SUM(AR40:AR41)</f>
        <v>2007.5265937077361</v>
      </c>
      <c r="AS42" s="375">
        <f t="shared" ref="AS42:AV42" si="59">SUM(AS40:AS41)</f>
        <v>426.28269189148614</v>
      </c>
      <c r="AT42" s="375">
        <f t="shared" si="59"/>
        <v>458.0787567563865</v>
      </c>
      <c r="AU42" s="375">
        <f t="shared" si="59"/>
        <v>532.48110992489251</v>
      </c>
      <c r="AV42" s="375">
        <f t="shared" si="59"/>
        <v>594.4298532125249</v>
      </c>
      <c r="AW42" s="375">
        <f>SUM(AW40:AW41)</f>
        <v>2011.2724117852904</v>
      </c>
      <c r="AX42" s="375">
        <f t="shared" ref="AX42:BA42" si="60">SUM(AX40:AX41)</f>
        <v>427.53634096242098</v>
      </c>
      <c r="AY42" s="375">
        <f t="shared" si="60"/>
        <v>459.24130101299141</v>
      </c>
      <c r="AZ42" s="375">
        <f t="shared" si="60"/>
        <v>533.40986218643548</v>
      </c>
      <c r="BA42" s="375">
        <f t="shared" si="60"/>
        <v>591.84548964347539</v>
      </c>
      <c r="BB42" s="375">
        <f>SUM(BB40:BB41)</f>
        <v>2012.0329938053233</v>
      </c>
      <c r="BC42" s="375">
        <f t="shared" ref="BC42:BF42" si="61">SUM(BC40:BC41)</f>
        <v>427.07825862569297</v>
      </c>
      <c r="BD42" s="375">
        <f t="shared" si="61"/>
        <v>458.59743690232199</v>
      </c>
      <c r="BE42" s="375">
        <f t="shared" si="61"/>
        <v>532.67611586928899</v>
      </c>
      <c r="BF42" s="375">
        <f t="shared" si="61"/>
        <v>589.75590589360115</v>
      </c>
      <c r="BG42" s="375">
        <f>SUM(BG40:BG41)</f>
        <v>2008.1077172909052</v>
      </c>
      <c r="BH42" s="375">
        <f t="shared" ref="BH42:BK42" si="62">SUM(BH40:BH41)</f>
        <v>424.56706592291312</v>
      </c>
      <c r="BI42" s="375">
        <f t="shared" si="62"/>
        <v>455.93851370590141</v>
      </c>
      <c r="BJ42" s="375">
        <f t="shared" si="62"/>
        <v>529.82741244345027</v>
      </c>
      <c r="BK42" s="375">
        <f t="shared" si="62"/>
        <v>587.34282784054676</v>
      </c>
      <c r="BL42" s="375">
        <f>SUM(BL40:BL41)</f>
        <v>1997.6758199128117</v>
      </c>
    </row>
    <row r="43" spans="1:64">
      <c r="A43" s="5" t="s">
        <v>1114</v>
      </c>
      <c r="J43" s="376">
        <v>84.587000000000003</v>
      </c>
      <c r="K43" s="376">
        <v>84.989000000000004</v>
      </c>
      <c r="L43" s="376">
        <v>85.481999999999999</v>
      </c>
      <c r="M43" s="376">
        <v>86.986000000000004</v>
      </c>
      <c r="N43" s="375">
        <f>SUM(J43:M43)</f>
        <v>342.04400000000004</v>
      </c>
      <c r="O43" s="376">
        <v>102.23699999999999</v>
      </c>
      <c r="P43" s="376">
        <v>103.101</v>
      </c>
      <c r="Q43" s="376">
        <v>106.39</v>
      </c>
      <c r="R43" s="376">
        <v>110.726</v>
      </c>
      <c r="S43" s="375">
        <f>SUM(O43:R43)</f>
        <v>422.45400000000001</v>
      </c>
      <c r="T43" s="376">
        <v>104.4</v>
      </c>
      <c r="U43" s="376">
        <v>105.6</v>
      </c>
      <c r="V43" s="376">
        <v>107</v>
      </c>
      <c r="W43" s="376">
        <v>106.9</v>
      </c>
      <c r="X43" s="375">
        <f>SUM(T43:W43)</f>
        <v>423.9</v>
      </c>
      <c r="Y43" s="376">
        <v>105.6</v>
      </c>
      <c r="Z43" s="376">
        <v>104.9</v>
      </c>
      <c r="AA43" s="376">
        <v>104.7</v>
      </c>
      <c r="AB43" s="376">
        <v>105</v>
      </c>
      <c r="AC43" s="375">
        <f>SUM(Y43:AB43)</f>
        <v>420.2</v>
      </c>
      <c r="AD43" s="376">
        <v>105.7</v>
      </c>
      <c r="AE43" s="376">
        <v>106.3</v>
      </c>
      <c r="AF43" s="376">
        <v>107.3</v>
      </c>
      <c r="AG43" s="376">
        <v>108.1</v>
      </c>
      <c r="AH43" s="375">
        <f>SUM(AD43:AG43)</f>
        <v>427.4</v>
      </c>
      <c r="AI43" s="376">
        <v>99.7</v>
      </c>
      <c r="AJ43" s="376">
        <v>96.8</v>
      </c>
      <c r="AK43" s="376">
        <v>100.8</v>
      </c>
      <c r="AL43" s="377">
        <v>97.5</v>
      </c>
      <c r="AM43" s="375">
        <f>SUM(AI43:AL43)</f>
        <v>394.8</v>
      </c>
      <c r="AN43" s="377">
        <v>97.5</v>
      </c>
      <c r="AO43" s="377">
        <v>97.5</v>
      </c>
      <c r="AP43" s="377">
        <v>97.5</v>
      </c>
      <c r="AQ43" s="377">
        <v>97.5</v>
      </c>
      <c r="AR43" s="375">
        <f>SUM(AN43:AQ43)</f>
        <v>390</v>
      </c>
      <c r="AS43" s="377">
        <f>AN43-1.25</f>
        <v>96.25</v>
      </c>
      <c r="AT43" s="377">
        <f>AO43-1.25</f>
        <v>96.25</v>
      </c>
      <c r="AU43" s="377">
        <f>AP43-1.25</f>
        <v>96.25</v>
      </c>
      <c r="AV43" s="377">
        <f>AQ43-1.25</f>
        <v>96.25</v>
      </c>
      <c r="AW43" s="375">
        <f>SUM(AS43:AV43)</f>
        <v>385</v>
      </c>
      <c r="AX43" s="377">
        <f>AS43-1.25</f>
        <v>95</v>
      </c>
      <c r="AY43" s="377">
        <f>AT43-1.25</f>
        <v>95</v>
      </c>
      <c r="AZ43" s="377">
        <f>AU43-1.25</f>
        <v>95</v>
      </c>
      <c r="BA43" s="377">
        <f>AV43-1.25</f>
        <v>95</v>
      </c>
      <c r="BB43" s="375">
        <f>SUM(AX43:BA43)</f>
        <v>380</v>
      </c>
      <c r="BC43" s="377">
        <f>AX43-1.25</f>
        <v>93.75</v>
      </c>
      <c r="BD43" s="377">
        <f>AY43-1.25</f>
        <v>93.75</v>
      </c>
      <c r="BE43" s="377">
        <f>AZ43-1.25</f>
        <v>93.75</v>
      </c>
      <c r="BF43" s="377">
        <f>BA43-1.25</f>
        <v>93.75</v>
      </c>
      <c r="BG43" s="375">
        <f>SUM(BC43:BF43)</f>
        <v>375</v>
      </c>
      <c r="BH43" s="377">
        <f>BC43-1.25</f>
        <v>92.5</v>
      </c>
      <c r="BI43" s="377">
        <f>BD43-1.25</f>
        <v>92.5</v>
      </c>
      <c r="BJ43" s="377">
        <f>BE43-1.25</f>
        <v>92.5</v>
      </c>
      <c r="BK43" s="377">
        <f>BF43-1.25</f>
        <v>92.5</v>
      </c>
      <c r="BL43" s="375">
        <f>SUM(BH43:BK43)</f>
        <v>370</v>
      </c>
    </row>
    <row r="44" spans="1:64">
      <c r="A44" s="288" t="s">
        <v>1724</v>
      </c>
      <c r="B44" s="9"/>
      <c r="C44" s="9"/>
      <c r="D44" s="9"/>
      <c r="E44" s="9"/>
      <c r="F44" s="9"/>
      <c r="G44" s="9"/>
      <c r="H44" s="9"/>
      <c r="I44" s="9"/>
      <c r="J44" s="378">
        <f>J13-J57</f>
        <v>444.03699999999992</v>
      </c>
      <c r="K44" s="378">
        <f>K13-K57</f>
        <v>461.48399999999998</v>
      </c>
      <c r="L44" s="378">
        <f>L13-L57</f>
        <v>556.89400000000001</v>
      </c>
      <c r="M44" s="378">
        <f>M13-M57</f>
        <v>590.625</v>
      </c>
      <c r="N44" s="378">
        <f>SUM(J44:M44)</f>
        <v>2053.04</v>
      </c>
      <c r="O44" s="378">
        <f>O13-O57</f>
        <v>452.33299999999997</v>
      </c>
      <c r="P44" s="378">
        <f>P13-P57</f>
        <v>482.09900000000005</v>
      </c>
      <c r="Q44" s="378">
        <f>Q13-Q57</f>
        <v>533.92399999999998</v>
      </c>
      <c r="R44" s="378">
        <f>R13-R57</f>
        <v>581.06100000000004</v>
      </c>
      <c r="S44" s="378">
        <f>SUM(O44:R44)</f>
        <v>2049.4169999999999</v>
      </c>
      <c r="T44" s="378">
        <f>T13-T57</f>
        <v>436.1</v>
      </c>
      <c r="U44" s="378">
        <f>U13-U57</f>
        <v>458.90000000000009</v>
      </c>
      <c r="V44" s="378">
        <f>V13-V57</f>
        <v>574.29999999999995</v>
      </c>
      <c r="W44" s="378">
        <f>W13-W57</f>
        <v>642.5</v>
      </c>
      <c r="X44" s="378">
        <f>SUM(T44:W44)</f>
        <v>2111.8000000000002</v>
      </c>
      <c r="Y44" s="395">
        <v>508.7</v>
      </c>
      <c r="Z44" s="395">
        <v>505.1</v>
      </c>
      <c r="AA44" s="395">
        <v>575.9</v>
      </c>
      <c r="AB44" s="395">
        <v>653.5</v>
      </c>
      <c r="AC44" s="378">
        <f>SUM(Y44:AB44)</f>
        <v>2243.1999999999998</v>
      </c>
      <c r="AD44" s="395">
        <v>512.5</v>
      </c>
      <c r="AE44" s="395">
        <v>557.29999999999995</v>
      </c>
      <c r="AF44" s="395">
        <v>626.6</v>
      </c>
      <c r="AG44" s="395">
        <v>724.2</v>
      </c>
      <c r="AH44" s="378">
        <f>SUM(AD44:AG44)</f>
        <v>2420.6000000000004</v>
      </c>
      <c r="AI44" s="395">
        <v>520.70000000000005</v>
      </c>
      <c r="AJ44" s="395">
        <v>550</v>
      </c>
      <c r="AK44" s="395">
        <v>628</v>
      </c>
      <c r="AL44" s="378">
        <f>SUM(AL42:AL43)</f>
        <v>701.81691886550175</v>
      </c>
      <c r="AM44" s="378">
        <f>SUM(AI44:AL44)</f>
        <v>2400.5169188655018</v>
      </c>
      <c r="AN44" s="378">
        <f t="shared" ref="AN44:AQ44" si="63">SUM(AN42:AN43)</f>
        <v>521.2647449448275</v>
      </c>
      <c r="AO44" s="378">
        <f t="shared" si="63"/>
        <v>553.11528752184381</v>
      </c>
      <c r="AP44" s="378">
        <f t="shared" si="63"/>
        <v>627.67357992989548</v>
      </c>
      <c r="AQ44" s="378">
        <f t="shared" si="63"/>
        <v>695.47298131116918</v>
      </c>
      <c r="AR44" s="378">
        <f>SUM(AN44:AQ44)</f>
        <v>2397.5265937077356</v>
      </c>
      <c r="AS44" s="378">
        <f t="shared" ref="AS44:AV44" si="64">SUM(AS42:AS43)</f>
        <v>522.53269189148614</v>
      </c>
      <c r="AT44" s="378">
        <f t="shared" si="64"/>
        <v>554.3287567563865</v>
      </c>
      <c r="AU44" s="378">
        <f t="shared" si="64"/>
        <v>628.73110992489251</v>
      </c>
      <c r="AV44" s="378">
        <f t="shared" si="64"/>
        <v>690.6798532125249</v>
      </c>
      <c r="AW44" s="378">
        <f>SUM(AS44:AV44)</f>
        <v>2396.2724117852904</v>
      </c>
      <c r="AX44" s="378">
        <f t="shared" ref="AX44:BA44" si="65">SUM(AX42:AX43)</f>
        <v>522.53634096242104</v>
      </c>
      <c r="AY44" s="378">
        <f t="shared" si="65"/>
        <v>554.24130101299147</v>
      </c>
      <c r="AZ44" s="378">
        <f t="shared" si="65"/>
        <v>628.40986218643548</v>
      </c>
      <c r="BA44" s="378">
        <f t="shared" si="65"/>
        <v>686.84548964347539</v>
      </c>
      <c r="BB44" s="378">
        <f>SUM(AX44:BA44)</f>
        <v>2392.0329938053233</v>
      </c>
      <c r="BC44" s="378">
        <f t="shared" ref="BC44:BF44" si="66">SUM(BC42:BC43)</f>
        <v>520.82825862569302</v>
      </c>
      <c r="BD44" s="378">
        <f t="shared" si="66"/>
        <v>552.34743690232199</v>
      </c>
      <c r="BE44" s="378">
        <f t="shared" si="66"/>
        <v>626.42611586928899</v>
      </c>
      <c r="BF44" s="378">
        <f t="shared" si="66"/>
        <v>683.50590589360115</v>
      </c>
      <c r="BG44" s="378">
        <f>SUM(BC44:BF44)</f>
        <v>2383.1077172909054</v>
      </c>
      <c r="BH44" s="378">
        <f t="shared" ref="BH44:BK44" si="67">SUM(BH42:BH43)</f>
        <v>517.06706592291312</v>
      </c>
      <c r="BI44" s="378">
        <f t="shared" si="67"/>
        <v>548.43851370590141</v>
      </c>
      <c r="BJ44" s="378">
        <f t="shared" si="67"/>
        <v>622.32741244345027</v>
      </c>
      <c r="BK44" s="378">
        <f t="shared" si="67"/>
        <v>679.84282784054676</v>
      </c>
      <c r="BL44" s="378">
        <f>SUM(BH44:BK44)</f>
        <v>2367.6758199128117</v>
      </c>
    </row>
    <row r="45" spans="1:64">
      <c r="A45" s="1" t="s">
        <v>1715</v>
      </c>
      <c r="J45" s="21">
        <f t="shared" ref="J45:AQ45" si="68">J44/J13</f>
        <v>0.6989351571292528</v>
      </c>
      <c r="K45" s="21">
        <f t="shared" si="68"/>
        <v>0.70592338438899183</v>
      </c>
      <c r="L45" s="21">
        <f t="shared" si="68"/>
        <v>0.77242647721740387</v>
      </c>
      <c r="M45" s="21">
        <f t="shared" si="68"/>
        <v>0.88090795602507488</v>
      </c>
      <c r="N45" s="21">
        <f t="shared" si="68"/>
        <v>0.76592366430439973</v>
      </c>
      <c r="O45" s="21">
        <f t="shared" si="68"/>
        <v>0.6873630464844166</v>
      </c>
      <c r="P45" s="21">
        <f t="shared" si="68"/>
        <v>0.71108354548377672</v>
      </c>
      <c r="Q45" s="21">
        <f t="shared" si="68"/>
        <v>0.76291096247629853</v>
      </c>
      <c r="R45" s="21">
        <f t="shared" si="68"/>
        <v>0.8793455692294655</v>
      </c>
      <c r="S45" s="21">
        <f t="shared" si="68"/>
        <v>0.75997585185080796</v>
      </c>
      <c r="T45" s="21">
        <f t="shared" si="68"/>
        <v>0.6972022382094325</v>
      </c>
      <c r="U45" s="21">
        <f t="shared" si="68"/>
        <v>0.6790470553418172</v>
      </c>
      <c r="V45" s="21">
        <f t="shared" si="68"/>
        <v>0.77284349347328751</v>
      </c>
      <c r="W45" s="21">
        <f t="shared" si="68"/>
        <v>0.88498622589531684</v>
      </c>
      <c r="X45" s="21">
        <f t="shared" si="68"/>
        <v>0.76227259601501607</v>
      </c>
      <c r="Y45" s="21">
        <f t="shared" si="68"/>
        <v>0.73384304673975753</v>
      </c>
      <c r="Z45" s="21">
        <f t="shared" si="68"/>
        <v>0.73704946738654609</v>
      </c>
      <c r="AA45" s="21">
        <f t="shared" si="68"/>
        <v>0.78890410958904111</v>
      </c>
      <c r="AB45" s="21">
        <f t="shared" si="68"/>
        <v>0.84387913223140487</v>
      </c>
      <c r="AC45" s="21">
        <f t="shared" si="68"/>
        <v>0.77810537999930618</v>
      </c>
      <c r="AD45" s="21">
        <f t="shared" si="68"/>
        <v>0.76802038063839362</v>
      </c>
      <c r="AE45" s="21">
        <f t="shared" si="68"/>
        <v>0.77607575546581264</v>
      </c>
      <c r="AF45" s="21">
        <f t="shared" si="68"/>
        <v>0.84424683373753717</v>
      </c>
      <c r="AG45" s="21">
        <f t="shared" si="68"/>
        <v>0.95869737887212081</v>
      </c>
      <c r="AH45" s="21">
        <f t="shared" si="68"/>
        <v>0.83961151578217152</v>
      </c>
      <c r="AI45" s="21">
        <f t="shared" si="68"/>
        <v>0.77867504112457009</v>
      </c>
      <c r="AJ45" s="21">
        <f t="shared" si="68"/>
        <v>0.77301475755446236</v>
      </c>
      <c r="AK45" s="21">
        <f t="shared" si="68"/>
        <v>0.84704612894523879</v>
      </c>
      <c r="AL45" s="21">
        <f t="shared" si="68"/>
        <v>0.94538746684239339</v>
      </c>
      <c r="AM45" s="21">
        <f t="shared" si="68"/>
        <v>0.83818130680674774</v>
      </c>
      <c r="AN45" s="21">
        <f t="shared" si="68"/>
        <v>0.78172064467068569</v>
      </c>
      <c r="AO45" s="21">
        <f t="shared" si="68"/>
        <v>0.78114200143319923</v>
      </c>
      <c r="AP45" s="21">
        <f t="shared" si="68"/>
        <v>0.84982235328466726</v>
      </c>
      <c r="AQ45" s="21">
        <f t="shared" si="68"/>
        <v>0.94360317385375458</v>
      </c>
      <c r="AR45" s="21">
        <f>AR44/AR13</f>
        <v>0.84107916992877663</v>
      </c>
      <c r="AS45" s="21">
        <f t="shared" ref="AS45:AV45" si="69">AS44/AS13</f>
        <v>0.78536694221010928</v>
      </c>
      <c r="AT45" s="21">
        <f t="shared" si="69"/>
        <v>0.78551684042329017</v>
      </c>
      <c r="AU45" s="21">
        <f t="shared" si="69"/>
        <v>0.85386465512225462</v>
      </c>
      <c r="AV45" s="21">
        <f t="shared" si="69"/>
        <v>0.94079513898165501</v>
      </c>
      <c r="AW45" s="21">
        <f>AW44/AW13</f>
        <v>0.84331159381138776</v>
      </c>
      <c r="AX45" s="21">
        <f t="shared" ref="AX45:BA45" si="70">AX44/AX13</f>
        <v>0.7861831627647724</v>
      </c>
      <c r="AY45" s="21">
        <f t="shared" si="70"/>
        <v>0.78673907494879225</v>
      </c>
      <c r="AZ45" s="21">
        <f t="shared" si="70"/>
        <v>0.85491817716065199</v>
      </c>
      <c r="BA45" s="21">
        <f t="shared" si="70"/>
        <v>0.93713659146789263</v>
      </c>
      <c r="BB45" s="21">
        <f>BB44/BB13</f>
        <v>0.84312585804157048</v>
      </c>
      <c r="BC45" s="21">
        <f t="shared" ref="BC45:BF45" si="71">BC44/BC13</f>
        <v>0.78433694910695018</v>
      </c>
      <c r="BD45" s="21">
        <f t="shared" si="71"/>
        <v>0.78515635768115277</v>
      </c>
      <c r="BE45" s="21">
        <f t="shared" si="71"/>
        <v>0.8530602443866846</v>
      </c>
      <c r="BF45" s="21">
        <f t="shared" si="71"/>
        <v>0.93291597609219501</v>
      </c>
      <c r="BG45" s="21">
        <f>BG44/BG13</f>
        <v>0.84074856200737891</v>
      </c>
      <c r="BH45" s="21">
        <f t="shared" ref="BH45:BK45" si="72">BH44/BH13</f>
        <v>0.78111781121676238</v>
      </c>
      <c r="BI45" s="21">
        <f t="shared" si="72"/>
        <v>0.78208092864697554</v>
      </c>
      <c r="BJ45" s="21">
        <f t="shared" si="72"/>
        <v>0.8496452698479825</v>
      </c>
      <c r="BK45" s="21">
        <f t="shared" si="72"/>
        <v>0.92951778251701378</v>
      </c>
      <c r="BL45" s="21">
        <f>BL44/BL13</f>
        <v>0.83750405975065378</v>
      </c>
    </row>
    <row r="47" spans="1:64">
      <c r="A47" s="1" t="s">
        <v>1725</v>
      </c>
      <c r="J47" s="16">
        <f t="shared" ref="J47:AK47" si="73">J41/J13</f>
        <v>0.15539871383613937</v>
      </c>
      <c r="K47" s="16">
        <f t="shared" si="73"/>
        <v>0.15812662990384199</v>
      </c>
      <c r="L47" s="16">
        <f t="shared" si="73"/>
        <v>0.19311879724546135</v>
      </c>
      <c r="M47" s="16">
        <f t="shared" si="73"/>
        <v>0.33888609965452549</v>
      </c>
      <c r="N47" s="16">
        <f t="shared" si="73"/>
        <v>0.21210565570244772</v>
      </c>
      <c r="O47" s="16">
        <f t="shared" si="73"/>
        <v>0.13824183224145903</v>
      </c>
      <c r="P47" s="16">
        <f t="shared" si="73"/>
        <v>0.15255067648675461</v>
      </c>
      <c r="Q47" s="16">
        <f t="shared" si="73"/>
        <v>0.18974153433107463</v>
      </c>
      <c r="R47" s="16">
        <f t="shared" si="73"/>
        <v>0.29076406130731325</v>
      </c>
      <c r="S47" s="16">
        <f t="shared" si="73"/>
        <v>0.19257815614958193</v>
      </c>
      <c r="T47" s="16">
        <f t="shared" si="73"/>
        <v>0.15048815916203456</v>
      </c>
      <c r="U47" s="16">
        <f t="shared" si="73"/>
        <v>0.13487769096752389</v>
      </c>
      <c r="V47" s="16">
        <f t="shared" si="73"/>
        <v>0.17258154159043534</v>
      </c>
      <c r="W47" s="16">
        <f t="shared" si="73"/>
        <v>0.28670846219814405</v>
      </c>
      <c r="X47" s="16">
        <f t="shared" si="73"/>
        <v>0.18830362915947535</v>
      </c>
      <c r="Y47" s="16">
        <f t="shared" si="73"/>
        <v>0.14308416802312734</v>
      </c>
      <c r="Z47" s="16">
        <f t="shared" si="73"/>
        <v>0.14948043962298546</v>
      </c>
      <c r="AA47" s="16">
        <f t="shared" si="73"/>
        <v>0.17787526749812582</v>
      </c>
      <c r="AB47" s="16">
        <f t="shared" si="73"/>
        <v>0.22116922168599154</v>
      </c>
      <c r="AC47" s="16">
        <f t="shared" si="73"/>
        <v>0.17438942769243732</v>
      </c>
      <c r="AD47" s="16">
        <f t="shared" si="73"/>
        <v>0.17398471452120481</v>
      </c>
      <c r="AE47" s="16">
        <f t="shared" si="73"/>
        <v>0.16563849046093851</v>
      </c>
      <c r="AF47" s="16">
        <f t="shared" si="73"/>
        <v>0.19974063594718414</v>
      </c>
      <c r="AG47" s="16">
        <f t="shared" si="73"/>
        <v>0.30031440296531636</v>
      </c>
      <c r="AH47" s="16">
        <f t="shared" si="73"/>
        <v>0.2116371834894207</v>
      </c>
      <c r="AI47" s="16">
        <f t="shared" si="73"/>
        <v>0.18229475100942136</v>
      </c>
      <c r="AJ47" s="16">
        <f t="shared" si="73"/>
        <v>0.17490021082220655</v>
      </c>
      <c r="AK47" s="16">
        <f t="shared" si="73"/>
        <v>0.20398738872403566</v>
      </c>
      <c r="AL47" s="85">
        <f>AG47+AL48</f>
        <v>0.30281440296531636</v>
      </c>
      <c r="AM47" s="16">
        <f>AM41/AM13</f>
        <v>0.21731290481978777</v>
      </c>
      <c r="AN47" s="85">
        <f>AI47+AN48</f>
        <v>0.18479475100942136</v>
      </c>
      <c r="AO47" s="85">
        <f t="shared" ref="AO47:AQ47" si="74">AJ47+AO48</f>
        <v>0.17740021082220656</v>
      </c>
      <c r="AP47" s="85">
        <f t="shared" si="74"/>
        <v>0.20648738872403566</v>
      </c>
      <c r="AQ47" s="85">
        <f t="shared" si="74"/>
        <v>0.29531440296531636</v>
      </c>
      <c r="AR47" s="16">
        <f>AR41/AR13</f>
        <v>0.21715478658651477</v>
      </c>
      <c r="AS47" s="85">
        <f>AN47+AS48</f>
        <v>0.18479475100942136</v>
      </c>
      <c r="AT47" s="85">
        <f t="shared" ref="AT47:AV47" si="75">AO47+AT48</f>
        <v>0.17740021082220656</v>
      </c>
      <c r="AU47" s="85">
        <f t="shared" si="75"/>
        <v>0.20648738872403566</v>
      </c>
      <c r="AV47" s="85">
        <f t="shared" si="75"/>
        <v>0.28781440296531635</v>
      </c>
      <c r="AW47" s="16">
        <f>AW41/AW13</f>
        <v>0.21519633032426036</v>
      </c>
      <c r="AX47" s="85">
        <f>AS47+AX48</f>
        <v>0.18229475100942136</v>
      </c>
      <c r="AY47" s="85">
        <f t="shared" ref="AY47:BA47" si="76">AT47+AY48</f>
        <v>0.17490021082220655</v>
      </c>
      <c r="AZ47" s="85">
        <f t="shared" si="76"/>
        <v>0.20398738872403566</v>
      </c>
      <c r="BA47" s="85">
        <f t="shared" si="76"/>
        <v>0.28031440296531634</v>
      </c>
      <c r="BB47" s="16">
        <f>BB41/BB13</f>
        <v>0.21140067031832691</v>
      </c>
      <c r="BC47" s="85">
        <f>AX47+BC48</f>
        <v>0.17729475100942135</v>
      </c>
      <c r="BD47" s="85">
        <f t="shared" ref="BD47:BF47" si="77">AY47+BD48</f>
        <v>0.16990021082220655</v>
      </c>
      <c r="BE47" s="85">
        <f t="shared" si="77"/>
        <v>0.19898738872403565</v>
      </c>
      <c r="BF47" s="85">
        <f t="shared" si="77"/>
        <v>0.27281440296531634</v>
      </c>
      <c r="BG47" s="16">
        <f>BG41/BG13</f>
        <v>0.20576902707300165</v>
      </c>
      <c r="BH47" s="85">
        <f>BC47+BH48</f>
        <v>0.16979475100942135</v>
      </c>
      <c r="BI47" s="85">
        <f t="shared" ref="BI47:BK47" si="78">BD47+BI48</f>
        <v>0.16240021082220654</v>
      </c>
      <c r="BJ47" s="85">
        <f t="shared" si="78"/>
        <v>0.19148738872403565</v>
      </c>
      <c r="BK47" s="85">
        <f t="shared" si="78"/>
        <v>0.26531440296531633</v>
      </c>
      <c r="BL47" s="16">
        <f>BL41/BL13</f>
        <v>0.19829283215479426</v>
      </c>
    </row>
    <row r="48" spans="1:64">
      <c r="A48" s="1" t="s">
        <v>1726</v>
      </c>
      <c r="O48" s="85">
        <f t="shared" ref="O48:AK48" si="79">O47-J47</f>
        <v>-1.7156881594680345E-2</v>
      </c>
      <c r="P48" s="85">
        <f t="shared" si="79"/>
        <v>-5.575953417087387E-3</v>
      </c>
      <c r="Q48" s="85">
        <f t="shared" si="79"/>
        <v>-3.377262914386725E-3</v>
      </c>
      <c r="R48" s="85">
        <f t="shared" si="79"/>
        <v>-4.8122038347212237E-2</v>
      </c>
      <c r="S48" s="85">
        <f t="shared" si="79"/>
        <v>-1.9527499552865785E-2</v>
      </c>
      <c r="T48" s="85">
        <f t="shared" si="79"/>
        <v>1.2246326920575534E-2</v>
      </c>
      <c r="U48" s="85">
        <f t="shared" si="79"/>
        <v>-1.7672985519230716E-2</v>
      </c>
      <c r="V48" s="85">
        <f t="shared" si="79"/>
        <v>-1.7159992740639285E-2</v>
      </c>
      <c r="W48" s="85">
        <f t="shared" si="79"/>
        <v>-4.0555991091691945E-3</v>
      </c>
      <c r="X48" s="85">
        <f t="shared" si="79"/>
        <v>-4.2745269901065808E-3</v>
      </c>
      <c r="Y48" s="85">
        <f t="shared" si="79"/>
        <v>-7.4039911389072177E-3</v>
      </c>
      <c r="Z48" s="85">
        <f t="shared" si="79"/>
        <v>1.4602748655461573E-2</v>
      </c>
      <c r="AA48" s="85">
        <f t="shared" si="79"/>
        <v>5.2937259076904775E-3</v>
      </c>
      <c r="AB48" s="85">
        <f t="shared" si="79"/>
        <v>-6.5539240512152513E-2</v>
      </c>
      <c r="AC48" s="85">
        <f t="shared" si="79"/>
        <v>-1.3914201467038034E-2</v>
      </c>
      <c r="AD48" s="85">
        <f t="shared" si="79"/>
        <v>3.0900546498077469E-2</v>
      </c>
      <c r="AE48" s="85">
        <f t="shared" si="79"/>
        <v>1.6158050837953047E-2</v>
      </c>
      <c r="AF48" s="85">
        <f t="shared" si="79"/>
        <v>2.1865368449058314E-2</v>
      </c>
      <c r="AG48" s="85">
        <f t="shared" si="79"/>
        <v>7.9145181279324822E-2</v>
      </c>
      <c r="AH48" s="85">
        <f t="shared" si="79"/>
        <v>3.7247755796983389E-2</v>
      </c>
      <c r="AI48" s="85">
        <f t="shared" si="79"/>
        <v>8.3100364882165434E-3</v>
      </c>
      <c r="AJ48" s="85">
        <f t="shared" si="79"/>
        <v>9.2617203612680443E-3</v>
      </c>
      <c r="AK48" s="85">
        <f t="shared" si="79"/>
        <v>4.2467527768515201E-3</v>
      </c>
      <c r="AL48" s="401">
        <v>2.5000000000000001E-3</v>
      </c>
      <c r="AM48" s="85">
        <f>AM47-AH47</f>
        <v>5.6757213303670617E-3</v>
      </c>
      <c r="AN48" s="401">
        <v>2.5000000000000001E-3</v>
      </c>
      <c r="AO48" s="401">
        <v>2.5000000000000001E-3</v>
      </c>
      <c r="AP48" s="401">
        <v>2.5000000000000001E-3</v>
      </c>
      <c r="AQ48" s="401">
        <v>-7.4999999999999997E-3</v>
      </c>
      <c r="AR48" s="85">
        <f>AR47-AM47</f>
        <v>-1.581182332729969E-4</v>
      </c>
      <c r="AS48" s="401">
        <f>AN48-0.25%</f>
        <v>0</v>
      </c>
      <c r="AT48" s="401">
        <f>AO48-0.25%</f>
        <v>0</v>
      </c>
      <c r="AU48" s="401">
        <f>AP48-0.25%</f>
        <v>0</v>
      </c>
      <c r="AV48" s="401">
        <f>AQ48</f>
        <v>-7.4999999999999997E-3</v>
      </c>
      <c r="AW48" s="85">
        <f>AW47-AR47</f>
        <v>-1.9584562622544099E-3</v>
      </c>
      <c r="AX48" s="401">
        <f>AS48-0.25%</f>
        <v>-2.5000000000000001E-3</v>
      </c>
      <c r="AY48" s="401">
        <f>AT48-0.25%</f>
        <v>-2.5000000000000001E-3</v>
      </c>
      <c r="AZ48" s="401">
        <f>AU48-0.25%</f>
        <v>-2.5000000000000001E-3</v>
      </c>
      <c r="BA48" s="401">
        <f>AV48</f>
        <v>-7.4999999999999997E-3</v>
      </c>
      <c r="BB48" s="85">
        <f>BB47-AW47</f>
        <v>-3.7956600059334544E-3</v>
      </c>
      <c r="BC48" s="401">
        <f>AX48-0.25%</f>
        <v>-5.0000000000000001E-3</v>
      </c>
      <c r="BD48" s="401">
        <f>AY48-0.25%</f>
        <v>-5.0000000000000001E-3</v>
      </c>
      <c r="BE48" s="401">
        <f>AZ48-0.25%</f>
        <v>-5.0000000000000001E-3</v>
      </c>
      <c r="BF48" s="401">
        <f>BA48</f>
        <v>-7.4999999999999997E-3</v>
      </c>
      <c r="BG48" s="85">
        <f>BG47-BB47</f>
        <v>-5.6316432453252518E-3</v>
      </c>
      <c r="BH48" s="401">
        <f>BC48-0.25%</f>
        <v>-7.4999999999999997E-3</v>
      </c>
      <c r="BI48" s="401">
        <f>BD48-0.25%</f>
        <v>-7.4999999999999997E-3</v>
      </c>
      <c r="BJ48" s="401">
        <f>BE48-0.25%</f>
        <v>-7.4999999999999997E-3</v>
      </c>
      <c r="BK48" s="401">
        <f>BF48</f>
        <v>-7.4999999999999997E-3</v>
      </c>
      <c r="BL48" s="85">
        <f>BL47-BG47</f>
        <v>-7.4761949182073906E-3</v>
      </c>
    </row>
    <row r="50" spans="1:64">
      <c r="A50" s="1" t="s">
        <v>1727</v>
      </c>
      <c r="J50" s="16">
        <f t="shared" ref="J50:BL50" si="80">J43/J13</f>
        <v>0.13314392299761532</v>
      </c>
      <c r="K50" s="16">
        <f t="shared" si="80"/>
        <v>0.13000607283423918</v>
      </c>
      <c r="L50" s="16">
        <f t="shared" si="80"/>
        <v>0.11856575959787341</v>
      </c>
      <c r="M50" s="16">
        <f t="shared" si="80"/>
        <v>0.12973825940791056</v>
      </c>
      <c r="N50" s="16">
        <f t="shared" si="80"/>
        <v>0.12760569391406604</v>
      </c>
      <c r="O50" s="16">
        <f t="shared" si="80"/>
        <v>0.15535885240172018</v>
      </c>
      <c r="P50" s="16">
        <f t="shared" si="80"/>
        <v>0.15207130614857708</v>
      </c>
      <c r="Q50" s="16">
        <f t="shared" si="80"/>
        <v>0.15201807241827189</v>
      </c>
      <c r="R50" s="16">
        <f t="shared" si="80"/>
        <v>0.16756660229907322</v>
      </c>
      <c r="S50" s="16">
        <f t="shared" si="80"/>
        <v>0.15665666797815245</v>
      </c>
      <c r="T50" s="16">
        <f t="shared" si="80"/>
        <v>0.1669064748201439</v>
      </c>
      <c r="U50" s="16">
        <f t="shared" si="80"/>
        <v>0.15625924829831309</v>
      </c>
      <c r="V50" s="16">
        <f t="shared" si="80"/>
        <v>0.14399138743103215</v>
      </c>
      <c r="W50" s="16">
        <f t="shared" si="80"/>
        <v>0.14724517906336088</v>
      </c>
      <c r="X50" s="16">
        <f t="shared" si="80"/>
        <v>0.15301039561074214</v>
      </c>
      <c r="Y50" s="16">
        <f t="shared" si="80"/>
        <v>0.15233698788228503</v>
      </c>
      <c r="Z50" s="16">
        <f t="shared" si="80"/>
        <v>0.15307164745366994</v>
      </c>
      <c r="AA50" s="16">
        <f t="shared" si="80"/>
        <v>0.14342465753424657</v>
      </c>
      <c r="AB50" s="16">
        <f t="shared" si="80"/>
        <v>0.1355888429752066</v>
      </c>
      <c r="AC50" s="16">
        <f t="shared" si="80"/>
        <v>0.14575600957369314</v>
      </c>
      <c r="AD50" s="16">
        <f t="shared" si="80"/>
        <v>0.15839952045556724</v>
      </c>
      <c r="AE50" s="16">
        <f t="shared" si="80"/>
        <v>0.14802952235064756</v>
      </c>
      <c r="AF50" s="16">
        <f t="shared" si="80"/>
        <v>0.14457019671247642</v>
      </c>
      <c r="AG50" s="16">
        <f t="shared" si="80"/>
        <v>0.14310299179242786</v>
      </c>
      <c r="AH50" s="16">
        <f t="shared" si="80"/>
        <v>0.14824835241068332</v>
      </c>
      <c r="AI50" s="16">
        <f t="shared" si="80"/>
        <v>0.1490952594586511</v>
      </c>
      <c r="AJ50" s="16">
        <f t="shared" si="80"/>
        <v>0.13605059732958538</v>
      </c>
      <c r="AK50" s="16">
        <f t="shared" si="80"/>
        <v>0.13595899649312113</v>
      </c>
      <c r="AL50" s="16">
        <f t="shared" si="80"/>
        <v>0.13133806772019141</v>
      </c>
      <c r="AM50" s="16">
        <f t="shared" si="80"/>
        <v>0.13785113419808592</v>
      </c>
      <c r="AN50" s="16">
        <f t="shared" si="80"/>
        <v>0.14621699164300669</v>
      </c>
      <c r="AO50" s="16">
        <f t="shared" si="80"/>
        <v>0.137695245200991</v>
      </c>
      <c r="AP50" s="16">
        <f t="shared" si="80"/>
        <v>0.13200759454382224</v>
      </c>
      <c r="AQ50" s="16">
        <f t="shared" si="80"/>
        <v>0.13228595779133187</v>
      </c>
      <c r="AR50" s="16">
        <f t="shared" si="80"/>
        <v>0.13681636613879805</v>
      </c>
      <c r="AS50" s="16">
        <f t="shared" si="80"/>
        <v>0.14466380641963938</v>
      </c>
      <c r="AT50" s="16">
        <f t="shared" si="80"/>
        <v>0.13639197853119608</v>
      </c>
      <c r="AU50" s="16">
        <f t="shared" si="80"/>
        <v>0.13071481871691487</v>
      </c>
      <c r="AV50" s="16">
        <f t="shared" si="80"/>
        <v>0.13110492756637745</v>
      </c>
      <c r="AW50" s="16">
        <f t="shared" si="80"/>
        <v>0.13549167532897158</v>
      </c>
      <c r="AX50" s="16">
        <f t="shared" si="80"/>
        <v>0.14293245198045398</v>
      </c>
      <c r="AY50" s="16">
        <f t="shared" si="80"/>
        <v>0.13485139411936994</v>
      </c>
      <c r="AZ50" s="16">
        <f t="shared" si="80"/>
        <v>0.12924244464859555</v>
      </c>
      <c r="BA50" s="16">
        <f t="shared" si="80"/>
        <v>0.12961863698873824</v>
      </c>
      <c r="BB50" s="16">
        <f t="shared" si="80"/>
        <v>0.13393955137136862</v>
      </c>
      <c r="BC50" s="16">
        <f t="shared" si="80"/>
        <v>0.14118202643766684</v>
      </c>
      <c r="BD50" s="16">
        <f t="shared" si="80"/>
        <v>0.13326468743191633</v>
      </c>
      <c r="BE50" s="16">
        <f t="shared" si="80"/>
        <v>0.12766772630523479</v>
      </c>
      <c r="BF50" s="16">
        <f t="shared" si="80"/>
        <v>0.12795920562573454</v>
      </c>
      <c r="BG50" s="16">
        <f t="shared" si="80"/>
        <v>0.1322981367838359</v>
      </c>
      <c r="BH50" s="16">
        <f t="shared" si="80"/>
        <v>0.1397369940949254</v>
      </c>
      <c r="BI50" s="16">
        <f t="shared" si="80"/>
        <v>0.13190628318754194</v>
      </c>
      <c r="BJ50" s="16">
        <f t="shared" si="80"/>
        <v>0.12628752307786201</v>
      </c>
      <c r="BK50" s="16">
        <f t="shared" si="80"/>
        <v>0.12647098911954688</v>
      </c>
      <c r="BL50" s="16">
        <f t="shared" si="80"/>
        <v>0.13087792657322189</v>
      </c>
    </row>
    <row r="51" spans="1:64">
      <c r="A51" s="1" t="s">
        <v>1728</v>
      </c>
      <c r="O51" s="85">
        <f t="shared" ref="O51:BL51" si="81">O50-J50</f>
        <v>2.2214929404104855E-2</v>
      </c>
      <c r="P51" s="85">
        <f t="shared" si="81"/>
        <v>2.2065233314337906E-2</v>
      </c>
      <c r="Q51" s="85">
        <f t="shared" si="81"/>
        <v>3.3452312820398483E-2</v>
      </c>
      <c r="R51" s="85">
        <f t="shared" si="81"/>
        <v>3.7828342891162658E-2</v>
      </c>
      <c r="S51" s="85">
        <f t="shared" si="81"/>
        <v>2.905097406408641E-2</v>
      </c>
      <c r="T51" s="85">
        <f t="shared" si="81"/>
        <v>1.154762241842372E-2</v>
      </c>
      <c r="U51" s="85">
        <f t="shared" si="81"/>
        <v>4.1879421497360014E-3</v>
      </c>
      <c r="V51" s="85">
        <f t="shared" si="81"/>
        <v>-8.0266849872397406E-3</v>
      </c>
      <c r="W51" s="85">
        <f t="shared" si="81"/>
        <v>-2.0321423235712344E-2</v>
      </c>
      <c r="X51" s="85">
        <f t="shared" si="81"/>
        <v>-3.6462723674103026E-3</v>
      </c>
      <c r="Y51" s="85">
        <f t="shared" si="81"/>
        <v>-1.4569486937858867E-2</v>
      </c>
      <c r="Z51" s="85">
        <f t="shared" si="81"/>
        <v>-3.1876008446431459E-3</v>
      </c>
      <c r="AA51" s="85">
        <f t="shared" si="81"/>
        <v>-5.6672989678557828E-4</v>
      </c>
      <c r="AB51" s="85">
        <f t="shared" si="81"/>
        <v>-1.1656336088154279E-2</v>
      </c>
      <c r="AC51" s="85">
        <f t="shared" si="81"/>
        <v>-7.2543860370490043E-3</v>
      </c>
      <c r="AD51" s="85">
        <f t="shared" si="81"/>
        <v>6.0625325732822088E-3</v>
      </c>
      <c r="AE51" s="85">
        <f t="shared" si="81"/>
        <v>-5.0421251030223768E-3</v>
      </c>
      <c r="AF51" s="85">
        <f t="shared" si="81"/>
        <v>1.1455391782298485E-3</v>
      </c>
      <c r="AG51" s="85">
        <f t="shared" si="81"/>
        <v>7.5141488172212612E-3</v>
      </c>
      <c r="AH51" s="85">
        <f t="shared" si="81"/>
        <v>2.4923428369901801E-3</v>
      </c>
      <c r="AI51" s="85">
        <f t="shared" si="81"/>
        <v>-9.3042609969161416E-3</v>
      </c>
      <c r="AJ51" s="85">
        <f t="shared" si="81"/>
        <v>-1.1978925021062181E-2</v>
      </c>
      <c r="AK51" s="85">
        <f t="shared" si="81"/>
        <v>-8.6112002193552972E-3</v>
      </c>
      <c r="AL51" s="85">
        <f t="shared" si="81"/>
        <v>-1.1764924072236449E-2</v>
      </c>
      <c r="AM51" s="85">
        <f t="shared" si="81"/>
        <v>-1.0397218212597398E-2</v>
      </c>
      <c r="AN51" s="85">
        <f t="shared" si="81"/>
        <v>-2.878267815644403E-3</v>
      </c>
      <c r="AO51" s="85">
        <f t="shared" si="81"/>
        <v>1.6446478714056134E-3</v>
      </c>
      <c r="AP51" s="85">
        <f t="shared" si="81"/>
        <v>-3.9514019492988828E-3</v>
      </c>
      <c r="AQ51" s="85">
        <f t="shared" si="81"/>
        <v>9.4789007114046142E-4</v>
      </c>
      <c r="AR51" s="85">
        <f t="shared" si="81"/>
        <v>-1.0347680592878716E-3</v>
      </c>
      <c r="AS51" s="85">
        <f t="shared" si="81"/>
        <v>-1.5531852233673094E-3</v>
      </c>
      <c r="AT51" s="85">
        <f t="shared" si="81"/>
        <v>-1.3032666697949113E-3</v>
      </c>
      <c r="AU51" s="85">
        <f t="shared" si="81"/>
        <v>-1.2927758269073719E-3</v>
      </c>
      <c r="AV51" s="85">
        <f t="shared" si="81"/>
        <v>-1.1810302249544158E-3</v>
      </c>
      <c r="AW51" s="85">
        <f t="shared" si="81"/>
        <v>-1.3246908098264731E-3</v>
      </c>
      <c r="AX51" s="85">
        <f t="shared" si="81"/>
        <v>-1.7313544391854008E-3</v>
      </c>
      <c r="AY51" s="85">
        <f t="shared" si="81"/>
        <v>-1.5405844118261403E-3</v>
      </c>
      <c r="AZ51" s="85">
        <f t="shared" si="81"/>
        <v>-1.4723740683193209E-3</v>
      </c>
      <c r="BA51" s="85">
        <f t="shared" si="81"/>
        <v>-1.4862905776392155E-3</v>
      </c>
      <c r="BB51" s="85">
        <f t="shared" si="81"/>
        <v>-1.5521239576029577E-3</v>
      </c>
      <c r="BC51" s="85">
        <f t="shared" si="81"/>
        <v>-1.7504255427871485E-3</v>
      </c>
      <c r="BD51" s="85">
        <f t="shared" si="81"/>
        <v>-1.5867066874536151E-3</v>
      </c>
      <c r="BE51" s="85">
        <f t="shared" si="81"/>
        <v>-1.5747183433607592E-3</v>
      </c>
      <c r="BF51" s="85">
        <f t="shared" si="81"/>
        <v>-1.6594313630036994E-3</v>
      </c>
      <c r="BG51" s="85">
        <f t="shared" si="81"/>
        <v>-1.6414145875327246E-3</v>
      </c>
      <c r="BH51" s="85">
        <f t="shared" si="81"/>
        <v>-1.4450323427414313E-3</v>
      </c>
      <c r="BI51" s="85">
        <f t="shared" si="81"/>
        <v>-1.3584042443743893E-3</v>
      </c>
      <c r="BJ51" s="85">
        <f t="shared" si="81"/>
        <v>-1.3802032273727838E-3</v>
      </c>
      <c r="BK51" s="85">
        <f t="shared" si="81"/>
        <v>-1.4882165061876618E-3</v>
      </c>
      <c r="BL51" s="85">
        <f t="shared" si="81"/>
        <v>-1.4202102106140035E-3</v>
      </c>
    </row>
    <row r="53" spans="1:64">
      <c r="A53" s="9" t="s">
        <v>1729</v>
      </c>
      <c r="B53" s="9"/>
      <c r="C53" s="9"/>
      <c r="D53" s="9"/>
      <c r="E53" s="9"/>
      <c r="F53" s="9"/>
      <c r="G53" s="9"/>
      <c r="H53" s="9"/>
      <c r="I53" s="9"/>
      <c r="J53" s="378">
        <f t="shared" ref="J53:BL53" si="82">J13-J42</f>
        <v>275.85500000000002</v>
      </c>
      <c r="K53" s="378">
        <f t="shared" si="82"/>
        <v>277.23599999999999</v>
      </c>
      <c r="L53" s="378">
        <f t="shared" si="82"/>
        <v>249.55499999999995</v>
      </c>
      <c r="M53" s="378">
        <f t="shared" si="82"/>
        <v>166.83399999999995</v>
      </c>
      <c r="N53" s="378">
        <f t="shared" si="82"/>
        <v>969.47999999999979</v>
      </c>
      <c r="O53" s="378">
        <f t="shared" si="82"/>
        <v>307.97399999999993</v>
      </c>
      <c r="P53" s="378">
        <f t="shared" si="82"/>
        <v>298.98</v>
      </c>
      <c r="Q53" s="378">
        <f t="shared" si="82"/>
        <v>272.31700000000001</v>
      </c>
      <c r="R53" s="378">
        <f t="shared" si="82"/>
        <v>190.45299999999997</v>
      </c>
      <c r="S53" s="378">
        <f t="shared" si="82"/>
        <v>1069.7240000000004</v>
      </c>
      <c r="T53" s="378">
        <f t="shared" si="82"/>
        <v>293.79999999999995</v>
      </c>
      <c r="U53" s="378">
        <f t="shared" si="82"/>
        <v>322.5</v>
      </c>
      <c r="V53" s="378">
        <f t="shared" si="82"/>
        <v>275.80000000000007</v>
      </c>
      <c r="W53" s="378">
        <f t="shared" si="82"/>
        <v>190.39999999999998</v>
      </c>
      <c r="X53" s="378">
        <f t="shared" si="82"/>
        <v>1082.4999999999995</v>
      </c>
      <c r="Y53" s="378">
        <f t="shared" si="82"/>
        <v>290.10000000000002</v>
      </c>
      <c r="Z53" s="378">
        <f t="shared" si="82"/>
        <v>285.09999999999991</v>
      </c>
      <c r="AA53" s="378">
        <f t="shared" si="82"/>
        <v>258.8</v>
      </c>
      <c r="AB53" s="378">
        <f t="shared" si="82"/>
        <v>225.90000000000009</v>
      </c>
      <c r="AC53" s="378">
        <f t="shared" si="82"/>
        <v>1059.9000000000003</v>
      </c>
      <c r="AD53" s="378">
        <f t="shared" si="82"/>
        <v>260.49999999999994</v>
      </c>
      <c r="AE53" s="378">
        <f t="shared" si="82"/>
        <v>267.09999999999997</v>
      </c>
      <c r="AF53" s="378">
        <f t="shared" si="82"/>
        <v>222.89999999999986</v>
      </c>
      <c r="AG53" s="378">
        <f t="shared" si="82"/>
        <v>139.29999999999995</v>
      </c>
      <c r="AH53" s="378">
        <f t="shared" si="82"/>
        <v>889.79999999999973</v>
      </c>
      <c r="AI53" s="378">
        <f t="shared" si="82"/>
        <v>247.7</v>
      </c>
      <c r="AJ53" s="378">
        <f t="shared" si="82"/>
        <v>258.3</v>
      </c>
      <c r="AK53" s="378">
        <f t="shared" si="82"/>
        <v>214.19999999999993</v>
      </c>
      <c r="AL53" s="378">
        <f t="shared" si="82"/>
        <v>138.0421069100139</v>
      </c>
      <c r="AM53" s="378">
        <f t="shared" si="82"/>
        <v>858.24210691001417</v>
      </c>
      <c r="AN53" s="378">
        <f t="shared" si="82"/>
        <v>243.05242113426442</v>
      </c>
      <c r="AO53" s="378">
        <f t="shared" si="82"/>
        <v>252.47016494008545</v>
      </c>
      <c r="AP53" s="378">
        <f t="shared" si="82"/>
        <v>208.42028913445711</v>
      </c>
      <c r="AQ53" s="378">
        <f t="shared" si="82"/>
        <v>139.06669869626353</v>
      </c>
      <c r="AR53" s="378">
        <f t="shared" si="82"/>
        <v>843.00957390507074</v>
      </c>
      <c r="AS53" s="378">
        <f t="shared" si="82"/>
        <v>239.05304330131617</v>
      </c>
      <c r="AT53" s="378">
        <f t="shared" si="82"/>
        <v>247.60790485315488</v>
      </c>
      <c r="AU53" s="378">
        <f t="shared" si="82"/>
        <v>203.85468539488454</v>
      </c>
      <c r="AV53" s="378">
        <f t="shared" si="82"/>
        <v>139.71494047777583</v>
      </c>
      <c r="AW53" s="378">
        <f t="shared" si="82"/>
        <v>830.2305740271313</v>
      </c>
      <c r="AX53" s="378">
        <f t="shared" si="82"/>
        <v>237.11327977585091</v>
      </c>
      <c r="AY53" s="378">
        <f t="shared" si="82"/>
        <v>245.23788231607642</v>
      </c>
      <c r="AZ53" s="378">
        <f t="shared" si="82"/>
        <v>201.64277673803531</v>
      </c>
      <c r="BA53" s="378">
        <f t="shared" si="82"/>
        <v>141.07380504293587</v>
      </c>
      <c r="BB53" s="378">
        <f t="shared" si="82"/>
        <v>825.06774387289852</v>
      </c>
      <c r="BC53" s="378">
        <f t="shared" si="82"/>
        <v>236.95810893127424</v>
      </c>
      <c r="BD53" s="378">
        <f t="shared" si="82"/>
        <v>244.8897494379903</v>
      </c>
      <c r="BE53" s="378">
        <f t="shared" si="82"/>
        <v>201.65199283265122</v>
      </c>
      <c r="BF53" s="378">
        <f t="shared" si="82"/>
        <v>142.89947080674813</v>
      </c>
      <c r="BG53" s="378">
        <f t="shared" si="82"/>
        <v>826.39932200866338</v>
      </c>
      <c r="BH53" s="378">
        <f t="shared" si="82"/>
        <v>237.3907828137169</v>
      </c>
      <c r="BI53" s="378">
        <f t="shared" si="82"/>
        <v>245.31693648736336</v>
      </c>
      <c r="BJ53" s="378">
        <f t="shared" si="82"/>
        <v>202.62815993300319</v>
      </c>
      <c r="BK53" s="378">
        <f t="shared" si="82"/>
        <v>144.05020263986046</v>
      </c>
      <c r="BL53" s="378">
        <f t="shared" si="82"/>
        <v>829.38608187394357</v>
      </c>
    </row>
    <row r="54" spans="1:64">
      <c r="A54" s="1" t="s">
        <v>1112</v>
      </c>
      <c r="J54" s="16">
        <f t="shared" ref="J54:BL54" si="83">J53/J13</f>
        <v>0.43420876586836249</v>
      </c>
      <c r="K54" s="16">
        <f t="shared" si="83"/>
        <v>0.42408268844524732</v>
      </c>
      <c r="L54" s="16">
        <f t="shared" si="83"/>
        <v>0.34613928238046948</v>
      </c>
      <c r="M54" s="16">
        <f t="shared" si="83"/>
        <v>0.24883030338283563</v>
      </c>
      <c r="N54" s="16">
        <f t="shared" si="83"/>
        <v>0.36168202960966633</v>
      </c>
      <c r="O54" s="16">
        <f t="shared" si="83"/>
        <v>0.46799580591730355</v>
      </c>
      <c r="P54" s="16">
        <f t="shared" si="83"/>
        <v>0.44098776066480033</v>
      </c>
      <c r="Q54" s="16">
        <f t="shared" si="83"/>
        <v>0.38910710994197339</v>
      </c>
      <c r="R54" s="16">
        <f t="shared" si="83"/>
        <v>0.28822103306960778</v>
      </c>
      <c r="S54" s="16">
        <f t="shared" si="83"/>
        <v>0.39668081612734452</v>
      </c>
      <c r="T54" s="16">
        <f t="shared" si="83"/>
        <v>0.46970423661071137</v>
      </c>
      <c r="U54" s="16">
        <f t="shared" si="83"/>
        <v>0.47721219295649597</v>
      </c>
      <c r="V54" s="16">
        <f t="shared" si="83"/>
        <v>0.37114789395774467</v>
      </c>
      <c r="W54" s="16">
        <f t="shared" si="83"/>
        <v>0.26225895316804404</v>
      </c>
      <c r="X54" s="16">
        <f t="shared" si="83"/>
        <v>0.39073779959572613</v>
      </c>
      <c r="Y54" s="16">
        <f t="shared" si="83"/>
        <v>0.41849394114252741</v>
      </c>
      <c r="Z54" s="16">
        <f t="shared" si="83"/>
        <v>0.41602218006712377</v>
      </c>
      <c r="AA54" s="16">
        <f t="shared" si="83"/>
        <v>0.35452054794520549</v>
      </c>
      <c r="AB54" s="16">
        <f t="shared" si="83"/>
        <v>0.29170971074380175</v>
      </c>
      <c r="AC54" s="16">
        <f t="shared" si="83"/>
        <v>0.36765062957438699</v>
      </c>
      <c r="AD54" s="16">
        <f t="shared" si="83"/>
        <v>0.39037913981717365</v>
      </c>
      <c r="AE54" s="16">
        <f t="shared" si="83"/>
        <v>0.371953766884835</v>
      </c>
      <c r="AF54" s="16">
        <f t="shared" si="83"/>
        <v>0.30032336297493922</v>
      </c>
      <c r="AG54" s="16">
        <f t="shared" si="83"/>
        <v>0.18440561292030708</v>
      </c>
      <c r="AH54" s="16">
        <f t="shared" si="83"/>
        <v>0.30863683662851188</v>
      </c>
      <c r="AI54" s="16">
        <f t="shared" si="83"/>
        <v>0.37042021833408101</v>
      </c>
      <c r="AJ54" s="16">
        <f t="shared" si="83"/>
        <v>0.36303583977512299</v>
      </c>
      <c r="AK54" s="16">
        <f t="shared" si="83"/>
        <v>0.28891286754788231</v>
      </c>
      <c r="AL54" s="16">
        <f t="shared" si="83"/>
        <v>0.18595060087779805</v>
      </c>
      <c r="AM54" s="16">
        <f t="shared" si="83"/>
        <v>0.29966982739133829</v>
      </c>
      <c r="AN54" s="16">
        <f t="shared" si="83"/>
        <v>0.36449634697232086</v>
      </c>
      <c r="AO54" s="16">
        <f t="shared" si="83"/>
        <v>0.35655324376779191</v>
      </c>
      <c r="AP54" s="16">
        <f t="shared" si="83"/>
        <v>0.28218524125915506</v>
      </c>
      <c r="AQ54" s="16">
        <f t="shared" si="83"/>
        <v>0.18868278393757729</v>
      </c>
      <c r="AR54" s="16">
        <f t="shared" si="83"/>
        <v>0.29573719621002126</v>
      </c>
      <c r="AS54" s="16">
        <f t="shared" si="83"/>
        <v>0.35929686420953011</v>
      </c>
      <c r="AT54" s="16">
        <f t="shared" si="83"/>
        <v>0.35087513810790588</v>
      </c>
      <c r="AU54" s="16">
        <f t="shared" si="83"/>
        <v>0.27685016359466025</v>
      </c>
      <c r="AV54" s="16">
        <f t="shared" si="83"/>
        <v>0.19030978858472247</v>
      </c>
      <c r="AW54" s="16">
        <f t="shared" si="83"/>
        <v>0.29218008151758385</v>
      </c>
      <c r="AX54" s="16">
        <f t="shared" si="83"/>
        <v>0.35674928921568172</v>
      </c>
      <c r="AY54" s="16">
        <f t="shared" si="83"/>
        <v>0.34811231917057778</v>
      </c>
      <c r="AZ54" s="16">
        <f t="shared" si="83"/>
        <v>0.27432426748794353</v>
      </c>
      <c r="BA54" s="16">
        <f t="shared" si="83"/>
        <v>0.19248204552084561</v>
      </c>
      <c r="BB54" s="16">
        <f t="shared" si="83"/>
        <v>0.29081369332979817</v>
      </c>
      <c r="BC54" s="16">
        <f t="shared" si="83"/>
        <v>0.3568450773307168</v>
      </c>
      <c r="BD54" s="16">
        <f t="shared" si="83"/>
        <v>0.34810832975076361</v>
      </c>
      <c r="BE54" s="16">
        <f t="shared" si="83"/>
        <v>0.27460748191855022</v>
      </c>
      <c r="BF54" s="16">
        <f t="shared" si="83"/>
        <v>0.19504322953353959</v>
      </c>
      <c r="BG54" s="16">
        <f t="shared" si="83"/>
        <v>0.29154957477645704</v>
      </c>
      <c r="BH54" s="16">
        <f t="shared" si="83"/>
        <v>0.35861918287816302</v>
      </c>
      <c r="BI54" s="16">
        <f t="shared" si="83"/>
        <v>0.3498253545405664</v>
      </c>
      <c r="BJ54" s="16">
        <f t="shared" si="83"/>
        <v>0.27664225322987951</v>
      </c>
      <c r="BK54" s="16">
        <f t="shared" si="83"/>
        <v>0.19695320660253313</v>
      </c>
      <c r="BL54" s="16">
        <f t="shared" si="83"/>
        <v>0.29337386682256805</v>
      </c>
    </row>
    <row r="55" spans="1:64">
      <c r="A55" s="1" t="s">
        <v>28</v>
      </c>
      <c r="O55" s="16">
        <f t="shared" ref="O55:BL55" si="84">O53/J53-1</f>
        <v>0.11643435863043949</v>
      </c>
      <c r="P55" s="16">
        <f t="shared" si="84"/>
        <v>7.8431372549019773E-2</v>
      </c>
      <c r="Q55" s="16">
        <f t="shared" si="84"/>
        <v>9.1210354430887319E-2</v>
      </c>
      <c r="R55" s="16">
        <f t="shared" si="84"/>
        <v>0.14157186185070203</v>
      </c>
      <c r="S55" s="16">
        <f t="shared" si="84"/>
        <v>0.10339976069645651</v>
      </c>
      <c r="T55" s="16">
        <f t="shared" si="84"/>
        <v>-4.6023365608785061E-2</v>
      </c>
      <c r="U55" s="16">
        <f t="shared" si="84"/>
        <v>7.8667469395946155E-2</v>
      </c>
      <c r="V55" s="16">
        <f t="shared" si="84"/>
        <v>1.2790240785555351E-2</v>
      </c>
      <c r="W55" s="16">
        <f t="shared" si="84"/>
        <v>-2.7828388106254653E-4</v>
      </c>
      <c r="X55" s="16">
        <f t="shared" si="84"/>
        <v>1.1943267609214381E-2</v>
      </c>
      <c r="Y55" s="16">
        <f t="shared" si="84"/>
        <v>-1.2593601089176065E-2</v>
      </c>
      <c r="Z55" s="16">
        <f t="shared" si="84"/>
        <v>-0.11596899224806234</v>
      </c>
      <c r="AA55" s="16">
        <f t="shared" si="84"/>
        <v>-6.1638868745467867E-2</v>
      </c>
      <c r="AB55" s="16">
        <f t="shared" si="84"/>
        <v>0.18644957983193344</v>
      </c>
      <c r="AC55" s="16">
        <f t="shared" si="84"/>
        <v>-2.0877598152424182E-2</v>
      </c>
      <c r="AD55" s="16">
        <f t="shared" si="84"/>
        <v>-0.10203378145467112</v>
      </c>
      <c r="AE55" s="16">
        <f t="shared" si="84"/>
        <v>-6.3135741844966509E-2</v>
      </c>
      <c r="AF55" s="16">
        <f t="shared" si="84"/>
        <v>-0.13871715610510105</v>
      </c>
      <c r="AG55" s="16">
        <f t="shared" si="84"/>
        <v>-0.38335546702080614</v>
      </c>
      <c r="AH55" s="16">
        <f t="shared" si="84"/>
        <v>-0.16048683838097988</v>
      </c>
      <c r="AI55" s="16">
        <f t="shared" si="84"/>
        <v>-4.913627639155449E-2</v>
      </c>
      <c r="AJ55" s="16">
        <f t="shared" si="84"/>
        <v>-3.2946461999250998E-2</v>
      </c>
      <c r="AK55" s="16">
        <f t="shared" si="84"/>
        <v>-3.90309555854641E-2</v>
      </c>
      <c r="AL55" s="16">
        <f t="shared" si="84"/>
        <v>-9.0301011485000027E-3</v>
      </c>
      <c r="AM55" s="16">
        <f t="shared" si="84"/>
        <v>-3.5466276792521456E-2</v>
      </c>
      <c r="AN55" s="16">
        <f t="shared" si="84"/>
        <v>-1.8762934459974012E-2</v>
      </c>
      <c r="AO55" s="16">
        <f t="shared" si="84"/>
        <v>-2.2570015717826353E-2</v>
      </c>
      <c r="AP55" s="16">
        <f t="shared" si="84"/>
        <v>-2.6982777150059922E-2</v>
      </c>
      <c r="AQ55" s="16">
        <f t="shared" si="84"/>
        <v>7.422313446125095E-3</v>
      </c>
      <c r="AR55" s="16">
        <f t="shared" si="84"/>
        <v>-1.77485267645352E-2</v>
      </c>
      <c r="AS55" s="16">
        <f t="shared" si="84"/>
        <v>-1.6454795283602497E-2</v>
      </c>
      <c r="AT55" s="16">
        <f t="shared" si="84"/>
        <v>-1.925875117990461E-2</v>
      </c>
      <c r="AU55" s="16">
        <f t="shared" si="84"/>
        <v>-2.1905754754169782E-2</v>
      </c>
      <c r="AV55" s="16">
        <f t="shared" si="84"/>
        <v>4.6613731942262149E-3</v>
      </c>
      <c r="AW55" s="16">
        <f t="shared" si="84"/>
        <v>-1.51587838068592E-2</v>
      </c>
      <c r="AX55" s="16">
        <f t="shared" si="84"/>
        <v>-8.1143644886388921E-3</v>
      </c>
      <c r="AY55" s="16">
        <f t="shared" si="84"/>
        <v>-9.5716755831523059E-3</v>
      </c>
      <c r="AZ55" s="16">
        <f t="shared" si="84"/>
        <v>-1.0850418534970485E-2</v>
      </c>
      <c r="BA55" s="16">
        <f t="shared" si="84"/>
        <v>9.7259789147332576E-3</v>
      </c>
      <c r="BB55" s="16">
        <f t="shared" si="84"/>
        <v>-6.2185497809239543E-3</v>
      </c>
      <c r="BC55" s="16">
        <f t="shared" si="84"/>
        <v>-6.5441650810682539E-4</v>
      </c>
      <c r="BD55" s="16">
        <f t="shared" si="84"/>
        <v>-1.4195721916951953E-3</v>
      </c>
      <c r="BE55" s="16">
        <f t="shared" si="84"/>
        <v>4.5705057056810716E-5</v>
      </c>
      <c r="BF55" s="16">
        <f t="shared" si="84"/>
        <v>1.2941210193179398E-2</v>
      </c>
      <c r="BG55" s="16">
        <f t="shared" si="84"/>
        <v>1.6139015803895429E-3</v>
      </c>
      <c r="BH55" s="16">
        <f t="shared" si="84"/>
        <v>1.8259509429496834E-3</v>
      </c>
      <c r="BI55" s="16">
        <f t="shared" si="84"/>
        <v>1.7444055962057003E-3</v>
      </c>
      <c r="BJ55" s="16">
        <f t="shared" si="84"/>
        <v>4.8408502521573027E-3</v>
      </c>
      <c r="BK55" s="16">
        <f t="shared" si="84"/>
        <v>8.0527368409120115E-3</v>
      </c>
      <c r="BL55" s="16">
        <f t="shared" si="84"/>
        <v>3.6141847963047091E-3</v>
      </c>
    </row>
    <row r="57" spans="1:64">
      <c r="A57" s="9" t="s">
        <v>1730</v>
      </c>
      <c r="B57" s="9"/>
      <c r="C57" s="9"/>
      <c r="D57" s="9"/>
      <c r="E57" s="9"/>
      <c r="F57" s="9"/>
      <c r="G57" s="9"/>
      <c r="H57" s="9"/>
      <c r="I57" s="9"/>
      <c r="J57" s="395">
        <v>191.268</v>
      </c>
      <c r="K57" s="395">
        <v>192.24700000000001</v>
      </c>
      <c r="L57" s="395">
        <v>164.07300000000001</v>
      </c>
      <c r="M57" s="395">
        <v>79.847999999999999</v>
      </c>
      <c r="N57" s="378">
        <f>N13-N44</f>
        <v>627.43599999999969</v>
      </c>
      <c r="O57" s="395">
        <v>205.73699999999999</v>
      </c>
      <c r="P57" s="395">
        <v>195.87899999999999</v>
      </c>
      <c r="Q57" s="395">
        <v>165.92699999999999</v>
      </c>
      <c r="R57" s="395">
        <v>79.727000000000004</v>
      </c>
      <c r="S57" s="378">
        <f>S13-S44</f>
        <v>647.27000000000044</v>
      </c>
      <c r="T57" s="395">
        <v>189.4</v>
      </c>
      <c r="U57" s="395">
        <v>216.9</v>
      </c>
      <c r="V57" s="395">
        <v>168.8</v>
      </c>
      <c r="W57" s="395">
        <v>83.5</v>
      </c>
      <c r="X57" s="378">
        <f t="shared" ref="X57:BL57" si="85">X13-X44</f>
        <v>658.59999999999945</v>
      </c>
      <c r="Y57" s="378">
        <f t="shared" si="85"/>
        <v>184.50000000000006</v>
      </c>
      <c r="Z57" s="378">
        <f t="shared" si="85"/>
        <v>180.19999999999993</v>
      </c>
      <c r="AA57" s="378">
        <f t="shared" si="85"/>
        <v>154.10000000000002</v>
      </c>
      <c r="AB57" s="378">
        <f t="shared" si="85"/>
        <v>120.90000000000009</v>
      </c>
      <c r="AC57" s="378">
        <f t="shared" si="85"/>
        <v>639.70000000000027</v>
      </c>
      <c r="AD57" s="378">
        <f t="shared" si="85"/>
        <v>154.79999999999995</v>
      </c>
      <c r="AE57" s="378">
        <f t="shared" si="85"/>
        <v>160.79999999999995</v>
      </c>
      <c r="AF57" s="378">
        <f t="shared" si="85"/>
        <v>115.59999999999991</v>
      </c>
      <c r="AG57" s="378">
        <f t="shared" si="85"/>
        <v>31.199999999999932</v>
      </c>
      <c r="AH57" s="378">
        <f t="shared" si="85"/>
        <v>462.39999999999964</v>
      </c>
      <c r="AI57" s="378">
        <f t="shared" si="85"/>
        <v>148</v>
      </c>
      <c r="AJ57" s="378">
        <f t="shared" si="85"/>
        <v>161.5</v>
      </c>
      <c r="AK57" s="378">
        <f t="shared" si="85"/>
        <v>113.39999999999998</v>
      </c>
      <c r="AL57" s="378">
        <f t="shared" si="85"/>
        <v>40.542106910013899</v>
      </c>
      <c r="AM57" s="378">
        <f t="shared" si="85"/>
        <v>463.44210691001399</v>
      </c>
      <c r="AN57" s="378">
        <f t="shared" si="85"/>
        <v>145.55242113426448</v>
      </c>
      <c r="AO57" s="378">
        <f t="shared" si="85"/>
        <v>154.9701649400854</v>
      </c>
      <c r="AP57" s="378">
        <f t="shared" si="85"/>
        <v>110.92028913445711</v>
      </c>
      <c r="AQ57" s="378">
        <f t="shared" si="85"/>
        <v>41.566698696263529</v>
      </c>
      <c r="AR57" s="378">
        <f t="shared" si="85"/>
        <v>453.00957390507119</v>
      </c>
      <c r="AS57" s="378">
        <f t="shared" si="85"/>
        <v>142.80304330131617</v>
      </c>
      <c r="AT57" s="378">
        <f t="shared" si="85"/>
        <v>151.35790485315488</v>
      </c>
      <c r="AU57" s="378">
        <f t="shared" si="85"/>
        <v>107.60468539488454</v>
      </c>
      <c r="AV57" s="378">
        <f t="shared" si="85"/>
        <v>43.464940477775826</v>
      </c>
      <c r="AW57" s="378">
        <f t="shared" si="85"/>
        <v>445.2305740271313</v>
      </c>
      <c r="AX57" s="378">
        <f t="shared" si="85"/>
        <v>142.11327977585086</v>
      </c>
      <c r="AY57" s="378">
        <f t="shared" si="85"/>
        <v>150.23788231607637</v>
      </c>
      <c r="AZ57" s="378">
        <f t="shared" si="85"/>
        <v>106.64277673803531</v>
      </c>
      <c r="BA57" s="378">
        <f t="shared" si="85"/>
        <v>46.073805042935874</v>
      </c>
      <c r="BB57" s="378">
        <f t="shared" si="85"/>
        <v>445.06774387289852</v>
      </c>
      <c r="BC57" s="378">
        <f t="shared" si="85"/>
        <v>143.20810893127418</v>
      </c>
      <c r="BD57" s="378">
        <f t="shared" si="85"/>
        <v>151.1397494379903</v>
      </c>
      <c r="BE57" s="378">
        <f t="shared" si="85"/>
        <v>107.90199283265122</v>
      </c>
      <c r="BF57" s="378">
        <f t="shared" si="85"/>
        <v>49.149470806748127</v>
      </c>
      <c r="BG57" s="378">
        <f t="shared" si="85"/>
        <v>451.39932200866315</v>
      </c>
      <c r="BH57" s="378">
        <f t="shared" si="85"/>
        <v>144.8907828137169</v>
      </c>
      <c r="BI57" s="378">
        <f t="shared" si="85"/>
        <v>152.81693648736336</v>
      </c>
      <c r="BJ57" s="378">
        <f t="shared" si="85"/>
        <v>110.12815993300319</v>
      </c>
      <c r="BK57" s="378">
        <f t="shared" si="85"/>
        <v>51.550202639860458</v>
      </c>
      <c r="BL57" s="378">
        <f t="shared" si="85"/>
        <v>459.38608187394357</v>
      </c>
    </row>
    <row r="58" spans="1:64">
      <c r="A58" s="1" t="s">
        <v>1489</v>
      </c>
      <c r="J58" s="16">
        <f t="shared" ref="J58:BL58" si="86">J57/J13</f>
        <v>0.30106484287074714</v>
      </c>
      <c r="K58" s="16">
        <f t="shared" si="86"/>
        <v>0.29407661561100823</v>
      </c>
      <c r="L58" s="16">
        <f t="shared" si="86"/>
        <v>0.22757352278259615</v>
      </c>
      <c r="M58" s="16">
        <f t="shared" si="86"/>
        <v>0.11909204397492518</v>
      </c>
      <c r="N58" s="16">
        <f t="shared" si="86"/>
        <v>0.23407633569560024</v>
      </c>
      <c r="O58" s="16">
        <f t="shared" si="86"/>
        <v>0.31263695351558346</v>
      </c>
      <c r="P58" s="16">
        <f t="shared" si="86"/>
        <v>0.28891645451622322</v>
      </c>
      <c r="Q58" s="16">
        <f t="shared" si="86"/>
        <v>0.23708903752370147</v>
      </c>
      <c r="R58" s="16">
        <f t="shared" si="86"/>
        <v>0.12065443077053457</v>
      </c>
      <c r="S58" s="16">
        <f t="shared" si="86"/>
        <v>0.2400241481491921</v>
      </c>
      <c r="T58" s="16">
        <f t="shared" si="86"/>
        <v>0.30279776179056755</v>
      </c>
      <c r="U58" s="16">
        <f t="shared" si="86"/>
        <v>0.32095294465818286</v>
      </c>
      <c r="V58" s="16">
        <f t="shared" si="86"/>
        <v>0.22715650652671243</v>
      </c>
      <c r="W58" s="16">
        <f t="shared" si="86"/>
        <v>0.11501377410468319</v>
      </c>
      <c r="X58" s="16">
        <f t="shared" si="86"/>
        <v>0.23772740398498396</v>
      </c>
      <c r="Y58" s="16">
        <f t="shared" si="86"/>
        <v>0.26615695326024241</v>
      </c>
      <c r="Z58" s="16">
        <f t="shared" si="86"/>
        <v>0.26295053261345386</v>
      </c>
      <c r="AA58" s="16">
        <f t="shared" si="86"/>
        <v>0.21109589041095894</v>
      </c>
      <c r="AB58" s="16">
        <f t="shared" si="86"/>
        <v>0.15612086776859513</v>
      </c>
      <c r="AC58" s="16">
        <f t="shared" si="86"/>
        <v>0.22189462000069382</v>
      </c>
      <c r="AD58" s="16">
        <f t="shared" si="86"/>
        <v>0.23197961936160641</v>
      </c>
      <c r="AE58" s="16">
        <f t="shared" si="86"/>
        <v>0.22392424453418741</v>
      </c>
      <c r="AF58" s="16">
        <f t="shared" si="86"/>
        <v>0.15575316626246283</v>
      </c>
      <c r="AG58" s="16">
        <f t="shared" si="86"/>
        <v>4.1302621127879177E-2</v>
      </c>
      <c r="AH58" s="16">
        <f t="shared" si="86"/>
        <v>0.16038848421782853</v>
      </c>
      <c r="AI58" s="16">
        <f t="shared" si="86"/>
        <v>0.22132495887542991</v>
      </c>
      <c r="AJ58" s="16">
        <f t="shared" si="86"/>
        <v>0.22698524244553758</v>
      </c>
      <c r="AK58" s="16">
        <f t="shared" si="86"/>
        <v>0.15295387105476124</v>
      </c>
      <c r="AL58" s="16">
        <f t="shared" si="86"/>
        <v>5.4612533157606627E-2</v>
      </c>
      <c r="AM58" s="16">
        <f t="shared" si="86"/>
        <v>0.16181869319325232</v>
      </c>
      <c r="AN58" s="16">
        <f t="shared" si="86"/>
        <v>0.21827935532931425</v>
      </c>
      <c r="AO58" s="16">
        <f t="shared" si="86"/>
        <v>0.2188579985668008</v>
      </c>
      <c r="AP58" s="16">
        <f t="shared" si="86"/>
        <v>0.15017764671533279</v>
      </c>
      <c r="AQ58" s="16">
        <f t="shared" si="86"/>
        <v>5.6396826146245409E-2</v>
      </c>
      <c r="AR58" s="16">
        <f t="shared" si="86"/>
        <v>0.15892083007122337</v>
      </c>
      <c r="AS58" s="16">
        <f t="shared" si="86"/>
        <v>0.21463305778989072</v>
      </c>
      <c r="AT58" s="16">
        <f t="shared" si="86"/>
        <v>0.2144831595767098</v>
      </c>
      <c r="AU58" s="16">
        <f t="shared" si="86"/>
        <v>0.14613534487774538</v>
      </c>
      <c r="AV58" s="16">
        <f t="shared" si="86"/>
        <v>5.9204861018345011E-2</v>
      </c>
      <c r="AW58" s="16">
        <f t="shared" si="86"/>
        <v>0.15668840618861227</v>
      </c>
      <c r="AX58" s="16">
        <f t="shared" si="86"/>
        <v>0.21381683723522762</v>
      </c>
      <c r="AY58" s="16">
        <f t="shared" si="86"/>
        <v>0.21326092505120772</v>
      </c>
      <c r="AZ58" s="16">
        <f t="shared" si="86"/>
        <v>0.14508182283934801</v>
      </c>
      <c r="BA58" s="16">
        <f t="shared" si="86"/>
        <v>6.2863408532107382E-2</v>
      </c>
      <c r="BB58" s="16">
        <f t="shared" si="86"/>
        <v>0.15687414195842952</v>
      </c>
      <c r="BC58" s="16">
        <f t="shared" si="86"/>
        <v>0.21566305089304985</v>
      </c>
      <c r="BD58" s="16">
        <f t="shared" si="86"/>
        <v>0.21484364231884726</v>
      </c>
      <c r="BE58" s="16">
        <f t="shared" si="86"/>
        <v>0.14693975561331543</v>
      </c>
      <c r="BF58" s="16">
        <f t="shared" si="86"/>
        <v>6.7084023907805018E-2</v>
      </c>
      <c r="BG58" s="16">
        <f t="shared" si="86"/>
        <v>0.15925143799262106</v>
      </c>
      <c r="BH58" s="16">
        <f t="shared" si="86"/>
        <v>0.21888218878323762</v>
      </c>
      <c r="BI58" s="16">
        <f t="shared" si="86"/>
        <v>0.21791907135302446</v>
      </c>
      <c r="BJ58" s="16">
        <f t="shared" si="86"/>
        <v>0.1503547301520175</v>
      </c>
      <c r="BK58" s="16">
        <f t="shared" si="86"/>
        <v>7.0482217482986262E-2</v>
      </c>
      <c r="BL58" s="16">
        <f t="shared" si="86"/>
        <v>0.16249594024934619</v>
      </c>
    </row>
    <row r="59" spans="1:64">
      <c r="A59" s="1" t="s">
        <v>28</v>
      </c>
      <c r="O59" s="16">
        <f t="shared" ref="O59:BL59" si="87">O57/J57-1</f>
        <v>7.5647782169521172E-2</v>
      </c>
      <c r="P59" s="16">
        <f t="shared" si="87"/>
        <v>1.8892362429582699E-2</v>
      </c>
      <c r="Q59" s="16">
        <f t="shared" si="87"/>
        <v>1.1299848238284005E-2</v>
      </c>
      <c r="R59" s="16">
        <f t="shared" si="87"/>
        <v>-1.5153792205189198E-3</v>
      </c>
      <c r="S59" s="16">
        <f t="shared" si="87"/>
        <v>3.1611192217215311E-2</v>
      </c>
      <c r="T59" s="16">
        <f t="shared" si="87"/>
        <v>-7.9407204343409199E-2</v>
      </c>
      <c r="U59" s="16">
        <f t="shared" si="87"/>
        <v>0.1073162513592576</v>
      </c>
      <c r="V59" s="16">
        <f t="shared" si="87"/>
        <v>1.7314843274452096E-2</v>
      </c>
      <c r="W59" s="16">
        <f t="shared" si="87"/>
        <v>4.7323993126544339E-2</v>
      </c>
      <c r="X59" s="16">
        <f t="shared" si="87"/>
        <v>1.7504287237163796E-2</v>
      </c>
      <c r="Y59" s="16">
        <f t="shared" si="87"/>
        <v>-2.5871172122491792E-2</v>
      </c>
      <c r="Z59" s="16">
        <f t="shared" si="87"/>
        <v>-0.16920239741816534</v>
      </c>
      <c r="AA59" s="16">
        <f t="shared" si="87"/>
        <v>-8.708530805687198E-2</v>
      </c>
      <c r="AB59" s="16">
        <f t="shared" si="87"/>
        <v>0.44790419161676764</v>
      </c>
      <c r="AC59" s="16">
        <f t="shared" si="87"/>
        <v>-2.8697236562403861E-2</v>
      </c>
      <c r="AD59" s="16">
        <f t="shared" si="87"/>
        <v>-0.16097560975609804</v>
      </c>
      <c r="AE59" s="16">
        <f t="shared" si="87"/>
        <v>-0.10765815760266362</v>
      </c>
      <c r="AF59" s="16">
        <f t="shared" si="87"/>
        <v>-0.24983776768332322</v>
      </c>
      <c r="AG59" s="16">
        <f t="shared" si="87"/>
        <v>-0.74193548387096853</v>
      </c>
      <c r="AH59" s="16">
        <f t="shared" si="87"/>
        <v>-0.27716116929810941</v>
      </c>
      <c r="AI59" s="16">
        <f t="shared" si="87"/>
        <v>-4.392764857881104E-2</v>
      </c>
      <c r="AJ59" s="16">
        <f t="shared" si="87"/>
        <v>4.3532338308460705E-3</v>
      </c>
      <c r="AK59" s="16">
        <f t="shared" si="87"/>
        <v>-1.9031141868511514E-2</v>
      </c>
      <c r="AL59" s="16">
        <f t="shared" si="87"/>
        <v>0.29942650352608946</v>
      </c>
      <c r="AM59" s="16">
        <f t="shared" si="87"/>
        <v>2.2536914143909126E-3</v>
      </c>
      <c r="AN59" s="16">
        <f t="shared" si="87"/>
        <v>-1.6537695038753575E-2</v>
      </c>
      <c r="AO59" s="16">
        <f t="shared" si="87"/>
        <v>-4.0432415231669405E-2</v>
      </c>
      <c r="AP59" s="16">
        <f t="shared" si="87"/>
        <v>-2.186693884958435E-2</v>
      </c>
      <c r="AQ59" s="16">
        <f t="shared" si="87"/>
        <v>2.5272287612574829E-2</v>
      </c>
      <c r="AR59" s="16">
        <f t="shared" si="87"/>
        <v>-2.2510973537776646E-2</v>
      </c>
      <c r="AS59" s="16">
        <f t="shared" si="87"/>
        <v>-1.8889262105864613E-2</v>
      </c>
      <c r="AT59" s="16">
        <f t="shared" si="87"/>
        <v>-2.3309390477367686E-2</v>
      </c>
      <c r="AU59" s="16">
        <f t="shared" si="87"/>
        <v>-2.9891769715398087E-2</v>
      </c>
      <c r="AV59" s="16">
        <f t="shared" si="87"/>
        <v>4.5667369337727415E-2</v>
      </c>
      <c r="AW59" s="16">
        <f t="shared" si="87"/>
        <v>-1.7171822244026136E-2</v>
      </c>
      <c r="AX59" s="16">
        <f t="shared" si="87"/>
        <v>-4.8301738500761138E-3</v>
      </c>
      <c r="AY59" s="16">
        <f t="shared" si="87"/>
        <v>-7.3998284936960257E-3</v>
      </c>
      <c r="AZ59" s="16">
        <f t="shared" si="87"/>
        <v>-8.9392822749236878E-3</v>
      </c>
      <c r="BA59" s="16">
        <f t="shared" si="87"/>
        <v>6.002227396340265E-2</v>
      </c>
      <c r="BB59" s="16">
        <f t="shared" si="87"/>
        <v>-3.6572096287090794E-4</v>
      </c>
      <c r="BC59" s="16">
        <f t="shared" si="87"/>
        <v>7.7039187129461784E-3</v>
      </c>
      <c r="BD59" s="16">
        <f t="shared" si="87"/>
        <v>6.0029275440434127E-3</v>
      </c>
      <c r="BE59" s="16">
        <f t="shared" si="87"/>
        <v>1.1807795456312276E-2</v>
      </c>
      <c r="BF59" s="16">
        <f t="shared" si="87"/>
        <v>6.675519334567781E-2</v>
      </c>
      <c r="BG59" s="16">
        <f t="shared" si="87"/>
        <v>1.4226099785772828E-2</v>
      </c>
      <c r="BH59" s="16">
        <f t="shared" si="87"/>
        <v>1.1749850584579891E-2</v>
      </c>
      <c r="BI59" s="16">
        <f t="shared" si="87"/>
        <v>1.1096928872845524E-2</v>
      </c>
      <c r="BJ59" s="16">
        <f t="shared" si="87"/>
        <v>2.0631380773519226E-2</v>
      </c>
      <c r="BK59" s="16">
        <f t="shared" si="87"/>
        <v>4.88455276060209E-2</v>
      </c>
      <c r="BL59" s="16">
        <f t="shared" si="87"/>
        <v>1.7693335979638736E-2</v>
      </c>
    </row>
    <row r="61" spans="1:64" s="12" customFormat="1">
      <c r="A61" s="13" t="s">
        <v>1731</v>
      </c>
      <c r="T61" s="69"/>
    </row>
    <row r="63" spans="1:64">
      <c r="A63" s="1" t="s">
        <v>1732</v>
      </c>
      <c r="I63" s="369"/>
      <c r="J63" s="369"/>
      <c r="K63" s="369"/>
      <c r="L63" s="369"/>
      <c r="M63" s="369"/>
      <c r="N63" s="369"/>
      <c r="O63" s="369"/>
      <c r="P63" s="369"/>
      <c r="Q63" s="369"/>
      <c r="R63" s="369"/>
      <c r="S63" s="369"/>
      <c r="T63" s="383">
        <v>1295</v>
      </c>
      <c r="U63" s="383">
        <v>1426</v>
      </c>
      <c r="V63" s="383">
        <v>1598</v>
      </c>
      <c r="W63" s="383">
        <v>1742</v>
      </c>
      <c r="X63" s="369">
        <f>W63</f>
        <v>1742</v>
      </c>
      <c r="Y63" s="383">
        <v>1884</v>
      </c>
      <c r="Z63" s="383">
        <v>2018</v>
      </c>
      <c r="AA63" s="383">
        <v>2155</v>
      </c>
      <c r="AB63" s="383">
        <v>2273</v>
      </c>
      <c r="AC63" s="369">
        <f>AB63</f>
        <v>2273</v>
      </c>
      <c r="AD63" s="383">
        <v>2396</v>
      </c>
      <c r="AE63" s="383">
        <v>2368</v>
      </c>
      <c r="AF63" s="383">
        <v>2299</v>
      </c>
      <c r="AG63" s="383">
        <v>2227</v>
      </c>
      <c r="AH63" s="369">
        <f>AG63</f>
        <v>2227</v>
      </c>
      <c r="AI63" s="383">
        <v>2135</v>
      </c>
      <c r="AJ63" s="383">
        <v>2083</v>
      </c>
      <c r="AK63" s="383">
        <v>2062</v>
      </c>
      <c r="AL63" s="369"/>
      <c r="AM63" s="369"/>
      <c r="AN63" s="369"/>
      <c r="AO63" s="369"/>
      <c r="AP63" s="369"/>
      <c r="AQ63" s="369"/>
      <c r="AR63" s="369"/>
      <c r="AS63" s="369"/>
      <c r="AT63" s="369"/>
      <c r="AU63" s="369"/>
      <c r="AV63" s="369"/>
      <c r="AW63" s="369"/>
      <c r="AX63" s="369"/>
      <c r="AY63" s="369"/>
      <c r="AZ63" s="369"/>
      <c r="BA63" s="369"/>
      <c r="BB63" s="369"/>
      <c r="BC63" s="369"/>
      <c r="BD63" s="369"/>
      <c r="BE63" s="369"/>
      <c r="BF63" s="369"/>
      <c r="BG63" s="369"/>
      <c r="BH63" s="369"/>
      <c r="BI63" s="369"/>
      <c r="BJ63" s="369"/>
      <c r="BK63" s="369"/>
      <c r="BL63" s="369"/>
    </row>
    <row r="64" spans="1:64">
      <c r="A64" s="1" t="s">
        <v>28</v>
      </c>
      <c r="I64" s="273"/>
      <c r="J64" s="273"/>
      <c r="K64" s="273"/>
      <c r="L64" s="273"/>
      <c r="M64" s="273"/>
      <c r="N64" s="273"/>
      <c r="O64" s="273"/>
      <c r="P64" s="273"/>
      <c r="Q64" s="273"/>
      <c r="R64" s="273"/>
      <c r="S64" s="273"/>
      <c r="T64" s="273"/>
      <c r="U64" s="273"/>
      <c r="V64" s="273"/>
      <c r="W64" s="273"/>
      <c r="X64" s="273"/>
      <c r="Y64" s="273">
        <f t="shared" ref="Y64:AK64" si="88">Y63/T63-1</f>
        <v>0.45482625482625472</v>
      </c>
      <c r="Z64" s="273">
        <f t="shared" si="88"/>
        <v>0.41514726507713884</v>
      </c>
      <c r="AA64" s="273">
        <f t="shared" si="88"/>
        <v>0.34856070087609514</v>
      </c>
      <c r="AB64" s="273">
        <f t="shared" si="88"/>
        <v>0.30482204362801379</v>
      </c>
      <c r="AC64" s="273">
        <f t="shared" si="88"/>
        <v>0.30482204362801379</v>
      </c>
      <c r="AD64" s="273">
        <f t="shared" si="88"/>
        <v>0.27176220806794049</v>
      </c>
      <c r="AE64" s="273">
        <f t="shared" si="88"/>
        <v>0.17343904856293357</v>
      </c>
      <c r="AF64" s="273">
        <f t="shared" si="88"/>
        <v>6.6821345707656521E-2</v>
      </c>
      <c r="AG64" s="273">
        <f t="shared" si="88"/>
        <v>-2.0237571491421025E-2</v>
      </c>
      <c r="AH64" s="273">
        <f t="shared" si="88"/>
        <v>-2.0237571491421025E-2</v>
      </c>
      <c r="AI64" s="273">
        <f t="shared" si="88"/>
        <v>-0.10893155258764609</v>
      </c>
      <c r="AJ64" s="273">
        <f t="shared" si="88"/>
        <v>-0.12035472972972971</v>
      </c>
      <c r="AK64" s="273">
        <f t="shared" si="88"/>
        <v>-0.10308829926054808</v>
      </c>
      <c r="AL64" s="369"/>
      <c r="AM64" s="369"/>
      <c r="AN64" s="369"/>
      <c r="AO64" s="369"/>
      <c r="AP64" s="369"/>
      <c r="AQ64" s="369"/>
      <c r="AR64" s="369"/>
      <c r="AS64" s="369"/>
      <c r="AT64" s="369"/>
      <c r="AU64" s="369"/>
      <c r="AV64" s="369"/>
      <c r="AW64" s="369"/>
      <c r="AX64" s="369"/>
      <c r="AY64" s="369"/>
      <c r="AZ64" s="369"/>
      <c r="BA64" s="369"/>
      <c r="BB64" s="369"/>
      <c r="BC64" s="369"/>
      <c r="BD64" s="369"/>
      <c r="BE64" s="369"/>
      <c r="BF64" s="369"/>
      <c r="BG64" s="369"/>
      <c r="BH64" s="369"/>
      <c r="BI64" s="369"/>
      <c r="BJ64" s="369"/>
      <c r="BK64" s="369"/>
      <c r="BL64" s="369"/>
    </row>
    <row r="65" spans="1:64">
      <c r="I65" s="369"/>
      <c r="J65" s="369"/>
      <c r="K65" s="369"/>
      <c r="L65" s="369"/>
      <c r="M65" s="369"/>
      <c r="N65" s="369"/>
      <c r="O65" s="369"/>
      <c r="P65" s="369"/>
      <c r="Q65" s="369"/>
      <c r="R65" s="369"/>
      <c r="S65" s="369"/>
      <c r="T65" s="369"/>
      <c r="U65" s="369"/>
      <c r="V65" s="369"/>
      <c r="W65" s="369"/>
      <c r="X65" s="369"/>
      <c r="Y65" s="369"/>
      <c r="Z65" s="369"/>
      <c r="AA65" s="369"/>
      <c r="AB65" s="369"/>
      <c r="AC65" s="369"/>
      <c r="AD65" s="369"/>
      <c r="AE65" s="369"/>
      <c r="AF65" s="369"/>
      <c r="AG65" s="369"/>
      <c r="AH65" s="369"/>
      <c r="AI65" s="369"/>
      <c r="AJ65" s="369"/>
      <c r="AK65" s="369"/>
      <c r="AL65" s="369"/>
      <c r="AM65" s="369"/>
      <c r="AN65" s="369"/>
      <c r="AO65" s="369"/>
      <c r="AP65" s="369"/>
      <c r="AQ65" s="369"/>
      <c r="AR65" s="369"/>
      <c r="AS65" s="369"/>
      <c r="AT65" s="369"/>
      <c r="AU65" s="369"/>
      <c r="AV65" s="369"/>
      <c r="AW65" s="369"/>
      <c r="AX65" s="369"/>
      <c r="AY65" s="369"/>
      <c r="AZ65" s="369"/>
      <c r="BA65" s="369"/>
      <c r="BB65" s="369"/>
      <c r="BC65" s="369"/>
      <c r="BD65" s="369"/>
      <c r="BE65" s="369"/>
      <c r="BF65" s="369"/>
      <c r="BG65" s="369"/>
      <c r="BH65" s="369"/>
      <c r="BI65" s="369"/>
      <c r="BJ65" s="369"/>
      <c r="BK65" s="369"/>
      <c r="BL65" s="369"/>
    </row>
    <row r="66" spans="1:64">
      <c r="A66" s="1" t="s">
        <v>1733</v>
      </c>
      <c r="T66" s="103">
        <f>1000*T8/AVERAGE(S63:T63)/3</f>
        <v>4.8648648648648649</v>
      </c>
      <c r="U66" s="103">
        <f>1000*U8/AVERAGE(T63:U63)/3</f>
        <v>7.0072277349013845</v>
      </c>
      <c r="V66" s="103">
        <f>1000*V8/AVERAGE(U63:V63)/3</f>
        <v>6.3271604938271606</v>
      </c>
      <c r="W66" s="103">
        <f>1000*W8/AVERAGE(V63:W63)/3</f>
        <v>10.938123752495009</v>
      </c>
      <c r="X66" s="103">
        <f>1000*X8/AVERAGE(S63:W63)/12</f>
        <v>7.2045317054391473</v>
      </c>
      <c r="Y66" s="103">
        <f>1000*Y8/AVERAGE(X63:Y63)/3</f>
        <v>4.5596617025188459</v>
      </c>
      <c r="Z66" s="103">
        <f>1000*Z8/AVERAGE(Y63:Z63)/3</f>
        <v>7.2783188108662218</v>
      </c>
      <c r="AA66" s="103">
        <f>1000*AA8/AVERAGE(Z63:AA63)/3</f>
        <v>8.9943286204968445</v>
      </c>
      <c r="AB66" s="103">
        <f>1000*AB8/AVERAGE(AA63:AB63)/3</f>
        <v>17.389340560072267</v>
      </c>
      <c r="AC66" s="103">
        <f>1000*AC8/AVERAGE(X63:AB63)/12</f>
        <v>9.8954196452210734</v>
      </c>
      <c r="AD66" s="103">
        <f>1000*AD8/AVERAGE(AC63:AD63)/3</f>
        <v>8.0816734489897915</v>
      </c>
      <c r="AE66" s="103">
        <f>1000*AE8/AVERAGE(AD63:AE63)/3</f>
        <v>12.006717044500419</v>
      </c>
      <c r="AF66" s="103">
        <f>1000*AF8/AVERAGE(AE63:AF63)/3</f>
        <v>14.756088850796372</v>
      </c>
      <c r="AG66" s="103">
        <f>1000*AG8/AVERAGE(AF63:AG63)/3</f>
        <v>21.696862571807333</v>
      </c>
      <c r="AH66" s="103">
        <f>1000*AH8/AVERAGE(AC63:AG63)/12</f>
        <v>14.161549770820722</v>
      </c>
      <c r="AI66" s="103">
        <f>1000*AI8/AVERAGE(AH63:AI63)/3</f>
        <v>8.0696928014672178</v>
      </c>
      <c r="AJ66" s="103">
        <f>1000*AJ8/AVERAGE(AI63:AJ63)/3</f>
        <v>12.043622569938359</v>
      </c>
      <c r="AK66" s="103">
        <f>1000*AK8/AVERAGE(AJ63:AK63)/3</f>
        <v>10.052271813429835</v>
      </c>
    </row>
    <row r="67" spans="1:64">
      <c r="A67" s="1" t="s">
        <v>28</v>
      </c>
      <c r="Y67" s="16">
        <f t="shared" ref="Y67:AK67" si="89">Y66/T66-1</f>
        <v>-6.273620559334836E-2</v>
      </c>
      <c r="Z67" s="16">
        <f t="shared" si="89"/>
        <v>3.8687350578688218E-2</v>
      </c>
      <c r="AA67" s="16">
        <f t="shared" si="89"/>
        <v>0.42154266977608668</v>
      </c>
      <c r="AB67" s="16">
        <f t="shared" si="89"/>
        <v>0.5897919015686508</v>
      </c>
      <c r="AC67" s="16">
        <f t="shared" si="89"/>
        <v>0.37349935426759351</v>
      </c>
      <c r="AD67" s="16">
        <f t="shared" si="89"/>
        <v>0.77242830197804313</v>
      </c>
      <c r="AE67" s="16">
        <f t="shared" si="89"/>
        <v>0.64965527843805071</v>
      </c>
      <c r="AF67" s="16">
        <f t="shared" si="89"/>
        <v>0.64059925686607277</v>
      </c>
      <c r="AG67" s="16">
        <f t="shared" si="89"/>
        <v>0.24771048659692041</v>
      </c>
      <c r="AH67" s="16">
        <f t="shared" si="89"/>
        <v>0.43112169857899341</v>
      </c>
      <c r="AI67" s="16">
        <f t="shared" si="89"/>
        <v>-1.4824463767552087E-3</v>
      </c>
      <c r="AJ67" s="16">
        <f t="shared" si="89"/>
        <v>3.0737399158451417E-3</v>
      </c>
      <c r="AK67" s="16">
        <f t="shared" si="89"/>
        <v>-0.31877126011698398</v>
      </c>
    </row>
    <row r="69" spans="1:64">
      <c r="A69" s="1" t="s">
        <v>1734</v>
      </c>
      <c r="T69" s="103">
        <f>1000*T66/'FP SoftBank Corp.'!$I$4</f>
        <v>31.386224934612031</v>
      </c>
      <c r="U69" s="103">
        <f>1000*U66/'FP SoftBank Corp.'!$I$4</f>
        <v>45.207920870331513</v>
      </c>
      <c r="V69" s="103">
        <f>1000*V66/'FP SoftBank Corp.'!$I$4</f>
        <v>40.820390282755874</v>
      </c>
      <c r="W69" s="103">
        <f>1000*W66/'FP SoftBank Corp.'!$I$4</f>
        <v>70.568540338677479</v>
      </c>
      <c r="X69" s="103">
        <f>1000*X66/'FP SoftBank Corp.'!$I$4</f>
        <v>46.480849712510626</v>
      </c>
      <c r="Y69" s="103">
        <f>1000*Y66/'FP SoftBank Corp.'!$I$4</f>
        <v>29.417172274315135</v>
      </c>
      <c r="Z69" s="103">
        <f>1000*Z66/'FP SoftBank Corp.'!$I$4</f>
        <v>46.95689555397562</v>
      </c>
      <c r="AA69" s="103">
        <f>1000*AA66/'FP SoftBank Corp.'!$I$4</f>
        <v>58.027926583850608</v>
      </c>
      <c r="AB69" s="103">
        <f>1000*AB66/'FP SoftBank Corp.'!$I$4</f>
        <v>112.1892939359501</v>
      </c>
      <c r="AC69" s="103">
        <f>1000*AC66/'FP SoftBank Corp.'!$I$4</f>
        <v>63.841417065942402</v>
      </c>
      <c r="AD69" s="103">
        <f>1000*AD66/'FP SoftBank Corp.'!$I$4</f>
        <v>52.139828703159949</v>
      </c>
      <c r="AE69" s="103">
        <f>1000*AE66/'FP SoftBank Corp.'!$I$4</f>
        <v>77.462690609680124</v>
      </c>
      <c r="AF69" s="103">
        <f>1000*AF66/'FP SoftBank Corp.'!$I$4</f>
        <v>95.200573230944329</v>
      </c>
      <c r="AG69" s="103">
        <f>1000*AG66/'FP SoftBank Corp.'!$I$4</f>
        <v>139.97975852778924</v>
      </c>
      <c r="AH69" s="103">
        <f>1000*AH66/'FP SoftBank Corp.'!$I$4</f>
        <v>91.364837231101433</v>
      </c>
      <c r="AI69" s="103">
        <f>1000*AI66/'FP SoftBank Corp.'!$I$4</f>
        <v>52.062534203014309</v>
      </c>
      <c r="AJ69" s="103">
        <f>1000*AJ66/'FP SoftBank Corp.'!$I$4</f>
        <v>77.700790773795873</v>
      </c>
      <c r="AK69" s="103">
        <f>1000*AK66/'FP SoftBank Corp.'!$I$4</f>
        <v>64.853366538257006</v>
      </c>
    </row>
    <row r="71" spans="1:64" s="2" customFormat="1">
      <c r="A71" s="4" t="s">
        <v>1650</v>
      </c>
      <c r="T71" s="68"/>
    </row>
    <row r="73" spans="1:64">
      <c r="A73" s="5" t="s">
        <v>1735</v>
      </c>
      <c r="J73" s="375">
        <f>Mobile!J7</f>
        <v>65.192999999999998</v>
      </c>
      <c r="K73" s="375">
        <f>Mobile!K7</f>
        <v>65.460999999999999</v>
      </c>
      <c r="L73" s="375">
        <f>Mobile!L7</f>
        <v>67.591999999999999</v>
      </c>
      <c r="M73" s="375">
        <f>Mobile!M7</f>
        <v>69.850999999999999</v>
      </c>
      <c r="N73" s="375">
        <f>Mobile!N7</f>
        <v>268.09699999999998</v>
      </c>
      <c r="O73" s="375">
        <f>Mobile!O7</f>
        <v>67.826999999999998</v>
      </c>
      <c r="P73" s="375">
        <f>Mobile!P7</f>
        <v>70.287999999999997</v>
      </c>
      <c r="Q73" s="375">
        <f>Mobile!Q7</f>
        <v>67.91</v>
      </c>
      <c r="R73" s="375">
        <f>Mobile!R7</f>
        <v>69.046999999999997</v>
      </c>
      <c r="S73" s="375">
        <f>Mobile!S7</f>
        <v>275.072</v>
      </c>
      <c r="T73" s="375">
        <f>Mobile!T7</f>
        <v>71.900000000000006</v>
      </c>
      <c r="U73" s="375">
        <f>Mobile!U7</f>
        <v>76.3</v>
      </c>
      <c r="V73" s="375">
        <f>Mobile!V7</f>
        <v>78.900000000000006</v>
      </c>
      <c r="W73" s="375">
        <f>Mobile!W7</f>
        <v>78.400000000000006</v>
      </c>
      <c r="X73" s="375">
        <f>Mobile!X7</f>
        <v>305.5</v>
      </c>
      <c r="Y73" s="375">
        <f>Mobile!Y7</f>
        <v>77.599999999999994</v>
      </c>
      <c r="Z73" s="375">
        <f>Mobile!Z7</f>
        <v>78.7</v>
      </c>
      <c r="AA73" s="375">
        <f>Mobile!AA7</f>
        <v>76.7</v>
      </c>
      <c r="AB73" s="375">
        <f>Mobile!AB7</f>
        <v>80.2</v>
      </c>
      <c r="AC73" s="375">
        <f>Mobile!AC7</f>
        <v>313.2</v>
      </c>
      <c r="AD73" s="375">
        <f>Mobile!AD7</f>
        <v>77.3</v>
      </c>
      <c r="AE73" s="375">
        <f>Mobile!AE7</f>
        <v>78.599999999999994</v>
      </c>
      <c r="AF73" s="375">
        <f>Mobile!AF7</f>
        <v>81.599999999999994</v>
      </c>
      <c r="AG73" s="375">
        <f>Mobile!AG7</f>
        <v>82.6</v>
      </c>
      <c r="AH73" s="375">
        <f>Mobile!AH7</f>
        <v>320.09999999999997</v>
      </c>
      <c r="AI73" s="375">
        <f>Mobile!AI7</f>
        <v>78.099999999999994</v>
      </c>
      <c r="AJ73" s="375">
        <f>Mobile!AJ7</f>
        <v>81.3</v>
      </c>
      <c r="AK73" s="375">
        <f>Mobile!AK7</f>
        <v>82.4</v>
      </c>
      <c r="AL73" s="375">
        <f>Mobile!AL7</f>
        <v>82.044607940734423</v>
      </c>
      <c r="AM73" s="375">
        <f>Mobile!AM7</f>
        <v>323.84460794073442</v>
      </c>
      <c r="AN73" s="375">
        <f>Mobile!AN7</f>
        <v>79.373367852658092</v>
      </c>
      <c r="AO73" s="375">
        <f>Mobile!AO7</f>
        <v>82.403258848820826</v>
      </c>
      <c r="AP73" s="375">
        <f>Mobile!AP7</f>
        <v>83.428573038647542</v>
      </c>
      <c r="AQ73" s="375">
        <f>Mobile!AQ7</f>
        <v>82.886774278684726</v>
      </c>
      <c r="AR73" s="375">
        <f>Mobile!AR7</f>
        <v>328.09197401881113</v>
      </c>
      <c r="AS73" s="375">
        <f>Mobile!AS7</f>
        <v>80.382162184409026</v>
      </c>
      <c r="AT73" s="375">
        <f>Mobile!AT7</f>
        <v>83.244127332590651</v>
      </c>
      <c r="AU73" s="375">
        <f>Mobile!AU7</f>
        <v>84.188799027361057</v>
      </c>
      <c r="AV73" s="375">
        <f>Mobile!AV7</f>
        <v>83.468701293647271</v>
      </c>
      <c r="AW73" s="375">
        <f>Mobile!AW7</f>
        <v>331.28378983800803</v>
      </c>
      <c r="AX73" s="375">
        <f>Mobile!AX7</f>
        <v>81.309467846612051</v>
      </c>
      <c r="AY73" s="375">
        <f>Mobile!AY7</f>
        <v>84.057746081689785</v>
      </c>
      <c r="AZ73" s="375">
        <f>Mobile!AZ7</f>
        <v>84.95606411194106</v>
      </c>
      <c r="BA73" s="375">
        <f>Mobile!BA7</f>
        <v>84.117543990359877</v>
      </c>
      <c r="BB73" s="375">
        <f>Mobile!BB7</f>
        <v>334.44082203060282</v>
      </c>
      <c r="BC73" s="375">
        <f>Mobile!BC7</f>
        <v>82.275611099900502</v>
      </c>
      <c r="BD73" s="375">
        <f>Mobile!BD7</f>
        <v>84.944917036000319</v>
      </c>
      <c r="BE73" s="375">
        <f>Mobile!BE7</f>
        <v>85.834630876867521</v>
      </c>
      <c r="BF73" s="375">
        <f>Mobile!BF7</f>
        <v>84.92275575162617</v>
      </c>
      <c r="BG73" s="375">
        <f>Mobile!BG7</f>
        <v>337.97791476439454</v>
      </c>
      <c r="BH73" s="375">
        <f>Mobile!BH7</f>
        <v>82.967372972328505</v>
      </c>
      <c r="BI73" s="375">
        <f>Mobile!BI7</f>
        <v>85.573153115319499</v>
      </c>
      <c r="BJ73" s="375">
        <f>Mobile!BJ7</f>
        <v>86.463687782530641</v>
      </c>
      <c r="BK73" s="375">
        <f>Mobile!BK7</f>
        <v>85.504780454137546</v>
      </c>
      <c r="BL73" s="375">
        <f>Mobile!BL7</f>
        <v>340.50899432431618</v>
      </c>
    </row>
    <row r="74" spans="1:64">
      <c r="A74" s="5" t="s">
        <v>1736</v>
      </c>
      <c r="J74" s="376">
        <v>52.238</v>
      </c>
      <c r="K74" s="376">
        <v>53.679000000000002</v>
      </c>
      <c r="L74" s="376">
        <v>52.048999999999999</v>
      </c>
      <c r="M74" s="376">
        <v>49.430999999999997</v>
      </c>
      <c r="N74" s="375">
        <f>SUM(J74:M74)</f>
        <v>207.39699999999999</v>
      </c>
      <c r="O74" s="376">
        <v>49.094999999999999</v>
      </c>
      <c r="P74" s="376">
        <v>48.491999999999997</v>
      </c>
      <c r="Q74" s="376">
        <v>48.883000000000003</v>
      </c>
      <c r="R74" s="376">
        <v>48.122999999999998</v>
      </c>
      <c r="S74" s="375">
        <f>SUM(O74:R74)</f>
        <v>194.59299999999999</v>
      </c>
      <c r="T74" s="376">
        <v>47.3</v>
      </c>
      <c r="U74" s="376">
        <v>47.1</v>
      </c>
      <c r="V74" s="376">
        <v>47.5</v>
      </c>
      <c r="W74" s="376">
        <v>46.9</v>
      </c>
      <c r="X74" s="375">
        <f>SUM(T74:W74)</f>
        <v>188.8</v>
      </c>
      <c r="Y74" s="376">
        <v>46.6</v>
      </c>
      <c r="Z74" s="376">
        <v>46.7</v>
      </c>
      <c r="AA74" s="376">
        <v>47</v>
      </c>
      <c r="AB74" s="376">
        <v>46.4</v>
      </c>
      <c r="AC74" s="375">
        <f>SUM(Y74:AB74)</f>
        <v>186.70000000000002</v>
      </c>
      <c r="AD74" s="376">
        <v>46.5</v>
      </c>
      <c r="AE74" s="376">
        <v>45.8</v>
      </c>
      <c r="AF74" s="376">
        <v>45.7</v>
      </c>
      <c r="AG74" s="376">
        <v>44.2</v>
      </c>
      <c r="AH74" s="375">
        <f>SUM(AD74:AG74)</f>
        <v>182.2</v>
      </c>
      <c r="AI74" s="376">
        <v>44</v>
      </c>
      <c r="AJ74" s="376">
        <v>44.1</v>
      </c>
      <c r="AK74" s="376">
        <v>44.1</v>
      </c>
      <c r="AL74" s="375">
        <f>AG74*(1+AL81)</f>
        <v>42.652999999999999</v>
      </c>
      <c r="AM74" s="375">
        <f>SUM(AI74:AL74)</f>
        <v>174.85299999999998</v>
      </c>
      <c r="AN74" s="375">
        <f t="shared" ref="AN74:AQ75" si="90">AI74*(1+AN81)</f>
        <v>42.68</v>
      </c>
      <c r="AO74" s="375">
        <f t="shared" si="90"/>
        <v>42.777000000000001</v>
      </c>
      <c r="AP74" s="375">
        <f t="shared" si="90"/>
        <v>42.777000000000001</v>
      </c>
      <c r="AQ74" s="375">
        <f t="shared" si="90"/>
        <v>41.37341</v>
      </c>
      <c r="AR74" s="375">
        <f>SUM(AN74:AQ74)</f>
        <v>169.60740999999999</v>
      </c>
      <c r="AS74" s="375">
        <f t="shared" ref="AS74:AV75" si="91">AN74*(1+AS81)</f>
        <v>41.613</v>
      </c>
      <c r="AT74" s="375">
        <f t="shared" si="91"/>
        <v>41.707574999999999</v>
      </c>
      <c r="AU74" s="375">
        <f t="shared" si="91"/>
        <v>41.707574999999999</v>
      </c>
      <c r="AV74" s="375">
        <f t="shared" si="91"/>
        <v>40.339074750000002</v>
      </c>
      <c r="AW74" s="375">
        <f>SUM(AS74:AV74)</f>
        <v>165.36722474999999</v>
      </c>
      <c r="AX74" s="375">
        <f t="shared" ref="AX74:BA75" si="92">AS74*(1+AX81)</f>
        <v>40.780740000000002</v>
      </c>
      <c r="AY74" s="375">
        <f t="shared" si="92"/>
        <v>40.873423500000001</v>
      </c>
      <c r="AZ74" s="375">
        <f t="shared" si="92"/>
        <v>40.873423500000001</v>
      </c>
      <c r="BA74" s="375">
        <f t="shared" si="92"/>
        <v>39.532293254999999</v>
      </c>
      <c r="BB74" s="375">
        <f>SUM(AX74:BA74)</f>
        <v>162.059880255</v>
      </c>
      <c r="BC74" s="375">
        <f t="shared" ref="BC74:BF75" si="93">AX74*(1+BC81)</f>
        <v>40.169028900000001</v>
      </c>
      <c r="BD74" s="375">
        <f t="shared" si="93"/>
        <v>40.260322147499998</v>
      </c>
      <c r="BE74" s="375">
        <f t="shared" si="93"/>
        <v>40.260322147499998</v>
      </c>
      <c r="BF74" s="375">
        <f t="shared" si="93"/>
        <v>38.939308856174996</v>
      </c>
      <c r="BG74" s="375">
        <f>SUM(BC74:BF74)</f>
        <v>159.628982051175</v>
      </c>
      <c r="BH74" s="375">
        <f t="shared" ref="BH74:BK75" si="94">BC74*(1+BH81)</f>
        <v>39.767338611</v>
      </c>
      <c r="BI74" s="375">
        <f t="shared" si="94"/>
        <v>39.857718926025001</v>
      </c>
      <c r="BJ74" s="375">
        <f t="shared" si="94"/>
        <v>39.857718926025001</v>
      </c>
      <c r="BK74" s="375">
        <f t="shared" si="94"/>
        <v>38.549915767613243</v>
      </c>
      <c r="BL74" s="375">
        <f>SUM(BH74:BK74)</f>
        <v>158.03269223066326</v>
      </c>
    </row>
    <row r="75" spans="1:64">
      <c r="A75" s="5" t="s">
        <v>1737</v>
      </c>
      <c r="J75" s="376">
        <v>30.337</v>
      </c>
      <c r="K75" s="376">
        <v>34.691000000000003</v>
      </c>
      <c r="L75" s="376">
        <v>34.569000000000003</v>
      </c>
      <c r="M75" s="376">
        <v>45.392000000000003</v>
      </c>
      <c r="N75" s="375">
        <f>SUM(J75:M75)</f>
        <v>144.989</v>
      </c>
      <c r="O75" s="376">
        <v>37.527999999999999</v>
      </c>
      <c r="P75" s="376">
        <v>40.866</v>
      </c>
      <c r="Q75" s="376">
        <v>40.006</v>
      </c>
      <c r="R75" s="376">
        <v>50.811</v>
      </c>
      <c r="S75" s="375">
        <f>SUM(O75:R75)</f>
        <v>169.21100000000001</v>
      </c>
      <c r="T75" s="376">
        <v>43.4</v>
      </c>
      <c r="U75" s="376">
        <v>48.7</v>
      </c>
      <c r="V75" s="376">
        <v>46.7</v>
      </c>
      <c r="W75" s="376">
        <v>58.6</v>
      </c>
      <c r="X75" s="375">
        <f>SUM(T75:W75)</f>
        <v>197.4</v>
      </c>
      <c r="Y75" s="376">
        <v>47.3</v>
      </c>
      <c r="Z75" s="376">
        <v>53.9</v>
      </c>
      <c r="AA75" s="376">
        <v>54.3</v>
      </c>
      <c r="AB75" s="376">
        <v>60.2</v>
      </c>
      <c r="AC75" s="375">
        <f>SUM(Y75:AB75)</f>
        <v>215.7</v>
      </c>
      <c r="AD75" s="376">
        <v>52.8</v>
      </c>
      <c r="AE75" s="376">
        <v>61.5</v>
      </c>
      <c r="AF75" s="376">
        <v>61.1</v>
      </c>
      <c r="AG75" s="376">
        <v>72.7</v>
      </c>
      <c r="AH75" s="375">
        <f>SUM(AD75:AG75)</f>
        <v>248.10000000000002</v>
      </c>
      <c r="AI75" s="376">
        <v>62.1</v>
      </c>
      <c r="AJ75" s="376">
        <v>69.900000000000006</v>
      </c>
      <c r="AK75" s="376">
        <v>70.599999999999994</v>
      </c>
      <c r="AL75" s="375">
        <f>AG75*(1+AL82)</f>
        <v>82.514499999999998</v>
      </c>
      <c r="AM75" s="375">
        <f>SUM(AI75:AL75)</f>
        <v>285.11450000000002</v>
      </c>
      <c r="AN75" s="375">
        <f t="shared" si="90"/>
        <v>69.552000000000007</v>
      </c>
      <c r="AO75" s="375">
        <f t="shared" si="90"/>
        <v>79.336500000000001</v>
      </c>
      <c r="AP75" s="375">
        <f t="shared" si="90"/>
        <v>80.131</v>
      </c>
      <c r="AQ75" s="375">
        <f t="shared" si="90"/>
        <v>93.653957500000004</v>
      </c>
      <c r="AR75" s="375">
        <f>SUM(AN75:AQ75)</f>
        <v>322.67345750000004</v>
      </c>
      <c r="AS75" s="375">
        <f t="shared" si="91"/>
        <v>75.81168000000001</v>
      </c>
      <c r="AT75" s="375">
        <f t="shared" si="91"/>
        <v>86.476785000000007</v>
      </c>
      <c r="AU75" s="375">
        <f t="shared" si="91"/>
        <v>87.342790000000008</v>
      </c>
      <c r="AV75" s="375">
        <f t="shared" si="91"/>
        <v>102.08281367500001</v>
      </c>
      <c r="AW75" s="375">
        <f>SUM(AS75:AV75)</f>
        <v>351.71406867500002</v>
      </c>
      <c r="AX75" s="375">
        <f t="shared" si="92"/>
        <v>87.18343200000001</v>
      </c>
      <c r="AY75" s="375">
        <f t="shared" si="92"/>
        <v>99.448302749999996</v>
      </c>
      <c r="AZ75" s="375">
        <f t="shared" si="92"/>
        <v>100.4442085</v>
      </c>
      <c r="BA75" s="375">
        <f t="shared" si="92"/>
        <v>117.39523572625001</v>
      </c>
      <c r="BB75" s="375">
        <f>SUM(AX75:BA75)</f>
        <v>404.47117897625003</v>
      </c>
      <c r="BC75" s="375">
        <f t="shared" si="93"/>
        <v>102.44053260000001</v>
      </c>
      <c r="BD75" s="375">
        <f t="shared" si="93"/>
        <v>116.85175573124999</v>
      </c>
      <c r="BE75" s="375">
        <f t="shared" si="93"/>
        <v>118.02194498750001</v>
      </c>
      <c r="BF75" s="375">
        <f t="shared" si="93"/>
        <v>137.93940197834377</v>
      </c>
      <c r="BG75" s="375">
        <f>SUM(BC75:BF75)</f>
        <v>475.25363529709375</v>
      </c>
      <c r="BH75" s="375">
        <f t="shared" si="94"/>
        <v>122.92863912000001</v>
      </c>
      <c r="BI75" s="375">
        <f t="shared" si="94"/>
        <v>140.22210687749998</v>
      </c>
      <c r="BJ75" s="375">
        <f t="shared" si="94"/>
        <v>141.626333985</v>
      </c>
      <c r="BK75" s="375">
        <f t="shared" si="94"/>
        <v>165.52728237401251</v>
      </c>
      <c r="BL75" s="375">
        <f>SUM(BH75:BK75)</f>
        <v>570.30436235651257</v>
      </c>
    </row>
    <row r="76" spans="1:64">
      <c r="A76" s="288" t="s">
        <v>1738</v>
      </c>
      <c r="B76" s="9"/>
      <c r="C76" s="9"/>
      <c r="D76" s="9"/>
      <c r="E76" s="9"/>
      <c r="F76" s="9"/>
      <c r="G76" s="9"/>
      <c r="H76" s="9"/>
      <c r="I76" s="9"/>
      <c r="J76" s="378">
        <f t="shared" ref="J76:BL76" si="95">SUM(J73:J75)</f>
        <v>147.768</v>
      </c>
      <c r="K76" s="378">
        <f t="shared" si="95"/>
        <v>153.83100000000002</v>
      </c>
      <c r="L76" s="378">
        <f t="shared" si="95"/>
        <v>154.20999999999998</v>
      </c>
      <c r="M76" s="378">
        <f t="shared" si="95"/>
        <v>164.67400000000001</v>
      </c>
      <c r="N76" s="378">
        <f t="shared" si="95"/>
        <v>620.48299999999995</v>
      </c>
      <c r="O76" s="378">
        <f t="shared" si="95"/>
        <v>154.44999999999999</v>
      </c>
      <c r="P76" s="378">
        <f t="shared" si="95"/>
        <v>159.64600000000002</v>
      </c>
      <c r="Q76" s="378">
        <f t="shared" si="95"/>
        <v>156.79900000000001</v>
      </c>
      <c r="R76" s="378">
        <f t="shared" si="95"/>
        <v>167.98099999999999</v>
      </c>
      <c r="S76" s="378">
        <f t="shared" si="95"/>
        <v>638.87599999999998</v>
      </c>
      <c r="T76" s="378">
        <f t="shared" si="95"/>
        <v>162.6</v>
      </c>
      <c r="U76" s="378">
        <f t="shared" si="95"/>
        <v>172.10000000000002</v>
      </c>
      <c r="V76" s="378">
        <f t="shared" si="95"/>
        <v>173.10000000000002</v>
      </c>
      <c r="W76" s="378">
        <f t="shared" si="95"/>
        <v>183.9</v>
      </c>
      <c r="X76" s="378">
        <f t="shared" si="95"/>
        <v>691.7</v>
      </c>
      <c r="Y76" s="378">
        <f t="shared" si="95"/>
        <v>171.5</v>
      </c>
      <c r="Z76" s="378">
        <f t="shared" si="95"/>
        <v>179.3</v>
      </c>
      <c r="AA76" s="378">
        <f t="shared" si="95"/>
        <v>178</v>
      </c>
      <c r="AB76" s="378">
        <f t="shared" si="95"/>
        <v>186.8</v>
      </c>
      <c r="AC76" s="378">
        <f t="shared" si="95"/>
        <v>715.59999999999991</v>
      </c>
      <c r="AD76" s="378">
        <f t="shared" si="95"/>
        <v>176.6</v>
      </c>
      <c r="AE76" s="378">
        <f t="shared" si="95"/>
        <v>185.89999999999998</v>
      </c>
      <c r="AF76" s="378">
        <f t="shared" si="95"/>
        <v>188.4</v>
      </c>
      <c r="AG76" s="378">
        <f t="shared" si="95"/>
        <v>199.5</v>
      </c>
      <c r="AH76" s="378">
        <f t="shared" si="95"/>
        <v>750.4</v>
      </c>
      <c r="AI76" s="378">
        <f t="shared" si="95"/>
        <v>184.2</v>
      </c>
      <c r="AJ76" s="378">
        <f t="shared" si="95"/>
        <v>195.3</v>
      </c>
      <c r="AK76" s="378">
        <f t="shared" si="95"/>
        <v>197.1</v>
      </c>
      <c r="AL76" s="378">
        <f t="shared" si="95"/>
        <v>207.21210794073443</v>
      </c>
      <c r="AM76" s="378">
        <f t="shared" si="95"/>
        <v>783.81210794073445</v>
      </c>
      <c r="AN76" s="378">
        <f t="shared" si="95"/>
        <v>191.60536785265811</v>
      </c>
      <c r="AO76" s="378">
        <f t="shared" si="95"/>
        <v>204.51675884882081</v>
      </c>
      <c r="AP76" s="378">
        <f t="shared" si="95"/>
        <v>206.33657303864754</v>
      </c>
      <c r="AQ76" s="378">
        <f t="shared" si="95"/>
        <v>217.91414177868472</v>
      </c>
      <c r="AR76" s="378">
        <f t="shared" si="95"/>
        <v>820.37284151881113</v>
      </c>
      <c r="AS76" s="378">
        <f t="shared" si="95"/>
        <v>197.80684218440905</v>
      </c>
      <c r="AT76" s="378">
        <f t="shared" si="95"/>
        <v>211.42848733259066</v>
      </c>
      <c r="AU76" s="378">
        <f t="shared" si="95"/>
        <v>213.23916402736106</v>
      </c>
      <c r="AV76" s="378">
        <f t="shared" si="95"/>
        <v>225.89058971864728</v>
      </c>
      <c r="AW76" s="378">
        <f t="shared" si="95"/>
        <v>848.36508326300805</v>
      </c>
      <c r="AX76" s="378">
        <f t="shared" si="95"/>
        <v>209.27363984661207</v>
      </c>
      <c r="AY76" s="378">
        <f t="shared" si="95"/>
        <v>224.37947233168978</v>
      </c>
      <c r="AZ76" s="378">
        <f t="shared" si="95"/>
        <v>226.27369611194106</v>
      </c>
      <c r="BA76" s="378">
        <f t="shared" si="95"/>
        <v>241.0450729716099</v>
      </c>
      <c r="BB76" s="378">
        <f t="shared" si="95"/>
        <v>900.97188126185279</v>
      </c>
      <c r="BC76" s="378">
        <f t="shared" si="95"/>
        <v>224.8851725999005</v>
      </c>
      <c r="BD76" s="378">
        <f t="shared" si="95"/>
        <v>242.05699491475031</v>
      </c>
      <c r="BE76" s="378">
        <f t="shared" si="95"/>
        <v>244.11689801186753</v>
      </c>
      <c r="BF76" s="378">
        <f t="shared" si="95"/>
        <v>261.8014665861449</v>
      </c>
      <c r="BG76" s="378">
        <f t="shared" si="95"/>
        <v>972.86053211266335</v>
      </c>
      <c r="BH76" s="378">
        <f t="shared" si="95"/>
        <v>245.66335070332852</v>
      </c>
      <c r="BI76" s="378">
        <f t="shared" si="95"/>
        <v>265.6529789188445</v>
      </c>
      <c r="BJ76" s="378">
        <f t="shared" si="95"/>
        <v>267.94774069355566</v>
      </c>
      <c r="BK76" s="378">
        <f t="shared" si="95"/>
        <v>289.5819785957633</v>
      </c>
      <c r="BL76" s="378">
        <f t="shared" si="95"/>
        <v>1068.8460489114921</v>
      </c>
    </row>
    <row r="78" spans="1:64">
      <c r="A78" s="3" t="s">
        <v>1663</v>
      </c>
    </row>
    <row r="79" spans="1:64">
      <c r="AX79" s="522" t="s">
        <v>2261</v>
      </c>
      <c r="AY79" s="71"/>
      <c r="AZ79" s="71"/>
      <c r="BA79" s="71"/>
      <c r="BB79" s="71"/>
      <c r="BC79" s="71"/>
      <c r="BD79" s="71"/>
      <c r="BE79" s="71"/>
      <c r="BF79" s="71"/>
      <c r="BG79" s="71"/>
      <c r="BH79" s="71"/>
      <c r="BI79" s="71"/>
      <c r="BJ79" s="71"/>
      <c r="BK79" s="71"/>
      <c r="BL79" s="71"/>
    </row>
    <row r="80" spans="1:64">
      <c r="A80" s="5" t="s">
        <v>1735</v>
      </c>
      <c r="O80" s="16">
        <f t="shared" ref="O80:BL83" si="96">O73/J73-1</f>
        <v>4.0403110763425509E-2</v>
      </c>
      <c r="P80" s="16">
        <f t="shared" si="96"/>
        <v>7.3738561891813381E-2</v>
      </c>
      <c r="Q80" s="16">
        <f t="shared" si="96"/>
        <v>4.7046987809207241E-3</v>
      </c>
      <c r="R80" s="16">
        <f t="shared" si="96"/>
        <v>-1.151021459964785E-2</v>
      </c>
      <c r="S80" s="16">
        <f t="shared" si="96"/>
        <v>2.6016702909767764E-2</v>
      </c>
      <c r="T80" s="16">
        <f t="shared" si="96"/>
        <v>6.0049832662509184E-2</v>
      </c>
      <c r="U80" s="16">
        <f t="shared" si="96"/>
        <v>8.5533803778738982E-2</v>
      </c>
      <c r="V80" s="16">
        <f t="shared" si="96"/>
        <v>0.16183183625386555</v>
      </c>
      <c r="W80" s="16">
        <f t="shared" si="96"/>
        <v>0.13545845583443183</v>
      </c>
      <c r="X80" s="16">
        <f t="shared" si="96"/>
        <v>0.11061831084225227</v>
      </c>
      <c r="Y80" s="16">
        <f t="shared" si="96"/>
        <v>7.9276773296244718E-2</v>
      </c>
      <c r="Z80" s="16">
        <f t="shared" si="96"/>
        <v>3.1454783748361859E-2</v>
      </c>
      <c r="AA80" s="16">
        <f t="shared" si="96"/>
        <v>-2.7883396704689534E-2</v>
      </c>
      <c r="AB80" s="16">
        <f t="shared" si="96"/>
        <v>2.2959183673469274E-2</v>
      </c>
      <c r="AC80" s="16">
        <f t="shared" si="96"/>
        <v>2.5204582651391139E-2</v>
      </c>
      <c r="AD80" s="16">
        <f t="shared" si="96"/>
        <v>-3.8659793814432852E-3</v>
      </c>
      <c r="AE80" s="16">
        <f t="shared" si="96"/>
        <v>-1.2706480304957024E-3</v>
      </c>
      <c r="AF80" s="16">
        <f t="shared" si="96"/>
        <v>6.3885267275097579E-2</v>
      </c>
      <c r="AG80" s="16">
        <f t="shared" si="96"/>
        <v>2.9925187032418865E-2</v>
      </c>
      <c r="AH80" s="16">
        <f t="shared" si="96"/>
        <v>2.2030651340996021E-2</v>
      </c>
      <c r="AI80" s="16">
        <f t="shared" si="96"/>
        <v>1.0349288486416475E-2</v>
      </c>
      <c r="AJ80" s="16">
        <f t="shared" si="96"/>
        <v>3.4351145038167941E-2</v>
      </c>
      <c r="AK80" s="16">
        <f t="shared" si="96"/>
        <v>9.8039215686276382E-3</v>
      </c>
      <c r="AL80" s="16">
        <f t="shared" si="96"/>
        <v>-6.7238748095105327E-3</v>
      </c>
      <c r="AM80" s="16">
        <f t="shared" si="96"/>
        <v>1.1698244113509615E-2</v>
      </c>
      <c r="AN80" s="16">
        <f t="shared" si="96"/>
        <v>1.6304325898311101E-2</v>
      </c>
      <c r="AO80" s="16">
        <f t="shared" si="96"/>
        <v>1.3570219542691664E-2</v>
      </c>
      <c r="AP80" s="16">
        <f t="shared" si="96"/>
        <v>1.2482682507858556E-2</v>
      </c>
      <c r="AQ80" s="16">
        <f t="shared" si="96"/>
        <v>1.0264737184906059E-2</v>
      </c>
      <c r="AR80" s="16">
        <f t="shared" si="96"/>
        <v>1.3115444796456321E-2</v>
      </c>
      <c r="AS80" s="16">
        <f t="shared" si="96"/>
        <v>1.2709481266103939E-2</v>
      </c>
      <c r="AT80" s="16">
        <f t="shared" si="96"/>
        <v>1.0204311037170344E-2</v>
      </c>
      <c r="AU80" s="16">
        <f t="shared" si="96"/>
        <v>9.1122976340654027E-3</v>
      </c>
      <c r="AV80" s="16">
        <f t="shared" si="96"/>
        <v>7.0207463135911752E-3</v>
      </c>
      <c r="AW80" s="16">
        <f t="shared" si="96"/>
        <v>9.7284178582615066E-3</v>
      </c>
      <c r="AX80" s="16">
        <f t="shared" si="96"/>
        <v>1.1536211977921651E-2</v>
      </c>
      <c r="AY80" s="16">
        <f t="shared" si="96"/>
        <v>9.7738876623503224E-3</v>
      </c>
      <c r="AZ80" s="16">
        <f t="shared" si="96"/>
        <v>9.1136242997200689E-3</v>
      </c>
      <c r="BA80" s="16">
        <f t="shared" si="96"/>
        <v>7.7734849908583925E-3</v>
      </c>
      <c r="BB80" s="16">
        <f t="shared" si="96"/>
        <v>9.5296911271707252E-3</v>
      </c>
      <c r="BC80" s="16">
        <f t="shared" si="96"/>
        <v>1.1882297091293959E-2</v>
      </c>
      <c r="BD80" s="16">
        <f t="shared" si="96"/>
        <v>1.0554303388629505E-2</v>
      </c>
      <c r="BE80" s="16">
        <f t="shared" si="96"/>
        <v>1.0341424995499171E-2</v>
      </c>
      <c r="BF80" s="16">
        <f t="shared" si="96"/>
        <v>9.5724592405903586E-3</v>
      </c>
      <c r="BG80" s="16">
        <f t="shared" si="96"/>
        <v>1.0576139337045598E-2</v>
      </c>
      <c r="BH80" s="16">
        <f t="shared" si="96"/>
        <v>8.4078606427857583E-3</v>
      </c>
      <c r="BI80" s="16">
        <f t="shared" si="96"/>
        <v>7.3958054376923599E-3</v>
      </c>
      <c r="BJ80" s="16">
        <f t="shared" si="96"/>
        <v>7.328707530245282E-3</v>
      </c>
      <c r="BK80" s="16">
        <f t="shared" si="96"/>
        <v>6.8535776702021156E-3</v>
      </c>
      <c r="BL80" s="16">
        <f t="shared" si="96"/>
        <v>7.4888903959480224E-3</v>
      </c>
    </row>
    <row r="81" spans="1:64">
      <c r="A81" s="5" t="s">
        <v>1736</v>
      </c>
      <c r="O81" s="16">
        <f t="shared" si="96"/>
        <v>-6.0166928289750787E-2</v>
      </c>
      <c r="P81" s="16">
        <f t="shared" si="96"/>
        <v>-9.6629967026211405E-2</v>
      </c>
      <c r="Q81" s="16">
        <f t="shared" si="96"/>
        <v>-6.0827297354415943E-2</v>
      </c>
      <c r="R81" s="16">
        <f t="shared" si="96"/>
        <v>-2.6461127632457337E-2</v>
      </c>
      <c r="S81" s="16">
        <f t="shared" si="96"/>
        <v>-6.1736669286440948E-2</v>
      </c>
      <c r="T81" s="16">
        <f t="shared" si="96"/>
        <v>-3.6561768000814787E-2</v>
      </c>
      <c r="U81" s="16">
        <f t="shared" si="96"/>
        <v>-2.8705765899529778E-2</v>
      </c>
      <c r="V81" s="16">
        <f t="shared" si="96"/>
        <v>-2.8292044268968808E-2</v>
      </c>
      <c r="W81" s="16">
        <f t="shared" si="96"/>
        <v>-2.5414043181015256E-2</v>
      </c>
      <c r="X81" s="16">
        <f t="shared" si="96"/>
        <v>-2.9769827280529015E-2</v>
      </c>
      <c r="Y81" s="16">
        <f t="shared" si="96"/>
        <v>-1.4799154334038001E-2</v>
      </c>
      <c r="Z81" s="16">
        <f t="shared" si="96"/>
        <v>-8.4925690021231404E-3</v>
      </c>
      <c r="AA81" s="16">
        <f t="shared" si="96"/>
        <v>-1.0526315789473717E-2</v>
      </c>
      <c r="AB81" s="16">
        <f t="shared" si="96"/>
        <v>-1.0660980810234588E-2</v>
      </c>
      <c r="AC81" s="16">
        <f t="shared" si="96"/>
        <v>-1.1122881355932202E-2</v>
      </c>
      <c r="AD81" s="16">
        <f t="shared" si="96"/>
        <v>-2.1459227467811592E-3</v>
      </c>
      <c r="AE81" s="16">
        <f t="shared" si="96"/>
        <v>-1.927194860813719E-2</v>
      </c>
      <c r="AF81" s="16">
        <f t="shared" si="96"/>
        <v>-2.7659574468085091E-2</v>
      </c>
      <c r="AG81" s="16">
        <f t="shared" si="96"/>
        <v>-4.7413793103448176E-2</v>
      </c>
      <c r="AH81" s="16">
        <f t="shared" si="96"/>
        <v>-2.4102838778789604E-2</v>
      </c>
      <c r="AI81" s="16">
        <f t="shared" si="96"/>
        <v>-5.3763440860215006E-2</v>
      </c>
      <c r="AJ81" s="16">
        <f t="shared" si="96"/>
        <v>-3.7117903930130924E-2</v>
      </c>
      <c r="AK81" s="16">
        <f t="shared" si="96"/>
        <v>-3.5010940919037226E-2</v>
      </c>
      <c r="AL81" s="303">
        <v>-3.5000000000000003E-2</v>
      </c>
      <c r="AM81" s="16">
        <f>AM74/AH74-1</f>
        <v>-4.0323819978046127E-2</v>
      </c>
      <c r="AN81" s="303">
        <v>-0.03</v>
      </c>
      <c r="AO81" s="303">
        <v>-0.03</v>
      </c>
      <c r="AP81" s="303">
        <v>-0.03</v>
      </c>
      <c r="AQ81" s="303">
        <v>-0.03</v>
      </c>
      <c r="AR81" s="16">
        <f>AR74/AM74-1</f>
        <v>-2.9999999999999916E-2</v>
      </c>
      <c r="AS81" s="303">
        <f>AN81+0.5%</f>
        <v>-2.4999999999999998E-2</v>
      </c>
      <c r="AT81" s="303">
        <f>AO81+0.5%</f>
        <v>-2.4999999999999998E-2</v>
      </c>
      <c r="AU81" s="303">
        <f>AP81+0.5%</f>
        <v>-2.4999999999999998E-2</v>
      </c>
      <c r="AV81" s="303">
        <f>AQ81+0.5%</f>
        <v>-2.4999999999999998E-2</v>
      </c>
      <c r="AW81" s="16">
        <f>AW74/AR74-1</f>
        <v>-2.5000000000000022E-2</v>
      </c>
      <c r="AX81" s="303">
        <f>AS81+0.5%</f>
        <v>-1.9999999999999997E-2</v>
      </c>
      <c r="AY81" s="303">
        <f>AT81+0.5%</f>
        <v>-1.9999999999999997E-2</v>
      </c>
      <c r="AZ81" s="303">
        <f>AU81+0.5%</f>
        <v>-1.9999999999999997E-2</v>
      </c>
      <c r="BA81" s="303">
        <f>AV81+0.5%</f>
        <v>-1.9999999999999997E-2</v>
      </c>
      <c r="BB81" s="16">
        <f>BB74/AW74-1</f>
        <v>-2.0000000000000018E-2</v>
      </c>
      <c r="BC81" s="303">
        <f>AX81+0.5%</f>
        <v>-1.4999999999999996E-2</v>
      </c>
      <c r="BD81" s="303">
        <f>AY81+0.5%</f>
        <v>-1.4999999999999996E-2</v>
      </c>
      <c r="BE81" s="303">
        <f>AZ81+0.5%</f>
        <v>-1.4999999999999996E-2</v>
      </c>
      <c r="BF81" s="303">
        <f>BA81+0.5%</f>
        <v>-1.4999999999999996E-2</v>
      </c>
      <c r="BG81" s="16">
        <f>BG74/BB74-1</f>
        <v>-1.5000000000000013E-2</v>
      </c>
      <c r="BH81" s="303">
        <f>BC81+0.5%</f>
        <v>-9.999999999999995E-3</v>
      </c>
      <c r="BI81" s="303">
        <f>BD81+0.5%</f>
        <v>-9.999999999999995E-3</v>
      </c>
      <c r="BJ81" s="303">
        <f>BE81+0.5%</f>
        <v>-9.999999999999995E-3</v>
      </c>
      <c r="BK81" s="303">
        <f>BF81+0.5%</f>
        <v>-9.999999999999995E-3</v>
      </c>
      <c r="BL81" s="16">
        <f>BL74/BG74-1</f>
        <v>-1.0000000000000009E-2</v>
      </c>
    </row>
    <row r="82" spans="1:64">
      <c r="A82" s="5" t="s">
        <v>1737</v>
      </c>
      <c r="O82" s="16">
        <f t="shared" si="96"/>
        <v>0.23703728120776613</v>
      </c>
      <c r="P82" s="16">
        <f t="shared" si="96"/>
        <v>0.17800005765184035</v>
      </c>
      <c r="Q82" s="16">
        <f t="shared" si="96"/>
        <v>0.15727964361132796</v>
      </c>
      <c r="R82" s="16">
        <f t="shared" si="96"/>
        <v>0.11938227000352475</v>
      </c>
      <c r="S82" s="16">
        <f t="shared" si="96"/>
        <v>0.16706094945133776</v>
      </c>
      <c r="T82" s="16">
        <f t="shared" si="96"/>
        <v>0.15646983585589425</v>
      </c>
      <c r="U82" s="16">
        <f t="shared" si="96"/>
        <v>0.19169970146331927</v>
      </c>
      <c r="V82" s="16">
        <f t="shared" si="96"/>
        <v>0.16732490126481037</v>
      </c>
      <c r="W82" s="16">
        <f t="shared" si="96"/>
        <v>0.1532935781622089</v>
      </c>
      <c r="X82" s="16">
        <f t="shared" si="96"/>
        <v>0.16659082447358609</v>
      </c>
      <c r="Y82" s="16">
        <f t="shared" si="96"/>
        <v>8.9861751152073621E-2</v>
      </c>
      <c r="Z82" s="16">
        <f t="shared" si="96"/>
        <v>0.10677618069815176</v>
      </c>
      <c r="AA82" s="16">
        <f t="shared" si="96"/>
        <v>0.16274089935760161</v>
      </c>
      <c r="AB82" s="16">
        <f t="shared" si="96"/>
        <v>2.7303754266211566E-2</v>
      </c>
      <c r="AC82" s="16">
        <f t="shared" si="96"/>
        <v>9.2705167173252168E-2</v>
      </c>
      <c r="AD82" s="16">
        <f t="shared" si="96"/>
        <v>0.11627906976744184</v>
      </c>
      <c r="AE82" s="16">
        <f t="shared" si="96"/>
        <v>0.14100185528756959</v>
      </c>
      <c r="AF82" s="16">
        <f t="shared" si="96"/>
        <v>0.125230202578269</v>
      </c>
      <c r="AG82" s="16">
        <f t="shared" si="96"/>
        <v>0.20764119601328912</v>
      </c>
      <c r="AH82" s="16">
        <f t="shared" si="96"/>
        <v>0.15020862308762184</v>
      </c>
      <c r="AI82" s="16">
        <f t="shared" si="96"/>
        <v>0.17613636363636376</v>
      </c>
      <c r="AJ82" s="16">
        <f t="shared" si="96"/>
        <v>0.13658536585365866</v>
      </c>
      <c r="AK82" s="16">
        <f t="shared" si="96"/>
        <v>0.15548281505728312</v>
      </c>
      <c r="AL82" s="303">
        <v>0.13500000000000001</v>
      </c>
      <c r="AM82" s="16">
        <f>AM75/AH75-1</f>
        <v>0.14919185812172508</v>
      </c>
      <c r="AN82" s="303">
        <v>0.12</v>
      </c>
      <c r="AO82" s="303">
        <v>0.13500000000000001</v>
      </c>
      <c r="AP82" s="303">
        <v>0.13500000000000001</v>
      </c>
      <c r="AQ82" s="303">
        <v>0.13500000000000001</v>
      </c>
      <c r="AR82" s="16">
        <f>AR75/AM75-1</f>
        <v>0.13173289152252865</v>
      </c>
      <c r="AS82" s="303">
        <v>0.09</v>
      </c>
      <c r="AT82" s="303">
        <v>0.09</v>
      </c>
      <c r="AU82" s="303">
        <v>0.09</v>
      </c>
      <c r="AV82" s="303">
        <v>0.09</v>
      </c>
      <c r="AW82" s="16">
        <f>AW75/AR75-1</f>
        <v>8.9999999999999858E-2</v>
      </c>
      <c r="AX82" s="521">
        <v>0.15</v>
      </c>
      <c r="AY82" s="521">
        <v>0.15</v>
      </c>
      <c r="AZ82" s="521">
        <v>0.15</v>
      </c>
      <c r="BA82" s="521">
        <v>0.15</v>
      </c>
      <c r="BB82" s="16">
        <f>BB75/AW75-1</f>
        <v>0.14999999999999991</v>
      </c>
      <c r="BC82" s="521">
        <v>0.17499999999999999</v>
      </c>
      <c r="BD82" s="521">
        <v>0.17499999999999999</v>
      </c>
      <c r="BE82" s="521">
        <v>0.17499999999999999</v>
      </c>
      <c r="BF82" s="521">
        <v>0.17499999999999999</v>
      </c>
      <c r="BG82" s="16">
        <f>BG75/BB75-1</f>
        <v>0.17499999999999982</v>
      </c>
      <c r="BH82" s="521">
        <v>0.2</v>
      </c>
      <c r="BI82" s="521">
        <v>0.2</v>
      </c>
      <c r="BJ82" s="521">
        <v>0.2</v>
      </c>
      <c r="BK82" s="521">
        <v>0.2</v>
      </c>
      <c r="BL82" s="16">
        <f>BL75/BG75-1</f>
        <v>0.20000000000000018</v>
      </c>
    </row>
    <row r="83" spans="1:64">
      <c r="A83" s="9" t="s">
        <v>1738</v>
      </c>
      <c r="B83" s="9"/>
      <c r="C83" s="9"/>
      <c r="D83" s="9"/>
      <c r="E83" s="9"/>
      <c r="F83" s="9"/>
      <c r="G83" s="9"/>
      <c r="H83" s="9"/>
      <c r="I83" s="9"/>
      <c r="J83" s="9"/>
      <c r="K83" s="9"/>
      <c r="L83" s="9"/>
      <c r="M83" s="9"/>
      <c r="N83" s="9"/>
      <c r="O83" s="17">
        <f t="shared" si="96"/>
        <v>4.521953332250539E-2</v>
      </c>
      <c r="P83" s="17">
        <f t="shared" si="96"/>
        <v>3.7801223420506957E-2</v>
      </c>
      <c r="Q83" s="17">
        <f t="shared" si="96"/>
        <v>1.6788794501005233E-2</v>
      </c>
      <c r="R83" s="17">
        <f t="shared" si="96"/>
        <v>2.0082101606810898E-2</v>
      </c>
      <c r="S83" s="17">
        <f t="shared" si="96"/>
        <v>2.9643036150869717E-2</v>
      </c>
      <c r="T83" s="17">
        <f t="shared" si="96"/>
        <v>5.2767886047264456E-2</v>
      </c>
      <c r="U83" s="17">
        <f t="shared" si="96"/>
        <v>7.8010097340365681E-2</v>
      </c>
      <c r="V83" s="17">
        <f t="shared" si="96"/>
        <v>0.10396112220103459</v>
      </c>
      <c r="W83" s="17">
        <f t="shared" si="96"/>
        <v>9.4766670040064227E-2</v>
      </c>
      <c r="X83" s="17">
        <f t="shared" si="96"/>
        <v>8.2682711512093165E-2</v>
      </c>
      <c r="Y83" s="17">
        <f t="shared" si="96"/>
        <v>5.4735547355473591E-2</v>
      </c>
      <c r="Z83" s="17">
        <f t="shared" si="96"/>
        <v>4.1836141778035962E-2</v>
      </c>
      <c r="AA83" s="17">
        <f t="shared" si="96"/>
        <v>2.8307336799537675E-2</v>
      </c>
      <c r="AB83" s="17">
        <f t="shared" si="96"/>
        <v>1.5769439912996175E-2</v>
      </c>
      <c r="AC83" s="17">
        <f t="shared" si="96"/>
        <v>3.4552551684255972E-2</v>
      </c>
      <c r="AD83" s="17">
        <f t="shared" si="96"/>
        <v>2.9737609329446135E-2</v>
      </c>
      <c r="AE83" s="17">
        <f t="shared" si="96"/>
        <v>3.6809815950920033E-2</v>
      </c>
      <c r="AF83" s="17">
        <f t="shared" si="96"/>
        <v>5.8426966292134841E-2</v>
      </c>
      <c r="AG83" s="17">
        <f t="shared" si="96"/>
        <v>6.79871520342612E-2</v>
      </c>
      <c r="AH83" s="17">
        <f t="shared" si="96"/>
        <v>4.8630519843487985E-2</v>
      </c>
      <c r="AI83" s="17">
        <f t="shared" si="96"/>
        <v>4.303510758776885E-2</v>
      </c>
      <c r="AJ83" s="17">
        <f t="shared" si="96"/>
        <v>5.0564819795589244E-2</v>
      </c>
      <c r="AK83" s="17">
        <f t="shared" si="96"/>
        <v>4.6178343949044631E-2</v>
      </c>
      <c r="AL83" s="17">
        <f>AL76/AG76-1</f>
        <v>3.8657182660323031E-2</v>
      </c>
      <c r="AM83" s="17">
        <f>AM76/AH76-1</f>
        <v>4.4525730198206936E-2</v>
      </c>
      <c r="AN83" s="17">
        <f>AN76/AI76-1</f>
        <v>4.0202865649609842E-2</v>
      </c>
      <c r="AO83" s="17">
        <f>AO76/AJ76-1</f>
        <v>4.7192825646803938E-2</v>
      </c>
      <c r="AP83" s="17">
        <f>AP76/AK76-1</f>
        <v>4.6862369551737837E-2</v>
      </c>
      <c r="AQ83" s="17">
        <f>AQ76/AL76-1</f>
        <v>5.164772437434606E-2</v>
      </c>
      <c r="AR83" s="17">
        <f>AR76/AM76-1</f>
        <v>4.6644767550389821E-2</v>
      </c>
      <c r="AS83" s="17">
        <f>AS76/AN76-1</f>
        <v>3.2365869501734368E-2</v>
      </c>
      <c r="AT83" s="17">
        <f>AT76/AO76-1</f>
        <v>3.3795413748361813E-2</v>
      </c>
      <c r="AU83" s="17">
        <f>AU76/AP76-1</f>
        <v>3.3453065964319517E-2</v>
      </c>
      <c r="AV83" s="17">
        <f>AV76/AQ76-1</f>
        <v>3.6603626891106078E-2</v>
      </c>
      <c r="AW83" s="17">
        <f>AW76/AR76-1</f>
        <v>3.4121365710221507E-2</v>
      </c>
      <c r="AX83" s="17">
        <f>AX76/AS76-1</f>
        <v>5.7969671501620246E-2</v>
      </c>
      <c r="AY83" s="17">
        <f>AY76/AT76-1</f>
        <v>6.1254683143650235E-2</v>
      </c>
      <c r="AZ83" s="17">
        <f>AZ76/AU76-1</f>
        <v>6.1126351456280981E-2</v>
      </c>
      <c r="BA83" s="17">
        <f>BA76/AV76-1</f>
        <v>6.7087713887674205E-2</v>
      </c>
      <c r="BB83" s="17">
        <f>BB76/AW76-1</f>
        <v>6.2009621844061336E-2</v>
      </c>
      <c r="BC83" s="17">
        <f>BC76/AX76-1</f>
        <v>7.4598658315165656E-2</v>
      </c>
      <c r="BD83" s="17">
        <f>BD76/AY76-1</f>
        <v>7.8784045614157971E-2</v>
      </c>
      <c r="BE83" s="17">
        <f>BE76/AZ76-1</f>
        <v>7.8856721777767591E-2</v>
      </c>
      <c r="BF83" s="17">
        <f>BF76/BA76-1</f>
        <v>8.611000987761197E-2</v>
      </c>
      <c r="BG83" s="17">
        <f>BG76/BB76-1</f>
        <v>7.9790115924735838E-2</v>
      </c>
      <c r="BH83" s="17">
        <f>BH76/BC76-1</f>
        <v>9.2394611272994309E-2</v>
      </c>
      <c r="BI83" s="17">
        <f>BI76/BD76-1</f>
        <v>9.7481107754826102E-2</v>
      </c>
      <c r="BJ83" s="17">
        <f>BJ76/BE76-1</f>
        <v>9.7620618956617999E-2</v>
      </c>
      <c r="BK83" s="17">
        <f>BK76/BF76-1</f>
        <v>0.10611289681403413</v>
      </c>
      <c r="BL83" s="17">
        <f>BL76/BG76-1</f>
        <v>9.8663183087905226E-2</v>
      </c>
    </row>
    <row r="85" spans="1:64">
      <c r="A85" s="5" t="s">
        <v>1723</v>
      </c>
      <c r="J85" s="375">
        <f t="shared" ref="J85:AK85" si="97">J87-J86</f>
        <v>96.656000000000006</v>
      </c>
      <c r="K85" s="375">
        <f t="shared" si="97"/>
        <v>102.07100000000003</v>
      </c>
      <c r="L85" s="375">
        <f t="shared" si="97"/>
        <v>102.25799999999998</v>
      </c>
      <c r="M85" s="375">
        <f t="shared" si="97"/>
        <v>112.02400000000002</v>
      </c>
      <c r="N85" s="375">
        <f t="shared" si="97"/>
        <v>413.00899999999996</v>
      </c>
      <c r="O85" s="375">
        <f t="shared" si="97"/>
        <v>86.466999999999999</v>
      </c>
      <c r="P85" s="375">
        <f t="shared" si="97"/>
        <v>93.832999999999998</v>
      </c>
      <c r="Q85" s="375">
        <f t="shared" si="97"/>
        <v>95.491000000000014</v>
      </c>
      <c r="R85" s="375">
        <f t="shared" si="97"/>
        <v>121.54099999999998</v>
      </c>
      <c r="S85" s="375">
        <f t="shared" si="97"/>
        <v>397.33199999999999</v>
      </c>
      <c r="T85" s="375">
        <f t="shared" si="97"/>
        <v>91.999999999999986</v>
      </c>
      <c r="U85" s="375">
        <f t="shared" si="97"/>
        <v>98.9</v>
      </c>
      <c r="V85" s="375">
        <f t="shared" si="97"/>
        <v>104.00000000000003</v>
      </c>
      <c r="W85" s="375">
        <f t="shared" si="97"/>
        <v>128.9</v>
      </c>
      <c r="X85" s="375">
        <f t="shared" si="97"/>
        <v>423.8</v>
      </c>
      <c r="Y85" s="375">
        <f t="shared" si="97"/>
        <v>93</v>
      </c>
      <c r="Z85" s="375">
        <f t="shared" si="97"/>
        <v>104.30000000000001</v>
      </c>
      <c r="AA85" s="375">
        <f t="shared" si="97"/>
        <v>107.4</v>
      </c>
      <c r="AB85" s="375">
        <f t="shared" si="97"/>
        <v>124</v>
      </c>
      <c r="AC85" s="375">
        <f t="shared" si="97"/>
        <v>428.70000000000005</v>
      </c>
      <c r="AD85" s="375">
        <f t="shared" si="97"/>
        <v>101.8</v>
      </c>
      <c r="AE85" s="375">
        <f t="shared" si="97"/>
        <v>112.69999999999999</v>
      </c>
      <c r="AF85" s="375">
        <f t="shared" si="97"/>
        <v>112.79999999999998</v>
      </c>
      <c r="AG85" s="375">
        <f t="shared" si="97"/>
        <v>133.9</v>
      </c>
      <c r="AH85" s="375">
        <f t="shared" si="97"/>
        <v>461.20000000000005</v>
      </c>
      <c r="AI85" s="375">
        <f t="shared" si="97"/>
        <v>106.19999999999999</v>
      </c>
      <c r="AJ85" s="375">
        <f t="shared" si="97"/>
        <v>114.19999999999999</v>
      </c>
      <c r="AK85" s="375">
        <f t="shared" si="97"/>
        <v>115.19999999999999</v>
      </c>
      <c r="AL85" s="375">
        <f>AL90*AL76</f>
        <v>137.52210594866176</v>
      </c>
      <c r="AM85" s="375">
        <f>SUM(AI85:AL85)</f>
        <v>473.12210594866173</v>
      </c>
      <c r="AN85" s="375">
        <f>AN90*AN76</f>
        <v>109.9905309123569</v>
      </c>
      <c r="AO85" s="375">
        <f>AO90*AO76</f>
        <v>119.07812879174296</v>
      </c>
      <c r="AP85" s="375">
        <f>AP90*AP76</f>
        <v>120.0827035397636</v>
      </c>
      <c r="AQ85" s="375">
        <f>AQ90*AQ76</f>
        <v>144.08002441763114</v>
      </c>
      <c r="AR85" s="375">
        <f>SUM(AN85:AQ85)</f>
        <v>493.23138766149458</v>
      </c>
      <c r="AS85" s="375">
        <f>AS90*AS76</f>
        <v>113.30321152956222</v>
      </c>
      <c r="AT85" s="375">
        <f>AT90*AT76</f>
        <v>122.8381378134749</v>
      </c>
      <c r="AU85" s="375">
        <f>AU90*AU76</f>
        <v>123.83328918741894</v>
      </c>
      <c r="AV85" s="375">
        <f>AV90*AV76</f>
        <v>149.07151263672728</v>
      </c>
      <c r="AW85" s="375">
        <f>SUM(AS85:AV85)</f>
        <v>509.04615116718333</v>
      </c>
      <c r="AX85" s="375">
        <f>AX90*AX76</f>
        <v>119.60976943220126</v>
      </c>
      <c r="AY85" s="375">
        <f>AY90*AY76</f>
        <v>130.08207468278076</v>
      </c>
      <c r="AZ85" s="375">
        <f>AZ90*AZ76</f>
        <v>131.11992422413647</v>
      </c>
      <c r="BA85" s="375">
        <f>BA90*BA76</f>
        <v>158.77107328408835</v>
      </c>
      <c r="BB85" s="375">
        <f>SUM(AX85:BA85)</f>
        <v>539.58284162320683</v>
      </c>
      <c r="BC85" s="375">
        <f>BC90*BC76</f>
        <v>128.25139128747992</v>
      </c>
      <c r="BD85" s="375">
        <f>BD90*BD76</f>
        <v>140.0278955445298</v>
      </c>
      <c r="BE85" s="375">
        <f>BE90*BE76</f>
        <v>141.15446548568633</v>
      </c>
      <c r="BF85" s="375">
        <f>BF90*BF76</f>
        <v>172.11560013962753</v>
      </c>
      <c r="BG85" s="375">
        <f>SUM(BC85:BF85)</f>
        <v>581.54935245732349</v>
      </c>
      <c r="BH85" s="375">
        <f>BH90*BH76</f>
        <v>139.79404954232814</v>
      </c>
      <c r="BI85" s="375">
        <f>BI90*BI76</f>
        <v>153.3459036951391</v>
      </c>
      <c r="BJ85" s="375">
        <f>BJ90*BJ76</f>
        <v>154.59911709902269</v>
      </c>
      <c r="BK85" s="375">
        <f>BK90*BK76</f>
        <v>190.0173075840847</v>
      </c>
      <c r="BL85" s="375">
        <f>SUM(BH85:BK85)</f>
        <v>637.75637792057466</v>
      </c>
    </row>
    <row r="86" spans="1:64">
      <c r="A86" s="5" t="s">
        <v>1114</v>
      </c>
      <c r="J86" s="376">
        <v>25.556000000000001</v>
      </c>
      <c r="K86" s="376">
        <v>25.88</v>
      </c>
      <c r="L86" s="376">
        <v>25.975999999999999</v>
      </c>
      <c r="M86" s="376">
        <v>26.324999999999999</v>
      </c>
      <c r="N86" s="375">
        <f>SUM(J86:M86)</f>
        <v>103.73700000000001</v>
      </c>
      <c r="O86" s="376">
        <v>39.841999999999999</v>
      </c>
      <c r="P86" s="376">
        <v>39.351999999999997</v>
      </c>
      <c r="Q86" s="376">
        <v>38.847000000000001</v>
      </c>
      <c r="R86" s="376">
        <v>39.896000000000001</v>
      </c>
      <c r="S86" s="375">
        <f>SUM(O86:R86)</f>
        <v>157.93700000000001</v>
      </c>
      <c r="T86" s="376">
        <v>39.299999999999997</v>
      </c>
      <c r="U86" s="376">
        <v>39.9</v>
      </c>
      <c r="V86" s="376">
        <v>40.6</v>
      </c>
      <c r="W86" s="376">
        <v>40.4</v>
      </c>
      <c r="X86" s="375">
        <f>SUM(T86:W86)</f>
        <v>160.19999999999999</v>
      </c>
      <c r="Y86" s="376">
        <v>40</v>
      </c>
      <c r="Z86" s="376">
        <v>39.5</v>
      </c>
      <c r="AA86" s="376">
        <v>39.5</v>
      </c>
      <c r="AB86" s="376">
        <v>39.5</v>
      </c>
      <c r="AC86" s="375">
        <f>SUM(Y86:AB86)</f>
        <v>158.5</v>
      </c>
      <c r="AD86" s="376">
        <v>38.200000000000003</v>
      </c>
      <c r="AE86" s="376">
        <v>38.5</v>
      </c>
      <c r="AF86" s="376">
        <v>38.4</v>
      </c>
      <c r="AG86" s="376">
        <v>38.9</v>
      </c>
      <c r="AH86" s="375">
        <f>SUM(AD86:AG86)</f>
        <v>154</v>
      </c>
      <c r="AI86" s="376">
        <v>38.5</v>
      </c>
      <c r="AJ86" s="376">
        <v>38.5</v>
      </c>
      <c r="AK86" s="376">
        <v>39</v>
      </c>
      <c r="AL86" s="377">
        <v>38.5</v>
      </c>
      <c r="AM86" s="375">
        <f>SUM(AI86:AL86)</f>
        <v>154.5</v>
      </c>
      <c r="AN86" s="377">
        <v>38.5</v>
      </c>
      <c r="AO86" s="377">
        <v>38.5</v>
      </c>
      <c r="AP86" s="377">
        <v>38.5</v>
      </c>
      <c r="AQ86" s="377">
        <v>38.5</v>
      </c>
      <c r="AR86" s="375">
        <f>SUM(AN86:AQ86)</f>
        <v>154</v>
      </c>
      <c r="AS86" s="377">
        <f>AN86*1.025</f>
        <v>39.462499999999999</v>
      </c>
      <c r="AT86" s="377">
        <f>AO86*1.025</f>
        <v>39.462499999999999</v>
      </c>
      <c r="AU86" s="377">
        <f>AP86*1.025</f>
        <v>39.462499999999999</v>
      </c>
      <c r="AV86" s="377">
        <f>AQ86*1.025</f>
        <v>39.462499999999999</v>
      </c>
      <c r="AW86" s="375">
        <f>SUM(AS86:AV86)</f>
        <v>157.85</v>
      </c>
      <c r="AX86" s="377">
        <f>AS86*1.025</f>
        <v>40.449062499999997</v>
      </c>
      <c r="AY86" s="377">
        <f>AT86*1.025</f>
        <v>40.449062499999997</v>
      </c>
      <c r="AZ86" s="377">
        <f>AU86*1.025</f>
        <v>40.449062499999997</v>
      </c>
      <c r="BA86" s="377">
        <f>AV86*1.025</f>
        <v>40.449062499999997</v>
      </c>
      <c r="BB86" s="375">
        <f>SUM(AX86:BA86)</f>
        <v>161.79624999999999</v>
      </c>
      <c r="BC86" s="377">
        <f>AX86*1.025</f>
        <v>41.460289062499996</v>
      </c>
      <c r="BD86" s="377">
        <f>AY86*1.025</f>
        <v>41.460289062499996</v>
      </c>
      <c r="BE86" s="377">
        <f>AZ86*1.025</f>
        <v>41.460289062499996</v>
      </c>
      <c r="BF86" s="377">
        <f>BA86*1.025</f>
        <v>41.460289062499996</v>
      </c>
      <c r="BG86" s="375">
        <f>SUM(BC86:BF86)</f>
        <v>165.84115624999998</v>
      </c>
      <c r="BH86" s="377">
        <f>BC86*1.025</f>
        <v>42.496796289062495</v>
      </c>
      <c r="BI86" s="377">
        <f>BD86*1.025</f>
        <v>42.496796289062495</v>
      </c>
      <c r="BJ86" s="377">
        <f>BE86*1.025</f>
        <v>42.496796289062495</v>
      </c>
      <c r="BK86" s="377">
        <f>BF86*1.025</f>
        <v>42.496796289062495</v>
      </c>
      <c r="BL86" s="375">
        <f>SUM(BH86:BK86)</f>
        <v>169.98718515624998</v>
      </c>
    </row>
    <row r="87" spans="1:64">
      <c r="A87" s="288" t="s">
        <v>1724</v>
      </c>
      <c r="B87" s="9"/>
      <c r="C87" s="9"/>
      <c r="D87" s="9"/>
      <c r="E87" s="9"/>
      <c r="F87" s="9"/>
      <c r="G87" s="9"/>
      <c r="H87" s="9"/>
      <c r="I87" s="9"/>
      <c r="J87" s="378">
        <f t="shared" ref="J87:X87" si="98">J76-J102</f>
        <v>122.212</v>
      </c>
      <c r="K87" s="378">
        <f t="shared" si="98"/>
        <v>127.95100000000002</v>
      </c>
      <c r="L87" s="378">
        <f t="shared" si="98"/>
        <v>128.23399999999998</v>
      </c>
      <c r="M87" s="378">
        <f t="shared" si="98"/>
        <v>138.34900000000002</v>
      </c>
      <c r="N87" s="378">
        <f t="shared" si="98"/>
        <v>516.74599999999998</v>
      </c>
      <c r="O87" s="378">
        <f t="shared" si="98"/>
        <v>126.309</v>
      </c>
      <c r="P87" s="378">
        <f t="shared" si="98"/>
        <v>133.185</v>
      </c>
      <c r="Q87" s="378">
        <f t="shared" si="98"/>
        <v>134.33800000000002</v>
      </c>
      <c r="R87" s="378">
        <f t="shared" si="98"/>
        <v>161.43699999999998</v>
      </c>
      <c r="S87" s="378">
        <f t="shared" si="98"/>
        <v>555.26900000000001</v>
      </c>
      <c r="T87" s="378">
        <f t="shared" si="98"/>
        <v>131.29999999999998</v>
      </c>
      <c r="U87" s="378">
        <f t="shared" si="98"/>
        <v>138.80000000000001</v>
      </c>
      <c r="V87" s="378">
        <f t="shared" si="98"/>
        <v>144.60000000000002</v>
      </c>
      <c r="W87" s="378">
        <f t="shared" si="98"/>
        <v>169.3</v>
      </c>
      <c r="X87" s="378">
        <f t="shared" si="98"/>
        <v>584</v>
      </c>
      <c r="Y87" s="395">
        <v>133</v>
      </c>
      <c r="Z87" s="395">
        <v>143.80000000000001</v>
      </c>
      <c r="AA87" s="395">
        <v>146.9</v>
      </c>
      <c r="AB87" s="395">
        <v>163.5</v>
      </c>
      <c r="AC87" s="378">
        <f>SUM(Y87:AB87)</f>
        <v>587.20000000000005</v>
      </c>
      <c r="AD87" s="395">
        <v>140</v>
      </c>
      <c r="AE87" s="395">
        <v>151.19999999999999</v>
      </c>
      <c r="AF87" s="395">
        <v>151.19999999999999</v>
      </c>
      <c r="AG87" s="395">
        <v>172.8</v>
      </c>
      <c r="AH87" s="378">
        <f>SUM(AD87:AG87)</f>
        <v>615.20000000000005</v>
      </c>
      <c r="AI87" s="395">
        <v>144.69999999999999</v>
      </c>
      <c r="AJ87" s="395">
        <v>152.69999999999999</v>
      </c>
      <c r="AK87" s="395">
        <v>154.19999999999999</v>
      </c>
      <c r="AL87" s="378">
        <f t="shared" ref="AL87:BL87" si="99">SUM(AL85:AL86)</f>
        <v>176.02210594866176</v>
      </c>
      <c r="AM87" s="378">
        <f t="shared" si="99"/>
        <v>627.62210594866178</v>
      </c>
      <c r="AN87" s="378">
        <f t="shared" si="99"/>
        <v>148.49053091235692</v>
      </c>
      <c r="AO87" s="378">
        <f t="shared" si="99"/>
        <v>157.57812879174296</v>
      </c>
      <c r="AP87" s="378">
        <f t="shared" si="99"/>
        <v>158.5827035397636</v>
      </c>
      <c r="AQ87" s="378">
        <f t="shared" si="99"/>
        <v>182.58002441763114</v>
      </c>
      <c r="AR87" s="378">
        <f t="shared" si="99"/>
        <v>647.23138766149464</v>
      </c>
      <c r="AS87" s="378">
        <f t="shared" si="99"/>
        <v>152.76571152956222</v>
      </c>
      <c r="AT87" s="378">
        <f t="shared" si="99"/>
        <v>162.30063781347491</v>
      </c>
      <c r="AU87" s="378">
        <f t="shared" si="99"/>
        <v>163.29578918741893</v>
      </c>
      <c r="AV87" s="378">
        <f t="shared" si="99"/>
        <v>188.53401263672728</v>
      </c>
      <c r="AW87" s="378">
        <f t="shared" si="99"/>
        <v>666.89615116718335</v>
      </c>
      <c r="AX87" s="378">
        <f t="shared" si="99"/>
        <v>160.05883193220126</v>
      </c>
      <c r="AY87" s="378">
        <f t="shared" si="99"/>
        <v>170.53113718278075</v>
      </c>
      <c r="AZ87" s="378">
        <f t="shared" si="99"/>
        <v>171.56898672413647</v>
      </c>
      <c r="BA87" s="378">
        <f t="shared" si="99"/>
        <v>199.22013578408834</v>
      </c>
      <c r="BB87" s="378">
        <f t="shared" si="99"/>
        <v>701.37909162320682</v>
      </c>
      <c r="BC87" s="378">
        <f t="shared" si="99"/>
        <v>169.71168034997993</v>
      </c>
      <c r="BD87" s="378">
        <f t="shared" si="99"/>
        <v>181.48818460702978</v>
      </c>
      <c r="BE87" s="378">
        <f t="shared" si="99"/>
        <v>182.61475454818634</v>
      </c>
      <c r="BF87" s="378">
        <f t="shared" si="99"/>
        <v>213.57588920212754</v>
      </c>
      <c r="BG87" s="378">
        <f t="shared" si="99"/>
        <v>747.39050870732353</v>
      </c>
      <c r="BH87" s="378">
        <f t="shared" si="99"/>
        <v>182.29084583139064</v>
      </c>
      <c r="BI87" s="378">
        <f t="shared" si="99"/>
        <v>195.8426999842016</v>
      </c>
      <c r="BJ87" s="378">
        <f t="shared" si="99"/>
        <v>197.09591338808519</v>
      </c>
      <c r="BK87" s="378">
        <f t="shared" si="99"/>
        <v>232.51410387314721</v>
      </c>
      <c r="BL87" s="378">
        <f t="shared" si="99"/>
        <v>807.74356307682467</v>
      </c>
    </row>
    <row r="88" spans="1:64">
      <c r="A88" s="1" t="s">
        <v>1715</v>
      </c>
      <c r="J88" s="21">
        <f t="shared" ref="J88:BL88" si="100">J87/J76</f>
        <v>0.82705321855882197</v>
      </c>
      <c r="K88" s="21">
        <f t="shared" si="100"/>
        <v>0.83176342869772679</v>
      </c>
      <c r="L88" s="21">
        <f t="shared" si="100"/>
        <v>0.83155437390571296</v>
      </c>
      <c r="M88" s="21">
        <f t="shared" si="100"/>
        <v>0.84013869827659504</v>
      </c>
      <c r="N88" s="21">
        <f t="shared" si="100"/>
        <v>0.8328125025181996</v>
      </c>
      <c r="O88" s="21">
        <f t="shared" si="100"/>
        <v>0.8177986403366786</v>
      </c>
      <c r="P88" s="21">
        <f t="shared" si="100"/>
        <v>0.83425203262217651</v>
      </c>
      <c r="Q88" s="21">
        <f t="shared" si="100"/>
        <v>0.85675291296500622</v>
      </c>
      <c r="R88" s="21">
        <f t="shared" si="100"/>
        <v>0.96104321322054276</v>
      </c>
      <c r="S88" s="21">
        <f t="shared" si="100"/>
        <v>0.86913422949054275</v>
      </c>
      <c r="T88" s="21">
        <f t="shared" si="100"/>
        <v>0.80750307503075025</v>
      </c>
      <c r="U88" s="21">
        <f t="shared" si="100"/>
        <v>0.8065078442765834</v>
      </c>
      <c r="V88" s="21">
        <f t="shared" si="100"/>
        <v>0.83535528596187181</v>
      </c>
      <c r="W88" s="21">
        <f t="shared" si="100"/>
        <v>0.92060902664491573</v>
      </c>
      <c r="X88" s="21">
        <f t="shared" si="100"/>
        <v>0.84429666040190832</v>
      </c>
      <c r="Y88" s="21">
        <f t="shared" si="100"/>
        <v>0.77551020408163263</v>
      </c>
      <c r="Z88" s="21">
        <f t="shared" si="100"/>
        <v>0.8020078081427775</v>
      </c>
      <c r="AA88" s="21">
        <f t="shared" si="100"/>
        <v>0.82528089887640455</v>
      </c>
      <c r="AB88" s="21">
        <f t="shared" si="100"/>
        <v>0.87526766595289074</v>
      </c>
      <c r="AC88" s="21">
        <f t="shared" si="100"/>
        <v>0.82057015092230312</v>
      </c>
      <c r="AD88" s="21">
        <f t="shared" si="100"/>
        <v>0.79275198187995477</v>
      </c>
      <c r="AE88" s="21">
        <f t="shared" si="100"/>
        <v>0.81334050564819804</v>
      </c>
      <c r="AF88" s="21">
        <f t="shared" si="100"/>
        <v>0.80254777070063688</v>
      </c>
      <c r="AG88" s="21">
        <f t="shared" si="100"/>
        <v>0.86616541353383469</v>
      </c>
      <c r="AH88" s="21">
        <f t="shared" si="100"/>
        <v>0.81982942430703631</v>
      </c>
      <c r="AI88" s="21">
        <f t="shared" si="100"/>
        <v>0.78555917480998916</v>
      </c>
      <c r="AJ88" s="21">
        <f t="shared" si="100"/>
        <v>0.78187403993855598</v>
      </c>
      <c r="AK88" s="21">
        <f t="shared" si="100"/>
        <v>0.78234398782343983</v>
      </c>
      <c r="AL88" s="21">
        <f t="shared" si="100"/>
        <v>0.84947789826551334</v>
      </c>
      <c r="AM88" s="21">
        <f t="shared" si="100"/>
        <v>0.80073030205871421</v>
      </c>
      <c r="AN88" s="21">
        <f t="shared" si="100"/>
        <v>0.77498105912431481</v>
      </c>
      <c r="AO88" s="21">
        <f t="shared" si="100"/>
        <v>0.77049005508749047</v>
      </c>
      <c r="AP88" s="21">
        <f t="shared" si="100"/>
        <v>0.76856323241377333</v>
      </c>
      <c r="AQ88" s="21">
        <f t="shared" si="100"/>
        <v>0.8378530320581985</v>
      </c>
      <c r="AR88" s="21">
        <f t="shared" si="100"/>
        <v>0.78894784774107329</v>
      </c>
      <c r="AS88" s="21">
        <f t="shared" si="100"/>
        <v>0.77229740813082493</v>
      </c>
      <c r="AT88" s="21">
        <f t="shared" si="100"/>
        <v>0.76763845714965329</v>
      </c>
      <c r="AU88" s="21">
        <f t="shared" si="100"/>
        <v>0.76578704447774981</v>
      </c>
      <c r="AV88" s="21">
        <f t="shared" si="100"/>
        <v>0.83462535058034693</v>
      </c>
      <c r="AW88" s="21">
        <f t="shared" si="100"/>
        <v>0.78609570846804155</v>
      </c>
      <c r="AX88" s="21">
        <f t="shared" si="100"/>
        <v>0.76483035345262307</v>
      </c>
      <c r="AY88" s="21">
        <f t="shared" si="100"/>
        <v>0.76001220348130805</v>
      </c>
      <c r="AZ88" s="21">
        <f t="shared" si="100"/>
        <v>0.75823655012582047</v>
      </c>
      <c r="BA88" s="21">
        <f t="shared" si="100"/>
        <v>0.82648499439585033</v>
      </c>
      <c r="BB88" s="21">
        <f t="shared" si="100"/>
        <v>0.77846945749393748</v>
      </c>
      <c r="BC88" s="21">
        <f t="shared" si="100"/>
        <v>0.75465927071998973</v>
      </c>
      <c r="BD88" s="21">
        <f t="shared" si="100"/>
        <v>0.74977459201684227</v>
      </c>
      <c r="BE88" s="21">
        <f t="shared" si="100"/>
        <v>0.74806273566243942</v>
      </c>
      <c r="BF88" s="21">
        <f t="shared" si="100"/>
        <v>0.81579332609220168</v>
      </c>
      <c r="BG88" s="21">
        <f t="shared" si="100"/>
        <v>0.76824013724175932</v>
      </c>
      <c r="BH88" s="21">
        <f t="shared" si="100"/>
        <v>0.74203516849174345</v>
      </c>
      <c r="BI88" s="21">
        <f t="shared" si="100"/>
        <v>0.73721251228291496</v>
      </c>
      <c r="BJ88" s="21">
        <f t="shared" si="100"/>
        <v>0.73557594804838555</v>
      </c>
      <c r="BK88" s="21">
        <f t="shared" si="100"/>
        <v>0.80293015815642677</v>
      </c>
      <c r="BL88" s="21">
        <f t="shared" si="100"/>
        <v>0.75571553443026429</v>
      </c>
    </row>
    <row r="90" spans="1:64">
      <c r="A90" s="1" t="s">
        <v>1739</v>
      </c>
      <c r="J90" s="16">
        <f t="shared" ref="J90:AK90" si="101">J85/J76</f>
        <v>0.65410643711764394</v>
      </c>
      <c r="K90" s="16">
        <f t="shared" si="101"/>
        <v>0.66352685739545358</v>
      </c>
      <c r="L90" s="16">
        <f t="shared" si="101"/>
        <v>0.66310874781142592</v>
      </c>
      <c r="M90" s="16">
        <f t="shared" si="101"/>
        <v>0.68027739655318997</v>
      </c>
      <c r="N90" s="16">
        <f t="shared" si="101"/>
        <v>0.6656250050363991</v>
      </c>
      <c r="O90" s="16">
        <f t="shared" si="101"/>
        <v>0.5598381353188735</v>
      </c>
      <c r="P90" s="16">
        <f t="shared" si="101"/>
        <v>0.58775666161382056</v>
      </c>
      <c r="Q90" s="16">
        <f t="shared" si="101"/>
        <v>0.60900260843500287</v>
      </c>
      <c r="R90" s="16">
        <f t="shared" si="101"/>
        <v>0.72354016228025786</v>
      </c>
      <c r="S90" s="16">
        <f t="shared" si="101"/>
        <v>0.62192350315241141</v>
      </c>
      <c r="T90" s="16">
        <f t="shared" si="101"/>
        <v>0.56580565805658045</v>
      </c>
      <c r="U90" s="16">
        <f t="shared" si="101"/>
        <v>0.57466589192330031</v>
      </c>
      <c r="V90" s="16">
        <f t="shared" si="101"/>
        <v>0.60080878105141544</v>
      </c>
      <c r="W90" s="16">
        <f t="shared" si="101"/>
        <v>0.70092441544317563</v>
      </c>
      <c r="X90" s="16">
        <f t="shared" si="101"/>
        <v>0.61269336417522047</v>
      </c>
      <c r="Y90" s="16">
        <f t="shared" si="101"/>
        <v>0.54227405247813409</v>
      </c>
      <c r="Z90" s="16">
        <f t="shared" si="101"/>
        <v>0.58170663692136082</v>
      </c>
      <c r="AA90" s="16">
        <f t="shared" si="101"/>
        <v>0.60337078651685394</v>
      </c>
      <c r="AB90" s="16">
        <f t="shared" si="101"/>
        <v>0.66381156316916479</v>
      </c>
      <c r="AC90" s="16">
        <f t="shared" si="101"/>
        <v>0.59907769703745128</v>
      </c>
      <c r="AD90" s="16">
        <f t="shared" si="101"/>
        <v>0.57644394110985275</v>
      </c>
      <c r="AE90" s="16">
        <f t="shared" si="101"/>
        <v>0.60623991393222165</v>
      </c>
      <c r="AF90" s="16">
        <f t="shared" si="101"/>
        <v>0.5987261146496814</v>
      </c>
      <c r="AG90" s="16">
        <f t="shared" si="101"/>
        <v>0.67117794486215543</v>
      </c>
      <c r="AH90" s="16">
        <f t="shared" si="101"/>
        <v>0.61460554371002141</v>
      </c>
      <c r="AI90" s="16">
        <f t="shared" si="101"/>
        <v>0.57654723127035823</v>
      </c>
      <c r="AJ90" s="16">
        <f t="shared" si="101"/>
        <v>0.58474142345110081</v>
      </c>
      <c r="AK90" s="16">
        <f t="shared" si="101"/>
        <v>0.58447488584474883</v>
      </c>
      <c r="AL90" s="16">
        <f>AG90+AL91</f>
        <v>0.66367794486215548</v>
      </c>
      <c r="AM90" s="16">
        <f>AM85/AM76</f>
        <v>0.60361673563791818</v>
      </c>
      <c r="AN90" s="16">
        <f t="shared" ref="AN90:AQ90" si="102">AI90+AN91</f>
        <v>0.57404723127035828</v>
      </c>
      <c r="AO90" s="16">
        <f t="shared" si="102"/>
        <v>0.58224142345110086</v>
      </c>
      <c r="AP90" s="16">
        <f t="shared" si="102"/>
        <v>0.58197488584474888</v>
      </c>
      <c r="AQ90" s="16">
        <f t="shared" si="102"/>
        <v>0.66117794486215553</v>
      </c>
      <c r="AR90" s="16">
        <f>AR85/AR76</f>
        <v>0.6012283229029648</v>
      </c>
      <c r="AS90" s="16">
        <f t="shared" ref="AS90:AV90" si="103">AN90+AS91</f>
        <v>0.57279723127035831</v>
      </c>
      <c r="AT90" s="16">
        <f t="shared" si="103"/>
        <v>0.58099142345110089</v>
      </c>
      <c r="AU90" s="16">
        <f t="shared" si="103"/>
        <v>0.58072488584474891</v>
      </c>
      <c r="AV90" s="16">
        <f t="shared" si="103"/>
        <v>0.65992794486215556</v>
      </c>
      <c r="AW90" s="16">
        <f>AW85/AW76</f>
        <v>0.60003194522018077</v>
      </c>
      <c r="AX90" s="16">
        <f t="shared" ref="AX90:BA90" si="104">AS90+AX91</f>
        <v>0.57154723127035834</v>
      </c>
      <c r="AY90" s="16">
        <f t="shared" si="104"/>
        <v>0.57974142345110091</v>
      </c>
      <c r="AZ90" s="16">
        <f t="shared" si="104"/>
        <v>0.57947488584474893</v>
      </c>
      <c r="BA90" s="16">
        <f t="shared" si="104"/>
        <v>0.65867794486215558</v>
      </c>
      <c r="BB90" s="16">
        <f>BB85/BB76</f>
        <v>0.59888976875448774</v>
      </c>
      <c r="BC90" s="16">
        <f t="shared" ref="BC90:BF90" si="105">AX90+BC91</f>
        <v>0.57029723127035836</v>
      </c>
      <c r="BD90" s="16">
        <f t="shared" si="105"/>
        <v>0.57849142345110094</v>
      </c>
      <c r="BE90" s="16">
        <f t="shared" si="105"/>
        <v>0.57822488584474896</v>
      </c>
      <c r="BF90" s="16">
        <f t="shared" si="105"/>
        <v>0.65742794486215561</v>
      </c>
      <c r="BG90" s="16">
        <f>BG85/BG76</f>
        <v>0.59777258225742935</v>
      </c>
      <c r="BH90" s="16">
        <f t="shared" ref="BH90:BK90" si="106">BC90+BH91</f>
        <v>0.56904723127035839</v>
      </c>
      <c r="BI90" s="16">
        <f t="shared" si="106"/>
        <v>0.57724142345110097</v>
      </c>
      <c r="BJ90" s="16">
        <f t="shared" si="106"/>
        <v>0.57697488584474899</v>
      </c>
      <c r="BK90" s="16">
        <f t="shared" si="106"/>
        <v>0.65617794486215564</v>
      </c>
      <c r="BL90" s="16">
        <f>BL85/BL76</f>
        <v>0.59667749024292405</v>
      </c>
    </row>
    <row r="91" spans="1:64">
      <c r="A91" s="1" t="s">
        <v>1726</v>
      </c>
      <c r="O91" s="85">
        <f t="shared" ref="O91:AK91" si="107">O90-J90</f>
        <v>-9.4268301798770437E-2</v>
      </c>
      <c r="P91" s="85">
        <f t="shared" si="107"/>
        <v>-7.5770195781633021E-2</v>
      </c>
      <c r="Q91" s="85">
        <f t="shared" si="107"/>
        <v>-5.4106139376423057E-2</v>
      </c>
      <c r="R91" s="85">
        <f t="shared" si="107"/>
        <v>4.3262765727067887E-2</v>
      </c>
      <c r="S91" s="85">
        <f t="shared" si="107"/>
        <v>-4.3701501883987692E-2</v>
      </c>
      <c r="T91" s="85">
        <f t="shared" si="107"/>
        <v>5.967522737706954E-3</v>
      </c>
      <c r="U91" s="85">
        <f t="shared" si="107"/>
        <v>-1.3090769690520254E-2</v>
      </c>
      <c r="V91" s="85">
        <f t="shared" si="107"/>
        <v>-8.1938273835874265E-3</v>
      </c>
      <c r="W91" s="85">
        <f t="shared" si="107"/>
        <v>-2.2615746837082229E-2</v>
      </c>
      <c r="X91" s="85">
        <f t="shared" si="107"/>
        <v>-9.2301389771909381E-3</v>
      </c>
      <c r="Y91" s="85">
        <f t="shared" si="107"/>
        <v>-2.3531605578446357E-2</v>
      </c>
      <c r="Z91" s="85">
        <f t="shared" si="107"/>
        <v>7.0407449980605108E-3</v>
      </c>
      <c r="AA91" s="85">
        <f t="shared" si="107"/>
        <v>2.5620054654384994E-3</v>
      </c>
      <c r="AB91" s="85">
        <f t="shared" si="107"/>
        <v>-3.7112852274010844E-2</v>
      </c>
      <c r="AC91" s="85">
        <f t="shared" si="107"/>
        <v>-1.3615667137769183E-2</v>
      </c>
      <c r="AD91" s="85">
        <f t="shared" si="107"/>
        <v>3.4169888631718659E-2</v>
      </c>
      <c r="AE91" s="85">
        <f t="shared" si="107"/>
        <v>2.4533277010860832E-2</v>
      </c>
      <c r="AF91" s="85">
        <f t="shared" si="107"/>
        <v>-4.6446718671725451E-3</v>
      </c>
      <c r="AG91" s="85">
        <f t="shared" si="107"/>
        <v>7.3663816929906423E-3</v>
      </c>
      <c r="AH91" s="85">
        <f t="shared" si="107"/>
        <v>1.5527846672570123E-2</v>
      </c>
      <c r="AI91" s="85">
        <f t="shared" si="107"/>
        <v>1.032901605054759E-4</v>
      </c>
      <c r="AJ91" s="85">
        <f t="shared" si="107"/>
        <v>-2.1498490481120847E-2</v>
      </c>
      <c r="AK91" s="85">
        <f t="shared" si="107"/>
        <v>-1.425122880493257E-2</v>
      </c>
      <c r="AL91" s="303">
        <v>-7.4999999999999997E-3</v>
      </c>
      <c r="AM91" s="85">
        <f>AM90-AH90</f>
        <v>-1.0988808072103229E-2</v>
      </c>
      <c r="AN91" s="303">
        <v>-2.5000000000000001E-3</v>
      </c>
      <c r="AO91" s="303">
        <v>-2.5000000000000001E-3</v>
      </c>
      <c r="AP91" s="303">
        <v>-2.5000000000000001E-3</v>
      </c>
      <c r="AQ91" s="303">
        <v>-2.5000000000000001E-3</v>
      </c>
      <c r="AR91" s="85">
        <f>AR90-AM90</f>
        <v>-2.3884127349533824E-3</v>
      </c>
      <c r="AS91" s="303">
        <v>-1.25E-3</v>
      </c>
      <c r="AT91" s="303">
        <v>-1.25E-3</v>
      </c>
      <c r="AU91" s="303">
        <v>-1.25E-3</v>
      </c>
      <c r="AV91" s="303">
        <v>-1.25E-3</v>
      </c>
      <c r="AW91" s="85">
        <f>AW90-AR90</f>
        <v>-1.1963776827840222E-3</v>
      </c>
      <c r="AX91" s="303">
        <f>AS91</f>
        <v>-1.25E-3</v>
      </c>
      <c r="AY91" s="303">
        <f>AT91</f>
        <v>-1.25E-3</v>
      </c>
      <c r="AZ91" s="303">
        <f>AU91</f>
        <v>-1.25E-3</v>
      </c>
      <c r="BA91" s="303">
        <f>AV91</f>
        <v>-1.25E-3</v>
      </c>
      <c r="BB91" s="85">
        <f>BB90-AW90</f>
        <v>-1.1421764656930344E-3</v>
      </c>
      <c r="BC91" s="303">
        <f>AX91</f>
        <v>-1.25E-3</v>
      </c>
      <c r="BD91" s="303">
        <f>AY91</f>
        <v>-1.25E-3</v>
      </c>
      <c r="BE91" s="303">
        <f>AZ91</f>
        <v>-1.25E-3</v>
      </c>
      <c r="BF91" s="303">
        <f>BA91</f>
        <v>-1.25E-3</v>
      </c>
      <c r="BG91" s="85">
        <f>BG90-BB90</f>
        <v>-1.1171864970583867E-3</v>
      </c>
      <c r="BH91" s="303">
        <f>BC91</f>
        <v>-1.25E-3</v>
      </c>
      <c r="BI91" s="303">
        <f>BD91</f>
        <v>-1.25E-3</v>
      </c>
      <c r="BJ91" s="303">
        <f>BE91</f>
        <v>-1.25E-3</v>
      </c>
      <c r="BK91" s="303">
        <f>BF91</f>
        <v>-1.25E-3</v>
      </c>
      <c r="BL91" s="85">
        <f>BL90-BG90</f>
        <v>-1.0950920145053056E-3</v>
      </c>
    </row>
    <row r="93" spans="1:64">
      <c r="A93" s="1" t="s">
        <v>1727</v>
      </c>
      <c r="J93" s="16">
        <f t="shared" ref="J93:BL93" si="108">J86/J76</f>
        <v>0.17294678144117806</v>
      </c>
      <c r="K93" s="16">
        <f t="shared" si="108"/>
        <v>0.16823657130227324</v>
      </c>
      <c r="L93" s="16">
        <f t="shared" si="108"/>
        <v>0.16844562609428704</v>
      </c>
      <c r="M93" s="16">
        <f t="shared" si="108"/>
        <v>0.15986130172340501</v>
      </c>
      <c r="N93" s="16">
        <f t="shared" si="108"/>
        <v>0.16718749748180051</v>
      </c>
      <c r="O93" s="16">
        <f t="shared" si="108"/>
        <v>0.25796050501780515</v>
      </c>
      <c r="P93" s="16">
        <f t="shared" si="108"/>
        <v>0.24649537100835595</v>
      </c>
      <c r="Q93" s="16">
        <f t="shared" si="108"/>
        <v>0.24775030453000338</v>
      </c>
      <c r="R93" s="16">
        <f t="shared" si="108"/>
        <v>0.23750305094028493</v>
      </c>
      <c r="S93" s="16">
        <f t="shared" si="108"/>
        <v>0.24721072633813138</v>
      </c>
      <c r="T93" s="16">
        <f t="shared" si="108"/>
        <v>0.24169741697416974</v>
      </c>
      <c r="U93" s="16">
        <f t="shared" si="108"/>
        <v>0.23184195235328295</v>
      </c>
      <c r="V93" s="16">
        <f t="shared" si="108"/>
        <v>0.23454650491045637</v>
      </c>
      <c r="W93" s="16">
        <f t="shared" si="108"/>
        <v>0.21968461120174007</v>
      </c>
      <c r="X93" s="16">
        <f t="shared" si="108"/>
        <v>0.23160329622668785</v>
      </c>
      <c r="Y93" s="16">
        <f t="shared" si="108"/>
        <v>0.23323615160349853</v>
      </c>
      <c r="Z93" s="16">
        <f t="shared" si="108"/>
        <v>0.2203011712214166</v>
      </c>
      <c r="AA93" s="16">
        <f t="shared" si="108"/>
        <v>0.22191011235955055</v>
      </c>
      <c r="AB93" s="16">
        <f t="shared" si="108"/>
        <v>0.2114561027837259</v>
      </c>
      <c r="AC93" s="16">
        <f t="shared" si="108"/>
        <v>0.22149245388485189</v>
      </c>
      <c r="AD93" s="16">
        <f t="shared" si="108"/>
        <v>0.21630804077010196</v>
      </c>
      <c r="AE93" s="16">
        <f t="shared" si="108"/>
        <v>0.20710059171597636</v>
      </c>
      <c r="AF93" s="16">
        <f t="shared" si="108"/>
        <v>0.2038216560509554</v>
      </c>
      <c r="AG93" s="16">
        <f t="shared" si="108"/>
        <v>0.19498746867167918</v>
      </c>
      <c r="AH93" s="16">
        <f t="shared" si="108"/>
        <v>0.20522388059701493</v>
      </c>
      <c r="AI93" s="16">
        <f t="shared" si="108"/>
        <v>0.20901194353963085</v>
      </c>
      <c r="AJ93" s="16">
        <f t="shared" si="108"/>
        <v>0.1971326164874552</v>
      </c>
      <c r="AK93" s="16">
        <f t="shared" si="108"/>
        <v>0.19786910197869104</v>
      </c>
      <c r="AL93" s="16">
        <f t="shared" si="108"/>
        <v>0.18579995340335778</v>
      </c>
      <c r="AM93" s="16">
        <f t="shared" si="108"/>
        <v>0.19711356642079589</v>
      </c>
      <c r="AN93" s="16">
        <f t="shared" si="108"/>
        <v>0.20093382785395641</v>
      </c>
      <c r="AO93" s="16">
        <f t="shared" si="108"/>
        <v>0.18824863163638964</v>
      </c>
      <c r="AP93" s="16">
        <f t="shared" si="108"/>
        <v>0.18658834656902448</v>
      </c>
      <c r="AQ93" s="16">
        <f t="shared" si="108"/>
        <v>0.176675087196043</v>
      </c>
      <c r="AR93" s="16">
        <f t="shared" si="108"/>
        <v>0.18771952483810836</v>
      </c>
      <c r="AS93" s="16">
        <f t="shared" si="108"/>
        <v>0.19950017686046653</v>
      </c>
      <c r="AT93" s="16">
        <f t="shared" si="108"/>
        <v>0.18664703369855234</v>
      </c>
      <c r="AU93" s="16">
        <f t="shared" si="108"/>
        <v>0.18506215863300093</v>
      </c>
      <c r="AV93" s="16">
        <f t="shared" si="108"/>
        <v>0.17469740571819123</v>
      </c>
      <c r="AW93" s="16">
        <f t="shared" si="108"/>
        <v>0.18606376324786075</v>
      </c>
      <c r="AX93" s="16">
        <f t="shared" si="108"/>
        <v>0.19328312218226479</v>
      </c>
      <c r="AY93" s="16">
        <f t="shared" si="108"/>
        <v>0.18027078003020713</v>
      </c>
      <c r="AZ93" s="16">
        <f t="shared" si="108"/>
        <v>0.17876166428107149</v>
      </c>
      <c r="BA93" s="16">
        <f t="shared" si="108"/>
        <v>0.16780704953369471</v>
      </c>
      <c r="BB93" s="16">
        <f t="shared" si="108"/>
        <v>0.17957968873944974</v>
      </c>
      <c r="BC93" s="16">
        <f t="shared" si="108"/>
        <v>0.18436203944963128</v>
      </c>
      <c r="BD93" s="16">
        <f t="shared" si="108"/>
        <v>0.17128316856574144</v>
      </c>
      <c r="BE93" s="16">
        <f t="shared" si="108"/>
        <v>0.16983784981769037</v>
      </c>
      <c r="BF93" s="16">
        <f t="shared" si="108"/>
        <v>0.15836538123004604</v>
      </c>
      <c r="BG93" s="16">
        <f t="shared" si="108"/>
        <v>0.17046755498433</v>
      </c>
      <c r="BH93" s="16">
        <f t="shared" si="108"/>
        <v>0.17298793722138506</v>
      </c>
      <c r="BI93" s="16">
        <f t="shared" si="108"/>
        <v>0.15997108883181405</v>
      </c>
      <c r="BJ93" s="16">
        <f t="shared" si="108"/>
        <v>0.15860106220363654</v>
      </c>
      <c r="BK93" s="16">
        <f t="shared" si="108"/>
        <v>0.14675221329427107</v>
      </c>
      <c r="BL93" s="16">
        <f t="shared" si="108"/>
        <v>0.1590380441873403</v>
      </c>
    </row>
    <row r="94" spans="1:64">
      <c r="A94" s="1" t="s">
        <v>1728</v>
      </c>
    </row>
    <row r="96" spans="1:64">
      <c r="A96" s="9" t="s">
        <v>1740</v>
      </c>
      <c r="B96" s="9"/>
      <c r="C96" s="9"/>
      <c r="D96" s="9"/>
      <c r="E96" s="9"/>
      <c r="F96" s="9"/>
      <c r="G96" s="9"/>
      <c r="H96" s="9"/>
      <c r="I96" s="9"/>
      <c r="J96" s="378">
        <f t="shared" ref="J96:BL96" si="109">J76-J85</f>
        <v>51.111999999999995</v>
      </c>
      <c r="K96" s="378">
        <f t="shared" si="109"/>
        <v>51.759999999999991</v>
      </c>
      <c r="L96" s="378">
        <f t="shared" si="109"/>
        <v>51.951999999999998</v>
      </c>
      <c r="M96" s="378">
        <f t="shared" si="109"/>
        <v>52.649999999999991</v>
      </c>
      <c r="N96" s="378">
        <f t="shared" si="109"/>
        <v>207.47399999999999</v>
      </c>
      <c r="O96" s="378">
        <f t="shared" si="109"/>
        <v>67.98299999999999</v>
      </c>
      <c r="P96" s="378">
        <f t="shared" si="109"/>
        <v>65.813000000000017</v>
      </c>
      <c r="Q96" s="378">
        <f t="shared" si="109"/>
        <v>61.307999999999993</v>
      </c>
      <c r="R96" s="378">
        <f t="shared" si="109"/>
        <v>46.440000000000012</v>
      </c>
      <c r="S96" s="378">
        <f t="shared" si="109"/>
        <v>241.54399999999998</v>
      </c>
      <c r="T96" s="378">
        <f t="shared" si="109"/>
        <v>70.600000000000009</v>
      </c>
      <c r="U96" s="378">
        <f t="shared" si="109"/>
        <v>73.200000000000017</v>
      </c>
      <c r="V96" s="378">
        <f t="shared" si="109"/>
        <v>69.099999999999994</v>
      </c>
      <c r="W96" s="378">
        <f t="shared" si="109"/>
        <v>55</v>
      </c>
      <c r="X96" s="378">
        <f t="shared" si="109"/>
        <v>267.90000000000003</v>
      </c>
      <c r="Y96" s="378">
        <f t="shared" si="109"/>
        <v>78.5</v>
      </c>
      <c r="Z96" s="378">
        <f t="shared" si="109"/>
        <v>75</v>
      </c>
      <c r="AA96" s="378">
        <f t="shared" si="109"/>
        <v>70.599999999999994</v>
      </c>
      <c r="AB96" s="378">
        <f t="shared" si="109"/>
        <v>62.800000000000011</v>
      </c>
      <c r="AC96" s="378">
        <f t="shared" si="109"/>
        <v>286.89999999999986</v>
      </c>
      <c r="AD96" s="378">
        <f t="shared" si="109"/>
        <v>74.8</v>
      </c>
      <c r="AE96" s="378">
        <f t="shared" si="109"/>
        <v>73.199999999999989</v>
      </c>
      <c r="AF96" s="378">
        <f t="shared" si="109"/>
        <v>75.600000000000023</v>
      </c>
      <c r="AG96" s="378">
        <f t="shared" si="109"/>
        <v>65.599999999999994</v>
      </c>
      <c r="AH96" s="378">
        <f t="shared" si="109"/>
        <v>289.19999999999993</v>
      </c>
      <c r="AI96" s="378">
        <f t="shared" si="109"/>
        <v>78</v>
      </c>
      <c r="AJ96" s="378">
        <f t="shared" si="109"/>
        <v>81.100000000000023</v>
      </c>
      <c r="AK96" s="378">
        <f t="shared" si="109"/>
        <v>81.900000000000006</v>
      </c>
      <c r="AL96" s="378">
        <f t="shared" si="109"/>
        <v>69.690001992072666</v>
      </c>
      <c r="AM96" s="378">
        <f t="shared" si="109"/>
        <v>310.69000199207272</v>
      </c>
      <c r="AN96" s="378">
        <f t="shared" si="109"/>
        <v>81.614836940301203</v>
      </c>
      <c r="AO96" s="378">
        <f t="shared" si="109"/>
        <v>85.438630057077859</v>
      </c>
      <c r="AP96" s="378">
        <f t="shared" si="109"/>
        <v>86.253869498883944</v>
      </c>
      <c r="AQ96" s="378">
        <f t="shared" si="109"/>
        <v>73.834117361053586</v>
      </c>
      <c r="AR96" s="378">
        <f t="shared" si="109"/>
        <v>327.14145385731655</v>
      </c>
      <c r="AS96" s="378">
        <f t="shared" si="109"/>
        <v>84.50363065484683</v>
      </c>
      <c r="AT96" s="378">
        <f t="shared" si="109"/>
        <v>88.590349519115762</v>
      </c>
      <c r="AU96" s="378">
        <f t="shared" si="109"/>
        <v>89.405874839942115</v>
      </c>
      <c r="AV96" s="378">
        <f t="shared" si="109"/>
        <v>76.81907708192</v>
      </c>
      <c r="AW96" s="378">
        <f t="shared" si="109"/>
        <v>339.31893209582472</v>
      </c>
      <c r="AX96" s="378">
        <f t="shared" si="109"/>
        <v>89.663870414410809</v>
      </c>
      <c r="AY96" s="378">
        <f t="shared" si="109"/>
        <v>94.297397648909026</v>
      </c>
      <c r="AZ96" s="378">
        <f t="shared" si="109"/>
        <v>95.153771887804595</v>
      </c>
      <c r="BA96" s="378">
        <f t="shared" si="109"/>
        <v>82.273999687521552</v>
      </c>
      <c r="BB96" s="378">
        <f t="shared" si="109"/>
        <v>361.38903963864595</v>
      </c>
      <c r="BC96" s="378">
        <f t="shared" si="109"/>
        <v>96.633781312420581</v>
      </c>
      <c r="BD96" s="378">
        <f t="shared" si="109"/>
        <v>102.02909937022051</v>
      </c>
      <c r="BE96" s="378">
        <f t="shared" si="109"/>
        <v>102.9624325261812</v>
      </c>
      <c r="BF96" s="378">
        <f t="shared" si="109"/>
        <v>89.685866446517366</v>
      </c>
      <c r="BG96" s="378">
        <f t="shared" si="109"/>
        <v>391.31117965533986</v>
      </c>
      <c r="BH96" s="378">
        <f t="shared" si="109"/>
        <v>105.86930116100038</v>
      </c>
      <c r="BI96" s="378">
        <f t="shared" si="109"/>
        <v>112.3070752237054</v>
      </c>
      <c r="BJ96" s="378">
        <f t="shared" si="109"/>
        <v>113.34862359453297</v>
      </c>
      <c r="BK96" s="378">
        <f t="shared" si="109"/>
        <v>99.564671011678598</v>
      </c>
      <c r="BL96" s="378">
        <f t="shared" si="109"/>
        <v>431.0896709909174</v>
      </c>
    </row>
    <row r="97" spans="1:64">
      <c r="A97" s="1" t="s">
        <v>1112</v>
      </c>
      <c r="J97" s="16">
        <f t="shared" ref="J97:BL97" si="110">J96/J76</f>
        <v>0.34589356288235606</v>
      </c>
      <c r="K97" s="16">
        <f t="shared" si="110"/>
        <v>0.33647314260454647</v>
      </c>
      <c r="L97" s="16">
        <f t="shared" si="110"/>
        <v>0.33689125218857408</v>
      </c>
      <c r="M97" s="16">
        <f t="shared" si="110"/>
        <v>0.31972260344680997</v>
      </c>
      <c r="N97" s="16">
        <f t="shared" si="110"/>
        <v>0.33437499496360096</v>
      </c>
      <c r="O97" s="16">
        <f t="shared" si="110"/>
        <v>0.44016186468112656</v>
      </c>
      <c r="P97" s="16">
        <f t="shared" si="110"/>
        <v>0.41224333838617949</v>
      </c>
      <c r="Q97" s="16">
        <f t="shared" si="110"/>
        <v>0.39099739156499719</v>
      </c>
      <c r="R97" s="16">
        <f t="shared" si="110"/>
        <v>0.2764598377197422</v>
      </c>
      <c r="S97" s="16">
        <f t="shared" si="110"/>
        <v>0.37807649684758854</v>
      </c>
      <c r="T97" s="16">
        <f t="shared" si="110"/>
        <v>0.43419434194341949</v>
      </c>
      <c r="U97" s="16">
        <f t="shared" si="110"/>
        <v>0.42533410807669964</v>
      </c>
      <c r="V97" s="16">
        <f t="shared" si="110"/>
        <v>0.39919121894858456</v>
      </c>
      <c r="W97" s="16">
        <f t="shared" si="110"/>
        <v>0.29907558455682437</v>
      </c>
      <c r="X97" s="16">
        <f t="shared" si="110"/>
        <v>0.38730663582477953</v>
      </c>
      <c r="Y97" s="16">
        <f t="shared" si="110"/>
        <v>0.45772594752186591</v>
      </c>
      <c r="Z97" s="16">
        <f t="shared" si="110"/>
        <v>0.41829336307863912</v>
      </c>
      <c r="AA97" s="16">
        <f t="shared" si="110"/>
        <v>0.39662921348314606</v>
      </c>
      <c r="AB97" s="16">
        <f t="shared" si="110"/>
        <v>0.33618843683083516</v>
      </c>
      <c r="AC97" s="16">
        <f t="shared" si="110"/>
        <v>0.40092230296254877</v>
      </c>
      <c r="AD97" s="16">
        <f t="shared" si="110"/>
        <v>0.42355605889014725</v>
      </c>
      <c r="AE97" s="16">
        <f t="shared" si="110"/>
        <v>0.39376008606777835</v>
      </c>
      <c r="AF97" s="16">
        <f t="shared" si="110"/>
        <v>0.4012738853503186</v>
      </c>
      <c r="AG97" s="16">
        <f t="shared" si="110"/>
        <v>0.32882205513784457</v>
      </c>
      <c r="AH97" s="16">
        <f t="shared" si="110"/>
        <v>0.38539445628997859</v>
      </c>
      <c r="AI97" s="16">
        <f t="shared" si="110"/>
        <v>0.42345276872964172</v>
      </c>
      <c r="AJ97" s="16">
        <f t="shared" si="110"/>
        <v>0.41525857654889919</v>
      </c>
      <c r="AK97" s="16">
        <f t="shared" si="110"/>
        <v>0.41552511415525117</v>
      </c>
      <c r="AL97" s="16">
        <f t="shared" si="110"/>
        <v>0.33632205513784447</v>
      </c>
      <c r="AM97" s="16">
        <f t="shared" si="110"/>
        <v>0.39638326436208177</v>
      </c>
      <c r="AN97" s="16">
        <f t="shared" si="110"/>
        <v>0.42595276872964172</v>
      </c>
      <c r="AO97" s="16">
        <f t="shared" si="110"/>
        <v>0.41775857654889914</v>
      </c>
      <c r="AP97" s="16">
        <f t="shared" si="110"/>
        <v>0.41802511415525107</v>
      </c>
      <c r="AQ97" s="16">
        <f t="shared" si="110"/>
        <v>0.33882205513784452</v>
      </c>
      <c r="AR97" s="16">
        <f t="shared" si="110"/>
        <v>0.39877167709703515</v>
      </c>
      <c r="AS97" s="16">
        <f t="shared" si="110"/>
        <v>0.42720276872964169</v>
      </c>
      <c r="AT97" s="16">
        <f t="shared" si="110"/>
        <v>0.41900857654889911</v>
      </c>
      <c r="AU97" s="16">
        <f t="shared" si="110"/>
        <v>0.41927511415525109</v>
      </c>
      <c r="AV97" s="16">
        <f t="shared" si="110"/>
        <v>0.34007205513784439</v>
      </c>
      <c r="AW97" s="16">
        <f t="shared" si="110"/>
        <v>0.39996805477981923</v>
      </c>
      <c r="AX97" s="16">
        <f t="shared" si="110"/>
        <v>0.42845276872964166</v>
      </c>
      <c r="AY97" s="16">
        <f t="shared" si="110"/>
        <v>0.42025857654889903</v>
      </c>
      <c r="AZ97" s="16">
        <f t="shared" si="110"/>
        <v>0.42052511415525101</v>
      </c>
      <c r="BA97" s="16">
        <f t="shared" si="110"/>
        <v>0.34132205513784436</v>
      </c>
      <c r="BB97" s="16">
        <f t="shared" si="110"/>
        <v>0.40111023124551221</v>
      </c>
      <c r="BC97" s="16">
        <f t="shared" si="110"/>
        <v>0.42970276872964164</v>
      </c>
      <c r="BD97" s="16">
        <f t="shared" si="110"/>
        <v>0.42150857654889912</v>
      </c>
      <c r="BE97" s="16">
        <f t="shared" si="110"/>
        <v>0.42177511415525104</v>
      </c>
      <c r="BF97" s="16">
        <f t="shared" si="110"/>
        <v>0.34257205513784444</v>
      </c>
      <c r="BG97" s="16">
        <f t="shared" si="110"/>
        <v>0.4022274177425707</v>
      </c>
      <c r="BH97" s="16">
        <f t="shared" si="110"/>
        <v>0.43095276872964161</v>
      </c>
      <c r="BI97" s="16">
        <f t="shared" si="110"/>
        <v>0.42275857654889909</v>
      </c>
      <c r="BJ97" s="16">
        <f t="shared" si="110"/>
        <v>0.42302511415525096</v>
      </c>
      <c r="BK97" s="16">
        <f t="shared" si="110"/>
        <v>0.34382205513784436</v>
      </c>
      <c r="BL97" s="16">
        <f t="shared" si="110"/>
        <v>0.40332250975707601</v>
      </c>
    </row>
    <row r="98" spans="1:64">
      <c r="A98" s="1" t="s">
        <v>28</v>
      </c>
      <c r="O98" s="16">
        <f t="shared" ref="O98:BL98" si="111">O96/J96-1</f>
        <v>0.33007904210361549</v>
      </c>
      <c r="P98" s="16">
        <f t="shared" si="111"/>
        <v>0.27150309119010863</v>
      </c>
      <c r="Q98" s="16">
        <f t="shared" si="111"/>
        <v>0.18008931321219568</v>
      </c>
      <c r="R98" s="16">
        <f t="shared" si="111"/>
        <v>-0.11794871794871753</v>
      </c>
      <c r="S98" s="16">
        <f t="shared" si="111"/>
        <v>0.1642133472145908</v>
      </c>
      <c r="T98" s="16">
        <f t="shared" si="111"/>
        <v>3.8494917847109011E-2</v>
      </c>
      <c r="U98" s="16">
        <f t="shared" si="111"/>
        <v>0.11224226216704913</v>
      </c>
      <c r="V98" s="16">
        <f t="shared" si="111"/>
        <v>0.12709597442421883</v>
      </c>
      <c r="W98" s="16">
        <f t="shared" si="111"/>
        <v>0.18432385874246315</v>
      </c>
      <c r="X98" s="16">
        <f t="shared" si="111"/>
        <v>0.1091146954592126</v>
      </c>
      <c r="Y98" s="16">
        <f t="shared" si="111"/>
        <v>0.11189801699716706</v>
      </c>
      <c r="Z98" s="16">
        <f t="shared" si="111"/>
        <v>2.4590163934425924E-2</v>
      </c>
      <c r="AA98" s="16">
        <f t="shared" si="111"/>
        <v>2.1707670043415339E-2</v>
      </c>
      <c r="AB98" s="16">
        <f t="shared" si="111"/>
        <v>0.14181818181818207</v>
      </c>
      <c r="AC98" s="16">
        <f t="shared" si="111"/>
        <v>7.0921985815602273E-2</v>
      </c>
      <c r="AD98" s="16">
        <f t="shared" si="111"/>
        <v>-4.7133757961783429E-2</v>
      </c>
      <c r="AE98" s="16">
        <f t="shared" si="111"/>
        <v>-2.4000000000000132E-2</v>
      </c>
      <c r="AF98" s="16">
        <f t="shared" si="111"/>
        <v>7.0821529745042966E-2</v>
      </c>
      <c r="AG98" s="16">
        <f t="shared" si="111"/>
        <v>4.4585987261146265E-2</v>
      </c>
      <c r="AH98" s="16">
        <f t="shared" si="111"/>
        <v>8.0167305681424494E-3</v>
      </c>
      <c r="AI98" s="16">
        <f t="shared" si="111"/>
        <v>4.2780748663101553E-2</v>
      </c>
      <c r="AJ98" s="16">
        <f t="shared" si="111"/>
        <v>0.10792349726776007</v>
      </c>
      <c r="AK98" s="16">
        <f t="shared" si="111"/>
        <v>8.3333333333333037E-2</v>
      </c>
      <c r="AL98" s="16">
        <f t="shared" si="111"/>
        <v>6.2347591342571285E-2</v>
      </c>
      <c r="AM98" s="16">
        <f t="shared" si="111"/>
        <v>7.4308443955991788E-2</v>
      </c>
      <c r="AN98" s="16">
        <f t="shared" si="111"/>
        <v>4.6344063337194985E-2</v>
      </c>
      <c r="AO98" s="16">
        <f t="shared" si="111"/>
        <v>5.3497288003425902E-2</v>
      </c>
      <c r="AP98" s="16">
        <f t="shared" si="111"/>
        <v>5.3160799742172582E-2</v>
      </c>
      <c r="AQ98" s="16">
        <f t="shared" si="111"/>
        <v>5.9464991397938594E-2</v>
      </c>
      <c r="AR98" s="16">
        <f t="shared" si="111"/>
        <v>5.2951339791306173E-2</v>
      </c>
      <c r="AS98" s="16">
        <f t="shared" si="111"/>
        <v>3.5395447970553384E-2</v>
      </c>
      <c r="AT98" s="16">
        <f t="shared" si="111"/>
        <v>3.688869379029569E-2</v>
      </c>
      <c r="AU98" s="16">
        <f t="shared" si="111"/>
        <v>3.654334998963682E-2</v>
      </c>
      <c r="AV98" s="16">
        <f t="shared" si="111"/>
        <v>4.0427919064431439E-2</v>
      </c>
      <c r="AW98" s="16">
        <f t="shared" si="111"/>
        <v>3.7223892279391269E-2</v>
      </c>
      <c r="AX98" s="16">
        <f t="shared" si="111"/>
        <v>6.106530239677932E-2</v>
      </c>
      <c r="AY98" s="16">
        <f t="shared" si="111"/>
        <v>6.4420652596723471E-2</v>
      </c>
      <c r="AZ98" s="16">
        <f t="shared" si="111"/>
        <v>6.4289925669343218E-2</v>
      </c>
      <c r="BA98" s="16">
        <f t="shared" si="111"/>
        <v>7.1009999245166933E-2</v>
      </c>
      <c r="BB98" s="16">
        <f t="shared" si="111"/>
        <v>6.5042370039607889E-2</v>
      </c>
      <c r="BC98" s="16">
        <f t="shared" si="111"/>
        <v>7.7733772430256032E-2</v>
      </c>
      <c r="BD98" s="16">
        <f t="shared" si="111"/>
        <v>8.1992736958642176E-2</v>
      </c>
      <c r="BE98" s="16">
        <f t="shared" si="111"/>
        <v>8.2063595414628043E-2</v>
      </c>
      <c r="BF98" s="16">
        <f t="shared" si="111"/>
        <v>9.0087594952794836E-2</v>
      </c>
      <c r="BG98" s="16">
        <f t="shared" si="111"/>
        <v>8.2797585800092666E-2</v>
      </c>
      <c r="BH98" s="16">
        <f t="shared" si="111"/>
        <v>9.5572373585599557E-2</v>
      </c>
      <c r="BI98" s="16">
        <f t="shared" si="111"/>
        <v>0.10073573046244833</v>
      </c>
      <c r="BJ98" s="16">
        <f t="shared" si="111"/>
        <v>0.10087359839435384</v>
      </c>
      <c r="BK98" s="16">
        <f t="shared" si="111"/>
        <v>0.11014895609055952</v>
      </c>
      <c r="BL98" s="16">
        <f t="shared" si="111"/>
        <v>0.10165436972849529</v>
      </c>
    </row>
    <row r="100" spans="1:64">
      <c r="A100" s="1" t="s">
        <v>1145</v>
      </c>
      <c r="O100" s="21">
        <f t="shared" ref="O100:BL100" si="112">(O96-J96)/(O76-J76)</f>
        <v>2.5248428614187408</v>
      </c>
      <c r="P100" s="21">
        <f t="shared" si="112"/>
        <v>2.4166809974204697</v>
      </c>
      <c r="Q100" s="21">
        <f t="shared" si="112"/>
        <v>3.6137504828118567</v>
      </c>
      <c r="R100" s="21">
        <f t="shared" si="112"/>
        <v>-1.8778348956758397</v>
      </c>
      <c r="S100" s="21">
        <f t="shared" si="112"/>
        <v>1.8523351274941522</v>
      </c>
      <c r="T100" s="21">
        <f t="shared" si="112"/>
        <v>0.32110429447852967</v>
      </c>
      <c r="U100" s="21">
        <f t="shared" si="112"/>
        <v>0.5931427653765855</v>
      </c>
      <c r="V100" s="21">
        <f t="shared" si="112"/>
        <v>0.47800748420342271</v>
      </c>
      <c r="W100" s="21">
        <f t="shared" si="112"/>
        <v>0.53772221873233128</v>
      </c>
      <c r="X100" s="21">
        <f t="shared" si="112"/>
        <v>0.49893987581402427</v>
      </c>
      <c r="Y100" s="21">
        <f t="shared" si="112"/>
        <v>0.88764044943820075</v>
      </c>
      <c r="Z100" s="21">
        <f t="shared" si="112"/>
        <v>0.24999999999999803</v>
      </c>
      <c r="AA100" s="21">
        <f t="shared" si="112"/>
        <v>0.30612244897959323</v>
      </c>
      <c r="AB100" s="21">
        <f t="shared" si="112"/>
        <v>2.6896551724137918</v>
      </c>
      <c r="AC100" s="21">
        <f t="shared" si="112"/>
        <v>0.79497907949790536</v>
      </c>
      <c r="AD100" s="21">
        <f t="shared" si="112"/>
        <v>-0.72549019607843279</v>
      </c>
      <c r="AE100" s="21">
        <f t="shared" si="112"/>
        <v>-0.27272727272727587</v>
      </c>
      <c r="AF100" s="21">
        <f t="shared" si="112"/>
        <v>0.48076923076923322</v>
      </c>
      <c r="AG100" s="21">
        <f t="shared" si="112"/>
        <v>0.22047244094488075</v>
      </c>
      <c r="AH100" s="21">
        <f t="shared" si="112"/>
        <v>6.609195402299034E-2</v>
      </c>
      <c r="AI100" s="21">
        <f t="shared" si="112"/>
        <v>0.42105263157894807</v>
      </c>
      <c r="AJ100" s="21">
        <f t="shared" si="112"/>
        <v>0.84042553191489422</v>
      </c>
      <c r="AK100" s="21">
        <f t="shared" si="112"/>
        <v>0.72413793103448176</v>
      </c>
      <c r="AL100" s="21">
        <f t="shared" si="112"/>
        <v>0.53033515914238871</v>
      </c>
      <c r="AM100" s="21">
        <f t="shared" si="112"/>
        <v>0.64318007203230632</v>
      </c>
      <c r="AN100" s="21">
        <f t="shared" si="112"/>
        <v>0.48813739063666856</v>
      </c>
      <c r="AO100" s="21">
        <f t="shared" si="112"/>
        <v>0.47073273026264789</v>
      </c>
      <c r="AP100" s="21">
        <f t="shared" si="112"/>
        <v>0.47137282200514563</v>
      </c>
      <c r="AQ100" s="21">
        <f t="shared" si="112"/>
        <v>0.3872268983382901</v>
      </c>
      <c r="AR100" s="21">
        <f t="shared" si="112"/>
        <v>0.44997597846638376</v>
      </c>
      <c r="AS100" s="21">
        <f t="shared" si="112"/>
        <v>0.46582369933473489</v>
      </c>
      <c r="AT100" s="21">
        <f t="shared" si="112"/>
        <v>0.45599584379490371</v>
      </c>
      <c r="AU100" s="21">
        <f t="shared" si="112"/>
        <v>0.45664089705040362</v>
      </c>
      <c r="AV100" s="21">
        <f t="shared" si="112"/>
        <v>0.37422167653242738</v>
      </c>
      <c r="AW100" s="21">
        <f t="shared" si="112"/>
        <v>0.43503047557928048</v>
      </c>
      <c r="AX100" s="21">
        <f t="shared" si="112"/>
        <v>0.45001576827096335</v>
      </c>
      <c r="AY100" s="21">
        <f t="shared" si="112"/>
        <v>0.44066517953578443</v>
      </c>
      <c r="AZ100" s="21">
        <f t="shared" si="112"/>
        <v>0.44097455977436312</v>
      </c>
      <c r="BA100" s="21">
        <f t="shared" si="112"/>
        <v>0.35995437881625852</v>
      </c>
      <c r="BB100" s="21">
        <f t="shared" si="112"/>
        <v>0.41952957378827538</v>
      </c>
      <c r="BC100" s="21">
        <f t="shared" si="112"/>
        <v>0.44645910226474222</v>
      </c>
      <c r="BD100" s="21">
        <f t="shared" si="112"/>
        <v>0.43737473308168084</v>
      </c>
      <c r="BE100" s="21">
        <f t="shared" si="112"/>
        <v>0.43762664807423307</v>
      </c>
      <c r="BF100" s="21">
        <f t="shared" si="112"/>
        <v>0.35708836981225556</v>
      </c>
      <c r="BG100" s="21">
        <f t="shared" si="112"/>
        <v>0.41622898277491494</v>
      </c>
      <c r="BH100" s="21">
        <f t="shared" si="112"/>
        <v>0.4444816962588316</v>
      </c>
      <c r="BI100" s="21">
        <f t="shared" si="112"/>
        <v>0.43558157403825731</v>
      </c>
      <c r="BJ100" s="21">
        <f t="shared" si="112"/>
        <v>0.43582978609198003</v>
      </c>
      <c r="BK100" s="21">
        <f t="shared" si="112"/>
        <v>0.35560196161038748</v>
      </c>
      <c r="BL100" s="21">
        <f t="shared" si="112"/>
        <v>0.41442180718730004</v>
      </c>
    </row>
    <row r="102" spans="1:64">
      <c r="A102" s="9" t="s">
        <v>1741</v>
      </c>
      <c r="B102" s="9"/>
      <c r="C102" s="9"/>
      <c r="D102" s="9"/>
      <c r="E102" s="9"/>
      <c r="F102" s="9"/>
      <c r="G102" s="9"/>
      <c r="H102" s="9"/>
      <c r="I102" s="9"/>
      <c r="J102" s="395">
        <v>25.556000000000001</v>
      </c>
      <c r="K102" s="395">
        <v>25.88</v>
      </c>
      <c r="L102" s="395">
        <v>25.975999999999999</v>
      </c>
      <c r="M102" s="395">
        <v>26.324999999999999</v>
      </c>
      <c r="N102" s="378">
        <f>SUM(J102:M102)</f>
        <v>103.73700000000001</v>
      </c>
      <c r="O102" s="395">
        <v>28.140999999999998</v>
      </c>
      <c r="P102" s="395">
        <v>26.460999999999999</v>
      </c>
      <c r="Q102" s="395">
        <v>22.460999999999999</v>
      </c>
      <c r="R102" s="395">
        <v>6.5439999999999996</v>
      </c>
      <c r="S102" s="378">
        <f>SUM(O102:R102)</f>
        <v>83.606999999999985</v>
      </c>
      <c r="T102" s="395">
        <v>31.3</v>
      </c>
      <c r="U102" s="395">
        <v>33.299999999999997</v>
      </c>
      <c r="V102" s="395">
        <v>28.5</v>
      </c>
      <c r="W102" s="395">
        <v>14.6</v>
      </c>
      <c r="X102" s="378">
        <f>SUM(T102:W102)</f>
        <v>107.69999999999999</v>
      </c>
      <c r="Y102" s="378">
        <f t="shared" ref="Y102:BL102" si="113">Y76-Y87</f>
        <v>38.5</v>
      </c>
      <c r="Z102" s="378">
        <f t="shared" si="113"/>
        <v>35.5</v>
      </c>
      <c r="AA102" s="378">
        <f t="shared" si="113"/>
        <v>31.099999999999994</v>
      </c>
      <c r="AB102" s="378">
        <f t="shared" si="113"/>
        <v>23.300000000000011</v>
      </c>
      <c r="AC102" s="378">
        <f t="shared" si="113"/>
        <v>128.39999999999986</v>
      </c>
      <c r="AD102" s="378">
        <f t="shared" si="113"/>
        <v>36.599999999999994</v>
      </c>
      <c r="AE102" s="378">
        <f t="shared" si="113"/>
        <v>34.699999999999989</v>
      </c>
      <c r="AF102" s="378">
        <f t="shared" si="113"/>
        <v>37.200000000000017</v>
      </c>
      <c r="AG102" s="378">
        <f t="shared" si="113"/>
        <v>26.699999999999989</v>
      </c>
      <c r="AH102" s="378">
        <f t="shared" si="113"/>
        <v>135.19999999999993</v>
      </c>
      <c r="AI102" s="378">
        <f t="shared" si="113"/>
        <v>39.5</v>
      </c>
      <c r="AJ102" s="378">
        <f t="shared" si="113"/>
        <v>42.600000000000023</v>
      </c>
      <c r="AK102" s="378">
        <f t="shared" si="113"/>
        <v>42.900000000000006</v>
      </c>
      <c r="AL102" s="378">
        <f t="shared" si="113"/>
        <v>31.190001992072666</v>
      </c>
      <c r="AM102" s="378">
        <f t="shared" si="113"/>
        <v>156.19000199207267</v>
      </c>
      <c r="AN102" s="378">
        <f t="shared" si="113"/>
        <v>43.114836940301188</v>
      </c>
      <c r="AO102" s="378">
        <f t="shared" si="113"/>
        <v>46.938630057077859</v>
      </c>
      <c r="AP102" s="378">
        <f t="shared" si="113"/>
        <v>47.753869498883944</v>
      </c>
      <c r="AQ102" s="378">
        <f t="shared" si="113"/>
        <v>35.334117361053586</v>
      </c>
      <c r="AR102" s="378">
        <f t="shared" si="113"/>
        <v>173.14145385731649</v>
      </c>
      <c r="AS102" s="378">
        <f t="shared" si="113"/>
        <v>45.041130654846825</v>
      </c>
      <c r="AT102" s="378">
        <f t="shared" si="113"/>
        <v>49.127849519115756</v>
      </c>
      <c r="AU102" s="378">
        <f t="shared" si="113"/>
        <v>49.943374839942123</v>
      </c>
      <c r="AV102" s="378">
        <f t="shared" si="113"/>
        <v>37.356577081919994</v>
      </c>
      <c r="AW102" s="378">
        <f t="shared" si="113"/>
        <v>181.4689320958247</v>
      </c>
      <c r="AX102" s="378">
        <f t="shared" si="113"/>
        <v>49.214807914410812</v>
      </c>
      <c r="AY102" s="378">
        <f t="shared" si="113"/>
        <v>53.84833514890903</v>
      </c>
      <c r="AZ102" s="378">
        <f t="shared" si="113"/>
        <v>54.704709387804598</v>
      </c>
      <c r="BA102" s="378">
        <f t="shared" si="113"/>
        <v>41.824937187521556</v>
      </c>
      <c r="BB102" s="378">
        <f t="shared" si="113"/>
        <v>199.59278963864597</v>
      </c>
      <c r="BC102" s="378">
        <f t="shared" si="113"/>
        <v>55.173492249920571</v>
      </c>
      <c r="BD102" s="378">
        <f t="shared" si="113"/>
        <v>60.568810307720526</v>
      </c>
      <c r="BE102" s="378">
        <f t="shared" si="113"/>
        <v>61.502143463681193</v>
      </c>
      <c r="BF102" s="378">
        <f t="shared" si="113"/>
        <v>48.225577384017356</v>
      </c>
      <c r="BG102" s="378">
        <f t="shared" si="113"/>
        <v>225.47002340533982</v>
      </c>
      <c r="BH102" s="378">
        <f t="shared" si="113"/>
        <v>63.372504871937878</v>
      </c>
      <c r="BI102" s="378">
        <f t="shared" si="113"/>
        <v>69.810278934642895</v>
      </c>
      <c r="BJ102" s="378">
        <f t="shared" si="113"/>
        <v>70.851827305470465</v>
      </c>
      <c r="BK102" s="378">
        <f t="shared" si="113"/>
        <v>57.067874722616097</v>
      </c>
      <c r="BL102" s="378">
        <f t="shared" si="113"/>
        <v>261.10248583466739</v>
      </c>
    </row>
    <row r="103" spans="1:64">
      <c r="A103" s="1" t="s">
        <v>1489</v>
      </c>
      <c r="J103" s="16">
        <f t="shared" ref="J103:BL103" si="114">J102/J76</f>
        <v>0.17294678144117806</v>
      </c>
      <c r="K103" s="16">
        <f t="shared" si="114"/>
        <v>0.16823657130227324</v>
      </c>
      <c r="L103" s="16">
        <f t="shared" si="114"/>
        <v>0.16844562609428704</v>
      </c>
      <c r="M103" s="16">
        <f t="shared" si="114"/>
        <v>0.15986130172340501</v>
      </c>
      <c r="N103" s="16">
        <f t="shared" si="114"/>
        <v>0.16718749748180051</v>
      </c>
      <c r="O103" s="16">
        <f t="shared" si="114"/>
        <v>0.18220135966332146</v>
      </c>
      <c r="P103" s="16">
        <f t="shared" si="114"/>
        <v>0.16574796737782341</v>
      </c>
      <c r="Q103" s="16">
        <f t="shared" si="114"/>
        <v>0.14324708703499384</v>
      </c>
      <c r="R103" s="16">
        <f t="shared" si="114"/>
        <v>3.89567867794572E-2</v>
      </c>
      <c r="S103" s="16">
        <f t="shared" si="114"/>
        <v>0.13086577050945722</v>
      </c>
      <c r="T103" s="16">
        <f t="shared" si="114"/>
        <v>0.19249692496924969</v>
      </c>
      <c r="U103" s="16">
        <f t="shared" si="114"/>
        <v>0.19349215572341658</v>
      </c>
      <c r="V103" s="16">
        <f t="shared" si="114"/>
        <v>0.16464471403812822</v>
      </c>
      <c r="W103" s="16">
        <f t="shared" si="114"/>
        <v>7.9390973355084285E-2</v>
      </c>
      <c r="X103" s="16">
        <f t="shared" si="114"/>
        <v>0.15570333959809163</v>
      </c>
      <c r="Y103" s="16">
        <f t="shared" si="114"/>
        <v>0.22448979591836735</v>
      </c>
      <c r="Z103" s="16">
        <f t="shared" si="114"/>
        <v>0.19799219185722253</v>
      </c>
      <c r="AA103" s="16">
        <f t="shared" si="114"/>
        <v>0.17471910112359548</v>
      </c>
      <c r="AB103" s="16">
        <f t="shared" si="114"/>
        <v>0.12473233404710926</v>
      </c>
      <c r="AC103" s="16">
        <f t="shared" si="114"/>
        <v>0.17942984907769688</v>
      </c>
      <c r="AD103" s="16">
        <f t="shared" si="114"/>
        <v>0.20724801812004529</v>
      </c>
      <c r="AE103" s="16">
        <f t="shared" si="114"/>
        <v>0.18665949435180201</v>
      </c>
      <c r="AF103" s="16">
        <f t="shared" si="114"/>
        <v>0.19745222929936315</v>
      </c>
      <c r="AG103" s="16">
        <f t="shared" si="114"/>
        <v>0.13383458646616536</v>
      </c>
      <c r="AH103" s="16">
        <f t="shared" si="114"/>
        <v>0.18017057569296366</v>
      </c>
      <c r="AI103" s="16">
        <f t="shared" si="114"/>
        <v>0.21444082519001087</v>
      </c>
      <c r="AJ103" s="16">
        <f t="shared" si="114"/>
        <v>0.21812596006144402</v>
      </c>
      <c r="AK103" s="16">
        <f t="shared" si="114"/>
        <v>0.21765601217656017</v>
      </c>
      <c r="AL103" s="16">
        <f t="shared" si="114"/>
        <v>0.15052210173448669</v>
      </c>
      <c r="AM103" s="16">
        <f t="shared" si="114"/>
        <v>0.19926969794128582</v>
      </c>
      <c r="AN103" s="16">
        <f t="shared" si="114"/>
        <v>0.22501894087568519</v>
      </c>
      <c r="AO103" s="16">
        <f t="shared" si="114"/>
        <v>0.22950994491250951</v>
      </c>
      <c r="AP103" s="16">
        <f t="shared" si="114"/>
        <v>0.23143676758622661</v>
      </c>
      <c r="AQ103" s="16">
        <f t="shared" si="114"/>
        <v>0.16214696794180153</v>
      </c>
      <c r="AR103" s="16">
        <f t="shared" si="114"/>
        <v>0.21105215225892673</v>
      </c>
      <c r="AS103" s="16">
        <f t="shared" si="114"/>
        <v>0.2277025918691751</v>
      </c>
      <c r="AT103" s="16">
        <f t="shared" si="114"/>
        <v>0.23236154285034674</v>
      </c>
      <c r="AU103" s="16">
        <f t="shared" si="114"/>
        <v>0.23421295552225016</v>
      </c>
      <c r="AV103" s="16">
        <f t="shared" si="114"/>
        <v>0.16537464941965313</v>
      </c>
      <c r="AW103" s="16">
        <f t="shared" si="114"/>
        <v>0.21390429153195847</v>
      </c>
      <c r="AX103" s="16">
        <f t="shared" si="114"/>
        <v>0.2351696465473769</v>
      </c>
      <c r="AY103" s="16">
        <f t="shared" si="114"/>
        <v>0.23998779651869193</v>
      </c>
      <c r="AZ103" s="16">
        <f t="shared" si="114"/>
        <v>0.24176344987417955</v>
      </c>
      <c r="BA103" s="16">
        <f t="shared" si="114"/>
        <v>0.17351500560414967</v>
      </c>
      <c r="BB103" s="16">
        <f t="shared" si="114"/>
        <v>0.22153054250606249</v>
      </c>
      <c r="BC103" s="16">
        <f t="shared" si="114"/>
        <v>0.24534072928001027</v>
      </c>
      <c r="BD103" s="16">
        <f t="shared" si="114"/>
        <v>0.25022540798315773</v>
      </c>
      <c r="BE103" s="16">
        <f t="shared" si="114"/>
        <v>0.25193726433756058</v>
      </c>
      <c r="BF103" s="16">
        <f t="shared" si="114"/>
        <v>0.18420667390779835</v>
      </c>
      <c r="BG103" s="16">
        <f t="shared" si="114"/>
        <v>0.23175986275824065</v>
      </c>
      <c r="BH103" s="16">
        <f t="shared" si="114"/>
        <v>0.25796483150825655</v>
      </c>
      <c r="BI103" s="16">
        <f t="shared" si="114"/>
        <v>0.26278748771708504</v>
      </c>
      <c r="BJ103" s="16">
        <f t="shared" si="114"/>
        <v>0.26442405195161439</v>
      </c>
      <c r="BK103" s="16">
        <f t="shared" si="114"/>
        <v>0.19706984184357329</v>
      </c>
      <c r="BL103" s="16">
        <f t="shared" si="114"/>
        <v>0.24428446556973568</v>
      </c>
    </row>
    <row r="104" spans="1:64">
      <c r="A104" s="1" t="s">
        <v>28</v>
      </c>
      <c r="O104" s="16">
        <f t="shared" ref="O104:BL104" si="115">O102/J102-1</f>
        <v>0.10115041477539499</v>
      </c>
      <c r="P104" s="16">
        <f t="shared" si="115"/>
        <v>2.2449768160741845E-2</v>
      </c>
      <c r="Q104" s="16">
        <f t="shared" si="115"/>
        <v>-0.13531721589159229</v>
      </c>
      <c r="R104" s="16">
        <f t="shared" si="115"/>
        <v>-0.75141500474833811</v>
      </c>
      <c r="S104" s="16">
        <f t="shared" si="115"/>
        <v>-0.19404841088521951</v>
      </c>
      <c r="T104" s="16">
        <f t="shared" si="115"/>
        <v>0.11225613872996698</v>
      </c>
      <c r="U104" s="16">
        <f t="shared" si="115"/>
        <v>0.25845584067117633</v>
      </c>
      <c r="V104" s="16">
        <f t="shared" si="115"/>
        <v>0.26886603445973023</v>
      </c>
      <c r="W104" s="16">
        <f t="shared" si="115"/>
        <v>1.2310513447432765</v>
      </c>
      <c r="X104" s="16">
        <f t="shared" si="115"/>
        <v>0.28816965086655433</v>
      </c>
      <c r="Y104" s="16">
        <f t="shared" si="115"/>
        <v>0.23003194888178902</v>
      </c>
      <c r="Z104" s="16">
        <f t="shared" si="115"/>
        <v>6.6066066066066131E-2</v>
      </c>
      <c r="AA104" s="16">
        <f t="shared" si="115"/>
        <v>9.1228070175438436E-2</v>
      </c>
      <c r="AB104" s="16">
        <f t="shared" si="115"/>
        <v>0.59589041095890494</v>
      </c>
      <c r="AC104" s="16">
        <f t="shared" si="115"/>
        <v>0.19220055710306294</v>
      </c>
      <c r="AD104" s="16">
        <f t="shared" si="115"/>
        <v>-4.9350649350649478E-2</v>
      </c>
      <c r="AE104" s="16">
        <f t="shared" si="115"/>
        <v>-2.2535211267605937E-2</v>
      </c>
      <c r="AF104" s="16">
        <f t="shared" si="115"/>
        <v>0.19614147909967916</v>
      </c>
      <c r="AG104" s="16">
        <f t="shared" si="115"/>
        <v>0.14592274678111483</v>
      </c>
      <c r="AH104" s="16">
        <f t="shared" si="115"/>
        <v>5.295950155763296E-2</v>
      </c>
      <c r="AI104" s="16">
        <f t="shared" si="115"/>
        <v>7.9234972677595827E-2</v>
      </c>
      <c r="AJ104" s="16">
        <f t="shared" si="115"/>
        <v>0.22766570605187431</v>
      </c>
      <c r="AK104" s="16">
        <f t="shared" si="115"/>
        <v>0.15322580645161255</v>
      </c>
      <c r="AL104" s="16">
        <f t="shared" si="115"/>
        <v>0.16816486861695434</v>
      </c>
      <c r="AM104" s="16">
        <f t="shared" si="115"/>
        <v>0.15525149402420668</v>
      </c>
      <c r="AN104" s="16">
        <f t="shared" si="115"/>
        <v>9.1514859248131408E-2</v>
      </c>
      <c r="AO104" s="16">
        <f t="shared" si="115"/>
        <v>0.10184577598774247</v>
      </c>
      <c r="AP104" s="16">
        <f t="shared" si="115"/>
        <v>0.11314381116279582</v>
      </c>
      <c r="AQ104" s="16">
        <f t="shared" si="115"/>
        <v>0.13286678756975379</v>
      </c>
      <c r="AR104" s="16">
        <f t="shared" si="115"/>
        <v>0.10853096644498539</v>
      </c>
      <c r="AS104" s="16">
        <f t="shared" si="115"/>
        <v>4.4678209434326988E-2</v>
      </c>
      <c r="AT104" s="16">
        <f t="shared" si="115"/>
        <v>4.6640037414295676E-2</v>
      </c>
      <c r="AU104" s="16">
        <f t="shared" si="115"/>
        <v>4.5849799482937215E-2</v>
      </c>
      <c r="AV104" s="16">
        <f t="shared" si="115"/>
        <v>5.7238155978267979E-2</v>
      </c>
      <c r="AW104" s="16">
        <f t="shared" si="115"/>
        <v>4.8096386237872046E-2</v>
      </c>
      <c r="AX104" s="16">
        <f t="shared" si="115"/>
        <v>9.2663687586955978E-2</v>
      </c>
      <c r="AY104" s="16">
        <f t="shared" si="115"/>
        <v>9.6085737031019969E-2</v>
      </c>
      <c r="AZ104" s="16">
        <f t="shared" si="115"/>
        <v>9.533465776234662E-2</v>
      </c>
      <c r="BA104" s="16">
        <f t="shared" si="115"/>
        <v>0.11961374554747906</v>
      </c>
      <c r="BB104" s="16">
        <f t="shared" si="115"/>
        <v>9.9873059997129143E-2</v>
      </c>
      <c r="BC104" s="16">
        <f t="shared" si="115"/>
        <v>0.12107502981363805</v>
      </c>
      <c r="BD104" s="16">
        <f t="shared" si="115"/>
        <v>0.12480376858870534</v>
      </c>
      <c r="BE104" s="16">
        <f t="shared" si="115"/>
        <v>0.12425683550732769</v>
      </c>
      <c r="BF104" s="16">
        <f t="shared" si="115"/>
        <v>0.15303406596401126</v>
      </c>
      <c r="BG104" s="16">
        <f t="shared" si="115"/>
        <v>0.12965014324186486</v>
      </c>
      <c r="BH104" s="16">
        <f t="shared" si="115"/>
        <v>0.14860419900335575</v>
      </c>
      <c r="BI104" s="16">
        <f t="shared" si="115"/>
        <v>0.15257801135553084</v>
      </c>
      <c r="BJ104" s="16">
        <f t="shared" si="115"/>
        <v>0.15202208110536075</v>
      </c>
      <c r="BK104" s="16">
        <f t="shared" si="115"/>
        <v>0.18335285585464445</v>
      </c>
      <c r="BL104" s="16">
        <f t="shared" si="115"/>
        <v>0.1580363628439827</v>
      </c>
    </row>
    <row r="106" spans="1:64" s="2" customFormat="1">
      <c r="A106" s="4" t="s">
        <v>1651</v>
      </c>
      <c r="T106" s="68"/>
    </row>
    <row r="108" spans="1:64">
      <c r="A108" s="1" t="s">
        <v>1401</v>
      </c>
      <c r="J108" s="376">
        <v>92.248999999999995</v>
      </c>
      <c r="K108" s="376">
        <v>99.37</v>
      </c>
      <c r="L108" s="376">
        <v>99.564999999999998</v>
      </c>
      <c r="M108" s="376">
        <v>126.113</v>
      </c>
      <c r="N108" s="375">
        <f>SUM(J108:M108)</f>
        <v>417.29699999999997</v>
      </c>
      <c r="O108" s="376">
        <v>116.41800000000001</v>
      </c>
      <c r="P108" s="376">
        <v>128.69999999999999</v>
      </c>
      <c r="Q108" s="376">
        <v>118.61199999999999</v>
      </c>
      <c r="R108" s="376">
        <v>118.711</v>
      </c>
      <c r="S108" s="375">
        <f>SUM(O108:R108)</f>
        <v>482.44100000000003</v>
      </c>
      <c r="T108" s="376">
        <v>109.9</v>
      </c>
      <c r="U108" s="376">
        <v>124.6</v>
      </c>
      <c r="V108" s="376">
        <v>145.30000000000001</v>
      </c>
      <c r="W108" s="376">
        <v>151.6</v>
      </c>
      <c r="X108" s="375">
        <f>SUM(T108:W108)</f>
        <v>531.4</v>
      </c>
      <c r="Y108" s="376">
        <v>117.1</v>
      </c>
      <c r="Z108" s="376">
        <v>119.1</v>
      </c>
      <c r="AA108" s="376">
        <v>125.5</v>
      </c>
      <c r="AB108" s="376">
        <v>138.9</v>
      </c>
      <c r="AC108" s="375">
        <f>SUM(Y108:AB108)</f>
        <v>500.6</v>
      </c>
      <c r="AD108" s="376">
        <v>130.19999999999999</v>
      </c>
      <c r="AE108" s="376">
        <v>142.69999999999999</v>
      </c>
      <c r="AF108" s="376">
        <v>146.5</v>
      </c>
      <c r="AG108" s="376">
        <v>170.6</v>
      </c>
      <c r="AH108" s="375">
        <f>SUM(AD108:AG108)</f>
        <v>590</v>
      </c>
      <c r="AI108" s="376">
        <v>150.6</v>
      </c>
      <c r="AJ108" s="376">
        <v>148.6</v>
      </c>
      <c r="AK108" s="376">
        <v>156.30000000000001</v>
      </c>
      <c r="AL108" s="375">
        <f>AG108*(1+AL109)</f>
        <v>179.13</v>
      </c>
      <c r="AM108" s="375">
        <f>SUM(AI108:AL108)</f>
        <v>634.63</v>
      </c>
      <c r="AN108" s="375">
        <f>AI108*(1+AN109)</f>
        <v>154.36499999999998</v>
      </c>
      <c r="AO108" s="375">
        <f>AJ108*(1+AO109)</f>
        <v>152.31499999999997</v>
      </c>
      <c r="AP108" s="375">
        <f>AK108*(1+AP109)</f>
        <v>160.20750000000001</v>
      </c>
      <c r="AQ108" s="375">
        <f>AL108*(1+AQ109)</f>
        <v>183.60824999999997</v>
      </c>
      <c r="AR108" s="375">
        <f>SUM(AN108:AQ108)</f>
        <v>650.49574999999993</v>
      </c>
      <c r="AS108" s="375">
        <f>AN108*(1+AS109)</f>
        <v>162.08324999999999</v>
      </c>
      <c r="AT108" s="375">
        <f>AO108*(1+AT109)</f>
        <v>159.93074999999996</v>
      </c>
      <c r="AU108" s="375">
        <f>AP108*(1+AU109)</f>
        <v>168.21787500000002</v>
      </c>
      <c r="AV108" s="375">
        <f>AQ108*(1+AV109)</f>
        <v>192.78866249999999</v>
      </c>
      <c r="AW108" s="375">
        <f>SUM(AS108:AV108)</f>
        <v>683.02053749999993</v>
      </c>
      <c r="AX108" s="375">
        <f>AS108*(1+AX109)</f>
        <v>168.56657999999999</v>
      </c>
      <c r="AY108" s="375">
        <f>AT108*(1+AY109)</f>
        <v>166.32797999999997</v>
      </c>
      <c r="AZ108" s="375">
        <f>AU108*(1+AZ109)</f>
        <v>174.94659000000001</v>
      </c>
      <c r="BA108" s="375">
        <f>AV108*(1+BA109)</f>
        <v>200.50020899999998</v>
      </c>
      <c r="BB108" s="375">
        <f>SUM(AX108:BA108)</f>
        <v>710.34135900000001</v>
      </c>
      <c r="BC108" s="375">
        <f>AX108*(1+BC109)</f>
        <v>173.62357739999999</v>
      </c>
      <c r="BD108" s="375">
        <f>AY108*(1+BD109)</f>
        <v>171.31781939999996</v>
      </c>
      <c r="BE108" s="375">
        <f>AZ108*(1+BE109)</f>
        <v>180.19498770000001</v>
      </c>
      <c r="BF108" s="375">
        <f>BA108*(1+BF109)</f>
        <v>206.51521527</v>
      </c>
      <c r="BG108" s="375">
        <f>SUM(BC108:BF108)</f>
        <v>731.65159976999996</v>
      </c>
      <c r="BH108" s="375">
        <f>BC108*(1+BH109)</f>
        <v>177.096048948</v>
      </c>
      <c r="BI108" s="375">
        <f>BD108*(1+BI109)</f>
        <v>174.74417578799998</v>
      </c>
      <c r="BJ108" s="375">
        <f>BE108*(1+BJ109)</f>
        <v>183.79888745400001</v>
      </c>
      <c r="BK108" s="375">
        <f>BF108*(1+BK109)</f>
        <v>210.64551957540002</v>
      </c>
      <c r="BL108" s="375">
        <f>SUM(BH108:BK108)</f>
        <v>746.28463176540004</v>
      </c>
    </row>
    <row r="109" spans="1:64">
      <c r="A109" s="1" t="s">
        <v>28</v>
      </c>
      <c r="O109" s="16">
        <f t="shared" ref="O109:AH109" si="116">O108/J108-1</f>
        <v>0.26199742002623339</v>
      </c>
      <c r="P109" s="16">
        <f t="shared" si="116"/>
        <v>0.29515950488074849</v>
      </c>
      <c r="Q109" s="16">
        <f t="shared" si="116"/>
        <v>0.1913021644152062</v>
      </c>
      <c r="R109" s="16">
        <f t="shared" si="116"/>
        <v>-5.8693394019649014E-2</v>
      </c>
      <c r="S109" s="16">
        <f t="shared" si="116"/>
        <v>0.15610943764273433</v>
      </c>
      <c r="T109" s="16">
        <f t="shared" si="116"/>
        <v>-5.5987905650328962E-2</v>
      </c>
      <c r="U109" s="16">
        <f t="shared" si="116"/>
        <v>-3.1857031857031815E-2</v>
      </c>
      <c r="V109" s="16">
        <f t="shared" si="116"/>
        <v>0.22500252925505015</v>
      </c>
      <c r="W109" s="16">
        <f t="shared" si="116"/>
        <v>0.27705098937756389</v>
      </c>
      <c r="X109" s="16">
        <f t="shared" si="116"/>
        <v>0.10148183923008181</v>
      </c>
      <c r="Y109" s="16">
        <f t="shared" si="116"/>
        <v>6.5514103730664131E-2</v>
      </c>
      <c r="Z109" s="16">
        <f t="shared" si="116"/>
        <v>-4.4141252006420495E-2</v>
      </c>
      <c r="AA109" s="16">
        <f t="shared" si="116"/>
        <v>-0.13626978664831391</v>
      </c>
      <c r="AB109" s="16">
        <f t="shared" si="116"/>
        <v>-8.3773087071239982E-2</v>
      </c>
      <c r="AC109" s="16">
        <f t="shared" si="116"/>
        <v>-5.7960105382009686E-2</v>
      </c>
      <c r="AD109" s="16">
        <f t="shared" si="116"/>
        <v>0.11187019641332197</v>
      </c>
      <c r="AE109" s="16">
        <f t="shared" si="116"/>
        <v>0.19815281276238461</v>
      </c>
      <c r="AF109" s="16">
        <f t="shared" si="116"/>
        <v>0.16733067729083673</v>
      </c>
      <c r="AG109" s="16">
        <f t="shared" si="116"/>
        <v>0.22822174226061898</v>
      </c>
      <c r="AH109" s="16">
        <f t="shared" si="116"/>
        <v>0.17858569716340389</v>
      </c>
      <c r="AI109" s="16">
        <f>AI108/AD108-1</f>
        <v>0.15668202764976957</v>
      </c>
      <c r="AJ109" s="16">
        <f>AJ108/AE108-1</f>
        <v>4.1345480028030845E-2</v>
      </c>
      <c r="AK109" s="16">
        <v>0.05</v>
      </c>
      <c r="AL109" s="303">
        <v>0.05</v>
      </c>
      <c r="AM109" s="16">
        <f t="shared" ref="AM109" si="117">AM108/AH108-1</f>
        <v>7.5644067796610148E-2</v>
      </c>
      <c r="AN109" s="303">
        <v>2.5000000000000001E-2</v>
      </c>
      <c r="AO109" s="303">
        <v>2.5000000000000001E-2</v>
      </c>
      <c r="AP109" s="303">
        <v>2.5000000000000001E-2</v>
      </c>
      <c r="AQ109" s="303">
        <v>2.5000000000000001E-2</v>
      </c>
      <c r="AR109" s="16">
        <f t="shared" ref="AR109" si="118">AR108/AM108-1</f>
        <v>2.4999999999999911E-2</v>
      </c>
      <c r="AS109" s="303">
        <v>0.05</v>
      </c>
      <c r="AT109" s="303">
        <v>0.05</v>
      </c>
      <c r="AU109" s="303">
        <v>0.05</v>
      </c>
      <c r="AV109" s="303">
        <v>0.05</v>
      </c>
      <c r="AW109" s="16">
        <f t="shared" ref="AW109" si="119">AW108/AR108-1</f>
        <v>5.0000000000000044E-2</v>
      </c>
      <c r="AX109" s="303">
        <f>AS109-1%</f>
        <v>0.04</v>
      </c>
      <c r="AY109" s="303">
        <f>AT109-1%</f>
        <v>0.04</v>
      </c>
      <c r="AZ109" s="303">
        <f>AU109-1%</f>
        <v>0.04</v>
      </c>
      <c r="BA109" s="303">
        <f>AV109-1%</f>
        <v>0.04</v>
      </c>
      <c r="BB109" s="16">
        <f t="shared" ref="BB109" si="120">BB108/AW108-1</f>
        <v>4.0000000000000036E-2</v>
      </c>
      <c r="BC109" s="303">
        <f>AX109-1%</f>
        <v>0.03</v>
      </c>
      <c r="BD109" s="303">
        <f>AY109-1%</f>
        <v>0.03</v>
      </c>
      <c r="BE109" s="303">
        <f>AZ109-1%</f>
        <v>0.03</v>
      </c>
      <c r="BF109" s="303">
        <f>BA109-1%</f>
        <v>0.03</v>
      </c>
      <c r="BG109" s="16">
        <f t="shared" ref="BG109" si="121">BG108/BB108-1</f>
        <v>3.0000000000000027E-2</v>
      </c>
      <c r="BH109" s="303">
        <f>BC109-1%</f>
        <v>1.9999999999999997E-2</v>
      </c>
      <c r="BI109" s="303">
        <f>BD109-1%</f>
        <v>1.9999999999999997E-2</v>
      </c>
      <c r="BJ109" s="303">
        <f>BE109-1%</f>
        <v>1.9999999999999997E-2</v>
      </c>
      <c r="BK109" s="303">
        <f>BF109-1%</f>
        <v>1.9999999999999997E-2</v>
      </c>
      <c r="BL109" s="16">
        <f t="shared" ref="BL109" si="122">BL108/BG108-1</f>
        <v>2.0000000000000018E-2</v>
      </c>
    </row>
    <row r="111" spans="1:64">
      <c r="A111" s="5" t="s">
        <v>1723</v>
      </c>
      <c r="J111" s="375">
        <f>J113-J112</f>
        <v>87.995999999999995</v>
      </c>
      <c r="K111" s="375">
        <f>K113-K112</f>
        <v>94.673000000000002</v>
      </c>
      <c r="L111" s="375">
        <f>L113-L112</f>
        <v>94.19</v>
      </c>
      <c r="M111" s="375">
        <f>M113-M112</f>
        <v>124.027</v>
      </c>
      <c r="N111" s="375">
        <f>SUM(J111:M111)</f>
        <v>400.88599999999997</v>
      </c>
      <c r="O111" s="375">
        <f>O113-O112</f>
        <v>110.453</v>
      </c>
      <c r="P111" s="375">
        <f>P113-P112</f>
        <v>122.238</v>
      </c>
      <c r="Q111" s="375">
        <f>Q113-Q112</f>
        <v>112.813</v>
      </c>
      <c r="R111" s="375">
        <f>R113-R112</f>
        <v>116.721</v>
      </c>
      <c r="S111" s="375">
        <f>SUM(O111:R111)</f>
        <v>462.22500000000002</v>
      </c>
      <c r="T111" s="375">
        <f>T113-T112</f>
        <v>103.5</v>
      </c>
      <c r="U111" s="375">
        <f>U113-U112</f>
        <v>117.29999999999998</v>
      </c>
      <c r="V111" s="375">
        <f>V113-V112</f>
        <v>136.70000000000002</v>
      </c>
      <c r="W111" s="375">
        <f>W113-W112</f>
        <v>147.9</v>
      </c>
      <c r="X111" s="375">
        <f>SUM(T111:W111)</f>
        <v>505.4</v>
      </c>
      <c r="Y111" s="375">
        <f>Y113-Y112</f>
        <v>110.1</v>
      </c>
      <c r="Z111" s="375">
        <f>Z113-Z112</f>
        <v>112.1</v>
      </c>
      <c r="AA111" s="375">
        <f>AA113-AA112</f>
        <v>118.5</v>
      </c>
      <c r="AB111" s="375">
        <f>AB113-AB112</f>
        <v>133.4</v>
      </c>
      <c r="AC111" s="375">
        <f>SUM(Y111:AB111)</f>
        <v>474.1</v>
      </c>
      <c r="AD111" s="375">
        <f>AD113-AD112</f>
        <v>123.7</v>
      </c>
      <c r="AE111" s="375">
        <f>AE113-AE112</f>
        <v>135</v>
      </c>
      <c r="AF111" s="375">
        <f>AF113-AF112</f>
        <v>139</v>
      </c>
      <c r="AG111" s="375">
        <f>AG113-AG112</f>
        <v>163.9</v>
      </c>
      <c r="AH111" s="375">
        <f>SUM(AD111:AG111)</f>
        <v>561.6</v>
      </c>
      <c r="AI111" s="375">
        <f>AI113-AI112</f>
        <v>142.30000000000001</v>
      </c>
      <c r="AJ111" s="375">
        <f>AJ113-AJ112</f>
        <v>141.30000000000001</v>
      </c>
      <c r="AK111" s="375">
        <f>AK113-AK112</f>
        <v>148.5</v>
      </c>
      <c r="AL111" s="375">
        <f>AL108-AL116</f>
        <v>172.04615000000001</v>
      </c>
      <c r="AM111" s="375">
        <f>SUM(AI111:AL111)</f>
        <v>604.14615000000003</v>
      </c>
      <c r="AN111" s="375">
        <f>AN108-AN116</f>
        <v>145.89557500000001</v>
      </c>
      <c r="AO111" s="375">
        <f>AO108-AO116</f>
        <v>144.847825</v>
      </c>
      <c r="AP111" s="375">
        <f>AP108-AP116</f>
        <v>152.2316625</v>
      </c>
      <c r="AQ111" s="375">
        <f>AQ108-AQ116</f>
        <v>176.32287874999997</v>
      </c>
      <c r="AR111" s="375">
        <f>SUM(AN111:AQ111)</f>
        <v>619.29794125000001</v>
      </c>
      <c r="AS111" s="375">
        <f>AS108-AS116</f>
        <v>153.26650375</v>
      </c>
      <c r="AT111" s="375">
        <f>AT108-AT116</f>
        <v>152.12086624999998</v>
      </c>
      <c r="AU111" s="375">
        <f>AU108-AU116</f>
        <v>159.88157062499999</v>
      </c>
      <c r="AV111" s="375">
        <f>AV108-AV116</f>
        <v>185.0901726875</v>
      </c>
      <c r="AW111" s="375">
        <f>SUM(AS111:AV111)</f>
        <v>650.35911331249997</v>
      </c>
      <c r="AX111" s="375">
        <f>AX108-AX116</f>
        <v>159.45808390000002</v>
      </c>
      <c r="AY111" s="375">
        <f>AY108-AY116</f>
        <v>158.23022089999998</v>
      </c>
      <c r="AZ111" s="375">
        <f>AZ108-AZ116</f>
        <v>166.30749345000001</v>
      </c>
      <c r="BA111" s="375">
        <f>BA108-BA116</f>
        <v>192.45469959499999</v>
      </c>
      <c r="BB111" s="375">
        <f>SUM(AX111:BA111)</f>
        <v>676.45049784499997</v>
      </c>
      <c r="BC111" s="375">
        <f>BC108-BC116</f>
        <v>164.28751641700001</v>
      </c>
      <c r="BD111" s="375">
        <f>BD108-BD116</f>
        <v>162.99551752699998</v>
      </c>
      <c r="BE111" s="375">
        <f>BE108-BE116</f>
        <v>171.3197132535</v>
      </c>
      <c r="BF111" s="375">
        <f>BF108-BF116</f>
        <v>198.19903058285001</v>
      </c>
      <c r="BG111" s="375">
        <f>SUM(BC111:BF111)</f>
        <v>696.80177778034999</v>
      </c>
      <c r="BH111" s="375">
        <f>BH108-BH116</f>
        <v>167.60372674534003</v>
      </c>
      <c r="BI111" s="375">
        <f>BI108-BI116</f>
        <v>166.26768787754</v>
      </c>
      <c r="BJ111" s="375">
        <f>BJ108-BJ116</f>
        <v>174.76143751857001</v>
      </c>
      <c r="BK111" s="375">
        <f>BK108-BK116</f>
        <v>202.14347119450701</v>
      </c>
      <c r="BL111" s="375">
        <f>SUM(BH111:BK111)</f>
        <v>710.77632333595704</v>
      </c>
    </row>
    <row r="112" spans="1:64">
      <c r="A112" s="5" t="s">
        <v>1114</v>
      </c>
      <c r="J112" s="376">
        <v>0.26300000000000001</v>
      </c>
      <c r="K112" s="376">
        <v>0.28599999999999998</v>
      </c>
      <c r="L112" s="376">
        <v>0.33800000000000002</v>
      </c>
      <c r="M112" s="376">
        <v>0.34200000000000003</v>
      </c>
      <c r="N112" s="375"/>
      <c r="O112" s="376">
        <v>0.68600000000000005</v>
      </c>
      <c r="P112" s="376">
        <v>0.73699999999999999</v>
      </c>
      <c r="Q112" s="376">
        <v>0.752</v>
      </c>
      <c r="R112" s="376">
        <v>0.877</v>
      </c>
      <c r="S112" s="375">
        <f>SUM(O112:R112)</f>
        <v>3.0519999999999996</v>
      </c>
      <c r="T112" s="376">
        <v>0.9</v>
      </c>
      <c r="U112" s="376">
        <v>0.9</v>
      </c>
      <c r="V112" s="376">
        <v>0.9</v>
      </c>
      <c r="W112" s="376">
        <v>1</v>
      </c>
      <c r="X112" s="375">
        <f>SUM(T112:W112)</f>
        <v>3.7</v>
      </c>
      <c r="Y112" s="376">
        <v>0.9</v>
      </c>
      <c r="Z112" s="376">
        <v>0.9</v>
      </c>
      <c r="AA112" s="376">
        <v>0.9</v>
      </c>
      <c r="AB112" s="376">
        <v>0.9</v>
      </c>
      <c r="AC112" s="375">
        <f>SUM(Y112:AB112)</f>
        <v>3.6</v>
      </c>
      <c r="AD112" s="376">
        <v>1</v>
      </c>
      <c r="AE112" s="376">
        <v>1</v>
      </c>
      <c r="AF112" s="376">
        <v>1.1000000000000001</v>
      </c>
      <c r="AG112" s="376">
        <v>1.1000000000000001</v>
      </c>
      <c r="AH112" s="375">
        <f>SUM(AD112:AG112)</f>
        <v>4.2</v>
      </c>
      <c r="AI112" s="376">
        <v>1.1000000000000001</v>
      </c>
      <c r="AJ112" s="376">
        <v>1.1000000000000001</v>
      </c>
      <c r="AK112" s="376">
        <v>1.1000000000000001</v>
      </c>
      <c r="AL112" s="377">
        <v>1.1000000000000001</v>
      </c>
      <c r="AM112" s="375">
        <f>SUM(AI112:AL112)</f>
        <v>4.4000000000000004</v>
      </c>
      <c r="AN112" s="377">
        <v>1.1000000000000001</v>
      </c>
      <c r="AO112" s="377">
        <v>1.1000000000000001</v>
      </c>
      <c r="AP112" s="377">
        <v>1.1000000000000001</v>
      </c>
      <c r="AQ112" s="377">
        <v>1.1000000000000001</v>
      </c>
      <c r="AR112" s="375">
        <f>SUM(AN112:AQ112)</f>
        <v>4.4000000000000004</v>
      </c>
      <c r="AS112" s="377">
        <v>1.1000000000000001</v>
      </c>
      <c r="AT112" s="377">
        <v>1.1000000000000001</v>
      </c>
      <c r="AU112" s="377">
        <v>1.1000000000000001</v>
      </c>
      <c r="AV112" s="377">
        <v>1.1000000000000001</v>
      </c>
      <c r="AW112" s="375">
        <f>SUM(AS112:AV112)</f>
        <v>4.4000000000000004</v>
      </c>
      <c r="AX112" s="377">
        <v>1.1000000000000001</v>
      </c>
      <c r="AY112" s="377">
        <v>1.1000000000000001</v>
      </c>
      <c r="AZ112" s="377">
        <v>1.1000000000000001</v>
      </c>
      <c r="BA112" s="377">
        <v>1.1000000000000001</v>
      </c>
      <c r="BB112" s="375">
        <f>SUM(AX112:BA112)</f>
        <v>4.4000000000000004</v>
      </c>
      <c r="BC112" s="377">
        <v>1.1000000000000001</v>
      </c>
      <c r="BD112" s="377">
        <v>1.1000000000000001</v>
      </c>
      <c r="BE112" s="377">
        <v>1.1000000000000001</v>
      </c>
      <c r="BF112" s="377">
        <v>1.1000000000000001</v>
      </c>
      <c r="BG112" s="375">
        <f>SUM(BC112:BF112)</f>
        <v>4.4000000000000004</v>
      </c>
      <c r="BH112" s="377">
        <v>1.1000000000000001</v>
      </c>
      <c r="BI112" s="377">
        <v>1.1000000000000001</v>
      </c>
      <c r="BJ112" s="377">
        <v>1.1000000000000001</v>
      </c>
      <c r="BK112" s="377">
        <v>1.1000000000000001</v>
      </c>
      <c r="BL112" s="375">
        <f>SUM(BH112:BK112)</f>
        <v>4.4000000000000004</v>
      </c>
    </row>
    <row r="113" spans="1:64">
      <c r="A113" s="288" t="s">
        <v>1724</v>
      </c>
      <c r="B113" s="9"/>
      <c r="C113" s="9"/>
      <c r="D113" s="9"/>
      <c r="E113" s="9"/>
      <c r="F113" s="9"/>
      <c r="G113" s="9"/>
      <c r="H113" s="9"/>
      <c r="I113" s="9"/>
      <c r="J113" s="378">
        <f t="shared" ref="J113:X113" si="123">J108-J122</f>
        <v>88.259</v>
      </c>
      <c r="K113" s="378">
        <f t="shared" si="123"/>
        <v>94.959000000000003</v>
      </c>
      <c r="L113" s="378">
        <f t="shared" si="123"/>
        <v>94.527999999999992</v>
      </c>
      <c r="M113" s="378">
        <f t="shared" si="123"/>
        <v>124.369</v>
      </c>
      <c r="N113" s="378">
        <f t="shared" si="123"/>
        <v>402.11499999999995</v>
      </c>
      <c r="O113" s="378">
        <f t="shared" si="123"/>
        <v>111.13900000000001</v>
      </c>
      <c r="P113" s="378">
        <f t="shared" si="123"/>
        <v>122.97499999999999</v>
      </c>
      <c r="Q113" s="378">
        <f t="shared" si="123"/>
        <v>113.565</v>
      </c>
      <c r="R113" s="378">
        <f t="shared" si="123"/>
        <v>117.598</v>
      </c>
      <c r="S113" s="378">
        <f t="shared" si="123"/>
        <v>465.27700000000004</v>
      </c>
      <c r="T113" s="378">
        <f t="shared" si="123"/>
        <v>104.4</v>
      </c>
      <c r="U113" s="378">
        <f t="shared" si="123"/>
        <v>118.19999999999999</v>
      </c>
      <c r="V113" s="378">
        <f t="shared" si="123"/>
        <v>137.60000000000002</v>
      </c>
      <c r="W113" s="378">
        <f t="shared" si="123"/>
        <v>148.9</v>
      </c>
      <c r="X113" s="378">
        <f t="shared" si="123"/>
        <v>509.09999999999997</v>
      </c>
      <c r="Y113" s="395">
        <v>111</v>
      </c>
      <c r="Z113" s="395">
        <v>113</v>
      </c>
      <c r="AA113" s="395">
        <v>119.4</v>
      </c>
      <c r="AB113" s="395">
        <v>134.30000000000001</v>
      </c>
      <c r="AC113" s="378">
        <f>SUM(Y113:AB113)</f>
        <v>477.7</v>
      </c>
      <c r="AD113" s="395">
        <v>124.7</v>
      </c>
      <c r="AE113" s="395">
        <v>136</v>
      </c>
      <c r="AF113" s="395">
        <v>140.1</v>
      </c>
      <c r="AG113" s="395">
        <v>165</v>
      </c>
      <c r="AH113" s="378">
        <f>SUM(AD113:AG113)</f>
        <v>565.79999999999995</v>
      </c>
      <c r="AI113" s="395">
        <v>143.4</v>
      </c>
      <c r="AJ113" s="395">
        <v>142.4</v>
      </c>
      <c r="AK113" s="395">
        <v>149.6</v>
      </c>
      <c r="AL113" s="378">
        <f>SUM(AL111:AL112)</f>
        <v>173.14615000000001</v>
      </c>
      <c r="AM113" s="378">
        <f>SUM(AI113:AL113)</f>
        <v>608.54615000000001</v>
      </c>
      <c r="AN113" s="378">
        <f>SUM(AN111:AN112)</f>
        <v>146.995575</v>
      </c>
      <c r="AO113" s="378">
        <f>SUM(AO111:AO112)</f>
        <v>145.94782499999999</v>
      </c>
      <c r="AP113" s="378">
        <f>SUM(AP111:AP112)</f>
        <v>153.33166249999999</v>
      </c>
      <c r="AQ113" s="378">
        <f>SUM(AQ111:AQ112)</f>
        <v>177.42287874999997</v>
      </c>
      <c r="AR113" s="378">
        <f>SUM(AN113:AQ113)</f>
        <v>623.69794124999999</v>
      </c>
      <c r="AS113" s="378">
        <f>SUM(AS111:AS112)</f>
        <v>154.36650374999999</v>
      </c>
      <c r="AT113" s="378">
        <f>SUM(AT111:AT112)</f>
        <v>153.22086624999997</v>
      </c>
      <c r="AU113" s="378">
        <f>SUM(AU111:AU112)</f>
        <v>160.98157062499999</v>
      </c>
      <c r="AV113" s="378">
        <f>SUM(AV111:AV112)</f>
        <v>186.1901726875</v>
      </c>
      <c r="AW113" s="378">
        <f>SUM(AS113:AV113)</f>
        <v>654.75911331249995</v>
      </c>
      <c r="AX113" s="378">
        <f>SUM(AX111:AX112)</f>
        <v>160.55808390000001</v>
      </c>
      <c r="AY113" s="378">
        <f>SUM(AY111:AY112)</f>
        <v>159.33022089999997</v>
      </c>
      <c r="AZ113" s="378">
        <f>SUM(AZ111:AZ112)</f>
        <v>167.40749345</v>
      </c>
      <c r="BA113" s="378">
        <f>SUM(BA111:BA112)</f>
        <v>193.55469959499999</v>
      </c>
      <c r="BB113" s="378">
        <f>SUM(AX113:BA113)</f>
        <v>680.85049784500006</v>
      </c>
      <c r="BC113" s="378">
        <f>SUM(BC111:BC112)</f>
        <v>165.387516417</v>
      </c>
      <c r="BD113" s="378">
        <f>SUM(BD111:BD112)</f>
        <v>164.09551752699997</v>
      </c>
      <c r="BE113" s="378">
        <f>SUM(BE111:BE112)</f>
        <v>172.41971325349999</v>
      </c>
      <c r="BF113" s="378">
        <f>SUM(BF111:BF112)</f>
        <v>199.29903058285001</v>
      </c>
      <c r="BG113" s="378">
        <f>SUM(BC113:BF113)</f>
        <v>701.20177778034997</v>
      </c>
      <c r="BH113" s="378">
        <f>SUM(BH111:BH112)</f>
        <v>168.70372674534002</v>
      </c>
      <c r="BI113" s="378">
        <f>SUM(BI111:BI112)</f>
        <v>167.36768787753999</v>
      </c>
      <c r="BJ113" s="378">
        <f>SUM(BJ111:BJ112)</f>
        <v>175.86143751857</v>
      </c>
      <c r="BK113" s="378">
        <f>SUM(BK111:BK112)</f>
        <v>203.24347119450701</v>
      </c>
      <c r="BL113" s="378">
        <f>SUM(BH113:BK113)</f>
        <v>715.17632333595702</v>
      </c>
    </row>
    <row r="114" spans="1:64">
      <c r="A114" s="1" t="s">
        <v>1715</v>
      </c>
      <c r="J114" s="21">
        <f t="shared" ref="J114:AQ114" si="124">J113/J108</f>
        <v>0.95674749861787123</v>
      </c>
      <c r="K114" s="21">
        <f t="shared" si="124"/>
        <v>0.95561034517459997</v>
      </c>
      <c r="L114" s="21">
        <f t="shared" si="124"/>
        <v>0.9494099332094611</v>
      </c>
      <c r="M114" s="21">
        <f t="shared" si="124"/>
        <v>0.98617113223854802</v>
      </c>
      <c r="N114" s="21">
        <f t="shared" si="124"/>
        <v>0.9636182383290558</v>
      </c>
      <c r="O114" s="21">
        <f t="shared" si="124"/>
        <v>0.95465477847068325</v>
      </c>
      <c r="P114" s="21">
        <f t="shared" si="124"/>
        <v>0.95551670551670553</v>
      </c>
      <c r="Q114" s="21">
        <f t="shared" si="124"/>
        <v>0.95744949920750011</v>
      </c>
      <c r="R114" s="21">
        <f t="shared" si="124"/>
        <v>0.9906242892402557</v>
      </c>
      <c r="S114" s="21">
        <f t="shared" si="124"/>
        <v>0.96442259260717889</v>
      </c>
      <c r="T114" s="21">
        <f t="shared" si="124"/>
        <v>0.94995450409463145</v>
      </c>
      <c r="U114" s="21">
        <f t="shared" si="124"/>
        <v>0.94863563402889239</v>
      </c>
      <c r="V114" s="21">
        <f t="shared" si="124"/>
        <v>0.94700619408121134</v>
      </c>
      <c r="W114" s="21">
        <f t="shared" si="124"/>
        <v>0.98218997361477578</v>
      </c>
      <c r="X114" s="21">
        <f t="shared" si="124"/>
        <v>0.95803537824614227</v>
      </c>
      <c r="Y114" s="21">
        <f t="shared" si="124"/>
        <v>0.9479077711357814</v>
      </c>
      <c r="Z114" s="21">
        <f t="shared" si="124"/>
        <v>0.94878253568429893</v>
      </c>
      <c r="AA114" s="21">
        <f t="shared" si="124"/>
        <v>0.95139442231075699</v>
      </c>
      <c r="AB114" s="21">
        <f t="shared" si="124"/>
        <v>0.96688264938804902</v>
      </c>
      <c r="AC114" s="21">
        <f t="shared" si="124"/>
        <v>0.95425489412704745</v>
      </c>
      <c r="AD114" s="21">
        <f t="shared" si="124"/>
        <v>0.95775729646697394</v>
      </c>
      <c r="AE114" s="21">
        <f t="shared" si="124"/>
        <v>0.95304835318850745</v>
      </c>
      <c r="AF114" s="21">
        <f t="shared" si="124"/>
        <v>0.95631399317406141</v>
      </c>
      <c r="AG114" s="21">
        <f t="shared" si="124"/>
        <v>0.96717467760844078</v>
      </c>
      <c r="AH114" s="21">
        <f t="shared" si="124"/>
        <v>0.9589830508474575</v>
      </c>
      <c r="AI114" s="21">
        <f t="shared" si="124"/>
        <v>0.952191235059761</v>
      </c>
      <c r="AJ114" s="21">
        <f t="shared" si="124"/>
        <v>0.95827725437415889</v>
      </c>
      <c r="AK114" s="21">
        <f t="shared" si="124"/>
        <v>0.95713371721049256</v>
      </c>
      <c r="AL114" s="21">
        <f t="shared" si="124"/>
        <v>0.96659493105565797</v>
      </c>
      <c r="AM114" s="21">
        <f t="shared" si="124"/>
        <v>0.95889912232324348</v>
      </c>
      <c r="AN114" s="21">
        <f t="shared" si="124"/>
        <v>0.95225974152171811</v>
      </c>
      <c r="AO114" s="21">
        <f t="shared" si="124"/>
        <v>0.95819732134064295</v>
      </c>
      <c r="AP114" s="21">
        <f t="shared" si="124"/>
        <v>0.95708167532730981</v>
      </c>
      <c r="AQ114" s="21">
        <f t="shared" si="124"/>
        <v>0.96631212785917842</v>
      </c>
      <c r="AR114" s="21">
        <f>AR113/AR108</f>
        <v>0.95880402177877422</v>
      </c>
      <c r="AS114" s="21">
        <f t="shared" ref="AS114:AV114" si="125">AS113/AS108</f>
        <v>0.95239023002068379</v>
      </c>
      <c r="AT114" s="21">
        <f t="shared" si="125"/>
        <v>0.95804506794346933</v>
      </c>
      <c r="AU114" s="21">
        <f t="shared" si="125"/>
        <v>0.9569825479307712</v>
      </c>
      <c r="AV114" s="21">
        <f t="shared" si="125"/>
        <v>0.96577345510397949</v>
      </c>
      <c r="AW114" s="21">
        <f>AW113/AW108</f>
        <v>0.95862287788454681</v>
      </c>
      <c r="AX114" s="21">
        <f t="shared" ref="AX114:BA114" si="126">AX113/AX108</f>
        <v>0.95249060578911926</v>
      </c>
      <c r="AY114" s="21">
        <f t="shared" si="126"/>
        <v>0.95792794994564356</v>
      </c>
      <c r="AZ114" s="21">
        <f t="shared" si="126"/>
        <v>0.95690629608728006</v>
      </c>
      <c r="BA114" s="21">
        <f t="shared" si="126"/>
        <v>0.96535909144613408</v>
      </c>
      <c r="BB114" s="21">
        <f>BB113/BB108</f>
        <v>0.95848353642744888</v>
      </c>
      <c r="BC114" s="21">
        <f t="shared" ref="BC114:BF114" si="127">BC113/BC108</f>
        <v>0.95256369494089232</v>
      </c>
      <c r="BD114" s="21">
        <f t="shared" si="127"/>
        <v>0.95784266985013944</v>
      </c>
      <c r="BE114" s="21">
        <f t="shared" si="127"/>
        <v>0.95685077290027187</v>
      </c>
      <c r="BF114" s="21">
        <f t="shared" si="127"/>
        <v>0.96505737033605254</v>
      </c>
      <c r="BG114" s="21">
        <f>BG113/BG108</f>
        <v>0.95838207420140664</v>
      </c>
      <c r="BH114" s="21">
        <f t="shared" ref="BH114:BK114" si="128">BH113/BH108</f>
        <v>0.95261146562832588</v>
      </c>
      <c r="BI114" s="21">
        <f t="shared" si="128"/>
        <v>0.95778693122562686</v>
      </c>
      <c r="BJ114" s="21">
        <f t="shared" si="128"/>
        <v>0.95681448323556073</v>
      </c>
      <c r="BK114" s="21">
        <f t="shared" si="128"/>
        <v>0.96486016699612986</v>
      </c>
      <c r="BL114" s="21">
        <f>BL113/BL108</f>
        <v>0.95831575902098687</v>
      </c>
    </row>
    <row r="116" spans="1:64">
      <c r="A116" s="9" t="s">
        <v>1742</v>
      </c>
      <c r="B116" s="9"/>
      <c r="C116" s="9"/>
      <c r="D116" s="9"/>
      <c r="E116" s="9"/>
      <c r="F116" s="9"/>
      <c r="G116" s="9"/>
      <c r="H116" s="9"/>
      <c r="I116" s="9"/>
      <c r="J116" s="378">
        <f t="shared" ref="J116:AK116" si="129">J108-J111</f>
        <v>4.2530000000000001</v>
      </c>
      <c r="K116" s="378">
        <f t="shared" si="129"/>
        <v>4.6970000000000027</v>
      </c>
      <c r="L116" s="378">
        <f t="shared" si="129"/>
        <v>5.375</v>
      </c>
      <c r="M116" s="378">
        <f t="shared" si="129"/>
        <v>2.0859999999999985</v>
      </c>
      <c r="N116" s="378">
        <f t="shared" si="129"/>
        <v>16.411000000000001</v>
      </c>
      <c r="O116" s="378">
        <f t="shared" si="129"/>
        <v>5.9650000000000034</v>
      </c>
      <c r="P116" s="378">
        <f t="shared" si="129"/>
        <v>6.4619999999999891</v>
      </c>
      <c r="Q116" s="378">
        <f t="shared" si="129"/>
        <v>5.7989999999999924</v>
      </c>
      <c r="R116" s="378">
        <f t="shared" si="129"/>
        <v>1.9899999999999949</v>
      </c>
      <c r="S116" s="378">
        <f t="shared" si="129"/>
        <v>20.216000000000008</v>
      </c>
      <c r="T116" s="378">
        <f t="shared" si="129"/>
        <v>6.4000000000000057</v>
      </c>
      <c r="U116" s="378">
        <f t="shared" si="129"/>
        <v>7.3000000000000114</v>
      </c>
      <c r="V116" s="378">
        <f t="shared" si="129"/>
        <v>8.5999999999999943</v>
      </c>
      <c r="W116" s="378">
        <f t="shared" si="129"/>
        <v>3.6999999999999886</v>
      </c>
      <c r="X116" s="378">
        <f t="shared" si="129"/>
        <v>26</v>
      </c>
      <c r="Y116" s="378">
        <f t="shared" si="129"/>
        <v>7</v>
      </c>
      <c r="Z116" s="378">
        <f t="shared" si="129"/>
        <v>7</v>
      </c>
      <c r="AA116" s="378">
        <f t="shared" si="129"/>
        <v>7</v>
      </c>
      <c r="AB116" s="378">
        <f t="shared" si="129"/>
        <v>5.5</v>
      </c>
      <c r="AC116" s="378">
        <f t="shared" si="129"/>
        <v>26.5</v>
      </c>
      <c r="AD116" s="378">
        <f t="shared" si="129"/>
        <v>6.4999999999999858</v>
      </c>
      <c r="AE116" s="378">
        <f t="shared" si="129"/>
        <v>7.6999999999999886</v>
      </c>
      <c r="AF116" s="378">
        <f t="shared" si="129"/>
        <v>7.5</v>
      </c>
      <c r="AG116" s="378">
        <f t="shared" si="129"/>
        <v>6.6999999999999886</v>
      </c>
      <c r="AH116" s="378">
        <f t="shared" si="129"/>
        <v>28.399999999999977</v>
      </c>
      <c r="AI116" s="378">
        <f t="shared" si="129"/>
        <v>8.2999999999999829</v>
      </c>
      <c r="AJ116" s="378">
        <f t="shared" si="129"/>
        <v>7.2999999999999829</v>
      </c>
      <c r="AK116" s="378">
        <f t="shared" si="129"/>
        <v>7.8000000000000114</v>
      </c>
      <c r="AL116" s="378">
        <f>AG116+AL120*(AL108-AG108)</f>
        <v>7.0838499999999884</v>
      </c>
      <c r="AM116" s="378">
        <f>AM108-AM111</f>
        <v>30.483849999999961</v>
      </c>
      <c r="AN116" s="378">
        <f>AI116+AN120*(AN108-AI108)</f>
        <v>8.4694249999999816</v>
      </c>
      <c r="AO116" s="378">
        <f>AJ116+AO120*(AO108-AJ108)</f>
        <v>7.4671749999999815</v>
      </c>
      <c r="AP116" s="378">
        <f>AK116+AP120*(AP108-AK108)</f>
        <v>7.9758375000000115</v>
      </c>
      <c r="AQ116" s="378">
        <f>AL116+AQ120*(AQ108-AL108)</f>
        <v>7.2853712499999874</v>
      </c>
      <c r="AR116" s="378">
        <f>AR108-AR111</f>
        <v>31.197808749999922</v>
      </c>
      <c r="AS116" s="378">
        <f>AN116+AS120*(AS108-AN108)</f>
        <v>8.8167462499999818</v>
      </c>
      <c r="AT116" s="378">
        <f>AO116+AT120*(AT108-AO108)</f>
        <v>7.8098837499999814</v>
      </c>
      <c r="AU116" s="378">
        <f>AP116+AU120*(AU108-AP108)</f>
        <v>8.3363043750000116</v>
      </c>
      <c r="AV116" s="378">
        <f>AQ116+AV120*(AV108-AQ108)</f>
        <v>7.6984898124999885</v>
      </c>
      <c r="AW116" s="378">
        <f>AW108-AW111</f>
        <v>32.661424187499961</v>
      </c>
      <c r="AX116" s="378">
        <f>AS116+AX120*(AX108-AS108)</f>
        <v>9.1084960999999822</v>
      </c>
      <c r="AY116" s="378">
        <f>AT116+AY120*(AY108-AT108)</f>
        <v>8.0977590999999816</v>
      </c>
      <c r="AZ116" s="378">
        <f>AU116+AZ120*(AZ108-AU108)</f>
        <v>8.6390965500000121</v>
      </c>
      <c r="BA116" s="378">
        <f>AV116+BA120*(BA108-AV108)</f>
        <v>8.0455094049999882</v>
      </c>
      <c r="BB116" s="378">
        <f>BB108-BB111</f>
        <v>33.890861155000039</v>
      </c>
      <c r="BC116" s="378">
        <f>AX116+BC120*(BC108-AX108)</f>
        <v>9.3360609829999817</v>
      </c>
      <c r="BD116" s="378">
        <f>AY116+BD120*(BD108-AY108)</f>
        <v>8.3223018729999811</v>
      </c>
      <c r="BE116" s="378">
        <f>AZ116+BE120*(BE108-AZ108)</f>
        <v>8.8752744465000113</v>
      </c>
      <c r="BF116" s="378">
        <f>BA116+BF120*(BF108-BA108)</f>
        <v>8.3161846871499883</v>
      </c>
      <c r="BG116" s="378">
        <f>BG108-BG111</f>
        <v>34.849821989649968</v>
      </c>
      <c r="BH116" s="378">
        <f>BC116+BH120*(BH108-BC108)</f>
        <v>9.4923222026599827</v>
      </c>
      <c r="BI116" s="378">
        <f>BD116+BI120*(BI108-BD108)</f>
        <v>8.4764879104599817</v>
      </c>
      <c r="BJ116" s="378">
        <f>BE116+BJ120*(BJ108-BE108)</f>
        <v>9.0374499354300113</v>
      </c>
      <c r="BK116" s="378">
        <f>BF116+BK120*(BK108-BF108)</f>
        <v>8.5020483808929885</v>
      </c>
      <c r="BL116" s="378">
        <f>BL108-BL111</f>
        <v>35.508308429442991</v>
      </c>
    </row>
    <row r="117" spans="1:64">
      <c r="A117" s="1" t="s">
        <v>1112</v>
      </c>
      <c r="J117" s="16">
        <f t="shared" ref="J117:BL117" si="130">J116/J108</f>
        <v>4.6103480796539802E-2</v>
      </c>
      <c r="K117" s="16">
        <f t="shared" si="130"/>
        <v>4.7267787058468375E-2</v>
      </c>
      <c r="L117" s="16">
        <f t="shared" si="130"/>
        <v>5.39848340280219E-2</v>
      </c>
      <c r="M117" s="16">
        <f t="shared" si="130"/>
        <v>1.6540721416507406E-2</v>
      </c>
      <c r="N117" s="16">
        <f t="shared" si="130"/>
        <v>3.9326906256215606E-2</v>
      </c>
      <c r="O117" s="16">
        <f t="shared" si="130"/>
        <v>5.1237781099142773E-2</v>
      </c>
      <c r="P117" s="16">
        <f t="shared" si="130"/>
        <v>5.0209790209790127E-2</v>
      </c>
      <c r="Q117" s="16">
        <f t="shared" si="130"/>
        <v>4.8890500118031838E-2</v>
      </c>
      <c r="R117" s="16">
        <f t="shared" si="130"/>
        <v>1.676340019037827E-2</v>
      </c>
      <c r="S117" s="16">
        <f t="shared" si="130"/>
        <v>4.1903569555655523E-2</v>
      </c>
      <c r="T117" s="16">
        <f t="shared" si="130"/>
        <v>5.8234758871701597E-2</v>
      </c>
      <c r="U117" s="16">
        <f t="shared" si="130"/>
        <v>5.8587479935794634E-2</v>
      </c>
      <c r="V117" s="16">
        <f t="shared" si="130"/>
        <v>5.918788713007566E-2</v>
      </c>
      <c r="W117" s="16">
        <f t="shared" si="130"/>
        <v>2.4406332453825782E-2</v>
      </c>
      <c r="X117" s="16">
        <f t="shared" si="130"/>
        <v>4.8927361686112156E-2</v>
      </c>
      <c r="Y117" s="16">
        <f t="shared" si="130"/>
        <v>5.9777967549103334E-2</v>
      </c>
      <c r="Z117" s="16">
        <f t="shared" si="130"/>
        <v>5.8774139378673387E-2</v>
      </c>
      <c r="AA117" s="16">
        <f t="shared" si="130"/>
        <v>5.5776892430278883E-2</v>
      </c>
      <c r="AB117" s="16">
        <f t="shared" si="130"/>
        <v>3.9596832253419728E-2</v>
      </c>
      <c r="AC117" s="16">
        <f t="shared" si="130"/>
        <v>5.2936476228525764E-2</v>
      </c>
      <c r="AD117" s="16">
        <f t="shared" si="130"/>
        <v>4.9923195084485304E-2</v>
      </c>
      <c r="AE117" s="16">
        <f t="shared" si="130"/>
        <v>5.3959355290819827E-2</v>
      </c>
      <c r="AF117" s="16">
        <f t="shared" si="130"/>
        <v>5.1194539249146756E-2</v>
      </c>
      <c r="AG117" s="16">
        <f t="shared" si="130"/>
        <v>3.9273153575615408E-2</v>
      </c>
      <c r="AH117" s="16">
        <f t="shared" si="130"/>
        <v>4.8135593220338946E-2</v>
      </c>
      <c r="AI117" s="16">
        <f t="shared" si="130"/>
        <v>5.5112881806108786E-2</v>
      </c>
      <c r="AJ117" s="16">
        <f t="shared" si="130"/>
        <v>4.912516823687741E-2</v>
      </c>
      <c r="AK117" s="16">
        <f t="shared" si="130"/>
        <v>4.9904030710172811E-2</v>
      </c>
      <c r="AL117" s="16">
        <f t="shared" si="130"/>
        <v>3.954586054820515E-2</v>
      </c>
      <c r="AM117" s="16">
        <f t="shared" si="130"/>
        <v>4.803405133699945E-2</v>
      </c>
      <c r="AN117" s="16">
        <f t="shared" si="130"/>
        <v>5.4866226152301252E-2</v>
      </c>
      <c r="AO117" s="16">
        <f t="shared" si="130"/>
        <v>4.9024554377441375E-2</v>
      </c>
      <c r="AP117" s="16">
        <f t="shared" si="130"/>
        <v>4.9784420205046649E-2</v>
      </c>
      <c r="AQ117" s="16">
        <f t="shared" si="130"/>
        <v>3.9678888339712344E-2</v>
      </c>
      <c r="AR117" s="16">
        <f t="shared" si="130"/>
        <v>4.7960050084877456E-2</v>
      </c>
      <c r="AS117" s="16">
        <f t="shared" si="130"/>
        <v>5.4396405859334522E-2</v>
      </c>
      <c r="AT117" s="16">
        <f t="shared" si="130"/>
        <v>4.8832908930896549E-2</v>
      </c>
      <c r="AU117" s="16">
        <f t="shared" si="130"/>
        <v>4.9556590671473E-2</v>
      </c>
      <c r="AV117" s="16">
        <f t="shared" si="130"/>
        <v>3.9932274609249849E-2</v>
      </c>
      <c r="AW117" s="16">
        <f t="shared" si="130"/>
        <v>4.7819095318930971E-2</v>
      </c>
      <c r="AX117" s="16">
        <f t="shared" si="130"/>
        <v>5.4035005633975508E-2</v>
      </c>
      <c r="AY117" s="16">
        <f t="shared" si="130"/>
        <v>4.8685489356631299E-2</v>
      </c>
      <c r="AZ117" s="16">
        <f t="shared" si="130"/>
        <v>4.9381337184108656E-2</v>
      </c>
      <c r="BA117" s="16">
        <f t="shared" si="130"/>
        <v>4.01271871242787E-2</v>
      </c>
      <c r="BB117" s="16">
        <f t="shared" si="130"/>
        <v>4.7710668575895267E-2</v>
      </c>
      <c r="BC117" s="16">
        <f t="shared" si="130"/>
        <v>5.3771850130073302E-2</v>
      </c>
      <c r="BD117" s="16">
        <f t="shared" si="130"/>
        <v>4.8578145006438152E-2</v>
      </c>
      <c r="BE117" s="16">
        <f t="shared" si="130"/>
        <v>4.9253725421464709E-2</v>
      </c>
      <c r="BF117" s="16">
        <f t="shared" si="130"/>
        <v>4.0269113712891942E-2</v>
      </c>
      <c r="BG117" s="16">
        <f t="shared" si="130"/>
        <v>4.7631717063975891E-2</v>
      </c>
      <c r="BH117" s="16">
        <f t="shared" si="130"/>
        <v>5.359985306869932E-2</v>
      </c>
      <c r="BI117" s="16">
        <f t="shared" si="130"/>
        <v>4.850798530042956E-2</v>
      </c>
      <c r="BJ117" s="16">
        <f t="shared" si="130"/>
        <v>4.9170319040651674E-2</v>
      </c>
      <c r="BK117" s="16">
        <f t="shared" si="130"/>
        <v>4.0361876189109747E-2</v>
      </c>
      <c r="BL117" s="16">
        <f t="shared" si="130"/>
        <v>4.758011476860384E-2</v>
      </c>
    </row>
    <row r="118" spans="1:64">
      <c r="A118" s="1" t="s">
        <v>28</v>
      </c>
      <c r="O118" s="16">
        <f t="shared" ref="O118:BL118" si="131">O116/J116-1</f>
        <v>0.40253938396426125</v>
      </c>
      <c r="P118" s="16">
        <f t="shared" si="131"/>
        <v>0.37577176921438915</v>
      </c>
      <c r="Q118" s="16">
        <f t="shared" si="131"/>
        <v>7.8883720930231105E-2</v>
      </c>
      <c r="R118" s="16">
        <f t="shared" si="131"/>
        <v>-4.6021093000960578E-2</v>
      </c>
      <c r="S118" s="16">
        <f t="shared" si="131"/>
        <v>0.23185668149412009</v>
      </c>
      <c r="T118" s="16">
        <f t="shared" si="131"/>
        <v>7.2925398155909704E-2</v>
      </c>
      <c r="U118" s="16">
        <f t="shared" si="131"/>
        <v>0.12968121324667647</v>
      </c>
      <c r="V118" s="16">
        <f t="shared" si="131"/>
        <v>0.4830143128125548</v>
      </c>
      <c r="W118" s="16">
        <f t="shared" si="131"/>
        <v>0.85929648241205947</v>
      </c>
      <c r="X118" s="16">
        <f t="shared" si="131"/>
        <v>0.28611001187178431</v>
      </c>
      <c r="Y118" s="16">
        <f t="shared" si="131"/>
        <v>9.3749999999999112E-2</v>
      </c>
      <c r="Z118" s="16">
        <f t="shared" si="131"/>
        <v>-4.1095890410960401E-2</v>
      </c>
      <c r="AA118" s="16">
        <f t="shared" si="131"/>
        <v>-0.18604651162790642</v>
      </c>
      <c r="AB118" s="16">
        <f t="shared" si="131"/>
        <v>0.48648648648649107</v>
      </c>
      <c r="AC118" s="16">
        <f t="shared" si="131"/>
        <v>1.9230769230769162E-2</v>
      </c>
      <c r="AD118" s="16">
        <f t="shared" si="131"/>
        <v>-7.1428571428573506E-2</v>
      </c>
      <c r="AE118" s="16">
        <f t="shared" si="131"/>
        <v>9.9999999999998312E-2</v>
      </c>
      <c r="AF118" s="16">
        <f t="shared" si="131"/>
        <v>7.1428571428571397E-2</v>
      </c>
      <c r="AG118" s="16">
        <f t="shared" si="131"/>
        <v>0.21818181818181603</v>
      </c>
      <c r="AH118" s="16">
        <f t="shared" si="131"/>
        <v>7.1698113207546266E-2</v>
      </c>
      <c r="AI118" s="16">
        <f t="shared" si="131"/>
        <v>0.27692307692307705</v>
      </c>
      <c r="AJ118" s="16">
        <f t="shared" si="131"/>
        <v>-5.1948051948052743E-2</v>
      </c>
      <c r="AK118" s="16">
        <f t="shared" si="131"/>
        <v>4.000000000000159E-2</v>
      </c>
      <c r="AL118" s="16">
        <f t="shared" si="131"/>
        <v>5.729104477611946E-2</v>
      </c>
      <c r="AM118" s="16">
        <f t="shared" si="131"/>
        <v>7.3374999999999524E-2</v>
      </c>
      <c r="AN118" s="16">
        <f t="shared" si="131"/>
        <v>2.0412650602409599E-2</v>
      </c>
      <c r="AO118" s="16">
        <f t="shared" si="131"/>
        <v>2.2900684931506765E-2</v>
      </c>
      <c r="AP118" s="16">
        <f t="shared" si="131"/>
        <v>2.2543269230769214E-2</v>
      </c>
      <c r="AQ118" s="16">
        <f t="shared" si="131"/>
        <v>2.8447983794123166E-2</v>
      </c>
      <c r="AR118" s="16">
        <f t="shared" si="131"/>
        <v>2.3420885157221294E-2</v>
      </c>
      <c r="AS118" s="16">
        <f t="shared" si="131"/>
        <v>4.1008834720184684E-2</v>
      </c>
      <c r="AT118" s="16">
        <f t="shared" si="131"/>
        <v>4.589536873047706E-2</v>
      </c>
      <c r="AU118" s="16">
        <f t="shared" si="131"/>
        <v>4.5194861981578738E-2</v>
      </c>
      <c r="AV118" s="16">
        <f t="shared" si="131"/>
        <v>5.670521766478287E-2</v>
      </c>
      <c r="AW118" s="16">
        <f t="shared" si="131"/>
        <v>4.6914046086651506E-2</v>
      </c>
      <c r="AX118" s="16">
        <f t="shared" si="131"/>
        <v>3.3090421537310455E-2</v>
      </c>
      <c r="AY118" s="16">
        <f t="shared" si="131"/>
        <v>3.6860388606936745E-2</v>
      </c>
      <c r="AZ118" s="16">
        <f t="shared" si="131"/>
        <v>3.6322111259283307E-2</v>
      </c>
      <c r="BA118" s="16">
        <f t="shared" si="131"/>
        <v>4.5076320285122096E-2</v>
      </c>
      <c r="BB118" s="16">
        <f t="shared" si="131"/>
        <v>3.7641866455125461E-2</v>
      </c>
      <c r="BC118" s="16">
        <f t="shared" si="131"/>
        <v>2.4983804186950342E-2</v>
      </c>
      <c r="BD118" s="16">
        <f t="shared" si="131"/>
        <v>2.7729001348039573E-2</v>
      </c>
      <c r="BE118" s="16">
        <f t="shared" si="131"/>
        <v>2.733826333958489E-2</v>
      </c>
      <c r="BF118" s="16">
        <f t="shared" si="131"/>
        <v>3.3643026006754173E-2</v>
      </c>
      <c r="BG118" s="16">
        <f t="shared" si="131"/>
        <v>2.829555821152252E-2</v>
      </c>
      <c r="BH118" s="16">
        <f t="shared" si="131"/>
        <v>1.67373820655774E-2</v>
      </c>
      <c r="BI118" s="16">
        <f t="shared" si="131"/>
        <v>1.8526849880346807E-2</v>
      </c>
      <c r="BJ118" s="16">
        <f t="shared" si="131"/>
        <v>1.8272729469673399E-2</v>
      </c>
      <c r="BK118" s="16">
        <f t="shared" si="131"/>
        <v>2.2349635167457693E-2</v>
      </c>
      <c r="BL118" s="16">
        <f t="shared" si="131"/>
        <v>1.8894972834827772E-2</v>
      </c>
    </row>
    <row r="120" spans="1:64">
      <c r="A120" s="1" t="s">
        <v>1145</v>
      </c>
      <c r="J120" s="21"/>
      <c r="K120" s="21"/>
      <c r="L120" s="21"/>
      <c r="M120" s="21"/>
      <c r="N120" s="21"/>
      <c r="O120" s="21">
        <f t="shared" ref="O120:AK120" si="132">(O116-J116)/(O108-J108)</f>
        <v>7.0834540113368469E-2</v>
      </c>
      <c r="P120" s="21">
        <f t="shared" si="132"/>
        <v>6.0177292874189818E-2</v>
      </c>
      <c r="Q120" s="21">
        <f t="shared" si="132"/>
        <v>2.2260723473512493E-2</v>
      </c>
      <c r="R120" s="21">
        <f t="shared" si="132"/>
        <v>1.2969467711429834E-2</v>
      </c>
      <c r="S120" s="21">
        <f t="shared" si="132"/>
        <v>5.8409062998894805E-2</v>
      </c>
      <c r="T120" s="21">
        <f t="shared" si="132"/>
        <v>-6.6738263270942344E-2</v>
      </c>
      <c r="U120" s="21">
        <f t="shared" si="132"/>
        <v>-0.20439024390244473</v>
      </c>
      <c r="V120" s="21">
        <f t="shared" si="132"/>
        <v>0.1049535371702638</v>
      </c>
      <c r="W120" s="21">
        <f t="shared" si="132"/>
        <v>5.1993067590987686E-2</v>
      </c>
      <c r="X120" s="21">
        <f t="shared" si="132"/>
        <v>0.11813966788537344</v>
      </c>
      <c r="Y120" s="21">
        <f t="shared" si="132"/>
        <v>8.3333333333332676E-2</v>
      </c>
      <c r="Z120" s="21">
        <f t="shared" si="132"/>
        <v>5.4545454545456611E-2</v>
      </c>
      <c r="AA120" s="21">
        <f t="shared" si="132"/>
        <v>8.0808080808080468E-2</v>
      </c>
      <c r="AB120" s="21">
        <f t="shared" si="132"/>
        <v>-0.14173228346456795</v>
      </c>
      <c r="AC120" s="21">
        <f t="shared" si="132"/>
        <v>-1.6233766233766257E-2</v>
      </c>
      <c r="AD120" s="21">
        <f t="shared" si="132"/>
        <v>-3.8167938931298814E-2</v>
      </c>
      <c r="AE120" s="21">
        <f t="shared" si="132"/>
        <v>2.9661016949152068E-2</v>
      </c>
      <c r="AF120" s="21">
        <f t="shared" si="132"/>
        <v>2.3809523809523808E-2</v>
      </c>
      <c r="AG120" s="21">
        <f t="shared" si="132"/>
        <v>3.7854889589905016E-2</v>
      </c>
      <c r="AH120" s="21">
        <f t="shared" si="132"/>
        <v>2.1252796420581407E-2</v>
      </c>
      <c r="AI120" s="21">
        <f t="shared" si="132"/>
        <v>8.8235294117646898E-2</v>
      </c>
      <c r="AJ120" s="21">
        <f t="shared" si="132"/>
        <v>-6.7796610169492427E-2</v>
      </c>
      <c r="AK120" s="21">
        <f t="shared" si="132"/>
        <v>3.0612244897960307E-2</v>
      </c>
      <c r="AL120" s="303">
        <v>4.4999999999999998E-2</v>
      </c>
      <c r="AM120" s="21">
        <f>(AM116-AH116)/(AM108-AH108)</f>
        <v>4.6691687205914947E-2</v>
      </c>
      <c r="AN120" s="303">
        <v>4.4999999999999998E-2</v>
      </c>
      <c r="AO120" s="303">
        <v>4.4999999999999998E-2</v>
      </c>
      <c r="AP120" s="303">
        <v>4.4999999999999998E-2</v>
      </c>
      <c r="AQ120" s="303">
        <v>4.4999999999999998E-2</v>
      </c>
      <c r="AR120" s="21">
        <f>(AR116-AM116)/(AR108-AM108)</f>
        <v>4.4999999999997708E-2</v>
      </c>
      <c r="AS120" s="303">
        <v>4.4999999999999998E-2</v>
      </c>
      <c r="AT120" s="303">
        <v>4.4999999999999998E-2</v>
      </c>
      <c r="AU120" s="303">
        <v>4.4999999999999998E-2</v>
      </c>
      <c r="AV120" s="303">
        <v>4.4999999999999998E-2</v>
      </c>
      <c r="AW120" s="21">
        <f>(AW116-AR116)/(AW108-AR108)</f>
        <v>4.5000000000001192E-2</v>
      </c>
      <c r="AX120" s="303">
        <v>4.4999999999999998E-2</v>
      </c>
      <c r="AY120" s="303">
        <v>4.4999999999999998E-2</v>
      </c>
      <c r="AZ120" s="303">
        <v>4.4999999999999998E-2</v>
      </c>
      <c r="BA120" s="303">
        <v>4.4999999999999998E-2</v>
      </c>
      <c r="BB120" s="21">
        <f>(BB116-AW116)/(BB108-AW108)</f>
        <v>4.5000000000002725E-2</v>
      </c>
      <c r="BC120" s="303">
        <v>4.4999999999999998E-2</v>
      </c>
      <c r="BD120" s="303">
        <v>4.4999999999999998E-2</v>
      </c>
      <c r="BE120" s="303">
        <v>4.4999999999999998E-2</v>
      </c>
      <c r="BF120" s="303">
        <v>4.4999999999999998E-2</v>
      </c>
      <c r="BG120" s="21">
        <f>(BG116-BB116)/(BG108-BB108)</f>
        <v>4.4999999999996772E-2</v>
      </c>
      <c r="BH120" s="303">
        <v>4.4999999999999998E-2</v>
      </c>
      <c r="BI120" s="303">
        <v>4.4999999999999998E-2</v>
      </c>
      <c r="BJ120" s="303">
        <v>4.4999999999999998E-2</v>
      </c>
      <c r="BK120" s="303">
        <v>4.4999999999999998E-2</v>
      </c>
      <c r="BL120" s="21">
        <f>(BL116-BG116)/(BL108-BG108)</f>
        <v>4.5000000000001358E-2</v>
      </c>
    </row>
    <row r="122" spans="1:64">
      <c r="A122" s="9" t="s">
        <v>1743</v>
      </c>
      <c r="B122" s="9"/>
      <c r="C122" s="9"/>
      <c r="D122" s="9"/>
      <c r="E122" s="9"/>
      <c r="F122" s="9"/>
      <c r="G122" s="9"/>
      <c r="H122" s="9"/>
      <c r="I122" s="9"/>
      <c r="J122" s="395">
        <v>3.99</v>
      </c>
      <c r="K122" s="395">
        <v>4.4109999999999996</v>
      </c>
      <c r="L122" s="395">
        <v>5.0369999999999999</v>
      </c>
      <c r="M122" s="395">
        <v>1.744</v>
      </c>
      <c r="N122" s="378">
        <f>SUM(J122:M122)</f>
        <v>15.181999999999999</v>
      </c>
      <c r="O122" s="395">
        <v>5.2789999999999999</v>
      </c>
      <c r="P122" s="395">
        <v>5.7249999999999996</v>
      </c>
      <c r="Q122" s="395">
        <v>5.0469999999999997</v>
      </c>
      <c r="R122" s="395">
        <v>1.113</v>
      </c>
      <c r="S122" s="378">
        <f>SUM(O122:R122)</f>
        <v>17.163999999999998</v>
      </c>
      <c r="T122" s="395">
        <v>5.5</v>
      </c>
      <c r="U122" s="395">
        <v>6.4</v>
      </c>
      <c r="V122" s="395">
        <v>7.7</v>
      </c>
      <c r="W122" s="395">
        <v>2.7</v>
      </c>
      <c r="X122" s="378">
        <f>SUM(T122:W122)</f>
        <v>22.3</v>
      </c>
      <c r="Y122" s="378">
        <f t="shared" ref="Y122:AB122" si="133">Y108-Y113</f>
        <v>6.0999999999999943</v>
      </c>
      <c r="Z122" s="378">
        <f t="shared" si="133"/>
        <v>6.0999999999999943</v>
      </c>
      <c r="AA122" s="378">
        <f t="shared" si="133"/>
        <v>6.0999999999999943</v>
      </c>
      <c r="AB122" s="378">
        <f t="shared" si="133"/>
        <v>4.5999999999999943</v>
      </c>
      <c r="AC122" s="378">
        <f>AC108-AC113</f>
        <v>22.900000000000034</v>
      </c>
      <c r="AD122" s="378">
        <f t="shared" ref="AD122:BL122" si="134">AD108-AD113</f>
        <v>5.4999999999999858</v>
      </c>
      <c r="AE122" s="378">
        <f t="shared" si="134"/>
        <v>6.6999999999999886</v>
      </c>
      <c r="AF122" s="378">
        <f t="shared" si="134"/>
        <v>6.4000000000000057</v>
      </c>
      <c r="AG122" s="378">
        <f t="shared" si="134"/>
        <v>5.5999999999999943</v>
      </c>
      <c r="AH122" s="378">
        <f t="shared" si="134"/>
        <v>24.200000000000045</v>
      </c>
      <c r="AI122" s="378">
        <f t="shared" si="134"/>
        <v>7.1999999999999886</v>
      </c>
      <c r="AJ122" s="378">
        <f t="shared" si="134"/>
        <v>6.1999999999999886</v>
      </c>
      <c r="AK122" s="378">
        <f t="shared" si="134"/>
        <v>6.7000000000000171</v>
      </c>
      <c r="AL122" s="378">
        <f t="shared" si="134"/>
        <v>5.9838499999999897</v>
      </c>
      <c r="AM122" s="378">
        <f t="shared" si="134"/>
        <v>26.083849999999984</v>
      </c>
      <c r="AN122" s="378">
        <f t="shared" si="134"/>
        <v>7.3694249999999784</v>
      </c>
      <c r="AO122" s="378">
        <f t="shared" si="134"/>
        <v>6.3671749999999747</v>
      </c>
      <c r="AP122" s="378">
        <f t="shared" si="134"/>
        <v>6.8758375000000171</v>
      </c>
      <c r="AQ122" s="378">
        <f t="shared" si="134"/>
        <v>6.1853712500000029</v>
      </c>
      <c r="AR122" s="378">
        <f t="shared" si="134"/>
        <v>26.797808749999945</v>
      </c>
      <c r="AS122" s="378">
        <f t="shared" si="134"/>
        <v>7.7167462499999999</v>
      </c>
      <c r="AT122" s="378">
        <f t="shared" si="134"/>
        <v>6.7098837499999888</v>
      </c>
      <c r="AU122" s="378">
        <f t="shared" si="134"/>
        <v>7.2363043750000315</v>
      </c>
      <c r="AV122" s="378">
        <f t="shared" si="134"/>
        <v>6.5984898124999916</v>
      </c>
      <c r="AW122" s="378">
        <f t="shared" si="134"/>
        <v>28.261424187499983</v>
      </c>
      <c r="AX122" s="378">
        <f t="shared" si="134"/>
        <v>8.0084960999999737</v>
      </c>
      <c r="AY122" s="378">
        <f t="shared" si="134"/>
        <v>6.9977590999999961</v>
      </c>
      <c r="AZ122" s="378">
        <f t="shared" si="134"/>
        <v>7.5390965500000107</v>
      </c>
      <c r="BA122" s="378">
        <f t="shared" si="134"/>
        <v>6.9455094049999957</v>
      </c>
      <c r="BB122" s="378">
        <f t="shared" si="134"/>
        <v>29.490861154999948</v>
      </c>
      <c r="BC122" s="378">
        <f t="shared" si="134"/>
        <v>8.2360609829999873</v>
      </c>
      <c r="BD122" s="378">
        <f t="shared" si="134"/>
        <v>7.2223018729999922</v>
      </c>
      <c r="BE122" s="378">
        <f t="shared" si="134"/>
        <v>7.7752744465000205</v>
      </c>
      <c r="BF122" s="378">
        <f t="shared" si="134"/>
        <v>7.2161846871499904</v>
      </c>
      <c r="BG122" s="378">
        <f t="shared" si="134"/>
        <v>30.44982198964999</v>
      </c>
      <c r="BH122" s="378">
        <f t="shared" si="134"/>
        <v>8.3923222026599831</v>
      </c>
      <c r="BI122" s="378">
        <f t="shared" si="134"/>
        <v>7.3764879104599856</v>
      </c>
      <c r="BJ122" s="378">
        <f t="shared" si="134"/>
        <v>7.9374499354300099</v>
      </c>
      <c r="BK122" s="378">
        <f t="shared" si="134"/>
        <v>7.4020483808930067</v>
      </c>
      <c r="BL122" s="378">
        <f t="shared" si="134"/>
        <v>31.108308429443014</v>
      </c>
    </row>
    <row r="123" spans="1:64">
      <c r="A123" s="1" t="s">
        <v>1489</v>
      </c>
      <c r="J123" s="16">
        <f>J122/J108</f>
        <v>4.3252501382128807E-2</v>
      </c>
      <c r="K123" s="16">
        <f t="shared" ref="K123:N123" si="135">K122/K108</f>
        <v>4.4389654825400013E-2</v>
      </c>
      <c r="L123" s="16">
        <f t="shared" si="135"/>
        <v>5.0590066790538846E-2</v>
      </c>
      <c r="M123" s="16">
        <f t="shared" si="135"/>
        <v>1.3828867761452032E-2</v>
      </c>
      <c r="N123" s="16">
        <f t="shared" si="135"/>
        <v>3.6381761670944195E-2</v>
      </c>
      <c r="O123" s="16">
        <f>O122/O108</f>
        <v>4.5345221529316769E-2</v>
      </c>
      <c r="P123" s="16">
        <f t="shared" ref="P123:S123" si="136">P122/P108</f>
        <v>4.4483294483294487E-2</v>
      </c>
      <c r="Q123" s="16">
        <f t="shared" si="136"/>
        <v>4.2550500792499918E-2</v>
      </c>
      <c r="R123" s="16">
        <f t="shared" si="136"/>
        <v>9.3757107597442525E-3</v>
      </c>
      <c r="S123" s="16">
        <f t="shared" si="136"/>
        <v>3.5577407392821087E-2</v>
      </c>
      <c r="T123" s="16">
        <f>T122/T108</f>
        <v>5.0045495905368512E-2</v>
      </c>
      <c r="U123" s="16">
        <f t="shared" ref="U123:X123" si="137">U122/U108</f>
        <v>5.1364365971107551E-2</v>
      </c>
      <c r="V123" s="16">
        <f t="shared" si="137"/>
        <v>5.299380591878871E-2</v>
      </c>
      <c r="W123" s="16">
        <f t="shared" si="137"/>
        <v>1.7810026385224276E-2</v>
      </c>
      <c r="X123" s="16">
        <f t="shared" si="137"/>
        <v>4.1964621753857741E-2</v>
      </c>
      <c r="Y123" s="16">
        <f>Y122/Y108</f>
        <v>5.2092228864218569E-2</v>
      </c>
      <c r="Z123" s="16">
        <f t="shared" ref="Z123:AC123" si="138">Z122/Z108</f>
        <v>5.1217464315701046E-2</v>
      </c>
      <c r="AA123" s="16">
        <f t="shared" si="138"/>
        <v>4.8605577689242979E-2</v>
      </c>
      <c r="AB123" s="16">
        <f t="shared" si="138"/>
        <v>3.3117350611951001E-2</v>
      </c>
      <c r="AC123" s="16">
        <f t="shared" si="138"/>
        <v>4.5745105872952524E-2</v>
      </c>
      <c r="AD123" s="16">
        <f>AD122/AD108</f>
        <v>4.2242703533026005E-2</v>
      </c>
      <c r="AE123" s="16">
        <f t="shared" ref="AE123:AH123" si="139">AE122/AE108</f>
        <v>4.6951646811492567E-2</v>
      </c>
      <c r="AF123" s="16">
        <f t="shared" si="139"/>
        <v>4.3686006825938609E-2</v>
      </c>
      <c r="AG123" s="16">
        <f t="shared" si="139"/>
        <v>3.2825322391559171E-2</v>
      </c>
      <c r="AH123" s="16">
        <f t="shared" si="139"/>
        <v>4.1016949152542448E-2</v>
      </c>
      <c r="AI123" s="16">
        <f>AI122/AI108</f>
        <v>4.7808764940238974E-2</v>
      </c>
      <c r="AJ123" s="16">
        <f t="shared" ref="AJ123:AM123" si="140">AJ122/AJ108</f>
        <v>4.1722745625841107E-2</v>
      </c>
      <c r="AK123" s="16">
        <f t="shared" si="140"/>
        <v>4.2866282789507465E-2</v>
      </c>
      <c r="AL123" s="16">
        <f t="shared" si="140"/>
        <v>3.3405068944342038E-2</v>
      </c>
      <c r="AM123" s="16">
        <f t="shared" si="140"/>
        <v>4.1100877676756513E-2</v>
      </c>
      <c r="AN123" s="16">
        <f>AN122/AN108</f>
        <v>4.7740258478281859E-2</v>
      </c>
      <c r="AO123" s="16">
        <f t="shared" ref="AO123" si="141">AO122/AO108</f>
        <v>4.1802678659357093E-2</v>
      </c>
      <c r="AP123" s="16">
        <f>AP122/AP108</f>
        <v>4.291832467269021E-2</v>
      </c>
      <c r="AQ123" s="16">
        <f t="shared" ref="AQ123:AR123" si="142">AQ122/AQ108</f>
        <v>3.3687872140821577E-2</v>
      </c>
      <c r="AR123" s="16">
        <f t="shared" si="142"/>
        <v>4.119597822122581E-2</v>
      </c>
      <c r="AS123" s="16">
        <f>AS122/AS108</f>
        <v>4.7609769979316187E-2</v>
      </c>
      <c r="AT123" s="16">
        <f t="shared" ref="AT123" si="143">AT122/AT108</f>
        <v>4.1954932056530655E-2</v>
      </c>
      <c r="AU123" s="16">
        <f>AU122/AU108</f>
        <v>4.3017452069228856E-2</v>
      </c>
      <c r="AV123" s="16">
        <f t="shared" ref="AV123:AW123" si="144">AV122/AV108</f>
        <v>3.4226544896020492E-2</v>
      </c>
      <c r="AW123" s="16">
        <f t="shared" si="144"/>
        <v>4.1377122115453205E-2</v>
      </c>
      <c r="AX123" s="16">
        <f>AX122/AX108</f>
        <v>4.7509394210880795E-2</v>
      </c>
      <c r="AY123" s="16">
        <f t="shared" ref="AY123" si="145">AY122/AY108</f>
        <v>4.2072050054356443E-2</v>
      </c>
      <c r="AZ123" s="16">
        <f>AZ122/AZ108</f>
        <v>4.3093703912719931E-2</v>
      </c>
      <c r="BA123" s="16">
        <f t="shared" ref="BA123:BB123" si="146">BA122/BA108</f>
        <v>3.4640908553865875E-2</v>
      </c>
      <c r="BB123" s="16">
        <f t="shared" si="146"/>
        <v>4.1516463572551107E-2</v>
      </c>
      <c r="BC123" s="16">
        <f>BC122/BC108</f>
        <v>4.7436305059107647E-2</v>
      </c>
      <c r="BD123" s="16">
        <f t="shared" ref="BD123" si="147">BD122/BD108</f>
        <v>4.2157330149860603E-2</v>
      </c>
      <c r="BE123" s="16">
        <f>BE122/BE108</f>
        <v>4.3149227099728148E-2</v>
      </c>
      <c r="BF123" s="16">
        <f t="shared" ref="BF123:BG123" si="148">BF122/BF108</f>
        <v>3.4942629663947428E-2</v>
      </c>
      <c r="BG123" s="16">
        <f t="shared" si="148"/>
        <v>4.1617925798593365E-2</v>
      </c>
      <c r="BH123" s="16">
        <f>BH122/BH108</f>
        <v>4.7388534371674132E-2</v>
      </c>
      <c r="BI123" s="16">
        <f t="shared" ref="BI123" si="149">BI122/BI108</f>
        <v>4.22130687743731E-2</v>
      </c>
      <c r="BJ123" s="16">
        <f>BJ122/BJ108</f>
        <v>4.3185516764439304E-2</v>
      </c>
      <c r="BK123" s="16">
        <f t="shared" ref="BK123:BL123" si="150">BK122/BK108</f>
        <v>3.5139833003870101E-2</v>
      </c>
      <c r="BL123" s="16">
        <f t="shared" si="150"/>
        <v>4.1684240979013132E-2</v>
      </c>
    </row>
    <row r="124" spans="1:64">
      <c r="A124" s="1" t="s">
        <v>28</v>
      </c>
      <c r="O124" s="16">
        <f t="shared" ref="O124:BL124" si="151">O122/J122-1</f>
        <v>0.32305764411027549</v>
      </c>
      <c r="P124" s="16">
        <f t="shared" si="151"/>
        <v>0.29789163454998868</v>
      </c>
      <c r="Q124" s="16">
        <f t="shared" si="151"/>
        <v>1.9853087155052851E-3</v>
      </c>
      <c r="R124" s="16">
        <f t="shared" si="151"/>
        <v>-0.36181192660550454</v>
      </c>
      <c r="S124" s="16">
        <f t="shared" si="151"/>
        <v>0.13054933473850605</v>
      </c>
      <c r="T124" s="16">
        <f t="shared" si="151"/>
        <v>4.1863989391930367E-2</v>
      </c>
      <c r="U124" s="16">
        <f t="shared" si="151"/>
        <v>0.11790393013100453</v>
      </c>
      <c r="V124" s="16">
        <f t="shared" si="151"/>
        <v>0.52565880721220548</v>
      </c>
      <c r="W124" s="16">
        <f t="shared" si="151"/>
        <v>1.4258760107816713</v>
      </c>
      <c r="X124" s="16">
        <f t="shared" si="151"/>
        <v>0.29923094849685405</v>
      </c>
      <c r="Y124" s="16">
        <f t="shared" si="151"/>
        <v>0.10909090909090802</v>
      </c>
      <c r="Z124" s="16">
        <f t="shared" si="151"/>
        <v>-4.6875000000000888E-2</v>
      </c>
      <c r="AA124" s="16">
        <f t="shared" si="151"/>
        <v>-0.20779220779220853</v>
      </c>
      <c r="AB124" s="16">
        <f t="shared" si="151"/>
        <v>0.7037037037037015</v>
      </c>
      <c r="AC124" s="16">
        <f t="shared" si="151"/>
        <v>2.6905829596413966E-2</v>
      </c>
      <c r="AD124" s="16">
        <f t="shared" si="151"/>
        <v>-9.836065573770636E-2</v>
      </c>
      <c r="AE124" s="16">
        <f t="shared" si="151"/>
        <v>9.8360655737704139E-2</v>
      </c>
      <c r="AF124" s="16">
        <f t="shared" si="151"/>
        <v>4.918032786885429E-2</v>
      </c>
      <c r="AG124" s="16">
        <f t="shared" si="151"/>
        <v>0.21739130434782639</v>
      </c>
      <c r="AH124" s="16">
        <f t="shared" si="151"/>
        <v>5.6768558951965531E-2</v>
      </c>
      <c r="AI124" s="16">
        <f t="shared" si="151"/>
        <v>0.30909090909091042</v>
      </c>
      <c r="AJ124" s="16">
        <f t="shared" si="151"/>
        <v>-7.4626865671641895E-2</v>
      </c>
      <c r="AK124" s="16">
        <f t="shared" si="151"/>
        <v>4.6875000000001776E-2</v>
      </c>
      <c r="AL124" s="16">
        <f t="shared" si="151"/>
        <v>6.8544642857142124E-2</v>
      </c>
      <c r="AM124" s="16">
        <f t="shared" si="151"/>
        <v>7.7845041322311292E-2</v>
      </c>
      <c r="AN124" s="16">
        <f t="shared" si="151"/>
        <v>2.3531249999998671E-2</v>
      </c>
      <c r="AO124" s="16">
        <f t="shared" si="151"/>
        <v>2.6963709677417125E-2</v>
      </c>
      <c r="AP124" s="16">
        <f t="shared" si="151"/>
        <v>2.6244402985074577E-2</v>
      </c>
      <c r="AQ124" s="16">
        <f t="shared" si="151"/>
        <v>3.367752366787502E-2</v>
      </c>
      <c r="AR124" s="16">
        <f t="shared" si="151"/>
        <v>2.7371678260684762E-2</v>
      </c>
      <c r="AS124" s="16">
        <f t="shared" si="151"/>
        <v>4.7130033890028455E-2</v>
      </c>
      <c r="AT124" s="16">
        <f t="shared" si="151"/>
        <v>5.3824301986362233E-2</v>
      </c>
      <c r="AU124" s="16">
        <f t="shared" si="151"/>
        <v>5.2425159116982201E-2</v>
      </c>
      <c r="AV124" s="16">
        <f t="shared" si="151"/>
        <v>6.678961468965805E-2</v>
      </c>
      <c r="AW124" s="16">
        <f t="shared" si="151"/>
        <v>5.4616981976186363E-2</v>
      </c>
      <c r="AX124" s="16">
        <f t="shared" si="151"/>
        <v>3.7807366025541356E-2</v>
      </c>
      <c r="AY124" s="16">
        <f t="shared" si="151"/>
        <v>4.2903179954497439E-2</v>
      </c>
      <c r="AZ124" s="16">
        <f t="shared" si="151"/>
        <v>4.1843482433666646E-2</v>
      </c>
      <c r="BA124" s="16">
        <f t="shared" si="151"/>
        <v>5.259075975878913E-2</v>
      </c>
      <c r="BB124" s="16">
        <f t="shared" si="151"/>
        <v>4.3502300497783919E-2</v>
      </c>
      <c r="BC124" s="16">
        <f t="shared" si="151"/>
        <v>2.8415432830143361E-2</v>
      </c>
      <c r="BD124" s="16">
        <f t="shared" si="151"/>
        <v>3.208781122516724E-2</v>
      </c>
      <c r="BE124" s="16">
        <f t="shared" si="151"/>
        <v>3.1327082089167568E-2</v>
      </c>
      <c r="BF124" s="16">
        <f t="shared" si="151"/>
        <v>3.8971264217875667E-2</v>
      </c>
      <c r="BG124" s="16">
        <f t="shared" si="151"/>
        <v>3.2517220491116827E-2</v>
      </c>
      <c r="BH124" s="16">
        <f t="shared" si="151"/>
        <v>1.8972809936999457E-2</v>
      </c>
      <c r="BI124" s="16">
        <f t="shared" si="151"/>
        <v>2.1348600511480464E-2</v>
      </c>
      <c r="BJ124" s="16">
        <f t="shared" si="151"/>
        <v>2.0857847532699259E-2</v>
      </c>
      <c r="BK124" s="16">
        <f t="shared" si="151"/>
        <v>2.5756504552050474E-2</v>
      </c>
      <c r="BL124" s="16">
        <f t="shared" si="151"/>
        <v>2.1625296857789467E-2</v>
      </c>
    </row>
    <row r="126" spans="1:64" s="2" customFormat="1">
      <c r="A126" s="4" t="s">
        <v>1652</v>
      </c>
      <c r="T126" s="68"/>
      <c r="X126" s="68" t="s">
        <v>1744</v>
      </c>
    </row>
    <row r="128" spans="1:64">
      <c r="A128" s="1" t="s">
        <v>1401</v>
      </c>
      <c r="J128" s="375">
        <f>'Media &amp; EC'!J10</f>
        <v>231.1</v>
      </c>
      <c r="K128" s="375">
        <f>'Media &amp; EC'!K10</f>
        <v>232.69</v>
      </c>
      <c r="L128" s="375">
        <f>'Media &amp; EC'!L10</f>
        <v>244.29300000000001</v>
      </c>
      <c r="M128" s="375">
        <f>'Media &amp; EC'!M10</f>
        <v>246.34299999999999</v>
      </c>
      <c r="N128" s="375">
        <f>SUM(J128:M128)</f>
        <v>954.42599999999993</v>
      </c>
      <c r="O128" s="375">
        <f>'Media &amp; EC'!O10</f>
        <v>238.63399999999999</v>
      </c>
      <c r="P128" s="375">
        <f>'Media &amp; EC'!P10</f>
        <v>245.51</v>
      </c>
      <c r="Q128" s="375">
        <f>'Media &amp; EC'!Q10</f>
        <v>275.46899999999999</v>
      </c>
      <c r="R128" s="375">
        <f>'Media &amp; EC'!R10</f>
        <v>293.32900000000001</v>
      </c>
      <c r="S128" s="375">
        <f>SUM(O128:R128)</f>
        <v>1052.942</v>
      </c>
      <c r="T128" s="375">
        <f>'Media &amp; EC'!T10</f>
        <v>273.89999999999998</v>
      </c>
      <c r="U128" s="375">
        <f>'Media &amp; EC'!U10</f>
        <v>283.3</v>
      </c>
      <c r="V128" s="375">
        <f>'Media &amp; EC'!V10</f>
        <v>316.60000000000002</v>
      </c>
      <c r="W128" s="375">
        <f>'Media &amp; EC'!W10</f>
        <v>332</v>
      </c>
      <c r="X128" s="375">
        <f>SUM(T128:W128)</f>
        <v>1205.8000000000002</v>
      </c>
      <c r="Y128" s="375">
        <f>'Media &amp; EC'!Y10</f>
        <v>362.3</v>
      </c>
      <c r="Z128" s="375">
        <f>'Media &amp; EC'!Z10</f>
        <v>366.4</v>
      </c>
      <c r="AA128" s="375">
        <f>'Media &amp; EC'!AA10</f>
        <v>397.6</v>
      </c>
      <c r="AB128" s="375">
        <f>'Media &amp; EC'!AB10</f>
        <v>395.2</v>
      </c>
      <c r="AC128" s="375">
        <f>SUM(Y128:AB128)</f>
        <v>1521.5000000000002</v>
      </c>
      <c r="AD128" s="375">
        <f>'Media &amp; EC'!AD10</f>
        <v>378.1</v>
      </c>
      <c r="AE128" s="375">
        <f>'Media &amp; EC'!AE10</f>
        <v>381.8</v>
      </c>
      <c r="AF128" s="375">
        <f>'Media &amp; EC'!AF10</f>
        <v>409.7</v>
      </c>
      <c r="AG128" s="375">
        <f>'Media &amp; EC'!AG10</f>
        <v>392.1</v>
      </c>
      <c r="AH128" s="375">
        <f>SUM(AD128:AG128)</f>
        <v>1561.7000000000003</v>
      </c>
      <c r="AI128" s="375">
        <f>'Media &amp; EC'!AI10</f>
        <v>385.2</v>
      </c>
      <c r="AJ128" s="375">
        <f>'Media &amp; EC'!AJ10</f>
        <v>392.7</v>
      </c>
      <c r="AK128" s="375">
        <f>'Media &amp; EC'!AK10</f>
        <v>421.7</v>
      </c>
      <c r="AL128" s="375">
        <f>'Media &amp; EC'!AL10</f>
        <v>400.88094451901463</v>
      </c>
      <c r="AM128" s="375">
        <f>SUM(AI128:AL128)</f>
        <v>1600.4809445190144</v>
      </c>
      <c r="AN128" s="375">
        <f>'Media &amp; EC'!AN10</f>
        <v>388.74391989747346</v>
      </c>
      <c r="AO128" s="375">
        <f>'Media &amp; EC'!AO10</f>
        <v>402.29271477322015</v>
      </c>
      <c r="AP128" s="375">
        <f>'Media &amp; EC'!AP10</f>
        <v>424.86173778192705</v>
      </c>
      <c r="AQ128" s="375">
        <f>'Media &amp; EC'!AQ10</f>
        <v>404.24012143351621</v>
      </c>
      <c r="AR128" s="375">
        <f>SUM(AN128:AQ128)</f>
        <v>1620.1384938861368</v>
      </c>
      <c r="AS128" s="375">
        <f>'Media &amp; EC'!AS10</f>
        <v>394.24512191201154</v>
      </c>
      <c r="AT128" s="375">
        <f>'Media &amp; EC'!AT10</f>
        <v>410.62694156139946</v>
      </c>
      <c r="AU128" s="375">
        <f>'Media &amp; EC'!AU10</f>
        <v>433.08256408919749</v>
      </c>
      <c r="AV128" s="375">
        <f>'Media &amp; EC'!AV10</f>
        <v>415.2154063336726</v>
      </c>
      <c r="AW128" s="375">
        <f>SUM(AS128:AV128)</f>
        <v>1653.170033896281</v>
      </c>
      <c r="AX128" s="375">
        <f>'Media &amp; EC'!AX10</f>
        <v>405.82269728244501</v>
      </c>
      <c r="AY128" s="375">
        <f>'Media &amp; EC'!AY10</f>
        <v>420.42688324552535</v>
      </c>
      <c r="AZ128" s="375">
        <f>'Media &amp; EC'!AZ10</f>
        <v>446.36211548645895</v>
      </c>
      <c r="BA128" s="375">
        <f>'Media &amp; EC'!BA10</f>
        <v>426.06250416119605</v>
      </c>
      <c r="BB128" s="375">
        <f>SUM(AX128:BA128)</f>
        <v>1698.6742001756254</v>
      </c>
      <c r="BC128" s="375">
        <f>'Media &amp; EC'!BC10</f>
        <v>417.91324338318725</v>
      </c>
      <c r="BD128" s="375">
        <f>'Media &amp; EC'!BD10</f>
        <v>433.45724922879089</v>
      </c>
      <c r="BE128" s="375">
        <f>'Media &amp; EC'!BE10</f>
        <v>459.08307704452301</v>
      </c>
      <c r="BF128" s="375">
        <f>'Media &amp; EC'!BF10</f>
        <v>439.19346445909758</v>
      </c>
      <c r="BG128" s="375">
        <f>SUM(BC128:BF128)</f>
        <v>1749.6470341155987</v>
      </c>
      <c r="BH128" s="375">
        <f>'Media &amp; EC'!BH10</f>
        <v>430.87957099000289</v>
      </c>
      <c r="BI128" s="375">
        <f>'Media &amp; EC'!BI10</f>
        <v>445.59877813052844</v>
      </c>
      <c r="BJ128" s="375">
        <f>'Media &amp; EC'!BJ10</f>
        <v>472.69342354054339</v>
      </c>
      <c r="BK128" s="375">
        <f>'Media &amp; EC'!BK10</f>
        <v>451.47138386994231</v>
      </c>
      <c r="BL128" s="375">
        <f>SUM(BH128:BK128)</f>
        <v>1800.6431565310172</v>
      </c>
    </row>
    <row r="129" spans="1:64">
      <c r="A129" s="1" t="s">
        <v>28</v>
      </c>
      <c r="O129" s="16">
        <f t="shared" ref="O129:BL129" si="152">O128/J128-1</f>
        <v>3.2600605798355664E-2</v>
      </c>
      <c r="P129" s="16">
        <f t="shared" si="152"/>
        <v>5.5094761270359616E-2</v>
      </c>
      <c r="Q129" s="16">
        <f t="shared" si="152"/>
        <v>0.12761724650317441</v>
      </c>
      <c r="R129" s="16">
        <f t="shared" si="152"/>
        <v>0.19073405779746144</v>
      </c>
      <c r="S129" s="16">
        <f t="shared" si="152"/>
        <v>0.10322015536039464</v>
      </c>
      <c r="T129" s="16">
        <f t="shared" si="152"/>
        <v>0.14778279708675202</v>
      </c>
      <c r="U129" s="16">
        <f t="shared" si="152"/>
        <v>0.15392448372775047</v>
      </c>
      <c r="V129" s="16">
        <f t="shared" si="152"/>
        <v>0.14931262682915336</v>
      </c>
      <c r="W129" s="16">
        <f t="shared" si="152"/>
        <v>0.13183490210650839</v>
      </c>
      <c r="X129" s="16">
        <f t="shared" si="152"/>
        <v>0.14517228869206478</v>
      </c>
      <c r="Y129" s="16">
        <f t="shared" si="152"/>
        <v>0.32274552756480479</v>
      </c>
      <c r="Z129" s="16">
        <f t="shared" si="152"/>
        <v>0.2933286268972819</v>
      </c>
      <c r="AA129" s="16">
        <f t="shared" si="152"/>
        <v>0.2558433354390397</v>
      </c>
      <c r="AB129" s="16">
        <f t="shared" si="152"/>
        <v>0.19036144578313241</v>
      </c>
      <c r="AC129" s="16">
        <f t="shared" si="152"/>
        <v>0.26181788024548025</v>
      </c>
      <c r="AD129" s="16">
        <f t="shared" si="152"/>
        <v>4.3610267733922292E-2</v>
      </c>
      <c r="AE129" s="16">
        <f t="shared" si="152"/>
        <v>4.2030567685589659E-2</v>
      </c>
      <c r="AF129" s="16">
        <f t="shared" si="152"/>
        <v>3.043259557344058E-2</v>
      </c>
      <c r="AG129" s="16">
        <f t="shared" si="152"/>
        <v>-7.8441295546557432E-3</v>
      </c>
      <c r="AH129" s="16">
        <f t="shared" si="152"/>
        <v>2.6421294774893189E-2</v>
      </c>
      <c r="AI129" s="16">
        <f t="shared" si="152"/>
        <v>1.8778101031473149E-2</v>
      </c>
      <c r="AJ129" s="16">
        <f t="shared" si="152"/>
        <v>2.8548978522786816E-2</v>
      </c>
      <c r="AK129" s="16">
        <f t="shared" si="152"/>
        <v>2.9289724188430455E-2</v>
      </c>
      <c r="AL129" s="16">
        <f t="shared" si="152"/>
        <v>2.2394655748570802E-2</v>
      </c>
      <c r="AM129" s="16">
        <f t="shared" si="152"/>
        <v>2.4832518741764842E-2</v>
      </c>
      <c r="AN129" s="16">
        <f t="shared" si="152"/>
        <v>9.200207418155415E-3</v>
      </c>
      <c r="AO129" s="16">
        <f t="shared" si="152"/>
        <v>2.442759045892573E-2</v>
      </c>
      <c r="AP129" s="16">
        <f t="shared" si="152"/>
        <v>7.4975996725801242E-3</v>
      </c>
      <c r="AQ129" s="16">
        <f t="shared" si="152"/>
        <v>8.3794876270111285E-3</v>
      </c>
      <c r="AR129" s="16">
        <f t="shared" si="152"/>
        <v>1.2282276420997995E-2</v>
      </c>
      <c r="AS129" s="16">
        <f t="shared" si="152"/>
        <v>1.4151223293701776E-2</v>
      </c>
      <c r="AT129" s="16">
        <f t="shared" si="152"/>
        <v>2.0716822557618197E-2</v>
      </c>
      <c r="AU129" s="16">
        <f t="shared" si="152"/>
        <v>1.9349415530306002E-2</v>
      </c>
      <c r="AV129" s="16">
        <f t="shared" si="152"/>
        <v>2.7150409665512187E-2</v>
      </c>
      <c r="AW129" s="16">
        <f t="shared" si="152"/>
        <v>2.0388096532978128E-2</v>
      </c>
      <c r="AX129" s="16">
        <f t="shared" si="152"/>
        <v>2.9366439118598375E-2</v>
      </c>
      <c r="AY129" s="16">
        <f t="shared" si="152"/>
        <v>2.3865802976448247E-2</v>
      </c>
      <c r="AZ129" s="16">
        <f t="shared" si="152"/>
        <v>3.0662863154487185E-2</v>
      </c>
      <c r="BA129" s="16">
        <f t="shared" si="152"/>
        <v>2.6124025414429264E-2</v>
      </c>
      <c r="BB129" s="16">
        <f t="shared" si="152"/>
        <v>2.7525399896160652E-2</v>
      </c>
      <c r="BC129" s="16">
        <f t="shared" si="152"/>
        <v>2.9792680847339215E-2</v>
      </c>
      <c r="BD129" s="16">
        <f t="shared" si="152"/>
        <v>3.099317979544125E-2</v>
      </c>
      <c r="BE129" s="16">
        <f t="shared" si="152"/>
        <v>2.8499196317770759E-2</v>
      </c>
      <c r="BF129" s="16">
        <f t="shared" si="152"/>
        <v>3.0819328548408409E-2</v>
      </c>
      <c r="BG129" s="16">
        <f t="shared" si="152"/>
        <v>3.0007422220637237E-2</v>
      </c>
      <c r="BH129" s="16">
        <f t="shared" si="152"/>
        <v>3.1026362078999004E-2</v>
      </c>
      <c r="BI129" s="16">
        <f t="shared" si="152"/>
        <v>2.8010902859139764E-2</v>
      </c>
      <c r="BJ129" s="16">
        <f t="shared" si="152"/>
        <v>2.9646805069881488E-2</v>
      </c>
      <c r="BK129" s="16">
        <f t="shared" si="152"/>
        <v>2.7955605910406689E-2</v>
      </c>
      <c r="BL129" s="16">
        <f t="shared" si="152"/>
        <v>2.9146520081517968E-2</v>
      </c>
    </row>
    <row r="131" spans="1:64" s="79" customFormat="1">
      <c r="A131" s="165" t="s">
        <v>1723</v>
      </c>
      <c r="J131" s="379">
        <f>J133-J132</f>
        <v>179.44599999999997</v>
      </c>
      <c r="K131" s="379">
        <f>K133-K132</f>
        <v>181.38800000000001</v>
      </c>
      <c r="L131" s="379">
        <f>L133-L132</f>
        <v>192.54900000000004</v>
      </c>
      <c r="M131" s="379">
        <f>M133-M132</f>
        <v>213.01300000000001</v>
      </c>
      <c r="N131" s="379">
        <f>SUM(J131:M131)</f>
        <v>766.39600000000007</v>
      </c>
      <c r="O131" s="379">
        <f>O133-O132</f>
        <v>184.64499999999998</v>
      </c>
      <c r="P131" s="379">
        <f>P133-P132</f>
        <v>187.68499999999997</v>
      </c>
      <c r="Q131" s="379">
        <f>Q133-Q132</f>
        <v>205.411</v>
      </c>
      <c r="R131" s="379">
        <f>R133-R132</f>
        <v>239.71600000000004</v>
      </c>
      <c r="S131" s="379">
        <f>SUM(O131:R131)</f>
        <v>817.45699999999999</v>
      </c>
      <c r="T131" s="379">
        <f>T133-T132</f>
        <v>198.6</v>
      </c>
      <c r="U131" s="379">
        <f>U133-U132</f>
        <v>211.60000000000002</v>
      </c>
      <c r="V131" s="379">
        <f>V133-V132</f>
        <v>247.00000000000003</v>
      </c>
      <c r="W131" s="379">
        <f>W133-W132</f>
        <v>284.70000000000005</v>
      </c>
      <c r="X131" s="379">
        <f>SUM(T131:W131)</f>
        <v>941.90000000000009</v>
      </c>
      <c r="Y131" s="379">
        <f>Y133-Y132</f>
        <v>282.8</v>
      </c>
      <c r="Z131" s="379">
        <f>Z133-Z132</f>
        <v>271.5</v>
      </c>
      <c r="AA131" s="379">
        <f>AA133-AA132</f>
        <v>308</v>
      </c>
      <c r="AB131" s="379">
        <f>AB133-AB132</f>
        <v>348.6</v>
      </c>
      <c r="AC131" s="379">
        <f>SUM(Y131:AB131)</f>
        <v>1210.9000000000001</v>
      </c>
      <c r="AD131" s="379">
        <f>AD133-AD132</f>
        <v>296.20000000000005</v>
      </c>
      <c r="AE131" s="379">
        <f>AE133-AE132</f>
        <v>301</v>
      </c>
      <c r="AF131" s="379">
        <f>AF133-AF132</f>
        <v>327.7</v>
      </c>
      <c r="AG131" s="379">
        <f>AG133-AG132</f>
        <v>317.10000000000002</v>
      </c>
      <c r="AH131" s="379">
        <f>SUM(AD131:AG131)</f>
        <v>1242</v>
      </c>
      <c r="AI131" s="379">
        <f>AI133-AI132</f>
        <v>288.5</v>
      </c>
      <c r="AJ131" s="379">
        <f>AJ133-AJ132</f>
        <v>297.7</v>
      </c>
      <c r="AK131" s="379">
        <f>AK133-AK132</f>
        <v>326.39999999999998</v>
      </c>
      <c r="AL131" s="379">
        <f>AL128-AL145</f>
        <v>323.68570838926098</v>
      </c>
      <c r="AM131" s="379">
        <f>SUM(AI131:AL131)</f>
        <v>1236.2857083892609</v>
      </c>
      <c r="AN131" s="379">
        <f>AN128-AN145</f>
        <v>290.62635193848405</v>
      </c>
      <c r="AO131" s="379">
        <f>AO128-AO145</f>
        <v>303.45562886393208</v>
      </c>
      <c r="AP131" s="379">
        <f>AP128-AP145</f>
        <v>328.29704266915621</v>
      </c>
      <c r="AQ131" s="379">
        <f>AQ128-AQ145</f>
        <v>325.70121453796196</v>
      </c>
      <c r="AR131" s="379">
        <f>SUM(AN131:AQ131)</f>
        <v>1248.0802380095342</v>
      </c>
      <c r="AS131" s="379">
        <f>AS128-AS145</f>
        <v>293.78954309684349</v>
      </c>
      <c r="AT131" s="379">
        <f>AT128-AT145</f>
        <v>308.24780926713521</v>
      </c>
      <c r="AU131" s="379">
        <f>AU128-AU145</f>
        <v>333.0240177958367</v>
      </c>
      <c r="AV131" s="379">
        <f>AV128-AV145</f>
        <v>332.01200335555188</v>
      </c>
      <c r="AW131" s="379">
        <f>SUM(AS131:AV131)</f>
        <v>1267.0733735153672</v>
      </c>
      <c r="AX131" s="379">
        <f>AX128-AX145</f>
        <v>300.15720955058191</v>
      </c>
      <c r="AY131" s="379">
        <f>AY128-AY145</f>
        <v>313.63777719340442</v>
      </c>
      <c r="AZ131" s="379">
        <f>AZ128-AZ145</f>
        <v>340.32777106433053</v>
      </c>
      <c r="BA131" s="379">
        <f>BA128-BA145</f>
        <v>337.97790716068977</v>
      </c>
      <c r="BB131" s="379">
        <f>SUM(AX131:BA131)</f>
        <v>1292.1006649690066</v>
      </c>
      <c r="BC131" s="379">
        <f>BC128-BC145</f>
        <v>306.50474625347158</v>
      </c>
      <c r="BD131" s="379">
        <f>BD128-BD145</f>
        <v>320.47871933461886</v>
      </c>
      <c r="BE131" s="379">
        <f>BE128-BE145</f>
        <v>347.00627588231418</v>
      </c>
      <c r="BF131" s="379">
        <f>BF128-BF145</f>
        <v>344.87166131708807</v>
      </c>
      <c r="BG131" s="379">
        <f>SUM(BC131:BF131)</f>
        <v>1318.8614027874928</v>
      </c>
      <c r="BH131" s="379">
        <f>BH128-BH145</f>
        <v>312.9879100568794</v>
      </c>
      <c r="BI131" s="379">
        <f>BI128-BI145</f>
        <v>326.54948378548761</v>
      </c>
      <c r="BJ131" s="379">
        <f>BJ128-BJ145</f>
        <v>353.81144913032438</v>
      </c>
      <c r="BK131" s="379">
        <f>BK128-BK145</f>
        <v>351.01062102251041</v>
      </c>
      <c r="BL131" s="379">
        <f>SUM(BH131:BK131)</f>
        <v>1344.3594639952018</v>
      </c>
    </row>
    <row r="132" spans="1:64" s="79" customFormat="1">
      <c r="A132" s="165" t="s">
        <v>1114</v>
      </c>
      <c r="J132" s="376">
        <v>12.311999999999999</v>
      </c>
      <c r="K132" s="376">
        <v>12.635</v>
      </c>
      <c r="L132" s="376">
        <v>13.563000000000001</v>
      </c>
      <c r="M132" s="376">
        <v>13.599</v>
      </c>
      <c r="N132" s="379">
        <f>SUM(J132:M132)</f>
        <v>52.108999999999995</v>
      </c>
      <c r="O132" s="376">
        <v>17.824999999999999</v>
      </c>
      <c r="P132" s="376">
        <v>18.327999999999999</v>
      </c>
      <c r="Q132" s="376">
        <v>22.177</v>
      </c>
      <c r="R132" s="376">
        <v>24.879000000000001</v>
      </c>
      <c r="S132" s="379">
        <f>SUM(O132:R132)</f>
        <v>83.209000000000003</v>
      </c>
      <c r="T132" s="376">
        <v>24.7</v>
      </c>
      <c r="U132" s="376">
        <v>24.1</v>
      </c>
      <c r="V132" s="376">
        <v>25.6</v>
      </c>
      <c r="W132" s="376">
        <v>27.4</v>
      </c>
      <c r="X132" s="379">
        <f>SUM(T132:W132)</f>
        <v>101.80000000000001</v>
      </c>
      <c r="Y132" s="376">
        <v>37.5</v>
      </c>
      <c r="Z132" s="376">
        <v>37.1</v>
      </c>
      <c r="AA132" s="376">
        <v>37.200000000000003</v>
      </c>
      <c r="AB132" s="376">
        <v>39.200000000000003</v>
      </c>
      <c r="AC132" s="379">
        <f>SUM(Y132:AB132)</f>
        <v>151</v>
      </c>
      <c r="AD132" s="376">
        <v>38.9</v>
      </c>
      <c r="AE132" s="376">
        <v>38.6</v>
      </c>
      <c r="AF132" s="376">
        <v>40.299999999999997</v>
      </c>
      <c r="AG132" s="376">
        <v>42.2</v>
      </c>
      <c r="AH132" s="379">
        <f>SUM(AD132:AG132)</f>
        <v>160</v>
      </c>
      <c r="AI132" s="376">
        <v>40.5</v>
      </c>
      <c r="AJ132" s="376">
        <v>42.1</v>
      </c>
      <c r="AK132" s="376">
        <v>40.799999999999997</v>
      </c>
      <c r="AL132" s="379">
        <f>AG132*(1+AL142)</f>
        <v>43.677</v>
      </c>
      <c r="AM132" s="379">
        <f>SUM(AI132:AL132)</f>
        <v>167.077</v>
      </c>
      <c r="AN132" s="379">
        <f>AI132*(1+AN142)</f>
        <v>41.715000000000003</v>
      </c>
      <c r="AO132" s="379">
        <f>AJ132*(1+AO142)</f>
        <v>43.363</v>
      </c>
      <c r="AP132" s="379">
        <f>AK132*(1+AP142)</f>
        <v>42.024000000000001</v>
      </c>
      <c r="AQ132" s="379">
        <f>AL132*(1+AQ142)</f>
        <v>44.987310000000001</v>
      </c>
      <c r="AR132" s="379">
        <f>SUM(AN132:AQ132)</f>
        <v>172.08931000000001</v>
      </c>
      <c r="AS132" s="379">
        <f>AN132*(1+AS142)</f>
        <v>42.6535875</v>
      </c>
      <c r="AT132" s="379">
        <f>AO132*(1+AT142)</f>
        <v>44.3386675</v>
      </c>
      <c r="AU132" s="379">
        <f>AP132*(1+AU142)</f>
        <v>42.969540000000002</v>
      </c>
      <c r="AV132" s="379">
        <f>AQ132*(1+AV142)</f>
        <v>45.999524475000001</v>
      </c>
      <c r="AW132" s="379">
        <f>SUM(AS132:AV132)</f>
        <v>175.96131947499998</v>
      </c>
      <c r="AX132" s="379">
        <f>AS132*(1+AX142)</f>
        <v>43.293391312499999</v>
      </c>
      <c r="AY132" s="379">
        <f>AT132*(1+AY142)</f>
        <v>45.003747512499999</v>
      </c>
      <c r="AZ132" s="379">
        <f>AU132*(1+AZ142)</f>
        <v>43.614083099999995</v>
      </c>
      <c r="BA132" s="379">
        <f>AV132*(1+BA142)</f>
        <v>46.689517342124994</v>
      </c>
      <c r="BB132" s="379">
        <f>SUM(AX132:BA132)</f>
        <v>178.60073926712496</v>
      </c>
      <c r="BC132" s="379">
        <f>AX132*(1+BC142)</f>
        <v>43.618091747343755</v>
      </c>
      <c r="BD132" s="379">
        <f>AY132*(1+BD142)</f>
        <v>45.341275618843753</v>
      </c>
      <c r="BE132" s="379">
        <f>AZ132*(1+BE142)</f>
        <v>43.941188723250001</v>
      </c>
      <c r="BF132" s="379">
        <f>BA132*(1+BF142)</f>
        <v>47.039688722190931</v>
      </c>
      <c r="BG132" s="379">
        <f>SUM(BC132:BF132)</f>
        <v>179.94024481162845</v>
      </c>
      <c r="BH132" s="379">
        <f>BC132*(1+BH142)</f>
        <v>43.618091747343755</v>
      </c>
      <c r="BI132" s="379">
        <f>BD132*(1+BI142)</f>
        <v>45.341275618843753</v>
      </c>
      <c r="BJ132" s="379">
        <f>BE132*(1+BJ142)</f>
        <v>43.941188723250001</v>
      </c>
      <c r="BK132" s="379">
        <f>BF132*(1+BK142)</f>
        <v>47.039688722190931</v>
      </c>
      <c r="BL132" s="379">
        <f>SUM(BH132:BK132)</f>
        <v>179.94024481162845</v>
      </c>
    </row>
    <row r="133" spans="1:64" s="79" customFormat="1">
      <c r="A133" s="402" t="s">
        <v>1724</v>
      </c>
      <c r="B133" s="314"/>
      <c r="C133" s="314"/>
      <c r="D133" s="314"/>
      <c r="E133" s="314"/>
      <c r="F133" s="314"/>
      <c r="G133" s="314"/>
      <c r="H133" s="314"/>
      <c r="I133" s="314"/>
      <c r="J133" s="378">
        <f>J128-J151</f>
        <v>191.75799999999998</v>
      </c>
      <c r="K133" s="378">
        <f>K128-K151</f>
        <v>194.023</v>
      </c>
      <c r="L133" s="378">
        <f>L128-L151</f>
        <v>206.11200000000002</v>
      </c>
      <c r="M133" s="378">
        <f>M128-M151</f>
        <v>226.61199999999999</v>
      </c>
      <c r="N133" s="403">
        <f>SUM(J133:M133)</f>
        <v>818.505</v>
      </c>
      <c r="O133" s="378">
        <f>O128-O151</f>
        <v>202.46999999999997</v>
      </c>
      <c r="P133" s="378">
        <f>P128-P151</f>
        <v>206.01299999999998</v>
      </c>
      <c r="Q133" s="378">
        <f>Q128-Q151</f>
        <v>227.58799999999999</v>
      </c>
      <c r="R133" s="378">
        <f>R128-R151</f>
        <v>264.59500000000003</v>
      </c>
      <c r="S133" s="403">
        <f>SUM(O133:R133)</f>
        <v>900.66599999999994</v>
      </c>
      <c r="T133" s="378">
        <f>T128-T151</f>
        <v>223.29999999999998</v>
      </c>
      <c r="U133" s="378">
        <f>U128-U151</f>
        <v>235.70000000000002</v>
      </c>
      <c r="V133" s="378">
        <f>V128-V151</f>
        <v>272.60000000000002</v>
      </c>
      <c r="W133" s="378">
        <f>W128-W151</f>
        <v>312.10000000000002</v>
      </c>
      <c r="X133" s="403">
        <f>SUM(T133:W133)</f>
        <v>1043.7</v>
      </c>
      <c r="Y133" s="395">
        <v>320.3</v>
      </c>
      <c r="Z133" s="395">
        <v>308.60000000000002</v>
      </c>
      <c r="AA133" s="395">
        <v>345.2</v>
      </c>
      <c r="AB133" s="395">
        <v>387.8</v>
      </c>
      <c r="AC133" s="403">
        <f>SUM(Y133:AB133)</f>
        <v>1361.9</v>
      </c>
      <c r="AD133" s="395">
        <v>335.1</v>
      </c>
      <c r="AE133" s="395">
        <v>339.6</v>
      </c>
      <c r="AF133" s="395">
        <v>368</v>
      </c>
      <c r="AG133" s="395">
        <v>359.3</v>
      </c>
      <c r="AH133" s="403">
        <f>SUM(AD133:AG133)</f>
        <v>1402</v>
      </c>
      <c r="AI133" s="395">
        <v>329</v>
      </c>
      <c r="AJ133" s="395">
        <v>339.8</v>
      </c>
      <c r="AK133" s="395">
        <v>367.2</v>
      </c>
      <c r="AL133" s="403">
        <f t="shared" ref="AL133:BL133" si="153">SUM(AL131:AL132)</f>
        <v>367.362708389261</v>
      </c>
      <c r="AM133" s="403">
        <f t="shared" si="153"/>
        <v>1403.3627083892609</v>
      </c>
      <c r="AN133" s="403">
        <f t="shared" si="153"/>
        <v>332.34135193848408</v>
      </c>
      <c r="AO133" s="403">
        <f t="shared" si="153"/>
        <v>346.81862886393208</v>
      </c>
      <c r="AP133" s="403">
        <f t="shared" si="153"/>
        <v>370.32104266915621</v>
      </c>
      <c r="AQ133" s="403">
        <f t="shared" si="153"/>
        <v>370.68852453796194</v>
      </c>
      <c r="AR133" s="403">
        <f t="shared" si="153"/>
        <v>1420.1695480095343</v>
      </c>
      <c r="AS133" s="403">
        <f t="shared" si="153"/>
        <v>336.4431305968435</v>
      </c>
      <c r="AT133" s="403">
        <f t="shared" si="153"/>
        <v>352.5864767671352</v>
      </c>
      <c r="AU133" s="403">
        <f t="shared" si="153"/>
        <v>375.99355779583669</v>
      </c>
      <c r="AV133" s="403">
        <f t="shared" si="153"/>
        <v>378.01152783055187</v>
      </c>
      <c r="AW133" s="403">
        <f t="shared" si="153"/>
        <v>1443.0346929903671</v>
      </c>
      <c r="AX133" s="403">
        <f t="shared" si="153"/>
        <v>343.45060086308189</v>
      </c>
      <c r="AY133" s="403">
        <f t="shared" si="153"/>
        <v>358.64152470590443</v>
      </c>
      <c r="AZ133" s="403">
        <f t="shared" si="153"/>
        <v>383.94185416433055</v>
      </c>
      <c r="BA133" s="403">
        <f t="shared" si="153"/>
        <v>384.66742450281475</v>
      </c>
      <c r="BB133" s="403">
        <f t="shared" si="153"/>
        <v>1470.7014042361316</v>
      </c>
      <c r="BC133" s="403">
        <f t="shared" si="153"/>
        <v>350.12283800081536</v>
      </c>
      <c r="BD133" s="403">
        <f t="shared" si="153"/>
        <v>365.81999495346258</v>
      </c>
      <c r="BE133" s="403">
        <f t="shared" si="153"/>
        <v>390.94746460556416</v>
      </c>
      <c r="BF133" s="403">
        <f t="shared" si="153"/>
        <v>391.911350039279</v>
      </c>
      <c r="BG133" s="403">
        <f t="shared" si="153"/>
        <v>1498.8016475991212</v>
      </c>
      <c r="BH133" s="403">
        <f t="shared" si="153"/>
        <v>356.60600180422318</v>
      </c>
      <c r="BI133" s="403">
        <f t="shared" si="153"/>
        <v>371.89075940433133</v>
      </c>
      <c r="BJ133" s="403">
        <f t="shared" si="153"/>
        <v>397.75263785357436</v>
      </c>
      <c r="BK133" s="403">
        <f t="shared" si="153"/>
        <v>398.05030974470134</v>
      </c>
      <c r="BL133" s="403">
        <f t="shared" si="153"/>
        <v>1524.2997088068303</v>
      </c>
    </row>
    <row r="135" spans="1:64">
      <c r="A135" s="3" t="s">
        <v>1745</v>
      </c>
    </row>
    <row r="136" spans="1:64">
      <c r="A136" s="165" t="s">
        <v>1723</v>
      </c>
      <c r="J136" s="21">
        <f>J131/J$128</f>
        <v>0.7764863695369969</v>
      </c>
      <c r="K136" s="21">
        <f t="shared" ref="K136:N138" si="154">K131/K$128</f>
        <v>0.77952640852636557</v>
      </c>
      <c r="L136" s="21">
        <f t="shared" si="154"/>
        <v>0.78818877331728721</v>
      </c>
      <c r="M136" s="21">
        <f t="shared" si="154"/>
        <v>0.86470084394523095</v>
      </c>
      <c r="N136" s="21">
        <f t="shared" si="154"/>
        <v>0.80299153627415865</v>
      </c>
      <c r="O136" s="21">
        <f>O131/O$128</f>
        <v>0.77375814008062549</v>
      </c>
      <c r="P136" s="21">
        <f t="shared" ref="P136:S138" si="155">P131/P$128</f>
        <v>0.76446987902733077</v>
      </c>
      <c r="Q136" s="21">
        <f t="shared" si="155"/>
        <v>0.74567737204549334</v>
      </c>
      <c r="R136" s="21">
        <f t="shared" si="155"/>
        <v>0.81722570901615599</v>
      </c>
      <c r="S136" s="21">
        <f t="shared" si="155"/>
        <v>0.77635520285067927</v>
      </c>
      <c r="T136" s="21">
        <f>T131/T$128</f>
        <v>0.72508214676889382</v>
      </c>
      <c r="U136" s="21">
        <f t="shared" ref="U136:X138" si="156">U131/U$128</f>
        <v>0.74691140134133438</v>
      </c>
      <c r="V136" s="21">
        <f t="shared" si="156"/>
        <v>0.78016424510423255</v>
      </c>
      <c r="W136" s="21">
        <f t="shared" si="156"/>
        <v>0.85753012048192789</v>
      </c>
      <c r="X136" s="21">
        <f t="shared" si="156"/>
        <v>0.78114115110300208</v>
      </c>
      <c r="Y136" s="21">
        <f>Y131/Y$128</f>
        <v>0.78056858956665742</v>
      </c>
      <c r="Z136" s="21">
        <f t="shared" ref="Z136:AC138" si="157">Z131/Z$128</f>
        <v>0.74099344978165949</v>
      </c>
      <c r="AA136" s="21">
        <f t="shared" si="157"/>
        <v>0.77464788732394363</v>
      </c>
      <c r="AB136" s="21">
        <f t="shared" si="157"/>
        <v>0.88208502024291502</v>
      </c>
      <c r="AC136" s="21">
        <f t="shared" si="157"/>
        <v>0.79585934932632263</v>
      </c>
      <c r="AD136" s="21">
        <f>AD131/AD$128</f>
        <v>0.78339063739751391</v>
      </c>
      <c r="AE136" s="21">
        <f t="shared" ref="AE136:BL138" si="158">AE131/AE$128</f>
        <v>0.78837087480356205</v>
      </c>
      <c r="AF136" s="21">
        <f t="shared" si="158"/>
        <v>0.79985355137905789</v>
      </c>
      <c r="AG136" s="21">
        <f t="shared" si="158"/>
        <v>0.8087222647283856</v>
      </c>
      <c r="AH136" s="21">
        <f t="shared" si="158"/>
        <v>0.7952871870397642</v>
      </c>
      <c r="AI136" s="21">
        <f t="shared" si="158"/>
        <v>0.74896157840083077</v>
      </c>
      <c r="AJ136" s="21">
        <f t="shared" si="158"/>
        <v>0.75808505220269928</v>
      </c>
      <c r="AK136" s="21">
        <f t="shared" si="158"/>
        <v>0.77400995968698127</v>
      </c>
      <c r="AL136" s="21">
        <f t="shared" si="158"/>
        <v>0.80743600516513925</v>
      </c>
      <c r="AM136" s="21">
        <f t="shared" si="158"/>
        <v>0.77244637783600512</v>
      </c>
      <c r="AN136" s="21">
        <f t="shared" si="158"/>
        <v>0.74760359471379834</v>
      </c>
      <c r="AO136" s="21">
        <f t="shared" si="158"/>
        <v>0.75431549645385854</v>
      </c>
      <c r="AP136" s="21">
        <f t="shared" si="158"/>
        <v>0.77271501167201939</v>
      </c>
      <c r="AQ136" s="21">
        <f t="shared" si="158"/>
        <v>0.80571224197875357</v>
      </c>
      <c r="AR136" s="21">
        <f t="shared" si="158"/>
        <v>0.77035404239784033</v>
      </c>
      <c r="AS136" s="21">
        <f t="shared" si="158"/>
        <v>0.74519512548949696</v>
      </c>
      <c r="AT136" s="21">
        <f t="shared" si="158"/>
        <v>0.75067604696133683</v>
      </c>
      <c r="AU136" s="21">
        <f t="shared" si="158"/>
        <v>0.7689619610898194</v>
      </c>
      <c r="AV136" s="21">
        <f t="shared" si="158"/>
        <v>0.79961388303771808</v>
      </c>
      <c r="AW136" s="21">
        <f t="shared" si="158"/>
        <v>0.7664507265045567</v>
      </c>
      <c r="AX136" s="21">
        <f t="shared" si="158"/>
        <v>0.73962647126579539</v>
      </c>
      <c r="AY136" s="21">
        <f t="shared" si="158"/>
        <v>0.74599838804847052</v>
      </c>
      <c r="AZ136" s="21">
        <f t="shared" si="158"/>
        <v>0.76244770614869728</v>
      </c>
      <c r="BA136" s="21">
        <f t="shared" si="158"/>
        <v>0.79325897928070088</v>
      </c>
      <c r="BB136" s="21">
        <f t="shared" si="158"/>
        <v>0.76065243401908189</v>
      </c>
      <c r="BC136" s="21">
        <f t="shared" si="158"/>
        <v>0.73341716518046662</v>
      </c>
      <c r="BD136" s="21">
        <f t="shared" si="158"/>
        <v>0.73935484965314591</v>
      </c>
      <c r="BE136" s="21">
        <f t="shared" si="158"/>
        <v>0.75586814943444469</v>
      </c>
      <c r="BF136" s="21">
        <f t="shared" si="158"/>
        <v>0.78523860035537074</v>
      </c>
      <c r="BG136" s="21">
        <f t="shared" si="158"/>
        <v>0.75378712224328326</v>
      </c>
      <c r="BH136" s="21">
        <f t="shared" si="158"/>
        <v>0.72639301356930941</v>
      </c>
      <c r="BI136" s="21">
        <f t="shared" si="158"/>
        <v>0.7328329874590277</v>
      </c>
      <c r="BJ136" s="21">
        <f t="shared" si="158"/>
        <v>0.74850089193165514</v>
      </c>
      <c r="BK136" s="21">
        <f t="shared" si="158"/>
        <v>0.77748143861013308</v>
      </c>
      <c r="BL136" s="21">
        <f t="shared" si="158"/>
        <v>0.74659960199173669</v>
      </c>
    </row>
    <row r="137" spans="1:64">
      <c r="A137" s="165" t="s">
        <v>1114</v>
      </c>
      <c r="J137" s="21">
        <f>J132/J$128</f>
        <v>5.3275638251839029E-2</v>
      </c>
      <c r="K137" s="21">
        <f t="shared" si="154"/>
        <v>5.4299712063260133E-2</v>
      </c>
      <c r="L137" s="21">
        <f t="shared" si="154"/>
        <v>5.5519396789920301E-2</v>
      </c>
      <c r="M137" s="21">
        <f t="shared" si="154"/>
        <v>5.5203517047368915E-2</v>
      </c>
      <c r="N137" s="21">
        <f t="shared" si="154"/>
        <v>5.4597213403658321E-2</v>
      </c>
      <c r="O137" s="21">
        <f>O132/O$128</f>
        <v>7.4695977941114849E-2</v>
      </c>
      <c r="P137" s="21">
        <f t="shared" si="155"/>
        <v>7.4652763634882491E-2</v>
      </c>
      <c r="Q137" s="21">
        <f t="shared" si="155"/>
        <v>8.0506336466172237E-2</v>
      </c>
      <c r="R137" s="21">
        <f t="shared" si="155"/>
        <v>8.4816025691288627E-2</v>
      </c>
      <c r="S137" s="21">
        <f t="shared" si="155"/>
        <v>7.9025245455115287E-2</v>
      </c>
      <c r="T137" s="21">
        <f>T132/T$128</f>
        <v>9.0178897407813069E-2</v>
      </c>
      <c r="U137" s="21">
        <f t="shared" si="156"/>
        <v>8.5068831627250263E-2</v>
      </c>
      <c r="V137" s="21">
        <f t="shared" si="156"/>
        <v>8.0859128237523684E-2</v>
      </c>
      <c r="W137" s="21">
        <f t="shared" si="156"/>
        <v>8.2530120481927705E-2</v>
      </c>
      <c r="X137" s="21">
        <f t="shared" si="156"/>
        <v>8.4425277823851383E-2</v>
      </c>
      <c r="Y137" s="21">
        <f>Y132/Y$128</f>
        <v>0.10350538227987854</v>
      </c>
      <c r="Z137" s="21">
        <f t="shared" si="157"/>
        <v>0.10125545851528385</v>
      </c>
      <c r="AA137" s="21">
        <f t="shared" si="157"/>
        <v>9.3561368209255535E-2</v>
      </c>
      <c r="AB137" s="21">
        <f t="shared" si="157"/>
        <v>9.9190283400809723E-2</v>
      </c>
      <c r="AC137" s="21">
        <f t="shared" si="157"/>
        <v>9.9244166940519213E-2</v>
      </c>
      <c r="AD137" s="21">
        <f>AD132/AD$128</f>
        <v>0.10288283522877545</v>
      </c>
      <c r="AE137" s="21">
        <f t="shared" si="158"/>
        <v>0.10110005238344683</v>
      </c>
      <c r="AF137" s="21">
        <f t="shared" si="158"/>
        <v>9.8364657066145958E-2</v>
      </c>
      <c r="AG137" s="21">
        <f t="shared" si="158"/>
        <v>0.10762560571282836</v>
      </c>
      <c r="AH137" s="21">
        <f t="shared" si="158"/>
        <v>0.10245245565729652</v>
      </c>
      <c r="AI137" s="21">
        <f t="shared" si="158"/>
        <v>0.10514018691588785</v>
      </c>
      <c r="AJ137" s="21">
        <f t="shared" si="158"/>
        <v>0.10720651897122487</v>
      </c>
      <c r="AK137" s="21">
        <f t="shared" si="158"/>
        <v>9.6751244960872659E-2</v>
      </c>
      <c r="AL137" s="21">
        <f t="shared" si="158"/>
        <v>0.10895254712693959</v>
      </c>
      <c r="AM137" s="21">
        <f t="shared" si="158"/>
        <v>0.10439174585125156</v>
      </c>
      <c r="AN137" s="21">
        <f t="shared" si="158"/>
        <v>0.10730714453618165</v>
      </c>
      <c r="AO137" s="21">
        <f t="shared" si="158"/>
        <v>0.10778967256328399</v>
      </c>
      <c r="AP137" s="21">
        <f t="shared" si="158"/>
        <v>9.8912178393362582E-2</v>
      </c>
      <c r="AQ137" s="21">
        <f t="shared" si="158"/>
        <v>0.11128858224281651</v>
      </c>
      <c r="AR137" s="21">
        <f t="shared" si="158"/>
        <v>0.1062188884773788</v>
      </c>
      <c r="AS137" s="21">
        <f t="shared" si="158"/>
        <v>0.10819052698265096</v>
      </c>
      <c r="AT137" s="21">
        <f t="shared" si="158"/>
        <v>0.10797797955341956</v>
      </c>
      <c r="AU137" s="21">
        <f t="shared" si="158"/>
        <v>9.9217894145352883E-2</v>
      </c>
      <c r="AV137" s="21">
        <f t="shared" si="158"/>
        <v>0.1107847246834434</v>
      </c>
      <c r="AW137" s="21">
        <f t="shared" si="158"/>
        <v>0.10643873035871862</v>
      </c>
      <c r="AX137" s="21">
        <f t="shared" si="158"/>
        <v>0.10668055681067194</v>
      </c>
      <c r="AY137" s="21">
        <f t="shared" si="158"/>
        <v>0.107042982515983</v>
      </c>
      <c r="AZ137" s="21">
        <f t="shared" si="158"/>
        <v>9.7710091396237889E-2</v>
      </c>
      <c r="BA137" s="21">
        <f t="shared" si="158"/>
        <v>0.10958372747220331</v>
      </c>
      <c r="BB137" s="21">
        <f t="shared" si="158"/>
        <v>0.10514125619183448</v>
      </c>
      <c r="BC137" s="21">
        <f t="shared" si="158"/>
        <v>0.1043711642020161</v>
      </c>
      <c r="BD137" s="21">
        <f t="shared" si="158"/>
        <v>0.10460380048901052</v>
      </c>
      <c r="BE137" s="21">
        <f t="shared" si="158"/>
        <v>9.5715113277827224E-2</v>
      </c>
      <c r="BF137" s="21">
        <f t="shared" si="158"/>
        <v>0.10710471017624118</v>
      </c>
      <c r="BG137" s="21">
        <f t="shared" si="158"/>
        <v>0.10284374008188663</v>
      </c>
      <c r="BH137" s="21">
        <f t="shared" si="158"/>
        <v>0.10123035456780978</v>
      </c>
      <c r="BI137" s="21">
        <f t="shared" si="158"/>
        <v>0.10175359054858542</v>
      </c>
      <c r="BJ137" s="21">
        <f t="shared" si="158"/>
        <v>9.295917085988635E-2</v>
      </c>
      <c r="BK137" s="21">
        <f t="shared" si="158"/>
        <v>0.10419196078159827</v>
      </c>
      <c r="BL137" s="21">
        <f t="shared" si="158"/>
        <v>9.9931096374635223E-2</v>
      </c>
    </row>
    <row r="138" spans="1:64">
      <c r="A138" s="402" t="s">
        <v>1724</v>
      </c>
      <c r="B138" s="9"/>
      <c r="C138" s="9"/>
      <c r="D138" s="9"/>
      <c r="E138" s="9"/>
      <c r="F138" s="9"/>
      <c r="G138" s="9"/>
      <c r="H138" s="9"/>
      <c r="I138" s="9"/>
      <c r="J138" s="32">
        <f>J133/J$128</f>
        <v>0.82976200778883591</v>
      </c>
      <c r="K138" s="32">
        <f t="shared" si="154"/>
        <v>0.83382612058962569</v>
      </c>
      <c r="L138" s="32">
        <f t="shared" si="154"/>
        <v>0.84370817010720744</v>
      </c>
      <c r="M138" s="32">
        <f t="shared" si="154"/>
        <v>0.91990436099259976</v>
      </c>
      <c r="N138" s="32">
        <f t="shared" si="154"/>
        <v>0.85758874967781684</v>
      </c>
      <c r="O138" s="32">
        <f>O133/O$128</f>
        <v>0.84845411802174031</v>
      </c>
      <c r="P138" s="32">
        <f t="shared" si="155"/>
        <v>0.83912264266221326</v>
      </c>
      <c r="Q138" s="32">
        <f t="shared" si="155"/>
        <v>0.82618370851166556</v>
      </c>
      <c r="R138" s="32">
        <f t="shared" si="155"/>
        <v>0.90204173470744464</v>
      </c>
      <c r="S138" s="32">
        <f t="shared" si="155"/>
        <v>0.85538044830579452</v>
      </c>
      <c r="T138" s="32">
        <f>T133/T$128</f>
        <v>0.81526104417670686</v>
      </c>
      <c r="U138" s="32">
        <f t="shared" si="156"/>
        <v>0.83198023296858459</v>
      </c>
      <c r="V138" s="32">
        <f t="shared" si="156"/>
        <v>0.86102337334175616</v>
      </c>
      <c r="W138" s="32">
        <f t="shared" si="156"/>
        <v>0.94006024096385554</v>
      </c>
      <c r="X138" s="32">
        <f t="shared" si="156"/>
        <v>0.86556642892685343</v>
      </c>
      <c r="Y138" s="32">
        <f>Y133/Y$128</f>
        <v>0.88407397184653602</v>
      </c>
      <c r="Z138" s="32">
        <f t="shared" si="157"/>
        <v>0.84224890829694332</v>
      </c>
      <c r="AA138" s="32">
        <f t="shared" si="157"/>
        <v>0.86820925553319916</v>
      </c>
      <c r="AB138" s="32">
        <f t="shared" si="157"/>
        <v>0.98127530364372473</v>
      </c>
      <c r="AC138" s="32">
        <f t="shared" si="157"/>
        <v>0.89510351626684181</v>
      </c>
      <c r="AD138" s="32">
        <f>AD133/AD$128</f>
        <v>0.8862734726262893</v>
      </c>
      <c r="AE138" s="32">
        <f t="shared" si="158"/>
        <v>0.88947092718700893</v>
      </c>
      <c r="AF138" s="32">
        <f t="shared" si="158"/>
        <v>0.89821820844520384</v>
      </c>
      <c r="AG138" s="32">
        <f t="shared" si="158"/>
        <v>0.91634787044121391</v>
      </c>
      <c r="AH138" s="32">
        <f t="shared" si="158"/>
        <v>0.89773964269706075</v>
      </c>
      <c r="AI138" s="32">
        <f t="shared" si="158"/>
        <v>0.85410176531671866</v>
      </c>
      <c r="AJ138" s="32">
        <f t="shared" si="158"/>
        <v>0.86529157117392419</v>
      </c>
      <c r="AK138" s="32">
        <f t="shared" si="158"/>
        <v>0.87076120464785389</v>
      </c>
      <c r="AL138" s="32">
        <f t="shared" si="158"/>
        <v>0.91638855229207883</v>
      </c>
      <c r="AM138" s="32">
        <f t="shared" si="158"/>
        <v>0.87683812368725667</v>
      </c>
      <c r="AN138" s="32">
        <f t="shared" si="158"/>
        <v>0.85491073924998007</v>
      </c>
      <c r="AO138" s="32">
        <f t="shared" si="158"/>
        <v>0.86210516901714251</v>
      </c>
      <c r="AP138" s="32">
        <f t="shared" si="158"/>
        <v>0.87162719006538203</v>
      </c>
      <c r="AQ138" s="32">
        <f t="shared" si="158"/>
        <v>0.91700082422157003</v>
      </c>
      <c r="AR138" s="32">
        <f t="shared" si="158"/>
        <v>0.87657293087521926</v>
      </c>
      <c r="AS138" s="32">
        <f t="shared" si="158"/>
        <v>0.85338565247214804</v>
      </c>
      <c r="AT138" s="32">
        <f t="shared" si="158"/>
        <v>0.85865402651475631</v>
      </c>
      <c r="AU138" s="32">
        <f t="shared" si="158"/>
        <v>0.86817985523517227</v>
      </c>
      <c r="AV138" s="32">
        <f t="shared" si="158"/>
        <v>0.91039860772116143</v>
      </c>
      <c r="AW138" s="32">
        <f t="shared" si="158"/>
        <v>0.87288945686327535</v>
      </c>
      <c r="AX138" s="32">
        <f t="shared" si="158"/>
        <v>0.84630702807646729</v>
      </c>
      <c r="AY138" s="32">
        <f t="shared" si="158"/>
        <v>0.8530413705644535</v>
      </c>
      <c r="AZ138" s="32">
        <f t="shared" si="158"/>
        <v>0.86015779754493527</v>
      </c>
      <c r="BA138" s="32">
        <f t="shared" si="158"/>
        <v>0.90284270675290423</v>
      </c>
      <c r="BB138" s="32">
        <f t="shared" si="158"/>
        <v>0.86579369021091634</v>
      </c>
      <c r="BC138" s="32">
        <f t="shared" si="158"/>
        <v>0.83778832938248271</v>
      </c>
      <c r="BD138" s="32">
        <f t="shared" si="158"/>
        <v>0.84395865014215632</v>
      </c>
      <c r="BE138" s="32">
        <f t="shared" si="158"/>
        <v>0.8515832627122718</v>
      </c>
      <c r="BF138" s="32">
        <f t="shared" si="158"/>
        <v>0.89234331053161198</v>
      </c>
      <c r="BG138" s="32">
        <f t="shared" si="158"/>
        <v>0.85663086232516994</v>
      </c>
      <c r="BH138" s="32">
        <f t="shared" si="158"/>
        <v>0.82762336813711923</v>
      </c>
      <c r="BI138" s="32">
        <f t="shared" si="158"/>
        <v>0.83458657800761304</v>
      </c>
      <c r="BJ138" s="32">
        <f t="shared" si="158"/>
        <v>0.84146006279154151</v>
      </c>
      <c r="BK138" s="32">
        <f t="shared" si="158"/>
        <v>0.88167339939173139</v>
      </c>
      <c r="BL138" s="32">
        <f t="shared" si="158"/>
        <v>0.84653069836637185</v>
      </c>
    </row>
    <row r="140" spans="1:64">
      <c r="A140" s="3" t="s">
        <v>1663</v>
      </c>
    </row>
    <row r="141" spans="1:64">
      <c r="A141" s="165" t="s">
        <v>1723</v>
      </c>
      <c r="O141" s="16">
        <f t="shared" ref="O141:BL143" si="159">O131/J131-1</f>
        <v>2.8972504263121035E-2</v>
      </c>
      <c r="P141" s="16">
        <f t="shared" si="159"/>
        <v>3.4715637197609395E-2</v>
      </c>
      <c r="Q141" s="16">
        <f t="shared" si="159"/>
        <v>6.6798581140384838E-2</v>
      </c>
      <c r="R141" s="16">
        <f t="shared" si="159"/>
        <v>0.12535854619201658</v>
      </c>
      <c r="S141" s="16">
        <f t="shared" si="159"/>
        <v>6.6624825808067722E-2</v>
      </c>
      <c r="T141" s="16">
        <f t="shared" si="159"/>
        <v>7.5577459449213347E-2</v>
      </c>
      <c r="U141" s="16">
        <f t="shared" si="159"/>
        <v>0.12742094466792797</v>
      </c>
      <c r="V141" s="16">
        <f t="shared" si="159"/>
        <v>0.20246724858941345</v>
      </c>
      <c r="W141" s="16">
        <f t="shared" si="159"/>
        <v>0.18765539221411998</v>
      </c>
      <c r="X141" s="16">
        <f t="shared" si="159"/>
        <v>0.15223186051376425</v>
      </c>
      <c r="Y141" s="16">
        <f t="shared" si="159"/>
        <v>0.42396777442094669</v>
      </c>
      <c r="Z141" s="16">
        <f t="shared" si="159"/>
        <v>0.28308128544423417</v>
      </c>
      <c r="AA141" s="16">
        <f t="shared" si="159"/>
        <v>0.24696356275303621</v>
      </c>
      <c r="AB141" s="16">
        <f t="shared" si="159"/>
        <v>0.22444678609062163</v>
      </c>
      <c r="AC141" s="16">
        <f t="shared" si="159"/>
        <v>0.28559295041936505</v>
      </c>
      <c r="AD141" s="16">
        <f t="shared" si="159"/>
        <v>4.7383309759547521E-2</v>
      </c>
      <c r="AE141" s="16">
        <f t="shared" si="159"/>
        <v>0.10865561694290982</v>
      </c>
      <c r="AF141" s="16">
        <f t="shared" si="159"/>
        <v>6.3961038961038996E-2</v>
      </c>
      <c r="AG141" s="16">
        <f t="shared" si="159"/>
        <v>-9.0361445783132543E-2</v>
      </c>
      <c r="AH141" s="16">
        <f t="shared" si="159"/>
        <v>2.5683376001321312E-2</v>
      </c>
      <c r="AI141" s="16">
        <f t="shared" si="159"/>
        <v>-2.5995948683322223E-2</v>
      </c>
      <c r="AJ141" s="16">
        <f t="shared" si="159"/>
        <v>-1.09634551495017E-2</v>
      </c>
      <c r="AK141" s="16">
        <f t="shared" si="159"/>
        <v>-3.9670430271590007E-3</v>
      </c>
      <c r="AL141" s="16">
        <f t="shared" si="159"/>
        <v>2.0768553734660911E-2</v>
      </c>
      <c r="AM141" s="16">
        <f t="shared" si="159"/>
        <v>-4.6008789136385841E-3</v>
      </c>
      <c r="AN141" s="16">
        <f t="shared" si="159"/>
        <v>7.3703706706553795E-3</v>
      </c>
      <c r="AO141" s="16">
        <f t="shared" si="159"/>
        <v>1.9333654228861574E-2</v>
      </c>
      <c r="AP141" s="16">
        <f t="shared" si="159"/>
        <v>5.8120179814835637E-3</v>
      </c>
      <c r="AQ141" s="16">
        <f t="shared" si="159"/>
        <v>6.2267381489613527E-3</v>
      </c>
      <c r="AR141" s="16">
        <f t="shared" si="159"/>
        <v>9.5402943997793255E-3</v>
      </c>
      <c r="AS141" s="16">
        <f t="shared" si="159"/>
        <v>1.0884047978653388E-2</v>
      </c>
      <c r="AT141" s="16">
        <f t="shared" si="159"/>
        <v>1.5792030028060289E-2</v>
      </c>
      <c r="AU141" s="16">
        <f t="shared" si="159"/>
        <v>1.4398470020469123E-2</v>
      </c>
      <c r="AV141" s="16">
        <f t="shared" si="159"/>
        <v>1.9376006400658952E-2</v>
      </c>
      <c r="AW141" s="16">
        <f t="shared" si="159"/>
        <v>1.5217880171008558E-2</v>
      </c>
      <c r="AX141" s="16">
        <f t="shared" si="159"/>
        <v>2.1674244721635372E-2</v>
      </c>
      <c r="AY141" s="16">
        <f t="shared" si="159"/>
        <v>1.7485827195605985E-2</v>
      </c>
      <c r="AZ141" s="16">
        <f t="shared" si="159"/>
        <v>2.1931611169772935E-2</v>
      </c>
      <c r="BA141" s="16">
        <f t="shared" si="159"/>
        <v>1.7968940113134879E-2</v>
      </c>
      <c r="BB141" s="16">
        <f t="shared" si="159"/>
        <v>1.9752045916807237E-2</v>
      </c>
      <c r="BC141" s="16">
        <f t="shared" si="159"/>
        <v>2.114737377920628E-2</v>
      </c>
      <c r="BD141" s="16">
        <f t="shared" si="159"/>
        <v>2.1811601275939285E-2</v>
      </c>
      <c r="BE141" s="16">
        <f t="shared" si="159"/>
        <v>1.9623743302221497E-2</v>
      </c>
      <c r="BF141" s="16">
        <f t="shared" si="159"/>
        <v>2.0397055577720646E-2</v>
      </c>
      <c r="BG141" s="16">
        <f t="shared" si="159"/>
        <v>2.0711031689723658E-2</v>
      </c>
      <c r="BH141" s="16">
        <f t="shared" si="159"/>
        <v>2.1151919774992312E-2</v>
      </c>
      <c r="BI141" s="16">
        <f t="shared" si="159"/>
        <v>1.8942800518776837E-2</v>
      </c>
      <c r="BJ141" s="16">
        <f t="shared" si="159"/>
        <v>1.9611095593896843E-2</v>
      </c>
      <c r="BK141" s="16">
        <f t="shared" si="159"/>
        <v>1.7800707898054657E-2</v>
      </c>
      <c r="BL141" s="16">
        <f t="shared" si="159"/>
        <v>1.9333389508418009E-2</v>
      </c>
    </row>
    <row r="142" spans="1:64">
      <c r="A142" s="165" t="s">
        <v>1114</v>
      </c>
      <c r="O142" s="16">
        <f t="shared" si="159"/>
        <v>0.44777452891487979</v>
      </c>
      <c r="P142" s="16">
        <f t="shared" si="159"/>
        <v>0.45057380292837346</v>
      </c>
      <c r="Q142" s="16">
        <f t="shared" si="159"/>
        <v>0.63511022635110215</v>
      </c>
      <c r="R142" s="16">
        <f t="shared" si="159"/>
        <v>0.82947275534965814</v>
      </c>
      <c r="S142" s="16">
        <f t="shared" si="159"/>
        <v>0.59682588420426441</v>
      </c>
      <c r="T142" s="16">
        <f t="shared" si="159"/>
        <v>0.38569424964936894</v>
      </c>
      <c r="U142" s="16">
        <f t="shared" si="159"/>
        <v>0.31492797904845049</v>
      </c>
      <c r="V142" s="16">
        <f t="shared" si="159"/>
        <v>0.15434910041935357</v>
      </c>
      <c r="W142" s="16">
        <f t="shared" si="159"/>
        <v>0.10133043932633945</v>
      </c>
      <c r="X142" s="16">
        <f t="shared" si="159"/>
        <v>0.22342535062312985</v>
      </c>
      <c r="Y142" s="16">
        <f t="shared" si="159"/>
        <v>0.51821862348178138</v>
      </c>
      <c r="Z142" s="16">
        <f t="shared" si="159"/>
        <v>0.53941908713692932</v>
      </c>
      <c r="AA142" s="16">
        <f t="shared" si="159"/>
        <v>0.453125</v>
      </c>
      <c r="AB142" s="16">
        <f t="shared" si="159"/>
        <v>0.43065693430656959</v>
      </c>
      <c r="AC142" s="16">
        <f t="shared" si="159"/>
        <v>0.48330058939096254</v>
      </c>
      <c r="AD142" s="16">
        <f t="shared" si="159"/>
        <v>3.7333333333333218E-2</v>
      </c>
      <c r="AE142" s="16">
        <f t="shared" si="159"/>
        <v>4.0431266846361114E-2</v>
      </c>
      <c r="AF142" s="16">
        <f t="shared" si="159"/>
        <v>8.3333333333333259E-2</v>
      </c>
      <c r="AG142" s="16">
        <f t="shared" si="159"/>
        <v>7.6530612244897878E-2</v>
      </c>
      <c r="AH142" s="16">
        <f t="shared" si="159"/>
        <v>5.9602649006622599E-2</v>
      </c>
      <c r="AI142" s="16">
        <f t="shared" si="159"/>
        <v>4.1131105398457546E-2</v>
      </c>
      <c r="AJ142" s="16">
        <f t="shared" si="159"/>
        <v>9.0673575129533779E-2</v>
      </c>
      <c r="AK142" s="16">
        <f t="shared" si="159"/>
        <v>1.2406947890818865E-2</v>
      </c>
      <c r="AL142" s="303">
        <v>3.5000000000000003E-2</v>
      </c>
      <c r="AM142" s="16">
        <f>AM132/AH132-1</f>
        <v>4.4231249999999944E-2</v>
      </c>
      <c r="AN142" s="303">
        <v>0.03</v>
      </c>
      <c r="AO142" s="303">
        <v>0.03</v>
      </c>
      <c r="AP142" s="303">
        <v>0.03</v>
      </c>
      <c r="AQ142" s="303">
        <v>0.03</v>
      </c>
      <c r="AR142" s="16">
        <f>AR132/AM132-1</f>
        <v>3.0000000000000027E-2</v>
      </c>
      <c r="AS142" s="303">
        <f>AN142-0.75%</f>
        <v>2.2499999999999999E-2</v>
      </c>
      <c r="AT142" s="303">
        <f>AO142-0.75%</f>
        <v>2.2499999999999999E-2</v>
      </c>
      <c r="AU142" s="303">
        <f>AP142-0.75%</f>
        <v>2.2499999999999999E-2</v>
      </c>
      <c r="AV142" s="303">
        <f>AQ142-0.75%</f>
        <v>2.2499999999999999E-2</v>
      </c>
      <c r="AW142" s="16">
        <f>AW132/AR132-1</f>
        <v>2.2499999999999742E-2</v>
      </c>
      <c r="AX142" s="303">
        <f>AS142-0.75%</f>
        <v>1.4999999999999999E-2</v>
      </c>
      <c r="AY142" s="303">
        <f>AT142-0.75%</f>
        <v>1.4999999999999999E-2</v>
      </c>
      <c r="AZ142" s="303">
        <f>AU142-0.75%</f>
        <v>1.4999999999999999E-2</v>
      </c>
      <c r="BA142" s="303">
        <f>AV142-0.75%</f>
        <v>1.4999999999999999E-2</v>
      </c>
      <c r="BB142" s="16">
        <f>BB132/AW132-1</f>
        <v>1.4999999999999902E-2</v>
      </c>
      <c r="BC142" s="303">
        <f>AX142-0.75%</f>
        <v>7.4999999999999997E-3</v>
      </c>
      <c r="BD142" s="303">
        <f>AY142-0.75%</f>
        <v>7.4999999999999997E-3</v>
      </c>
      <c r="BE142" s="303">
        <f>AZ142-0.75%</f>
        <v>7.4999999999999997E-3</v>
      </c>
      <c r="BF142" s="303">
        <f>BA142-0.75%</f>
        <v>7.4999999999999997E-3</v>
      </c>
      <c r="BG142" s="16">
        <f>BG132/BB132-1</f>
        <v>7.5000000000002842E-3</v>
      </c>
      <c r="BH142" s="303">
        <f>BC142-0.75%</f>
        <v>0</v>
      </c>
      <c r="BI142" s="303">
        <f>BD142-0.75%</f>
        <v>0</v>
      </c>
      <c r="BJ142" s="303">
        <f>BE142-0.75%</f>
        <v>0</v>
      </c>
      <c r="BK142" s="303">
        <f>BF142-0.75%</f>
        <v>0</v>
      </c>
      <c r="BL142" s="16">
        <f>BL132/BG132-1</f>
        <v>0</v>
      </c>
    </row>
    <row r="143" spans="1:64">
      <c r="A143" s="402" t="s">
        <v>1724</v>
      </c>
      <c r="B143" s="9"/>
      <c r="C143" s="9"/>
      <c r="D143" s="9"/>
      <c r="E143" s="9"/>
      <c r="F143" s="9"/>
      <c r="G143" s="9"/>
      <c r="H143" s="9"/>
      <c r="I143" s="9"/>
      <c r="J143" s="9"/>
      <c r="K143" s="9"/>
      <c r="L143" s="9"/>
      <c r="M143" s="9"/>
      <c r="N143" s="9"/>
      <c r="O143" s="17">
        <f t="shared" si="159"/>
        <v>5.5862076158491369E-2</v>
      </c>
      <c r="P143" s="17">
        <f t="shared" si="159"/>
        <v>6.1796797286919558E-2</v>
      </c>
      <c r="Q143" s="17">
        <f t="shared" si="159"/>
        <v>0.10419577705325245</v>
      </c>
      <c r="R143" s="17">
        <f t="shared" si="159"/>
        <v>0.16761248301060849</v>
      </c>
      <c r="S143" s="17">
        <f t="shared" si="159"/>
        <v>0.10037935015668809</v>
      </c>
      <c r="T143" s="17">
        <f t="shared" si="159"/>
        <v>0.10287943892922424</v>
      </c>
      <c r="U143" s="17">
        <f t="shared" si="159"/>
        <v>0.14410255663477578</v>
      </c>
      <c r="V143" s="17">
        <f t="shared" si="159"/>
        <v>0.19777844174561054</v>
      </c>
      <c r="W143" s="17">
        <f t="shared" si="159"/>
        <v>0.17953854003288039</v>
      </c>
      <c r="X143" s="17">
        <f t="shared" si="159"/>
        <v>0.15880914789722289</v>
      </c>
      <c r="Y143" s="17">
        <f t="shared" si="159"/>
        <v>0.43439319301388291</v>
      </c>
      <c r="Z143" s="17">
        <f t="shared" si="159"/>
        <v>0.30929147221043696</v>
      </c>
      <c r="AA143" s="17">
        <f t="shared" si="159"/>
        <v>0.2663242846661773</v>
      </c>
      <c r="AB143" s="17">
        <f t="shared" si="159"/>
        <v>0.24255046459468121</v>
      </c>
      <c r="AC143" s="17">
        <f t="shared" si="159"/>
        <v>0.3048768803295967</v>
      </c>
      <c r="AD143" s="17">
        <f t="shared" si="159"/>
        <v>4.6206681236340863E-2</v>
      </c>
      <c r="AE143" s="17">
        <f t="shared" si="159"/>
        <v>0.10045366169799097</v>
      </c>
      <c r="AF143" s="17">
        <f t="shared" si="159"/>
        <v>6.604866743916582E-2</v>
      </c>
      <c r="AG143" s="17">
        <f t="shared" si="159"/>
        <v>-7.3491490458999498E-2</v>
      </c>
      <c r="AH143" s="17">
        <f t="shared" si="159"/>
        <v>2.9444158895660433E-2</v>
      </c>
      <c r="AI143" s="17">
        <f t="shared" si="159"/>
        <v>-1.8203521336914386E-2</v>
      </c>
      <c r="AJ143" s="17">
        <f t="shared" si="159"/>
        <v>5.8892815076561078E-4</v>
      </c>
      <c r="AK143" s="17">
        <f t="shared" si="159"/>
        <v>-2.1739130434782483E-3</v>
      </c>
      <c r="AL143" s="17">
        <f>AL133/AG133-1</f>
        <v>2.244004561441959E-2</v>
      </c>
      <c r="AM143" s="17">
        <f>AM133/AH133-1</f>
        <v>9.7197460004339042E-4</v>
      </c>
      <c r="AN143" s="17">
        <f>AN133/AI133-1</f>
        <v>1.0156084919404451E-2</v>
      </c>
      <c r="AO143" s="17">
        <f>AO133/AJ133-1</f>
        <v>2.0655176174020129E-2</v>
      </c>
      <c r="AP143" s="17">
        <f>AP133/AK133-1</f>
        <v>8.4995715390965287E-3</v>
      </c>
      <c r="AQ143" s="17">
        <f>AQ133/AL133-1</f>
        <v>9.0532219867478503E-3</v>
      </c>
      <c r="AR143" s="17">
        <f>AR133/AM133-1</f>
        <v>1.1976119587475687E-2</v>
      </c>
      <c r="AS143" s="17">
        <f>AS133/AN133-1</f>
        <v>1.2342065272451075E-2</v>
      </c>
      <c r="AT143" s="17">
        <f>AT133/AO133-1</f>
        <v>1.6630732674587811E-2</v>
      </c>
      <c r="AU143" s="17">
        <f>AU133/AP133-1</f>
        <v>1.531783094418504E-2</v>
      </c>
      <c r="AV143" s="17">
        <f>AV133/AQ133-1</f>
        <v>1.9755138904603342E-2</v>
      </c>
      <c r="AW143" s="17">
        <f>AW133/AR133-1</f>
        <v>1.6100292400213601E-2</v>
      </c>
      <c r="AX143" s="17">
        <f>AX133/AS133-1</f>
        <v>2.082809731857882E-2</v>
      </c>
      <c r="AY143" s="17">
        <f>AY133/AT133-1</f>
        <v>1.7173227953289461E-2</v>
      </c>
      <c r="AZ143" s="17">
        <f>AZ133/AU133-1</f>
        <v>2.1139448279615891E-2</v>
      </c>
      <c r="BA143" s="17">
        <f>BA133/AV133-1</f>
        <v>1.760765527565189E-2</v>
      </c>
      <c r="BB143" s="17">
        <f>BB133/AW133-1</f>
        <v>1.917258911387032E-2</v>
      </c>
      <c r="BC143" s="17">
        <f>BC133/AX133-1</f>
        <v>1.9427064972273422E-2</v>
      </c>
      <c r="BD143" s="17">
        <f>BD133/AY133-1</f>
        <v>2.0015725321948397E-2</v>
      </c>
      <c r="BE143" s="17">
        <f>BE133/AZ133-1</f>
        <v>1.8246540108219467E-2</v>
      </c>
      <c r="BF143" s="17">
        <f>BF133/BA133-1</f>
        <v>1.8831658401610385E-2</v>
      </c>
      <c r="BG143" s="17">
        <f>BG133/BB133-1</f>
        <v>1.9106695133390916E-2</v>
      </c>
      <c r="BH143" s="17">
        <f>BH133/BC133-1</f>
        <v>1.8516826381353324E-2</v>
      </c>
      <c r="BI143" s="17">
        <f>BI133/BD133-1</f>
        <v>1.6594949796664427E-2</v>
      </c>
      <c r="BJ143" s="17">
        <f>BJ133/BE133-1</f>
        <v>1.7406873976983261E-2</v>
      </c>
      <c r="BK143" s="17">
        <f>BK133/BF133-1</f>
        <v>1.5664153908293565E-2</v>
      </c>
      <c r="BL143" s="17">
        <f>BL133/BG133-1</f>
        <v>1.7012298624406785E-2</v>
      </c>
    </row>
    <row r="145" spans="1:64">
      <c r="A145" s="9" t="s">
        <v>1746</v>
      </c>
      <c r="B145" s="9"/>
      <c r="C145" s="9"/>
      <c r="D145" s="9"/>
      <c r="E145" s="9"/>
      <c r="F145" s="9"/>
      <c r="G145" s="9"/>
      <c r="H145" s="9"/>
      <c r="I145" s="9"/>
      <c r="J145" s="378">
        <f t="shared" ref="J145:AK145" si="160">J128-J131</f>
        <v>51.654000000000025</v>
      </c>
      <c r="K145" s="378">
        <f t="shared" si="160"/>
        <v>51.301999999999992</v>
      </c>
      <c r="L145" s="378">
        <f t="shared" si="160"/>
        <v>51.743999999999971</v>
      </c>
      <c r="M145" s="378">
        <f t="shared" si="160"/>
        <v>33.329999999999984</v>
      </c>
      <c r="N145" s="378">
        <f t="shared" si="160"/>
        <v>188.02999999999986</v>
      </c>
      <c r="O145" s="378">
        <f t="shared" si="160"/>
        <v>53.989000000000004</v>
      </c>
      <c r="P145" s="378">
        <f t="shared" si="160"/>
        <v>57.825000000000017</v>
      </c>
      <c r="Q145" s="378">
        <f t="shared" si="160"/>
        <v>70.057999999999993</v>
      </c>
      <c r="R145" s="378">
        <f t="shared" si="160"/>
        <v>53.612999999999971</v>
      </c>
      <c r="S145" s="378">
        <f t="shared" si="160"/>
        <v>235.48500000000001</v>
      </c>
      <c r="T145" s="378">
        <f t="shared" si="160"/>
        <v>75.299999999999983</v>
      </c>
      <c r="U145" s="378">
        <f t="shared" si="160"/>
        <v>71.699999999999989</v>
      </c>
      <c r="V145" s="378">
        <f t="shared" si="160"/>
        <v>69.599999999999994</v>
      </c>
      <c r="W145" s="378">
        <f t="shared" si="160"/>
        <v>47.299999999999955</v>
      </c>
      <c r="X145" s="378">
        <f t="shared" si="160"/>
        <v>263.90000000000009</v>
      </c>
      <c r="Y145" s="378">
        <f t="shared" si="160"/>
        <v>79.5</v>
      </c>
      <c r="Z145" s="378">
        <f t="shared" si="160"/>
        <v>94.899999999999977</v>
      </c>
      <c r="AA145" s="378">
        <f t="shared" si="160"/>
        <v>89.600000000000023</v>
      </c>
      <c r="AB145" s="378">
        <f t="shared" si="160"/>
        <v>46.599999999999966</v>
      </c>
      <c r="AC145" s="378">
        <f t="shared" si="160"/>
        <v>310.60000000000014</v>
      </c>
      <c r="AD145" s="378">
        <f t="shared" si="160"/>
        <v>81.899999999999977</v>
      </c>
      <c r="AE145" s="378">
        <f t="shared" si="160"/>
        <v>80.800000000000011</v>
      </c>
      <c r="AF145" s="378">
        <f t="shared" si="160"/>
        <v>82</v>
      </c>
      <c r="AG145" s="378">
        <f t="shared" si="160"/>
        <v>75</v>
      </c>
      <c r="AH145" s="378">
        <f t="shared" si="160"/>
        <v>319.70000000000027</v>
      </c>
      <c r="AI145" s="378">
        <f t="shared" si="160"/>
        <v>96.699999999999989</v>
      </c>
      <c r="AJ145" s="378">
        <f t="shared" si="160"/>
        <v>95</v>
      </c>
      <c r="AK145" s="378">
        <f t="shared" si="160"/>
        <v>95.300000000000011</v>
      </c>
      <c r="AL145" s="378">
        <f>AG145+AL149*(AL128-AG128)</f>
        <v>77.195236129753653</v>
      </c>
      <c r="AM145" s="378">
        <f>SUM(AI145:AL145)</f>
        <v>364.19523612975365</v>
      </c>
      <c r="AN145" s="378">
        <f>AI145+AN149*(AN128-AI128)</f>
        <v>98.117567958989383</v>
      </c>
      <c r="AO145" s="378">
        <f>AJ145+AO149*(AO128-AJ128)</f>
        <v>98.837085909288064</v>
      </c>
      <c r="AP145" s="378">
        <f>AK145+AP149*(AP128-AK128)</f>
        <v>96.564695112770835</v>
      </c>
      <c r="AQ145" s="378">
        <f>AL145+AQ149*(AQ128-AL128)</f>
        <v>78.538906895554277</v>
      </c>
      <c r="AR145" s="378">
        <f>SUM(AN145:AQ145)</f>
        <v>372.05825587660252</v>
      </c>
      <c r="AS145" s="378">
        <f>AN145+AS149*(AS128-AN128)</f>
        <v>100.45557881516807</v>
      </c>
      <c r="AT145" s="378">
        <f>AO145+AT149*(AT128-AO128)</f>
        <v>102.37913229426427</v>
      </c>
      <c r="AU145" s="378">
        <f>AP145+AU149*(AU128-AP128)</f>
        <v>100.05854629336078</v>
      </c>
      <c r="AV145" s="378">
        <f>AQ145+AV149*(AV128-AQ128)</f>
        <v>83.203402978120749</v>
      </c>
      <c r="AW145" s="378">
        <f>SUM(AS145:AV145)</f>
        <v>386.09666038091382</v>
      </c>
      <c r="AX145" s="378">
        <f>AS145+AX149*(AX128-AS128)</f>
        <v>105.66548773186312</v>
      </c>
      <c r="AY145" s="378">
        <f>AT145+AY149*(AY128-AT128)</f>
        <v>106.78910605212091</v>
      </c>
      <c r="AZ145" s="378">
        <f>AU145+AZ149*(AZ128-AU128)</f>
        <v>106.03434442212843</v>
      </c>
      <c r="BA145" s="378">
        <f>AV145+BA149*(BA128-AV128)</f>
        <v>88.084597000506292</v>
      </c>
      <c r="BB145" s="378">
        <f>SUM(AX145:BA145)</f>
        <v>406.57353520661871</v>
      </c>
      <c r="BC145" s="378">
        <f>AX145+BC149*(BC128-AX128)</f>
        <v>111.4084971297157</v>
      </c>
      <c r="BD145" s="378">
        <f>AY145+BD149*(BD128-AY128)</f>
        <v>112.97852989417204</v>
      </c>
      <c r="BE145" s="378">
        <f>AZ145+BE149*(BE128-AZ128)</f>
        <v>112.07680116220885</v>
      </c>
      <c r="BF145" s="378">
        <f>BA145+BF149*(BF128-BA128)</f>
        <v>94.321803142009529</v>
      </c>
      <c r="BG145" s="378">
        <f>SUM(BC145:BF145)</f>
        <v>430.78563132810615</v>
      </c>
      <c r="BH145" s="378">
        <f>BC145+BH149*(BH128-BC128)</f>
        <v>117.89166093312352</v>
      </c>
      <c r="BI145" s="378">
        <f>BD145+BI149*(BI128-BD128)</f>
        <v>119.04929434504082</v>
      </c>
      <c r="BJ145" s="378">
        <f>BE145+BJ149*(BJ128-BE128)</f>
        <v>118.88197441021904</v>
      </c>
      <c r="BK145" s="378">
        <f>BF145+BK149*(BK128-BF128)</f>
        <v>100.46076284743189</v>
      </c>
      <c r="BL145" s="378">
        <f>SUM(BH145:BK145)</f>
        <v>456.28369253581531</v>
      </c>
    </row>
    <row r="146" spans="1:64">
      <c r="A146" s="1" t="s">
        <v>1112</v>
      </c>
      <c r="J146" s="16">
        <f t="shared" ref="J146:BL146" si="161">J145/J128</f>
        <v>0.22351363046300315</v>
      </c>
      <c r="K146" s="16">
        <f t="shared" si="161"/>
        <v>0.22047359147363441</v>
      </c>
      <c r="L146" s="16">
        <f t="shared" si="161"/>
        <v>0.21181122668271285</v>
      </c>
      <c r="M146" s="16">
        <f t="shared" si="161"/>
        <v>0.13529915605476911</v>
      </c>
      <c r="N146" s="16">
        <f t="shared" si="161"/>
        <v>0.19700846372584135</v>
      </c>
      <c r="O146" s="16">
        <f t="shared" si="161"/>
        <v>0.22624185991937448</v>
      </c>
      <c r="P146" s="16">
        <f t="shared" si="161"/>
        <v>0.2355301209726692</v>
      </c>
      <c r="Q146" s="16">
        <f t="shared" si="161"/>
        <v>0.25432262795450666</v>
      </c>
      <c r="R146" s="16">
        <f t="shared" si="161"/>
        <v>0.18277429098384398</v>
      </c>
      <c r="S146" s="16">
        <f t="shared" si="161"/>
        <v>0.22364479714932067</v>
      </c>
      <c r="T146" s="16">
        <f t="shared" si="161"/>
        <v>0.27491785323110618</v>
      </c>
      <c r="U146" s="16">
        <f t="shared" si="161"/>
        <v>0.25308859865866568</v>
      </c>
      <c r="V146" s="16">
        <f t="shared" si="161"/>
        <v>0.21983575489576751</v>
      </c>
      <c r="W146" s="16">
        <f t="shared" si="161"/>
        <v>0.14246987951807216</v>
      </c>
      <c r="X146" s="16">
        <f t="shared" si="161"/>
        <v>0.21885884889699789</v>
      </c>
      <c r="Y146" s="16">
        <f t="shared" si="161"/>
        <v>0.21943141043334252</v>
      </c>
      <c r="Z146" s="16">
        <f t="shared" si="161"/>
        <v>0.25900655021834057</v>
      </c>
      <c r="AA146" s="16">
        <f t="shared" si="161"/>
        <v>0.22535211267605637</v>
      </c>
      <c r="AB146" s="16">
        <f t="shared" si="161"/>
        <v>0.11791497975708494</v>
      </c>
      <c r="AC146" s="16">
        <f t="shared" si="161"/>
        <v>0.20414065067367734</v>
      </c>
      <c r="AD146" s="16">
        <f t="shared" si="161"/>
        <v>0.21660936260248603</v>
      </c>
      <c r="AE146" s="16">
        <f t="shared" si="161"/>
        <v>0.21162912519643795</v>
      </c>
      <c r="AF146" s="16">
        <f t="shared" si="161"/>
        <v>0.20014644862094216</v>
      </c>
      <c r="AG146" s="16">
        <f t="shared" si="161"/>
        <v>0.19127773527161437</v>
      </c>
      <c r="AH146" s="16">
        <f t="shared" si="161"/>
        <v>0.20471281296023577</v>
      </c>
      <c r="AI146" s="16">
        <f t="shared" si="161"/>
        <v>0.25103842159916923</v>
      </c>
      <c r="AJ146" s="16">
        <f t="shared" si="161"/>
        <v>0.24191494779730074</v>
      </c>
      <c r="AK146" s="16">
        <f t="shared" si="161"/>
        <v>0.22599004031301875</v>
      </c>
      <c r="AL146" s="16">
        <f t="shared" si="161"/>
        <v>0.19256399483486081</v>
      </c>
      <c r="AM146" s="16">
        <f t="shared" si="161"/>
        <v>0.227553622163995</v>
      </c>
      <c r="AN146" s="16">
        <f t="shared" si="161"/>
        <v>0.25239640528620155</v>
      </c>
      <c r="AO146" s="16">
        <f t="shared" si="161"/>
        <v>0.24568450354614141</v>
      </c>
      <c r="AP146" s="16">
        <f t="shared" si="161"/>
        <v>0.22728498832798058</v>
      </c>
      <c r="AQ146" s="16">
        <f t="shared" si="161"/>
        <v>0.19428775802124645</v>
      </c>
      <c r="AR146" s="16">
        <f t="shared" si="161"/>
        <v>0.22964595760215964</v>
      </c>
      <c r="AS146" s="16">
        <f t="shared" si="161"/>
        <v>0.25480487451050304</v>
      </c>
      <c r="AT146" s="16">
        <f t="shared" si="161"/>
        <v>0.24932395303866323</v>
      </c>
      <c r="AU146" s="16">
        <f t="shared" si="161"/>
        <v>0.23103803891018057</v>
      </c>
      <c r="AV146" s="16">
        <f t="shared" si="161"/>
        <v>0.20038611696228195</v>
      </c>
      <c r="AW146" s="16">
        <f t="shared" si="161"/>
        <v>0.2335492734954433</v>
      </c>
      <c r="AX146" s="16">
        <f t="shared" si="161"/>
        <v>0.26037352873420461</v>
      </c>
      <c r="AY146" s="16">
        <f t="shared" si="161"/>
        <v>0.25400161195152948</v>
      </c>
      <c r="AZ146" s="16">
        <f t="shared" si="161"/>
        <v>0.23755229385130275</v>
      </c>
      <c r="BA146" s="16">
        <f t="shared" si="161"/>
        <v>0.20674102071929912</v>
      </c>
      <c r="BB146" s="16">
        <f t="shared" si="161"/>
        <v>0.23934756598091805</v>
      </c>
      <c r="BC146" s="16">
        <f t="shared" si="161"/>
        <v>0.26658283481953349</v>
      </c>
      <c r="BD146" s="16">
        <f t="shared" si="161"/>
        <v>0.26064515034685415</v>
      </c>
      <c r="BE146" s="16">
        <f t="shared" si="161"/>
        <v>0.24413185056555542</v>
      </c>
      <c r="BF146" s="16">
        <f t="shared" si="161"/>
        <v>0.21476139964462926</v>
      </c>
      <c r="BG146" s="16">
        <f t="shared" si="161"/>
        <v>0.24621287775671688</v>
      </c>
      <c r="BH146" s="16">
        <f t="shared" si="161"/>
        <v>0.27360698643069065</v>
      </c>
      <c r="BI146" s="16">
        <f t="shared" si="161"/>
        <v>0.2671670125409723</v>
      </c>
      <c r="BJ146" s="16">
        <f t="shared" si="161"/>
        <v>0.25149910806834491</v>
      </c>
      <c r="BK146" s="16">
        <f t="shared" si="161"/>
        <v>0.22251856138986684</v>
      </c>
      <c r="BL146" s="16">
        <f t="shared" si="161"/>
        <v>0.25340039800826331</v>
      </c>
    </row>
    <row r="147" spans="1:64">
      <c r="A147" s="1" t="s">
        <v>28</v>
      </c>
      <c r="O147" s="16">
        <f t="shared" ref="O147:AR147" si="162">O145/J145-1</f>
        <v>4.5204630812714974E-2</v>
      </c>
      <c r="P147" s="16">
        <f t="shared" si="162"/>
        <v>0.12714903902382013</v>
      </c>
      <c r="Q147" s="16">
        <f t="shared" si="162"/>
        <v>0.35393475572047062</v>
      </c>
      <c r="R147" s="16">
        <f t="shared" si="162"/>
        <v>0.60855085508550855</v>
      </c>
      <c r="S147" s="16">
        <f t="shared" si="162"/>
        <v>0.25237993937137793</v>
      </c>
      <c r="T147" s="16">
        <f t="shared" si="162"/>
        <v>0.39472855581692534</v>
      </c>
      <c r="U147" s="16">
        <f t="shared" si="162"/>
        <v>0.2399481193255506</v>
      </c>
      <c r="V147" s="16">
        <f t="shared" si="162"/>
        <v>-6.5374404065202674E-3</v>
      </c>
      <c r="W147" s="16">
        <f t="shared" si="162"/>
        <v>-0.11775129166433551</v>
      </c>
      <c r="X147" s="16">
        <f t="shared" si="162"/>
        <v>0.12066585982122047</v>
      </c>
      <c r="Y147" s="16">
        <f t="shared" si="162"/>
        <v>5.5776892430279057E-2</v>
      </c>
      <c r="Z147" s="16">
        <f t="shared" si="162"/>
        <v>0.32357043235704319</v>
      </c>
      <c r="AA147" s="16">
        <f t="shared" si="162"/>
        <v>0.28735632183908089</v>
      </c>
      <c r="AB147" s="16">
        <f t="shared" si="162"/>
        <v>-1.4799154334037778E-2</v>
      </c>
      <c r="AC147" s="16">
        <f t="shared" si="162"/>
        <v>0.17696097006441835</v>
      </c>
      <c r="AD147" s="16">
        <f t="shared" si="162"/>
        <v>3.018867924528279E-2</v>
      </c>
      <c r="AE147" s="16">
        <f t="shared" si="162"/>
        <v>-0.14857744994731259</v>
      </c>
      <c r="AF147" s="16">
        <f t="shared" si="162"/>
        <v>-8.4821428571428825E-2</v>
      </c>
      <c r="AG147" s="16">
        <f t="shared" si="162"/>
        <v>0.60944206008583812</v>
      </c>
      <c r="AH147" s="16">
        <f t="shared" si="162"/>
        <v>2.9298132646491171E-2</v>
      </c>
      <c r="AI147" s="16">
        <f t="shared" si="162"/>
        <v>0.18070818070818095</v>
      </c>
      <c r="AJ147" s="16">
        <f t="shared" si="162"/>
        <v>0.17574257425742568</v>
      </c>
      <c r="AK147" s="16">
        <f t="shared" si="162"/>
        <v>0.16219512195121966</v>
      </c>
      <c r="AL147" s="16">
        <f t="shared" si="162"/>
        <v>2.926981506338211E-2</v>
      </c>
      <c r="AM147" s="16">
        <f t="shared" si="162"/>
        <v>0.13917809236707335</v>
      </c>
      <c r="AN147" s="16">
        <f t="shared" si="162"/>
        <v>1.4659441147770291E-2</v>
      </c>
      <c r="AO147" s="16">
        <f t="shared" si="162"/>
        <v>4.0390377992505888E-2</v>
      </c>
      <c r="AP147" s="16">
        <f t="shared" si="162"/>
        <v>1.3270672746808154E-2</v>
      </c>
      <c r="AQ147" s="16">
        <f t="shared" si="162"/>
        <v>1.74061358338502E-2</v>
      </c>
      <c r="AR147" s="16">
        <f t="shared" si="162"/>
        <v>2.1590122458514216E-2</v>
      </c>
    </row>
    <row r="149" spans="1:64" s="79" customFormat="1">
      <c r="A149" s="1" t="s">
        <v>1145</v>
      </c>
      <c r="J149" s="114"/>
      <c r="K149" s="114"/>
      <c r="L149" s="114"/>
      <c r="M149" s="114"/>
      <c r="N149" s="114"/>
      <c r="O149" s="114">
        <f t="shared" ref="O149:AK149" si="163">(O145-J145)/(O128-J128)</f>
        <v>0.30992832492699524</v>
      </c>
      <c r="P149" s="114">
        <f t="shared" si="163"/>
        <v>0.50881435257410512</v>
      </c>
      <c r="Q149" s="114">
        <f t="shared" si="163"/>
        <v>0.58743905568386034</v>
      </c>
      <c r="R149" s="114">
        <f t="shared" si="163"/>
        <v>0.43168177755075937</v>
      </c>
      <c r="S149" s="114">
        <f t="shared" si="163"/>
        <v>0.48169840432011163</v>
      </c>
      <c r="T149" s="114">
        <f t="shared" si="163"/>
        <v>0.60429308682583749</v>
      </c>
      <c r="U149" s="114">
        <f t="shared" si="163"/>
        <v>0.36716062450383602</v>
      </c>
      <c r="V149" s="114">
        <f t="shared" si="163"/>
        <v>-1.1135153533830884E-2</v>
      </c>
      <c r="W149" s="114">
        <f t="shared" si="163"/>
        <v>-0.16324894623878405</v>
      </c>
      <c r="X149" s="114">
        <f t="shared" si="163"/>
        <v>0.18589148098234992</v>
      </c>
      <c r="Y149" s="114">
        <f t="shared" si="163"/>
        <v>4.7511312217194741E-2</v>
      </c>
      <c r="Z149" s="114">
        <f t="shared" si="163"/>
        <v>0.27918170878459686</v>
      </c>
      <c r="AA149" s="114">
        <f t="shared" si="163"/>
        <v>0.24691358024691393</v>
      </c>
      <c r="AB149" s="114">
        <f t="shared" si="163"/>
        <v>-1.1075949367088429E-2</v>
      </c>
      <c r="AC149" s="114">
        <f t="shared" si="163"/>
        <v>0.14792524548622121</v>
      </c>
      <c r="AD149" s="114">
        <f t="shared" si="163"/>
        <v>0.15189873417721364</v>
      </c>
      <c r="AE149" s="114">
        <f t="shared" si="163"/>
        <v>-0.91558441558441139</v>
      </c>
      <c r="AF149" s="114">
        <f t="shared" si="163"/>
        <v>-0.62809917355372269</v>
      </c>
      <c r="AG149" s="114">
        <f t="shared" si="163"/>
        <v>-9.1612903225807578</v>
      </c>
      <c r="AH149" s="114">
        <f t="shared" si="163"/>
        <v>0.22636815920398323</v>
      </c>
      <c r="AI149" s="114">
        <f t="shared" si="163"/>
        <v>2.0845070422535326</v>
      </c>
      <c r="AJ149" s="114">
        <f t="shared" si="163"/>
        <v>1.3027522935779834</v>
      </c>
      <c r="AK149" s="114">
        <f t="shared" si="163"/>
        <v>1.1083333333333343</v>
      </c>
      <c r="AL149" s="261">
        <v>0.25</v>
      </c>
      <c r="AM149" s="114">
        <f t="shared" ref="AM149" si="164">(AM145-AH145)/(AM128-AH128)</f>
        <v>1.1473479225844416</v>
      </c>
      <c r="AN149" s="261">
        <v>0.4</v>
      </c>
      <c r="AO149" s="261">
        <v>0.4</v>
      </c>
      <c r="AP149" s="261">
        <v>0.4</v>
      </c>
      <c r="AQ149" s="261">
        <v>0.4</v>
      </c>
      <c r="AR149" s="114">
        <f t="shared" ref="AR149" si="165">(AR145-AM145)/(AR128-AM128)</f>
        <v>0.39999999999999653</v>
      </c>
      <c r="AS149" s="261">
        <f>AN149+2.5%</f>
        <v>0.42500000000000004</v>
      </c>
      <c r="AT149" s="261">
        <f>AO149+2.5%</f>
        <v>0.42500000000000004</v>
      </c>
      <c r="AU149" s="261">
        <f>AP149+2.5%</f>
        <v>0.42500000000000004</v>
      </c>
      <c r="AV149" s="261">
        <f>AQ149+2.5%</f>
        <v>0.42500000000000004</v>
      </c>
      <c r="AW149" s="114">
        <f t="shared" ref="AW149" si="166">(AW145-AR145)/(AW128-AR128)</f>
        <v>0.42500000000000016</v>
      </c>
      <c r="AX149" s="261">
        <f>AS149+2.5%</f>
        <v>0.45000000000000007</v>
      </c>
      <c r="AY149" s="261">
        <f>AT149+2.5%</f>
        <v>0.45000000000000007</v>
      </c>
      <c r="AZ149" s="261">
        <f>AU149+2.5%</f>
        <v>0.45000000000000007</v>
      </c>
      <c r="BA149" s="261">
        <f>AV149+2.5%</f>
        <v>0.45000000000000007</v>
      </c>
      <c r="BB149" s="114">
        <f t="shared" ref="BB149" si="167">(BB145-AW145)/(BB128-AW128)</f>
        <v>0.44999999999999801</v>
      </c>
      <c r="BC149" s="261">
        <f>AX149+2.5%</f>
        <v>0.47500000000000009</v>
      </c>
      <c r="BD149" s="261">
        <f>AY149+2.5%</f>
        <v>0.47500000000000009</v>
      </c>
      <c r="BE149" s="261">
        <f>AZ149+2.5%</f>
        <v>0.47500000000000009</v>
      </c>
      <c r="BF149" s="261">
        <f>BA149+2.5%</f>
        <v>0.47500000000000009</v>
      </c>
      <c r="BG149" s="114">
        <f t="shared" ref="BG149" si="168">(BG145-BB145)/(BG128-BB128)</f>
        <v>0.47500000000000259</v>
      </c>
      <c r="BH149" s="261">
        <f>BC149+2.5%</f>
        <v>0.50000000000000011</v>
      </c>
      <c r="BI149" s="261">
        <f>BD149+2.5%</f>
        <v>0.50000000000000011</v>
      </c>
      <c r="BJ149" s="261">
        <f>BE149+2.5%</f>
        <v>0.50000000000000011</v>
      </c>
      <c r="BK149" s="261">
        <f>BF149+2.5%</f>
        <v>0.50000000000000011</v>
      </c>
      <c r="BL149" s="114">
        <f t="shared" ref="BL149" si="169">(BL145-BG145)/(BL128-BG128)</f>
        <v>0.49999999999999778</v>
      </c>
    </row>
    <row r="151" spans="1:64">
      <c r="A151" s="9" t="s">
        <v>1747</v>
      </c>
      <c r="B151" s="9"/>
      <c r="C151" s="9"/>
      <c r="D151" s="9"/>
      <c r="E151" s="9"/>
      <c r="F151" s="9"/>
      <c r="G151" s="9"/>
      <c r="H151" s="9"/>
      <c r="I151" s="9"/>
      <c r="J151" s="395">
        <v>39.341999999999999</v>
      </c>
      <c r="K151" s="395">
        <v>38.667000000000002</v>
      </c>
      <c r="L151" s="395">
        <v>38.180999999999997</v>
      </c>
      <c r="M151" s="395">
        <v>19.731000000000002</v>
      </c>
      <c r="N151" s="378">
        <f>SUM(J151:M151)</f>
        <v>135.92099999999999</v>
      </c>
      <c r="O151" s="395">
        <v>36.164000000000001</v>
      </c>
      <c r="P151" s="395">
        <v>39.497</v>
      </c>
      <c r="Q151" s="395">
        <v>47.881</v>
      </c>
      <c r="R151" s="395">
        <v>28.734000000000002</v>
      </c>
      <c r="S151" s="378">
        <f>SUM(O151:R151)</f>
        <v>152.27600000000001</v>
      </c>
      <c r="T151" s="395">
        <v>50.6</v>
      </c>
      <c r="U151" s="395">
        <v>47.6</v>
      </c>
      <c r="V151" s="395">
        <v>44</v>
      </c>
      <c r="W151" s="395">
        <v>19.899999999999999</v>
      </c>
      <c r="X151" s="378">
        <f>SUM(T151:W151)</f>
        <v>162.1</v>
      </c>
      <c r="Y151" s="378">
        <f t="shared" ref="Y151:BL151" si="170">Y128-Y133</f>
        <v>42</v>
      </c>
      <c r="Z151" s="378">
        <f t="shared" si="170"/>
        <v>57.799999999999955</v>
      </c>
      <c r="AA151" s="378">
        <f t="shared" si="170"/>
        <v>52.400000000000034</v>
      </c>
      <c r="AB151" s="378">
        <f t="shared" si="170"/>
        <v>7.3999999999999773</v>
      </c>
      <c r="AC151" s="378">
        <f t="shared" si="170"/>
        <v>159.60000000000014</v>
      </c>
      <c r="AD151" s="378">
        <f t="shared" si="170"/>
        <v>43</v>
      </c>
      <c r="AE151" s="378">
        <f t="shared" si="170"/>
        <v>42.199999999999989</v>
      </c>
      <c r="AF151" s="378">
        <f t="shared" si="170"/>
        <v>41.699999999999989</v>
      </c>
      <c r="AG151" s="378">
        <f t="shared" si="170"/>
        <v>32.800000000000011</v>
      </c>
      <c r="AH151" s="378">
        <f t="shared" si="170"/>
        <v>159.70000000000027</v>
      </c>
      <c r="AI151" s="378">
        <f t="shared" si="170"/>
        <v>56.199999999999989</v>
      </c>
      <c r="AJ151" s="378">
        <f t="shared" si="170"/>
        <v>52.899999999999977</v>
      </c>
      <c r="AK151" s="378">
        <f t="shared" si="170"/>
        <v>54.5</v>
      </c>
      <c r="AL151" s="378">
        <f t="shared" si="170"/>
        <v>33.518236129753632</v>
      </c>
      <c r="AM151" s="378">
        <f t="shared" si="170"/>
        <v>197.11823612975354</v>
      </c>
      <c r="AN151" s="378">
        <f t="shared" si="170"/>
        <v>56.40256795898938</v>
      </c>
      <c r="AO151" s="378">
        <f t="shared" si="170"/>
        <v>55.474085909288078</v>
      </c>
      <c r="AP151" s="378">
        <f t="shared" si="170"/>
        <v>54.540695112770834</v>
      </c>
      <c r="AQ151" s="378">
        <f t="shared" si="170"/>
        <v>33.551596895554269</v>
      </c>
      <c r="AR151" s="378">
        <f t="shared" si="170"/>
        <v>199.96894587660245</v>
      </c>
      <c r="AS151" s="378">
        <f t="shared" si="170"/>
        <v>57.801991315168038</v>
      </c>
      <c r="AT151" s="378">
        <f t="shared" si="170"/>
        <v>58.040464794264267</v>
      </c>
      <c r="AU151" s="378">
        <f t="shared" si="170"/>
        <v>57.089006293360796</v>
      </c>
      <c r="AV151" s="378">
        <f t="shared" si="170"/>
        <v>37.203878503120734</v>
      </c>
      <c r="AW151" s="378">
        <f t="shared" si="170"/>
        <v>210.13534090591384</v>
      </c>
      <c r="AX151" s="378">
        <f t="shared" si="170"/>
        <v>62.372096419363118</v>
      </c>
      <c r="AY151" s="378">
        <f t="shared" si="170"/>
        <v>61.785358539620916</v>
      </c>
      <c r="AZ151" s="378">
        <f t="shared" si="170"/>
        <v>62.420261322128397</v>
      </c>
      <c r="BA151" s="378">
        <f t="shared" si="170"/>
        <v>41.395079658381292</v>
      </c>
      <c r="BB151" s="378">
        <f t="shared" si="170"/>
        <v>227.97279593949384</v>
      </c>
      <c r="BC151" s="378">
        <f t="shared" si="170"/>
        <v>67.790405382371887</v>
      </c>
      <c r="BD151" s="378">
        <f t="shared" si="170"/>
        <v>67.637254275328303</v>
      </c>
      <c r="BE151" s="378">
        <f t="shared" si="170"/>
        <v>68.135612438958844</v>
      </c>
      <c r="BF151" s="378">
        <f t="shared" si="170"/>
        <v>47.282114419818583</v>
      </c>
      <c r="BG151" s="378">
        <f t="shared" si="170"/>
        <v>250.84538651647745</v>
      </c>
      <c r="BH151" s="378">
        <f t="shared" si="170"/>
        <v>74.273569185779706</v>
      </c>
      <c r="BI151" s="378">
        <f t="shared" si="170"/>
        <v>73.70801872619711</v>
      </c>
      <c r="BJ151" s="378">
        <f t="shared" si="170"/>
        <v>74.940785686969036</v>
      </c>
      <c r="BK151" s="378">
        <f t="shared" si="170"/>
        <v>53.421074125240978</v>
      </c>
      <c r="BL151" s="378">
        <f t="shared" si="170"/>
        <v>276.34344772418694</v>
      </c>
    </row>
    <row r="152" spans="1:64">
      <c r="A152" s="1" t="s">
        <v>1489</v>
      </c>
      <c r="J152" s="16">
        <f t="shared" ref="J152:BL152" si="171">J151/J128</f>
        <v>0.17023799221116401</v>
      </c>
      <c r="K152" s="16">
        <f t="shared" si="171"/>
        <v>0.16617387941037431</v>
      </c>
      <c r="L152" s="16">
        <f t="shared" si="171"/>
        <v>0.15629182989279267</v>
      </c>
      <c r="M152" s="16">
        <f t="shared" si="171"/>
        <v>8.0095639007400257E-2</v>
      </c>
      <c r="N152" s="16">
        <f t="shared" si="171"/>
        <v>0.14241125032218319</v>
      </c>
      <c r="O152" s="16">
        <f t="shared" si="171"/>
        <v>0.15154588197825961</v>
      </c>
      <c r="P152" s="16">
        <f t="shared" si="171"/>
        <v>0.16087735733778666</v>
      </c>
      <c r="Q152" s="16">
        <f t="shared" si="171"/>
        <v>0.17381629148833444</v>
      </c>
      <c r="R152" s="16">
        <f t="shared" si="171"/>
        <v>9.7958265292555455E-2</v>
      </c>
      <c r="S152" s="16">
        <f t="shared" si="171"/>
        <v>0.1446195516942054</v>
      </c>
      <c r="T152" s="16">
        <f t="shared" si="171"/>
        <v>0.18473895582329319</v>
      </c>
      <c r="U152" s="16">
        <f t="shared" si="171"/>
        <v>0.16801976703141547</v>
      </c>
      <c r="V152" s="16">
        <f t="shared" si="171"/>
        <v>0.13897662665824384</v>
      </c>
      <c r="W152" s="16">
        <f t="shared" si="171"/>
        <v>5.9939759036144576E-2</v>
      </c>
      <c r="X152" s="16">
        <f t="shared" si="171"/>
        <v>0.13443357107314644</v>
      </c>
      <c r="Y152" s="16">
        <f t="shared" si="171"/>
        <v>0.11592602815346398</v>
      </c>
      <c r="Z152" s="16">
        <f t="shared" si="171"/>
        <v>0.15775109170305665</v>
      </c>
      <c r="AA152" s="16">
        <f t="shared" si="171"/>
        <v>0.13179074446680089</v>
      </c>
      <c r="AB152" s="16">
        <f t="shared" si="171"/>
        <v>1.8724696356275248E-2</v>
      </c>
      <c r="AC152" s="16">
        <f t="shared" si="171"/>
        <v>0.10489648373315814</v>
      </c>
      <c r="AD152" s="16">
        <f t="shared" si="171"/>
        <v>0.11372652737371065</v>
      </c>
      <c r="AE152" s="16">
        <f t="shared" si="171"/>
        <v>0.11052907281299106</v>
      </c>
      <c r="AF152" s="16">
        <f t="shared" si="171"/>
        <v>0.10178179155479616</v>
      </c>
      <c r="AG152" s="16">
        <f t="shared" si="171"/>
        <v>8.3652129558786051E-2</v>
      </c>
      <c r="AH152" s="16">
        <f t="shared" si="171"/>
        <v>0.10226035730293927</v>
      </c>
      <c r="AI152" s="16">
        <f t="shared" si="171"/>
        <v>0.14589823468328139</v>
      </c>
      <c r="AJ152" s="16">
        <f t="shared" si="171"/>
        <v>0.13470842882607584</v>
      </c>
      <c r="AK152" s="16">
        <f t="shared" si="171"/>
        <v>0.12923879535214608</v>
      </c>
      <c r="AL152" s="16">
        <f t="shared" si="171"/>
        <v>8.3611447707921144E-2</v>
      </c>
      <c r="AM152" s="16">
        <f t="shared" si="171"/>
        <v>0.12316187631274338</v>
      </c>
      <c r="AN152" s="16">
        <f t="shared" si="171"/>
        <v>0.1450892607500199</v>
      </c>
      <c r="AO152" s="16">
        <f t="shared" si="171"/>
        <v>0.13789483098285746</v>
      </c>
      <c r="AP152" s="16">
        <f t="shared" si="171"/>
        <v>0.128372809934618</v>
      </c>
      <c r="AQ152" s="16">
        <f t="shared" si="171"/>
        <v>8.2999175778429926E-2</v>
      </c>
      <c r="AR152" s="16">
        <f t="shared" si="171"/>
        <v>0.1234270691247808</v>
      </c>
      <c r="AS152" s="16">
        <f t="shared" si="171"/>
        <v>0.14661434752785199</v>
      </c>
      <c r="AT152" s="16">
        <f t="shared" si="171"/>
        <v>0.14134597348524366</v>
      </c>
      <c r="AU152" s="16">
        <f t="shared" si="171"/>
        <v>0.13182014476482773</v>
      </c>
      <c r="AV152" s="16">
        <f t="shared" si="171"/>
        <v>8.9601392278838524E-2</v>
      </c>
      <c r="AW152" s="16">
        <f t="shared" si="171"/>
        <v>0.12711054313672468</v>
      </c>
      <c r="AX152" s="16">
        <f t="shared" si="171"/>
        <v>0.15369297192353268</v>
      </c>
      <c r="AY152" s="16">
        <f t="shared" si="171"/>
        <v>0.14695862943554647</v>
      </c>
      <c r="AZ152" s="16">
        <f t="shared" si="171"/>
        <v>0.13984220245506479</v>
      </c>
      <c r="BA152" s="16">
        <f t="shared" si="171"/>
        <v>9.715729324709578E-2</v>
      </c>
      <c r="BB152" s="16">
        <f t="shared" si="171"/>
        <v>0.13420630978908363</v>
      </c>
      <c r="BC152" s="16">
        <f t="shared" si="171"/>
        <v>0.16221167061751723</v>
      </c>
      <c r="BD152" s="16">
        <f t="shared" si="171"/>
        <v>0.15604134985784368</v>
      </c>
      <c r="BE152" s="16">
        <f t="shared" si="171"/>
        <v>0.14841673728772817</v>
      </c>
      <c r="BF152" s="16">
        <f t="shared" si="171"/>
        <v>0.10765668946838804</v>
      </c>
      <c r="BG152" s="16">
        <f t="shared" si="171"/>
        <v>0.14336913767483012</v>
      </c>
      <c r="BH152" s="16">
        <f t="shared" si="171"/>
        <v>0.17237663186288071</v>
      </c>
      <c r="BI152" s="16">
        <f t="shared" si="171"/>
        <v>0.16541342199238696</v>
      </c>
      <c r="BJ152" s="16">
        <f t="shared" si="171"/>
        <v>0.15853993720845852</v>
      </c>
      <c r="BK152" s="16">
        <f t="shared" si="171"/>
        <v>0.11832660060826859</v>
      </c>
      <c r="BL152" s="16">
        <f t="shared" si="171"/>
        <v>0.15346930163362812</v>
      </c>
    </row>
    <row r="153" spans="1:64">
      <c r="A153" s="1" t="s">
        <v>28</v>
      </c>
      <c r="O153" s="16">
        <f t="shared" ref="O153:BL153" si="172">O151/J151-1</f>
        <v>-8.0778811448324883E-2</v>
      </c>
      <c r="P153" s="16">
        <f t="shared" si="172"/>
        <v>2.1465332195412135E-2</v>
      </c>
      <c r="Q153" s="16">
        <f t="shared" si="172"/>
        <v>0.25405306304182718</v>
      </c>
      <c r="R153" s="16">
        <f t="shared" si="172"/>
        <v>0.45628706097004712</v>
      </c>
      <c r="S153" s="16">
        <f t="shared" si="172"/>
        <v>0.12032724891665025</v>
      </c>
      <c r="T153" s="16">
        <f t="shared" si="172"/>
        <v>0.39918150647052308</v>
      </c>
      <c r="U153" s="16">
        <f t="shared" si="172"/>
        <v>0.20515482188520662</v>
      </c>
      <c r="V153" s="16">
        <f t="shared" si="172"/>
        <v>-8.1055115807940559E-2</v>
      </c>
      <c r="W153" s="16">
        <f t="shared" si="172"/>
        <v>-0.30744066262963743</v>
      </c>
      <c r="X153" s="16">
        <f t="shared" si="172"/>
        <v>6.4514434316635505E-2</v>
      </c>
      <c r="Y153" s="16">
        <f t="shared" si="172"/>
        <v>-0.16996047430830041</v>
      </c>
      <c r="Z153" s="16">
        <f t="shared" si="172"/>
        <v>0.2142857142857133</v>
      </c>
      <c r="AA153" s="16">
        <f t="shared" si="172"/>
        <v>0.19090909090909158</v>
      </c>
      <c r="AB153" s="16">
        <f t="shared" si="172"/>
        <v>-0.62814070351758899</v>
      </c>
      <c r="AC153" s="16">
        <f t="shared" si="172"/>
        <v>-1.5422578655150287E-2</v>
      </c>
      <c r="AD153" s="16">
        <f t="shared" si="172"/>
        <v>2.3809523809523725E-2</v>
      </c>
      <c r="AE153" s="16">
        <f t="shared" si="172"/>
        <v>-0.26989619377162588</v>
      </c>
      <c r="AF153" s="16">
        <f t="shared" si="172"/>
        <v>-0.20419847328244345</v>
      </c>
      <c r="AG153" s="16">
        <f t="shared" si="172"/>
        <v>3.4324324324324476</v>
      </c>
      <c r="AH153" s="16">
        <f t="shared" si="172"/>
        <v>6.2656641604097452E-4</v>
      </c>
      <c r="AI153" s="16">
        <f t="shared" si="172"/>
        <v>0.30697674418604626</v>
      </c>
      <c r="AJ153" s="16">
        <f t="shared" si="172"/>
        <v>0.25355450236966814</v>
      </c>
      <c r="AK153" s="16">
        <f t="shared" si="172"/>
        <v>0.30695443645083964</v>
      </c>
      <c r="AL153" s="16">
        <f t="shared" si="172"/>
        <v>2.1897442980293391E-2</v>
      </c>
      <c r="AM153" s="16">
        <f t="shared" si="172"/>
        <v>0.2343032944881227</v>
      </c>
      <c r="AN153" s="16">
        <f t="shared" si="172"/>
        <v>3.6044120816618452E-3</v>
      </c>
      <c r="AO153" s="16">
        <f t="shared" si="172"/>
        <v>4.8659468984652232E-2</v>
      </c>
      <c r="AP153" s="16">
        <f t="shared" si="172"/>
        <v>7.4669931689608227E-4</v>
      </c>
      <c r="AQ153" s="16">
        <f t="shared" si="172"/>
        <v>9.9530195060060223E-4</v>
      </c>
      <c r="AR153" s="16">
        <f t="shared" si="172"/>
        <v>1.4461928042885042E-2</v>
      </c>
      <c r="AS153" s="16">
        <f t="shared" si="172"/>
        <v>2.4811341164398426E-2</v>
      </c>
      <c r="AT153" s="16">
        <f t="shared" si="172"/>
        <v>4.6262661978293096E-2</v>
      </c>
      <c r="AU153" s="16">
        <f t="shared" si="172"/>
        <v>4.6723115195377751E-2</v>
      </c>
      <c r="AV153" s="16">
        <f t="shared" si="172"/>
        <v>0.10885567142857533</v>
      </c>
      <c r="AW153" s="16">
        <f t="shared" si="172"/>
        <v>5.0839869084397193E-2</v>
      </c>
      <c r="AX153" s="16">
        <f t="shared" si="172"/>
        <v>7.9064838428772655E-2</v>
      </c>
      <c r="AY153" s="16">
        <f t="shared" si="172"/>
        <v>6.452211846736855E-2</v>
      </c>
      <c r="AZ153" s="16">
        <f t="shared" si="172"/>
        <v>9.3384968050978401E-2</v>
      </c>
      <c r="BA153" s="16">
        <f t="shared" si="172"/>
        <v>0.11265495222249444</v>
      </c>
      <c r="BB153" s="16">
        <f t="shared" si="172"/>
        <v>8.4885554979381439E-2</v>
      </c>
      <c r="BC153" s="16">
        <f t="shared" si="172"/>
        <v>8.6870720627672871E-2</v>
      </c>
      <c r="BD153" s="16">
        <f t="shared" si="172"/>
        <v>9.4713308687118136E-2</v>
      </c>
      <c r="BE153" s="16">
        <f t="shared" si="172"/>
        <v>9.1562434949376215E-2</v>
      </c>
      <c r="BF153" s="16">
        <f t="shared" si="172"/>
        <v>0.14221580946385104</v>
      </c>
      <c r="BG153" s="16">
        <f t="shared" si="172"/>
        <v>0.1003303507452451</v>
      </c>
      <c r="BH153" s="16">
        <f t="shared" si="172"/>
        <v>9.5635418712124887E-2</v>
      </c>
      <c r="BI153" s="16">
        <f t="shared" si="172"/>
        <v>8.9754744126022468E-2</v>
      </c>
      <c r="BJ153" s="16">
        <f t="shared" si="172"/>
        <v>9.9876892632421832E-2</v>
      </c>
      <c r="BK153" s="16">
        <f t="shared" si="172"/>
        <v>0.12983682690064335</v>
      </c>
      <c r="BL153" s="16">
        <f t="shared" si="172"/>
        <v>0.10164851569249245</v>
      </c>
    </row>
    <row r="155" spans="1:64" s="2" customFormat="1">
      <c r="A155" s="4" t="s">
        <v>1653</v>
      </c>
      <c r="T155" s="68"/>
    </row>
    <row r="157" spans="1:64" s="79" customFormat="1">
      <c r="A157" s="165" t="s">
        <v>1748</v>
      </c>
      <c r="J157" s="379"/>
      <c r="K157" s="379"/>
      <c r="L157" s="379"/>
      <c r="M157" s="379"/>
      <c r="N157" s="379"/>
      <c r="O157" s="379"/>
      <c r="P157" s="379"/>
      <c r="Q157" s="379"/>
      <c r="R157" s="379"/>
      <c r="S157" s="379"/>
      <c r="T157" s="379"/>
      <c r="U157" s="379"/>
      <c r="V157" s="379"/>
      <c r="W157" s="379"/>
      <c r="X157" s="379"/>
      <c r="Y157" s="379"/>
      <c r="Z157" s="379"/>
      <c r="AA157" s="379"/>
      <c r="AB157" s="379"/>
      <c r="AC157" s="379"/>
      <c r="AD157" s="379"/>
      <c r="AE157" s="379"/>
      <c r="AF157" s="379">
        <f>Financial!AF6</f>
        <v>30.499999999999996</v>
      </c>
      <c r="AG157" s="379">
        <f>Financial!AG6</f>
        <v>35.674799999999998</v>
      </c>
      <c r="AH157" s="379"/>
      <c r="AI157" s="379">
        <f>Financial!AI6</f>
        <v>38.4</v>
      </c>
      <c r="AJ157" s="379">
        <f>Financial!AJ6</f>
        <v>38.4</v>
      </c>
      <c r="AK157" s="379">
        <f>Financial!AK6</f>
        <v>41.150099999999995</v>
      </c>
      <c r="AL157" s="379">
        <f>Financial!AL6</f>
        <v>40.246232401295082</v>
      </c>
      <c r="AM157" s="379">
        <f>SUM(AI157:AL157)</f>
        <v>158.19633240129508</v>
      </c>
      <c r="AN157" s="379">
        <f>Financial!AN6</f>
        <v>43.184505576041005</v>
      </c>
      <c r="AO157" s="379">
        <f>Financial!AO6</f>
        <v>43.02070557604101</v>
      </c>
      <c r="AP157" s="379">
        <f>Financial!AP6</f>
        <v>45.939385549044417</v>
      </c>
      <c r="AQ157" s="379">
        <f>Financial!AQ6</f>
        <v>44.743159425404997</v>
      </c>
      <c r="AR157" s="379">
        <f>SUM(AN157:AQ157)</f>
        <v>176.88775612653143</v>
      </c>
      <c r="AS157" s="379">
        <f>Financial!AS6</f>
        <v>47.736313885012116</v>
      </c>
      <c r="AT157" s="379">
        <f>Financial!AT6</f>
        <v>47.826560519657122</v>
      </c>
      <c r="AU157" s="379">
        <f>Financial!AU6</f>
        <v>50.491033867986914</v>
      </c>
      <c r="AV157" s="379">
        <f>Financial!AV6</f>
        <v>49.450376947902136</v>
      </c>
      <c r="AW157" s="379">
        <f>SUM(AS157:AV157)</f>
        <v>195.50428522055827</v>
      </c>
      <c r="AX157" s="379">
        <f>Financial!AX6</f>
        <v>51.874788017112351</v>
      </c>
      <c r="AY157" s="379">
        <f>Financial!AY6</f>
        <v>51.972857661662729</v>
      </c>
      <c r="AZ157" s="379">
        <f>Financial!AZ6</f>
        <v>54.868304161831801</v>
      </c>
      <c r="BA157" s="379">
        <f>Financial!BA6</f>
        <v>53.737463193977987</v>
      </c>
      <c r="BB157" s="379">
        <f>SUM(AX157:BA157)</f>
        <v>212.45341303458486</v>
      </c>
      <c r="BC157" s="379">
        <f>Financial!BC6</f>
        <v>55.230346337635815</v>
      </c>
      <c r="BD157" s="379">
        <f>Financial!BD6</f>
        <v>55.334426702336053</v>
      </c>
      <c r="BE157" s="379">
        <f>Financial!BE6</f>
        <v>58.408806786688906</v>
      </c>
      <c r="BF157" s="379">
        <f>Financial!BF6</f>
        <v>57.218211579859414</v>
      </c>
      <c r="BG157" s="379">
        <f>SUM(BC157:BF157)</f>
        <v>226.19179140652017</v>
      </c>
      <c r="BH157" s="379">
        <f>Financial!BH6</f>
        <v>58.779157988896067</v>
      </c>
      <c r="BI157" s="379">
        <f>Financial!BI6</f>
        <v>58.889604971649767</v>
      </c>
      <c r="BJ157" s="379">
        <f>Financial!BJ6</f>
        <v>62.153468042668237</v>
      </c>
      <c r="BK157" s="379">
        <f>Financial!BK6</f>
        <v>60.899285882813601</v>
      </c>
      <c r="BL157" s="379">
        <f>SUM(BH157:BK157)</f>
        <v>240.7215168860277</v>
      </c>
    </row>
    <row r="158" spans="1:64" s="79" customFormat="1">
      <c r="A158" s="165" t="s">
        <v>1749</v>
      </c>
      <c r="J158" s="379"/>
      <c r="K158" s="379"/>
      <c r="L158" s="379"/>
      <c r="M158" s="379"/>
      <c r="N158" s="379"/>
      <c r="O158" s="379"/>
      <c r="P158" s="379"/>
      <c r="Q158" s="379"/>
      <c r="R158" s="379"/>
      <c r="S158" s="379"/>
      <c r="T158" s="379"/>
      <c r="U158" s="379"/>
      <c r="V158" s="379"/>
      <c r="W158" s="379"/>
      <c r="X158" s="379"/>
      <c r="Y158" s="379"/>
      <c r="Z158" s="379"/>
      <c r="AA158" s="379"/>
      <c r="AB158" s="379"/>
      <c r="AC158" s="379"/>
      <c r="AD158" s="379"/>
      <c r="AE158" s="379"/>
      <c r="AF158" s="379">
        <f>Financial!AF7</f>
        <v>19.3</v>
      </c>
      <c r="AG158" s="379">
        <f>Financial!AG7</f>
        <v>19.1252</v>
      </c>
      <c r="AH158" s="379"/>
      <c r="AI158" s="379">
        <f>Financial!AI7</f>
        <v>14.200000000000003</v>
      </c>
      <c r="AJ158" s="379">
        <f>Financial!AJ7</f>
        <v>18.5</v>
      </c>
      <c r="AK158" s="379">
        <f>Financial!AK7</f>
        <v>20.249900000000004</v>
      </c>
      <c r="AL158" s="379">
        <f>Financial!AL7</f>
        <v>21.993979999999997</v>
      </c>
      <c r="AM158" s="379">
        <f>SUM(AI158:AL158)</f>
        <v>74.943880000000007</v>
      </c>
      <c r="AN158" s="379">
        <f>Financial!AN7</f>
        <v>15.975000000000003</v>
      </c>
      <c r="AO158" s="379">
        <f>Financial!AO7</f>
        <v>20.8125</v>
      </c>
      <c r="AP158" s="379">
        <f>Financial!AP7</f>
        <v>22.781137500000003</v>
      </c>
      <c r="AQ158" s="379">
        <f>Financial!AQ7</f>
        <v>24.743227499999996</v>
      </c>
      <c r="AR158" s="379">
        <f>SUM(AN158:AQ158)</f>
        <v>84.311865000000012</v>
      </c>
      <c r="AS158" s="379">
        <f>Financial!AS7</f>
        <v>17.572500000000005</v>
      </c>
      <c r="AT158" s="379">
        <f>Financial!AT7</f>
        <v>22.893750000000001</v>
      </c>
      <c r="AU158" s="379">
        <f>Financial!AU7</f>
        <v>25.059251250000006</v>
      </c>
      <c r="AV158" s="379">
        <f>Financial!AV7</f>
        <v>27.217550249999999</v>
      </c>
      <c r="AW158" s="379">
        <f>SUM(AS158:AV158)</f>
        <v>92.743051500000007</v>
      </c>
      <c r="AX158" s="379">
        <f>Financial!AX7</f>
        <v>18.978300000000008</v>
      </c>
      <c r="AY158" s="379">
        <f>Financial!AY7</f>
        <v>24.725250000000003</v>
      </c>
      <c r="AZ158" s="379">
        <f>Financial!AZ7</f>
        <v>27.063991350000009</v>
      </c>
      <c r="BA158" s="379">
        <f>Financial!BA7</f>
        <v>29.394954269999999</v>
      </c>
      <c r="BB158" s="379">
        <f>SUM(AX158:BA158)</f>
        <v>100.16249562000002</v>
      </c>
      <c r="BC158" s="379">
        <f>Financial!BC7</f>
        <v>20.116998000000009</v>
      </c>
      <c r="BD158" s="379">
        <f>Financial!BD7</f>
        <v>26.208765000000003</v>
      </c>
      <c r="BE158" s="379">
        <f>Financial!BE7</f>
        <v>28.68783083100001</v>
      </c>
      <c r="BF158" s="379">
        <f>Financial!BF7</f>
        <v>31.1586515262</v>
      </c>
      <c r="BG158" s="379">
        <f>SUM(BC158:BF158)</f>
        <v>106.17224535720003</v>
      </c>
      <c r="BH158" s="379">
        <f>Financial!BH7</f>
        <v>20.921677920000011</v>
      </c>
      <c r="BI158" s="379">
        <f>Financial!BI7</f>
        <v>27.257115600000006</v>
      </c>
      <c r="BJ158" s="379">
        <f>Financial!BJ7</f>
        <v>29.835344064240012</v>
      </c>
      <c r="BK158" s="379">
        <f>Financial!BK7</f>
        <v>32.404997587247998</v>
      </c>
      <c r="BL158" s="379">
        <f>SUM(BH158:BK158)</f>
        <v>110.41913517148802</v>
      </c>
    </row>
    <row r="159" spans="1:64">
      <c r="A159" s="9" t="s">
        <v>1401</v>
      </c>
      <c r="B159" s="9"/>
      <c r="C159" s="9"/>
      <c r="D159" s="9"/>
      <c r="E159" s="9"/>
      <c r="F159" s="9"/>
      <c r="G159" s="9"/>
      <c r="H159" s="9"/>
      <c r="I159" s="9"/>
      <c r="J159" s="378"/>
      <c r="K159" s="378"/>
      <c r="L159" s="378"/>
      <c r="M159" s="378"/>
      <c r="N159" s="378"/>
      <c r="O159" s="378"/>
      <c r="P159" s="378"/>
      <c r="Q159" s="378"/>
      <c r="R159" s="378"/>
      <c r="S159" s="378"/>
      <c r="T159" s="378"/>
      <c r="U159" s="378"/>
      <c r="V159" s="378"/>
      <c r="W159" s="378"/>
      <c r="X159" s="378"/>
      <c r="Y159" s="378">
        <f>Financial!Y8</f>
        <v>15.3</v>
      </c>
      <c r="Z159" s="378">
        <f>Financial!Z8</f>
        <v>15.7</v>
      </c>
      <c r="AA159" s="378">
        <f>Financial!AA8</f>
        <v>18.399999999999999</v>
      </c>
      <c r="AB159" s="378">
        <f>Financial!AB8</f>
        <v>18.100000000000001</v>
      </c>
      <c r="AC159" s="378">
        <f>SUM(Y159:AB159)</f>
        <v>67.5</v>
      </c>
      <c r="AD159" s="378">
        <f>Financial!AD8</f>
        <v>18.5</v>
      </c>
      <c r="AE159" s="378">
        <f>Financial!AE8</f>
        <v>19.3</v>
      </c>
      <c r="AF159" s="378">
        <f>Financial!AF8</f>
        <v>49.8</v>
      </c>
      <c r="AG159" s="378">
        <f>Financial!AG8</f>
        <v>54.8</v>
      </c>
      <c r="AH159" s="378">
        <f>SUM(AD159:AG159)</f>
        <v>142.39999999999998</v>
      </c>
      <c r="AI159" s="378">
        <f>Financial!AI8</f>
        <v>52.6</v>
      </c>
      <c r="AJ159" s="378">
        <f>Financial!AJ8</f>
        <v>56.9</v>
      </c>
      <c r="AK159" s="378">
        <f>Financial!AK8</f>
        <v>61.4</v>
      </c>
      <c r="AL159" s="378">
        <f>Financial!AL8</f>
        <v>62.240212401295082</v>
      </c>
      <c r="AM159" s="403">
        <f>SUM(AI159:AL159)</f>
        <v>233.14021240129509</v>
      </c>
      <c r="AN159" s="378">
        <f>Financial!AN8</f>
        <v>59.159505576041006</v>
      </c>
      <c r="AO159" s="378">
        <f>Financial!AO8</f>
        <v>63.83320557604101</v>
      </c>
      <c r="AP159" s="378">
        <f>Financial!AP8</f>
        <v>68.720523049044417</v>
      </c>
      <c r="AQ159" s="378">
        <f>Financial!AQ8</f>
        <v>69.486386925404986</v>
      </c>
      <c r="AR159" s="403">
        <f>SUM(AN159:AQ159)</f>
        <v>261.19962112653144</v>
      </c>
      <c r="AS159" s="378">
        <f>Financial!AS8</f>
        <v>65.308813885012114</v>
      </c>
      <c r="AT159" s="378">
        <f>Financial!AT8</f>
        <v>70.720310519657119</v>
      </c>
      <c r="AU159" s="378">
        <f>Financial!AU8</f>
        <v>75.550285117986917</v>
      </c>
      <c r="AV159" s="378">
        <f>Financial!AV8</f>
        <v>76.667927197902131</v>
      </c>
      <c r="AW159" s="403">
        <f>SUM(AS159:AV159)</f>
        <v>288.24733672055828</v>
      </c>
      <c r="AX159" s="378">
        <f>Financial!AX8</f>
        <v>70.853088017112356</v>
      </c>
      <c r="AY159" s="378">
        <f>Financial!AY8</f>
        <v>76.698107661662732</v>
      </c>
      <c r="AZ159" s="378">
        <f>Financial!AZ8</f>
        <v>81.932295511831811</v>
      </c>
      <c r="BA159" s="378">
        <f>Financial!BA8</f>
        <v>83.132417463977987</v>
      </c>
      <c r="BB159" s="403">
        <f>SUM(AX159:BA159)</f>
        <v>312.61590865458493</v>
      </c>
      <c r="BC159" s="378">
        <f>Financial!BC8</f>
        <v>75.347344337635832</v>
      </c>
      <c r="BD159" s="378">
        <f>Financial!BD8</f>
        <v>81.54319170233606</v>
      </c>
      <c r="BE159" s="378">
        <f>Financial!BE8</f>
        <v>87.096637617688913</v>
      </c>
      <c r="BF159" s="378">
        <f>Financial!BF8</f>
        <v>88.376863106059417</v>
      </c>
      <c r="BG159" s="403">
        <f>SUM(BC159:BF159)</f>
        <v>332.36403676372021</v>
      </c>
      <c r="BH159" s="378">
        <f>Financial!BH8</f>
        <v>79.700835908896082</v>
      </c>
      <c r="BI159" s="378">
        <f>Financial!BI8</f>
        <v>86.14672057164978</v>
      </c>
      <c r="BJ159" s="378">
        <f>Financial!BJ8</f>
        <v>91.988812106908256</v>
      </c>
      <c r="BK159" s="378">
        <f>Financial!BK8</f>
        <v>93.304283470061591</v>
      </c>
      <c r="BL159" s="403">
        <f>SUM(BH159:BK159)</f>
        <v>351.14065205751569</v>
      </c>
    </row>
    <row r="160" spans="1:64">
      <c r="A160" s="1" t="s">
        <v>28</v>
      </c>
      <c r="O160" s="16"/>
      <c r="P160" s="16"/>
      <c r="Q160" s="16"/>
      <c r="R160" s="16"/>
      <c r="S160" s="16"/>
      <c r="T160" s="16"/>
      <c r="U160" s="16"/>
      <c r="V160" s="16"/>
      <c r="W160" s="16"/>
      <c r="X160" s="16"/>
      <c r="Y160" s="16"/>
      <c r="Z160" s="16"/>
      <c r="AA160" s="16"/>
      <c r="AB160" s="16"/>
      <c r="AC160" s="16"/>
      <c r="AD160" s="16">
        <f t="shared" ref="AD160:BL160" si="173">AD159/Y159-1</f>
        <v>0.20915032679738554</v>
      </c>
      <c r="AE160" s="16">
        <f t="shared" si="173"/>
        <v>0.22929936305732501</v>
      </c>
      <c r="AF160" s="16">
        <f t="shared" si="173"/>
        <v>1.706521739130435</v>
      </c>
      <c r="AG160" s="16">
        <f t="shared" si="173"/>
        <v>2.027624309392265</v>
      </c>
      <c r="AH160" s="16">
        <f t="shared" si="173"/>
        <v>1.1096296296296293</v>
      </c>
      <c r="AI160" s="16">
        <f t="shared" si="173"/>
        <v>1.8432432432432435</v>
      </c>
      <c r="AJ160" s="16">
        <f t="shared" si="173"/>
        <v>1.9481865284974091</v>
      </c>
      <c r="AK160" s="16">
        <f t="shared" si="173"/>
        <v>0.23293172690763053</v>
      </c>
      <c r="AL160" s="16">
        <f t="shared" si="173"/>
        <v>0.13577029929370599</v>
      </c>
      <c r="AM160" s="16">
        <f t="shared" si="173"/>
        <v>0.63722059270572418</v>
      </c>
      <c r="AN160" s="16">
        <f t="shared" si="173"/>
        <v>0.12470542920230043</v>
      </c>
      <c r="AO160" s="16">
        <f t="shared" si="173"/>
        <v>0.12184895564219711</v>
      </c>
      <c r="AP160" s="16">
        <f t="shared" si="173"/>
        <v>0.11922675975642383</v>
      </c>
      <c r="AQ160" s="16">
        <f t="shared" si="173"/>
        <v>0.11642271522773795</v>
      </c>
      <c r="AR160" s="16">
        <f t="shared" si="173"/>
        <v>0.12035422133415064</v>
      </c>
      <c r="AS160" s="16">
        <f t="shared" si="173"/>
        <v>0.10394455209006193</v>
      </c>
      <c r="AT160" s="16">
        <f t="shared" si="173"/>
        <v>0.10789219938848094</v>
      </c>
      <c r="AU160" s="16">
        <f t="shared" si="173"/>
        <v>9.9384605441204865E-2</v>
      </c>
      <c r="AV160" s="16">
        <f t="shared" si="173"/>
        <v>0.10335175838407995</v>
      </c>
      <c r="AW160" s="16">
        <f t="shared" si="173"/>
        <v>0.10355189443756618</v>
      </c>
      <c r="AX160" s="16">
        <f t="shared" si="173"/>
        <v>8.489319897712333E-2</v>
      </c>
      <c r="AY160" s="16">
        <f t="shared" si="173"/>
        <v>8.4527303374100082E-2</v>
      </c>
      <c r="AZ160" s="16">
        <f t="shared" si="173"/>
        <v>8.4473677152615778E-2</v>
      </c>
      <c r="BA160" s="16">
        <f t="shared" si="173"/>
        <v>8.4318051920056813E-2</v>
      </c>
      <c r="BB160" s="16">
        <f t="shared" si="173"/>
        <v>8.4540492936629574E-2</v>
      </c>
      <c r="BC160" s="16">
        <f t="shared" si="173"/>
        <v>6.3430634377404038E-2</v>
      </c>
      <c r="BD160" s="16">
        <f t="shared" si="173"/>
        <v>6.317084199842804E-2</v>
      </c>
      <c r="BE160" s="16">
        <f t="shared" si="173"/>
        <v>6.3031824918311052E-2</v>
      </c>
      <c r="BF160" s="16">
        <f t="shared" si="173"/>
        <v>6.3085446111968313E-2</v>
      </c>
      <c r="BG160" s="16">
        <f t="shared" si="173"/>
        <v>6.3170579495221313E-2</v>
      </c>
      <c r="BH160" s="16">
        <f t="shared" si="173"/>
        <v>5.7778964999111393E-2</v>
      </c>
      <c r="BI160" s="16">
        <f t="shared" si="173"/>
        <v>5.6455097883810756E-2</v>
      </c>
      <c r="BJ160" s="16">
        <f t="shared" si="173"/>
        <v>5.6169498881157409E-2</v>
      </c>
      <c r="BK160" s="16">
        <f t="shared" si="173"/>
        <v>5.575464200498792E-2</v>
      </c>
      <c r="BL160" s="16">
        <f t="shared" si="173"/>
        <v>5.6494124564818282E-2</v>
      </c>
    </row>
    <row r="162" spans="1:64">
      <c r="A162" s="5" t="s">
        <v>1537</v>
      </c>
      <c r="AH162" s="379">
        <f>'Financial statements KK'!AH113</f>
        <v>288.78300000000002</v>
      </c>
      <c r="AI162" s="379">
        <f>'Financial statements KK'!AI113</f>
        <v>334.12099999999998</v>
      </c>
      <c r="AJ162" s="379">
        <f>'Financial statements KK'!AJ113</f>
        <v>432.53199999999998</v>
      </c>
      <c r="AK162" s="379">
        <f>'Financial statements KK'!AK113</f>
        <v>496.57</v>
      </c>
      <c r="AL162" s="379">
        <f>'Financial statements KK'!AL113</f>
        <v>511.57</v>
      </c>
      <c r="AM162" s="379">
        <f>'Financial statements KK'!AM113</f>
        <v>511.57</v>
      </c>
      <c r="AN162" s="379">
        <f>'Financial statements KK'!AN113</f>
        <v>551.56999999999994</v>
      </c>
      <c r="AO162" s="379">
        <f>'Financial statements KK'!AO113</f>
        <v>591.56999999999994</v>
      </c>
      <c r="AP162" s="379">
        <f>'Financial statements KK'!AP113</f>
        <v>631.56999999999994</v>
      </c>
      <c r="AQ162" s="379">
        <f>'Financial statements KK'!AQ113</f>
        <v>671.56999999999994</v>
      </c>
      <c r="AR162" s="379">
        <f>'Financial statements KK'!AR113</f>
        <v>671.56999999999994</v>
      </c>
      <c r="AS162" s="379">
        <f>'Financial statements KK'!AS113</f>
        <v>703.56999999999994</v>
      </c>
      <c r="AT162" s="379">
        <f>'Financial statements KK'!AT113</f>
        <v>735.56999999999994</v>
      </c>
      <c r="AU162" s="379">
        <f>'Financial statements KK'!AU113</f>
        <v>767.56999999999994</v>
      </c>
      <c r="AV162" s="379">
        <f>'Financial statements KK'!AV113</f>
        <v>799.56999999999994</v>
      </c>
      <c r="AW162" s="379">
        <f>'Financial statements KK'!AW113</f>
        <v>799.56999999999994</v>
      </c>
      <c r="AX162" s="379">
        <f>'Financial statements KK'!AX113</f>
        <v>825.17</v>
      </c>
      <c r="AY162" s="379">
        <f>'Financial statements KK'!AY113</f>
        <v>850.77</v>
      </c>
      <c r="AZ162" s="379">
        <f>'Financial statements KK'!AZ113</f>
        <v>876.37</v>
      </c>
      <c r="BA162" s="379">
        <f>'Financial statements KK'!BA113</f>
        <v>901.97</v>
      </c>
      <c r="BB162" s="379">
        <f>'Financial statements KK'!BB113</f>
        <v>901.97</v>
      </c>
      <c r="BC162" s="379">
        <f>'Financial statements KK'!BC113</f>
        <v>922.45</v>
      </c>
      <c r="BD162" s="379">
        <f>'Financial statements KK'!BD113</f>
        <v>942.93000000000006</v>
      </c>
      <c r="BE162" s="379">
        <f>'Financial statements KK'!BE113</f>
        <v>963.41000000000008</v>
      </c>
      <c r="BF162" s="379">
        <f>'Financial statements KK'!BF113</f>
        <v>983.8900000000001</v>
      </c>
      <c r="BG162" s="379">
        <f>'Financial statements KK'!BG113</f>
        <v>983.8900000000001</v>
      </c>
      <c r="BH162" s="379">
        <f>'Financial statements KK'!BH113</f>
        <v>1000.2740000000001</v>
      </c>
      <c r="BI162" s="379">
        <f>'Financial statements KK'!BI113</f>
        <v>1016.6580000000001</v>
      </c>
      <c r="BJ162" s="379">
        <f>'Financial statements KK'!BJ113</f>
        <v>1033.0420000000001</v>
      </c>
      <c r="BK162" s="379">
        <f>'Financial statements KK'!BK113</f>
        <v>1049.4260000000002</v>
      </c>
      <c r="BL162" s="379">
        <f>'Financial statements KK'!BL113</f>
        <v>1049.4260000000002</v>
      </c>
    </row>
    <row r="163" spans="1:64">
      <c r="A163" s="5" t="s">
        <v>6</v>
      </c>
      <c r="AH163" s="379">
        <f>'Financial statements KK'!AH114</f>
        <v>1528.65</v>
      </c>
      <c r="AI163" s="379">
        <f>'Financial statements KK'!AI114</f>
        <v>1579.6289999999999</v>
      </c>
      <c r="AJ163" s="379">
        <f>'Financial statements KK'!AJ114</f>
        <v>1635.7339999999999</v>
      </c>
      <c r="AK163" s="379">
        <f>'Financial statements KK'!AK114</f>
        <v>1668.316</v>
      </c>
      <c r="AL163" s="379">
        <f>'Financial statements KK'!AL114</f>
        <v>1708.316</v>
      </c>
      <c r="AM163" s="379">
        <f>'Financial statements KK'!AM114</f>
        <v>1708.316</v>
      </c>
      <c r="AN163" s="379">
        <f>'Financial statements KK'!AN114</f>
        <v>1733.316</v>
      </c>
      <c r="AO163" s="379">
        <f>'Financial statements KK'!AO114</f>
        <v>1765.816</v>
      </c>
      <c r="AP163" s="379">
        <f>'Financial statements KK'!AP114</f>
        <v>1790.816</v>
      </c>
      <c r="AQ163" s="379">
        <f>'Financial statements KK'!AQ114</f>
        <v>1823.316</v>
      </c>
      <c r="AR163" s="379">
        <f>'Financial statements KK'!AR114</f>
        <v>1823.316</v>
      </c>
      <c r="AS163" s="379">
        <f>'Financial statements KK'!AS114</f>
        <v>1845.816</v>
      </c>
      <c r="AT163" s="379">
        <f>'Financial statements KK'!AT114</f>
        <v>1875.066</v>
      </c>
      <c r="AU163" s="379">
        <f>'Financial statements KK'!AU114</f>
        <v>1897.566</v>
      </c>
      <c r="AV163" s="379">
        <f>'Financial statements KK'!AV114</f>
        <v>1926.816</v>
      </c>
      <c r="AW163" s="379">
        <f>'Financial statements KK'!AW114</f>
        <v>1926.816</v>
      </c>
      <c r="AX163" s="379">
        <f>'Financial statements KK'!AX114</f>
        <v>1947.066</v>
      </c>
      <c r="AY163" s="379">
        <f>'Financial statements KK'!AY114</f>
        <v>1973.3910000000001</v>
      </c>
      <c r="AZ163" s="379">
        <f>'Financial statements KK'!AZ114</f>
        <v>1993.6410000000001</v>
      </c>
      <c r="BA163" s="379">
        <f>'Financial statements KK'!BA114</f>
        <v>2019.9660000000001</v>
      </c>
      <c r="BB163" s="379">
        <f>'Financial statements KK'!BB114</f>
        <v>2019.9660000000001</v>
      </c>
      <c r="BC163" s="379">
        <f>'Financial statements KK'!BC114</f>
        <v>2049.9660000000003</v>
      </c>
      <c r="BD163" s="379">
        <f>'Financial statements KK'!BD114</f>
        <v>2079.9660000000003</v>
      </c>
      <c r="BE163" s="379">
        <f>'Financial statements KK'!BE114</f>
        <v>2109.9660000000003</v>
      </c>
      <c r="BF163" s="379">
        <f>'Financial statements KK'!BF114</f>
        <v>2139.9660000000003</v>
      </c>
      <c r="BG163" s="379">
        <f>'Financial statements KK'!BG114</f>
        <v>2139.9660000000003</v>
      </c>
      <c r="BH163" s="379">
        <f>'Financial statements KK'!BH114</f>
        <v>2169.9660000000003</v>
      </c>
      <c r="BI163" s="379">
        <f>'Financial statements KK'!BI114</f>
        <v>2199.9660000000003</v>
      </c>
      <c r="BJ163" s="379">
        <f>'Financial statements KK'!BJ114</f>
        <v>2229.9660000000003</v>
      </c>
      <c r="BK163" s="379">
        <f>'Financial statements KK'!BK114</f>
        <v>2259.9660000000003</v>
      </c>
      <c r="BL163" s="379">
        <f>'Financial statements KK'!BL114</f>
        <v>2259.9660000000003</v>
      </c>
    </row>
    <row r="164" spans="1:64">
      <c r="A164" s="9" t="s">
        <v>1750</v>
      </c>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403">
        <f>SUM(AH162:AH163)</f>
        <v>1817.433</v>
      </c>
      <c r="AI164" s="403">
        <f t="shared" ref="AI164:BL164" si="174">SUM(AI162:AI163)</f>
        <v>1913.75</v>
      </c>
      <c r="AJ164" s="403">
        <f t="shared" si="174"/>
        <v>2068.2660000000001</v>
      </c>
      <c r="AK164" s="403">
        <f t="shared" si="174"/>
        <v>2164.886</v>
      </c>
      <c r="AL164" s="403">
        <f t="shared" si="174"/>
        <v>2219.886</v>
      </c>
      <c r="AM164" s="403">
        <f t="shared" si="174"/>
        <v>2219.886</v>
      </c>
      <c r="AN164" s="403">
        <f t="shared" si="174"/>
        <v>2284.886</v>
      </c>
      <c r="AO164" s="403">
        <f t="shared" si="174"/>
        <v>2357.386</v>
      </c>
      <c r="AP164" s="403">
        <f t="shared" si="174"/>
        <v>2422.386</v>
      </c>
      <c r="AQ164" s="403">
        <f t="shared" si="174"/>
        <v>2494.886</v>
      </c>
      <c r="AR164" s="403">
        <f t="shared" si="174"/>
        <v>2494.886</v>
      </c>
      <c r="AS164" s="403">
        <f t="shared" si="174"/>
        <v>2549.386</v>
      </c>
      <c r="AT164" s="403">
        <f t="shared" si="174"/>
        <v>2610.636</v>
      </c>
      <c r="AU164" s="403">
        <f t="shared" si="174"/>
        <v>2665.136</v>
      </c>
      <c r="AV164" s="403">
        <f t="shared" si="174"/>
        <v>2726.386</v>
      </c>
      <c r="AW164" s="403">
        <f t="shared" si="174"/>
        <v>2726.386</v>
      </c>
      <c r="AX164" s="403">
        <f t="shared" si="174"/>
        <v>2772.2359999999999</v>
      </c>
      <c r="AY164" s="403">
        <f t="shared" si="174"/>
        <v>2824.1610000000001</v>
      </c>
      <c r="AZ164" s="403">
        <f t="shared" si="174"/>
        <v>2870.011</v>
      </c>
      <c r="BA164" s="403">
        <f t="shared" si="174"/>
        <v>2921.9360000000001</v>
      </c>
      <c r="BB164" s="403">
        <f t="shared" si="174"/>
        <v>2921.9360000000001</v>
      </c>
      <c r="BC164" s="403">
        <f t="shared" si="174"/>
        <v>2972.4160000000002</v>
      </c>
      <c r="BD164" s="403">
        <f t="shared" si="174"/>
        <v>3022.8960000000006</v>
      </c>
      <c r="BE164" s="403">
        <f t="shared" si="174"/>
        <v>3073.3760000000002</v>
      </c>
      <c r="BF164" s="403">
        <f t="shared" si="174"/>
        <v>3123.8560000000007</v>
      </c>
      <c r="BG164" s="403">
        <f t="shared" si="174"/>
        <v>3123.8560000000007</v>
      </c>
      <c r="BH164" s="403">
        <f t="shared" si="174"/>
        <v>3170.2400000000007</v>
      </c>
      <c r="BI164" s="403">
        <f t="shared" si="174"/>
        <v>3216.6240000000007</v>
      </c>
      <c r="BJ164" s="403">
        <f t="shared" si="174"/>
        <v>3263.0080000000007</v>
      </c>
      <c r="BK164" s="403">
        <f t="shared" si="174"/>
        <v>3309.3920000000007</v>
      </c>
      <c r="BL164" s="403">
        <f t="shared" si="174"/>
        <v>3309.3920000000007</v>
      </c>
    </row>
    <row r="165" spans="1:64">
      <c r="A165" s="1" t="s">
        <v>1751</v>
      </c>
      <c r="AH165" s="404"/>
      <c r="AI165" s="379"/>
      <c r="AJ165" s="379"/>
      <c r="AK165" s="379"/>
      <c r="AL165" s="379"/>
      <c r="AM165" s="114">
        <f>AM159/AM164</f>
        <v>0.10502350679327456</v>
      </c>
      <c r="AN165" s="114">
        <f>4*AN159/AN164</f>
        <v>0.10356666472820264</v>
      </c>
      <c r="AO165" s="114">
        <f t="shared" ref="AO165:AQ165" si="175">4*AO159/AO164</f>
        <v>0.10831184299226518</v>
      </c>
      <c r="AP165" s="114">
        <f t="shared" si="175"/>
        <v>0.11347575993098444</v>
      </c>
      <c r="AQ165" s="114">
        <f t="shared" si="175"/>
        <v>0.11140611142217317</v>
      </c>
      <c r="AR165" s="114">
        <f>AR159/AR164</f>
        <v>0.10469401051852928</v>
      </c>
      <c r="AS165" s="114">
        <f>4*AS159/AS164</f>
        <v>0.10246987138865925</v>
      </c>
      <c r="AT165" s="114">
        <f t="shared" ref="AT165:AV165" si="176">4*AT159/AT164</f>
        <v>0.108357213368171</v>
      </c>
      <c r="AU165" s="114">
        <f t="shared" si="176"/>
        <v>0.11339051383191989</v>
      </c>
      <c r="AV165" s="114">
        <f t="shared" si="176"/>
        <v>0.1124828651524797</v>
      </c>
      <c r="AW165" s="114">
        <f>AW159/AW164</f>
        <v>0.10572506487363062</v>
      </c>
      <c r="AX165" s="114">
        <f>4*AX159/AX164</f>
        <v>0.10223240448087732</v>
      </c>
      <c r="AY165" s="114">
        <f t="shared" ref="AY165:BA165" si="177">4*AY159/AY164</f>
        <v>0.10863135304490464</v>
      </c>
      <c r="AZ165" s="114">
        <f t="shared" si="177"/>
        <v>0.11419091496420301</v>
      </c>
      <c r="BA165" s="114">
        <f t="shared" si="177"/>
        <v>0.11380456993442428</v>
      </c>
      <c r="BB165" s="114">
        <f>BB159/BB164</f>
        <v>0.10698930731357049</v>
      </c>
      <c r="BC165" s="114">
        <f>4*BC159/BC164</f>
        <v>0.1013954228985927</v>
      </c>
      <c r="BD165" s="114">
        <f t="shared" ref="BD165:BF165" si="178">4*BD159/BD164</f>
        <v>0.10790075702549613</v>
      </c>
      <c r="BE165" s="114">
        <f t="shared" si="178"/>
        <v>0.11335630605261303</v>
      </c>
      <c r="BF165" s="114">
        <f t="shared" si="178"/>
        <v>0.1131638117839739</v>
      </c>
      <c r="BG165" s="114">
        <f>BG159/BG164</f>
        <v>0.10639544100743445</v>
      </c>
      <c r="BH165" s="114">
        <f>4*BH159/BH164</f>
        <v>0.10056126464734035</v>
      </c>
      <c r="BI165" s="114">
        <f t="shared" ref="BI165:BK165" si="179">4*BI159/BI164</f>
        <v>0.10712687659067366</v>
      </c>
      <c r="BJ165" s="114">
        <f t="shared" si="179"/>
        <v>0.11276565930197932</v>
      </c>
      <c r="BK165" s="114">
        <f t="shared" si="179"/>
        <v>0.11277513630305697</v>
      </c>
      <c r="BL165" s="114">
        <f>BL159/BL164</f>
        <v>0.10610427899067733</v>
      </c>
    </row>
    <row r="167" spans="1:64" s="79" customFormat="1">
      <c r="A167" s="165" t="s">
        <v>1723</v>
      </c>
      <c r="J167" s="379"/>
      <c r="K167" s="379"/>
      <c r="L167" s="379"/>
      <c r="M167" s="379"/>
      <c r="N167" s="379"/>
      <c r="O167" s="379"/>
      <c r="P167" s="379"/>
      <c r="Q167" s="379"/>
      <c r="R167" s="379"/>
      <c r="S167" s="379"/>
      <c r="T167" s="379"/>
      <c r="U167" s="379"/>
      <c r="V167" s="379"/>
      <c r="W167" s="379"/>
      <c r="X167" s="379"/>
      <c r="Y167" s="379">
        <f>Y169-Y168</f>
        <v>8.3999999999999986</v>
      </c>
      <c r="Z167" s="379">
        <f>Z169-Z168</f>
        <v>10.4</v>
      </c>
      <c r="AA167" s="379">
        <f>AA169-AA168</f>
        <v>11.7</v>
      </c>
      <c r="AB167" s="379">
        <f>AB169-AB168</f>
        <v>15.600000000000001</v>
      </c>
      <c r="AC167" s="379">
        <f>SUM(Y167:AB167)</f>
        <v>46.099999999999994</v>
      </c>
      <c r="AD167" s="379">
        <f>AD169-AD168</f>
        <v>14.700000000000001</v>
      </c>
      <c r="AE167" s="379">
        <f>AE169-AE168</f>
        <v>13.700000000000001</v>
      </c>
      <c r="AF167" s="379">
        <f>AF169-AF168</f>
        <v>48.3</v>
      </c>
      <c r="AG167" s="379">
        <f>AG169-AG168</f>
        <v>64.900000000000006</v>
      </c>
      <c r="AH167" s="379">
        <f>SUM(AD167:AG167)</f>
        <v>141.60000000000002</v>
      </c>
      <c r="AI167" s="379">
        <f>AI169-AI168</f>
        <v>49.199999999999996</v>
      </c>
      <c r="AJ167" s="379">
        <f>AJ169-AJ168</f>
        <v>51.9</v>
      </c>
      <c r="AK167" s="379">
        <f>AK169-AK168</f>
        <v>57.8</v>
      </c>
      <c r="AL167" s="386">
        <f>AL172*AL159</f>
        <v>65.352223021359833</v>
      </c>
      <c r="AM167" s="386">
        <f>SUM(AI167:AL167)</f>
        <v>224.25222302135981</v>
      </c>
      <c r="AN167" s="386">
        <f>AN172*AN159</f>
        <v>53.391453782377006</v>
      </c>
      <c r="AO167" s="386">
        <f>AO172*AO159</f>
        <v>57.609468032377009</v>
      </c>
      <c r="AP167" s="386">
        <f>AP172*AP159</f>
        <v>62.020272051762582</v>
      </c>
      <c r="AQ167" s="386">
        <f>AQ172*AQ159</f>
        <v>71.223546598540111</v>
      </c>
      <c r="AR167" s="386">
        <f>SUM(AN167:AQ167)</f>
        <v>244.24474046505671</v>
      </c>
      <c r="AS167" s="386">
        <f>AS172*AS159</f>
        <v>58.451388427085845</v>
      </c>
      <c r="AT167" s="386">
        <f>AT172*AT159</f>
        <v>63.294677915093125</v>
      </c>
      <c r="AU167" s="386">
        <f>AU172*AU159</f>
        <v>67.617505180598286</v>
      </c>
      <c r="AV167" s="386">
        <f>AV172*AV159</f>
        <v>77.817946105870661</v>
      </c>
      <c r="AW167" s="386">
        <f>SUM(AS167:AV167)</f>
        <v>267.1815176286479</v>
      </c>
      <c r="AX167" s="386">
        <f>AX172*AX159</f>
        <v>62.882115615187217</v>
      </c>
      <c r="AY167" s="386">
        <f>AY172*AY159</f>
        <v>68.069570549725682</v>
      </c>
      <c r="AZ167" s="386">
        <f>AZ172*AZ159</f>
        <v>72.714912266750744</v>
      </c>
      <c r="BA167" s="386">
        <f>BA172*BA159</f>
        <v>83.548079551297874</v>
      </c>
      <c r="BB167" s="386">
        <f>SUM(AX167:BA167)</f>
        <v>287.21467798296152</v>
      </c>
      <c r="BC167" s="386">
        <f>BC172*BC159</f>
        <v>66.305663017119542</v>
      </c>
      <c r="BD167" s="386">
        <f>BD172*BD159</f>
        <v>71.758008698055747</v>
      </c>
      <c r="BE167" s="386">
        <f>BE172*BE159</f>
        <v>76.645041103566257</v>
      </c>
      <c r="BF167" s="386">
        <f>BF172*BF159</f>
        <v>87.934978790529115</v>
      </c>
      <c r="BG167" s="386">
        <f>SUM(BC167:BF167)</f>
        <v>302.64369160927066</v>
      </c>
      <c r="BH167" s="386">
        <f>BH172*BH159</f>
        <v>69.53897933051185</v>
      </c>
      <c r="BI167" s="386">
        <f>BI172*BI159</f>
        <v>75.163013698764445</v>
      </c>
      <c r="BJ167" s="386">
        <f>BJ172*BJ159</f>
        <v>80.260238563277468</v>
      </c>
      <c r="BK167" s="386">
        <f>BK172*BK159</f>
        <v>91.904719218010655</v>
      </c>
      <c r="BL167" s="386">
        <f>SUM(BH167:BK167)</f>
        <v>316.86695081056445</v>
      </c>
    </row>
    <row r="168" spans="1:64" s="79" customFormat="1">
      <c r="A168" s="165" t="s">
        <v>1114</v>
      </c>
      <c r="J168" s="375"/>
      <c r="K168" s="375"/>
      <c r="L168" s="375"/>
      <c r="M168" s="375"/>
      <c r="N168" s="379"/>
      <c r="O168" s="375"/>
      <c r="P168" s="375"/>
      <c r="Q168" s="375"/>
      <c r="R168" s="375"/>
      <c r="S168" s="379"/>
      <c r="T168" s="375"/>
      <c r="U168" s="375"/>
      <c r="V168" s="375"/>
      <c r="W168" s="375"/>
      <c r="X168" s="379"/>
      <c r="Y168" s="376">
        <v>2.2000000000000002</v>
      </c>
      <c r="Z168" s="376">
        <v>0.9</v>
      </c>
      <c r="AA168" s="376">
        <v>1.9</v>
      </c>
      <c r="AB168" s="376">
        <v>2</v>
      </c>
      <c r="AC168" s="379">
        <f>SUM(Y168:AB168)</f>
        <v>7</v>
      </c>
      <c r="AD168" s="376">
        <v>1.9</v>
      </c>
      <c r="AE168" s="376">
        <v>2.4</v>
      </c>
      <c r="AF168" s="376">
        <v>4.0999999999999996</v>
      </c>
      <c r="AG168" s="376">
        <v>4.5999999999999996</v>
      </c>
      <c r="AH168" s="379">
        <f>SUM(AD168:AG168)</f>
        <v>12.999999999999998</v>
      </c>
      <c r="AI168" s="376">
        <v>5.2</v>
      </c>
      <c r="AJ168" s="376">
        <v>5.0999999999999996</v>
      </c>
      <c r="AK168" s="376">
        <v>5.2</v>
      </c>
      <c r="AL168" s="386">
        <f>AL173*AL159</f>
        <v>5.6016191161165576</v>
      </c>
      <c r="AM168" s="386">
        <f>SUM(AI168:AL168)</f>
        <v>21.101619116116559</v>
      </c>
      <c r="AN168" s="386">
        <f>AN173*AN159</f>
        <v>5.176456737903588</v>
      </c>
      <c r="AO168" s="386">
        <f>AO173*AO159</f>
        <v>5.5854054879035884</v>
      </c>
      <c r="AP168" s="386">
        <f>AP173*AP159</f>
        <v>6.0130457667913859</v>
      </c>
      <c r="AQ168" s="386">
        <f>AQ173*AQ159</f>
        <v>6.0800588559729363</v>
      </c>
      <c r="AR168" s="386">
        <f>SUM(AN168:AQ168)</f>
        <v>22.8549668485715</v>
      </c>
      <c r="AS168" s="386">
        <f>AS173*AS159</f>
        <v>5.5512491802260291</v>
      </c>
      <c r="AT168" s="386">
        <f>AT173*AT159</f>
        <v>6.0112263941708548</v>
      </c>
      <c r="AU168" s="386">
        <f>AU173*AU159</f>
        <v>6.4217742350288871</v>
      </c>
      <c r="AV168" s="386">
        <f>AV173*AV159</f>
        <v>6.5167738118216807</v>
      </c>
      <c r="AW168" s="386">
        <f>SUM(AS168:AV168)</f>
        <v>24.501023621247455</v>
      </c>
      <c r="AX168" s="386">
        <f>AX173*AX159</f>
        <v>5.8453797614117686</v>
      </c>
      <c r="AY168" s="386">
        <f>AY173*AY159</f>
        <v>6.3275938820871742</v>
      </c>
      <c r="AZ168" s="386">
        <f>AZ173*AZ159</f>
        <v>6.7594143797261239</v>
      </c>
      <c r="BA168" s="386">
        <f>BA173*BA159</f>
        <v>6.8584244407781831</v>
      </c>
      <c r="BB168" s="386">
        <f>SUM(AX168:BA168)</f>
        <v>25.790812464003249</v>
      </c>
      <c r="BC168" s="386">
        <f>BC173*BC159</f>
        <v>6.0277875470108659</v>
      </c>
      <c r="BD168" s="386">
        <f>BD173*BD159</f>
        <v>6.5234553361868839</v>
      </c>
      <c r="BE168" s="386">
        <f>BE173*BE159</f>
        <v>6.9677310094151119</v>
      </c>
      <c r="BF168" s="386">
        <f>BF173*BF159</f>
        <v>7.070149048484752</v>
      </c>
      <c r="BG168" s="386">
        <f>SUM(BC168:BF168)</f>
        <v>26.589122941097614</v>
      </c>
      <c r="BH168" s="386">
        <f>BH173*BH159</f>
        <v>6.1768147829394451</v>
      </c>
      <c r="BI168" s="386">
        <f>BI173*BI159</f>
        <v>6.6763708443028564</v>
      </c>
      <c r="BJ168" s="386">
        <f>BJ173*BJ159</f>
        <v>7.1291329382853883</v>
      </c>
      <c r="BK168" s="386">
        <f>BK173*BK159</f>
        <v>7.2310819689297716</v>
      </c>
      <c r="BL168" s="386">
        <f>SUM(BH168:BK168)</f>
        <v>27.21340053445746</v>
      </c>
    </row>
    <row r="169" spans="1:64" s="79" customFormat="1">
      <c r="A169" s="402" t="s">
        <v>1724</v>
      </c>
      <c r="B169" s="314"/>
      <c r="C169" s="314"/>
      <c r="D169" s="314"/>
      <c r="E169" s="314"/>
      <c r="F169" s="314"/>
      <c r="G169" s="314"/>
      <c r="H169" s="314"/>
      <c r="I169" s="314"/>
      <c r="J169" s="378"/>
      <c r="K169" s="378"/>
      <c r="L169" s="378"/>
      <c r="M169" s="378"/>
      <c r="N169" s="403"/>
      <c r="O169" s="378"/>
      <c r="P169" s="378"/>
      <c r="Q169" s="378"/>
      <c r="R169" s="378"/>
      <c r="S169" s="403"/>
      <c r="T169" s="378"/>
      <c r="U169" s="378"/>
      <c r="V169" s="378"/>
      <c r="W169" s="378"/>
      <c r="X169" s="403"/>
      <c r="Y169" s="395">
        <v>10.6</v>
      </c>
      <c r="Z169" s="395">
        <v>11.3</v>
      </c>
      <c r="AA169" s="395">
        <v>13.6</v>
      </c>
      <c r="AB169" s="395">
        <v>17.600000000000001</v>
      </c>
      <c r="AC169" s="403">
        <f>SUM(Y169:AB169)</f>
        <v>53.1</v>
      </c>
      <c r="AD169" s="395">
        <v>16.600000000000001</v>
      </c>
      <c r="AE169" s="395">
        <v>16.100000000000001</v>
      </c>
      <c r="AF169" s="395">
        <v>52.4</v>
      </c>
      <c r="AG169" s="395">
        <v>69.5</v>
      </c>
      <c r="AH169" s="403">
        <f>SUM(AD169:AG169)</f>
        <v>154.6</v>
      </c>
      <c r="AI169" s="395">
        <v>54.4</v>
      </c>
      <c r="AJ169" s="395">
        <v>57</v>
      </c>
      <c r="AK169" s="395">
        <v>63</v>
      </c>
      <c r="AL169" s="388">
        <f>SUM(AL167:AL168)</f>
        <v>70.953842137476386</v>
      </c>
      <c r="AM169" s="388">
        <f>SUM(AI169:AL169)</f>
        <v>245.35384213747639</v>
      </c>
      <c r="AN169" s="388">
        <f>SUM(AN167:AN168)</f>
        <v>58.567910520280591</v>
      </c>
      <c r="AO169" s="388">
        <f>SUM(AO167:AO168)</f>
        <v>63.194873520280595</v>
      </c>
      <c r="AP169" s="388">
        <f>SUM(AP167:AP168)</f>
        <v>68.033317818553968</v>
      </c>
      <c r="AQ169" s="388">
        <f>SUM(AQ167:AQ168)</f>
        <v>77.303605454513047</v>
      </c>
      <c r="AR169" s="388">
        <f>SUM(AN169:AQ169)</f>
        <v>267.09970731362819</v>
      </c>
      <c r="AS169" s="388">
        <f>SUM(AS167:AS168)</f>
        <v>64.002637607311868</v>
      </c>
      <c r="AT169" s="388">
        <f>SUM(AT167:AT168)</f>
        <v>69.30590430926398</v>
      </c>
      <c r="AU169" s="388">
        <f>SUM(AU167:AU168)</f>
        <v>74.039279415627178</v>
      </c>
      <c r="AV169" s="388">
        <f>SUM(AV167:AV168)</f>
        <v>84.33471991769234</v>
      </c>
      <c r="AW169" s="388">
        <f>SUM(AS169:AV169)</f>
        <v>291.68254124989534</v>
      </c>
      <c r="AX169" s="388">
        <f>SUM(AX167:AX168)</f>
        <v>68.727495376598981</v>
      </c>
      <c r="AY169" s="388">
        <f>SUM(AY167:AY168)</f>
        <v>74.397164431812854</v>
      </c>
      <c r="AZ169" s="388">
        <f>SUM(AZ167:AZ168)</f>
        <v>79.474326646476868</v>
      </c>
      <c r="BA169" s="388">
        <f>SUM(BA167:BA168)</f>
        <v>90.406503992076054</v>
      </c>
      <c r="BB169" s="388">
        <f>SUM(AX169:BA169)</f>
        <v>313.00549044696476</v>
      </c>
      <c r="BC169" s="388">
        <f>SUM(BC167:BC168)</f>
        <v>72.333450564130402</v>
      </c>
      <c r="BD169" s="388">
        <f>SUM(BD167:BD168)</f>
        <v>78.281464034242632</v>
      </c>
      <c r="BE169" s="388">
        <f>SUM(BE167:BE168)</f>
        <v>83.612772112981375</v>
      </c>
      <c r="BF169" s="388">
        <f>SUM(BF167:BF168)</f>
        <v>95.005127839013866</v>
      </c>
      <c r="BG169" s="388">
        <f>SUM(BC169:BF169)</f>
        <v>329.23281455036829</v>
      </c>
      <c r="BH169" s="388">
        <f>SUM(BH167:BH168)</f>
        <v>75.715794113451295</v>
      </c>
      <c r="BI169" s="388">
        <f>SUM(BI167:BI168)</f>
        <v>81.839384543067297</v>
      </c>
      <c r="BJ169" s="388">
        <f>SUM(BJ167:BJ168)</f>
        <v>87.389371501562863</v>
      </c>
      <c r="BK169" s="388">
        <f>SUM(BK167:BK168)</f>
        <v>99.135801186940427</v>
      </c>
      <c r="BL169" s="388">
        <f>SUM(BH169:BK169)</f>
        <v>344.08035134502188</v>
      </c>
    </row>
    <row r="171" spans="1:64" s="26" customFormat="1">
      <c r="A171" s="189" t="s">
        <v>1752</v>
      </c>
    </row>
    <row r="172" spans="1:64" s="26" customFormat="1">
      <c r="A172" s="29" t="s">
        <v>1723</v>
      </c>
      <c r="J172" s="260"/>
      <c r="K172" s="260"/>
      <c r="L172" s="260"/>
      <c r="M172" s="260"/>
      <c r="N172" s="260"/>
      <c r="O172" s="260"/>
      <c r="P172" s="260"/>
      <c r="Q172" s="260"/>
      <c r="R172" s="260"/>
      <c r="S172" s="260"/>
      <c r="T172" s="260"/>
      <c r="U172" s="260"/>
      <c r="V172" s="260"/>
      <c r="W172" s="260"/>
      <c r="X172" s="260"/>
      <c r="Y172" s="260">
        <f t="shared" ref="Y172:AK172" si="180">Y167/Y159</f>
        <v>0.54901960784313719</v>
      </c>
      <c r="Z172" s="260">
        <f t="shared" si="180"/>
        <v>0.66242038216560517</v>
      </c>
      <c r="AA172" s="260">
        <f t="shared" si="180"/>
        <v>0.63586956521739135</v>
      </c>
      <c r="AB172" s="260">
        <f t="shared" si="180"/>
        <v>0.86187845303867405</v>
      </c>
      <c r="AC172" s="260">
        <f t="shared" si="180"/>
        <v>0.68296296296296288</v>
      </c>
      <c r="AD172" s="260">
        <f t="shared" si="180"/>
        <v>0.79459459459459469</v>
      </c>
      <c r="AE172" s="260">
        <f t="shared" si="180"/>
        <v>0.70984455958549231</v>
      </c>
      <c r="AF172" s="260">
        <f t="shared" si="180"/>
        <v>0.96987951807228912</v>
      </c>
      <c r="AG172" s="260">
        <f t="shared" si="180"/>
        <v>1.1843065693430659</v>
      </c>
      <c r="AH172" s="260">
        <f t="shared" si="180"/>
        <v>0.99438202247191043</v>
      </c>
      <c r="AI172" s="260">
        <f t="shared" si="180"/>
        <v>0.93536121673003791</v>
      </c>
      <c r="AJ172" s="260">
        <f t="shared" si="180"/>
        <v>0.91212653778558872</v>
      </c>
      <c r="AK172" s="260">
        <f t="shared" si="180"/>
        <v>0.94136807817589574</v>
      </c>
      <c r="AL172" s="405">
        <v>1.05</v>
      </c>
      <c r="AM172" s="260">
        <f>AM167/AM159</f>
        <v>0.96187706407062579</v>
      </c>
      <c r="AN172" s="405">
        <v>0.90249999999999997</v>
      </c>
      <c r="AO172" s="405">
        <v>0.90249999999999997</v>
      </c>
      <c r="AP172" s="405">
        <v>0.90249999999999997</v>
      </c>
      <c r="AQ172" s="405">
        <v>1.0249999999999999</v>
      </c>
      <c r="AR172" s="260">
        <f>AR167/AR159</f>
        <v>0.93508841786083075</v>
      </c>
      <c r="AS172" s="405">
        <f>AN172-0.75%</f>
        <v>0.89500000000000002</v>
      </c>
      <c r="AT172" s="405">
        <f t="shared" ref="AT172:AU172" si="181">AO172-0.75%</f>
        <v>0.89500000000000002</v>
      </c>
      <c r="AU172" s="405">
        <f t="shared" si="181"/>
        <v>0.89500000000000002</v>
      </c>
      <c r="AV172" s="405">
        <f>AQ172-1%</f>
        <v>1.0149999999999999</v>
      </c>
      <c r="AW172" s="260">
        <f>AW167/AW159</f>
        <v>0.92691755860928327</v>
      </c>
      <c r="AX172" s="405">
        <f>AS172-0.75%</f>
        <v>0.88750000000000007</v>
      </c>
      <c r="AY172" s="405">
        <f t="shared" ref="AY172:AZ172" si="182">AT172-0.75%</f>
        <v>0.88750000000000007</v>
      </c>
      <c r="AZ172" s="405">
        <f t="shared" si="182"/>
        <v>0.88750000000000007</v>
      </c>
      <c r="BA172" s="405">
        <f>AV172-1%</f>
        <v>1.0049999999999999</v>
      </c>
      <c r="BB172" s="260">
        <f>BB167/BB159</f>
        <v>0.91874619951062797</v>
      </c>
      <c r="BC172" s="405">
        <f>AX172-0.75%</f>
        <v>0.88000000000000012</v>
      </c>
      <c r="BD172" s="405">
        <f t="shared" ref="BD172:BE172" si="183">AY172-0.75%</f>
        <v>0.88000000000000012</v>
      </c>
      <c r="BE172" s="405">
        <f t="shared" si="183"/>
        <v>0.88000000000000012</v>
      </c>
      <c r="BF172" s="405">
        <f>BA172-1%</f>
        <v>0.99499999999999988</v>
      </c>
      <c r="BG172" s="260">
        <f>BG167/BG159</f>
        <v>0.91057893795056433</v>
      </c>
      <c r="BH172" s="405">
        <f>BC172-0.75%</f>
        <v>0.87250000000000016</v>
      </c>
      <c r="BI172" s="405">
        <f t="shared" ref="BI172:BJ172" si="184">BD172-0.75%</f>
        <v>0.87250000000000016</v>
      </c>
      <c r="BJ172" s="405">
        <f t="shared" si="184"/>
        <v>0.87250000000000016</v>
      </c>
      <c r="BK172" s="405">
        <f>BF172-1%</f>
        <v>0.98499999999999988</v>
      </c>
      <c r="BL172" s="260">
        <f>BL167/BL159</f>
        <v>0.90239324029808621</v>
      </c>
    </row>
    <row r="173" spans="1:64" s="26" customFormat="1">
      <c r="A173" s="29" t="s">
        <v>1114</v>
      </c>
      <c r="J173" s="260"/>
      <c r="K173" s="260"/>
      <c r="L173" s="260"/>
      <c r="M173" s="260"/>
      <c r="N173" s="260"/>
      <c r="O173" s="260"/>
      <c r="P173" s="260"/>
      <c r="Q173" s="260"/>
      <c r="R173" s="260"/>
      <c r="S173" s="260"/>
      <c r="T173" s="260"/>
      <c r="U173" s="260"/>
      <c r="V173" s="260"/>
      <c r="W173" s="260"/>
      <c r="X173" s="260"/>
      <c r="Y173" s="260">
        <f t="shared" ref="Y173:AK173" si="185">Y168/Y159</f>
        <v>0.14379084967320263</v>
      </c>
      <c r="Z173" s="260">
        <f t="shared" si="185"/>
        <v>5.7324840764331211E-2</v>
      </c>
      <c r="AA173" s="260">
        <f t="shared" si="185"/>
        <v>0.10326086956521739</v>
      </c>
      <c r="AB173" s="260">
        <f t="shared" si="185"/>
        <v>0.11049723756906077</v>
      </c>
      <c r="AC173" s="260">
        <f t="shared" si="185"/>
        <v>0.1037037037037037</v>
      </c>
      <c r="AD173" s="260">
        <f t="shared" si="185"/>
        <v>0.10270270270270269</v>
      </c>
      <c r="AE173" s="260">
        <f t="shared" si="185"/>
        <v>0.12435233160621761</v>
      </c>
      <c r="AF173" s="260">
        <f t="shared" si="185"/>
        <v>8.2329317269076302E-2</v>
      </c>
      <c r="AG173" s="260">
        <f t="shared" si="185"/>
        <v>8.3941605839416053E-2</v>
      </c>
      <c r="AH173" s="260">
        <f t="shared" si="185"/>
        <v>9.1292134831460675E-2</v>
      </c>
      <c r="AI173" s="260">
        <f t="shared" si="185"/>
        <v>9.8859315589353611E-2</v>
      </c>
      <c r="AJ173" s="260">
        <f t="shared" si="185"/>
        <v>8.9630931458699464E-2</v>
      </c>
      <c r="AK173" s="260">
        <f t="shared" si="185"/>
        <v>8.4690553745928349E-2</v>
      </c>
      <c r="AL173" s="405">
        <v>0.09</v>
      </c>
      <c r="AM173" s="260">
        <f>AM168/AM159</f>
        <v>9.0510422456831136E-2</v>
      </c>
      <c r="AN173" s="405">
        <v>8.7499999999999994E-2</v>
      </c>
      <c r="AO173" s="405">
        <v>8.7499999999999994E-2</v>
      </c>
      <c r="AP173" s="405">
        <v>8.7499999999999994E-2</v>
      </c>
      <c r="AQ173" s="405">
        <v>8.7499999999999994E-2</v>
      </c>
      <c r="AR173" s="260">
        <f>AR168/AR159</f>
        <v>8.7499999999999994E-2</v>
      </c>
      <c r="AS173" s="405">
        <f>AN173-0.25%</f>
        <v>8.4999999999999992E-2</v>
      </c>
      <c r="AT173" s="405">
        <f t="shared" ref="AT173:AV173" si="186">AO173-0.25%</f>
        <v>8.4999999999999992E-2</v>
      </c>
      <c r="AU173" s="405">
        <f t="shared" si="186"/>
        <v>8.4999999999999992E-2</v>
      </c>
      <c r="AV173" s="405">
        <f t="shared" si="186"/>
        <v>8.4999999999999992E-2</v>
      </c>
      <c r="AW173" s="260">
        <f>AW168/AW159</f>
        <v>8.5000000000000006E-2</v>
      </c>
      <c r="AX173" s="405">
        <f>AS173-0.25%</f>
        <v>8.249999999999999E-2</v>
      </c>
      <c r="AY173" s="405">
        <f t="shared" ref="AY173:BA173" si="187">AT173-0.25%</f>
        <v>8.249999999999999E-2</v>
      </c>
      <c r="AZ173" s="405">
        <f t="shared" si="187"/>
        <v>8.249999999999999E-2</v>
      </c>
      <c r="BA173" s="405">
        <f t="shared" si="187"/>
        <v>8.249999999999999E-2</v>
      </c>
      <c r="BB173" s="260">
        <f>BB168/BB159</f>
        <v>8.2499999999999976E-2</v>
      </c>
      <c r="BC173" s="405">
        <f>AX173-0.25%</f>
        <v>7.9999999999999988E-2</v>
      </c>
      <c r="BD173" s="405">
        <f t="shared" ref="BD173:BF173" si="188">AY173-0.25%</f>
        <v>7.9999999999999988E-2</v>
      </c>
      <c r="BE173" s="405">
        <f t="shared" si="188"/>
        <v>7.9999999999999988E-2</v>
      </c>
      <c r="BF173" s="405">
        <f t="shared" si="188"/>
        <v>7.9999999999999988E-2</v>
      </c>
      <c r="BG173" s="260">
        <f>BG168/BG159</f>
        <v>7.9999999999999988E-2</v>
      </c>
      <c r="BH173" s="405">
        <f>BC173-0.25%</f>
        <v>7.7499999999999986E-2</v>
      </c>
      <c r="BI173" s="405">
        <f t="shared" ref="BI173:BK173" si="189">BD173-0.25%</f>
        <v>7.7499999999999986E-2</v>
      </c>
      <c r="BJ173" s="405">
        <f t="shared" si="189"/>
        <v>7.7499999999999986E-2</v>
      </c>
      <c r="BK173" s="405">
        <f t="shared" si="189"/>
        <v>7.7499999999999986E-2</v>
      </c>
      <c r="BL173" s="260">
        <f>BL168/BL159</f>
        <v>7.7499999999999986E-2</v>
      </c>
    </row>
    <row r="174" spans="1:64" s="26" customFormat="1">
      <c r="A174" s="406" t="s">
        <v>1724</v>
      </c>
      <c r="B174" s="174"/>
      <c r="C174" s="174"/>
      <c r="D174" s="174"/>
      <c r="E174" s="174"/>
      <c r="F174" s="174"/>
      <c r="G174" s="174"/>
      <c r="H174" s="174"/>
      <c r="I174" s="174"/>
      <c r="J174" s="407"/>
      <c r="K174" s="407"/>
      <c r="L174" s="407"/>
      <c r="M174" s="407"/>
      <c r="N174" s="407"/>
      <c r="O174" s="407"/>
      <c r="P174" s="407"/>
      <c r="Q174" s="407"/>
      <c r="R174" s="407"/>
      <c r="S174" s="407"/>
      <c r="T174" s="407"/>
      <c r="U174" s="407"/>
      <c r="V174" s="407"/>
      <c r="W174" s="407"/>
      <c r="X174" s="407"/>
      <c r="Y174" s="407">
        <f t="shared" ref="Y174:BL174" si="190">Y169/Y159</f>
        <v>0.69281045751633985</v>
      </c>
      <c r="Z174" s="407">
        <f t="shared" si="190"/>
        <v>0.71974522292993637</v>
      </c>
      <c r="AA174" s="407">
        <f t="shared" si="190"/>
        <v>0.73913043478260876</v>
      </c>
      <c r="AB174" s="407">
        <f t="shared" si="190"/>
        <v>0.97237569060773477</v>
      </c>
      <c r="AC174" s="407">
        <f t="shared" si="190"/>
        <v>0.78666666666666674</v>
      </c>
      <c r="AD174" s="407">
        <f t="shared" si="190"/>
        <v>0.89729729729729735</v>
      </c>
      <c r="AE174" s="407">
        <f t="shared" si="190"/>
        <v>0.83419689119170992</v>
      </c>
      <c r="AF174" s="407">
        <f t="shared" si="190"/>
        <v>1.0522088353413654</v>
      </c>
      <c r="AG174" s="407">
        <f t="shared" si="190"/>
        <v>1.2682481751824819</v>
      </c>
      <c r="AH174" s="407">
        <f t="shared" si="190"/>
        <v>1.085674157303371</v>
      </c>
      <c r="AI174" s="407">
        <f t="shared" si="190"/>
        <v>1.0342205323193916</v>
      </c>
      <c r="AJ174" s="407">
        <f t="shared" si="190"/>
        <v>1.0017574692442883</v>
      </c>
      <c r="AK174" s="407">
        <f t="shared" si="190"/>
        <v>1.0260586319218241</v>
      </c>
      <c r="AL174" s="407">
        <f t="shared" si="190"/>
        <v>1.1399999999999999</v>
      </c>
      <c r="AM174" s="407">
        <f t="shared" si="190"/>
        <v>1.052387486527457</v>
      </c>
      <c r="AN174" s="407">
        <f t="shared" si="190"/>
        <v>0.98999999999999988</v>
      </c>
      <c r="AO174" s="407">
        <f t="shared" si="190"/>
        <v>0.98999999999999988</v>
      </c>
      <c r="AP174" s="407">
        <f t="shared" si="190"/>
        <v>0.99</v>
      </c>
      <c r="AQ174" s="407">
        <f t="shared" si="190"/>
        <v>1.1125</v>
      </c>
      <c r="AR174" s="407">
        <f t="shared" si="190"/>
        <v>1.0225884178608307</v>
      </c>
      <c r="AS174" s="407">
        <f t="shared" si="190"/>
        <v>0.98</v>
      </c>
      <c r="AT174" s="407">
        <f t="shared" si="190"/>
        <v>0.98000000000000009</v>
      </c>
      <c r="AU174" s="407">
        <f t="shared" si="190"/>
        <v>0.98</v>
      </c>
      <c r="AV174" s="407">
        <f t="shared" si="190"/>
        <v>1.0999999999999999</v>
      </c>
      <c r="AW174" s="407">
        <f t="shared" si="190"/>
        <v>1.0119175586092832</v>
      </c>
      <c r="AX174" s="407">
        <f t="shared" si="190"/>
        <v>0.97</v>
      </c>
      <c r="AY174" s="407">
        <f t="shared" si="190"/>
        <v>0.97000000000000008</v>
      </c>
      <c r="AZ174" s="407">
        <f t="shared" si="190"/>
        <v>0.9700000000000002</v>
      </c>
      <c r="BA174" s="407">
        <f t="shared" si="190"/>
        <v>1.0874999999999999</v>
      </c>
      <c r="BB174" s="407">
        <f t="shared" si="190"/>
        <v>1.0012461995106279</v>
      </c>
      <c r="BC174" s="407">
        <f t="shared" si="190"/>
        <v>0.96000000000000008</v>
      </c>
      <c r="BD174" s="407">
        <f t="shared" si="190"/>
        <v>0.96000000000000019</v>
      </c>
      <c r="BE174" s="407">
        <f t="shared" si="190"/>
        <v>0.96000000000000019</v>
      </c>
      <c r="BF174" s="407">
        <f t="shared" si="190"/>
        <v>1.075</v>
      </c>
      <c r="BG174" s="407">
        <f t="shared" si="190"/>
        <v>0.9905789379505644</v>
      </c>
      <c r="BH174" s="407">
        <f t="shared" si="190"/>
        <v>0.95000000000000018</v>
      </c>
      <c r="BI174" s="407">
        <f t="shared" si="190"/>
        <v>0.95000000000000007</v>
      </c>
      <c r="BJ174" s="407">
        <f t="shared" si="190"/>
        <v>0.95000000000000018</v>
      </c>
      <c r="BK174" s="407">
        <f t="shared" si="190"/>
        <v>1.0624999999999998</v>
      </c>
      <c r="BL174" s="407">
        <f t="shared" si="190"/>
        <v>0.97989324029808611</v>
      </c>
    </row>
    <row r="175" spans="1:64" s="26" customFormat="1"/>
    <row r="176" spans="1:64" s="26" customFormat="1">
      <c r="A176" s="189" t="s">
        <v>1753</v>
      </c>
    </row>
    <row r="177" spans="1:64" s="26" customFormat="1">
      <c r="A177" s="29" t="s">
        <v>1723</v>
      </c>
      <c r="O177" s="208"/>
      <c r="P177" s="208"/>
      <c r="Q177" s="208"/>
      <c r="R177" s="208"/>
      <c r="S177" s="208"/>
      <c r="T177" s="208"/>
      <c r="U177" s="208"/>
      <c r="V177" s="208"/>
      <c r="W177" s="208"/>
      <c r="X177" s="208"/>
      <c r="Y177" s="208"/>
      <c r="Z177" s="208"/>
      <c r="AA177" s="208"/>
      <c r="AB177" s="208"/>
      <c r="AC177" s="208"/>
      <c r="AD177" s="208">
        <f t="shared" ref="AD177:BL179" si="191">AD167/Y167-1</f>
        <v>0.75000000000000044</v>
      </c>
      <c r="AE177" s="208">
        <f t="shared" si="191"/>
        <v>0.31730769230769229</v>
      </c>
      <c r="AF177" s="208">
        <f t="shared" si="191"/>
        <v>3.1282051282051286</v>
      </c>
      <c r="AG177" s="208">
        <f t="shared" si="191"/>
        <v>3.1602564102564106</v>
      </c>
      <c r="AH177" s="208">
        <f t="shared" si="191"/>
        <v>2.071583514099784</v>
      </c>
      <c r="AI177" s="208">
        <f t="shared" si="191"/>
        <v>2.3469387755102034</v>
      </c>
      <c r="AJ177" s="208">
        <f t="shared" si="191"/>
        <v>2.7883211678832112</v>
      </c>
      <c r="AK177" s="208">
        <f t="shared" si="191"/>
        <v>0.19668737060041419</v>
      </c>
      <c r="AL177" s="208">
        <f t="shared" si="191"/>
        <v>6.9679972474550045E-3</v>
      </c>
      <c r="AM177" s="208">
        <f t="shared" si="191"/>
        <v>0.58370213998135445</v>
      </c>
      <c r="AN177" s="208">
        <f t="shared" si="191"/>
        <v>8.5192150048313264E-2</v>
      </c>
      <c r="AO177" s="208">
        <f t="shared" si="191"/>
        <v>0.11000901796487494</v>
      </c>
      <c r="AP177" s="208">
        <f t="shared" si="191"/>
        <v>7.30150874007367E-2</v>
      </c>
      <c r="AQ177" s="208">
        <f t="shared" si="191"/>
        <v>8.9841222008030019E-2</v>
      </c>
      <c r="AR177" s="208">
        <f t="shared" si="191"/>
        <v>8.9151925338071702E-2</v>
      </c>
      <c r="AS177" s="208">
        <f t="shared" si="191"/>
        <v>9.4770497640560114E-2</v>
      </c>
      <c r="AT177" s="208">
        <f t="shared" si="191"/>
        <v>9.868533900575116E-2</v>
      </c>
      <c r="AU177" s="208">
        <f t="shared" si="191"/>
        <v>9.024844528518372E-2</v>
      </c>
      <c r="AV177" s="208">
        <f t="shared" si="191"/>
        <v>9.258735098521087E-2</v>
      </c>
      <c r="AW177" s="208">
        <f t="shared" si="191"/>
        <v>9.3908991120620122E-2</v>
      </c>
      <c r="AX177" s="208">
        <f t="shared" si="191"/>
        <v>7.5801915186812119E-2</v>
      </c>
      <c r="AY177" s="208">
        <f t="shared" si="191"/>
        <v>7.543908574806002E-2</v>
      </c>
      <c r="AZ177" s="208">
        <f t="shared" si="191"/>
        <v>7.5385908908320198E-2</v>
      </c>
      <c r="BA177" s="208">
        <f t="shared" si="191"/>
        <v>7.3635115447938215E-2</v>
      </c>
      <c r="BB177" s="208">
        <f t="shared" si="191"/>
        <v>7.4979588903142158E-2</v>
      </c>
      <c r="BC177" s="208">
        <f t="shared" si="191"/>
        <v>5.4443896622102139E-2</v>
      </c>
      <c r="BD177" s="208">
        <f t="shared" si="191"/>
        <v>5.4186299671680871E-2</v>
      </c>
      <c r="BE177" s="208">
        <f t="shared" si="191"/>
        <v>5.4048457383790049E-2</v>
      </c>
      <c r="BF177" s="208">
        <f t="shared" si="191"/>
        <v>5.2507481474038276E-2</v>
      </c>
      <c r="BG177" s="208">
        <f t="shared" si="191"/>
        <v>5.3719446842561469E-2</v>
      </c>
      <c r="BH177" s="208">
        <f t="shared" si="191"/>
        <v>4.8763803365596381E-2</v>
      </c>
      <c r="BI177" s="208">
        <f t="shared" si="191"/>
        <v>4.7451219208664464E-2</v>
      </c>
      <c r="BJ177" s="208">
        <f t="shared" si="191"/>
        <v>4.7168054288420302E-2</v>
      </c>
      <c r="BK177" s="208">
        <f t="shared" si="191"/>
        <v>4.5144042587852429E-2</v>
      </c>
      <c r="BL177" s="208">
        <f t="shared" si="191"/>
        <v>4.6996714604105483E-2</v>
      </c>
    </row>
    <row r="178" spans="1:64" s="26" customFormat="1">
      <c r="A178" s="29" t="s">
        <v>1114</v>
      </c>
      <c r="O178" s="208"/>
      <c r="P178" s="208"/>
      <c r="Q178" s="208"/>
      <c r="R178" s="208"/>
      <c r="S178" s="208"/>
      <c r="T178" s="208"/>
      <c r="U178" s="208"/>
      <c r="V178" s="208"/>
      <c r="W178" s="208"/>
      <c r="X178" s="208"/>
      <c r="Y178" s="208"/>
      <c r="Z178" s="208"/>
      <c r="AA178" s="208"/>
      <c r="AB178" s="208"/>
      <c r="AC178" s="208"/>
      <c r="AD178" s="208">
        <f t="shared" si="191"/>
        <v>-0.13636363636363646</v>
      </c>
      <c r="AE178" s="208">
        <f t="shared" si="191"/>
        <v>1.6666666666666665</v>
      </c>
      <c r="AF178" s="208">
        <f t="shared" si="191"/>
        <v>1.1578947368421053</v>
      </c>
      <c r="AG178" s="208">
        <f t="shared" si="191"/>
        <v>1.2999999999999998</v>
      </c>
      <c r="AH178" s="208">
        <f t="shared" si="191"/>
        <v>0.85714285714285698</v>
      </c>
      <c r="AI178" s="208">
        <f t="shared" si="191"/>
        <v>1.736842105263158</v>
      </c>
      <c r="AJ178" s="208">
        <f t="shared" si="191"/>
        <v>1.125</v>
      </c>
      <c r="AK178" s="208">
        <f t="shared" si="191"/>
        <v>0.26829268292682951</v>
      </c>
      <c r="AL178" s="208">
        <f t="shared" si="191"/>
        <v>0.21774328611229521</v>
      </c>
      <c r="AM178" s="208">
        <f t="shared" si="191"/>
        <v>0.62320147047050489</v>
      </c>
      <c r="AN178" s="208">
        <f t="shared" si="191"/>
        <v>-4.5275504031562219E-3</v>
      </c>
      <c r="AO178" s="208">
        <f t="shared" si="191"/>
        <v>9.5177546647762457E-2</v>
      </c>
      <c r="AP178" s="208">
        <f t="shared" si="191"/>
        <v>0.15635495515218967</v>
      </c>
      <c r="AQ178" s="208">
        <f t="shared" si="191"/>
        <v>8.541097313807855E-2</v>
      </c>
      <c r="AR178" s="208">
        <f t="shared" si="191"/>
        <v>8.309067293873218E-2</v>
      </c>
      <c r="AS178" s="208">
        <f t="shared" si="191"/>
        <v>7.2403279173202995E-2</v>
      </c>
      <c r="AT178" s="208">
        <f t="shared" si="191"/>
        <v>7.6238136548810065E-2</v>
      </c>
      <c r="AU178" s="208">
        <f t="shared" si="191"/>
        <v>6.7973616714313234E-2</v>
      </c>
      <c r="AV178" s="208">
        <f t="shared" si="191"/>
        <v>7.1827422430249088E-2</v>
      </c>
      <c r="AW178" s="208">
        <f t="shared" si="191"/>
        <v>7.2021840310778629E-2</v>
      </c>
      <c r="AX178" s="208">
        <f t="shared" si="191"/>
        <v>5.2984575477796003E-2</v>
      </c>
      <c r="AY178" s="208">
        <f t="shared" si="191"/>
        <v>5.2629441510155806E-2</v>
      </c>
      <c r="AZ178" s="208">
        <f t="shared" si="191"/>
        <v>5.2577392530479994E-2</v>
      </c>
      <c r="BA178" s="208">
        <f t="shared" si="191"/>
        <v>5.242634451064343E-2</v>
      </c>
      <c r="BB178" s="208">
        <f t="shared" si="191"/>
        <v>5.2642243144375378E-2</v>
      </c>
      <c r="BC178" s="208">
        <f t="shared" si="191"/>
        <v>3.1205463638694697E-2</v>
      </c>
      <c r="BD178" s="208">
        <f t="shared" si="191"/>
        <v>3.0953543756051527E-2</v>
      </c>
      <c r="BE178" s="208">
        <f t="shared" si="191"/>
        <v>3.0818739314725674E-2</v>
      </c>
      <c r="BF178" s="208">
        <f t="shared" si="191"/>
        <v>3.0870735623726775E-2</v>
      </c>
      <c r="BG178" s="208">
        <f t="shared" si="191"/>
        <v>3.0953289207487522E-2</v>
      </c>
      <c r="BH178" s="208">
        <f t="shared" si="191"/>
        <v>2.4723372342889016E-2</v>
      </c>
      <c r="BI178" s="208">
        <f t="shared" si="191"/>
        <v>2.3440876074941386E-2</v>
      </c>
      <c r="BJ178" s="208">
        <f t="shared" si="191"/>
        <v>2.3164202041121129E-2</v>
      </c>
      <c r="BK178" s="208">
        <f t="shared" si="191"/>
        <v>2.2762309442332151E-2</v>
      </c>
      <c r="BL178" s="208">
        <f t="shared" si="191"/>
        <v>2.3478683172167614E-2</v>
      </c>
    </row>
    <row r="179" spans="1:64" s="26" customFormat="1">
      <c r="A179" s="406" t="s">
        <v>1724</v>
      </c>
      <c r="B179" s="174"/>
      <c r="C179" s="174"/>
      <c r="D179" s="174"/>
      <c r="E179" s="174"/>
      <c r="F179" s="174"/>
      <c r="G179" s="174"/>
      <c r="H179" s="174"/>
      <c r="I179" s="174"/>
      <c r="J179" s="174"/>
      <c r="K179" s="174"/>
      <c r="L179" s="174"/>
      <c r="M179" s="174"/>
      <c r="N179" s="174"/>
      <c r="O179" s="408"/>
      <c r="P179" s="408"/>
      <c r="Q179" s="408"/>
      <c r="R179" s="408"/>
      <c r="S179" s="408"/>
      <c r="T179" s="408"/>
      <c r="U179" s="408"/>
      <c r="V179" s="408"/>
      <c r="W179" s="408"/>
      <c r="X179" s="408"/>
      <c r="Y179" s="408"/>
      <c r="Z179" s="408"/>
      <c r="AA179" s="408"/>
      <c r="AB179" s="408"/>
      <c r="AC179" s="408"/>
      <c r="AD179" s="408">
        <f t="shared" si="191"/>
        <v>0.5660377358490567</v>
      </c>
      <c r="AE179" s="408">
        <f t="shared" si="191"/>
        <v>0.4247787610619469</v>
      </c>
      <c r="AF179" s="408">
        <f t="shared" si="191"/>
        <v>2.8529411764705883</v>
      </c>
      <c r="AG179" s="408">
        <f t="shared" si="191"/>
        <v>2.9488636363636362</v>
      </c>
      <c r="AH179" s="408">
        <f t="shared" si="191"/>
        <v>1.9114877589453858</v>
      </c>
      <c r="AI179" s="408">
        <f t="shared" si="191"/>
        <v>2.2771084337349392</v>
      </c>
      <c r="AJ179" s="408">
        <f t="shared" si="191"/>
        <v>2.5403726708074532</v>
      </c>
      <c r="AK179" s="408">
        <f t="shared" si="191"/>
        <v>0.20229007633587792</v>
      </c>
      <c r="AL179" s="408">
        <f t="shared" si="191"/>
        <v>2.0918591906134987E-2</v>
      </c>
      <c r="AM179" s="408">
        <f t="shared" si="191"/>
        <v>0.58702355845715659</v>
      </c>
      <c r="AN179" s="408">
        <f t="shared" si="191"/>
        <v>7.6616002211040257E-2</v>
      </c>
      <c r="AO179" s="408">
        <f t="shared" si="191"/>
        <v>0.10868199158387015</v>
      </c>
      <c r="AP179" s="408">
        <f t="shared" si="191"/>
        <v>7.9893933627840807E-2</v>
      </c>
      <c r="AQ179" s="408">
        <f t="shared" si="191"/>
        <v>8.9491465518297009E-2</v>
      </c>
      <c r="AR179" s="408">
        <f t="shared" si="191"/>
        <v>8.8630628266123335E-2</v>
      </c>
      <c r="AS179" s="408">
        <f t="shared" si="191"/>
        <v>9.2793597018445251E-2</v>
      </c>
      <c r="AT179" s="408">
        <f t="shared" si="191"/>
        <v>9.6701369091627631E-2</v>
      </c>
      <c r="AU179" s="408">
        <f t="shared" si="191"/>
        <v>8.8279710436748315E-2</v>
      </c>
      <c r="AV179" s="408">
        <f t="shared" si="191"/>
        <v>9.0954547615719417E-2</v>
      </c>
      <c r="AW179" s="408">
        <f t="shared" si="191"/>
        <v>9.2036169502057952E-2</v>
      </c>
      <c r="AX179" s="408">
        <f t="shared" si="191"/>
        <v>7.3822860212050534E-2</v>
      </c>
      <c r="AY179" s="408">
        <f t="shared" si="191"/>
        <v>7.3460698237629574E-2</v>
      </c>
      <c r="AZ179" s="408">
        <f t="shared" si="191"/>
        <v>7.3407619222487064E-2</v>
      </c>
      <c r="BA179" s="408">
        <f t="shared" si="191"/>
        <v>7.1996255875510728E-2</v>
      </c>
      <c r="BB179" s="408">
        <f t="shared" si="191"/>
        <v>7.3103275587554695E-2</v>
      </c>
      <c r="BC179" s="408">
        <f t="shared" si="191"/>
        <v>5.246743196114223E-2</v>
      </c>
      <c r="BD179" s="408">
        <f t="shared" si="191"/>
        <v>5.2210317854114674E-2</v>
      </c>
      <c r="BE179" s="408">
        <f t="shared" si="191"/>
        <v>5.2072733939771743E-2</v>
      </c>
      <c r="BF179" s="408">
        <f t="shared" si="191"/>
        <v>5.0866073168152504E-2</v>
      </c>
      <c r="BG179" s="408">
        <f t="shared" si="191"/>
        <v>5.1843576546313219E-2</v>
      </c>
      <c r="BH179" s="408">
        <f t="shared" si="191"/>
        <v>4.6760434113704008E-2</v>
      </c>
      <c r="BI179" s="408">
        <f t="shared" si="191"/>
        <v>4.5450357280854226E-2</v>
      </c>
      <c r="BJ179" s="408">
        <f t="shared" si="191"/>
        <v>4.5167733267811983E-2</v>
      </c>
      <c r="BK179" s="408">
        <f t="shared" si="191"/>
        <v>4.3478425237488016E-2</v>
      </c>
      <c r="BL179" s="408">
        <f t="shared" si="191"/>
        <v>4.5097378324608473E-2</v>
      </c>
    </row>
    <row r="180" spans="1:64" s="26" customFormat="1"/>
    <row r="181" spans="1:64" s="26" customFormat="1">
      <c r="A181" s="174" t="s">
        <v>1754</v>
      </c>
      <c r="B181" s="174"/>
      <c r="C181" s="174"/>
      <c r="D181" s="174"/>
      <c r="E181" s="174"/>
      <c r="F181" s="174"/>
      <c r="G181" s="174"/>
      <c r="H181" s="174"/>
      <c r="I181" s="174"/>
      <c r="J181" s="388"/>
      <c r="K181" s="388"/>
      <c r="L181" s="388"/>
      <c r="M181" s="388"/>
      <c r="N181" s="388"/>
      <c r="O181" s="388"/>
      <c r="P181" s="388"/>
      <c r="Q181" s="388"/>
      <c r="R181" s="388"/>
      <c r="S181" s="388"/>
      <c r="T181" s="388"/>
      <c r="U181" s="388"/>
      <c r="V181" s="388"/>
      <c r="W181" s="388"/>
      <c r="X181" s="388"/>
      <c r="Y181" s="388">
        <f t="shared" ref="Y181:BL181" si="192">Y159-Y167</f>
        <v>6.9000000000000021</v>
      </c>
      <c r="Z181" s="388">
        <f t="shared" si="192"/>
        <v>5.2999999999999989</v>
      </c>
      <c r="AA181" s="388">
        <f t="shared" si="192"/>
        <v>6.6999999999999993</v>
      </c>
      <c r="AB181" s="388">
        <f t="shared" si="192"/>
        <v>2.5</v>
      </c>
      <c r="AC181" s="388">
        <f t="shared" si="192"/>
        <v>21.400000000000006</v>
      </c>
      <c r="AD181" s="388">
        <f t="shared" si="192"/>
        <v>3.7999999999999989</v>
      </c>
      <c r="AE181" s="388">
        <f t="shared" si="192"/>
        <v>5.6</v>
      </c>
      <c r="AF181" s="388">
        <f t="shared" si="192"/>
        <v>1.5</v>
      </c>
      <c r="AG181" s="388">
        <f t="shared" si="192"/>
        <v>-10.100000000000009</v>
      </c>
      <c r="AH181" s="388">
        <f t="shared" si="192"/>
        <v>0.79999999999995453</v>
      </c>
      <c r="AI181" s="388">
        <f t="shared" si="192"/>
        <v>3.4000000000000057</v>
      </c>
      <c r="AJ181" s="388">
        <f t="shared" si="192"/>
        <v>5</v>
      </c>
      <c r="AK181" s="388">
        <f t="shared" si="192"/>
        <v>3.6000000000000014</v>
      </c>
      <c r="AL181" s="388">
        <f t="shared" si="192"/>
        <v>-3.1120106200647513</v>
      </c>
      <c r="AM181" s="388">
        <f t="shared" si="192"/>
        <v>8.8879893799352772</v>
      </c>
      <c r="AN181" s="388">
        <f t="shared" si="192"/>
        <v>5.7680517936640001</v>
      </c>
      <c r="AO181" s="388">
        <f t="shared" si="192"/>
        <v>6.2237375436640008</v>
      </c>
      <c r="AP181" s="388">
        <f t="shared" si="192"/>
        <v>6.7002509972818345</v>
      </c>
      <c r="AQ181" s="388">
        <f t="shared" si="192"/>
        <v>-1.7371596731351246</v>
      </c>
      <c r="AR181" s="388">
        <f t="shared" si="192"/>
        <v>16.954880661474732</v>
      </c>
      <c r="AS181" s="388">
        <f t="shared" si="192"/>
        <v>6.8574254579262686</v>
      </c>
      <c r="AT181" s="388">
        <f t="shared" si="192"/>
        <v>7.4256326045639938</v>
      </c>
      <c r="AU181" s="388">
        <f t="shared" si="192"/>
        <v>7.9327799373886307</v>
      </c>
      <c r="AV181" s="388">
        <f t="shared" si="192"/>
        <v>-1.1500189079685299</v>
      </c>
      <c r="AW181" s="388">
        <f t="shared" si="192"/>
        <v>21.065819091910384</v>
      </c>
      <c r="AX181" s="388">
        <f t="shared" si="192"/>
        <v>7.9709724019251382</v>
      </c>
      <c r="AY181" s="388">
        <f t="shared" si="192"/>
        <v>8.6285371119370495</v>
      </c>
      <c r="AZ181" s="388">
        <f t="shared" si="192"/>
        <v>9.2173832450810664</v>
      </c>
      <c r="BA181" s="388">
        <f t="shared" si="192"/>
        <v>-0.41566208731988752</v>
      </c>
      <c r="BB181" s="388">
        <f t="shared" si="192"/>
        <v>25.401230671623409</v>
      </c>
      <c r="BC181" s="388">
        <f t="shared" si="192"/>
        <v>9.0416813205162896</v>
      </c>
      <c r="BD181" s="388">
        <f t="shared" si="192"/>
        <v>9.785183004280313</v>
      </c>
      <c r="BE181" s="388">
        <f t="shared" si="192"/>
        <v>10.451596514122656</v>
      </c>
      <c r="BF181" s="388">
        <f t="shared" si="192"/>
        <v>0.44188431553030227</v>
      </c>
      <c r="BG181" s="388">
        <f t="shared" si="192"/>
        <v>29.720345154449546</v>
      </c>
      <c r="BH181" s="388">
        <f t="shared" si="192"/>
        <v>10.161856578384231</v>
      </c>
      <c r="BI181" s="388">
        <f t="shared" si="192"/>
        <v>10.983706872885335</v>
      </c>
      <c r="BJ181" s="388">
        <f t="shared" si="192"/>
        <v>11.728573543630787</v>
      </c>
      <c r="BK181" s="388">
        <f t="shared" si="192"/>
        <v>1.3995642520509364</v>
      </c>
      <c r="BL181" s="388">
        <f t="shared" si="192"/>
        <v>34.273701246951248</v>
      </c>
    </row>
    <row r="182" spans="1:64" s="26" customFormat="1">
      <c r="A182" s="26" t="s">
        <v>1112</v>
      </c>
      <c r="J182" s="208"/>
      <c r="K182" s="208"/>
      <c r="L182" s="208"/>
      <c r="M182" s="208"/>
      <c r="N182" s="208"/>
      <c r="O182" s="208"/>
      <c r="P182" s="208"/>
      <c r="Q182" s="208"/>
      <c r="R182" s="208"/>
      <c r="S182" s="208"/>
      <c r="T182" s="208"/>
      <c r="U182" s="208"/>
      <c r="V182" s="208"/>
      <c r="W182" s="208"/>
      <c r="X182" s="208"/>
      <c r="Y182" s="208">
        <f t="shared" ref="Y182:BL182" si="193">Y181/Y159</f>
        <v>0.45098039215686286</v>
      </c>
      <c r="Z182" s="208">
        <f t="shared" si="193"/>
        <v>0.33757961783439483</v>
      </c>
      <c r="AA182" s="208">
        <f t="shared" si="193"/>
        <v>0.3641304347826087</v>
      </c>
      <c r="AB182" s="208">
        <f t="shared" si="193"/>
        <v>0.13812154696132595</v>
      </c>
      <c r="AC182" s="208">
        <f t="shared" si="193"/>
        <v>0.31703703703703712</v>
      </c>
      <c r="AD182" s="208">
        <f t="shared" si="193"/>
        <v>0.20540540540540536</v>
      </c>
      <c r="AE182" s="208">
        <f t="shared" si="193"/>
        <v>0.29015544041450775</v>
      </c>
      <c r="AF182" s="208">
        <f t="shared" si="193"/>
        <v>3.0120481927710847E-2</v>
      </c>
      <c r="AG182" s="208">
        <f t="shared" si="193"/>
        <v>-0.18430656934306586</v>
      </c>
      <c r="AH182" s="208">
        <f t="shared" si="193"/>
        <v>5.6179775280895692E-3</v>
      </c>
      <c r="AI182" s="208">
        <f t="shared" si="193"/>
        <v>6.4638783269962086E-2</v>
      </c>
      <c r="AJ182" s="208">
        <f t="shared" si="193"/>
        <v>8.7873462214411252E-2</v>
      </c>
      <c r="AK182" s="208">
        <f t="shared" si="193"/>
        <v>5.8631921824104261E-2</v>
      </c>
      <c r="AL182" s="208">
        <f t="shared" si="193"/>
        <v>-4.9999999999999954E-2</v>
      </c>
      <c r="AM182" s="208">
        <f t="shared" si="193"/>
        <v>3.8122935929374255E-2</v>
      </c>
      <c r="AN182" s="208">
        <f t="shared" si="193"/>
        <v>9.7500000000000031E-2</v>
      </c>
      <c r="AO182" s="208">
        <f t="shared" si="193"/>
        <v>9.7500000000000031E-2</v>
      </c>
      <c r="AP182" s="208">
        <f t="shared" si="193"/>
        <v>9.7500000000000059E-2</v>
      </c>
      <c r="AQ182" s="208">
        <f t="shared" si="193"/>
        <v>-2.5000000000000001E-2</v>
      </c>
      <c r="AR182" s="208">
        <f t="shared" si="193"/>
        <v>6.4911582139169241E-2</v>
      </c>
      <c r="AS182" s="208">
        <f t="shared" si="193"/>
        <v>0.10499999999999995</v>
      </c>
      <c r="AT182" s="208">
        <f t="shared" si="193"/>
        <v>0.10499999999999995</v>
      </c>
      <c r="AU182" s="208">
        <f t="shared" si="193"/>
        <v>0.10500000000000007</v>
      </c>
      <c r="AV182" s="208">
        <f t="shared" si="193"/>
        <v>-1.4999999999999973E-2</v>
      </c>
      <c r="AW182" s="208">
        <f t="shared" si="193"/>
        <v>7.3082441390716707E-2</v>
      </c>
      <c r="AX182" s="208">
        <f t="shared" si="193"/>
        <v>0.11249999999999998</v>
      </c>
      <c r="AY182" s="208">
        <f t="shared" si="193"/>
        <v>0.11249999999999989</v>
      </c>
      <c r="AZ182" s="208">
        <f t="shared" si="193"/>
        <v>0.11249999999999985</v>
      </c>
      <c r="BA182" s="208">
        <f t="shared" si="193"/>
        <v>-4.9999999999999706E-3</v>
      </c>
      <c r="BB182" s="208">
        <f t="shared" si="193"/>
        <v>8.1253800489372072E-2</v>
      </c>
      <c r="BC182" s="208">
        <f t="shared" si="193"/>
        <v>0.11999999999999987</v>
      </c>
      <c r="BD182" s="208">
        <f t="shared" si="193"/>
        <v>0.11999999999999983</v>
      </c>
      <c r="BE182" s="208">
        <f t="shared" si="193"/>
        <v>0.11999999999999984</v>
      </c>
      <c r="BF182" s="208">
        <f t="shared" si="193"/>
        <v>5.0000000000000591E-3</v>
      </c>
      <c r="BG182" s="208">
        <f t="shared" si="193"/>
        <v>8.9421062049435687E-2</v>
      </c>
      <c r="BH182" s="208">
        <f t="shared" si="193"/>
        <v>0.12749999999999975</v>
      </c>
      <c r="BI182" s="208">
        <f t="shared" si="193"/>
        <v>0.12749999999999986</v>
      </c>
      <c r="BJ182" s="208">
        <f t="shared" si="193"/>
        <v>0.12749999999999984</v>
      </c>
      <c r="BK182" s="208">
        <f t="shared" si="193"/>
        <v>1.5000000000000135E-2</v>
      </c>
      <c r="BL182" s="208">
        <f t="shared" si="193"/>
        <v>9.7606759701913764E-2</v>
      </c>
    </row>
    <row r="183" spans="1:64" s="26" customFormat="1">
      <c r="A183" s="26" t="s">
        <v>28</v>
      </c>
      <c r="O183" s="208"/>
      <c r="P183" s="208"/>
      <c r="Q183" s="208"/>
      <c r="R183" s="208"/>
      <c r="S183" s="208"/>
      <c r="T183" s="208"/>
      <c r="U183" s="208"/>
      <c r="V183" s="208"/>
      <c r="W183" s="208"/>
      <c r="X183" s="208"/>
      <c r="Y183" s="208"/>
      <c r="Z183" s="208"/>
      <c r="AA183" s="208"/>
      <c r="AB183" s="208"/>
      <c r="AC183" s="208"/>
      <c r="AD183" s="208">
        <f t="shared" ref="AD183:BL183" si="194">AD181/Y181-1</f>
        <v>-0.44927536231884091</v>
      </c>
      <c r="AE183" s="208">
        <f t="shared" si="194"/>
        <v>5.660377358490587E-2</v>
      </c>
      <c r="AF183" s="208">
        <f t="shared" si="194"/>
        <v>-0.77611940298507465</v>
      </c>
      <c r="AG183" s="208">
        <f t="shared" si="194"/>
        <v>-5.0400000000000036</v>
      </c>
      <c r="AH183" s="208">
        <f t="shared" si="194"/>
        <v>-0.96261682242990865</v>
      </c>
      <c r="AI183" s="208">
        <f t="shared" si="194"/>
        <v>-0.10526315789473506</v>
      </c>
      <c r="AJ183" s="208">
        <f t="shared" si="194"/>
        <v>-0.1071428571428571</v>
      </c>
      <c r="AK183" s="208">
        <f t="shared" si="194"/>
        <v>1.4000000000000008</v>
      </c>
      <c r="AL183" s="208">
        <f t="shared" si="194"/>
        <v>-0.69188013662725267</v>
      </c>
      <c r="AM183" s="208">
        <f t="shared" si="194"/>
        <v>10.109986724919729</v>
      </c>
      <c r="AN183" s="208">
        <f t="shared" si="194"/>
        <v>0.69648582166587958</v>
      </c>
      <c r="AO183" s="208">
        <f t="shared" si="194"/>
        <v>0.24474750873280016</v>
      </c>
      <c r="AP183" s="208">
        <f t="shared" si="194"/>
        <v>0.86118083257828659</v>
      </c>
      <c r="AQ183" s="208">
        <f t="shared" si="194"/>
        <v>-0.44178864238613047</v>
      </c>
      <c r="AR183" s="208">
        <f t="shared" si="194"/>
        <v>0.90761711526687239</v>
      </c>
      <c r="AS183" s="208">
        <f t="shared" si="194"/>
        <v>0.18886336378929647</v>
      </c>
      <c r="AT183" s="208">
        <f t="shared" si="194"/>
        <v>0.19311467626451684</v>
      </c>
      <c r="AU183" s="208">
        <f t="shared" si="194"/>
        <v>0.18395265201360522</v>
      </c>
      <c r="AV183" s="208">
        <f t="shared" si="194"/>
        <v>-0.33798894496955323</v>
      </c>
      <c r="AW183" s="208">
        <f t="shared" si="194"/>
        <v>0.24246342469260895</v>
      </c>
      <c r="AX183" s="208">
        <f t="shared" si="194"/>
        <v>0.16238557033263246</v>
      </c>
      <c r="AY183" s="208">
        <f t="shared" si="194"/>
        <v>0.16199353932939231</v>
      </c>
      <c r="AZ183" s="208">
        <f t="shared" si="194"/>
        <v>0.16193608266351456</v>
      </c>
      <c r="BA183" s="208">
        <f t="shared" si="194"/>
        <v>-0.63856064935998247</v>
      </c>
      <c r="BB183" s="208">
        <f t="shared" si="194"/>
        <v>0.20580313354052748</v>
      </c>
      <c r="BC183" s="208">
        <f t="shared" si="194"/>
        <v>0.13432601000256317</v>
      </c>
      <c r="BD183" s="208">
        <f t="shared" si="194"/>
        <v>0.1340488981316561</v>
      </c>
      <c r="BE183" s="208">
        <f t="shared" si="194"/>
        <v>0.1339006132461984</v>
      </c>
      <c r="BF183" s="208">
        <f t="shared" si="194"/>
        <v>-2.063085446111987</v>
      </c>
      <c r="BG183" s="208">
        <f t="shared" si="194"/>
        <v>0.17003563877128092</v>
      </c>
      <c r="BH183" s="208">
        <f t="shared" si="194"/>
        <v>0.12389015031155504</v>
      </c>
      <c r="BI183" s="208">
        <f t="shared" si="194"/>
        <v>0.12248354150154928</v>
      </c>
      <c r="BJ183" s="208">
        <f t="shared" si="194"/>
        <v>0.12218009256122975</v>
      </c>
      <c r="BK183" s="208">
        <f t="shared" si="194"/>
        <v>2.1672639260149551</v>
      </c>
      <c r="BL183" s="208">
        <f t="shared" si="194"/>
        <v>0.15320670297868322</v>
      </c>
    </row>
    <row r="184" spans="1:64" s="26" customFormat="1"/>
    <row r="185" spans="1:64" s="26" customFormat="1">
      <c r="A185" s="174" t="s">
        <v>1755</v>
      </c>
      <c r="B185" s="174"/>
      <c r="C185" s="174"/>
      <c r="D185" s="174"/>
      <c r="E185" s="174"/>
      <c r="F185" s="174"/>
      <c r="G185" s="174"/>
      <c r="H185" s="174"/>
      <c r="I185" s="174"/>
      <c r="J185" s="388"/>
      <c r="K185" s="388"/>
      <c r="L185" s="388"/>
      <c r="M185" s="388"/>
      <c r="N185" s="388"/>
      <c r="O185" s="388"/>
      <c r="P185" s="388"/>
      <c r="Q185" s="388"/>
      <c r="R185" s="388"/>
      <c r="S185" s="388"/>
      <c r="T185" s="388"/>
      <c r="U185" s="388"/>
      <c r="V185" s="388"/>
      <c r="W185" s="388"/>
      <c r="X185" s="388"/>
      <c r="Y185" s="388">
        <f t="shared" ref="Y185:AL185" si="195">Y159-Y169</f>
        <v>4.7000000000000011</v>
      </c>
      <c r="Z185" s="388">
        <f t="shared" si="195"/>
        <v>4.3999999999999986</v>
      </c>
      <c r="AA185" s="388">
        <f t="shared" si="195"/>
        <v>4.7999999999999989</v>
      </c>
      <c r="AB185" s="388">
        <f t="shared" si="195"/>
        <v>0.5</v>
      </c>
      <c r="AC185" s="388">
        <f t="shared" si="195"/>
        <v>14.399999999999999</v>
      </c>
      <c r="AD185" s="388">
        <f t="shared" si="195"/>
        <v>1.8999999999999986</v>
      </c>
      <c r="AE185" s="388">
        <f t="shared" si="195"/>
        <v>3.1999999999999993</v>
      </c>
      <c r="AF185" s="388">
        <f t="shared" si="195"/>
        <v>-2.6000000000000014</v>
      </c>
      <c r="AG185" s="388">
        <f t="shared" si="195"/>
        <v>-14.700000000000003</v>
      </c>
      <c r="AH185" s="388">
        <f t="shared" si="195"/>
        <v>-12.200000000000017</v>
      </c>
      <c r="AI185" s="388">
        <f t="shared" si="195"/>
        <v>-1.7999999999999972</v>
      </c>
      <c r="AJ185" s="388">
        <f t="shared" si="195"/>
        <v>-0.10000000000000142</v>
      </c>
      <c r="AK185" s="388">
        <f t="shared" si="195"/>
        <v>-1.6000000000000014</v>
      </c>
      <c r="AL185" s="388">
        <f t="shared" si="195"/>
        <v>-8.7136297361813035</v>
      </c>
      <c r="AM185" s="388">
        <f>SUM(AI185:AL185)</f>
        <v>-12.213629736181304</v>
      </c>
      <c r="AN185" s="388">
        <f>AN159-AN169</f>
        <v>0.59159505576041482</v>
      </c>
      <c r="AO185" s="388">
        <f>AO159-AO169</f>
        <v>0.63833205576041507</v>
      </c>
      <c r="AP185" s="388">
        <f>AP159-AP169</f>
        <v>0.68720523049044857</v>
      </c>
      <c r="AQ185" s="388">
        <f>AQ159-AQ169</f>
        <v>-7.8172185291080609</v>
      </c>
      <c r="AR185" s="388">
        <f>SUM(AN185:AQ185)</f>
        <v>-5.9000861870967825</v>
      </c>
      <c r="AS185" s="388">
        <f>AS159-AS169</f>
        <v>1.3061762777002457</v>
      </c>
      <c r="AT185" s="388">
        <f>AT159-AT169</f>
        <v>1.414406210393139</v>
      </c>
      <c r="AU185" s="388">
        <f>AU159-AU169</f>
        <v>1.5110057023597392</v>
      </c>
      <c r="AV185" s="388">
        <f>AV159-AV169</f>
        <v>-7.6667927197902088</v>
      </c>
      <c r="AW185" s="388">
        <f>SUM(AS185:AV185)</f>
        <v>-3.435204529337085</v>
      </c>
      <c r="AX185" s="388">
        <f>AX159-AX169</f>
        <v>2.1255926405133749</v>
      </c>
      <c r="AY185" s="388">
        <f>AY159-AY169</f>
        <v>2.300943229849878</v>
      </c>
      <c r="AZ185" s="388">
        <f>AZ159-AZ169</f>
        <v>2.4579688653549425</v>
      </c>
      <c r="BA185" s="388">
        <f>BA159-BA169</f>
        <v>-7.2740865280980671</v>
      </c>
      <c r="BB185" s="388">
        <f>SUM(AX185:BA185)</f>
        <v>-0.38958179237987167</v>
      </c>
      <c r="BC185" s="388">
        <f>BC159-BC169</f>
        <v>3.0138937735054299</v>
      </c>
      <c r="BD185" s="388">
        <f>BD159-BD169</f>
        <v>3.2617276680934282</v>
      </c>
      <c r="BE185" s="388">
        <f>BE159-BE169</f>
        <v>3.4838655047075378</v>
      </c>
      <c r="BF185" s="388">
        <f>BF159-BF169</f>
        <v>-6.6282647329544488</v>
      </c>
      <c r="BG185" s="388">
        <f>SUM(BC185:BF185)</f>
        <v>3.1312222133519469</v>
      </c>
      <c r="BH185" s="388">
        <f>BH159-BH169</f>
        <v>3.9850417954447863</v>
      </c>
      <c r="BI185" s="388">
        <f>BI159-BI169</f>
        <v>4.3073360285824833</v>
      </c>
      <c r="BJ185" s="388">
        <f>BJ159-BJ169</f>
        <v>4.5994406053453929</v>
      </c>
      <c r="BK185" s="388">
        <f>BK159-BK169</f>
        <v>-5.8315177168788352</v>
      </c>
      <c r="BL185" s="388">
        <f>SUM(BH185:BK185)</f>
        <v>7.0603007124938273</v>
      </c>
    </row>
    <row r="186" spans="1:64" s="26" customFormat="1">
      <c r="A186" s="26" t="s">
        <v>1489</v>
      </c>
      <c r="J186" s="208"/>
      <c r="K186" s="208"/>
      <c r="L186" s="208"/>
      <c r="M186" s="208"/>
      <c r="N186" s="208"/>
      <c r="O186" s="208"/>
      <c r="P186" s="208"/>
      <c r="Q186" s="208"/>
      <c r="R186" s="208"/>
      <c r="S186" s="208"/>
      <c r="T186" s="208"/>
      <c r="U186" s="208"/>
      <c r="V186" s="208"/>
      <c r="W186" s="208"/>
      <c r="X186" s="208"/>
      <c r="Y186" s="208">
        <f t="shared" ref="Y186:BL186" si="196">Y185/Y159</f>
        <v>0.30718954248366021</v>
      </c>
      <c r="Z186" s="208">
        <f t="shared" si="196"/>
        <v>0.28025477707006363</v>
      </c>
      <c r="AA186" s="208">
        <f t="shared" si="196"/>
        <v>0.26086956521739124</v>
      </c>
      <c r="AB186" s="208">
        <f t="shared" si="196"/>
        <v>2.7624309392265192E-2</v>
      </c>
      <c r="AC186" s="208">
        <f t="shared" si="196"/>
        <v>0.21333333333333332</v>
      </c>
      <c r="AD186" s="208">
        <f t="shared" si="196"/>
        <v>0.10270270270270263</v>
      </c>
      <c r="AE186" s="208">
        <f t="shared" si="196"/>
        <v>0.16580310880829011</v>
      </c>
      <c r="AF186" s="208">
        <f t="shared" si="196"/>
        <v>-5.2208835341365493E-2</v>
      </c>
      <c r="AG186" s="208">
        <f t="shared" si="196"/>
        <v>-0.26824817518248184</v>
      </c>
      <c r="AH186" s="208">
        <f t="shared" si="196"/>
        <v>-8.5674157303370926E-2</v>
      </c>
      <c r="AI186" s="208">
        <f t="shared" si="196"/>
        <v>-3.4220532319391581E-2</v>
      </c>
      <c r="AJ186" s="208">
        <f t="shared" si="196"/>
        <v>-1.75746924428825E-3</v>
      </c>
      <c r="AK186" s="208">
        <f t="shared" si="196"/>
        <v>-2.605863192182413E-2</v>
      </c>
      <c r="AL186" s="208">
        <f t="shared" si="196"/>
        <v>-0.13999999999999987</v>
      </c>
      <c r="AM186" s="208">
        <f t="shared" si="196"/>
        <v>-5.2387486527456971E-2</v>
      </c>
      <c r="AN186" s="208">
        <f t="shared" si="196"/>
        <v>1.000000000000008E-2</v>
      </c>
      <c r="AO186" s="208">
        <f t="shared" si="196"/>
        <v>1.0000000000000078E-2</v>
      </c>
      <c r="AP186" s="208">
        <f t="shared" si="196"/>
        <v>1.0000000000000064E-2</v>
      </c>
      <c r="AQ186" s="208">
        <f t="shared" si="196"/>
        <v>-0.1125</v>
      </c>
      <c r="AR186" s="208">
        <f t="shared" si="196"/>
        <v>-2.2588417860830805E-2</v>
      </c>
      <c r="AS186" s="208">
        <f t="shared" si="196"/>
        <v>2.0000000000000052E-2</v>
      </c>
      <c r="AT186" s="208">
        <f t="shared" si="196"/>
        <v>1.9999999999999952E-2</v>
      </c>
      <c r="AU186" s="208">
        <f t="shared" si="196"/>
        <v>2.0000000000000011E-2</v>
      </c>
      <c r="AV186" s="208">
        <f t="shared" si="196"/>
        <v>-9.999999999999995E-2</v>
      </c>
      <c r="AW186" s="208">
        <f t="shared" si="196"/>
        <v>-1.1917558609283346E-2</v>
      </c>
      <c r="AX186" s="208">
        <f t="shared" si="196"/>
        <v>3.0000000000000061E-2</v>
      </c>
      <c r="AY186" s="208">
        <f t="shared" si="196"/>
        <v>2.9999999999999947E-2</v>
      </c>
      <c r="AZ186" s="208">
        <f t="shared" si="196"/>
        <v>2.9999999999999857E-2</v>
      </c>
      <c r="BA186" s="208">
        <f t="shared" si="196"/>
        <v>-8.7499999999999925E-2</v>
      </c>
      <c r="BB186" s="208">
        <f t="shared" si="196"/>
        <v>-1.2461995106280012E-3</v>
      </c>
      <c r="BC186" s="208">
        <f t="shared" si="196"/>
        <v>3.9999999999999952E-2</v>
      </c>
      <c r="BD186" s="208">
        <f t="shared" si="196"/>
        <v>3.9999999999999827E-2</v>
      </c>
      <c r="BE186" s="208">
        <f t="shared" si="196"/>
        <v>3.9999999999999786E-2</v>
      </c>
      <c r="BF186" s="208">
        <f t="shared" si="196"/>
        <v>-7.4999999999999914E-2</v>
      </c>
      <c r="BG186" s="208">
        <f t="shared" si="196"/>
        <v>9.4210620494357324E-3</v>
      </c>
      <c r="BH186" s="208">
        <f t="shared" si="196"/>
        <v>4.9999999999999774E-2</v>
      </c>
      <c r="BI186" s="208">
        <f t="shared" si="196"/>
        <v>4.9999999999999933E-2</v>
      </c>
      <c r="BJ186" s="208">
        <f t="shared" si="196"/>
        <v>4.9999999999999781E-2</v>
      </c>
      <c r="BK186" s="208">
        <f t="shared" si="196"/>
        <v>-6.2499999999999847E-2</v>
      </c>
      <c r="BL186" s="208">
        <f t="shared" si="196"/>
        <v>2.01067597019139E-2</v>
      </c>
    </row>
    <row r="187" spans="1:64" s="26" customFormat="1">
      <c r="A187" s="26" t="s">
        <v>28</v>
      </c>
      <c r="O187" s="208"/>
      <c r="P187" s="208"/>
      <c r="Q187" s="208"/>
      <c r="R187" s="208"/>
      <c r="S187" s="208"/>
      <c r="T187" s="208"/>
      <c r="U187" s="208"/>
      <c r="V187" s="208"/>
      <c r="W187" s="208"/>
      <c r="X187" s="208"/>
      <c r="Y187" s="208"/>
      <c r="Z187" s="208"/>
      <c r="AA187" s="208"/>
      <c r="AB187" s="208"/>
      <c r="AC187" s="208"/>
      <c r="AD187" s="208">
        <f t="shared" ref="AD187:BL187" si="197">AD185/Y185-1</f>
        <v>-0.59574468085106425</v>
      </c>
      <c r="AE187" s="208">
        <f t="shared" si="197"/>
        <v>-0.27272727272727271</v>
      </c>
      <c r="AF187" s="208">
        <f t="shared" si="197"/>
        <v>-1.541666666666667</v>
      </c>
      <c r="AG187" s="208">
        <f t="shared" si="197"/>
        <v>-30.400000000000006</v>
      </c>
      <c r="AH187" s="208">
        <f t="shared" si="197"/>
        <v>-1.8472222222222237</v>
      </c>
      <c r="AI187" s="208">
        <f t="shared" si="197"/>
        <v>-1.9473684210526307</v>
      </c>
      <c r="AJ187" s="208">
        <f t="shared" si="197"/>
        <v>-1.0312500000000004</v>
      </c>
      <c r="AK187" s="208">
        <f t="shared" si="197"/>
        <v>-0.38461538461538436</v>
      </c>
      <c r="AL187" s="208">
        <f t="shared" si="197"/>
        <v>-0.40723607236861892</v>
      </c>
      <c r="AM187" s="208">
        <f t="shared" si="197"/>
        <v>1.1171914902694535E-3</v>
      </c>
      <c r="AN187" s="208">
        <f t="shared" si="197"/>
        <v>-1.3286639198668977</v>
      </c>
      <c r="AO187" s="208">
        <f t="shared" si="197"/>
        <v>-7.3833205576040601</v>
      </c>
      <c r="AP187" s="208">
        <f t="shared" si="197"/>
        <v>-1.4295032690565299</v>
      </c>
      <c r="AQ187" s="208">
        <f t="shared" si="197"/>
        <v>-0.10287460383485258</v>
      </c>
      <c r="AR187" s="208">
        <f t="shared" si="197"/>
        <v>-0.51692606419707177</v>
      </c>
      <c r="AS187" s="208">
        <f t="shared" si="197"/>
        <v>1.2078891041801119</v>
      </c>
      <c r="AT187" s="208">
        <f t="shared" si="197"/>
        <v>1.2157843987769392</v>
      </c>
      <c r="AU187" s="208">
        <f t="shared" si="197"/>
        <v>1.1987692108823969</v>
      </c>
      <c r="AV187" s="208">
        <f t="shared" si="197"/>
        <v>-1.9242881436373982E-2</v>
      </c>
      <c r="AW187" s="208">
        <f t="shared" si="197"/>
        <v>-0.41777044937924479</v>
      </c>
      <c r="AX187" s="208">
        <f t="shared" si="197"/>
        <v>0.62733979846568388</v>
      </c>
      <c r="AY187" s="208">
        <f t="shared" si="197"/>
        <v>0.62679095506115101</v>
      </c>
      <c r="AZ187" s="208">
        <f t="shared" si="197"/>
        <v>0.62671051572891479</v>
      </c>
      <c r="BA187" s="208">
        <f t="shared" si="197"/>
        <v>-5.1221704569950566E-2</v>
      </c>
      <c r="BB187" s="208">
        <f t="shared" si="197"/>
        <v>-0.8865913836999243</v>
      </c>
      <c r="BC187" s="208">
        <f t="shared" si="197"/>
        <v>0.4179075125032008</v>
      </c>
      <c r="BD187" s="208">
        <f t="shared" si="197"/>
        <v>0.41756112266456724</v>
      </c>
      <c r="BE187" s="208">
        <f t="shared" si="197"/>
        <v>0.41737576655774711</v>
      </c>
      <c r="BF187" s="208">
        <f t="shared" si="197"/>
        <v>-8.8783903332598779E-2</v>
      </c>
      <c r="BG187" s="208">
        <f t="shared" si="197"/>
        <v>-9.0373936220786444</v>
      </c>
      <c r="BH187" s="208">
        <f t="shared" si="197"/>
        <v>0.32222370624888486</v>
      </c>
      <c r="BI187" s="208">
        <f t="shared" si="197"/>
        <v>0.32056887235476728</v>
      </c>
      <c r="BJ187" s="208">
        <f t="shared" si="197"/>
        <v>0.32021187360144809</v>
      </c>
      <c r="BK187" s="208">
        <f t="shared" si="197"/>
        <v>-0.12020446499584447</v>
      </c>
      <c r="BL187" s="208">
        <f t="shared" si="197"/>
        <v>1.254806663796574</v>
      </c>
    </row>
    <row r="189" spans="1:64">
      <c r="A189" s="314" t="s">
        <v>1756</v>
      </c>
      <c r="B189" s="9"/>
      <c r="C189" s="9"/>
      <c r="D189" s="9"/>
      <c r="E189" s="9"/>
      <c r="F189" s="9"/>
      <c r="G189" s="9"/>
      <c r="H189" s="9"/>
      <c r="I189" s="9"/>
      <c r="J189" s="378"/>
      <c r="K189" s="378"/>
      <c r="L189" s="378"/>
      <c r="M189" s="378"/>
      <c r="N189" s="378"/>
      <c r="O189" s="378"/>
      <c r="P189" s="378"/>
      <c r="Q189" s="378"/>
      <c r="R189" s="378"/>
      <c r="S189" s="378"/>
      <c r="T189" s="378"/>
      <c r="U189" s="378"/>
      <c r="V189" s="378"/>
      <c r="W189" s="378"/>
      <c r="X189" s="378"/>
      <c r="Y189" s="378">
        <f t="shared" ref="Y189:BL189" si="198">Y193+Y168</f>
        <v>6.9000000000000012</v>
      </c>
      <c r="Z189" s="378">
        <f t="shared" si="198"/>
        <v>5.2999999999999989</v>
      </c>
      <c r="AA189" s="378">
        <f t="shared" si="198"/>
        <v>6.6999999999999993</v>
      </c>
      <c r="AB189" s="378">
        <f t="shared" si="198"/>
        <v>2.5</v>
      </c>
      <c r="AC189" s="378">
        <f t="shared" si="198"/>
        <v>21.4</v>
      </c>
      <c r="AD189" s="378">
        <f t="shared" si="198"/>
        <v>3.7999999999999985</v>
      </c>
      <c r="AE189" s="378">
        <f t="shared" si="198"/>
        <v>5.6</v>
      </c>
      <c r="AF189" s="378">
        <f t="shared" si="198"/>
        <v>1.4999999999999987</v>
      </c>
      <c r="AG189" s="378">
        <f t="shared" si="198"/>
        <v>-10.100000000000003</v>
      </c>
      <c r="AH189" s="378">
        <f t="shared" si="198"/>
        <v>0.79999999999999183</v>
      </c>
      <c r="AI189" s="378">
        <f t="shared" si="198"/>
        <v>3.400000000000003</v>
      </c>
      <c r="AJ189" s="378">
        <f t="shared" si="198"/>
        <v>4.9999999999999982</v>
      </c>
      <c r="AK189" s="378">
        <f t="shared" si="198"/>
        <v>3.5999999999999992</v>
      </c>
      <c r="AL189" s="378">
        <f t="shared" si="198"/>
        <v>-0.89162205411008166</v>
      </c>
      <c r="AM189" s="378">
        <f t="shared" si="198"/>
        <v>11.10837794588992</v>
      </c>
      <c r="AN189" s="378">
        <f t="shared" si="198"/>
        <v>4.8088895511365974</v>
      </c>
      <c r="AO189" s="378">
        <f t="shared" si="198"/>
        <v>6.3508778554136658</v>
      </c>
      <c r="AP189" s="378">
        <f t="shared" si="198"/>
        <v>6.9605030303439435</v>
      </c>
      <c r="AQ189" s="378">
        <f t="shared" si="198"/>
        <v>0.43459722391623679</v>
      </c>
      <c r="AR189" s="378">
        <f t="shared" si="198"/>
        <v>18.554867660810444</v>
      </c>
      <c r="AS189" s="378">
        <f t="shared" si="198"/>
        <v>7.3677536457690289</v>
      </c>
      <c r="AT189" s="378">
        <f t="shared" si="198"/>
        <v>4.7852924618866499</v>
      </c>
      <c r="AU189" s="378">
        <f t="shared" si="198"/>
        <v>8.0885393451774039</v>
      </c>
      <c r="AV189" s="378">
        <f t="shared" si="198"/>
        <v>8.0750559735402128</v>
      </c>
      <c r="AW189" s="378">
        <f t="shared" si="198"/>
        <v>28.316641426373298</v>
      </c>
      <c r="AX189" s="378">
        <f t="shared" si="198"/>
        <v>8.4062637089548886</v>
      </c>
      <c r="AY189" s="378">
        <f t="shared" si="198"/>
        <v>13.149386331232485</v>
      </c>
      <c r="AZ189" s="378">
        <f t="shared" si="198"/>
        <v>10.968666560267383</v>
      </c>
      <c r="BA189" s="378">
        <f t="shared" si="198"/>
        <v>9.2222015060241382</v>
      </c>
      <c r="BB189" s="378">
        <f t="shared" si="198"/>
        <v>41.746518106478895</v>
      </c>
      <c r="BC189" s="378">
        <f t="shared" si="198"/>
        <v>11.144633428258437</v>
      </c>
      <c r="BD189" s="378">
        <f t="shared" si="198"/>
        <v>14.442368295073518</v>
      </c>
      <c r="BE189" s="378">
        <f t="shared" si="198"/>
        <v>14.701964030399214</v>
      </c>
      <c r="BF189" s="378">
        <f t="shared" si="198"/>
        <v>12.125044131246984</v>
      </c>
      <c r="BG189" s="378">
        <f t="shared" si="198"/>
        <v>52.41400988497815</v>
      </c>
      <c r="BH189" s="378">
        <f t="shared" si="198"/>
        <v>14.794908960746458</v>
      </c>
      <c r="BI189" s="378">
        <f t="shared" si="198"/>
        <v>17.585478284830113</v>
      </c>
      <c r="BJ189" s="378">
        <f t="shared" si="198"/>
        <v>17.69135211277699</v>
      </c>
      <c r="BK189" s="378">
        <f t="shared" si="198"/>
        <v>16.006168067694876</v>
      </c>
      <c r="BL189" s="378">
        <f t="shared" si="198"/>
        <v>66.077907426048441</v>
      </c>
    </row>
    <row r="190" spans="1:64">
      <c r="A190" s="79" t="s">
        <v>1112</v>
      </c>
      <c r="Y190" s="16">
        <f t="shared" ref="Y190:BL190" si="199">Y189/Y159</f>
        <v>0.45098039215686281</v>
      </c>
      <c r="Z190" s="16">
        <f t="shared" si="199"/>
        <v>0.33757961783439483</v>
      </c>
      <c r="AA190" s="16">
        <f t="shared" si="199"/>
        <v>0.3641304347826087</v>
      </c>
      <c r="AB190" s="16">
        <f t="shared" si="199"/>
        <v>0.13812154696132595</v>
      </c>
      <c r="AC190" s="16">
        <f t="shared" si="199"/>
        <v>0.31703703703703701</v>
      </c>
      <c r="AD190" s="16">
        <f t="shared" si="199"/>
        <v>0.20540540540540533</v>
      </c>
      <c r="AE190" s="16">
        <f t="shared" si="199"/>
        <v>0.29015544041450775</v>
      </c>
      <c r="AF190" s="16">
        <f t="shared" si="199"/>
        <v>3.0120481927710819E-2</v>
      </c>
      <c r="AG190" s="16">
        <f t="shared" si="199"/>
        <v>-0.18430656934306577</v>
      </c>
      <c r="AH190" s="16">
        <f t="shared" si="199"/>
        <v>5.6179775280898311E-3</v>
      </c>
      <c r="AI190" s="16">
        <f t="shared" si="199"/>
        <v>6.463878326996203E-2</v>
      </c>
      <c r="AJ190" s="16">
        <f t="shared" si="199"/>
        <v>8.7873462214411224E-2</v>
      </c>
      <c r="AK190" s="16">
        <f t="shared" si="199"/>
        <v>5.8631921824104226E-2</v>
      </c>
      <c r="AL190" s="16">
        <f t="shared" si="199"/>
        <v>-1.4325498254429622E-2</v>
      </c>
      <c r="AM190" s="16">
        <f t="shared" si="199"/>
        <v>4.7646769433192016E-2</v>
      </c>
      <c r="AN190" s="16">
        <f t="shared" si="199"/>
        <v>8.128684484956461E-2</v>
      </c>
      <c r="AO190" s="16">
        <f t="shared" si="199"/>
        <v>9.9491758217409465E-2</v>
      </c>
      <c r="AP190" s="16">
        <f t="shared" si="199"/>
        <v>0.10128710786116073</v>
      </c>
      <c r="AQ190" s="16">
        <f t="shared" si="199"/>
        <v>6.2544225300242701E-3</v>
      </c>
      <c r="AR190" s="16">
        <f t="shared" si="199"/>
        <v>7.1037115524076572E-2</v>
      </c>
      <c r="AS190" s="16">
        <f t="shared" si="199"/>
        <v>0.11281407833774598</v>
      </c>
      <c r="AT190" s="16">
        <f t="shared" si="199"/>
        <v>6.7665037479672133E-2</v>
      </c>
      <c r="AU190" s="16">
        <f t="shared" si="199"/>
        <v>0.10706166538677556</v>
      </c>
      <c r="AV190" s="16">
        <f t="shared" si="199"/>
        <v>0.10532508532148201</v>
      </c>
      <c r="AW190" s="16">
        <f t="shared" si="199"/>
        <v>9.8237304630588482E-2</v>
      </c>
      <c r="AX190" s="16">
        <f t="shared" si="199"/>
        <v>0.11864357566073362</v>
      </c>
      <c r="AY190" s="16">
        <f t="shared" si="199"/>
        <v>0.17144342581746846</v>
      </c>
      <c r="AZ190" s="16">
        <f t="shared" si="199"/>
        <v>0.13387476198178047</v>
      </c>
      <c r="BA190" s="16">
        <f t="shared" si="199"/>
        <v>0.11093387859218938</v>
      </c>
      <c r="BB190" s="16">
        <f t="shared" si="199"/>
        <v>0.13353932717674133</v>
      </c>
      <c r="BC190" s="16">
        <f t="shared" si="199"/>
        <v>0.14791010255542236</v>
      </c>
      <c r="BD190" s="16">
        <f t="shared" si="199"/>
        <v>0.17711311016367504</v>
      </c>
      <c r="BE190" s="16">
        <f t="shared" si="199"/>
        <v>0.16880059245149684</v>
      </c>
      <c r="BF190" s="16">
        <f t="shared" si="199"/>
        <v>0.13719704122894638</v>
      </c>
      <c r="BG190" s="16">
        <f t="shared" si="199"/>
        <v>0.15770060562310362</v>
      </c>
      <c r="BH190" s="16">
        <f t="shared" si="199"/>
        <v>0.18563053689497219</v>
      </c>
      <c r="BI190" s="16">
        <f t="shared" si="199"/>
        <v>0.20413404211021538</v>
      </c>
      <c r="BJ190" s="16">
        <f t="shared" si="199"/>
        <v>0.19232069321882667</v>
      </c>
      <c r="BK190" s="16">
        <f t="shared" si="199"/>
        <v>0.17154805194801964</v>
      </c>
      <c r="BL190" s="16">
        <f t="shared" si="199"/>
        <v>0.18818073908236946</v>
      </c>
    </row>
    <row r="191" spans="1:64">
      <c r="A191" s="79" t="s">
        <v>28</v>
      </c>
      <c r="AD191" s="16">
        <f t="shared" ref="AD191:BL191" si="200">AD189/Y189-1</f>
        <v>-0.44927536231884091</v>
      </c>
      <c r="AE191" s="16">
        <f t="shared" si="200"/>
        <v>5.660377358490587E-2</v>
      </c>
      <c r="AF191" s="16">
        <f t="shared" si="200"/>
        <v>-0.77611940298507487</v>
      </c>
      <c r="AG191" s="16">
        <f t="shared" si="200"/>
        <v>-5.0400000000000009</v>
      </c>
      <c r="AH191" s="16">
        <f t="shared" si="200"/>
        <v>-0.96261682242990687</v>
      </c>
      <c r="AI191" s="16">
        <f t="shared" si="200"/>
        <v>-0.10526315789473573</v>
      </c>
      <c r="AJ191" s="16">
        <f t="shared" si="200"/>
        <v>-0.10714285714285743</v>
      </c>
      <c r="AK191" s="16">
        <f t="shared" si="200"/>
        <v>1.4000000000000017</v>
      </c>
      <c r="AL191" s="16">
        <f t="shared" si="200"/>
        <v>-0.91172058870197215</v>
      </c>
      <c r="AM191" s="16">
        <f t="shared" si="200"/>
        <v>12.885472432362542</v>
      </c>
      <c r="AN191" s="16">
        <f t="shared" si="200"/>
        <v>0.41437927974605682</v>
      </c>
      <c r="AO191" s="16">
        <f t="shared" si="200"/>
        <v>0.2701755710827336</v>
      </c>
      <c r="AP191" s="16">
        <f t="shared" si="200"/>
        <v>0.93347306398442909</v>
      </c>
      <c r="AQ191" s="16">
        <f t="shared" si="200"/>
        <v>-1.4874231429257361</v>
      </c>
      <c r="AR191" s="16">
        <f t="shared" si="200"/>
        <v>0.67034897004703664</v>
      </c>
      <c r="AS191" s="16">
        <f t="shared" si="200"/>
        <v>0.53211122181577974</v>
      </c>
      <c r="AT191" s="16">
        <f t="shared" si="200"/>
        <v>-0.24651480144472737</v>
      </c>
      <c r="AU191" s="16">
        <f t="shared" si="200"/>
        <v>0.16206247018582509</v>
      </c>
      <c r="AV191" s="16">
        <f t="shared" si="200"/>
        <v>17.580551207332562</v>
      </c>
      <c r="AW191" s="16">
        <f t="shared" si="200"/>
        <v>0.52610311989347158</v>
      </c>
      <c r="AX191" s="16">
        <f t="shared" si="200"/>
        <v>0.1409534185202066</v>
      </c>
      <c r="AY191" s="16">
        <f t="shared" si="200"/>
        <v>1.7478751687515888</v>
      </c>
      <c r="AZ191" s="16">
        <f t="shared" si="200"/>
        <v>0.35607507019264051</v>
      </c>
      <c r="BA191" s="16">
        <f t="shared" si="200"/>
        <v>0.14206038153082945</v>
      </c>
      <c r="BB191" s="16">
        <f t="shared" si="200"/>
        <v>0.4742750553601105</v>
      </c>
      <c r="BC191" s="16">
        <f t="shared" si="200"/>
        <v>0.32575348741278032</v>
      </c>
      <c r="BD191" s="16">
        <f t="shared" si="200"/>
        <v>9.8330213385695142E-2</v>
      </c>
      <c r="BE191" s="16">
        <f t="shared" si="200"/>
        <v>0.34036019324857869</v>
      </c>
      <c r="BF191" s="16">
        <f t="shared" si="200"/>
        <v>0.31476677486678728</v>
      </c>
      <c r="BG191" s="16">
        <f t="shared" si="200"/>
        <v>0.25553009597808107</v>
      </c>
      <c r="BH191" s="16">
        <f t="shared" si="200"/>
        <v>0.32753661715174487</v>
      </c>
      <c r="BI191" s="16">
        <f t="shared" si="200"/>
        <v>0.21763120324446739</v>
      </c>
      <c r="BJ191" s="16">
        <f t="shared" si="200"/>
        <v>0.20333256673711242</v>
      </c>
      <c r="BK191" s="16">
        <f t="shared" si="200"/>
        <v>0.32009153075542196</v>
      </c>
      <c r="BL191" s="16">
        <f t="shared" si="200"/>
        <v>0.2606917038222325</v>
      </c>
    </row>
    <row r="193" spans="1:64">
      <c r="A193" s="9" t="s">
        <v>1757</v>
      </c>
      <c r="B193" s="9"/>
      <c r="C193" s="9"/>
      <c r="D193" s="9"/>
      <c r="E193" s="9"/>
      <c r="F193" s="9"/>
      <c r="G193" s="9"/>
      <c r="H193" s="9"/>
      <c r="I193" s="9"/>
      <c r="J193" s="378"/>
      <c r="K193" s="378"/>
      <c r="L193" s="378"/>
      <c r="M193" s="378"/>
      <c r="N193" s="378"/>
      <c r="O193" s="378"/>
      <c r="P193" s="378"/>
      <c r="Q193" s="378"/>
      <c r="R193" s="378"/>
      <c r="S193" s="378"/>
      <c r="T193" s="378"/>
      <c r="U193" s="378"/>
      <c r="V193" s="378"/>
      <c r="W193" s="378"/>
      <c r="X193" s="378"/>
      <c r="Y193" s="378">
        <f>Y185</f>
        <v>4.7000000000000011</v>
      </c>
      <c r="Z193" s="378">
        <f t="shared" ref="Z193:AE193" si="201">Z185</f>
        <v>4.3999999999999986</v>
      </c>
      <c r="AA193" s="378">
        <f t="shared" si="201"/>
        <v>4.7999999999999989</v>
      </c>
      <c r="AB193" s="378">
        <f t="shared" si="201"/>
        <v>0.5</v>
      </c>
      <c r="AC193" s="378">
        <f t="shared" si="201"/>
        <v>14.399999999999999</v>
      </c>
      <c r="AD193" s="378">
        <f>AD185</f>
        <v>1.8999999999999986</v>
      </c>
      <c r="AE193" s="378">
        <f t="shared" si="201"/>
        <v>3.1999999999999993</v>
      </c>
      <c r="AF193" s="378">
        <f>AF197+AF200</f>
        <v>-2.600000000000001</v>
      </c>
      <c r="AG193" s="378">
        <f>AG197+AG200</f>
        <v>-14.700000000000003</v>
      </c>
      <c r="AH193" s="378">
        <f>SUM(AD193:AG193)</f>
        <v>-12.200000000000006</v>
      </c>
      <c r="AI193" s="378">
        <f>AI197+AI200</f>
        <v>-1.7999999999999974</v>
      </c>
      <c r="AJ193" s="378">
        <f>AJ197+AJ200</f>
        <v>-0.10000000000000142</v>
      </c>
      <c r="AK193" s="378">
        <f>AK197+AK200</f>
        <v>-1.600000000000001</v>
      </c>
      <c r="AL193" s="378">
        <f>AL197+AL200</f>
        <v>-6.4932411702266393</v>
      </c>
      <c r="AM193" s="378">
        <f>SUM(AI193:AL193)</f>
        <v>-9.9932411702266393</v>
      </c>
      <c r="AN193" s="378">
        <f>AN197+AN200</f>
        <v>-0.36756718676699052</v>
      </c>
      <c r="AO193" s="378">
        <f>AO197+AO200</f>
        <v>0.76547236751007697</v>
      </c>
      <c r="AP193" s="378">
        <f>AP197+AP200</f>
        <v>0.94745726355255711</v>
      </c>
      <c r="AQ193" s="378">
        <f>AQ197+AQ200</f>
        <v>-5.6454616320566995</v>
      </c>
      <c r="AR193" s="378">
        <f>SUM(AN193:AQ193)</f>
        <v>-4.3000991877610559</v>
      </c>
      <c r="AS193" s="378">
        <f>AS197+AS200</f>
        <v>1.816504465543</v>
      </c>
      <c r="AT193" s="378">
        <f>AT197+AT200</f>
        <v>-1.2259339322842053</v>
      </c>
      <c r="AU193" s="378">
        <f>AU197+AU200</f>
        <v>1.6667651101485164</v>
      </c>
      <c r="AV193" s="378">
        <f>AV197+AV200</f>
        <v>1.5582821617185321</v>
      </c>
      <c r="AW193" s="378">
        <f>SUM(AS193:AV193)</f>
        <v>3.8156178051258429</v>
      </c>
      <c r="AX193" s="378">
        <f>AX197+AX200</f>
        <v>2.5608839475431191</v>
      </c>
      <c r="AY193" s="378">
        <f>AY197+AY200</f>
        <v>6.8217924491453115</v>
      </c>
      <c r="AZ193" s="378">
        <f>AZ197+AZ200</f>
        <v>4.2092521805412595</v>
      </c>
      <c r="BA193" s="378">
        <f>BA197+BA200</f>
        <v>2.3637770652459542</v>
      </c>
      <c r="BB193" s="378">
        <f>SUM(AX193:BA193)</f>
        <v>15.955705642475646</v>
      </c>
      <c r="BC193" s="378">
        <f>BC197+BC200</f>
        <v>5.1168458812475706</v>
      </c>
      <c r="BD193" s="378">
        <f>BD197+BD200</f>
        <v>7.9189129588866329</v>
      </c>
      <c r="BE193" s="378">
        <f>BE197+BE200</f>
        <v>7.734233020984103</v>
      </c>
      <c r="BF193" s="378">
        <f>BF197+BF200</f>
        <v>5.054895082762231</v>
      </c>
      <c r="BG193" s="378">
        <f>SUM(BC193:BF193)</f>
        <v>25.824886943880536</v>
      </c>
      <c r="BH193" s="378">
        <f>BH197+BH200</f>
        <v>8.6180941778070128</v>
      </c>
      <c r="BI193" s="378">
        <f>BI197+BI200</f>
        <v>10.909107440527258</v>
      </c>
      <c r="BJ193" s="378">
        <f>BJ197+BJ200</f>
        <v>10.562219174491602</v>
      </c>
      <c r="BK193" s="378">
        <f>BK197+BK200</f>
        <v>8.7750860987651045</v>
      </c>
      <c r="BL193" s="378">
        <f>SUM(BH193:BK193)</f>
        <v>38.864506891590977</v>
      </c>
    </row>
    <row r="194" spans="1:64">
      <c r="A194" s="1" t="s">
        <v>1489</v>
      </c>
      <c r="Y194" s="16">
        <f t="shared" ref="Y194:BL194" si="202">Y193/Y159</f>
        <v>0.30718954248366021</v>
      </c>
      <c r="Z194" s="16">
        <f t="shared" si="202"/>
        <v>0.28025477707006363</v>
      </c>
      <c r="AA194" s="16">
        <f t="shared" si="202"/>
        <v>0.26086956521739124</v>
      </c>
      <c r="AB194" s="16">
        <f t="shared" si="202"/>
        <v>2.7624309392265192E-2</v>
      </c>
      <c r="AC194" s="16">
        <f t="shared" si="202"/>
        <v>0.21333333333333332</v>
      </c>
      <c r="AD194" s="16">
        <f t="shared" si="202"/>
        <v>0.10270270270270263</v>
      </c>
      <c r="AE194" s="16">
        <f t="shared" si="202"/>
        <v>0.16580310880829011</v>
      </c>
      <c r="AF194" s="16">
        <f t="shared" si="202"/>
        <v>-5.2208835341365487E-2</v>
      </c>
      <c r="AG194" s="16">
        <f t="shared" si="202"/>
        <v>-0.26824817518248184</v>
      </c>
      <c r="AH194" s="16">
        <f t="shared" si="202"/>
        <v>-8.5674157303370843E-2</v>
      </c>
      <c r="AI194" s="16">
        <f t="shared" si="202"/>
        <v>-3.4220532319391588E-2</v>
      </c>
      <c r="AJ194" s="16">
        <f t="shared" si="202"/>
        <v>-1.75746924428825E-3</v>
      </c>
      <c r="AK194" s="16">
        <f t="shared" si="202"/>
        <v>-2.6058631921824119E-2</v>
      </c>
      <c r="AL194" s="16">
        <f t="shared" si="202"/>
        <v>-0.10432549825442963</v>
      </c>
      <c r="AM194" s="16">
        <f t="shared" si="202"/>
        <v>-4.286365302363912E-2</v>
      </c>
      <c r="AN194" s="16">
        <f t="shared" si="202"/>
        <v>-6.213155150435393E-3</v>
      </c>
      <c r="AO194" s="16">
        <f t="shared" si="202"/>
        <v>1.1991758217409457E-2</v>
      </c>
      <c r="AP194" s="16">
        <f t="shared" si="202"/>
        <v>1.3787107861160726E-2</v>
      </c>
      <c r="AQ194" s="16">
        <f t="shared" si="202"/>
        <v>-8.1245577469975724E-2</v>
      </c>
      <c r="AR194" s="16">
        <f t="shared" si="202"/>
        <v>-1.646288447592343E-2</v>
      </c>
      <c r="AS194" s="16">
        <f t="shared" si="202"/>
        <v>2.781407833774599E-2</v>
      </c>
      <c r="AT194" s="16">
        <f t="shared" si="202"/>
        <v>-1.7334962520327877E-2</v>
      </c>
      <c r="AU194" s="16">
        <f t="shared" si="202"/>
        <v>2.2061665386775557E-2</v>
      </c>
      <c r="AV194" s="16">
        <f t="shared" si="202"/>
        <v>2.0325085321482011E-2</v>
      </c>
      <c r="AW194" s="16">
        <f t="shared" si="202"/>
        <v>1.3237304630588479E-2</v>
      </c>
      <c r="AX194" s="16">
        <f t="shared" si="202"/>
        <v>3.6143575660733618E-2</v>
      </c>
      <c r="AY194" s="16">
        <f t="shared" si="202"/>
        <v>8.8943425817468502E-2</v>
      </c>
      <c r="AZ194" s="16">
        <f t="shared" si="202"/>
        <v>5.1374761981780467E-2</v>
      </c>
      <c r="BA194" s="16">
        <f t="shared" si="202"/>
        <v>2.843387859218938E-2</v>
      </c>
      <c r="BB194" s="16">
        <f t="shared" si="202"/>
        <v>5.1039327176741346E-2</v>
      </c>
      <c r="BC194" s="16">
        <f t="shared" si="202"/>
        <v>6.7910102555422347E-2</v>
      </c>
      <c r="BD194" s="16">
        <f t="shared" si="202"/>
        <v>9.711311016367502E-2</v>
      </c>
      <c r="BE194" s="16">
        <f t="shared" si="202"/>
        <v>8.8800592451496851E-2</v>
      </c>
      <c r="BF194" s="16">
        <f t="shared" si="202"/>
        <v>5.719704122894638E-2</v>
      </c>
      <c r="BG194" s="16">
        <f t="shared" si="202"/>
        <v>7.7700605623103616E-2</v>
      </c>
      <c r="BH194" s="16">
        <f t="shared" si="202"/>
        <v>0.10813053689497219</v>
      </c>
      <c r="BI194" s="16">
        <f t="shared" si="202"/>
        <v>0.12663404211021539</v>
      </c>
      <c r="BJ194" s="16">
        <f t="shared" si="202"/>
        <v>0.11482069321882668</v>
      </c>
      <c r="BK194" s="16">
        <f t="shared" si="202"/>
        <v>9.4048051948019656E-2</v>
      </c>
      <c r="BL194" s="16">
        <f t="shared" si="202"/>
        <v>0.11068073908236947</v>
      </c>
    </row>
    <row r="195" spans="1:64">
      <c r="A195" s="1" t="s">
        <v>28</v>
      </c>
      <c r="AD195" s="16">
        <f t="shared" ref="AD195:BL195" si="203">AD193/Y193-1</f>
        <v>-0.59574468085106425</v>
      </c>
      <c r="AE195" s="16">
        <f t="shared" si="203"/>
        <v>-0.27272727272727271</v>
      </c>
      <c r="AF195" s="16">
        <f t="shared" si="203"/>
        <v>-1.541666666666667</v>
      </c>
      <c r="AG195" s="16">
        <f t="shared" si="203"/>
        <v>-30.400000000000006</v>
      </c>
      <c r="AH195" s="16">
        <f t="shared" si="203"/>
        <v>-1.8472222222222228</v>
      </c>
      <c r="AI195" s="16">
        <f t="shared" si="203"/>
        <v>-1.947368421052631</v>
      </c>
      <c r="AJ195" s="16">
        <f t="shared" si="203"/>
        <v>-1.0312500000000004</v>
      </c>
      <c r="AK195" s="16">
        <f t="shared" si="203"/>
        <v>-0.38461538461538447</v>
      </c>
      <c r="AL195" s="16">
        <f t="shared" si="203"/>
        <v>-0.55828291359002469</v>
      </c>
      <c r="AM195" s="16">
        <f t="shared" si="203"/>
        <v>-0.1808818712928989</v>
      </c>
      <c r="AN195" s="16">
        <f t="shared" si="203"/>
        <v>-0.79579600735167166</v>
      </c>
      <c r="AO195" s="16">
        <f t="shared" si="203"/>
        <v>-8.6547236751006622</v>
      </c>
      <c r="AP195" s="16">
        <f t="shared" si="203"/>
        <v>-1.5921607897203478</v>
      </c>
      <c r="AQ195" s="16">
        <f t="shared" si="203"/>
        <v>-0.13056338366996911</v>
      </c>
      <c r="AR195" s="16">
        <f t="shared" si="203"/>
        <v>-0.56969924827066565</v>
      </c>
      <c r="AS195" s="16">
        <f t="shared" si="203"/>
        <v>-5.9419657981998402</v>
      </c>
      <c r="AT195" s="16">
        <f t="shared" si="203"/>
        <v>-2.6015391075081054</v>
      </c>
      <c r="AU195" s="16">
        <f t="shared" si="203"/>
        <v>0.75919819739295069</v>
      </c>
      <c r="AV195" s="16">
        <f t="shared" si="203"/>
        <v>-1.2760238689552184</v>
      </c>
      <c r="AW195" s="16">
        <f t="shared" si="203"/>
        <v>-1.8873325099071798</v>
      </c>
      <c r="AX195" s="16">
        <f t="shared" si="203"/>
        <v>0.40978676139813652</v>
      </c>
      <c r="AY195" s="16">
        <f t="shared" si="203"/>
        <v>-6.5645677711479085</v>
      </c>
      <c r="AZ195" s="16">
        <f t="shared" si="203"/>
        <v>1.5254021426967572</v>
      </c>
      <c r="BA195" s="16">
        <f t="shared" si="203"/>
        <v>0.51691209930754267</v>
      </c>
      <c r="BB195" s="16">
        <f t="shared" si="203"/>
        <v>3.1816834015820437</v>
      </c>
      <c r="BC195" s="16">
        <f t="shared" si="203"/>
        <v>0.99807800199482299</v>
      </c>
      <c r="BD195" s="16">
        <f t="shared" si="203"/>
        <v>0.16082584129025768</v>
      </c>
      <c r="BE195" s="16">
        <f t="shared" si="203"/>
        <v>0.83743636381262698</v>
      </c>
      <c r="BF195" s="16">
        <f t="shared" si="203"/>
        <v>1.1384821593724457</v>
      </c>
      <c r="BG195" s="16">
        <f t="shared" si="203"/>
        <v>0.61853618527106469</v>
      </c>
      <c r="BH195" s="16">
        <f t="shared" si="203"/>
        <v>0.68425908808216462</v>
      </c>
      <c r="BI195" s="16">
        <f t="shared" si="203"/>
        <v>0.37760163511899925</v>
      </c>
      <c r="BJ195" s="16">
        <f t="shared" si="203"/>
        <v>0.36564532589524523</v>
      </c>
      <c r="BK195" s="16">
        <f t="shared" si="203"/>
        <v>0.73595810696232822</v>
      </c>
      <c r="BL195" s="16">
        <f t="shared" si="203"/>
        <v>0.5049245704752372</v>
      </c>
    </row>
    <row r="197" spans="1:64">
      <c r="A197" s="9" t="s">
        <v>1758</v>
      </c>
      <c r="B197" s="9"/>
      <c r="C197" s="9"/>
      <c r="D197" s="9"/>
      <c r="E197" s="9"/>
      <c r="F197" s="9"/>
      <c r="G197" s="9"/>
      <c r="H197" s="9"/>
      <c r="I197" s="9"/>
      <c r="J197" s="378"/>
      <c r="K197" s="378"/>
      <c r="L197" s="378"/>
      <c r="M197" s="378"/>
      <c r="N197" s="378"/>
      <c r="O197" s="378"/>
      <c r="P197" s="378"/>
      <c r="Q197" s="378"/>
      <c r="R197" s="378"/>
      <c r="S197" s="378"/>
      <c r="T197" s="378"/>
      <c r="U197" s="378"/>
      <c r="V197" s="378"/>
      <c r="W197" s="378"/>
      <c r="X197" s="378"/>
      <c r="Y197" s="378">
        <f>Y185</f>
        <v>4.7000000000000011</v>
      </c>
      <c r="Z197" s="378">
        <f t="shared" ref="Z197:AE198" si="204">Z185</f>
        <v>4.3999999999999986</v>
      </c>
      <c r="AA197" s="378">
        <f t="shared" si="204"/>
        <v>4.7999999999999989</v>
      </c>
      <c r="AB197" s="378">
        <f t="shared" si="204"/>
        <v>0.5</v>
      </c>
      <c r="AC197" s="378">
        <f t="shared" si="204"/>
        <v>14.399999999999999</v>
      </c>
      <c r="AD197" s="378">
        <f t="shared" si="204"/>
        <v>1.8999999999999986</v>
      </c>
      <c r="AE197" s="378">
        <f t="shared" si="204"/>
        <v>3.1999999999999993</v>
      </c>
      <c r="AF197" s="378">
        <f>AF198*AF158</f>
        <v>3.0397500000000002</v>
      </c>
      <c r="AG197" s="378">
        <f>AG198*AG158</f>
        <v>0.47813</v>
      </c>
      <c r="AH197" s="378">
        <f>SUM(AD197:AG197)</f>
        <v>8.6178799999999978</v>
      </c>
      <c r="AI197" s="378">
        <f>AI198*AI158</f>
        <v>1.8133783783783775</v>
      </c>
      <c r="AJ197" s="378">
        <f>AJ198*AJ158</f>
        <v>3.0211075129533671</v>
      </c>
      <c r="AK197" s="378">
        <f>AK198*AK158</f>
        <v>3.1387345000000004</v>
      </c>
      <c r="AL197" s="378">
        <f>AL198*AL158</f>
        <v>0.54984949999999999</v>
      </c>
      <c r="AM197" s="378">
        <f>SUM(AI197:AL197)</f>
        <v>8.5230698913317458</v>
      </c>
      <c r="AN197" s="378">
        <f>AN198*AN158</f>
        <v>2.4394256756756749</v>
      </c>
      <c r="AO197" s="378">
        <f>AO198*AO158</f>
        <v>3.3467147020725379</v>
      </c>
      <c r="AP197" s="378">
        <f>AP198*AP158</f>
        <v>3.4741234687500002</v>
      </c>
      <c r="AQ197" s="378">
        <f>AQ198*AQ158</f>
        <v>0.61858068749999995</v>
      </c>
      <c r="AR197" s="378">
        <f>SUM(AN197:AQ197)</f>
        <v>9.8788445339982118</v>
      </c>
      <c r="AS197" s="378">
        <f>AS198*AS158</f>
        <v>2.7712307432432426</v>
      </c>
      <c r="AT197" s="378">
        <f>AT198*AT158</f>
        <v>3.7958549222797919</v>
      </c>
      <c r="AU197" s="378">
        <f>AU198*AU158</f>
        <v>3.9468320718750012</v>
      </c>
      <c r="AV197" s="378">
        <f>AV198*AV158</f>
        <v>0.8165265075</v>
      </c>
      <c r="AW197" s="378">
        <f>SUM(AS197:AV197)</f>
        <v>11.330444244898036</v>
      </c>
      <c r="AX197" s="378">
        <f>AX198*AX158</f>
        <v>3.0878207027027025</v>
      </c>
      <c r="AY197" s="378">
        <f>AY198*AY158</f>
        <v>4.2231495660621752</v>
      </c>
      <c r="AZ197" s="378">
        <f>AZ198*AZ158</f>
        <v>4.3978985943750013</v>
      </c>
      <c r="BA197" s="378">
        <f>BA198*BA158</f>
        <v>1.02882339945</v>
      </c>
      <c r="BB197" s="378">
        <f>SUM(AX197:BA197)</f>
        <v>12.73769226258988</v>
      </c>
      <c r="BC197" s="378">
        <f>BC198*BC158</f>
        <v>3.3736749348648649</v>
      </c>
      <c r="BD197" s="378">
        <f>BD198*BD158</f>
        <v>4.6075823650259062</v>
      </c>
      <c r="BE197" s="378">
        <f>BE198*BE158</f>
        <v>4.8052116641925018</v>
      </c>
      <c r="BF197" s="378">
        <f>BF198*BF158</f>
        <v>1.2463460610479999</v>
      </c>
      <c r="BG197" s="378">
        <f>SUM(BC197:BF197)</f>
        <v>14.032815025131272</v>
      </c>
      <c r="BH197" s="378">
        <f>BH198*BH158</f>
        <v>3.6132303218594597</v>
      </c>
      <c r="BI197" s="378">
        <f>BI198*BI158</f>
        <v>4.9281712376269429</v>
      </c>
      <c r="BJ197" s="378">
        <f>BJ198*BJ158</f>
        <v>5.1465968510814024</v>
      </c>
      <c r="BK197" s="378">
        <f>BK198*BK158</f>
        <v>1.4582248914261597</v>
      </c>
      <c r="BL197" s="378">
        <f>SUM(BH197:BK197)</f>
        <v>15.146223301993963</v>
      </c>
    </row>
    <row r="198" spans="1:64">
      <c r="A198" s="1" t="s">
        <v>1759</v>
      </c>
      <c r="Y198" s="85">
        <f>Y186</f>
        <v>0.30718954248366021</v>
      </c>
      <c r="Z198" s="85">
        <f t="shared" si="204"/>
        <v>0.28025477707006363</v>
      </c>
      <c r="AA198" s="85">
        <f t="shared" si="204"/>
        <v>0.26086956521739124</v>
      </c>
      <c r="AB198" s="85">
        <f t="shared" si="204"/>
        <v>2.7624309392265192E-2</v>
      </c>
      <c r="AC198" s="85">
        <f t="shared" si="204"/>
        <v>0.21333333333333332</v>
      </c>
      <c r="AD198" s="85">
        <f t="shared" si="204"/>
        <v>0.10270270270270263</v>
      </c>
      <c r="AE198" s="85">
        <f t="shared" si="204"/>
        <v>0.16580310880829011</v>
      </c>
      <c r="AF198" s="303">
        <v>0.1575</v>
      </c>
      <c r="AG198" s="303">
        <v>2.5000000000000001E-2</v>
      </c>
      <c r="AI198" s="303">
        <f>AD198+2.5%</f>
        <v>0.12770270270270262</v>
      </c>
      <c r="AJ198" s="303">
        <f>AE198-0.25%</f>
        <v>0.1633031088082901</v>
      </c>
      <c r="AK198" s="303">
        <f>AF198-0.25%</f>
        <v>0.155</v>
      </c>
      <c r="AL198" s="303">
        <f>AG198</f>
        <v>2.5000000000000001E-2</v>
      </c>
      <c r="AM198" s="16">
        <f>AM197/AM158</f>
        <v>0.11372602928126679</v>
      </c>
      <c r="AN198" s="303">
        <f>AI198+2.5%</f>
        <v>0.15270270270270261</v>
      </c>
      <c r="AO198" s="303">
        <f>AJ198-0.25%</f>
        <v>0.1608031088082901</v>
      </c>
      <c r="AP198" s="303">
        <f>AK198-0.25%</f>
        <v>0.1525</v>
      </c>
      <c r="AQ198" s="303">
        <f>AL198</f>
        <v>2.5000000000000001E-2</v>
      </c>
      <c r="AR198" s="16">
        <f>AR197/AR158</f>
        <v>0.11717027649664979</v>
      </c>
      <c r="AS198" s="303">
        <f>AN198+0.5%</f>
        <v>0.15770270270270262</v>
      </c>
      <c r="AT198" s="303">
        <f>AO198+0.5%</f>
        <v>0.16580310880829011</v>
      </c>
      <c r="AU198" s="303">
        <f>AP198+0.5%</f>
        <v>0.1575</v>
      </c>
      <c r="AV198" s="303">
        <f>AQ198+0.5%</f>
        <v>3.0000000000000002E-2</v>
      </c>
      <c r="AW198" s="16">
        <f>AW197/AW158</f>
        <v>0.12217027649664984</v>
      </c>
      <c r="AX198" s="303">
        <f>AS198+0.5%</f>
        <v>0.16270270270270262</v>
      </c>
      <c r="AY198" s="303">
        <f>AT198+0.5%</f>
        <v>0.17080310880829011</v>
      </c>
      <c r="AZ198" s="303">
        <f>AU198+0.5%</f>
        <v>0.16250000000000001</v>
      </c>
      <c r="BA198" s="303">
        <f>AV198+0.5%</f>
        <v>3.5000000000000003E-2</v>
      </c>
      <c r="BB198" s="16">
        <f>BB197/BB158</f>
        <v>0.12717027649664983</v>
      </c>
      <c r="BC198" s="303">
        <f>AX198+0.5%</f>
        <v>0.16770270270270263</v>
      </c>
      <c r="BD198" s="303">
        <f>AY198+0.5%</f>
        <v>0.17580310880829011</v>
      </c>
      <c r="BE198" s="303">
        <f>AZ198+0.5%</f>
        <v>0.16750000000000001</v>
      </c>
      <c r="BF198" s="303">
        <f>BA198+0.5%</f>
        <v>0.04</v>
      </c>
      <c r="BG198" s="16">
        <f>BG197/BG158</f>
        <v>0.13217027649664981</v>
      </c>
      <c r="BH198" s="303">
        <f>BC198+0.5%</f>
        <v>0.17270270270270263</v>
      </c>
      <c r="BI198" s="303">
        <f>BD198+0.5%</f>
        <v>0.18080310880829012</v>
      </c>
      <c r="BJ198" s="303">
        <f>BE198+0.5%</f>
        <v>0.17250000000000001</v>
      </c>
      <c r="BK198" s="303">
        <f>BF198+0.5%</f>
        <v>4.4999999999999998E-2</v>
      </c>
      <c r="BL198" s="16">
        <f>BL197/BL158</f>
        <v>0.13717027649664981</v>
      </c>
    </row>
    <row r="200" spans="1:64">
      <c r="A200" s="9" t="s">
        <v>1760</v>
      </c>
      <c r="B200" s="9"/>
      <c r="C200" s="9"/>
      <c r="D200" s="9"/>
      <c r="E200" s="9"/>
      <c r="F200" s="9"/>
      <c r="G200" s="9"/>
      <c r="H200" s="9"/>
      <c r="I200" s="9"/>
      <c r="J200" s="378"/>
      <c r="K200" s="378"/>
      <c r="L200" s="378"/>
      <c r="M200" s="378"/>
      <c r="N200" s="378"/>
      <c r="O200" s="378"/>
      <c r="P200" s="378"/>
      <c r="Q200" s="378"/>
      <c r="R200" s="378"/>
      <c r="S200" s="378"/>
      <c r="T200" s="378"/>
      <c r="U200" s="378"/>
      <c r="V200" s="378"/>
      <c r="W200" s="378"/>
      <c r="X200" s="378"/>
      <c r="Y200" s="378"/>
      <c r="Z200" s="378"/>
      <c r="AA200" s="378"/>
      <c r="AB200" s="378"/>
      <c r="AC200" s="378"/>
      <c r="AD200" s="378"/>
      <c r="AE200" s="378"/>
      <c r="AF200" s="378">
        <f>AF201*AF157</f>
        <v>-5.6397500000000012</v>
      </c>
      <c r="AG200" s="378">
        <f>AG201*AG157</f>
        <v>-15.178130000000003</v>
      </c>
      <c r="AH200" s="378"/>
      <c r="AI200" s="378">
        <f>AI201*AI157</f>
        <v>-3.6133783783783748</v>
      </c>
      <c r="AJ200" s="378">
        <f>AJ201*AJ157</f>
        <v>-3.1211075129533685</v>
      </c>
      <c r="AK200" s="378">
        <f>AK201*AK157</f>
        <v>-4.7387345000000014</v>
      </c>
      <c r="AL200" s="378">
        <f>AL201*AL157</f>
        <v>-7.0430906702266389</v>
      </c>
      <c r="AM200" s="378">
        <f>SUM(AI200:AL200)</f>
        <v>-18.516311061558383</v>
      </c>
      <c r="AN200" s="378">
        <f>AN201*AN157</f>
        <v>-2.8069928624426654</v>
      </c>
      <c r="AO200" s="378">
        <f>AO201*AO157</f>
        <v>-2.5812423345624609</v>
      </c>
      <c r="AP200" s="378">
        <f>AP201*AP157</f>
        <v>-2.5266662051974431</v>
      </c>
      <c r="AQ200" s="378">
        <f>AQ201*AQ157</f>
        <v>-6.2640423195566992</v>
      </c>
      <c r="AR200" s="378">
        <f>SUM(AN200:AQ200)</f>
        <v>-14.17894372175927</v>
      </c>
      <c r="AS200" s="378">
        <f>AS201*AS157</f>
        <v>-0.95472627770024254</v>
      </c>
      <c r="AT200" s="378">
        <f>AT201*AT157</f>
        <v>-5.0217888545639973</v>
      </c>
      <c r="AU200" s="378">
        <f>AU201*AU157</f>
        <v>-2.2800669617264848</v>
      </c>
      <c r="AV200" s="378">
        <f>AV201*AV157</f>
        <v>0.74175565421853196</v>
      </c>
      <c r="AW200" s="378">
        <f>SUM(AS200:AV200)</f>
        <v>-7.5148264397721922</v>
      </c>
      <c r="AX200" s="378">
        <f>AX201*AX157</f>
        <v>-0.52693675515958349</v>
      </c>
      <c r="AY200" s="378">
        <f>AY201*AY157</f>
        <v>2.5986428830831367</v>
      </c>
      <c r="AZ200" s="378">
        <f>AZ201*AZ157</f>
        <v>-0.188646413833742</v>
      </c>
      <c r="BA200" s="378">
        <f>BA201*BA157</f>
        <v>1.3349536657959544</v>
      </c>
      <c r="BB200" s="378">
        <f>SUM(AX200:BA200)</f>
        <v>3.2180133798857655</v>
      </c>
      <c r="BC200" s="378">
        <f>BC201*BC157</f>
        <v>1.7431709463827056</v>
      </c>
      <c r="BD200" s="378">
        <f>BD201*BD157</f>
        <v>3.3113305938607263</v>
      </c>
      <c r="BE200" s="378">
        <f>BE201*BE157</f>
        <v>2.9290213567916017</v>
      </c>
      <c r="BF200" s="378">
        <f>BF201*BF157</f>
        <v>3.8085490217142306</v>
      </c>
      <c r="BG200" s="378">
        <f>SUM(BC200:BF200)</f>
        <v>11.792071918749265</v>
      </c>
      <c r="BH200" s="378">
        <f>BH201*BH157</f>
        <v>5.004863855947554</v>
      </c>
      <c r="BI200" s="378">
        <f>BI201*BI157</f>
        <v>5.9809362029003141</v>
      </c>
      <c r="BJ200" s="378">
        <f>BJ201*BJ157</f>
        <v>5.4156223234101999</v>
      </c>
      <c r="BK200" s="378">
        <f>BK201*BK157</f>
        <v>7.3168612073389445</v>
      </c>
      <c r="BL200" s="378">
        <f>SUM(BH200:BK200)</f>
        <v>23.718283589597014</v>
      </c>
    </row>
    <row r="201" spans="1:64">
      <c r="A201" s="1" t="s">
        <v>1761</v>
      </c>
      <c r="Y201" s="85"/>
      <c r="Z201" s="85"/>
      <c r="AA201" s="85"/>
      <c r="AB201" s="85"/>
      <c r="AC201" s="85"/>
      <c r="AD201" s="85"/>
      <c r="AE201" s="85"/>
      <c r="AF201" s="85">
        <f>(AF185-AF198*AF158)/AF157</f>
        <v>-0.18490983606557382</v>
      </c>
      <c r="AG201" s="85">
        <f>(AG185-AG198*AG158)/AG157</f>
        <v>-0.42545802639398128</v>
      </c>
      <c r="AI201" s="85">
        <f>(AI185-AI198*AI158)/AI157</f>
        <v>-9.4098395270270183E-2</v>
      </c>
      <c r="AJ201" s="85">
        <f>(AJ185-AJ198*AJ158)/AJ157</f>
        <v>-8.1278841483160641E-2</v>
      </c>
      <c r="AK201" s="85">
        <f>(AK185-AK198*AK158)/AK157</f>
        <v>-0.11515730216937509</v>
      </c>
      <c r="AL201" s="303">
        <v>-0.17499999999999999</v>
      </c>
      <c r="AM201" s="16">
        <f>AM200/AM157</f>
        <v>-0.11704639911997605</v>
      </c>
      <c r="AN201" s="303">
        <v>-6.5000000000000002E-2</v>
      </c>
      <c r="AO201" s="303">
        <f>AN201+0.5%</f>
        <v>-6.0000000000000005E-2</v>
      </c>
      <c r="AP201" s="303">
        <f>AO201+0.5%</f>
        <v>-5.5000000000000007E-2</v>
      </c>
      <c r="AQ201" s="303">
        <f>AL201+3.5%</f>
        <v>-0.13999999999999999</v>
      </c>
      <c r="AR201" s="16">
        <f>AR200/AR157</f>
        <v>-8.0157858476178429E-2</v>
      </c>
      <c r="AS201" s="303">
        <f>AP201+3.5%</f>
        <v>-2.0000000000000004E-2</v>
      </c>
      <c r="AT201" s="303">
        <f t="shared" ref="AT201:AV201" si="205">AQ201+3.5%</f>
        <v>-0.10499999999999998</v>
      </c>
      <c r="AU201" s="303">
        <f t="shared" si="205"/>
        <v>-4.5157858476178425E-2</v>
      </c>
      <c r="AV201" s="303">
        <f t="shared" si="205"/>
        <v>1.4999999999999999E-2</v>
      </c>
      <c r="AW201" s="16">
        <f>AW200/AW157</f>
        <v>-3.8438167384895611E-2</v>
      </c>
      <c r="AX201" s="303">
        <f>AU201+3.5%</f>
        <v>-1.0157858476178422E-2</v>
      </c>
      <c r="AY201" s="303">
        <f t="shared" ref="AY201:BA201" si="206">AV201+3.5%</f>
        <v>0.05</v>
      </c>
      <c r="AZ201" s="303">
        <f t="shared" si="206"/>
        <v>-3.4381673848956074E-3</v>
      </c>
      <c r="BA201" s="303">
        <f t="shared" si="206"/>
        <v>2.4842141523821581E-2</v>
      </c>
      <c r="BB201" s="16">
        <f>BB200/BB157</f>
        <v>1.5146913075771165E-2</v>
      </c>
      <c r="BC201" s="303">
        <f>AZ201+3.5%</f>
        <v>3.1561832615104396E-2</v>
      </c>
      <c r="BD201" s="303">
        <f t="shared" ref="BD201:BF201" si="207">BA201+3.5%</f>
        <v>5.9842141523821585E-2</v>
      </c>
      <c r="BE201" s="303">
        <f t="shared" si="207"/>
        <v>5.0146913075771168E-2</v>
      </c>
      <c r="BF201" s="303">
        <f t="shared" si="207"/>
        <v>6.6561832615104399E-2</v>
      </c>
      <c r="BG201" s="16">
        <f>BG200/BG157</f>
        <v>5.2133067453169077E-2</v>
      </c>
      <c r="BH201" s="303">
        <f>BE201+3.5%</f>
        <v>8.5146913075771172E-2</v>
      </c>
      <c r="BI201" s="303">
        <f t="shared" ref="BI201:BK201" si="208">BF201+3.5%</f>
        <v>0.1015618326151044</v>
      </c>
      <c r="BJ201" s="303">
        <f t="shared" si="208"/>
        <v>8.713306745316908E-2</v>
      </c>
      <c r="BK201" s="303">
        <f t="shared" si="208"/>
        <v>0.12014691307577118</v>
      </c>
      <c r="BL201" s="16">
        <f>BL200/BL157</f>
        <v>9.8529968971683993E-2</v>
      </c>
    </row>
    <row r="203" spans="1:64">
      <c r="A203" s="3" t="s">
        <v>1762</v>
      </c>
    </row>
    <row r="205" spans="1:64">
      <c r="A205" s="5" t="s">
        <v>1537</v>
      </c>
      <c r="AH205" s="379">
        <f t="shared" ref="AH205:BL206" si="209">AH162</f>
        <v>288.78300000000002</v>
      </c>
      <c r="AI205" s="379">
        <f t="shared" si="209"/>
        <v>334.12099999999998</v>
      </c>
      <c r="AJ205" s="379">
        <f t="shared" si="209"/>
        <v>432.53199999999998</v>
      </c>
      <c r="AK205" s="379">
        <f t="shared" si="209"/>
        <v>496.57</v>
      </c>
      <c r="AL205" s="379">
        <f t="shared" si="209"/>
        <v>511.57</v>
      </c>
      <c r="AM205" s="379">
        <f t="shared" si="209"/>
        <v>511.57</v>
      </c>
      <c r="AN205" s="379">
        <f t="shared" si="209"/>
        <v>551.56999999999994</v>
      </c>
      <c r="AO205" s="379">
        <f t="shared" si="209"/>
        <v>591.56999999999994</v>
      </c>
      <c r="AP205" s="379">
        <f t="shared" si="209"/>
        <v>631.56999999999994</v>
      </c>
      <c r="AQ205" s="379">
        <f t="shared" si="209"/>
        <v>671.56999999999994</v>
      </c>
      <c r="AR205" s="379">
        <f t="shared" si="209"/>
        <v>671.56999999999994</v>
      </c>
      <c r="AS205" s="379">
        <f t="shared" si="209"/>
        <v>703.56999999999994</v>
      </c>
      <c r="AT205" s="379">
        <f t="shared" si="209"/>
        <v>735.56999999999994</v>
      </c>
      <c r="AU205" s="379">
        <f t="shared" si="209"/>
        <v>767.56999999999994</v>
      </c>
      <c r="AV205" s="379">
        <f t="shared" si="209"/>
        <v>799.56999999999994</v>
      </c>
      <c r="AW205" s="379">
        <f t="shared" si="209"/>
        <v>799.56999999999994</v>
      </c>
      <c r="AX205" s="379">
        <f t="shared" si="209"/>
        <v>825.17</v>
      </c>
      <c r="AY205" s="379">
        <f t="shared" si="209"/>
        <v>850.77</v>
      </c>
      <c r="AZ205" s="379">
        <f t="shared" si="209"/>
        <v>876.37</v>
      </c>
      <c r="BA205" s="379">
        <f t="shared" si="209"/>
        <v>901.97</v>
      </c>
      <c r="BB205" s="379">
        <f t="shared" si="209"/>
        <v>901.97</v>
      </c>
      <c r="BC205" s="379">
        <f t="shared" si="209"/>
        <v>922.45</v>
      </c>
      <c r="BD205" s="379">
        <f t="shared" si="209"/>
        <v>942.93000000000006</v>
      </c>
      <c r="BE205" s="379">
        <f t="shared" si="209"/>
        <v>963.41000000000008</v>
      </c>
      <c r="BF205" s="379">
        <f t="shared" si="209"/>
        <v>983.8900000000001</v>
      </c>
      <c r="BG205" s="379">
        <f t="shared" si="209"/>
        <v>983.8900000000001</v>
      </c>
      <c r="BH205" s="379">
        <f t="shared" si="209"/>
        <v>1000.2740000000001</v>
      </c>
      <c r="BI205" s="379">
        <f t="shared" si="209"/>
        <v>1016.6580000000001</v>
      </c>
      <c r="BJ205" s="379">
        <f t="shared" si="209"/>
        <v>1033.0420000000001</v>
      </c>
      <c r="BK205" s="379">
        <f t="shared" si="209"/>
        <v>1049.4260000000002</v>
      </c>
      <c r="BL205" s="379">
        <f t="shared" si="209"/>
        <v>1049.4260000000002</v>
      </c>
    </row>
    <row r="206" spans="1:64">
      <c r="A206" s="5" t="s">
        <v>6</v>
      </c>
      <c r="AH206" s="379">
        <f t="shared" si="209"/>
        <v>1528.65</v>
      </c>
      <c r="AI206" s="379">
        <f t="shared" si="209"/>
        <v>1579.6289999999999</v>
      </c>
      <c r="AJ206" s="379">
        <f t="shared" si="209"/>
        <v>1635.7339999999999</v>
      </c>
      <c r="AK206" s="379">
        <f t="shared" si="209"/>
        <v>1668.316</v>
      </c>
      <c r="AL206" s="379">
        <f t="shared" si="209"/>
        <v>1708.316</v>
      </c>
      <c r="AM206" s="379">
        <f t="shared" si="209"/>
        <v>1708.316</v>
      </c>
      <c r="AN206" s="379">
        <f t="shared" si="209"/>
        <v>1733.316</v>
      </c>
      <c r="AO206" s="379">
        <f t="shared" si="209"/>
        <v>1765.816</v>
      </c>
      <c r="AP206" s="379">
        <f t="shared" si="209"/>
        <v>1790.816</v>
      </c>
      <c r="AQ206" s="379">
        <f t="shared" si="209"/>
        <v>1823.316</v>
      </c>
      <c r="AR206" s="379">
        <f t="shared" si="209"/>
        <v>1823.316</v>
      </c>
      <c r="AS206" s="379">
        <f t="shared" si="209"/>
        <v>1845.816</v>
      </c>
      <c r="AT206" s="379">
        <f t="shared" si="209"/>
        <v>1875.066</v>
      </c>
      <c r="AU206" s="379">
        <f t="shared" si="209"/>
        <v>1897.566</v>
      </c>
      <c r="AV206" s="379">
        <f t="shared" si="209"/>
        <v>1926.816</v>
      </c>
      <c r="AW206" s="379">
        <f t="shared" si="209"/>
        <v>1926.816</v>
      </c>
      <c r="AX206" s="379">
        <f t="shared" si="209"/>
        <v>1947.066</v>
      </c>
      <c r="AY206" s="379">
        <f t="shared" si="209"/>
        <v>1973.3910000000001</v>
      </c>
      <c r="AZ206" s="379">
        <f t="shared" si="209"/>
        <v>1993.6410000000001</v>
      </c>
      <c r="BA206" s="379">
        <f t="shared" si="209"/>
        <v>2019.9660000000001</v>
      </c>
      <c r="BB206" s="379">
        <f t="shared" si="209"/>
        <v>2019.9660000000001</v>
      </c>
      <c r="BC206" s="379">
        <f t="shared" si="209"/>
        <v>2049.9660000000003</v>
      </c>
      <c r="BD206" s="379">
        <f t="shared" si="209"/>
        <v>2079.9660000000003</v>
      </c>
      <c r="BE206" s="379">
        <f t="shared" si="209"/>
        <v>2109.9660000000003</v>
      </c>
      <c r="BF206" s="379">
        <f t="shared" si="209"/>
        <v>2139.9660000000003</v>
      </c>
      <c r="BG206" s="379">
        <f t="shared" si="209"/>
        <v>2139.9660000000003</v>
      </c>
      <c r="BH206" s="379">
        <f t="shared" si="209"/>
        <v>2169.9660000000003</v>
      </c>
      <c r="BI206" s="379">
        <f t="shared" si="209"/>
        <v>2199.9660000000003</v>
      </c>
      <c r="BJ206" s="379">
        <f t="shared" si="209"/>
        <v>2229.9660000000003</v>
      </c>
      <c r="BK206" s="379">
        <f t="shared" si="209"/>
        <v>2259.9660000000003</v>
      </c>
      <c r="BL206" s="379">
        <f t="shared" si="209"/>
        <v>2259.9660000000003</v>
      </c>
    </row>
    <row r="207" spans="1:64">
      <c r="A207" s="9" t="s">
        <v>1750</v>
      </c>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403">
        <f t="shared" ref="AH207:BL207" si="210">SUM(AH205:AH206)</f>
        <v>1817.433</v>
      </c>
      <c r="AI207" s="403">
        <f t="shared" si="210"/>
        <v>1913.75</v>
      </c>
      <c r="AJ207" s="403">
        <f t="shared" si="210"/>
        <v>2068.2660000000001</v>
      </c>
      <c r="AK207" s="403">
        <f t="shared" si="210"/>
        <v>2164.886</v>
      </c>
      <c r="AL207" s="403">
        <f t="shared" si="210"/>
        <v>2219.886</v>
      </c>
      <c r="AM207" s="403">
        <f t="shared" si="210"/>
        <v>2219.886</v>
      </c>
      <c r="AN207" s="403">
        <f t="shared" si="210"/>
        <v>2284.886</v>
      </c>
      <c r="AO207" s="403">
        <f t="shared" si="210"/>
        <v>2357.386</v>
      </c>
      <c r="AP207" s="403">
        <f t="shared" si="210"/>
        <v>2422.386</v>
      </c>
      <c r="AQ207" s="403">
        <f t="shared" si="210"/>
        <v>2494.886</v>
      </c>
      <c r="AR207" s="403">
        <f t="shared" si="210"/>
        <v>2494.886</v>
      </c>
      <c r="AS207" s="403">
        <f t="shared" si="210"/>
        <v>2549.386</v>
      </c>
      <c r="AT207" s="403">
        <f t="shared" si="210"/>
        <v>2610.636</v>
      </c>
      <c r="AU207" s="403">
        <f t="shared" si="210"/>
        <v>2665.136</v>
      </c>
      <c r="AV207" s="403">
        <f t="shared" si="210"/>
        <v>2726.386</v>
      </c>
      <c r="AW207" s="403">
        <f t="shared" si="210"/>
        <v>2726.386</v>
      </c>
      <c r="AX207" s="403">
        <f t="shared" si="210"/>
        <v>2772.2359999999999</v>
      </c>
      <c r="AY207" s="403">
        <f t="shared" si="210"/>
        <v>2824.1610000000001</v>
      </c>
      <c r="AZ207" s="403">
        <f t="shared" si="210"/>
        <v>2870.011</v>
      </c>
      <c r="BA207" s="403">
        <f t="shared" si="210"/>
        <v>2921.9360000000001</v>
      </c>
      <c r="BB207" s="403">
        <f t="shared" si="210"/>
        <v>2921.9360000000001</v>
      </c>
      <c r="BC207" s="403">
        <f t="shared" si="210"/>
        <v>2972.4160000000002</v>
      </c>
      <c r="BD207" s="403">
        <f t="shared" si="210"/>
        <v>3022.8960000000006</v>
      </c>
      <c r="BE207" s="403">
        <f t="shared" si="210"/>
        <v>3073.3760000000002</v>
      </c>
      <c r="BF207" s="403">
        <f t="shared" si="210"/>
        <v>3123.8560000000007</v>
      </c>
      <c r="BG207" s="403">
        <f t="shared" si="210"/>
        <v>3123.8560000000007</v>
      </c>
      <c r="BH207" s="403">
        <f t="shared" si="210"/>
        <v>3170.2400000000007</v>
      </c>
      <c r="BI207" s="403">
        <f t="shared" si="210"/>
        <v>3216.6240000000007</v>
      </c>
      <c r="BJ207" s="403">
        <f t="shared" si="210"/>
        <v>3263.0080000000007</v>
      </c>
      <c r="BK207" s="403">
        <f t="shared" si="210"/>
        <v>3309.3920000000007</v>
      </c>
      <c r="BL207" s="403">
        <f t="shared" si="210"/>
        <v>3309.3920000000007</v>
      </c>
    </row>
    <row r="208" spans="1:64">
      <c r="A208" s="28" t="s">
        <v>1763</v>
      </c>
      <c r="AH208" s="379">
        <f>-'Financial statements KK'!AH124</f>
        <v>-1472.26</v>
      </c>
      <c r="AI208" s="379">
        <f>-'Financial statements KK'!AI124</f>
        <v>-1533.675</v>
      </c>
      <c r="AJ208" s="379">
        <f>-'Financial statements KK'!AJ124</f>
        <v>-1552.0519999999999</v>
      </c>
      <c r="AK208" s="379">
        <f>-'Financial statements KK'!AK124</f>
        <v>-1625.53</v>
      </c>
      <c r="AL208" s="379">
        <f>-'Financial statements KK'!AL124</f>
        <v>-1660.53</v>
      </c>
      <c r="AM208" s="379">
        <f>-'Financial statements KK'!AM124</f>
        <v>-1660.53</v>
      </c>
      <c r="AN208" s="379">
        <f>-'Financial statements KK'!AN124</f>
        <v>-1715.53</v>
      </c>
      <c r="AO208" s="379">
        <f>-'Financial statements KK'!AO124</f>
        <v>-1750.53</v>
      </c>
      <c r="AP208" s="379">
        <f>-'Financial statements KK'!AP124</f>
        <v>-1805.53</v>
      </c>
      <c r="AQ208" s="379">
        <f>-'Financial statements KK'!AQ124</f>
        <v>-1840.53</v>
      </c>
      <c r="AR208" s="379">
        <f>-'Financial statements KK'!AR124</f>
        <v>-1840.53</v>
      </c>
      <c r="AS208" s="379">
        <f>-'Financial statements KK'!AS124</f>
        <v>-1894.155</v>
      </c>
      <c r="AT208" s="379">
        <f>-'Financial statements KK'!AT124</f>
        <v>-1928.28</v>
      </c>
      <c r="AU208" s="379">
        <f>-'Financial statements KK'!AU124</f>
        <v>-1981.905</v>
      </c>
      <c r="AV208" s="379">
        <f>-'Financial statements KK'!AV124</f>
        <v>-2016.03</v>
      </c>
      <c r="AW208" s="379">
        <f>-'Financial statements KK'!AW124</f>
        <v>-2016.03</v>
      </c>
      <c r="AX208" s="379">
        <f>-'Financial statements KK'!AX124</f>
        <v>-2068.3143749999999</v>
      </c>
      <c r="AY208" s="379">
        <f>-'Financial statements KK'!AY124</f>
        <v>-2101.5862499999998</v>
      </c>
      <c r="AZ208" s="379">
        <f>-'Financial statements KK'!AZ124</f>
        <v>-2153.870625</v>
      </c>
      <c r="BA208" s="379">
        <f>-'Financial statements KK'!BA124</f>
        <v>-2187.1424999999999</v>
      </c>
      <c r="BB208" s="379">
        <f>-'Financial statements KK'!BB124</f>
        <v>-2187.1424999999999</v>
      </c>
      <c r="BC208" s="379">
        <f>-'Financial statements KK'!BC124</f>
        <v>-2238.1197656250001</v>
      </c>
      <c r="BD208" s="379">
        <f>-'Financial statements KK'!BD124</f>
        <v>-2270.5598437500003</v>
      </c>
      <c r="BE208" s="379">
        <f>-'Financial statements KK'!BE124</f>
        <v>-2321.5371093750005</v>
      </c>
      <c r="BF208" s="379">
        <f>-'Financial statements KK'!BF124</f>
        <v>-2353.9771875000006</v>
      </c>
      <c r="BG208" s="379">
        <f>-'Financial statements KK'!BG124</f>
        <v>-2353.9771875000006</v>
      </c>
      <c r="BH208" s="379">
        <f>-'Financial statements KK'!BH124</f>
        <v>-2403.6800214843756</v>
      </c>
      <c r="BI208" s="379">
        <f>-'Financial statements KK'!BI124</f>
        <v>-2435.3090976562507</v>
      </c>
      <c r="BJ208" s="379">
        <f>-'Financial statements KK'!BJ124</f>
        <v>-2485.0119316406258</v>
      </c>
      <c r="BK208" s="379">
        <f>-'Financial statements KK'!BK124</f>
        <v>-2516.6410078125009</v>
      </c>
      <c r="BL208" s="379">
        <f>-'Financial statements KK'!BL124</f>
        <v>-2516.6410078125009</v>
      </c>
    </row>
    <row r="209" spans="1:64">
      <c r="A209" s="9" t="s">
        <v>1764</v>
      </c>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403">
        <f t="shared" ref="AH209:BL209" si="211">SUM(AH207:AH208)</f>
        <v>345.173</v>
      </c>
      <c r="AI209" s="403">
        <f t="shared" si="211"/>
        <v>380.07500000000005</v>
      </c>
      <c r="AJ209" s="403">
        <f t="shared" si="211"/>
        <v>516.21400000000017</v>
      </c>
      <c r="AK209" s="403">
        <f t="shared" si="211"/>
        <v>539.35599999999999</v>
      </c>
      <c r="AL209" s="403">
        <f t="shared" si="211"/>
        <v>559.35599999999999</v>
      </c>
      <c r="AM209" s="403">
        <f t="shared" si="211"/>
        <v>559.35599999999999</v>
      </c>
      <c r="AN209" s="403">
        <f t="shared" si="211"/>
        <v>569.35599999999999</v>
      </c>
      <c r="AO209" s="403">
        <f t="shared" si="211"/>
        <v>606.85599999999999</v>
      </c>
      <c r="AP209" s="403">
        <f t="shared" si="211"/>
        <v>616.85599999999999</v>
      </c>
      <c r="AQ209" s="403">
        <f t="shared" si="211"/>
        <v>654.35599999999999</v>
      </c>
      <c r="AR209" s="403">
        <f t="shared" si="211"/>
        <v>654.35599999999999</v>
      </c>
      <c r="AS209" s="403">
        <f t="shared" si="211"/>
        <v>655.23099999999999</v>
      </c>
      <c r="AT209" s="403">
        <f t="shared" si="211"/>
        <v>682.35599999999999</v>
      </c>
      <c r="AU209" s="403">
        <f t="shared" si="211"/>
        <v>683.23099999999999</v>
      </c>
      <c r="AV209" s="403">
        <f t="shared" si="211"/>
        <v>710.35599999999999</v>
      </c>
      <c r="AW209" s="403">
        <f t="shared" si="211"/>
        <v>710.35599999999999</v>
      </c>
      <c r="AX209" s="403">
        <f t="shared" si="211"/>
        <v>703.92162499999995</v>
      </c>
      <c r="AY209" s="403">
        <f t="shared" si="211"/>
        <v>722.57475000000022</v>
      </c>
      <c r="AZ209" s="403">
        <f t="shared" si="211"/>
        <v>716.14037499999995</v>
      </c>
      <c r="BA209" s="403">
        <f t="shared" si="211"/>
        <v>734.79350000000022</v>
      </c>
      <c r="BB209" s="403">
        <f t="shared" si="211"/>
        <v>734.79350000000022</v>
      </c>
      <c r="BC209" s="403">
        <f t="shared" si="211"/>
        <v>734.29623437500004</v>
      </c>
      <c r="BD209" s="403">
        <f t="shared" si="211"/>
        <v>752.33615625000039</v>
      </c>
      <c r="BE209" s="403">
        <f t="shared" si="211"/>
        <v>751.83889062499975</v>
      </c>
      <c r="BF209" s="403">
        <f t="shared" si="211"/>
        <v>769.87881250000009</v>
      </c>
      <c r="BG209" s="403">
        <f t="shared" si="211"/>
        <v>769.87881250000009</v>
      </c>
      <c r="BH209" s="403">
        <f t="shared" si="211"/>
        <v>766.55997851562506</v>
      </c>
      <c r="BI209" s="403">
        <f t="shared" si="211"/>
        <v>781.31490234374996</v>
      </c>
      <c r="BJ209" s="403">
        <f t="shared" si="211"/>
        <v>777.99606835937493</v>
      </c>
      <c r="BK209" s="403">
        <f t="shared" si="211"/>
        <v>792.75099218749983</v>
      </c>
      <c r="BL209" s="403">
        <f t="shared" si="211"/>
        <v>792.75099218749983</v>
      </c>
    </row>
    <row r="210" spans="1:64">
      <c r="A210" s="1" t="s">
        <v>1765</v>
      </c>
      <c r="AH210" s="16">
        <f>AH193/AH209</f>
        <v>-3.5344595318869104E-2</v>
      </c>
      <c r="AI210" s="16">
        <f>4*AI193/AI209</f>
        <v>-1.8943629546799942E-2</v>
      </c>
      <c r="AJ210" s="16">
        <f>4*AJ193/AJ209</f>
        <v>-7.7487243662513136E-4</v>
      </c>
      <c r="AK210" s="16">
        <f>4*AK193/AK209</f>
        <v>-1.1866003159323348E-2</v>
      </c>
      <c r="AL210" s="16">
        <f>4*AL193/AL209</f>
        <v>-4.6433692819790186E-2</v>
      </c>
      <c r="AM210" s="16">
        <f>AM193/AM209</f>
        <v>-1.7865618980088958E-2</v>
      </c>
      <c r="AN210" s="16">
        <f>4*AN193/AN209</f>
        <v>-2.582336441642772E-3</v>
      </c>
      <c r="AO210" s="16">
        <f>4*AO193/AO209</f>
        <v>5.0454959167253975E-3</v>
      </c>
      <c r="AP210" s="16">
        <f>4*AP193/AP209</f>
        <v>6.1437824293031577E-3</v>
      </c>
      <c r="AQ210" s="16">
        <f>4*AQ193/AQ209</f>
        <v>-3.4510032044065921E-2</v>
      </c>
      <c r="AR210" s="16">
        <f>AR193/AR209</f>
        <v>-6.5714980649081781E-3</v>
      </c>
      <c r="AS210" s="16">
        <f>4*AS193/AS209</f>
        <v>1.1089246177564859E-2</v>
      </c>
      <c r="AT210" s="16">
        <f>4*AT193/AT209</f>
        <v>-7.1864770429758383E-3</v>
      </c>
      <c r="AU210" s="16">
        <f>4*AU193/AU209</f>
        <v>9.7581351557439067E-3</v>
      </c>
      <c r="AV210" s="16">
        <f>4*AV193/AV209</f>
        <v>8.7746547461753383E-3</v>
      </c>
      <c r="AW210" s="16">
        <f>AW193/AW209</f>
        <v>5.3714163111536232E-3</v>
      </c>
      <c r="AX210" s="16">
        <f>4*AX193/AX209</f>
        <v>1.4552097032354244E-2</v>
      </c>
      <c r="AY210" s="16">
        <f>4*AY193/AY209</f>
        <v>3.7763802010215883E-2</v>
      </c>
      <c r="AZ210" s="16">
        <f>4*AZ193/AZ209</f>
        <v>2.3510765919551792E-2</v>
      </c>
      <c r="BA210" s="16">
        <f>4*BA193/BA209</f>
        <v>1.286770808531079E-2</v>
      </c>
      <c r="BB210" s="16">
        <f>BB193/BB209</f>
        <v>2.171454380377023E-2</v>
      </c>
      <c r="BC210" s="16">
        <f>4*BC193/BC209</f>
        <v>2.7873469271446284E-2</v>
      </c>
      <c r="BD210" s="16">
        <f>4*BD193/BD209</f>
        <v>4.2103056688692166E-2</v>
      </c>
      <c r="BE210" s="16">
        <f>4*BE193/BE209</f>
        <v>4.1148353017783773E-2</v>
      </c>
      <c r="BF210" s="16">
        <f>4*BF193/BF209</f>
        <v>2.6263328724933473E-2</v>
      </c>
      <c r="BG210" s="16">
        <f>BG193/BG209</f>
        <v>3.3544093595744374E-2</v>
      </c>
      <c r="BH210" s="16">
        <f>4*BH193/BH209</f>
        <v>4.497022761086579E-2</v>
      </c>
      <c r="BI210" s="16">
        <f>4*BI193/BI209</f>
        <v>5.5849990357550609E-2</v>
      </c>
      <c r="BJ210" s="16">
        <f>4*BJ193/BJ209</f>
        <v>5.4304743193702938E-2</v>
      </c>
      <c r="BK210" s="16">
        <f>4*BK193/BK209</f>
        <v>4.427663256302624E-2</v>
      </c>
      <c r="BL210" s="16">
        <f>BL193/BL209</f>
        <v>4.9024860611462752E-2</v>
      </c>
    </row>
    <row r="212" spans="1:64">
      <c r="A212" s="1" t="s">
        <v>1766</v>
      </c>
      <c r="AH212" s="167">
        <f t="shared" ref="AH212:BL212" si="212">AH207/AH209</f>
        <v>5.265281467553951</v>
      </c>
      <c r="AI212" s="167">
        <f t="shared" si="212"/>
        <v>5.0351904229428399</v>
      </c>
      <c r="AJ212" s="167">
        <f t="shared" si="212"/>
        <v>4.0066057875222283</v>
      </c>
      <c r="AK212" s="167">
        <f t="shared" si="212"/>
        <v>4.0138350180585736</v>
      </c>
      <c r="AL212" s="167">
        <f t="shared" si="212"/>
        <v>3.9686460858558772</v>
      </c>
      <c r="AM212" s="167">
        <f t="shared" si="212"/>
        <v>3.9686460858558772</v>
      </c>
      <c r="AN212" s="167">
        <f t="shared" si="212"/>
        <v>4.0131060355910888</v>
      </c>
      <c r="AO212" s="167">
        <f t="shared" si="212"/>
        <v>3.88458876570389</v>
      </c>
      <c r="AP212" s="167">
        <f t="shared" si="212"/>
        <v>3.9269878221173173</v>
      </c>
      <c r="AQ212" s="167">
        <f t="shared" si="212"/>
        <v>3.812734963842312</v>
      </c>
      <c r="AR212" s="167">
        <f t="shared" si="212"/>
        <v>3.812734963842312</v>
      </c>
      <c r="AS212" s="167">
        <f t="shared" si="212"/>
        <v>3.890820184026702</v>
      </c>
      <c r="AT212" s="167">
        <f t="shared" si="212"/>
        <v>3.825914918312435</v>
      </c>
      <c r="AU212" s="167">
        <f t="shared" si="212"/>
        <v>3.9007831904582781</v>
      </c>
      <c r="AV212" s="167">
        <f t="shared" si="212"/>
        <v>3.838055848053652</v>
      </c>
      <c r="AW212" s="167">
        <f t="shared" si="212"/>
        <v>3.838055848053652</v>
      </c>
      <c r="AX212" s="167">
        <f t="shared" si="212"/>
        <v>3.9382736678959112</v>
      </c>
      <c r="AY212" s="167">
        <f t="shared" si="212"/>
        <v>3.908468985388708</v>
      </c>
      <c r="AZ212" s="167">
        <f t="shared" si="212"/>
        <v>4.0076095416349062</v>
      </c>
      <c r="BA212" s="167">
        <f t="shared" si="212"/>
        <v>3.9765403477303476</v>
      </c>
      <c r="BB212" s="167">
        <f t="shared" si="212"/>
        <v>3.9765403477303476</v>
      </c>
      <c r="BC212" s="167">
        <f t="shared" si="212"/>
        <v>4.0479793588073987</v>
      </c>
      <c r="BD212" s="167">
        <f t="shared" si="212"/>
        <v>4.0180123936453427</v>
      </c>
      <c r="BE212" s="167">
        <f t="shared" si="212"/>
        <v>4.0878119479096364</v>
      </c>
      <c r="BF212" s="167">
        <f t="shared" si="212"/>
        <v>4.0575944541921007</v>
      </c>
      <c r="BG212" s="167">
        <f t="shared" si="212"/>
        <v>4.0575944541921007</v>
      </c>
      <c r="BH212" s="167">
        <f t="shared" si="212"/>
        <v>4.135671165795646</v>
      </c>
      <c r="BI212" s="167">
        <f t="shared" si="212"/>
        <v>4.1169367054831927</v>
      </c>
      <c r="BJ212" s="167">
        <f t="shared" si="212"/>
        <v>4.1941188814501045</v>
      </c>
      <c r="BK212" s="167">
        <f t="shared" si="212"/>
        <v>4.1745668344963356</v>
      </c>
      <c r="BL212" s="167">
        <f t="shared" si="212"/>
        <v>4.1745668344963356</v>
      </c>
    </row>
    <row r="214" spans="1:64" s="2" customFormat="1">
      <c r="A214" s="4" t="s">
        <v>192</v>
      </c>
      <c r="T214" s="68"/>
    </row>
    <row r="216" spans="1:64">
      <c r="A216" s="1" t="s">
        <v>1401</v>
      </c>
      <c r="J216" s="375"/>
      <c r="K216" s="375"/>
      <c r="L216" s="375"/>
      <c r="M216" s="375"/>
      <c r="N216" s="375"/>
      <c r="O216" s="375"/>
      <c r="P216" s="375"/>
      <c r="Q216" s="375"/>
      <c r="R216" s="375"/>
      <c r="S216" s="375"/>
      <c r="T216" s="375"/>
      <c r="U216" s="375"/>
      <c r="V216" s="375"/>
      <c r="W216" s="375"/>
      <c r="X216" s="375"/>
      <c r="Y216" s="376">
        <v>31.7</v>
      </c>
      <c r="Z216" s="376">
        <v>34.700000000000003</v>
      </c>
      <c r="AA216" s="376">
        <v>41.4</v>
      </c>
      <c r="AB216" s="376">
        <v>46.3</v>
      </c>
      <c r="AC216" s="375">
        <f>SUM(Y216:AB216)</f>
        <v>154.10000000000002</v>
      </c>
      <c r="AD216" s="376">
        <v>35.799999999999997</v>
      </c>
      <c r="AE216" s="376">
        <v>38.4</v>
      </c>
      <c r="AF216" s="376">
        <v>40.700000000000003</v>
      </c>
      <c r="AG216" s="376">
        <v>49.8</v>
      </c>
      <c r="AH216" s="375">
        <f>SUM(AD216:AG216)</f>
        <v>164.7</v>
      </c>
      <c r="AI216" s="376">
        <v>36.1</v>
      </c>
      <c r="AJ216" s="376">
        <v>38.1</v>
      </c>
      <c r="AK216" s="376">
        <v>45.6</v>
      </c>
      <c r="AL216" s="375">
        <f>AG216*(1+AL217)</f>
        <v>51.044999999999995</v>
      </c>
      <c r="AM216" s="375">
        <f>SUM(AI216:AL216)</f>
        <v>170.845</v>
      </c>
      <c r="AN216" s="375">
        <f t="shared" ref="AN216:AQ216" si="213">AI216*(1+AN217)</f>
        <v>36.460999999999999</v>
      </c>
      <c r="AO216" s="375">
        <f t="shared" si="213"/>
        <v>38.481000000000002</v>
      </c>
      <c r="AP216" s="375">
        <f t="shared" si="213"/>
        <v>46.056000000000004</v>
      </c>
      <c r="AQ216" s="375">
        <f t="shared" si="213"/>
        <v>51.555449999999993</v>
      </c>
      <c r="AR216" s="375">
        <f>SUM(AN216:AQ216)</f>
        <v>172.55345</v>
      </c>
      <c r="AS216" s="375">
        <f t="shared" ref="AS216:AV216" si="214">AN216*(1+AS217)</f>
        <v>36.825609999999998</v>
      </c>
      <c r="AT216" s="375">
        <f t="shared" si="214"/>
        <v>38.865810000000003</v>
      </c>
      <c r="AU216" s="375">
        <f t="shared" si="214"/>
        <v>46.516560000000005</v>
      </c>
      <c r="AV216" s="375">
        <f t="shared" si="214"/>
        <v>52.071004499999994</v>
      </c>
      <c r="AW216" s="375">
        <f>SUM(AS216:AV216)</f>
        <v>174.27898449999998</v>
      </c>
      <c r="AX216" s="375">
        <f t="shared" ref="AX216:BA216" si="215">AS216*(1+AX217)</f>
        <v>37.193866100000001</v>
      </c>
      <c r="AY216" s="375">
        <f t="shared" si="215"/>
        <v>39.254468100000004</v>
      </c>
      <c r="AZ216" s="375">
        <f t="shared" si="215"/>
        <v>46.981725600000004</v>
      </c>
      <c r="BA216" s="375">
        <f t="shared" si="215"/>
        <v>52.591714544999995</v>
      </c>
      <c r="BB216" s="375">
        <f>SUM(AX216:BA216)</f>
        <v>176.02177434500001</v>
      </c>
      <c r="BC216" s="375">
        <f t="shared" ref="BC216:BF216" si="216">AX216*(1+BC217)</f>
        <v>37.565804761000003</v>
      </c>
      <c r="BD216" s="375">
        <f t="shared" si="216"/>
        <v>39.647012781000001</v>
      </c>
      <c r="BE216" s="375">
        <f t="shared" si="216"/>
        <v>47.451542856000003</v>
      </c>
      <c r="BF216" s="375">
        <f t="shared" si="216"/>
        <v>53.117631690449997</v>
      </c>
      <c r="BG216" s="375">
        <f>SUM(BC216:BF216)</f>
        <v>177.78199208845001</v>
      </c>
      <c r="BH216" s="375">
        <f t="shared" ref="BH216:BK216" si="217">BC216*(1+BH217)</f>
        <v>37.941462808610005</v>
      </c>
      <c r="BI216" s="375">
        <f t="shared" si="217"/>
        <v>40.043482908809999</v>
      </c>
      <c r="BJ216" s="375">
        <f t="shared" si="217"/>
        <v>47.926058284560007</v>
      </c>
      <c r="BK216" s="375">
        <f t="shared" si="217"/>
        <v>53.648808007354496</v>
      </c>
      <c r="BL216" s="375">
        <f>SUM(BH216:BK216)</f>
        <v>179.55981200933451</v>
      </c>
    </row>
    <row r="217" spans="1:64">
      <c r="A217" s="1" t="s">
        <v>28</v>
      </c>
      <c r="O217" s="16"/>
      <c r="P217" s="16"/>
      <c r="Q217" s="16"/>
      <c r="R217" s="16"/>
      <c r="S217" s="16"/>
      <c r="T217" s="16"/>
      <c r="U217" s="16"/>
      <c r="V217" s="16"/>
      <c r="W217" s="16"/>
      <c r="X217" s="16"/>
      <c r="Y217" s="16"/>
      <c r="Z217" s="16"/>
      <c r="AA217" s="16"/>
      <c r="AB217" s="16"/>
      <c r="AC217" s="16"/>
      <c r="AD217" s="16">
        <f t="shared" ref="AD217:AH217" si="218">AD216/Y216-1</f>
        <v>0.12933753943217652</v>
      </c>
      <c r="AE217" s="16">
        <f t="shared" si="218"/>
        <v>0.10662824207492783</v>
      </c>
      <c r="AF217" s="16">
        <f t="shared" si="218"/>
        <v>-1.6908212560386326E-2</v>
      </c>
      <c r="AG217" s="16">
        <f t="shared" si="218"/>
        <v>7.5593952483801408E-2</v>
      </c>
      <c r="AH217" s="16">
        <f t="shared" si="218"/>
        <v>6.8786502271252159E-2</v>
      </c>
      <c r="AI217" s="16">
        <f>AI216/AD216-1</f>
        <v>8.379888268156499E-3</v>
      </c>
      <c r="AJ217" s="16">
        <f>AJ216/AE216-1</f>
        <v>-7.812499999999889E-3</v>
      </c>
      <c r="AK217" s="16">
        <f>AK216/AF216-1</f>
        <v>0.12039312039312033</v>
      </c>
      <c r="AL217" s="303">
        <v>2.5000000000000001E-2</v>
      </c>
      <c r="AM217" s="16">
        <f>AM216/AH216-1</f>
        <v>3.7310261080752971E-2</v>
      </c>
      <c r="AN217" s="303">
        <v>0.01</v>
      </c>
      <c r="AO217" s="303">
        <v>0.01</v>
      </c>
      <c r="AP217" s="303">
        <v>0.01</v>
      </c>
      <c r="AQ217" s="303">
        <v>0.01</v>
      </c>
      <c r="AR217" s="16">
        <f>AR216/AM216-1</f>
        <v>1.0000000000000009E-2</v>
      </c>
      <c r="AS217" s="303">
        <v>0.01</v>
      </c>
      <c r="AT217" s="303">
        <v>0.01</v>
      </c>
      <c r="AU217" s="303">
        <v>0.01</v>
      </c>
      <c r="AV217" s="303">
        <v>0.01</v>
      </c>
      <c r="AW217" s="16">
        <f>AW216/AR216-1</f>
        <v>9.9999999999997868E-3</v>
      </c>
      <c r="AX217" s="303">
        <v>0.01</v>
      </c>
      <c r="AY217" s="303">
        <v>0.01</v>
      </c>
      <c r="AZ217" s="303">
        <v>0.01</v>
      </c>
      <c r="BA217" s="303">
        <v>0.01</v>
      </c>
      <c r="BB217" s="16">
        <f>BB216/AW216-1</f>
        <v>1.0000000000000231E-2</v>
      </c>
      <c r="BC217" s="303">
        <v>0.01</v>
      </c>
      <c r="BD217" s="303">
        <v>0.01</v>
      </c>
      <c r="BE217" s="303">
        <v>0.01</v>
      </c>
      <c r="BF217" s="303">
        <v>0.01</v>
      </c>
      <c r="BG217" s="16">
        <f>BG216/BB216-1</f>
        <v>1.0000000000000009E-2</v>
      </c>
      <c r="BH217" s="303">
        <v>0.01</v>
      </c>
      <c r="BI217" s="303">
        <v>0.01</v>
      </c>
      <c r="BJ217" s="303">
        <v>0.01</v>
      </c>
      <c r="BK217" s="303">
        <v>0.01</v>
      </c>
      <c r="BL217" s="16">
        <f>BL216/BG216-1</f>
        <v>1.0000000000000009E-2</v>
      </c>
    </row>
    <row r="219" spans="1:64">
      <c r="A219" s="5" t="s">
        <v>1723</v>
      </c>
      <c r="J219" s="375"/>
      <c r="K219" s="375"/>
      <c r="L219" s="375"/>
      <c r="M219" s="375"/>
      <c r="N219" s="375"/>
      <c r="O219" s="375"/>
      <c r="P219" s="375"/>
      <c r="Q219" s="375"/>
      <c r="R219" s="375"/>
      <c r="S219" s="375"/>
      <c r="T219" s="375"/>
      <c r="U219" s="375"/>
      <c r="V219" s="375"/>
      <c r="W219" s="375"/>
      <c r="X219" s="375"/>
      <c r="Y219" s="375">
        <f>Y221-Y220</f>
        <v>28.5</v>
      </c>
      <c r="Z219" s="375">
        <f>Z221-Z220</f>
        <v>31.800000000000004</v>
      </c>
      <c r="AA219" s="375">
        <f>AA221-AA220</f>
        <v>43.199999999999996</v>
      </c>
      <c r="AB219" s="375">
        <f>AB221-AB220</f>
        <v>40.9</v>
      </c>
      <c r="AC219" s="379">
        <f>SUM(Y219:AB219)</f>
        <v>144.4</v>
      </c>
      <c r="AD219" s="375">
        <f>AD221-AD220</f>
        <v>33.4</v>
      </c>
      <c r="AE219" s="375">
        <f>AE221-AE220</f>
        <v>37.9</v>
      </c>
      <c r="AF219" s="375">
        <f>AF221-AF220</f>
        <v>42.100000000000037</v>
      </c>
      <c r="AG219" s="375">
        <f>AG221-AG220</f>
        <v>45.6</v>
      </c>
      <c r="AH219" s="379">
        <f>SUM(AD219:AG219)</f>
        <v>159.00000000000003</v>
      </c>
      <c r="AI219" s="375">
        <f>AI221-AI220</f>
        <v>35.800000000000004</v>
      </c>
      <c r="AJ219" s="375">
        <f>AJ221-AJ220</f>
        <v>33.4</v>
      </c>
      <c r="AK219" s="375">
        <f>AK221-AK220</f>
        <v>43.8</v>
      </c>
      <c r="AL219" s="375">
        <f>AL225*AL216</f>
        <v>48.492749999999994</v>
      </c>
      <c r="AM219" s="379">
        <f>SUM(AI219:AL219)</f>
        <v>161.49275</v>
      </c>
      <c r="AN219" s="375">
        <f>AN225*AN216</f>
        <v>34.637949999999996</v>
      </c>
      <c r="AO219" s="375">
        <f t="shared" ref="AO219:AQ219" si="219">AO225*AO216</f>
        <v>36.556950000000001</v>
      </c>
      <c r="AP219" s="375">
        <f t="shared" si="219"/>
        <v>43.7532</v>
      </c>
      <c r="AQ219" s="375">
        <f t="shared" si="219"/>
        <v>48.977677499999992</v>
      </c>
      <c r="AR219" s="379">
        <f>SUM(AN219:AQ219)</f>
        <v>163.92577749999998</v>
      </c>
      <c r="AS219" s="375">
        <f>AS225*AS216</f>
        <v>34.708137424999997</v>
      </c>
      <c r="AT219" s="375">
        <f t="shared" ref="AT219:AV219" si="220">AT225*AT216</f>
        <v>36.631025925000003</v>
      </c>
      <c r="AU219" s="375">
        <f t="shared" si="220"/>
        <v>43.841857800000007</v>
      </c>
      <c r="AV219" s="375">
        <f t="shared" si="220"/>
        <v>49.076921741249997</v>
      </c>
      <c r="AW219" s="379">
        <f>SUM(AS219:AV219)</f>
        <v>164.25794289125002</v>
      </c>
      <c r="AX219" s="375">
        <f>AX225*AX216</f>
        <v>34.776264803500005</v>
      </c>
      <c r="AY219" s="375">
        <f t="shared" ref="AY219:BA219" si="221">AY225*AY216</f>
        <v>36.702927673500007</v>
      </c>
      <c r="AZ219" s="375">
        <f t="shared" si="221"/>
        <v>43.927913436000004</v>
      </c>
      <c r="BA219" s="375">
        <f t="shared" si="221"/>
        <v>49.173253099575</v>
      </c>
      <c r="BB219" s="379">
        <f>SUM(AX219:BA219)</f>
        <v>164.580359012575</v>
      </c>
      <c r="BC219" s="375">
        <f>BC225*BC216</f>
        <v>34.842283915827508</v>
      </c>
      <c r="BD219" s="375">
        <f t="shared" ref="BD219:BF219" si="222">BD225*BD216</f>
        <v>36.772604354377506</v>
      </c>
      <c r="BE219" s="375">
        <f t="shared" si="222"/>
        <v>44.01130599894001</v>
      </c>
      <c r="BF219" s="375">
        <f t="shared" si="222"/>
        <v>49.266603392892378</v>
      </c>
      <c r="BG219" s="379">
        <f>SUM(BC219:BF219)</f>
        <v>164.89279766203742</v>
      </c>
      <c r="BH219" s="375">
        <f>BH225*BH216</f>
        <v>34.906145783921211</v>
      </c>
      <c r="BI219" s="375">
        <f t="shared" ref="BI219:BK219" si="223">BI225*BI216</f>
        <v>36.840004276105205</v>
      </c>
      <c r="BJ219" s="375">
        <f t="shared" si="223"/>
        <v>44.091973621795212</v>
      </c>
      <c r="BK219" s="375">
        <f t="shared" si="223"/>
        <v>49.356903366766147</v>
      </c>
      <c r="BL219" s="379">
        <f>SUM(BH219:BK219)</f>
        <v>165.19502704858778</v>
      </c>
    </row>
    <row r="220" spans="1:64">
      <c r="A220" s="5" t="s">
        <v>1114</v>
      </c>
      <c r="J220" s="375"/>
      <c r="K220" s="375"/>
      <c r="L220" s="375"/>
      <c r="M220" s="375"/>
      <c r="N220" s="375"/>
      <c r="O220" s="375"/>
      <c r="P220" s="375"/>
      <c r="Q220" s="375"/>
      <c r="R220" s="375"/>
      <c r="S220" s="375"/>
      <c r="T220" s="375"/>
      <c r="U220" s="375"/>
      <c r="V220" s="375"/>
      <c r="W220" s="375"/>
      <c r="X220" s="375"/>
      <c r="Y220" s="376">
        <v>1.5</v>
      </c>
      <c r="Z220" s="376">
        <v>1.6</v>
      </c>
      <c r="AA220" s="376">
        <v>1.6</v>
      </c>
      <c r="AB220" s="376">
        <v>1.5</v>
      </c>
      <c r="AC220" s="379">
        <f>SUM(Y220:AB220)</f>
        <v>6.2</v>
      </c>
      <c r="AD220" s="376">
        <v>1.8</v>
      </c>
      <c r="AE220" s="376">
        <v>1.9</v>
      </c>
      <c r="AF220" s="376">
        <v>2</v>
      </c>
      <c r="AG220" s="376">
        <v>2.2999999999999998</v>
      </c>
      <c r="AH220" s="379">
        <f>SUM(AD220:AG220)</f>
        <v>8</v>
      </c>
      <c r="AI220" s="376">
        <v>2.5</v>
      </c>
      <c r="AJ220" s="376">
        <v>2.5</v>
      </c>
      <c r="AK220" s="376">
        <v>3.1</v>
      </c>
      <c r="AL220" s="377">
        <v>2.5</v>
      </c>
      <c r="AM220" s="379">
        <f>SUM(AI220:AL220)</f>
        <v>10.6</v>
      </c>
      <c r="AN220" s="379">
        <f>AN226*AN216</f>
        <v>2.0053549999999998</v>
      </c>
      <c r="AO220" s="379">
        <f t="shared" ref="AO220:AQ220" si="224">AO226*AO216</f>
        <v>2.1164550000000002</v>
      </c>
      <c r="AP220" s="379">
        <f t="shared" si="224"/>
        <v>2.5330800000000004</v>
      </c>
      <c r="AQ220" s="379">
        <f t="shared" si="224"/>
        <v>2.8355497499999998</v>
      </c>
      <c r="AR220" s="379">
        <f>SUM(AN220:AQ220)</f>
        <v>9.4904397500000002</v>
      </c>
      <c r="AS220" s="379">
        <f>AS226*AS216</f>
        <v>2.0254085499999999</v>
      </c>
      <c r="AT220" s="379">
        <f t="shared" ref="AT220:AV220" si="225">AT226*AT216</f>
        <v>2.1376195500000001</v>
      </c>
      <c r="AU220" s="379">
        <f t="shared" si="225"/>
        <v>2.5584108000000003</v>
      </c>
      <c r="AV220" s="379">
        <f t="shared" si="225"/>
        <v>2.8639052474999995</v>
      </c>
      <c r="AW220" s="379">
        <f>SUM(AS220:AV220)</f>
        <v>9.5853441475000007</v>
      </c>
      <c r="AX220" s="379">
        <f>AX226*AX216</f>
        <v>2.0456626355000003</v>
      </c>
      <c r="AY220" s="379">
        <f t="shared" ref="AY220:BA220" si="226">AY226*AY216</f>
        <v>2.1589957455000004</v>
      </c>
      <c r="AZ220" s="379">
        <f t="shared" si="226"/>
        <v>2.5839949080000002</v>
      </c>
      <c r="BA220" s="379">
        <f t="shared" si="226"/>
        <v>2.892544299975</v>
      </c>
      <c r="BB220" s="379">
        <f>SUM(AX220:BA220)</f>
        <v>9.6811975889750013</v>
      </c>
      <c r="BC220" s="379">
        <f>BC226*BC216</f>
        <v>2.0661192618549999</v>
      </c>
      <c r="BD220" s="379">
        <f t="shared" ref="BD220:BF220" si="227">BD226*BD216</f>
        <v>2.1805857029550002</v>
      </c>
      <c r="BE220" s="379">
        <f t="shared" si="227"/>
        <v>2.6098348570800001</v>
      </c>
      <c r="BF220" s="379">
        <f t="shared" si="227"/>
        <v>2.9214697429747498</v>
      </c>
      <c r="BG220" s="379">
        <f>SUM(BC220:BF220)</f>
        <v>9.7780095648647496</v>
      </c>
      <c r="BH220" s="379">
        <f>BH226*BH216</f>
        <v>2.0867804544735504</v>
      </c>
      <c r="BI220" s="379">
        <f t="shared" ref="BI220:BK220" si="228">BI226*BI216</f>
        <v>2.2023915599845498</v>
      </c>
      <c r="BJ220" s="379">
        <f t="shared" si="228"/>
        <v>2.6359332056508005</v>
      </c>
      <c r="BK220" s="379">
        <f t="shared" si="228"/>
        <v>2.9506844404044972</v>
      </c>
      <c r="BL220" s="379">
        <f>SUM(BH220:BK220)</f>
        <v>9.8757896605133979</v>
      </c>
    </row>
    <row r="221" spans="1:64">
      <c r="A221" s="288" t="s">
        <v>1724</v>
      </c>
      <c r="B221" s="9"/>
      <c r="C221" s="9"/>
      <c r="D221" s="9"/>
      <c r="E221" s="9"/>
      <c r="F221" s="9"/>
      <c r="G221" s="9"/>
      <c r="H221" s="9"/>
      <c r="I221" s="9"/>
      <c r="J221" s="378"/>
      <c r="K221" s="378"/>
      <c r="L221" s="378"/>
      <c r="M221" s="378"/>
      <c r="N221" s="378"/>
      <c r="O221" s="378"/>
      <c r="P221" s="378"/>
      <c r="Q221" s="378"/>
      <c r="R221" s="378"/>
      <c r="S221" s="378"/>
      <c r="T221" s="378"/>
      <c r="U221" s="378"/>
      <c r="V221" s="378"/>
      <c r="W221" s="378"/>
      <c r="X221" s="378"/>
      <c r="Y221" s="378">
        <f>Y216-Y240</f>
        <v>30</v>
      </c>
      <c r="Z221" s="378">
        <f>Z216-Z240</f>
        <v>33.400000000000006</v>
      </c>
      <c r="AA221" s="378">
        <f>AA216-AA240</f>
        <v>44.8</v>
      </c>
      <c r="AB221" s="378">
        <f>AB216-AB240</f>
        <v>42.4</v>
      </c>
      <c r="AC221" s="403">
        <f>SUM(Y221:AB221)</f>
        <v>150.6</v>
      </c>
      <c r="AD221" s="378">
        <f>AD216-AD240</f>
        <v>35.199999999999996</v>
      </c>
      <c r="AE221" s="378">
        <f>AE216-AE240</f>
        <v>39.799999999999997</v>
      </c>
      <c r="AF221" s="378">
        <f>AF216-AF240</f>
        <v>44.100000000000037</v>
      </c>
      <c r="AG221" s="378">
        <f>AG216-AG240</f>
        <v>47.9</v>
      </c>
      <c r="AH221" s="403">
        <f>SUM(AD221:AG221)</f>
        <v>167.00000000000003</v>
      </c>
      <c r="AI221" s="378">
        <f>AI216-AI240</f>
        <v>38.300000000000004</v>
      </c>
      <c r="AJ221" s="378">
        <f>AJ216-AJ240</f>
        <v>35.9</v>
      </c>
      <c r="AK221" s="378">
        <f>AK216-AK240</f>
        <v>46.9</v>
      </c>
      <c r="AL221" s="378">
        <f>SUM(AL219:AL220)</f>
        <v>50.992749999999994</v>
      </c>
      <c r="AM221" s="378">
        <f>SUM(AM219:AM220)</f>
        <v>172.09275</v>
      </c>
      <c r="AN221" s="378">
        <f t="shared" ref="AN221:BL221" si="229">SUM(AN219:AN220)</f>
        <v>36.643304999999998</v>
      </c>
      <c r="AO221" s="378">
        <f t="shared" si="229"/>
        <v>38.673405000000002</v>
      </c>
      <c r="AP221" s="378">
        <f t="shared" si="229"/>
        <v>46.286279999999998</v>
      </c>
      <c r="AQ221" s="378">
        <f t="shared" si="229"/>
        <v>51.81322724999999</v>
      </c>
      <c r="AR221" s="378">
        <f t="shared" si="229"/>
        <v>173.41621724999999</v>
      </c>
      <c r="AS221" s="378">
        <f t="shared" si="229"/>
        <v>36.733545974999998</v>
      </c>
      <c r="AT221" s="378">
        <f t="shared" si="229"/>
        <v>38.768645475</v>
      </c>
      <c r="AU221" s="378">
        <f t="shared" si="229"/>
        <v>46.400268600000004</v>
      </c>
      <c r="AV221" s="378">
        <f t="shared" si="229"/>
        <v>51.940826988749997</v>
      </c>
      <c r="AW221" s="378">
        <f t="shared" si="229"/>
        <v>173.84328703875002</v>
      </c>
      <c r="AX221" s="378">
        <f t="shared" si="229"/>
        <v>36.821927439000007</v>
      </c>
      <c r="AY221" s="378">
        <f t="shared" si="229"/>
        <v>38.861923419000007</v>
      </c>
      <c r="AZ221" s="378">
        <f t="shared" si="229"/>
        <v>46.511908344000005</v>
      </c>
      <c r="BA221" s="378">
        <f t="shared" si="229"/>
        <v>52.06579739955</v>
      </c>
      <c r="BB221" s="378">
        <f t="shared" si="229"/>
        <v>174.26155660155001</v>
      </c>
      <c r="BC221" s="378">
        <f t="shared" si="229"/>
        <v>36.908403177682509</v>
      </c>
      <c r="BD221" s="378">
        <f t="shared" si="229"/>
        <v>38.953190057332506</v>
      </c>
      <c r="BE221" s="378">
        <f t="shared" si="229"/>
        <v>46.621140856020013</v>
      </c>
      <c r="BF221" s="378">
        <f t="shared" si="229"/>
        <v>52.188073135867128</v>
      </c>
      <c r="BG221" s="378">
        <f t="shared" si="229"/>
        <v>174.67080722690218</v>
      </c>
      <c r="BH221" s="378">
        <f t="shared" si="229"/>
        <v>36.992926238394759</v>
      </c>
      <c r="BI221" s="378">
        <f t="shared" si="229"/>
        <v>39.042395836089753</v>
      </c>
      <c r="BJ221" s="378">
        <f t="shared" si="229"/>
        <v>46.727906827446013</v>
      </c>
      <c r="BK221" s="378">
        <f t="shared" si="229"/>
        <v>52.307587807170641</v>
      </c>
      <c r="BL221" s="378">
        <f t="shared" si="229"/>
        <v>175.07081670910117</v>
      </c>
    </row>
    <row r="222" spans="1:64">
      <c r="A222" s="1" t="s">
        <v>1715</v>
      </c>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row>
    <row r="224" spans="1:64">
      <c r="A224" s="3" t="s">
        <v>1745</v>
      </c>
    </row>
    <row r="225" spans="1:64">
      <c r="A225" s="165" t="s">
        <v>1723</v>
      </c>
      <c r="J225" s="21"/>
      <c r="K225" s="21"/>
      <c r="L225" s="21"/>
      <c r="M225" s="21"/>
      <c r="N225" s="21"/>
      <c r="O225" s="21"/>
      <c r="P225" s="21"/>
      <c r="Q225" s="21"/>
      <c r="R225" s="21"/>
      <c r="S225" s="21"/>
      <c r="T225" s="21"/>
      <c r="U225" s="21"/>
      <c r="V225" s="21"/>
      <c r="W225" s="21"/>
      <c r="X225" s="21"/>
      <c r="Y225" s="21">
        <f t="shared" ref="Y225:AK225" si="230">Y219/Y216</f>
        <v>0.89905362776025244</v>
      </c>
      <c r="Z225" s="21">
        <f t="shared" si="230"/>
        <v>0.9164265129682998</v>
      </c>
      <c r="AA225" s="21">
        <f t="shared" si="230"/>
        <v>1.0434782608695652</v>
      </c>
      <c r="AB225" s="21">
        <f t="shared" si="230"/>
        <v>0.88336933045356369</v>
      </c>
      <c r="AC225" s="21">
        <f t="shared" si="230"/>
        <v>0.9370538611291368</v>
      </c>
      <c r="AD225" s="21">
        <f t="shared" si="230"/>
        <v>0.93296089385474867</v>
      </c>
      <c r="AE225" s="21">
        <f t="shared" si="230"/>
        <v>0.98697916666666663</v>
      </c>
      <c r="AF225" s="21">
        <f t="shared" si="230"/>
        <v>1.0343980343980352</v>
      </c>
      <c r="AG225" s="21">
        <f t="shared" si="230"/>
        <v>0.9156626506024097</v>
      </c>
      <c r="AH225" s="21">
        <f t="shared" si="230"/>
        <v>0.9653916211293263</v>
      </c>
      <c r="AI225" s="21">
        <f t="shared" si="230"/>
        <v>0.99168975069252085</v>
      </c>
      <c r="AJ225" s="21">
        <f t="shared" si="230"/>
        <v>0.87664041994750652</v>
      </c>
      <c r="AK225" s="21">
        <f t="shared" si="230"/>
        <v>0.96052631578947356</v>
      </c>
      <c r="AL225" s="261">
        <v>0.95</v>
      </c>
      <c r="AM225" s="21">
        <f>AM219/AM216</f>
        <v>0.94525886037051132</v>
      </c>
      <c r="AN225" s="261">
        <v>0.95</v>
      </c>
      <c r="AO225" s="261">
        <v>0.95</v>
      </c>
      <c r="AP225" s="261">
        <v>0.95</v>
      </c>
      <c r="AQ225" s="261">
        <v>0.95</v>
      </c>
      <c r="AR225" s="21">
        <f>AR219/AR216</f>
        <v>0.95</v>
      </c>
      <c r="AS225" s="261">
        <f>AN225-0.75%</f>
        <v>0.9425</v>
      </c>
      <c r="AT225" s="261">
        <f t="shared" ref="AT225:AV225" si="231">AO225-0.75%</f>
        <v>0.9425</v>
      </c>
      <c r="AU225" s="261">
        <f t="shared" si="231"/>
        <v>0.9425</v>
      </c>
      <c r="AV225" s="261">
        <f t="shared" si="231"/>
        <v>0.9425</v>
      </c>
      <c r="AW225" s="21">
        <f>AW219/AW216</f>
        <v>0.94250000000000023</v>
      </c>
      <c r="AX225" s="261">
        <f>AS225-0.75%</f>
        <v>0.93500000000000005</v>
      </c>
      <c r="AY225" s="261">
        <f t="shared" ref="AY225:BA225" si="232">AT225-0.75%</f>
        <v>0.93500000000000005</v>
      </c>
      <c r="AZ225" s="261">
        <f t="shared" si="232"/>
        <v>0.93500000000000005</v>
      </c>
      <c r="BA225" s="261">
        <f t="shared" si="232"/>
        <v>0.93500000000000005</v>
      </c>
      <c r="BB225" s="21">
        <f>BB219/BB216</f>
        <v>0.93499999999999994</v>
      </c>
      <c r="BC225" s="261">
        <f>AX225-0.75%</f>
        <v>0.9275000000000001</v>
      </c>
      <c r="BD225" s="261">
        <f t="shared" ref="BD225:BF225" si="233">AY225-0.75%</f>
        <v>0.9275000000000001</v>
      </c>
      <c r="BE225" s="261">
        <f t="shared" si="233"/>
        <v>0.9275000000000001</v>
      </c>
      <c r="BF225" s="261">
        <f t="shared" si="233"/>
        <v>0.9275000000000001</v>
      </c>
      <c r="BG225" s="21">
        <f>BG219/BG216</f>
        <v>0.92750000000000021</v>
      </c>
      <c r="BH225" s="261">
        <f>BC225-0.75%</f>
        <v>0.92000000000000015</v>
      </c>
      <c r="BI225" s="261">
        <f t="shared" ref="BI225:BK225" si="234">BD225-0.75%</f>
        <v>0.92000000000000015</v>
      </c>
      <c r="BJ225" s="261">
        <f t="shared" si="234"/>
        <v>0.92000000000000015</v>
      </c>
      <c r="BK225" s="261">
        <f t="shared" si="234"/>
        <v>0.92000000000000015</v>
      </c>
      <c r="BL225" s="21">
        <f>BL219/BL216</f>
        <v>0.92000000000000015</v>
      </c>
    </row>
    <row r="226" spans="1:64">
      <c r="A226" s="165" t="s">
        <v>1114</v>
      </c>
      <c r="J226" s="21"/>
      <c r="K226" s="21"/>
      <c r="L226" s="21"/>
      <c r="M226" s="21"/>
      <c r="N226" s="21"/>
      <c r="O226" s="21"/>
      <c r="P226" s="21"/>
      <c r="Q226" s="21"/>
      <c r="R226" s="21"/>
      <c r="S226" s="21"/>
      <c r="T226" s="21"/>
      <c r="U226" s="21"/>
      <c r="V226" s="21"/>
      <c r="W226" s="21"/>
      <c r="X226" s="21"/>
      <c r="Y226" s="21">
        <f>Y220/Y216</f>
        <v>4.7318611987381708E-2</v>
      </c>
      <c r="Z226" s="21">
        <f t="shared" ref="Z226:AC226" si="235">Z220/Z216</f>
        <v>4.6109510086455328E-2</v>
      </c>
      <c r="AA226" s="21">
        <f t="shared" si="235"/>
        <v>3.8647342995169087E-2</v>
      </c>
      <c r="AB226" s="21">
        <f t="shared" si="235"/>
        <v>3.2397408207343416E-2</v>
      </c>
      <c r="AC226" s="21">
        <f t="shared" si="235"/>
        <v>4.0233614536015566E-2</v>
      </c>
      <c r="AD226" s="21">
        <f>AD220/AD216</f>
        <v>5.027932960893855E-2</v>
      </c>
      <c r="AE226" s="21">
        <f t="shared" ref="AE226:AH226" si="236">AE220/AE216</f>
        <v>4.9479166666666664E-2</v>
      </c>
      <c r="AF226" s="21">
        <f t="shared" si="236"/>
        <v>4.9140049140049137E-2</v>
      </c>
      <c r="AG226" s="21">
        <f t="shared" si="236"/>
        <v>4.6184738955823292E-2</v>
      </c>
      <c r="AH226" s="21">
        <f t="shared" si="236"/>
        <v>4.8573163327261693E-2</v>
      </c>
      <c r="AI226" s="21">
        <f>AI220/AI216</f>
        <v>6.9252077562326861E-2</v>
      </c>
      <c r="AJ226" s="21">
        <f t="shared" ref="AJ226:AM226" si="237">AJ220/AJ216</f>
        <v>6.5616797900262466E-2</v>
      </c>
      <c r="AK226" s="21">
        <f t="shared" si="237"/>
        <v>6.798245614035088E-2</v>
      </c>
      <c r="AL226" s="21">
        <f t="shared" si="237"/>
        <v>4.8976393378391624E-2</v>
      </c>
      <c r="AM226" s="21">
        <f t="shared" si="237"/>
        <v>6.2044543299481981E-2</v>
      </c>
      <c r="AN226" s="303">
        <v>5.5E-2</v>
      </c>
      <c r="AO226" s="303">
        <v>5.5E-2</v>
      </c>
      <c r="AP226" s="303">
        <v>5.5E-2</v>
      </c>
      <c r="AQ226" s="303">
        <v>5.5E-2</v>
      </c>
      <c r="AR226" s="21">
        <f t="shared" ref="AR226" si="238">AR220/AR216</f>
        <v>5.5E-2</v>
      </c>
      <c r="AS226" s="303">
        <f>AN226</f>
        <v>5.5E-2</v>
      </c>
      <c r="AT226" s="303">
        <f t="shared" ref="AT226:AV226" si="239">AO226</f>
        <v>5.5E-2</v>
      </c>
      <c r="AU226" s="303">
        <f t="shared" si="239"/>
        <v>5.5E-2</v>
      </c>
      <c r="AV226" s="303">
        <f t="shared" si="239"/>
        <v>5.5E-2</v>
      </c>
      <c r="AW226" s="21">
        <f t="shared" ref="AW226" si="240">AW220/AW216</f>
        <v>5.5000000000000014E-2</v>
      </c>
      <c r="AX226" s="303">
        <f>AS226</f>
        <v>5.5E-2</v>
      </c>
      <c r="AY226" s="303">
        <f t="shared" ref="AY226:BA226" si="241">AT226</f>
        <v>5.5E-2</v>
      </c>
      <c r="AZ226" s="303">
        <f t="shared" si="241"/>
        <v>5.5E-2</v>
      </c>
      <c r="BA226" s="303">
        <f t="shared" si="241"/>
        <v>5.5E-2</v>
      </c>
      <c r="BB226" s="21">
        <f t="shared" ref="BB226" si="242">BB220/BB216</f>
        <v>5.5E-2</v>
      </c>
      <c r="BC226" s="303">
        <f>AX226</f>
        <v>5.5E-2</v>
      </c>
      <c r="BD226" s="303">
        <f t="shared" ref="BD226:BF226" si="243">AY226</f>
        <v>5.5E-2</v>
      </c>
      <c r="BE226" s="303">
        <f t="shared" si="243"/>
        <v>5.5E-2</v>
      </c>
      <c r="BF226" s="303">
        <f t="shared" si="243"/>
        <v>5.5E-2</v>
      </c>
      <c r="BG226" s="21">
        <f t="shared" ref="BG226" si="244">BG220/BG216</f>
        <v>5.4999999999999993E-2</v>
      </c>
      <c r="BH226" s="303">
        <f>BC226</f>
        <v>5.5E-2</v>
      </c>
      <c r="BI226" s="303">
        <f t="shared" ref="BI226:BK226" si="245">BD226</f>
        <v>5.5E-2</v>
      </c>
      <c r="BJ226" s="303">
        <f t="shared" si="245"/>
        <v>5.5E-2</v>
      </c>
      <c r="BK226" s="303">
        <f t="shared" si="245"/>
        <v>5.5E-2</v>
      </c>
      <c r="BL226" s="21">
        <f t="shared" ref="BL226" si="246">BL220/BL216</f>
        <v>5.5E-2</v>
      </c>
    </row>
    <row r="227" spans="1:64">
      <c r="A227" s="402" t="s">
        <v>1724</v>
      </c>
      <c r="B227" s="9"/>
      <c r="C227" s="9"/>
      <c r="D227" s="9"/>
      <c r="E227" s="9"/>
      <c r="F227" s="9"/>
      <c r="G227" s="9"/>
      <c r="H227" s="9"/>
      <c r="I227" s="9"/>
      <c r="J227" s="32"/>
      <c r="K227" s="32"/>
      <c r="L227" s="32"/>
      <c r="M227" s="32"/>
      <c r="N227" s="32"/>
      <c r="O227" s="32"/>
      <c r="P227" s="32"/>
      <c r="Q227" s="32"/>
      <c r="R227" s="32"/>
      <c r="S227" s="32"/>
      <c r="T227" s="32"/>
      <c r="U227" s="32"/>
      <c r="V227" s="32"/>
      <c r="W227" s="32"/>
      <c r="X227" s="32"/>
      <c r="Y227" s="32">
        <f>Y221/Y216</f>
        <v>0.94637223974763407</v>
      </c>
      <c r="Z227" s="32">
        <f t="shared" ref="Z227:BL227" si="247">Z221/Z216</f>
        <v>0.96253602305475516</v>
      </c>
      <c r="AA227" s="32">
        <f t="shared" si="247"/>
        <v>1.0821256038647342</v>
      </c>
      <c r="AB227" s="32">
        <f t="shared" si="247"/>
        <v>0.91576673866090719</v>
      </c>
      <c r="AC227" s="32">
        <f t="shared" si="247"/>
        <v>0.97728747566515228</v>
      </c>
      <c r="AD227" s="32">
        <f>AD221/AD216</f>
        <v>0.98324022346368711</v>
      </c>
      <c r="AE227" s="32">
        <f t="shared" si="247"/>
        <v>1.0364583333333333</v>
      </c>
      <c r="AF227" s="32">
        <f t="shared" si="247"/>
        <v>1.0835380835380843</v>
      </c>
      <c r="AG227" s="32">
        <f t="shared" si="247"/>
        <v>0.96184738955823301</v>
      </c>
      <c r="AH227" s="32">
        <f t="shared" si="247"/>
        <v>1.013964784456588</v>
      </c>
      <c r="AI227" s="32">
        <f>AI221/AI216</f>
        <v>1.0609418282548477</v>
      </c>
      <c r="AJ227" s="32">
        <f t="shared" si="247"/>
        <v>0.94225721784776895</v>
      </c>
      <c r="AK227" s="32">
        <f t="shared" si="247"/>
        <v>1.0285087719298245</v>
      </c>
      <c r="AL227" s="32">
        <f t="shared" si="247"/>
        <v>0.99897639337839161</v>
      </c>
      <c r="AM227" s="32">
        <f t="shared" si="247"/>
        <v>1.0073034036699933</v>
      </c>
      <c r="AN227" s="32">
        <f>AN221/AN216</f>
        <v>1.0049999999999999</v>
      </c>
      <c r="AO227" s="32">
        <f t="shared" si="247"/>
        <v>1.0050000000000001</v>
      </c>
      <c r="AP227" s="32">
        <f t="shared" si="247"/>
        <v>1.0049999999999999</v>
      </c>
      <c r="AQ227" s="32">
        <f t="shared" si="247"/>
        <v>1.0049999999999999</v>
      </c>
      <c r="AR227" s="32">
        <f t="shared" si="247"/>
        <v>1.0049999999999999</v>
      </c>
      <c r="AS227" s="32">
        <f>AS221/AS216</f>
        <v>0.99750000000000005</v>
      </c>
      <c r="AT227" s="32">
        <f t="shared" si="247"/>
        <v>0.99749999999999994</v>
      </c>
      <c r="AU227" s="32">
        <f t="shared" si="247"/>
        <v>0.99749999999999994</v>
      </c>
      <c r="AV227" s="32">
        <f t="shared" si="247"/>
        <v>0.99750000000000005</v>
      </c>
      <c r="AW227" s="32">
        <f t="shared" si="247"/>
        <v>0.99750000000000028</v>
      </c>
      <c r="AX227" s="32">
        <f>AX221/AX216</f>
        <v>0.9900000000000001</v>
      </c>
      <c r="AY227" s="32">
        <f t="shared" si="247"/>
        <v>0.9900000000000001</v>
      </c>
      <c r="AZ227" s="32">
        <f t="shared" si="247"/>
        <v>0.99</v>
      </c>
      <c r="BA227" s="32">
        <f t="shared" si="247"/>
        <v>0.9900000000000001</v>
      </c>
      <c r="BB227" s="32">
        <f t="shared" si="247"/>
        <v>0.99</v>
      </c>
      <c r="BC227" s="32">
        <f>BC221/BC216</f>
        <v>0.98250000000000015</v>
      </c>
      <c r="BD227" s="32">
        <f t="shared" si="247"/>
        <v>0.98250000000000015</v>
      </c>
      <c r="BE227" s="32">
        <f t="shared" si="247"/>
        <v>0.98250000000000015</v>
      </c>
      <c r="BF227" s="32">
        <f t="shared" si="247"/>
        <v>0.98250000000000015</v>
      </c>
      <c r="BG227" s="32">
        <f t="shared" si="247"/>
        <v>0.98250000000000026</v>
      </c>
      <c r="BH227" s="32">
        <f>BH221/BH216</f>
        <v>0.97500000000000009</v>
      </c>
      <c r="BI227" s="32">
        <f t="shared" si="247"/>
        <v>0.97500000000000009</v>
      </c>
      <c r="BJ227" s="32">
        <f t="shared" si="247"/>
        <v>0.97500000000000009</v>
      </c>
      <c r="BK227" s="32">
        <f t="shared" si="247"/>
        <v>0.97500000000000009</v>
      </c>
      <c r="BL227" s="32">
        <f t="shared" si="247"/>
        <v>0.97500000000000009</v>
      </c>
    </row>
    <row r="229" spans="1:64">
      <c r="A229" s="3" t="s">
        <v>1663</v>
      </c>
    </row>
    <row r="230" spans="1:64">
      <c r="A230" s="165" t="s">
        <v>1723</v>
      </c>
      <c r="O230" s="16"/>
      <c r="P230" s="16"/>
      <c r="Q230" s="16"/>
      <c r="R230" s="16"/>
      <c r="S230" s="16"/>
      <c r="T230" s="16"/>
      <c r="U230" s="16"/>
      <c r="V230" s="16"/>
      <c r="W230" s="16"/>
      <c r="X230" s="16"/>
      <c r="Y230" s="16"/>
      <c r="Z230" s="16"/>
      <c r="AA230" s="16"/>
      <c r="AB230" s="16"/>
      <c r="AC230" s="16"/>
      <c r="AD230" s="16">
        <f t="shared" ref="AD230:AM232" si="248">AD219/Y219-1</f>
        <v>0.17192982456140338</v>
      </c>
      <c r="AE230" s="16">
        <f t="shared" si="248"/>
        <v>0.19182389937106903</v>
      </c>
      <c r="AF230" s="16">
        <f t="shared" si="248"/>
        <v>-2.5462962962962021E-2</v>
      </c>
      <c r="AG230" s="16">
        <f t="shared" si="248"/>
        <v>0.11491442542787289</v>
      </c>
      <c r="AH230" s="16">
        <f t="shared" si="248"/>
        <v>0.10110803324099749</v>
      </c>
      <c r="AI230" s="16">
        <f t="shared" si="248"/>
        <v>7.1856287425149823E-2</v>
      </c>
      <c r="AJ230" s="16">
        <f t="shared" si="248"/>
        <v>-0.1187335092348285</v>
      </c>
      <c r="AK230" s="16">
        <f t="shared" si="248"/>
        <v>4.0380047505937267E-2</v>
      </c>
      <c r="AL230" s="16">
        <f t="shared" si="248"/>
        <v>6.3437499999999813E-2</v>
      </c>
      <c r="AM230" s="16">
        <f t="shared" si="248"/>
        <v>1.5677672955974664E-2</v>
      </c>
      <c r="AN230" s="16">
        <f>AN219/AI219-1</f>
        <v>-3.2459497206704158E-2</v>
      </c>
      <c r="AO230" s="16">
        <f>AO219/AJ219-1</f>
        <v>9.4519461077844369E-2</v>
      </c>
      <c r="AP230" s="16">
        <f t="shared" ref="AP230:AR232" si="249">AP219/AK219-1</f>
        <v>-1.0684931506849127E-3</v>
      </c>
      <c r="AQ230" s="16">
        <f t="shared" si="249"/>
        <v>1.0000000000000009E-2</v>
      </c>
      <c r="AR230" s="16">
        <f t="shared" si="249"/>
        <v>1.506586208978411E-2</v>
      </c>
      <c r="AS230" s="16">
        <f>AS219/AN219-1</f>
        <v>2.0263157894737649E-3</v>
      </c>
      <c r="AT230" s="16">
        <f>AT219/AO219-1</f>
        <v>2.0263157894737649E-3</v>
      </c>
      <c r="AU230" s="16">
        <f t="shared" ref="AU230:AW232" si="250">AU219/AP219-1</f>
        <v>2.0263157894737649E-3</v>
      </c>
      <c r="AV230" s="16">
        <f t="shared" si="250"/>
        <v>2.0263157894737649E-3</v>
      </c>
      <c r="AW230" s="16">
        <f t="shared" si="250"/>
        <v>2.0263157894739869E-3</v>
      </c>
      <c r="AX230" s="16">
        <f>AX219/AS219-1</f>
        <v>1.9628647214857686E-3</v>
      </c>
      <c r="AY230" s="16">
        <f>AY219/AT219-1</f>
        <v>1.9628647214855466E-3</v>
      </c>
      <c r="AZ230" s="16">
        <f t="shared" ref="AZ230:BB232" si="251">AZ219/AU219-1</f>
        <v>1.9628647214853245E-3</v>
      </c>
      <c r="BA230" s="16">
        <f t="shared" si="251"/>
        <v>1.9628647214855466E-3</v>
      </c>
      <c r="BB230" s="16">
        <f t="shared" si="251"/>
        <v>1.9628647214853245E-3</v>
      </c>
      <c r="BC230" s="16">
        <f>BC219/AX219-1</f>
        <v>1.8983957219251835E-3</v>
      </c>
      <c r="BD230" s="16">
        <f>BD219/AY219-1</f>
        <v>1.8983957219251835E-3</v>
      </c>
      <c r="BE230" s="16">
        <f t="shared" ref="BE230:BG232" si="252">BE219/AZ219-1</f>
        <v>1.8983957219251835E-3</v>
      </c>
      <c r="BF230" s="16">
        <f t="shared" si="252"/>
        <v>1.8983957219251835E-3</v>
      </c>
      <c r="BG230" s="16">
        <f t="shared" si="252"/>
        <v>1.8983957219254055E-3</v>
      </c>
      <c r="BH230" s="16">
        <f>BH219/BC219-1</f>
        <v>1.8328840970351923E-3</v>
      </c>
      <c r="BI230" s="16">
        <f>BI219/BD219-1</f>
        <v>1.8328840970349702E-3</v>
      </c>
      <c r="BJ230" s="16">
        <f t="shared" ref="BJ230:BL232" si="253">BJ219/BE219-1</f>
        <v>1.8328840970351923E-3</v>
      </c>
      <c r="BK230" s="16">
        <f t="shared" si="253"/>
        <v>1.8328840970351923E-3</v>
      </c>
      <c r="BL230" s="16">
        <f t="shared" si="253"/>
        <v>1.8328840970349702E-3</v>
      </c>
    </row>
    <row r="231" spans="1:64">
      <c r="A231" s="165" t="s">
        <v>1114</v>
      </c>
      <c r="O231" s="16"/>
      <c r="P231" s="16"/>
      <c r="Q231" s="16"/>
      <c r="R231" s="16"/>
      <c r="S231" s="16"/>
      <c r="T231" s="16"/>
      <c r="U231" s="16"/>
      <c r="V231" s="16"/>
      <c r="W231" s="16"/>
      <c r="X231" s="16"/>
      <c r="Y231" s="16"/>
      <c r="Z231" s="16"/>
      <c r="AA231" s="16"/>
      <c r="AB231" s="16"/>
      <c r="AC231" s="16"/>
      <c r="AD231" s="16">
        <f t="shared" si="248"/>
        <v>0.19999999999999996</v>
      </c>
      <c r="AE231" s="16">
        <f t="shared" si="248"/>
        <v>0.18749999999999978</v>
      </c>
      <c r="AF231" s="16">
        <f t="shared" si="248"/>
        <v>0.25</v>
      </c>
      <c r="AG231" s="16">
        <f t="shared" si="248"/>
        <v>0.53333333333333321</v>
      </c>
      <c r="AH231" s="16">
        <f t="shared" si="248"/>
        <v>0.29032258064516125</v>
      </c>
      <c r="AI231" s="16">
        <f t="shared" si="248"/>
        <v>0.38888888888888884</v>
      </c>
      <c r="AJ231" s="16">
        <f t="shared" si="248"/>
        <v>0.31578947368421062</v>
      </c>
      <c r="AK231" s="16">
        <f t="shared" si="248"/>
        <v>0.55000000000000004</v>
      </c>
      <c r="AL231" s="16">
        <f t="shared" si="248"/>
        <v>8.6956521739130599E-2</v>
      </c>
      <c r="AM231" s="16">
        <f t="shared" si="248"/>
        <v>0.32499999999999996</v>
      </c>
      <c r="AN231" s="16">
        <f>AN220/AI220-1</f>
        <v>-0.19785800000000009</v>
      </c>
      <c r="AO231" s="16">
        <f>AO220/AJ220-1</f>
        <v>-0.15341799999999994</v>
      </c>
      <c r="AP231" s="16">
        <f t="shared" si="249"/>
        <v>-0.18287741935483859</v>
      </c>
      <c r="AQ231" s="16">
        <f t="shared" si="249"/>
        <v>0.13421989999999995</v>
      </c>
      <c r="AR231" s="16">
        <f t="shared" si="249"/>
        <v>-0.10467549528301878</v>
      </c>
      <c r="AS231" s="16">
        <f>AS220/AN220-1</f>
        <v>1.0000000000000009E-2</v>
      </c>
      <c r="AT231" s="16">
        <f>AT220/AO220-1</f>
        <v>1.0000000000000009E-2</v>
      </c>
      <c r="AU231" s="16">
        <f t="shared" si="250"/>
        <v>1.0000000000000009E-2</v>
      </c>
      <c r="AV231" s="16">
        <f t="shared" si="250"/>
        <v>1.0000000000000009E-2</v>
      </c>
      <c r="AW231" s="16">
        <f t="shared" si="250"/>
        <v>1.0000000000000009E-2</v>
      </c>
      <c r="AX231" s="16">
        <f>AX220/AS220-1</f>
        <v>1.0000000000000231E-2</v>
      </c>
      <c r="AY231" s="16">
        <f>AY220/AT220-1</f>
        <v>1.0000000000000009E-2</v>
      </c>
      <c r="AZ231" s="16">
        <f t="shared" si="251"/>
        <v>1.0000000000000009E-2</v>
      </c>
      <c r="BA231" s="16">
        <f t="shared" si="251"/>
        <v>1.0000000000000231E-2</v>
      </c>
      <c r="BB231" s="16">
        <f t="shared" si="251"/>
        <v>1.0000000000000009E-2</v>
      </c>
      <c r="BC231" s="16">
        <f>BC220/AX220-1</f>
        <v>9.9999999999997868E-3</v>
      </c>
      <c r="BD231" s="16">
        <f>BD220/AY220-1</f>
        <v>1.0000000000000009E-2</v>
      </c>
      <c r="BE231" s="16">
        <f t="shared" si="252"/>
        <v>1.0000000000000009E-2</v>
      </c>
      <c r="BF231" s="16">
        <f t="shared" si="252"/>
        <v>1.0000000000000009E-2</v>
      </c>
      <c r="BG231" s="16">
        <f t="shared" si="252"/>
        <v>9.9999999999997868E-3</v>
      </c>
      <c r="BH231" s="16">
        <f>BH220/BC220-1</f>
        <v>1.0000000000000231E-2</v>
      </c>
      <c r="BI231" s="16">
        <f>BI220/BD220-1</f>
        <v>9.9999999999997868E-3</v>
      </c>
      <c r="BJ231" s="16">
        <f t="shared" si="253"/>
        <v>1.0000000000000231E-2</v>
      </c>
      <c r="BK231" s="16">
        <f t="shared" si="253"/>
        <v>1.0000000000000009E-2</v>
      </c>
      <c r="BL231" s="16">
        <f t="shared" si="253"/>
        <v>1.0000000000000009E-2</v>
      </c>
    </row>
    <row r="232" spans="1:64">
      <c r="A232" s="402" t="s">
        <v>1724</v>
      </c>
      <c r="B232" s="9"/>
      <c r="C232" s="9"/>
      <c r="D232" s="9"/>
      <c r="E232" s="9"/>
      <c r="F232" s="9"/>
      <c r="G232" s="9"/>
      <c r="H232" s="9"/>
      <c r="I232" s="9"/>
      <c r="J232" s="9"/>
      <c r="K232" s="9"/>
      <c r="L232" s="9"/>
      <c r="M232" s="9"/>
      <c r="N232" s="9"/>
      <c r="O232" s="17"/>
      <c r="P232" s="17"/>
      <c r="Q232" s="17"/>
      <c r="R232" s="17"/>
      <c r="S232" s="17"/>
      <c r="T232" s="17"/>
      <c r="U232" s="17"/>
      <c r="V232" s="17"/>
      <c r="W232" s="17"/>
      <c r="X232" s="17"/>
      <c r="Y232" s="17"/>
      <c r="Z232" s="17"/>
      <c r="AA232" s="17"/>
      <c r="AB232" s="17"/>
      <c r="AC232" s="17"/>
      <c r="AD232" s="17">
        <f>AD221/Y221-1</f>
        <v>0.17333333333333312</v>
      </c>
      <c r="AE232" s="17">
        <f t="shared" si="248"/>
        <v>0.1916167664670656</v>
      </c>
      <c r="AF232" s="17">
        <f t="shared" si="248"/>
        <v>-1.5624999999999112E-2</v>
      </c>
      <c r="AG232" s="17">
        <f t="shared" si="248"/>
        <v>0.12971698113207553</v>
      </c>
      <c r="AH232" s="17">
        <f t="shared" si="248"/>
        <v>0.10889774236387795</v>
      </c>
      <c r="AI232" s="17">
        <f>AI221/AD221-1</f>
        <v>8.8068181818182101E-2</v>
      </c>
      <c r="AJ232" s="17">
        <f t="shared" si="248"/>
        <v>-9.7989949748743643E-2</v>
      </c>
      <c r="AK232" s="17">
        <f t="shared" si="248"/>
        <v>6.34920634920626E-2</v>
      </c>
      <c r="AL232" s="17">
        <f t="shared" si="248"/>
        <v>6.4566805845511333E-2</v>
      </c>
      <c r="AM232" s="17">
        <f t="shared" si="248"/>
        <v>3.0495508982035791E-2</v>
      </c>
      <c r="AN232" s="17">
        <f>AN221/AI221-1</f>
        <v>-4.3255744125326512E-2</v>
      </c>
      <c r="AO232" s="17">
        <f t="shared" ref="AO232" si="254">AO221/AJ221-1</f>
        <v>7.7253621169916631E-2</v>
      </c>
      <c r="AP232" s="17">
        <f t="shared" si="249"/>
        <v>-1.3085714285714256E-2</v>
      </c>
      <c r="AQ232" s="17">
        <f t="shared" si="249"/>
        <v>1.6090076530486996E-2</v>
      </c>
      <c r="AR232" s="17">
        <f t="shared" si="249"/>
        <v>7.6904300152098592E-3</v>
      </c>
      <c r="AS232" s="17">
        <f>AS221/AN221-1</f>
        <v>2.4626865671641962E-3</v>
      </c>
      <c r="AT232" s="17">
        <f t="shared" ref="AT232" si="255">AT221/AO221-1</f>
        <v>2.4626865671641962E-3</v>
      </c>
      <c r="AU232" s="17">
        <f t="shared" si="250"/>
        <v>2.4626865671644182E-3</v>
      </c>
      <c r="AV232" s="17">
        <f t="shared" si="250"/>
        <v>2.4626865671644182E-3</v>
      </c>
      <c r="AW232" s="17">
        <f t="shared" si="250"/>
        <v>2.4626865671644182E-3</v>
      </c>
      <c r="AX232" s="17">
        <f>AX221/AS221-1</f>
        <v>2.4060150375941891E-3</v>
      </c>
      <c r="AY232" s="17">
        <f t="shared" ref="AY232" si="256">AY221/AT221-1</f>
        <v>2.4060150375941891E-3</v>
      </c>
      <c r="AZ232" s="17">
        <f t="shared" si="251"/>
        <v>2.4060150375939671E-3</v>
      </c>
      <c r="BA232" s="17">
        <f t="shared" si="251"/>
        <v>2.4060150375939671E-3</v>
      </c>
      <c r="BB232" s="17">
        <f t="shared" si="251"/>
        <v>2.4060150375939671E-3</v>
      </c>
      <c r="BC232" s="17">
        <f>BC221/AX221-1</f>
        <v>2.348484848484933E-3</v>
      </c>
      <c r="BD232" s="17">
        <f t="shared" ref="BD232" si="257">BD221/AY221-1</f>
        <v>2.348484848484711E-3</v>
      </c>
      <c r="BE232" s="17">
        <f t="shared" si="252"/>
        <v>2.348484848484933E-3</v>
      </c>
      <c r="BF232" s="17">
        <f t="shared" si="252"/>
        <v>2.348484848484933E-3</v>
      </c>
      <c r="BG232" s="17">
        <f t="shared" si="252"/>
        <v>2.348484848485155E-3</v>
      </c>
      <c r="BH232" s="17">
        <f>BH221/BC221-1</f>
        <v>2.2900763358779663E-3</v>
      </c>
      <c r="BI232" s="17">
        <f t="shared" ref="BI232" si="258">BI221/BD221-1</f>
        <v>2.2900763358777443E-3</v>
      </c>
      <c r="BJ232" s="17">
        <f t="shared" si="253"/>
        <v>2.2900763358779663E-3</v>
      </c>
      <c r="BK232" s="17">
        <f t="shared" si="253"/>
        <v>2.2900763358779663E-3</v>
      </c>
      <c r="BL232" s="17">
        <f t="shared" si="253"/>
        <v>2.2900763358777443E-3</v>
      </c>
    </row>
    <row r="234" spans="1:64">
      <c r="A234" s="9" t="s">
        <v>1767</v>
      </c>
      <c r="B234" s="9"/>
      <c r="C234" s="9"/>
      <c r="D234" s="9"/>
      <c r="E234" s="9"/>
      <c r="F234" s="9"/>
      <c r="G234" s="9"/>
      <c r="H234" s="9"/>
      <c r="I234" s="9"/>
      <c r="J234" s="378"/>
      <c r="K234" s="378"/>
      <c r="L234" s="378"/>
      <c r="M234" s="378"/>
      <c r="N234" s="378"/>
      <c r="O234" s="378"/>
      <c r="P234" s="378"/>
      <c r="Q234" s="378"/>
      <c r="R234" s="378"/>
      <c r="S234" s="378"/>
      <c r="T234" s="378"/>
      <c r="U234" s="378"/>
      <c r="V234" s="378"/>
      <c r="W234" s="378"/>
      <c r="X234" s="378"/>
      <c r="Y234" s="378">
        <f>Y216-Y219</f>
        <v>3.1999999999999993</v>
      </c>
      <c r="Z234" s="378">
        <f t="shared" ref="Z234:AC234" si="259">Z216-Z219</f>
        <v>2.8999999999999986</v>
      </c>
      <c r="AA234" s="378">
        <f t="shared" si="259"/>
        <v>-1.7999999999999972</v>
      </c>
      <c r="AB234" s="378">
        <f t="shared" si="259"/>
        <v>5.3999999999999986</v>
      </c>
      <c r="AC234" s="378">
        <f t="shared" si="259"/>
        <v>9.7000000000000171</v>
      </c>
      <c r="AD234" s="378">
        <f>AD216-AD219</f>
        <v>2.3999999999999986</v>
      </c>
      <c r="AE234" s="378">
        <f t="shared" ref="AE234:AH234" si="260">AE216-AE219</f>
        <v>0.5</v>
      </c>
      <c r="AF234" s="378">
        <f t="shared" si="260"/>
        <v>-1.4000000000000341</v>
      </c>
      <c r="AG234" s="378">
        <f t="shared" si="260"/>
        <v>4.1999999999999957</v>
      </c>
      <c r="AH234" s="378">
        <f t="shared" si="260"/>
        <v>5.6999999999999602</v>
      </c>
      <c r="AI234" s="378">
        <f>AI216-AI219</f>
        <v>0.29999999999999716</v>
      </c>
      <c r="AJ234" s="378">
        <f t="shared" ref="AJ234:AL234" si="261">AJ216-AJ219</f>
        <v>4.7000000000000028</v>
      </c>
      <c r="AK234" s="378">
        <f t="shared" si="261"/>
        <v>1.8000000000000043</v>
      </c>
      <c r="AL234" s="378">
        <f t="shared" si="261"/>
        <v>2.5522500000000008</v>
      </c>
      <c r="AM234" s="378">
        <f>SUM(AI234:AL234)</f>
        <v>9.3522500000000051</v>
      </c>
      <c r="AN234" s="378">
        <f t="shared" ref="AN234:AQ234" si="262">AN216-AN219</f>
        <v>1.8230500000000021</v>
      </c>
      <c r="AO234" s="378">
        <f t="shared" si="262"/>
        <v>1.9240500000000011</v>
      </c>
      <c r="AP234" s="378">
        <f t="shared" si="262"/>
        <v>2.3028000000000048</v>
      </c>
      <c r="AQ234" s="378">
        <f t="shared" si="262"/>
        <v>2.5777725000000018</v>
      </c>
      <c r="AR234" s="378">
        <f>SUM(AN234:AQ234)</f>
        <v>8.6276725000000098</v>
      </c>
      <c r="AS234" s="378">
        <f t="shared" ref="AS234:AV234" si="263">AS216-AS219</f>
        <v>2.1174725750000007</v>
      </c>
      <c r="AT234" s="378">
        <f t="shared" si="263"/>
        <v>2.2347840750000003</v>
      </c>
      <c r="AU234" s="378">
        <f t="shared" si="263"/>
        <v>2.6747021999999987</v>
      </c>
      <c r="AV234" s="378">
        <f t="shared" si="263"/>
        <v>2.9940827587499967</v>
      </c>
      <c r="AW234" s="378">
        <f>SUM(AS234:AV234)</f>
        <v>10.021041608749996</v>
      </c>
      <c r="AX234" s="378">
        <f t="shared" ref="AX234:BA234" si="264">AX216-AX219</f>
        <v>2.4176012964999956</v>
      </c>
      <c r="AY234" s="378">
        <f t="shared" si="264"/>
        <v>2.5515404264999972</v>
      </c>
      <c r="AZ234" s="378">
        <f t="shared" si="264"/>
        <v>3.053812164</v>
      </c>
      <c r="BA234" s="378">
        <f t="shared" si="264"/>
        <v>3.4184614454249953</v>
      </c>
      <c r="BB234" s="378">
        <f>SUM(AX234:BA234)</f>
        <v>11.441415332424988</v>
      </c>
      <c r="BC234" s="378">
        <f t="shared" ref="BC234:BF234" si="265">BC216-BC219</f>
        <v>2.7235208451724944</v>
      </c>
      <c r="BD234" s="378">
        <f t="shared" si="265"/>
        <v>2.8744084266224945</v>
      </c>
      <c r="BE234" s="378">
        <f t="shared" si="265"/>
        <v>3.4402368570599933</v>
      </c>
      <c r="BF234" s="378">
        <f t="shared" si="265"/>
        <v>3.8510282975576189</v>
      </c>
      <c r="BG234" s="378">
        <f>SUM(BC234:BF234)</f>
        <v>12.889194426412601</v>
      </c>
      <c r="BH234" s="378">
        <f t="shared" ref="BH234:BK234" si="266">BH216-BH219</f>
        <v>3.0353170246887942</v>
      </c>
      <c r="BI234" s="378">
        <f t="shared" si="266"/>
        <v>3.2034786327047939</v>
      </c>
      <c r="BJ234" s="378">
        <f t="shared" si="266"/>
        <v>3.8340846627647949</v>
      </c>
      <c r="BK234" s="378">
        <f t="shared" si="266"/>
        <v>4.2919046405883492</v>
      </c>
      <c r="BL234" s="378">
        <f>SUM(BH234:BK234)</f>
        <v>14.364784960746732</v>
      </c>
    </row>
    <row r="235" spans="1:64">
      <c r="A235" s="1" t="s">
        <v>1112</v>
      </c>
      <c r="J235" s="16"/>
      <c r="K235" s="16"/>
      <c r="L235" s="16"/>
      <c r="M235" s="16"/>
      <c r="N235" s="16"/>
      <c r="O235" s="16"/>
      <c r="P235" s="16"/>
      <c r="Q235" s="16"/>
      <c r="R235" s="16"/>
      <c r="S235" s="16"/>
      <c r="T235" s="16"/>
      <c r="U235" s="16"/>
      <c r="V235" s="16"/>
      <c r="W235" s="16"/>
      <c r="X235" s="16"/>
      <c r="Y235" s="16">
        <f t="shared" ref="Y235:BL235" si="267">Y234/Y216</f>
        <v>0.10094637223974762</v>
      </c>
      <c r="Z235" s="16">
        <f t="shared" si="267"/>
        <v>8.3573487031700242E-2</v>
      </c>
      <c r="AA235" s="16">
        <f t="shared" si="267"/>
        <v>-4.3478260869565147E-2</v>
      </c>
      <c r="AB235" s="16">
        <f t="shared" si="267"/>
        <v>0.11663066954643626</v>
      </c>
      <c r="AC235" s="16">
        <f t="shared" si="267"/>
        <v>6.2946138870863172E-2</v>
      </c>
      <c r="AD235" s="16">
        <f t="shared" si="267"/>
        <v>6.7039106145251368E-2</v>
      </c>
      <c r="AE235" s="16">
        <f t="shared" si="267"/>
        <v>1.3020833333333334E-2</v>
      </c>
      <c r="AF235" s="16">
        <f t="shared" si="267"/>
        <v>-3.4398034398035231E-2</v>
      </c>
      <c r="AG235" s="16">
        <f t="shared" si="267"/>
        <v>8.4337349397590286E-2</v>
      </c>
      <c r="AH235" s="16">
        <f t="shared" si="267"/>
        <v>3.4608378870673716E-2</v>
      </c>
      <c r="AI235" s="16">
        <f t="shared" si="267"/>
        <v>8.310249307479145E-3</v>
      </c>
      <c r="AJ235" s="16">
        <f t="shared" si="267"/>
        <v>0.12335958005249351</v>
      </c>
      <c r="AK235" s="16">
        <f t="shared" si="267"/>
        <v>3.9473684210526411E-2</v>
      </c>
      <c r="AL235" s="16">
        <f t="shared" si="267"/>
        <v>5.0000000000000024E-2</v>
      </c>
      <c r="AM235" s="16">
        <f t="shared" si="267"/>
        <v>5.4741139629488747E-2</v>
      </c>
      <c r="AN235" s="16">
        <f t="shared" si="267"/>
        <v>5.0000000000000058E-2</v>
      </c>
      <c r="AO235" s="16">
        <f t="shared" si="267"/>
        <v>5.0000000000000031E-2</v>
      </c>
      <c r="AP235" s="16">
        <f t="shared" si="267"/>
        <v>5.00000000000001E-2</v>
      </c>
      <c r="AQ235" s="16">
        <f t="shared" si="267"/>
        <v>5.0000000000000044E-2</v>
      </c>
      <c r="AR235" s="16">
        <f t="shared" si="267"/>
        <v>5.0000000000000058E-2</v>
      </c>
      <c r="AS235" s="16">
        <f t="shared" si="267"/>
        <v>5.7500000000000023E-2</v>
      </c>
      <c r="AT235" s="16">
        <f t="shared" si="267"/>
        <v>5.7500000000000002E-2</v>
      </c>
      <c r="AU235" s="16">
        <f t="shared" si="267"/>
        <v>5.7499999999999968E-2</v>
      </c>
      <c r="AV235" s="16">
        <f t="shared" si="267"/>
        <v>5.7499999999999947E-2</v>
      </c>
      <c r="AW235" s="16">
        <f t="shared" si="267"/>
        <v>5.7499999999999989E-2</v>
      </c>
      <c r="AX235" s="16">
        <f t="shared" si="267"/>
        <v>6.4999999999999877E-2</v>
      </c>
      <c r="AY235" s="16">
        <f t="shared" si="267"/>
        <v>6.4999999999999919E-2</v>
      </c>
      <c r="AZ235" s="16">
        <f t="shared" si="267"/>
        <v>6.4999999999999988E-2</v>
      </c>
      <c r="BA235" s="16">
        <f t="shared" si="267"/>
        <v>6.4999999999999919E-2</v>
      </c>
      <c r="BB235" s="16">
        <f t="shared" si="267"/>
        <v>6.4999999999999933E-2</v>
      </c>
      <c r="BC235" s="16">
        <f t="shared" si="267"/>
        <v>7.2499999999999842E-2</v>
      </c>
      <c r="BD235" s="16">
        <f t="shared" si="267"/>
        <v>7.2499999999999856E-2</v>
      </c>
      <c r="BE235" s="16">
        <f t="shared" si="267"/>
        <v>7.2499999999999856E-2</v>
      </c>
      <c r="BF235" s="16">
        <f t="shared" si="267"/>
        <v>7.2499999999999884E-2</v>
      </c>
      <c r="BG235" s="16">
        <f t="shared" si="267"/>
        <v>7.2499999999999856E-2</v>
      </c>
      <c r="BH235" s="16">
        <f t="shared" si="267"/>
        <v>7.9999999999999835E-2</v>
      </c>
      <c r="BI235" s="16">
        <f t="shared" si="267"/>
        <v>7.9999999999999849E-2</v>
      </c>
      <c r="BJ235" s="16">
        <f t="shared" si="267"/>
        <v>7.9999999999999877E-2</v>
      </c>
      <c r="BK235" s="16">
        <f t="shared" si="267"/>
        <v>7.9999999999999807E-2</v>
      </c>
      <c r="BL235" s="16">
        <f t="shared" si="267"/>
        <v>7.9999999999999835E-2</v>
      </c>
    </row>
    <row r="236" spans="1:64">
      <c r="A236" s="1" t="s">
        <v>28</v>
      </c>
      <c r="O236" s="16"/>
      <c r="P236" s="16"/>
      <c r="Q236" s="16"/>
      <c r="R236" s="16"/>
      <c r="S236" s="16"/>
      <c r="T236" s="16"/>
      <c r="U236" s="16"/>
      <c r="V236" s="16"/>
      <c r="W236" s="16"/>
      <c r="X236" s="16"/>
      <c r="Y236" s="16"/>
      <c r="Z236" s="16"/>
      <c r="AA236" s="16"/>
      <c r="AB236" s="16"/>
      <c r="AC236" s="16"/>
      <c r="AD236" s="16">
        <f t="shared" ref="AD236:BL236" si="268">AD234/Y234-1</f>
        <v>-0.25000000000000022</v>
      </c>
      <c r="AE236" s="16">
        <f t="shared" si="268"/>
        <v>-0.8275862068965516</v>
      </c>
      <c r="AF236" s="16">
        <f t="shared" si="268"/>
        <v>-0.222222222222202</v>
      </c>
      <c r="AG236" s="16">
        <f t="shared" si="268"/>
        <v>-0.22222222222222276</v>
      </c>
      <c r="AH236" s="16">
        <f t="shared" si="268"/>
        <v>-0.41237113402062364</v>
      </c>
      <c r="AI236" s="16">
        <f t="shared" si="268"/>
        <v>-0.87500000000000111</v>
      </c>
      <c r="AJ236" s="16">
        <f t="shared" si="268"/>
        <v>8.4000000000000057</v>
      </c>
      <c r="AK236" s="16">
        <f t="shared" si="268"/>
        <v>-2.2857142857142572</v>
      </c>
      <c r="AL236" s="16">
        <f t="shared" si="268"/>
        <v>-0.39232142857142771</v>
      </c>
      <c r="AM236" s="16">
        <f t="shared" si="268"/>
        <v>0.6407456140351</v>
      </c>
      <c r="AN236" s="16">
        <f t="shared" si="268"/>
        <v>5.0768333333333979</v>
      </c>
      <c r="AO236" s="16">
        <f t="shared" si="268"/>
        <v>-0.59062765957446817</v>
      </c>
      <c r="AP236" s="16">
        <f t="shared" si="268"/>
        <v>0.27933333333333299</v>
      </c>
      <c r="AQ236" s="16">
        <f t="shared" si="268"/>
        <v>1.0000000000000453E-2</v>
      </c>
      <c r="AR236" s="16">
        <f t="shared" si="268"/>
        <v>-7.7476275762516478E-2</v>
      </c>
      <c r="AS236" s="16">
        <f t="shared" si="268"/>
        <v>0.16149999999999909</v>
      </c>
      <c r="AT236" s="16">
        <f t="shared" si="268"/>
        <v>0.16149999999999953</v>
      </c>
      <c r="AU236" s="16">
        <f t="shared" si="268"/>
        <v>0.16149999999999709</v>
      </c>
      <c r="AV236" s="16">
        <f t="shared" si="268"/>
        <v>0.16149999999999798</v>
      </c>
      <c r="AW236" s="16">
        <f t="shared" si="268"/>
        <v>0.1614999999999982</v>
      </c>
      <c r="AX236" s="16">
        <f t="shared" si="268"/>
        <v>0.14173913043478015</v>
      </c>
      <c r="AY236" s="16">
        <f t="shared" si="268"/>
        <v>0.14173913043478126</v>
      </c>
      <c r="AZ236" s="16">
        <f t="shared" si="268"/>
        <v>0.14173913043478326</v>
      </c>
      <c r="BA236" s="16">
        <f t="shared" si="268"/>
        <v>0.14173913043478237</v>
      </c>
      <c r="BB236" s="16">
        <f t="shared" si="268"/>
        <v>0.14173913043478192</v>
      </c>
      <c r="BC236" s="16">
        <f t="shared" si="268"/>
        <v>0.12653846153846127</v>
      </c>
      <c r="BD236" s="16">
        <f t="shared" si="268"/>
        <v>0.1265384615384606</v>
      </c>
      <c r="BE236" s="16">
        <f t="shared" si="268"/>
        <v>0.12653846153845927</v>
      </c>
      <c r="BF236" s="16">
        <f t="shared" si="268"/>
        <v>0.12653846153846127</v>
      </c>
      <c r="BG236" s="16">
        <f t="shared" si="268"/>
        <v>0.1265384615384606</v>
      </c>
      <c r="BH236" s="16">
        <f t="shared" si="268"/>
        <v>0.1144827586206898</v>
      </c>
      <c r="BI236" s="16">
        <f t="shared" si="268"/>
        <v>0.11448275862068957</v>
      </c>
      <c r="BJ236" s="16">
        <f t="shared" si="268"/>
        <v>0.11448275862069024</v>
      </c>
      <c r="BK236" s="16">
        <f t="shared" si="268"/>
        <v>0.11448275862068868</v>
      </c>
      <c r="BL236" s="16">
        <f t="shared" si="268"/>
        <v>0.11448275862068957</v>
      </c>
    </row>
    <row r="238" spans="1:64">
      <c r="A238" s="1" t="s">
        <v>1145</v>
      </c>
      <c r="J238" s="21"/>
      <c r="K238" s="21"/>
      <c r="L238" s="21"/>
      <c r="M238" s="21"/>
      <c r="N238" s="21"/>
      <c r="O238" s="21"/>
      <c r="P238" s="21"/>
      <c r="Q238" s="21"/>
      <c r="R238" s="21"/>
      <c r="S238" s="21"/>
      <c r="T238" s="21"/>
      <c r="U238" s="21"/>
      <c r="V238" s="21"/>
      <c r="W238" s="21"/>
      <c r="X238" s="21"/>
      <c r="Y238" s="21"/>
      <c r="Z238" s="21"/>
      <c r="AA238" s="21"/>
      <c r="AB238" s="21"/>
      <c r="AC238" s="21"/>
      <c r="AD238" s="114">
        <f t="shared" ref="AD238:BL238" si="269">(AD234-Y234)/(AD216-Y216)</f>
        <v>-0.19512195121951248</v>
      </c>
      <c r="AE238" s="114">
        <f t="shared" si="269"/>
        <v>-0.64864864864864902</v>
      </c>
      <c r="AF238" s="114">
        <f t="shared" si="269"/>
        <v>-0.5714285714285221</v>
      </c>
      <c r="AG238" s="114">
        <f t="shared" si="269"/>
        <v>-0.34285714285714369</v>
      </c>
      <c r="AH238" s="114">
        <f t="shared" si="269"/>
        <v>-0.37735849056604431</v>
      </c>
      <c r="AI238" s="114">
        <f t="shared" si="269"/>
        <v>-6.999999999999905</v>
      </c>
      <c r="AJ238" s="114">
        <f t="shared" si="269"/>
        <v>-14.000000000000142</v>
      </c>
      <c r="AK238" s="114">
        <f t="shared" si="269"/>
        <v>0.65306122448980397</v>
      </c>
      <c r="AL238" s="114">
        <f t="shared" si="269"/>
        <v>-1.3234939759036131</v>
      </c>
      <c r="AM238" s="114">
        <f t="shared" si="269"/>
        <v>0.59434499593165802</v>
      </c>
      <c r="AN238" s="114">
        <f t="shared" si="269"/>
        <v>4.2189750692521253</v>
      </c>
      <c r="AO238" s="114">
        <f t="shared" si="269"/>
        <v>-7.285958005249344</v>
      </c>
      <c r="AP238" s="114">
        <f t="shared" si="269"/>
        <v>1.1026315789473622</v>
      </c>
      <c r="AQ238" s="114">
        <f t="shared" si="269"/>
        <v>5.0000000000002091E-2</v>
      </c>
      <c r="AR238" s="114">
        <f t="shared" si="269"/>
        <v>-0.42411396294886922</v>
      </c>
      <c r="AS238" s="114">
        <f t="shared" si="269"/>
        <v>0.80749999999999866</v>
      </c>
      <c r="AT238" s="114">
        <f t="shared" si="269"/>
        <v>0.80749999999999433</v>
      </c>
      <c r="AU238" s="114">
        <f t="shared" si="269"/>
        <v>0.80749999999998501</v>
      </c>
      <c r="AV238" s="114">
        <f t="shared" si="269"/>
        <v>0.80749999999998967</v>
      </c>
      <c r="AW238" s="114">
        <f t="shared" si="269"/>
        <v>0.80750000000000133</v>
      </c>
      <c r="AX238" s="114">
        <f t="shared" si="269"/>
        <v>0.81499999999997808</v>
      </c>
      <c r="AY238" s="114">
        <f t="shared" si="269"/>
        <v>0.81499999999999062</v>
      </c>
      <c r="AZ238" s="114">
        <f t="shared" si="269"/>
        <v>0.81500000000000483</v>
      </c>
      <c r="BA238" s="114">
        <f t="shared" si="269"/>
        <v>0.81499999999999517</v>
      </c>
      <c r="BB238" s="114">
        <f t="shared" si="269"/>
        <v>0.81499999999997985</v>
      </c>
      <c r="BC238" s="114">
        <f t="shared" si="269"/>
        <v>0.82249999999999346</v>
      </c>
      <c r="BD238" s="114">
        <f t="shared" si="269"/>
        <v>0.82249999999999968</v>
      </c>
      <c r="BE238" s="114">
        <f t="shared" si="269"/>
        <v>0.82249999999998757</v>
      </c>
      <c r="BF238" s="114">
        <f t="shared" si="269"/>
        <v>0.82249999999999412</v>
      </c>
      <c r="BG238" s="114">
        <f t="shared" si="269"/>
        <v>0.82249999999999346</v>
      </c>
      <c r="BH238" s="114">
        <f t="shared" si="269"/>
        <v>0.82999999999999352</v>
      </c>
      <c r="BI238" s="114">
        <f t="shared" si="269"/>
        <v>0.83000000000000274</v>
      </c>
      <c r="BJ238" s="114">
        <f t="shared" si="269"/>
        <v>0.82999999999999685</v>
      </c>
      <c r="BK238" s="114">
        <f t="shared" si="269"/>
        <v>0.82999999999999208</v>
      </c>
      <c r="BL238" s="114">
        <f t="shared" si="269"/>
        <v>0.8299999999999994</v>
      </c>
    </row>
    <row r="240" spans="1:64">
      <c r="A240" s="9" t="s">
        <v>1768</v>
      </c>
      <c r="B240" s="9"/>
      <c r="C240" s="9"/>
      <c r="D240" s="9"/>
      <c r="E240" s="9"/>
      <c r="F240" s="9"/>
      <c r="G240" s="9"/>
      <c r="H240" s="9"/>
      <c r="I240" s="9"/>
      <c r="J240" s="378"/>
      <c r="K240" s="378"/>
      <c r="L240" s="378"/>
      <c r="M240" s="378"/>
      <c r="N240" s="378"/>
      <c r="O240" s="378"/>
      <c r="P240" s="378"/>
      <c r="Q240" s="378"/>
      <c r="R240" s="378"/>
      <c r="S240" s="378"/>
      <c r="T240" s="378"/>
      <c r="U240" s="378"/>
      <c r="V240" s="378"/>
      <c r="W240" s="378"/>
      <c r="X240" s="378"/>
      <c r="Y240" s="378">
        <f t="shared" ref="Y240:AK240" si="270">Y245-Y244</f>
        <v>1.7</v>
      </c>
      <c r="Z240" s="378">
        <f t="shared" si="270"/>
        <v>1.3</v>
      </c>
      <c r="AA240" s="378">
        <f t="shared" si="270"/>
        <v>-3.4</v>
      </c>
      <c r="AB240" s="378">
        <f t="shared" si="270"/>
        <v>3.9</v>
      </c>
      <c r="AC240" s="378">
        <f t="shared" si="270"/>
        <v>3.5</v>
      </c>
      <c r="AD240" s="378">
        <f t="shared" si="270"/>
        <v>0.6</v>
      </c>
      <c r="AE240" s="378">
        <f t="shared" si="270"/>
        <v>-1.4</v>
      </c>
      <c r="AF240" s="378">
        <f t="shared" si="270"/>
        <v>-3.4000000000000341</v>
      </c>
      <c r="AG240" s="378">
        <f t="shared" si="270"/>
        <v>1.9</v>
      </c>
      <c r="AH240" s="378">
        <f t="shared" si="270"/>
        <v>-2.3000000000000682</v>
      </c>
      <c r="AI240" s="378">
        <f t="shared" si="270"/>
        <v>-2.2000000000000002</v>
      </c>
      <c r="AJ240" s="378">
        <f t="shared" si="270"/>
        <v>2.2000000000000002</v>
      </c>
      <c r="AK240" s="378">
        <f t="shared" si="270"/>
        <v>-1.3</v>
      </c>
      <c r="AL240" s="378">
        <f t="shared" ref="AL240:BL240" si="271">AL216-AL221</f>
        <v>5.2250000000000796E-2</v>
      </c>
      <c r="AM240" s="378">
        <f t="shared" si="271"/>
        <v>-1.2477499999999964</v>
      </c>
      <c r="AN240" s="378">
        <f t="shared" si="271"/>
        <v>-0.1823049999999995</v>
      </c>
      <c r="AO240" s="378">
        <f t="shared" si="271"/>
        <v>-0.19240500000000083</v>
      </c>
      <c r="AP240" s="378">
        <f t="shared" si="271"/>
        <v>-0.23027999999999338</v>
      </c>
      <c r="AQ240" s="378">
        <f t="shared" si="271"/>
        <v>-0.25777724999999663</v>
      </c>
      <c r="AR240" s="378">
        <f t="shared" si="271"/>
        <v>-0.86276724999999033</v>
      </c>
      <c r="AS240" s="378">
        <f t="shared" si="271"/>
        <v>9.2064024999999106E-2</v>
      </c>
      <c r="AT240" s="378">
        <f t="shared" si="271"/>
        <v>9.7164525000003721E-2</v>
      </c>
      <c r="AU240" s="378">
        <f t="shared" si="271"/>
        <v>0.11629140000000149</v>
      </c>
      <c r="AV240" s="378">
        <f t="shared" si="271"/>
        <v>0.13017751124999677</v>
      </c>
      <c r="AW240" s="378">
        <f t="shared" si="271"/>
        <v>0.43569746124995845</v>
      </c>
      <c r="AX240" s="378">
        <f t="shared" si="271"/>
        <v>0.3719386609999944</v>
      </c>
      <c r="AY240" s="378">
        <f t="shared" si="271"/>
        <v>0.39254468099999684</v>
      </c>
      <c r="AZ240" s="378">
        <f t="shared" si="271"/>
        <v>0.46981725599999891</v>
      </c>
      <c r="BA240" s="378">
        <f t="shared" si="271"/>
        <v>0.5259171454499949</v>
      </c>
      <c r="BB240" s="378">
        <f t="shared" si="271"/>
        <v>1.7602177434499993</v>
      </c>
      <c r="BC240" s="378">
        <f t="shared" si="271"/>
        <v>0.65740158331749399</v>
      </c>
      <c r="BD240" s="378">
        <f t="shared" si="271"/>
        <v>0.69382272366749476</v>
      </c>
      <c r="BE240" s="378">
        <f t="shared" si="271"/>
        <v>0.83040199997999053</v>
      </c>
      <c r="BF240" s="378">
        <f t="shared" si="271"/>
        <v>0.92955855458286862</v>
      </c>
      <c r="BG240" s="378">
        <f t="shared" si="271"/>
        <v>3.1111848615478266</v>
      </c>
      <c r="BH240" s="378">
        <f t="shared" si="271"/>
        <v>0.9485365702152464</v>
      </c>
      <c r="BI240" s="378">
        <f t="shared" si="271"/>
        <v>1.0010870727202459</v>
      </c>
      <c r="BJ240" s="378">
        <f t="shared" si="271"/>
        <v>1.198151457113994</v>
      </c>
      <c r="BK240" s="378">
        <f t="shared" si="271"/>
        <v>1.3412202001838551</v>
      </c>
      <c r="BL240" s="378">
        <f t="shared" si="271"/>
        <v>4.4889953002333414</v>
      </c>
    </row>
    <row r="241" spans="1:64">
      <c r="A241" s="1" t="s">
        <v>1489</v>
      </c>
      <c r="Y241" s="16">
        <f t="shared" ref="Y241:BL241" si="272">Y240/Y216</f>
        <v>5.362776025236593E-2</v>
      </c>
      <c r="Z241" s="16">
        <f t="shared" si="272"/>
        <v>3.7463976945244955E-2</v>
      </c>
      <c r="AA241" s="16">
        <f t="shared" si="272"/>
        <v>-8.2125603864734303E-2</v>
      </c>
      <c r="AB241" s="16">
        <f t="shared" si="272"/>
        <v>8.4233261339092882E-2</v>
      </c>
      <c r="AC241" s="16">
        <f t="shared" si="272"/>
        <v>2.2712524334847498E-2</v>
      </c>
      <c r="AD241" s="16">
        <f t="shared" si="272"/>
        <v>1.6759776536312849E-2</v>
      </c>
      <c r="AE241" s="16">
        <f t="shared" si="272"/>
        <v>-3.6458333333333336E-2</v>
      </c>
      <c r="AF241" s="16">
        <f t="shared" si="272"/>
        <v>-8.3538083538084368E-2</v>
      </c>
      <c r="AG241" s="16">
        <f t="shared" si="272"/>
        <v>3.8152610441767071E-2</v>
      </c>
      <c r="AH241" s="16">
        <f t="shared" si="272"/>
        <v>-1.396478445658815E-2</v>
      </c>
      <c r="AI241" s="16">
        <f t="shared" si="272"/>
        <v>-6.0941828254847646E-2</v>
      </c>
      <c r="AJ241" s="16">
        <f t="shared" si="272"/>
        <v>5.774278215223097E-2</v>
      </c>
      <c r="AK241" s="16">
        <f t="shared" si="272"/>
        <v>-2.850877192982456E-2</v>
      </c>
      <c r="AL241" s="16">
        <f t="shared" si="272"/>
        <v>1.0236066216084004E-3</v>
      </c>
      <c r="AM241" s="16">
        <f t="shared" si="272"/>
        <v>-7.3034036699932475E-3</v>
      </c>
      <c r="AN241" s="16">
        <f t="shared" si="272"/>
        <v>-4.9999999999999862E-3</v>
      </c>
      <c r="AO241" s="16">
        <f t="shared" si="272"/>
        <v>-5.0000000000000209E-3</v>
      </c>
      <c r="AP241" s="16">
        <f t="shared" si="272"/>
        <v>-4.9999999999998561E-3</v>
      </c>
      <c r="AQ241" s="16">
        <f t="shared" si="272"/>
        <v>-4.9999999999999351E-3</v>
      </c>
      <c r="AR241" s="16">
        <f t="shared" si="272"/>
        <v>-4.9999999999999437E-3</v>
      </c>
      <c r="AS241" s="16">
        <f t="shared" si="272"/>
        <v>2.4999999999999758E-3</v>
      </c>
      <c r="AT241" s="16">
        <f t="shared" si="272"/>
        <v>2.5000000000000955E-3</v>
      </c>
      <c r="AU241" s="16">
        <f t="shared" si="272"/>
        <v>2.5000000000000317E-3</v>
      </c>
      <c r="AV241" s="16">
        <f t="shared" si="272"/>
        <v>2.4999999999999385E-3</v>
      </c>
      <c r="AW241" s="16">
        <f t="shared" si="272"/>
        <v>2.499999999999762E-3</v>
      </c>
      <c r="AX241" s="16">
        <f t="shared" si="272"/>
        <v>9.9999999999998493E-3</v>
      </c>
      <c r="AY241" s="16">
        <f t="shared" si="272"/>
        <v>9.9999999999999187E-3</v>
      </c>
      <c r="AZ241" s="16">
        <f t="shared" si="272"/>
        <v>9.9999999999999759E-3</v>
      </c>
      <c r="BA241" s="16">
        <f t="shared" si="272"/>
        <v>9.9999999999999048E-3</v>
      </c>
      <c r="BB241" s="16">
        <f t="shared" si="272"/>
        <v>9.999999999999995E-3</v>
      </c>
      <c r="BC241" s="16">
        <f t="shared" si="272"/>
        <v>1.7499999999999839E-2</v>
      </c>
      <c r="BD241" s="16">
        <f t="shared" si="272"/>
        <v>1.7499999999999866E-2</v>
      </c>
      <c r="BE241" s="16">
        <f t="shared" si="272"/>
        <v>1.74999999999998E-2</v>
      </c>
      <c r="BF241" s="16">
        <f t="shared" si="272"/>
        <v>1.749999999999988E-2</v>
      </c>
      <c r="BG241" s="16">
        <f t="shared" si="272"/>
        <v>1.7499999999999728E-2</v>
      </c>
      <c r="BH241" s="16">
        <f t="shared" si="272"/>
        <v>2.4999999999999901E-2</v>
      </c>
      <c r="BI241" s="16">
        <f t="shared" si="272"/>
        <v>2.4999999999999897E-2</v>
      </c>
      <c r="BJ241" s="16">
        <f t="shared" si="272"/>
        <v>2.499999999999987E-2</v>
      </c>
      <c r="BK241" s="16">
        <f t="shared" si="272"/>
        <v>2.4999999999999863E-2</v>
      </c>
      <c r="BL241" s="16">
        <f t="shared" si="272"/>
        <v>2.499999999999988E-2</v>
      </c>
    </row>
    <row r="242" spans="1:64">
      <c r="A242" s="1" t="s">
        <v>28</v>
      </c>
      <c r="AD242" s="16">
        <f t="shared" ref="AD242:BL242" si="273">AD240/Y240-1</f>
        <v>-0.64705882352941169</v>
      </c>
      <c r="AE242" s="16">
        <f t="shared" si="273"/>
        <v>-2.0769230769230766</v>
      </c>
      <c r="AF242" s="16">
        <f t="shared" si="273"/>
        <v>9.9920072216264089E-15</v>
      </c>
      <c r="AG242" s="16">
        <f t="shared" si="273"/>
        <v>-0.51282051282051277</v>
      </c>
      <c r="AH242" s="16">
        <f t="shared" si="273"/>
        <v>-1.6571428571428766</v>
      </c>
      <c r="AI242" s="16">
        <f t="shared" si="273"/>
        <v>-4.666666666666667</v>
      </c>
      <c r="AJ242" s="16">
        <f t="shared" si="273"/>
        <v>-2.5714285714285716</v>
      </c>
      <c r="AK242" s="16">
        <f t="shared" si="273"/>
        <v>-0.61764705882353321</v>
      </c>
      <c r="AL242" s="16">
        <f t="shared" si="273"/>
        <v>-0.97249999999999959</v>
      </c>
      <c r="AM242" s="16">
        <f t="shared" si="273"/>
        <v>-0.45750000000001767</v>
      </c>
      <c r="AN242" s="16">
        <f t="shared" si="273"/>
        <v>-0.91713409090909115</v>
      </c>
      <c r="AO242" s="16">
        <f t="shared" si="273"/>
        <v>-1.0874568181818185</v>
      </c>
      <c r="AP242" s="16">
        <f t="shared" si="273"/>
        <v>-0.82286153846154353</v>
      </c>
      <c r="AQ242" s="16">
        <f t="shared" si="273"/>
        <v>-5.9335358851673243</v>
      </c>
      <c r="AR242" s="16">
        <f t="shared" si="273"/>
        <v>-0.30854157483470823</v>
      </c>
      <c r="AS242" s="16">
        <f t="shared" si="273"/>
        <v>-1.5049999999999963</v>
      </c>
      <c r="AT242" s="16">
        <f t="shared" si="273"/>
        <v>-1.5050000000000172</v>
      </c>
      <c r="AU242" s="16">
        <f t="shared" si="273"/>
        <v>-1.505000000000021</v>
      </c>
      <c r="AV242" s="16">
        <f t="shared" si="273"/>
        <v>-1.5049999999999941</v>
      </c>
      <c r="AW242" s="16">
        <f t="shared" si="273"/>
        <v>-1.5049999999999575</v>
      </c>
      <c r="AX242" s="16">
        <f t="shared" si="273"/>
        <v>3.0399999999999787</v>
      </c>
      <c r="AY242" s="16">
        <f t="shared" si="273"/>
        <v>3.0399999999998126</v>
      </c>
      <c r="AZ242" s="16">
        <f t="shared" si="273"/>
        <v>3.0399999999999388</v>
      </c>
      <c r="BA242" s="16">
        <f t="shared" si="273"/>
        <v>3.0400000000000613</v>
      </c>
      <c r="BB242" s="16">
        <f t="shared" si="273"/>
        <v>3.0400000000003837</v>
      </c>
      <c r="BC242" s="16">
        <f t="shared" si="273"/>
        <v>0.76750000000001051</v>
      </c>
      <c r="BD242" s="16">
        <f t="shared" si="273"/>
        <v>0.76750000000000096</v>
      </c>
      <c r="BE242" s="16">
        <f t="shared" si="273"/>
        <v>0.76749999999998386</v>
      </c>
      <c r="BF242" s="16">
        <f t="shared" si="273"/>
        <v>0.76750000000000496</v>
      </c>
      <c r="BG242" s="16">
        <f t="shared" si="273"/>
        <v>0.7674999999999732</v>
      </c>
      <c r="BH242" s="16">
        <f t="shared" si="273"/>
        <v>0.44285714285715061</v>
      </c>
      <c r="BI242" s="16">
        <f t="shared" si="273"/>
        <v>0.44285714285714772</v>
      </c>
      <c r="BJ242" s="16">
        <f t="shared" si="273"/>
        <v>0.44285714285715194</v>
      </c>
      <c r="BK242" s="16">
        <f t="shared" si="273"/>
        <v>0.44285714285714484</v>
      </c>
      <c r="BL242" s="16">
        <f t="shared" si="273"/>
        <v>0.4428571428571586</v>
      </c>
    </row>
    <row r="244" spans="1:64">
      <c r="A244" s="1" t="s">
        <v>276</v>
      </c>
      <c r="AD244" s="375"/>
      <c r="AE244" s="375"/>
      <c r="AF244" s="376">
        <v>294.8</v>
      </c>
      <c r="AG244" s="375"/>
      <c r="AH244" s="375">
        <f>SUM(AD244:AG244)</f>
        <v>294.8</v>
      </c>
      <c r="AI244" s="375"/>
      <c r="AJ244" s="375"/>
    </row>
    <row r="245" spans="1:64">
      <c r="A245" s="9" t="s">
        <v>1769</v>
      </c>
      <c r="B245" s="9"/>
      <c r="C245" s="9"/>
      <c r="D245" s="9"/>
      <c r="E245" s="9"/>
      <c r="F245" s="9"/>
      <c r="G245" s="9"/>
      <c r="H245" s="9"/>
      <c r="I245" s="9"/>
      <c r="J245" s="378"/>
      <c r="K245" s="378"/>
      <c r="L245" s="378"/>
      <c r="M245" s="378"/>
      <c r="N245" s="378"/>
      <c r="O245" s="378"/>
      <c r="P245" s="378"/>
      <c r="Q245" s="378"/>
      <c r="R245" s="378"/>
      <c r="S245" s="378"/>
      <c r="T245" s="378"/>
      <c r="U245" s="378"/>
      <c r="V245" s="378"/>
      <c r="W245" s="378"/>
      <c r="X245" s="378"/>
      <c r="Y245" s="395">
        <v>1.7</v>
      </c>
      <c r="Z245" s="395">
        <v>1.3</v>
      </c>
      <c r="AA245" s="395">
        <v>-3.4</v>
      </c>
      <c r="AB245" s="395">
        <v>3.9</v>
      </c>
      <c r="AC245" s="378">
        <f>SUM(Y245:AB245)</f>
        <v>3.5</v>
      </c>
      <c r="AD245" s="395">
        <v>0.6</v>
      </c>
      <c r="AE245" s="395">
        <v>-1.4</v>
      </c>
      <c r="AF245" s="395">
        <v>291.39999999999998</v>
      </c>
      <c r="AG245" s="395">
        <v>1.9</v>
      </c>
      <c r="AH245" s="378">
        <f>SUM(AD245:AG245)</f>
        <v>292.49999999999994</v>
      </c>
      <c r="AI245" s="395">
        <v>-2.2000000000000002</v>
      </c>
      <c r="AJ245" s="395">
        <v>2.2000000000000002</v>
      </c>
      <c r="AK245" s="395">
        <v>-1.3</v>
      </c>
      <c r="AL245" s="378">
        <f>AL240+AL244</f>
        <v>5.2250000000000796E-2</v>
      </c>
      <c r="AM245" s="378">
        <f>AM240+AM244</f>
        <v>-1.2477499999999964</v>
      </c>
      <c r="AN245" s="378">
        <f>AN240+AN244</f>
        <v>-0.1823049999999995</v>
      </c>
      <c r="AO245" s="378">
        <f>AO240+AO244</f>
        <v>-0.19240500000000083</v>
      </c>
      <c r="AP245" s="378">
        <f t="shared" ref="AP245:AR245" si="274">AP240+AP244</f>
        <v>-0.23027999999999338</v>
      </c>
      <c r="AQ245" s="378">
        <f t="shared" si="274"/>
        <v>-0.25777724999999663</v>
      </c>
      <c r="AR245" s="378">
        <f t="shared" si="274"/>
        <v>-0.86276724999999033</v>
      </c>
      <c r="AS245" s="378">
        <f>AS240+AS244</f>
        <v>9.2064024999999106E-2</v>
      </c>
      <c r="AT245" s="378">
        <f>AT240+AT244</f>
        <v>9.7164525000003721E-2</v>
      </c>
      <c r="AU245" s="378">
        <f t="shared" ref="AU245:AW245" si="275">AU240+AU244</f>
        <v>0.11629140000000149</v>
      </c>
      <c r="AV245" s="378">
        <f t="shared" si="275"/>
        <v>0.13017751124999677</v>
      </c>
      <c r="AW245" s="378">
        <f t="shared" si="275"/>
        <v>0.43569746124995845</v>
      </c>
      <c r="AX245" s="378">
        <f>AX240+AX244</f>
        <v>0.3719386609999944</v>
      </c>
      <c r="AY245" s="378">
        <f>AY240+AY244</f>
        <v>0.39254468099999684</v>
      </c>
      <c r="AZ245" s="378">
        <f t="shared" ref="AZ245:BB245" si="276">AZ240+AZ244</f>
        <v>0.46981725599999891</v>
      </c>
      <c r="BA245" s="378">
        <f t="shared" si="276"/>
        <v>0.5259171454499949</v>
      </c>
      <c r="BB245" s="378">
        <f t="shared" si="276"/>
        <v>1.7602177434499993</v>
      </c>
      <c r="BC245" s="378">
        <f>BC240+BC244</f>
        <v>0.65740158331749399</v>
      </c>
      <c r="BD245" s="378">
        <f>BD240+BD244</f>
        <v>0.69382272366749476</v>
      </c>
      <c r="BE245" s="378">
        <f t="shared" ref="BE245:BG245" si="277">BE240+BE244</f>
        <v>0.83040199997999053</v>
      </c>
      <c r="BF245" s="378">
        <f t="shared" si="277"/>
        <v>0.92955855458286862</v>
      </c>
      <c r="BG245" s="378">
        <f t="shared" si="277"/>
        <v>3.1111848615478266</v>
      </c>
      <c r="BH245" s="378">
        <f>BH240+BH244</f>
        <v>0.9485365702152464</v>
      </c>
      <c r="BI245" s="378">
        <f>BI240+BI244</f>
        <v>1.0010870727202459</v>
      </c>
      <c r="BJ245" s="378">
        <f t="shared" ref="BJ245:BL245" si="278">BJ240+BJ244</f>
        <v>1.198151457113994</v>
      </c>
      <c r="BK245" s="378">
        <f t="shared" si="278"/>
        <v>1.3412202001838551</v>
      </c>
      <c r="BL245" s="378">
        <f t="shared" si="278"/>
        <v>4.4889953002333414</v>
      </c>
    </row>
    <row r="246" spans="1:64">
      <c r="A246" s="1" t="s">
        <v>1489</v>
      </c>
      <c r="J246" s="16"/>
      <c r="K246" s="16"/>
      <c r="L246" s="16"/>
      <c r="M246" s="16"/>
      <c r="N246" s="16"/>
      <c r="O246" s="16"/>
      <c r="P246" s="16"/>
      <c r="Q246" s="16"/>
      <c r="R246" s="16"/>
      <c r="S246" s="16"/>
      <c r="T246" s="16"/>
      <c r="U246" s="16"/>
      <c r="V246" s="16"/>
      <c r="W246" s="16"/>
      <c r="X246" s="16"/>
      <c r="Y246" s="16"/>
      <c r="Z246" s="16"/>
      <c r="AA246" s="16"/>
      <c r="AB246" s="16"/>
      <c r="AC246" s="16"/>
      <c r="AD246" s="16">
        <f t="shared" ref="AD246:BL246" si="279">AD245/AD216</f>
        <v>1.6759776536312849E-2</v>
      </c>
      <c r="AE246" s="16">
        <f t="shared" si="279"/>
        <v>-3.6458333333333336E-2</v>
      </c>
      <c r="AF246" s="16">
        <f t="shared" si="279"/>
        <v>7.1597051597051591</v>
      </c>
      <c r="AG246" s="16">
        <f t="shared" si="279"/>
        <v>3.8152610441767071E-2</v>
      </c>
      <c r="AH246" s="16">
        <f t="shared" si="279"/>
        <v>1.7759562841530052</v>
      </c>
      <c r="AI246" s="16">
        <f t="shared" si="279"/>
        <v>-6.0941828254847646E-2</v>
      </c>
      <c r="AJ246" s="16">
        <f t="shared" si="279"/>
        <v>5.774278215223097E-2</v>
      </c>
      <c r="AK246" s="16">
        <f t="shared" si="279"/>
        <v>-2.850877192982456E-2</v>
      </c>
      <c r="AL246" s="16">
        <f t="shared" si="279"/>
        <v>1.0236066216084004E-3</v>
      </c>
      <c r="AM246" s="16">
        <f t="shared" si="279"/>
        <v>-7.3034036699932475E-3</v>
      </c>
      <c r="AN246" s="16">
        <f t="shared" si="279"/>
        <v>-4.9999999999999862E-3</v>
      </c>
      <c r="AO246" s="16">
        <f t="shared" si="279"/>
        <v>-5.0000000000000209E-3</v>
      </c>
      <c r="AP246" s="16">
        <f t="shared" si="279"/>
        <v>-4.9999999999998561E-3</v>
      </c>
      <c r="AQ246" s="16">
        <f t="shared" si="279"/>
        <v>-4.9999999999999351E-3</v>
      </c>
      <c r="AR246" s="16">
        <f t="shared" si="279"/>
        <v>-4.9999999999999437E-3</v>
      </c>
      <c r="AS246" s="16">
        <f t="shared" si="279"/>
        <v>2.4999999999999758E-3</v>
      </c>
      <c r="AT246" s="16">
        <f t="shared" si="279"/>
        <v>2.5000000000000955E-3</v>
      </c>
      <c r="AU246" s="16">
        <f t="shared" si="279"/>
        <v>2.5000000000000317E-3</v>
      </c>
      <c r="AV246" s="16">
        <f t="shared" si="279"/>
        <v>2.4999999999999385E-3</v>
      </c>
      <c r="AW246" s="16">
        <f t="shared" si="279"/>
        <v>2.499999999999762E-3</v>
      </c>
      <c r="AX246" s="16">
        <f t="shared" si="279"/>
        <v>9.9999999999998493E-3</v>
      </c>
      <c r="AY246" s="16">
        <f t="shared" si="279"/>
        <v>9.9999999999999187E-3</v>
      </c>
      <c r="AZ246" s="16">
        <f t="shared" si="279"/>
        <v>9.9999999999999759E-3</v>
      </c>
      <c r="BA246" s="16">
        <f t="shared" si="279"/>
        <v>9.9999999999999048E-3</v>
      </c>
      <c r="BB246" s="16">
        <f t="shared" si="279"/>
        <v>9.999999999999995E-3</v>
      </c>
      <c r="BC246" s="16">
        <f t="shared" si="279"/>
        <v>1.7499999999999839E-2</v>
      </c>
      <c r="BD246" s="16">
        <f t="shared" si="279"/>
        <v>1.7499999999999866E-2</v>
      </c>
      <c r="BE246" s="16">
        <f t="shared" si="279"/>
        <v>1.74999999999998E-2</v>
      </c>
      <c r="BF246" s="16">
        <f t="shared" si="279"/>
        <v>1.749999999999988E-2</v>
      </c>
      <c r="BG246" s="16">
        <f t="shared" si="279"/>
        <v>1.7499999999999728E-2</v>
      </c>
      <c r="BH246" s="16">
        <f t="shared" si="279"/>
        <v>2.4999999999999901E-2</v>
      </c>
      <c r="BI246" s="16">
        <f t="shared" si="279"/>
        <v>2.4999999999999897E-2</v>
      </c>
      <c r="BJ246" s="16">
        <f t="shared" si="279"/>
        <v>2.499999999999987E-2</v>
      </c>
      <c r="BK246" s="16">
        <f t="shared" si="279"/>
        <v>2.4999999999999863E-2</v>
      </c>
      <c r="BL246" s="16">
        <f t="shared" si="279"/>
        <v>2.499999999999988E-2</v>
      </c>
    </row>
    <row r="247" spans="1:64">
      <c r="A247" s="1" t="s">
        <v>28</v>
      </c>
      <c r="O247" s="16"/>
      <c r="P247" s="16"/>
      <c r="Q247" s="16"/>
      <c r="R247" s="16"/>
      <c r="S247" s="16"/>
      <c r="T247" s="16"/>
      <c r="U247" s="16"/>
      <c r="V247" s="16"/>
      <c r="W247" s="16"/>
      <c r="X247" s="16"/>
      <c r="Y247" s="16"/>
      <c r="Z247" s="16"/>
      <c r="AA247" s="16"/>
      <c r="AB247" s="16"/>
      <c r="AC247" s="16"/>
      <c r="AD247" s="16">
        <f t="shared" ref="AD247:BL247" si="280">AD245/Y245-1</f>
        <v>-0.64705882352941169</v>
      </c>
      <c r="AE247" s="16">
        <f t="shared" si="280"/>
        <v>-2.0769230769230766</v>
      </c>
      <c r="AF247" s="16">
        <f t="shared" si="280"/>
        <v>-86.705882352941174</v>
      </c>
      <c r="AG247" s="16">
        <f t="shared" si="280"/>
        <v>-0.51282051282051277</v>
      </c>
      <c r="AH247" s="16">
        <f t="shared" si="280"/>
        <v>82.571428571428555</v>
      </c>
      <c r="AI247" s="16">
        <f t="shared" si="280"/>
        <v>-4.666666666666667</v>
      </c>
      <c r="AJ247" s="16">
        <f t="shared" si="280"/>
        <v>-2.5714285714285716</v>
      </c>
      <c r="AK247" s="16">
        <f t="shared" si="280"/>
        <v>-1.0044612216884008</v>
      </c>
      <c r="AL247" s="16">
        <f t="shared" si="280"/>
        <v>-0.97249999999999959</v>
      </c>
      <c r="AM247" s="16">
        <f t="shared" si="280"/>
        <v>-1.0042658119658119</v>
      </c>
      <c r="AN247" s="16">
        <f t="shared" si="280"/>
        <v>-0.91713409090909115</v>
      </c>
      <c r="AO247" s="16">
        <f t="shared" si="280"/>
        <v>-1.0874568181818185</v>
      </c>
      <c r="AP247" s="16">
        <f t="shared" si="280"/>
        <v>-0.82286153846154353</v>
      </c>
      <c r="AQ247" s="16">
        <f t="shared" si="280"/>
        <v>-5.9335358851673243</v>
      </c>
      <c r="AR247" s="16">
        <f t="shared" si="280"/>
        <v>-0.30854157483470823</v>
      </c>
      <c r="AS247" s="16">
        <f t="shared" si="280"/>
        <v>-1.5049999999999963</v>
      </c>
      <c r="AT247" s="16">
        <f t="shared" si="280"/>
        <v>-1.5050000000000172</v>
      </c>
      <c r="AU247" s="16">
        <f t="shared" si="280"/>
        <v>-1.505000000000021</v>
      </c>
      <c r="AV247" s="16">
        <f t="shared" si="280"/>
        <v>-1.5049999999999941</v>
      </c>
      <c r="AW247" s="16">
        <f t="shared" si="280"/>
        <v>-1.5049999999999575</v>
      </c>
      <c r="AX247" s="16">
        <f t="shared" si="280"/>
        <v>3.0399999999999787</v>
      </c>
      <c r="AY247" s="16">
        <f t="shared" si="280"/>
        <v>3.0399999999998126</v>
      </c>
      <c r="AZ247" s="16">
        <f t="shared" si="280"/>
        <v>3.0399999999999388</v>
      </c>
      <c r="BA247" s="16">
        <f t="shared" si="280"/>
        <v>3.0400000000000613</v>
      </c>
      <c r="BB247" s="16">
        <f t="shared" si="280"/>
        <v>3.0400000000003837</v>
      </c>
      <c r="BC247" s="16">
        <f t="shared" si="280"/>
        <v>0.76750000000001051</v>
      </c>
      <c r="BD247" s="16">
        <f t="shared" si="280"/>
        <v>0.76750000000000096</v>
      </c>
      <c r="BE247" s="16">
        <f t="shared" si="280"/>
        <v>0.76749999999998386</v>
      </c>
      <c r="BF247" s="16">
        <f t="shared" si="280"/>
        <v>0.76750000000000496</v>
      </c>
      <c r="BG247" s="16">
        <f t="shared" si="280"/>
        <v>0.7674999999999732</v>
      </c>
      <c r="BH247" s="16">
        <f t="shared" si="280"/>
        <v>0.44285714285715061</v>
      </c>
      <c r="BI247" s="16">
        <f t="shared" si="280"/>
        <v>0.44285714285714772</v>
      </c>
      <c r="BJ247" s="16">
        <f t="shared" si="280"/>
        <v>0.44285714285715194</v>
      </c>
      <c r="BK247" s="16">
        <f t="shared" si="280"/>
        <v>0.44285714285714484</v>
      </c>
      <c r="BL247" s="16">
        <f t="shared" si="280"/>
        <v>0.4428571428571586</v>
      </c>
    </row>
  </sheetData>
  <pageMargins left="0.7" right="0.7" top="0.75" bottom="0.75" header="0.3" footer="0.3"/>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2C8B5-5FB9-4D0D-A702-DC6A6484FA45}">
  <sheetPr codeName="Sheet24"/>
  <dimension ref="A1:BL78"/>
  <sheetViews>
    <sheetView zoomScale="90" zoomScaleNormal="90" workbookViewId="0">
      <pane xSplit="8" ySplit="2" topLeftCell="Z3" activePane="bottomRight" state="frozen"/>
      <selection pane="topRight" activeCell="I1" sqref="I1"/>
      <selection pane="bottomLeft" activeCell="A3" sqref="A3"/>
      <selection pane="bottomRight"/>
    </sheetView>
  </sheetViews>
  <sheetFormatPr defaultColWidth="9.140625" defaultRowHeight="12"/>
  <cols>
    <col min="1" max="16384" width="9.140625" style="1"/>
  </cols>
  <sheetData>
    <row r="1" spans="1:64" s="2" customFormat="1">
      <c r="A1" s="2" t="s">
        <v>85</v>
      </c>
      <c r="N1" s="18" t="s">
        <v>153</v>
      </c>
      <c r="S1" s="18" t="s">
        <v>149</v>
      </c>
      <c r="X1" s="18" t="s">
        <v>145</v>
      </c>
      <c r="AC1" s="18" t="s">
        <v>141</v>
      </c>
      <c r="AH1" s="18" t="s">
        <v>79</v>
      </c>
      <c r="AM1" s="18" t="s">
        <v>90</v>
      </c>
      <c r="AR1" s="18" t="s">
        <v>699</v>
      </c>
      <c r="AW1" s="18" t="s">
        <v>1180</v>
      </c>
      <c r="BB1" s="18" t="s">
        <v>1198</v>
      </c>
      <c r="BG1" s="18" t="s">
        <v>1209</v>
      </c>
      <c r="BL1" s="18" t="s">
        <v>1210</v>
      </c>
    </row>
    <row r="2" spans="1:64" s="2" customFormat="1">
      <c r="A2" s="2" t="s">
        <v>1390</v>
      </c>
      <c r="I2" s="6" t="s">
        <v>198</v>
      </c>
      <c r="J2" s="6" t="s">
        <v>163</v>
      </c>
      <c r="K2" s="6" t="s">
        <v>164</v>
      </c>
      <c r="L2" s="6" t="s">
        <v>165</v>
      </c>
      <c r="M2" s="6" t="s">
        <v>166</v>
      </c>
      <c r="N2" s="6" t="s">
        <v>167</v>
      </c>
      <c r="O2" s="6" t="s">
        <v>154</v>
      </c>
      <c r="P2" s="6" t="s">
        <v>155</v>
      </c>
      <c r="Q2" s="6" t="s">
        <v>156</v>
      </c>
      <c r="R2" s="6" t="s">
        <v>157</v>
      </c>
      <c r="S2" s="6" t="s">
        <v>158</v>
      </c>
      <c r="T2" s="6" t="s">
        <v>133</v>
      </c>
      <c r="U2" s="6" t="s">
        <v>134</v>
      </c>
      <c r="V2" s="6" t="s">
        <v>135</v>
      </c>
      <c r="W2" s="6" t="s">
        <v>136</v>
      </c>
      <c r="X2" s="6" t="s">
        <v>137</v>
      </c>
      <c r="Y2" s="6" t="s">
        <v>74</v>
      </c>
      <c r="Z2" s="6" t="s">
        <v>75</v>
      </c>
      <c r="AA2" s="6" t="s">
        <v>76</v>
      </c>
      <c r="AB2" s="6" t="s">
        <v>77</v>
      </c>
      <c r="AC2" s="6" t="s">
        <v>78</v>
      </c>
      <c r="AD2" s="6" t="s">
        <v>10</v>
      </c>
      <c r="AE2" s="6" t="s">
        <v>11</v>
      </c>
      <c r="AF2" s="6" t="s">
        <v>12</v>
      </c>
      <c r="AG2" s="6" t="s">
        <v>13</v>
      </c>
      <c r="AH2" s="6" t="s">
        <v>14</v>
      </c>
      <c r="AI2" s="6" t="s">
        <v>91</v>
      </c>
      <c r="AJ2" s="6" t="s">
        <v>92</v>
      </c>
      <c r="AK2" s="6" t="s">
        <v>93</v>
      </c>
      <c r="AL2" s="6" t="s">
        <v>1450</v>
      </c>
      <c r="AM2" s="6" t="s">
        <v>1451</v>
      </c>
      <c r="AN2" s="6" t="s">
        <v>1452</v>
      </c>
      <c r="AO2" s="6" t="s">
        <v>1453</v>
      </c>
      <c r="AP2" s="6" t="s">
        <v>1454</v>
      </c>
      <c r="AQ2" s="6" t="s">
        <v>1455</v>
      </c>
      <c r="AR2" s="6" t="s">
        <v>1456</v>
      </c>
      <c r="AS2" s="6" t="s">
        <v>1457</v>
      </c>
      <c r="AT2" s="6" t="s">
        <v>1458</v>
      </c>
      <c r="AU2" s="6" t="s">
        <v>1459</v>
      </c>
      <c r="AV2" s="6" t="s">
        <v>1460</v>
      </c>
      <c r="AW2" s="6" t="s">
        <v>1461</v>
      </c>
      <c r="AX2" s="6" t="s">
        <v>1462</v>
      </c>
      <c r="AY2" s="6" t="s">
        <v>1463</v>
      </c>
      <c r="AZ2" s="6" t="s">
        <v>1464</v>
      </c>
      <c r="BA2" s="6" t="s">
        <v>1465</v>
      </c>
      <c r="BB2" s="6" t="s">
        <v>1466</v>
      </c>
      <c r="BC2" s="6" t="s">
        <v>1467</v>
      </c>
      <c r="BD2" s="6" t="s">
        <v>1468</v>
      </c>
      <c r="BE2" s="6" t="s">
        <v>1469</v>
      </c>
      <c r="BF2" s="6" t="s">
        <v>1470</v>
      </c>
      <c r="BG2" s="6" t="s">
        <v>1471</v>
      </c>
      <c r="BH2" s="6" t="s">
        <v>1472</v>
      </c>
      <c r="BI2" s="6" t="s">
        <v>1473</v>
      </c>
      <c r="BJ2" s="6" t="s">
        <v>1474</v>
      </c>
      <c r="BK2" s="6" t="s">
        <v>1475</v>
      </c>
      <c r="BL2" s="6" t="s">
        <v>1476</v>
      </c>
    </row>
    <row r="4" spans="1:64" s="2" customFormat="1">
      <c r="A4" s="4" t="s">
        <v>1735</v>
      </c>
      <c r="T4" s="68" t="s">
        <v>1770</v>
      </c>
    </row>
    <row r="6" spans="1:64">
      <c r="A6" s="5" t="s">
        <v>1771</v>
      </c>
      <c r="I6" s="409">
        <v>1589.0050000000001</v>
      </c>
      <c r="J6" s="409">
        <v>400.46100000000001</v>
      </c>
      <c r="K6" s="409">
        <v>404.839</v>
      </c>
      <c r="L6" s="409">
        <v>408.75299999999999</v>
      </c>
      <c r="M6" s="409">
        <v>414.58699999999999</v>
      </c>
      <c r="N6" s="375">
        <f>SUM(J6:M6)</f>
        <v>1628.6399999999999</v>
      </c>
      <c r="O6" s="409">
        <v>423.33</v>
      </c>
      <c r="P6" s="409">
        <v>424.85500000000002</v>
      </c>
      <c r="Q6" s="409">
        <v>426.42500000000001</v>
      </c>
      <c r="R6" s="409">
        <v>402.18700000000001</v>
      </c>
      <c r="S6" s="375">
        <f>SUM(O6:R6)</f>
        <v>1676.797</v>
      </c>
      <c r="T6" s="409">
        <v>412</v>
      </c>
      <c r="U6" s="409">
        <v>434.5</v>
      </c>
      <c r="V6" s="409">
        <v>420.2</v>
      </c>
      <c r="W6" s="409">
        <v>410.8</v>
      </c>
      <c r="X6" s="375">
        <f>SUM(T6:W6)</f>
        <v>1677.5</v>
      </c>
      <c r="Y6" s="409">
        <v>408.1</v>
      </c>
      <c r="Z6" s="409">
        <v>403.8</v>
      </c>
      <c r="AA6" s="409">
        <v>399.9</v>
      </c>
      <c r="AB6" s="409">
        <v>396.3</v>
      </c>
      <c r="AC6" s="375">
        <f>SUM(Y6:AB6)</f>
        <v>1608.1000000000001</v>
      </c>
      <c r="AD6" s="409">
        <v>390.4</v>
      </c>
      <c r="AE6" s="409">
        <v>392.5</v>
      </c>
      <c r="AF6" s="409">
        <v>372.3</v>
      </c>
      <c r="AG6" s="409">
        <v>358.3</v>
      </c>
      <c r="AH6" s="375">
        <f>SUM(AD6:AG6)</f>
        <v>1513.5</v>
      </c>
      <c r="AI6" s="409">
        <v>384.6</v>
      </c>
      <c r="AJ6" s="409">
        <v>392</v>
      </c>
      <c r="AK6" s="409">
        <v>374.8</v>
      </c>
      <c r="AL6" s="375">
        <f>AL17*AL8</f>
        <v>360.89513121926558</v>
      </c>
      <c r="AM6" s="375">
        <f>SUM(AI6:AL6)</f>
        <v>1512.2951312192656</v>
      </c>
      <c r="AN6" s="375">
        <f>AN17*AN8</f>
        <v>384.00744583734195</v>
      </c>
      <c r="AO6" s="375">
        <f>AO17*AO8</f>
        <v>390.43774114992925</v>
      </c>
      <c r="AP6" s="375">
        <f>AP17*AP8</f>
        <v>373.14521044135256</v>
      </c>
      <c r="AQ6" s="375">
        <f>AQ17*AQ8</f>
        <v>358.64036923009024</v>
      </c>
      <c r="AR6" s="375">
        <f>SUM(AN6:AQ6)</f>
        <v>1506.2307666587142</v>
      </c>
      <c r="AS6" s="375">
        <f>AS17*AS8</f>
        <v>382.13751974370103</v>
      </c>
      <c r="AT6" s="375">
        <f>AT17*AT8</f>
        <v>387.66651750752067</v>
      </c>
      <c r="AU6" s="375">
        <f>AU17*AU8</f>
        <v>370.32692866445905</v>
      </c>
      <c r="AV6" s="375">
        <f>AV17*AV8</f>
        <v>355.31493288120828</v>
      </c>
      <c r="AW6" s="375">
        <f>SUM(AS6:AV6)</f>
        <v>1495.445898796889</v>
      </c>
      <c r="AX6" s="375">
        <f>AX17*AX8</f>
        <v>379.91126854474913</v>
      </c>
      <c r="AY6" s="375">
        <f>AY17*AY8</f>
        <v>384.82438050635324</v>
      </c>
      <c r="AZ6" s="375">
        <f>AZ17*AZ8</f>
        <v>367.59391913357581</v>
      </c>
      <c r="BA6" s="375">
        <f>BA17*BA8</f>
        <v>352.34096037771076</v>
      </c>
      <c r="BB6" s="375">
        <f>SUM(AX6:BA6)</f>
        <v>1484.6705285623889</v>
      </c>
      <c r="BC6" s="375">
        <f>BC17*BC8</f>
        <v>377.89972773656166</v>
      </c>
      <c r="BD6" s="375">
        <f>BD17*BD8</f>
        <v>382.3691279599779</v>
      </c>
      <c r="BE6" s="375">
        <f>BE17*BE8</f>
        <v>365.38637400865719</v>
      </c>
      <c r="BF6" s="375">
        <f>BF17*BF8</f>
        <v>350.07112636138896</v>
      </c>
      <c r="BG6" s="375">
        <f>SUM(BC6:BF6)</f>
        <v>1475.7263560665856</v>
      </c>
      <c r="BH6" s="375">
        <f>BH17*BH8</f>
        <v>374.67792154891612</v>
      </c>
      <c r="BI6" s="375">
        <f>BI17*BI8</f>
        <v>378.81018564873852</v>
      </c>
      <c r="BJ6" s="375">
        <f>BJ17*BJ8</f>
        <v>362.16819162702552</v>
      </c>
      <c r="BK6" s="375">
        <f>BK17*BK8</f>
        <v>346.93275479029245</v>
      </c>
      <c r="BL6" s="375">
        <f>SUM(BH6:BK6)</f>
        <v>1462.5890536149725</v>
      </c>
    </row>
    <row r="7" spans="1:64">
      <c r="A7" s="5" t="s">
        <v>1772</v>
      </c>
      <c r="I7" s="409">
        <v>264.53800000000001</v>
      </c>
      <c r="J7" s="409">
        <v>65.192999999999998</v>
      </c>
      <c r="K7" s="409">
        <v>65.460999999999999</v>
      </c>
      <c r="L7" s="409">
        <v>67.591999999999999</v>
      </c>
      <c r="M7" s="409">
        <v>69.850999999999999</v>
      </c>
      <c r="N7" s="375">
        <f>SUM(J7:M7)</f>
        <v>268.09699999999998</v>
      </c>
      <c r="O7" s="409">
        <v>67.826999999999998</v>
      </c>
      <c r="P7" s="409">
        <v>70.287999999999997</v>
      </c>
      <c r="Q7" s="409">
        <v>67.91</v>
      </c>
      <c r="R7" s="409">
        <v>69.046999999999997</v>
      </c>
      <c r="S7" s="375">
        <f>SUM(O7:R7)</f>
        <v>275.072</v>
      </c>
      <c r="T7" s="409">
        <v>71.900000000000006</v>
      </c>
      <c r="U7" s="409">
        <v>76.3</v>
      </c>
      <c r="V7" s="409">
        <v>78.900000000000006</v>
      </c>
      <c r="W7" s="409">
        <v>78.400000000000006</v>
      </c>
      <c r="X7" s="375">
        <f>SUM(T7:W7)</f>
        <v>305.5</v>
      </c>
      <c r="Y7" s="409">
        <v>77.599999999999994</v>
      </c>
      <c r="Z7" s="409">
        <v>78.7</v>
      </c>
      <c r="AA7" s="409">
        <v>76.7</v>
      </c>
      <c r="AB7" s="409">
        <v>80.2</v>
      </c>
      <c r="AC7" s="375">
        <f>SUM(Y7:AB7)</f>
        <v>313.2</v>
      </c>
      <c r="AD7" s="409">
        <v>77.3</v>
      </c>
      <c r="AE7" s="409">
        <v>78.599999999999994</v>
      </c>
      <c r="AF7" s="409">
        <v>81.599999999999994</v>
      </c>
      <c r="AG7" s="409">
        <v>82.6</v>
      </c>
      <c r="AH7" s="375">
        <f>SUM(AD7:AG7)</f>
        <v>320.09999999999997</v>
      </c>
      <c r="AI7" s="409">
        <v>78.099999999999994</v>
      </c>
      <c r="AJ7" s="409">
        <v>81.3</v>
      </c>
      <c r="AK7" s="409">
        <v>82.4</v>
      </c>
      <c r="AL7" s="375">
        <f>AL18*AL8</f>
        <v>82.044607940734423</v>
      </c>
      <c r="AM7" s="375">
        <f>SUM(AI7:AL7)</f>
        <v>323.84460794073442</v>
      </c>
      <c r="AN7" s="375">
        <f>AN18*AN8</f>
        <v>79.373367852658092</v>
      </c>
      <c r="AO7" s="375">
        <f>AO18*AO8</f>
        <v>82.403258848820826</v>
      </c>
      <c r="AP7" s="375">
        <f>AP18*AP8</f>
        <v>83.428573038647542</v>
      </c>
      <c r="AQ7" s="375">
        <f>AQ18*AQ8</f>
        <v>82.886774278684726</v>
      </c>
      <c r="AR7" s="375">
        <f>SUM(AN7:AQ7)</f>
        <v>328.09197401881113</v>
      </c>
      <c r="AS7" s="375">
        <f>AS18*AS8</f>
        <v>80.382162184409026</v>
      </c>
      <c r="AT7" s="375">
        <f>AT18*AT8</f>
        <v>83.244127332590651</v>
      </c>
      <c r="AU7" s="375">
        <f>AU18*AU8</f>
        <v>84.188799027361057</v>
      </c>
      <c r="AV7" s="375">
        <f>AV18*AV8</f>
        <v>83.468701293647271</v>
      </c>
      <c r="AW7" s="375">
        <f>SUM(AS7:AV7)</f>
        <v>331.28378983800803</v>
      </c>
      <c r="AX7" s="375">
        <f>AX18*AX8</f>
        <v>81.309467846612051</v>
      </c>
      <c r="AY7" s="375">
        <f>AY18*AY8</f>
        <v>84.057746081689785</v>
      </c>
      <c r="AZ7" s="375">
        <f>AZ18*AZ8</f>
        <v>84.95606411194106</v>
      </c>
      <c r="BA7" s="375">
        <f>BA18*BA8</f>
        <v>84.117543990359877</v>
      </c>
      <c r="BB7" s="375">
        <f>SUM(AX7:BA7)</f>
        <v>334.44082203060282</v>
      </c>
      <c r="BC7" s="375">
        <f>BC18*BC8</f>
        <v>82.275611099900502</v>
      </c>
      <c r="BD7" s="375">
        <f>BD18*BD8</f>
        <v>84.944917036000319</v>
      </c>
      <c r="BE7" s="375">
        <f>BE18*BE8</f>
        <v>85.834630876867521</v>
      </c>
      <c r="BF7" s="375">
        <f>BF18*BF8</f>
        <v>84.92275575162617</v>
      </c>
      <c r="BG7" s="375">
        <f>SUM(BC7:BF7)</f>
        <v>337.97791476439454</v>
      </c>
      <c r="BH7" s="375">
        <f>BH18*BH8</f>
        <v>82.967372972328505</v>
      </c>
      <c r="BI7" s="375">
        <f>BI18*BI8</f>
        <v>85.573153115319499</v>
      </c>
      <c r="BJ7" s="375">
        <f>BJ18*BJ8</f>
        <v>86.463687782530641</v>
      </c>
      <c r="BK7" s="375">
        <f>BK18*BK8</f>
        <v>85.504780454137546</v>
      </c>
      <c r="BL7" s="375">
        <f>SUM(BH7:BK7)</f>
        <v>340.50899432431618</v>
      </c>
    </row>
    <row r="8" spans="1:64">
      <c r="A8" s="9" t="s">
        <v>1773</v>
      </c>
      <c r="B8" s="9"/>
      <c r="C8" s="9"/>
      <c r="D8" s="9"/>
      <c r="E8" s="9"/>
      <c r="F8" s="9"/>
      <c r="G8" s="9"/>
      <c r="H8" s="9"/>
      <c r="I8" s="15">
        <f>SUM(I6:I7)</f>
        <v>1853.5430000000001</v>
      </c>
      <c r="J8" s="15">
        <f>SUM(J6:J7)</f>
        <v>465.654</v>
      </c>
      <c r="K8" s="15">
        <f>SUM(K6:K7)</f>
        <v>470.3</v>
      </c>
      <c r="L8" s="15">
        <f>SUM(L6:L7)</f>
        <v>476.34499999999997</v>
      </c>
      <c r="M8" s="15">
        <f>SUM(M6:M7)</f>
        <v>484.43799999999999</v>
      </c>
      <c r="N8" s="378">
        <f>SUM(J8:M8)</f>
        <v>1896.7370000000001</v>
      </c>
      <c r="O8" s="15">
        <f>SUM(O6:O7)</f>
        <v>491.15699999999998</v>
      </c>
      <c r="P8" s="15">
        <f>SUM(P6:P7)</f>
        <v>495.14300000000003</v>
      </c>
      <c r="Q8" s="15">
        <f>SUM(Q6:Q7)</f>
        <v>494.33500000000004</v>
      </c>
      <c r="R8" s="15">
        <f>SUM(R6:R7)</f>
        <v>471.23400000000004</v>
      </c>
      <c r="S8" s="378">
        <f>SUM(O8:R8)</f>
        <v>1951.8690000000001</v>
      </c>
      <c r="T8" s="15">
        <f>SUM(T6:T7)</f>
        <v>483.9</v>
      </c>
      <c r="U8" s="15">
        <f>SUM(U6:U7)</f>
        <v>510.8</v>
      </c>
      <c r="V8" s="15">
        <f>SUM(V6:V7)</f>
        <v>499.1</v>
      </c>
      <c r="W8" s="15">
        <f>SUM(W6:W7)</f>
        <v>489.20000000000005</v>
      </c>
      <c r="X8" s="378">
        <f>SUM(T8:W8)</f>
        <v>1983.0000000000002</v>
      </c>
      <c r="Y8" s="15">
        <f>SUM(Y6:Y7)</f>
        <v>485.70000000000005</v>
      </c>
      <c r="Z8" s="15">
        <f>SUM(Z6:Z7)</f>
        <v>482.5</v>
      </c>
      <c r="AA8" s="15">
        <f>SUM(AA6:AA7)</f>
        <v>476.59999999999997</v>
      </c>
      <c r="AB8" s="15">
        <f>SUM(AB6:AB7)</f>
        <v>476.5</v>
      </c>
      <c r="AC8" s="378">
        <f>SUM(Y8:AB8)</f>
        <v>1921.3</v>
      </c>
      <c r="AD8" s="15">
        <f>SUM(AD6:AD7)</f>
        <v>467.7</v>
      </c>
      <c r="AE8" s="15">
        <f>SUM(AE6:AE7)</f>
        <v>471.1</v>
      </c>
      <c r="AF8" s="15">
        <f>SUM(AF6:AF7)</f>
        <v>453.9</v>
      </c>
      <c r="AG8" s="15">
        <f>SUM(AG6:AG7)</f>
        <v>440.9</v>
      </c>
      <c r="AH8" s="378">
        <f>SUM(AD8:AG8)</f>
        <v>1833.6</v>
      </c>
      <c r="AI8" s="15">
        <f>SUM(AI6:AI7)</f>
        <v>462.70000000000005</v>
      </c>
      <c r="AJ8" s="15">
        <f>SUM(AJ6:AJ7)</f>
        <v>473.3</v>
      </c>
      <c r="AK8" s="15">
        <f>SUM(AK6:AK7)</f>
        <v>457.20000000000005</v>
      </c>
      <c r="AL8" s="15">
        <f>AL24</f>
        <v>442.93973915999999</v>
      </c>
      <c r="AM8" s="15">
        <f>AM24</f>
        <v>1836.1397391600001</v>
      </c>
      <c r="AN8" s="15">
        <f t="shared" ref="AN8:AQ8" si="0">AN24</f>
        <v>463.38081369000002</v>
      </c>
      <c r="AO8" s="15">
        <f t="shared" si="0"/>
        <v>472.84099999875008</v>
      </c>
      <c r="AP8" s="15">
        <f t="shared" si="0"/>
        <v>456.57378348000009</v>
      </c>
      <c r="AQ8" s="15">
        <f t="shared" si="0"/>
        <v>441.527143508775</v>
      </c>
      <c r="AR8" s="15">
        <f>AR24</f>
        <v>1834.3227406775252</v>
      </c>
      <c r="AS8" s="15">
        <f t="shared" ref="AS8:AV8" si="1">AS24</f>
        <v>462.51968192811006</v>
      </c>
      <c r="AT8" s="15">
        <f t="shared" si="1"/>
        <v>470.91064484011133</v>
      </c>
      <c r="AU8" s="15">
        <f t="shared" si="1"/>
        <v>454.51572769182008</v>
      </c>
      <c r="AV8" s="15">
        <f t="shared" si="1"/>
        <v>438.78363417485554</v>
      </c>
      <c r="AW8" s="15">
        <f>AW24</f>
        <v>1826.729688634897</v>
      </c>
      <c r="AX8" s="15">
        <f t="shared" ref="AX8:BA8" si="2">AX24</f>
        <v>461.22073639136119</v>
      </c>
      <c r="AY8" s="15">
        <f t="shared" si="2"/>
        <v>468.88212658804304</v>
      </c>
      <c r="AZ8" s="15">
        <f t="shared" si="2"/>
        <v>452.54998324551684</v>
      </c>
      <c r="BA8" s="15">
        <f t="shared" si="2"/>
        <v>436.45850436807063</v>
      </c>
      <c r="BB8" s="15">
        <f>BB24</f>
        <v>1819.1113505929916</v>
      </c>
      <c r="BC8" s="15">
        <f t="shared" ref="BC8:BF8" si="3">BC24</f>
        <v>460.17533883646217</v>
      </c>
      <c r="BD8" s="15">
        <f t="shared" si="3"/>
        <v>467.31404499597824</v>
      </c>
      <c r="BE8" s="15">
        <f t="shared" si="3"/>
        <v>451.22100488552468</v>
      </c>
      <c r="BF8" s="15">
        <f t="shared" si="3"/>
        <v>434.99388211301516</v>
      </c>
      <c r="BG8" s="15">
        <f>BG24</f>
        <v>1813.7042708309805</v>
      </c>
      <c r="BH8" s="15">
        <f t="shared" ref="BH8:BK8" si="4">BH24</f>
        <v>457.64529452124464</v>
      </c>
      <c r="BI8" s="15">
        <f t="shared" si="4"/>
        <v>464.38333876405801</v>
      </c>
      <c r="BJ8" s="15">
        <f t="shared" si="4"/>
        <v>448.63187940955618</v>
      </c>
      <c r="BK8" s="15">
        <f t="shared" si="4"/>
        <v>432.43753524443002</v>
      </c>
      <c r="BL8" s="15">
        <f>BL24</f>
        <v>1803.0980479392888</v>
      </c>
    </row>
    <row r="9" spans="1:64">
      <c r="A9" s="1" t="s">
        <v>1774</v>
      </c>
      <c r="I9" s="410">
        <f>I8/'FP SoftBank Corp.'!$I$4</f>
        <v>11.958341935483872</v>
      </c>
      <c r="J9" s="410">
        <f>J8/'FP SoftBank Corp.'!$I$4</f>
        <v>3.0042193548387095</v>
      </c>
      <c r="K9" s="410">
        <f>K8/'FP SoftBank Corp.'!$I$4</f>
        <v>3.0341935483870968</v>
      </c>
      <c r="L9" s="410">
        <f>L8/'FP SoftBank Corp.'!$I$4</f>
        <v>3.0731935483870965</v>
      </c>
      <c r="M9" s="410">
        <f>M8/'FP SoftBank Corp.'!$I$4</f>
        <v>3.125406451612903</v>
      </c>
      <c r="N9" s="410">
        <f>N8/'FP SoftBank Corp.'!$I$4</f>
        <v>12.237012903225807</v>
      </c>
      <c r="O9" s="410">
        <f>O8/'FP SoftBank Corp.'!$I$4</f>
        <v>3.1687548387096771</v>
      </c>
      <c r="P9" s="410">
        <f>P8/'FP SoftBank Corp.'!$I$4</f>
        <v>3.1944709677419358</v>
      </c>
      <c r="Q9" s="410">
        <f>Q8/'FP SoftBank Corp.'!$I$4</f>
        <v>3.1892580645161295</v>
      </c>
      <c r="R9" s="410">
        <f>R8/'FP SoftBank Corp.'!$I$4</f>
        <v>3.04021935483871</v>
      </c>
      <c r="S9" s="410">
        <f>S8/'FP SoftBank Corp.'!$I$4</f>
        <v>12.592703225806453</v>
      </c>
      <c r="T9" s="410">
        <f>T8/'FP SoftBank Corp.'!$I$4</f>
        <v>3.1219354838709674</v>
      </c>
      <c r="U9" s="410">
        <f>U8/'FP SoftBank Corp.'!$I$4</f>
        <v>3.2954838709677419</v>
      </c>
      <c r="V9" s="410">
        <f>V8/'FP SoftBank Corp.'!$I$4</f>
        <v>3.22</v>
      </c>
      <c r="W9" s="410">
        <f>W8/'FP SoftBank Corp.'!$I$4</f>
        <v>3.1561290322580646</v>
      </c>
      <c r="X9" s="410">
        <f>X8/'FP SoftBank Corp.'!$I$4</f>
        <v>12.793548387096775</v>
      </c>
      <c r="Y9" s="410">
        <f>Y8/'FP SoftBank Corp.'!$I$4</f>
        <v>3.1335483870967744</v>
      </c>
      <c r="Z9" s="410">
        <f>Z8/'FP SoftBank Corp.'!$I$4</f>
        <v>3.1129032258064515</v>
      </c>
      <c r="AA9" s="410">
        <f>AA8/'FP SoftBank Corp.'!$I$4</f>
        <v>3.0748387096774192</v>
      </c>
      <c r="AB9" s="410">
        <f>AB8/'FP SoftBank Corp.'!$I$4</f>
        <v>3.0741935483870968</v>
      </c>
      <c r="AC9" s="410">
        <f>AC8/'FP SoftBank Corp.'!$I$4</f>
        <v>12.395483870967741</v>
      </c>
      <c r="AD9" s="410">
        <f>AD8/'FP SoftBank Corp.'!$I$4</f>
        <v>3.0174193548387098</v>
      </c>
      <c r="AE9" s="410">
        <f>AE8/'FP SoftBank Corp.'!$I$4</f>
        <v>3.0393548387096776</v>
      </c>
      <c r="AF9" s="410">
        <f>AF8/'FP SoftBank Corp.'!$I$4</f>
        <v>2.9283870967741934</v>
      </c>
      <c r="AG9" s="410">
        <f>AG8/'FP SoftBank Corp.'!$I$4</f>
        <v>2.8445161290322578</v>
      </c>
      <c r="AH9" s="410">
        <f>AH8/'FP SoftBank Corp.'!$I$4</f>
        <v>11.829677419354837</v>
      </c>
      <c r="AI9" s="410">
        <f>AI8/'FP SoftBank Corp.'!$I$4</f>
        <v>2.9851612903225808</v>
      </c>
      <c r="AJ9" s="410">
        <f>AJ8/'FP SoftBank Corp.'!$I$4</f>
        <v>3.0535483870967743</v>
      </c>
      <c r="AK9" s="410">
        <f>AK8/'FP SoftBank Corp.'!$I$4</f>
        <v>2.9496774193548392</v>
      </c>
      <c r="AL9" s="410">
        <f>AL8/'FP SoftBank Corp.'!$I$4</f>
        <v>2.8576757365161289</v>
      </c>
      <c r="AM9" s="410">
        <f>AM8/'FP SoftBank Corp.'!$I$4</f>
        <v>11.846062833290324</v>
      </c>
      <c r="AN9" s="410">
        <f>AN8/'FP SoftBank Corp.'!$I$4</f>
        <v>2.9895536367096778</v>
      </c>
      <c r="AO9" s="410">
        <f>AO8/'FP SoftBank Corp.'!$I$4</f>
        <v>3.0505870967661295</v>
      </c>
      <c r="AP9" s="410">
        <f>AP8/'FP SoftBank Corp.'!$I$4</f>
        <v>2.9456373127741942</v>
      </c>
      <c r="AQ9" s="410">
        <f>AQ8/'FP SoftBank Corp.'!$I$4</f>
        <v>2.8485622161856452</v>
      </c>
      <c r="AR9" s="410">
        <f>AR8/'FP SoftBank Corp.'!$I$4</f>
        <v>11.834340262435646</v>
      </c>
      <c r="AS9" s="410">
        <f>AS8/'FP SoftBank Corp.'!$I$4</f>
        <v>2.9839979479232905</v>
      </c>
      <c r="AT9" s="410">
        <f>AT8/'FP SoftBank Corp.'!$I$4</f>
        <v>3.0381331925168471</v>
      </c>
      <c r="AU9" s="410">
        <f>AU8/'FP SoftBank Corp.'!$I$4</f>
        <v>2.9323595334956134</v>
      </c>
      <c r="AV9" s="410">
        <f>AV8/'FP SoftBank Corp.'!$I$4</f>
        <v>2.8308621559668099</v>
      </c>
      <c r="AW9" s="410">
        <f>AW8/'FP SoftBank Corp.'!$I$4</f>
        <v>11.785352829902561</v>
      </c>
      <c r="AX9" s="410">
        <f>AX8/'FP SoftBank Corp.'!$I$4</f>
        <v>2.9756176541378143</v>
      </c>
      <c r="AY9" s="410">
        <f>AY8/'FP SoftBank Corp.'!$I$4</f>
        <v>3.0250459779873746</v>
      </c>
      <c r="AZ9" s="410">
        <f>AZ8/'FP SoftBank Corp.'!$I$4</f>
        <v>2.919677311261399</v>
      </c>
      <c r="BA9" s="410">
        <f>BA8/'FP SoftBank Corp.'!$I$4</f>
        <v>2.8158613185036816</v>
      </c>
      <c r="BB9" s="410">
        <f>BB8/'FP SoftBank Corp.'!$I$4</f>
        <v>11.736202261890268</v>
      </c>
      <c r="BC9" s="410">
        <f>BC8/'FP SoftBank Corp.'!$I$4</f>
        <v>2.968873153783627</v>
      </c>
      <c r="BD9" s="410">
        <f>BD8/'FP SoftBank Corp.'!$I$4</f>
        <v>3.0149293225546985</v>
      </c>
      <c r="BE9" s="410">
        <f>BE8/'FP SoftBank Corp.'!$I$4</f>
        <v>2.9111032573259656</v>
      </c>
      <c r="BF9" s="410">
        <f>BF8/'FP SoftBank Corp.'!$I$4</f>
        <v>2.8064121426646138</v>
      </c>
      <c r="BG9" s="410">
        <f>BG8/'FP SoftBank Corp.'!$I$4</f>
        <v>11.701317876328906</v>
      </c>
      <c r="BH9" s="410">
        <f>BH8/'FP SoftBank Corp.'!$I$4</f>
        <v>2.9525502872338363</v>
      </c>
      <c r="BI9" s="410">
        <f>BI8/'FP SoftBank Corp.'!$I$4</f>
        <v>2.9960215404132775</v>
      </c>
      <c r="BJ9" s="410">
        <f>BJ8/'FP SoftBank Corp.'!$I$4</f>
        <v>2.8943992219971366</v>
      </c>
      <c r="BK9" s="410">
        <f>BK8/'FP SoftBank Corp.'!$I$4</f>
        <v>2.789919582222129</v>
      </c>
      <c r="BL9" s="410">
        <f>BL8/'FP SoftBank Corp.'!$I$4</f>
        <v>11.632890631866379</v>
      </c>
    </row>
    <row r="11" spans="1:64">
      <c r="A11" s="3" t="s">
        <v>1663</v>
      </c>
    </row>
    <row r="12" spans="1:64">
      <c r="A12" s="5" t="s">
        <v>1771</v>
      </c>
      <c r="J12" s="16"/>
      <c r="K12" s="16"/>
      <c r="L12" s="16"/>
      <c r="M12" s="16"/>
      <c r="N12" s="16">
        <f t="shared" ref="N12:BL14" si="5">N6/I6-1</f>
        <v>2.4943282116796306E-2</v>
      </c>
      <c r="O12" s="16">
        <f t="shared" si="5"/>
        <v>5.7106684546060604E-2</v>
      </c>
      <c r="P12" s="16">
        <f t="shared" si="5"/>
        <v>4.9441876894271708E-2</v>
      </c>
      <c r="Q12" s="16">
        <f t="shared" si="5"/>
        <v>4.3233933451253037E-2</v>
      </c>
      <c r="R12" s="16">
        <f t="shared" si="5"/>
        <v>-2.9909283214379578E-2</v>
      </c>
      <c r="S12" s="16">
        <f t="shared" si="5"/>
        <v>2.9568842715394617E-2</v>
      </c>
      <c r="T12" s="16">
        <f t="shared" si="5"/>
        <v>-2.676399026763987E-2</v>
      </c>
      <c r="U12" s="16">
        <f t="shared" si="5"/>
        <v>2.2701862988548926E-2</v>
      </c>
      <c r="V12" s="16">
        <f t="shared" si="5"/>
        <v>-1.459811221199514E-2</v>
      </c>
      <c r="W12" s="16">
        <f t="shared" si="5"/>
        <v>2.1415411239050552E-2</v>
      </c>
      <c r="X12" s="16">
        <f t="shared" si="5"/>
        <v>4.1925170429091274E-4</v>
      </c>
      <c r="Y12" s="16">
        <f t="shared" si="5"/>
        <v>-9.4660194174757128E-3</v>
      </c>
      <c r="Z12" s="16">
        <f t="shared" si="5"/>
        <v>-7.0655926352128806E-2</v>
      </c>
      <c r="AA12" s="16">
        <f t="shared" si="5"/>
        <v>-4.831032841504046E-2</v>
      </c>
      <c r="AB12" s="16">
        <f t="shared" si="5"/>
        <v>-3.5296981499513103E-2</v>
      </c>
      <c r="AC12" s="16">
        <f t="shared" si="5"/>
        <v>-4.1371087928464889E-2</v>
      </c>
      <c r="AD12" s="16">
        <f t="shared" si="5"/>
        <v>-4.3371722617005726E-2</v>
      </c>
      <c r="AE12" s="16">
        <f t="shared" si="5"/>
        <v>-2.7984150569588917E-2</v>
      </c>
      <c r="AF12" s="16">
        <f t="shared" si="5"/>
        <v>-6.9017254313578302E-2</v>
      </c>
      <c r="AG12" s="16">
        <f t="shared" si="5"/>
        <v>-9.5886954327529694E-2</v>
      </c>
      <c r="AH12" s="16">
        <f t="shared" si="5"/>
        <v>-5.8827187363969968E-2</v>
      </c>
      <c r="AI12" s="16">
        <f t="shared" si="5"/>
        <v>-1.4856557377049051E-2</v>
      </c>
      <c r="AJ12" s="16">
        <f t="shared" si="5"/>
        <v>-1.2738853503184711E-3</v>
      </c>
      <c r="AK12" s="16">
        <f t="shared" si="5"/>
        <v>6.7150147730326015E-3</v>
      </c>
      <c r="AL12" s="16">
        <f t="shared" si="5"/>
        <v>7.2429004165939226E-3</v>
      </c>
      <c r="AM12" s="16">
        <f t="shared" si="5"/>
        <v>-7.9608112370954665E-4</v>
      </c>
      <c r="AN12" s="16">
        <f t="shared" si="5"/>
        <v>-1.5407024510090128E-3</v>
      </c>
      <c r="AO12" s="16">
        <f t="shared" si="5"/>
        <v>-3.9853542093641892E-3</v>
      </c>
      <c r="AP12" s="16">
        <f t="shared" si="5"/>
        <v>-4.4151268907349772E-3</v>
      </c>
      <c r="AQ12" s="16">
        <f t="shared" si="5"/>
        <v>-6.2476930114233609E-3</v>
      </c>
      <c r="AR12" s="16">
        <f t="shared" si="5"/>
        <v>-4.0100403918262861E-3</v>
      </c>
      <c r="AS12" s="16">
        <f t="shared" si="5"/>
        <v>-4.8695047815113801E-3</v>
      </c>
      <c r="AT12" s="16">
        <f t="shared" si="5"/>
        <v>-7.097735055649812E-3</v>
      </c>
      <c r="AU12" s="16">
        <f t="shared" si="5"/>
        <v>-7.5527748930773742E-3</v>
      </c>
      <c r="AV12" s="16">
        <f t="shared" si="5"/>
        <v>-9.2723425308222085E-3</v>
      </c>
      <c r="AW12" s="16">
        <f t="shared" si="5"/>
        <v>-7.1601696768878176E-3</v>
      </c>
      <c r="AX12" s="16">
        <f t="shared" si="5"/>
        <v>-5.8257854409193843E-3</v>
      </c>
      <c r="AY12" s="16">
        <f t="shared" si="5"/>
        <v>-7.3313966329637825E-3</v>
      </c>
      <c r="AZ12" s="16">
        <f t="shared" si="5"/>
        <v>-7.3799913518023397E-3</v>
      </c>
      <c r="BA12" s="16">
        <f t="shared" si="5"/>
        <v>-8.3699620485463422E-3</v>
      </c>
      <c r="BB12" s="16">
        <f t="shared" si="5"/>
        <v>-7.2054564081315275E-3</v>
      </c>
      <c r="BC12" s="16">
        <f t="shared" si="5"/>
        <v>-5.2947647904540984E-3</v>
      </c>
      <c r="BD12" s="16">
        <f t="shared" si="5"/>
        <v>-6.3801896936589442E-3</v>
      </c>
      <c r="BE12" s="16">
        <f t="shared" si="5"/>
        <v>-6.0053907586987698E-3</v>
      </c>
      <c r="BF12" s="16">
        <f t="shared" si="5"/>
        <v>-6.4421519822405182E-3</v>
      </c>
      <c r="BG12" s="16">
        <f t="shared" si="5"/>
        <v>-6.0243483814984566E-3</v>
      </c>
      <c r="BH12" s="16">
        <f t="shared" si="5"/>
        <v>-8.5255583721708383E-3</v>
      </c>
      <c r="BI12" s="16">
        <f t="shared" si="5"/>
        <v>-9.3076089333548051E-3</v>
      </c>
      <c r="BJ12" s="16">
        <f t="shared" si="5"/>
        <v>-8.8076146527440446E-3</v>
      </c>
      <c r="BK12" s="16">
        <f t="shared" si="5"/>
        <v>-8.9649540758087731E-3</v>
      </c>
      <c r="BL12" s="16">
        <f t="shared" si="5"/>
        <v>-8.9022618574282619E-3</v>
      </c>
    </row>
    <row r="13" spans="1:64">
      <c r="A13" s="5" t="s">
        <v>1772</v>
      </c>
      <c r="J13" s="16"/>
      <c r="K13" s="16"/>
      <c r="L13" s="16"/>
      <c r="M13" s="16"/>
      <c r="N13" s="16">
        <f t="shared" si="5"/>
        <v>1.3453643710922281E-2</v>
      </c>
      <c r="O13" s="16">
        <f t="shared" si="5"/>
        <v>4.0403110763425509E-2</v>
      </c>
      <c r="P13" s="16">
        <f t="shared" si="5"/>
        <v>7.3738561891813381E-2</v>
      </c>
      <c r="Q13" s="16">
        <f t="shared" si="5"/>
        <v>4.7046987809207241E-3</v>
      </c>
      <c r="R13" s="16">
        <f t="shared" si="5"/>
        <v>-1.151021459964785E-2</v>
      </c>
      <c r="S13" s="16">
        <f t="shared" si="5"/>
        <v>2.6016702909767764E-2</v>
      </c>
      <c r="T13" s="16">
        <f t="shared" si="5"/>
        <v>6.0049832662509184E-2</v>
      </c>
      <c r="U13" s="16">
        <f t="shared" si="5"/>
        <v>8.5533803778738982E-2</v>
      </c>
      <c r="V13" s="16">
        <f t="shared" si="5"/>
        <v>0.16183183625386555</v>
      </c>
      <c r="W13" s="16">
        <f t="shared" si="5"/>
        <v>0.13545845583443183</v>
      </c>
      <c r="X13" s="16">
        <f t="shared" si="5"/>
        <v>0.11061831084225227</v>
      </c>
      <c r="Y13" s="16">
        <f t="shared" si="5"/>
        <v>7.9276773296244718E-2</v>
      </c>
      <c r="Z13" s="16">
        <f t="shared" si="5"/>
        <v>3.1454783748361859E-2</v>
      </c>
      <c r="AA13" s="16">
        <f t="shared" si="5"/>
        <v>-2.7883396704689534E-2</v>
      </c>
      <c r="AB13" s="16">
        <f t="shared" si="5"/>
        <v>2.2959183673469274E-2</v>
      </c>
      <c r="AC13" s="16">
        <f t="shared" si="5"/>
        <v>2.5204582651391139E-2</v>
      </c>
      <c r="AD13" s="16">
        <f t="shared" si="5"/>
        <v>-3.8659793814432852E-3</v>
      </c>
      <c r="AE13" s="16">
        <f t="shared" si="5"/>
        <v>-1.2706480304957024E-3</v>
      </c>
      <c r="AF13" s="16">
        <f t="shared" si="5"/>
        <v>6.3885267275097579E-2</v>
      </c>
      <c r="AG13" s="16">
        <f t="shared" si="5"/>
        <v>2.9925187032418865E-2</v>
      </c>
      <c r="AH13" s="16">
        <f t="shared" si="5"/>
        <v>2.2030651340996021E-2</v>
      </c>
      <c r="AI13" s="16">
        <f t="shared" si="5"/>
        <v>1.0349288486416475E-2</v>
      </c>
      <c r="AJ13" s="16">
        <f t="shared" si="5"/>
        <v>3.4351145038167941E-2</v>
      </c>
      <c r="AK13" s="16">
        <f t="shared" si="5"/>
        <v>9.8039215686276382E-3</v>
      </c>
      <c r="AL13" s="16">
        <f t="shared" si="5"/>
        <v>-6.7238748095105327E-3</v>
      </c>
      <c r="AM13" s="16">
        <f t="shared" si="5"/>
        <v>1.1698244113509615E-2</v>
      </c>
      <c r="AN13" s="16">
        <f t="shared" si="5"/>
        <v>1.6304325898311101E-2</v>
      </c>
      <c r="AO13" s="16">
        <f t="shared" si="5"/>
        <v>1.3570219542691664E-2</v>
      </c>
      <c r="AP13" s="16">
        <f t="shared" si="5"/>
        <v>1.2482682507858556E-2</v>
      </c>
      <c r="AQ13" s="16">
        <f t="shared" si="5"/>
        <v>1.0264737184906059E-2</v>
      </c>
      <c r="AR13" s="16">
        <f t="shared" si="5"/>
        <v>1.3115444796456321E-2</v>
      </c>
      <c r="AS13" s="16">
        <f t="shared" si="5"/>
        <v>1.2709481266103939E-2</v>
      </c>
      <c r="AT13" s="16">
        <f t="shared" si="5"/>
        <v>1.0204311037170344E-2</v>
      </c>
      <c r="AU13" s="16">
        <f t="shared" si="5"/>
        <v>9.1122976340654027E-3</v>
      </c>
      <c r="AV13" s="16">
        <f t="shared" si="5"/>
        <v>7.0207463135911752E-3</v>
      </c>
      <c r="AW13" s="16">
        <f t="shared" si="5"/>
        <v>9.7284178582615066E-3</v>
      </c>
      <c r="AX13" s="16">
        <f t="shared" si="5"/>
        <v>1.1536211977921651E-2</v>
      </c>
      <c r="AY13" s="16">
        <f t="shared" si="5"/>
        <v>9.7738876623503224E-3</v>
      </c>
      <c r="AZ13" s="16">
        <f t="shared" si="5"/>
        <v>9.1136242997200689E-3</v>
      </c>
      <c r="BA13" s="16">
        <f t="shared" si="5"/>
        <v>7.7734849908583925E-3</v>
      </c>
      <c r="BB13" s="16">
        <f t="shared" si="5"/>
        <v>9.5296911271707252E-3</v>
      </c>
      <c r="BC13" s="16">
        <f t="shared" si="5"/>
        <v>1.1882297091293959E-2</v>
      </c>
      <c r="BD13" s="16">
        <f t="shared" si="5"/>
        <v>1.0554303388629505E-2</v>
      </c>
      <c r="BE13" s="16">
        <f t="shared" si="5"/>
        <v>1.0341424995499171E-2</v>
      </c>
      <c r="BF13" s="16">
        <f t="shared" si="5"/>
        <v>9.5724592405903586E-3</v>
      </c>
      <c r="BG13" s="16">
        <f t="shared" si="5"/>
        <v>1.0576139337045598E-2</v>
      </c>
      <c r="BH13" s="16">
        <f t="shared" si="5"/>
        <v>8.4078606427857583E-3</v>
      </c>
      <c r="BI13" s="16">
        <f t="shared" si="5"/>
        <v>7.3958054376923599E-3</v>
      </c>
      <c r="BJ13" s="16">
        <f t="shared" si="5"/>
        <v>7.328707530245282E-3</v>
      </c>
      <c r="BK13" s="16">
        <f t="shared" si="5"/>
        <v>6.8535776702021156E-3</v>
      </c>
      <c r="BL13" s="16">
        <f t="shared" si="5"/>
        <v>7.4888903959480224E-3</v>
      </c>
    </row>
    <row r="14" spans="1:64">
      <c r="A14" s="9" t="s">
        <v>1775</v>
      </c>
      <c r="B14" s="9"/>
      <c r="C14" s="9"/>
      <c r="D14" s="9"/>
      <c r="E14" s="9"/>
      <c r="F14" s="9"/>
      <c r="G14" s="9"/>
      <c r="H14" s="9"/>
      <c r="I14" s="9"/>
      <c r="J14" s="17"/>
      <c r="K14" s="17"/>
      <c r="L14" s="17"/>
      <c r="M14" s="17"/>
      <c r="N14" s="17">
        <f t="shared" si="5"/>
        <v>2.3303478797092936E-2</v>
      </c>
      <c r="O14" s="17">
        <f t="shared" si="5"/>
        <v>5.4768132561945126E-2</v>
      </c>
      <c r="P14" s="17">
        <f t="shared" si="5"/>
        <v>5.2823729534339892E-2</v>
      </c>
      <c r="Q14" s="17">
        <f t="shared" si="5"/>
        <v>3.7766744691347887E-2</v>
      </c>
      <c r="R14" s="17">
        <f t="shared" si="5"/>
        <v>-2.7256325886903854E-2</v>
      </c>
      <c r="S14" s="17">
        <f t="shared" si="5"/>
        <v>2.9066760441748052E-2</v>
      </c>
      <c r="T14" s="17">
        <f t="shared" si="5"/>
        <v>-1.4775316243075043E-2</v>
      </c>
      <c r="U14" s="17">
        <f t="shared" si="5"/>
        <v>3.1621168026206625E-2</v>
      </c>
      <c r="V14" s="17">
        <f t="shared" si="5"/>
        <v>9.6392122750765807E-3</v>
      </c>
      <c r="W14" s="17">
        <f t="shared" si="5"/>
        <v>3.8125432375422763E-2</v>
      </c>
      <c r="X14" s="17">
        <f t="shared" si="5"/>
        <v>1.5949328566620125E-2</v>
      </c>
      <c r="Y14" s="17">
        <f t="shared" si="5"/>
        <v>3.7197768133914177E-3</v>
      </c>
      <c r="Z14" s="17">
        <f t="shared" si="5"/>
        <v>-5.5403288958496444E-2</v>
      </c>
      <c r="AA14" s="17">
        <f t="shared" si="5"/>
        <v>-4.5081146062913358E-2</v>
      </c>
      <c r="AB14" s="17">
        <f t="shared" si="5"/>
        <v>-2.5960752248569197E-2</v>
      </c>
      <c r="AC14" s="17">
        <f t="shared" si="5"/>
        <v>-3.1114473020675826E-2</v>
      </c>
      <c r="AD14" s="17">
        <f t="shared" si="5"/>
        <v>-3.7059913526868549E-2</v>
      </c>
      <c r="AE14" s="17">
        <f t="shared" si="5"/>
        <v>-2.3626943005181311E-2</v>
      </c>
      <c r="AF14" s="17">
        <f t="shared" si="5"/>
        <v>-4.7629039026437225E-2</v>
      </c>
      <c r="AG14" s="17">
        <f t="shared" si="5"/>
        <v>-7.4711437565582406E-2</v>
      </c>
      <c r="AH14" s="17">
        <f t="shared" si="5"/>
        <v>-4.5646177067610538E-2</v>
      </c>
      <c r="AI14" s="17">
        <f t="shared" si="5"/>
        <v>-1.0690613641222924E-2</v>
      </c>
      <c r="AJ14" s="17">
        <f t="shared" si="5"/>
        <v>4.6699214604117856E-3</v>
      </c>
      <c r="AK14" s="17">
        <f t="shared" si="5"/>
        <v>7.2703238598812447E-3</v>
      </c>
      <c r="AL14" s="17">
        <f t="shared" si="5"/>
        <v>4.6263079156272369E-3</v>
      </c>
      <c r="AM14" s="17">
        <f t="shared" si="5"/>
        <v>1.3851107984295119E-3</v>
      </c>
      <c r="AN14" s="17">
        <f t="shared" si="5"/>
        <v>1.4713933218066799E-3</v>
      </c>
      <c r="AO14" s="17">
        <f t="shared" si="5"/>
        <v>-9.6978660733137989E-4</v>
      </c>
      <c r="AP14" s="17">
        <f t="shared" si="5"/>
        <v>-1.3696774278214585E-3</v>
      </c>
      <c r="AQ14" s="17">
        <f t="shared" si="5"/>
        <v>-3.1891373167461934E-3</v>
      </c>
      <c r="AR14" s="17">
        <f t="shared" si="5"/>
        <v>-9.8957527236254172E-4</v>
      </c>
      <c r="AS14" s="17">
        <f t="shared" si="5"/>
        <v>-1.8583673221871377E-3</v>
      </c>
      <c r="AT14" s="17">
        <f t="shared" si="5"/>
        <v>-4.0824614588071961E-3</v>
      </c>
      <c r="AU14" s="17">
        <f t="shared" si="5"/>
        <v>-4.5076083267276967E-3</v>
      </c>
      <c r="AV14" s="17">
        <f t="shared" si="5"/>
        <v>-6.2136821580595081E-3</v>
      </c>
      <c r="AW14" s="17">
        <f t="shared" si="5"/>
        <v>-4.1394307960351817E-3</v>
      </c>
      <c r="AX14" s="17">
        <f t="shared" si="5"/>
        <v>-2.8084113768606089E-3</v>
      </c>
      <c r="AY14" s="17">
        <f t="shared" si="5"/>
        <v>-4.3076500272297702E-3</v>
      </c>
      <c r="AZ14" s="17">
        <f t="shared" si="5"/>
        <v>-4.3249206276885221E-3</v>
      </c>
      <c r="BA14" s="17">
        <f t="shared" si="5"/>
        <v>-5.2990349358799094E-3</v>
      </c>
      <c r="BB14" s="17">
        <f t="shared" si="5"/>
        <v>-4.1704791296179877E-3</v>
      </c>
      <c r="BC14" s="17">
        <f t="shared" si="5"/>
        <v>-2.2665883652116525E-3</v>
      </c>
      <c r="BD14" s="17">
        <f t="shared" si="5"/>
        <v>-3.3442980722583338E-3</v>
      </c>
      <c r="BE14" s="17">
        <f t="shared" si="5"/>
        <v>-2.9366443690069799E-3</v>
      </c>
      <c r="BF14" s="17">
        <f t="shared" si="5"/>
        <v>-3.3556964531509248E-3</v>
      </c>
      <c r="BG14" s="17">
        <f t="shared" si="5"/>
        <v>-2.9723742640870299E-3</v>
      </c>
      <c r="BH14" s="17">
        <f t="shared" si="5"/>
        <v>-5.4980006569119722E-3</v>
      </c>
      <c r="BI14" s="17">
        <f t="shared" si="5"/>
        <v>-6.2713848712709908E-3</v>
      </c>
      <c r="BJ14" s="17">
        <f t="shared" si="5"/>
        <v>-5.7380428834986619E-3</v>
      </c>
      <c r="BK14" s="17">
        <f t="shared" si="5"/>
        <v>-5.8767421191476821E-3</v>
      </c>
      <c r="BL14" s="17">
        <f t="shared" si="5"/>
        <v>-5.8478237396619726E-3</v>
      </c>
    </row>
    <row r="16" spans="1:64">
      <c r="A16" s="3" t="s">
        <v>1776</v>
      </c>
    </row>
    <row r="17" spans="1:64">
      <c r="A17" s="5" t="s">
        <v>1771</v>
      </c>
      <c r="I17" s="16">
        <f t="shared" ref="I17:AK17" si="6">I6/I8</f>
        <v>0.85727981492741201</v>
      </c>
      <c r="J17" s="16">
        <f t="shared" si="6"/>
        <v>0.85999690757515235</v>
      </c>
      <c r="K17" s="16">
        <f t="shared" si="6"/>
        <v>0.8608101211992345</v>
      </c>
      <c r="L17" s="16">
        <f t="shared" si="6"/>
        <v>0.85810284562659422</v>
      </c>
      <c r="M17" s="16">
        <f t="shared" si="6"/>
        <v>0.85581023784261345</v>
      </c>
      <c r="N17" s="16">
        <f t="shared" si="6"/>
        <v>0.85865357189742164</v>
      </c>
      <c r="O17" s="16">
        <f t="shared" si="6"/>
        <v>0.86190362755697258</v>
      </c>
      <c r="P17" s="16">
        <f t="shared" si="6"/>
        <v>0.85804504961193029</v>
      </c>
      <c r="Q17" s="16">
        <f t="shared" si="6"/>
        <v>0.86262352453295843</v>
      </c>
      <c r="R17" s="16">
        <f t="shared" si="6"/>
        <v>0.85347619229512295</v>
      </c>
      <c r="S17" s="16">
        <f t="shared" si="6"/>
        <v>0.85907250947681424</v>
      </c>
      <c r="T17" s="16">
        <f t="shared" si="6"/>
        <v>0.85141558173176279</v>
      </c>
      <c r="U17" s="16">
        <f t="shared" si="6"/>
        <v>0.85062646828504307</v>
      </c>
      <c r="V17" s="16">
        <f t="shared" si="6"/>
        <v>0.84191544780605088</v>
      </c>
      <c r="W17" s="16">
        <f t="shared" si="6"/>
        <v>0.8397383483237939</v>
      </c>
      <c r="X17" s="16">
        <f t="shared" si="6"/>
        <v>0.84594049420070594</v>
      </c>
      <c r="Y17" s="16">
        <f t="shared" si="6"/>
        <v>0.84023059501750053</v>
      </c>
      <c r="Z17" s="16">
        <f t="shared" si="6"/>
        <v>0.83689119170984461</v>
      </c>
      <c r="AA17" s="16">
        <f t="shared" si="6"/>
        <v>0.83906840117498949</v>
      </c>
      <c r="AB17" s="16">
        <f t="shared" si="6"/>
        <v>0.83168940188877227</v>
      </c>
      <c r="AC17" s="16">
        <f t="shared" si="6"/>
        <v>0.83698537448602517</v>
      </c>
      <c r="AD17" s="16">
        <f t="shared" si="6"/>
        <v>0.83472311310669234</v>
      </c>
      <c r="AE17" s="16">
        <f t="shared" si="6"/>
        <v>0.83315644236892372</v>
      </c>
      <c r="AF17" s="16">
        <f t="shared" si="6"/>
        <v>0.82022471910112371</v>
      </c>
      <c r="AG17" s="16">
        <f t="shared" si="6"/>
        <v>0.81265593105012479</v>
      </c>
      <c r="AH17" s="16">
        <f t="shared" si="6"/>
        <v>0.82542539267015713</v>
      </c>
      <c r="AI17" s="16">
        <f t="shared" si="6"/>
        <v>0.83120812621569051</v>
      </c>
      <c r="AJ17" s="16">
        <f t="shared" si="6"/>
        <v>0.82822733995351783</v>
      </c>
      <c r="AK17" s="16">
        <f t="shared" si="6"/>
        <v>0.81977252843394566</v>
      </c>
      <c r="AL17" s="303">
        <f>AK17-0.5%</f>
        <v>0.81477252843394565</v>
      </c>
      <c r="AM17" s="16">
        <f>AM6/AM8</f>
        <v>0.82362747179096107</v>
      </c>
      <c r="AN17" s="303">
        <f>AI17-0.25%</f>
        <v>0.82870812621569057</v>
      </c>
      <c r="AO17" s="303">
        <f>AJ17-0.25%</f>
        <v>0.82572733995351788</v>
      </c>
      <c r="AP17" s="303">
        <f>AK17-0.25%</f>
        <v>0.81727252843394571</v>
      </c>
      <c r="AQ17" s="303">
        <f>AL17-0.25%</f>
        <v>0.81227252843394571</v>
      </c>
      <c r="AR17" s="16">
        <f>AR6/AR8</f>
        <v>0.8211372694983724</v>
      </c>
      <c r="AS17" s="303">
        <f>AN17-0.25%</f>
        <v>0.82620812621569062</v>
      </c>
      <c r="AT17" s="303">
        <f>AO17-0.25%</f>
        <v>0.82322733995351793</v>
      </c>
      <c r="AU17" s="303">
        <f>AP17-0.25%</f>
        <v>0.81477252843394576</v>
      </c>
      <c r="AV17" s="303">
        <f>AQ17-0.25%</f>
        <v>0.80977252843394576</v>
      </c>
      <c r="AW17" s="16">
        <f>AW6/AW8</f>
        <v>0.81864651792812637</v>
      </c>
      <c r="AX17" s="303">
        <f>AS17-0.25%</f>
        <v>0.82370812621569067</v>
      </c>
      <c r="AY17" s="303">
        <f>AT17-0.25%</f>
        <v>0.82072733995351799</v>
      </c>
      <c r="AZ17" s="303">
        <f>AU17-0.25%</f>
        <v>0.81227252843394582</v>
      </c>
      <c r="BA17" s="303">
        <f>AV17-0.25%</f>
        <v>0.80727252843394581</v>
      </c>
      <c r="BB17" s="16">
        <f>BB6/BB8</f>
        <v>0.81615153908990667</v>
      </c>
      <c r="BC17" s="303">
        <f>AX17-0.25%</f>
        <v>0.82120812621569073</v>
      </c>
      <c r="BD17" s="303">
        <f>AY17-0.25%</f>
        <v>0.81822733995351804</v>
      </c>
      <c r="BE17" s="303">
        <f>AZ17-0.25%</f>
        <v>0.80977252843394587</v>
      </c>
      <c r="BF17" s="303">
        <f>BA17-0.25%</f>
        <v>0.80477252843394587</v>
      </c>
      <c r="BG17" s="16">
        <f>BG6/BG8</f>
        <v>0.81365323983631332</v>
      </c>
      <c r="BH17" s="303">
        <f>BC17-0.25%</f>
        <v>0.81870812621569078</v>
      </c>
      <c r="BI17" s="303">
        <f>BD17-0.25%</f>
        <v>0.81572733995351809</v>
      </c>
      <c r="BJ17" s="303">
        <f>BE17-0.25%</f>
        <v>0.80727252843394592</v>
      </c>
      <c r="BK17" s="303">
        <f>BF17-0.25%</f>
        <v>0.80227252843394592</v>
      </c>
      <c r="BL17" s="16">
        <f>BL6/BL8</f>
        <v>0.81115336755343137</v>
      </c>
    </row>
    <row r="18" spans="1:64">
      <c r="A18" s="5" t="s">
        <v>1772</v>
      </c>
      <c r="I18" s="16">
        <f t="shared" ref="I18:AK18" si="7">I7/I8</f>
        <v>0.14272018507258802</v>
      </c>
      <c r="J18" s="16">
        <f t="shared" si="7"/>
        <v>0.14000309242484762</v>
      </c>
      <c r="K18" s="16">
        <f t="shared" si="7"/>
        <v>0.13918987880076547</v>
      </c>
      <c r="L18" s="16">
        <f t="shared" si="7"/>
        <v>0.14189715437340583</v>
      </c>
      <c r="M18" s="16">
        <f t="shared" si="7"/>
        <v>0.14418976215738649</v>
      </c>
      <c r="N18" s="16">
        <f t="shared" si="7"/>
        <v>0.14134642810257825</v>
      </c>
      <c r="O18" s="16">
        <f t="shared" si="7"/>
        <v>0.13809637244302739</v>
      </c>
      <c r="P18" s="16">
        <f t="shared" si="7"/>
        <v>0.14195495038806968</v>
      </c>
      <c r="Q18" s="16">
        <f t="shared" si="7"/>
        <v>0.13737647546704157</v>
      </c>
      <c r="R18" s="16">
        <f t="shared" si="7"/>
        <v>0.14652380770487697</v>
      </c>
      <c r="S18" s="16">
        <f t="shared" si="7"/>
        <v>0.14092749052318571</v>
      </c>
      <c r="T18" s="16">
        <f t="shared" si="7"/>
        <v>0.14858441826823726</v>
      </c>
      <c r="U18" s="16">
        <f t="shared" si="7"/>
        <v>0.14937353171495693</v>
      </c>
      <c r="V18" s="16">
        <f t="shared" si="7"/>
        <v>0.15808455219394912</v>
      </c>
      <c r="W18" s="16">
        <f t="shared" si="7"/>
        <v>0.16026165167620604</v>
      </c>
      <c r="X18" s="16">
        <f t="shared" si="7"/>
        <v>0.15405950579929398</v>
      </c>
      <c r="Y18" s="16">
        <f t="shared" si="7"/>
        <v>0.15976940498249945</v>
      </c>
      <c r="Z18" s="16">
        <f t="shared" si="7"/>
        <v>0.16310880829015545</v>
      </c>
      <c r="AA18" s="16">
        <f t="shared" si="7"/>
        <v>0.16093159882501051</v>
      </c>
      <c r="AB18" s="16">
        <f t="shared" si="7"/>
        <v>0.1683105981112277</v>
      </c>
      <c r="AC18" s="16">
        <f t="shared" si="7"/>
        <v>0.16301462551397491</v>
      </c>
      <c r="AD18" s="16">
        <f t="shared" si="7"/>
        <v>0.16527688689330766</v>
      </c>
      <c r="AE18" s="16">
        <f t="shared" si="7"/>
        <v>0.16684355763107619</v>
      </c>
      <c r="AF18" s="16">
        <f t="shared" si="7"/>
        <v>0.1797752808988764</v>
      </c>
      <c r="AG18" s="16">
        <f t="shared" si="7"/>
        <v>0.18734406894987526</v>
      </c>
      <c r="AH18" s="16">
        <f t="shared" si="7"/>
        <v>0.17457460732984292</v>
      </c>
      <c r="AI18" s="16">
        <f t="shared" si="7"/>
        <v>0.16879187378430946</v>
      </c>
      <c r="AJ18" s="16">
        <f t="shared" si="7"/>
        <v>0.17177266004648215</v>
      </c>
      <c r="AK18" s="16">
        <f t="shared" si="7"/>
        <v>0.18022747156605423</v>
      </c>
      <c r="AL18" s="119">
        <f>AL19-AL17</f>
        <v>0.18522747156605435</v>
      </c>
      <c r="AM18" s="16">
        <f>AM7/AM8</f>
        <v>0.1763725282090389</v>
      </c>
      <c r="AN18" s="119">
        <f t="shared" ref="AN18:AQ18" si="8">AN19-AN17</f>
        <v>0.17129187378430943</v>
      </c>
      <c r="AO18" s="119">
        <f t="shared" si="8"/>
        <v>0.17427266004648212</v>
      </c>
      <c r="AP18" s="119">
        <f t="shared" si="8"/>
        <v>0.18272747156605429</v>
      </c>
      <c r="AQ18" s="119">
        <f t="shared" si="8"/>
        <v>0.18772747156605429</v>
      </c>
      <c r="AR18" s="16">
        <f>AR7/AR8</f>
        <v>0.1788627305016276</v>
      </c>
      <c r="AS18" s="119">
        <f t="shared" ref="AS18:AV18" si="9">AS19-AS17</f>
        <v>0.17379187378430938</v>
      </c>
      <c r="AT18" s="119">
        <f t="shared" si="9"/>
        <v>0.17677266004648207</v>
      </c>
      <c r="AU18" s="119">
        <f t="shared" si="9"/>
        <v>0.18522747156605424</v>
      </c>
      <c r="AV18" s="119">
        <f t="shared" si="9"/>
        <v>0.19022747156605424</v>
      </c>
      <c r="AW18" s="16">
        <f>AW7/AW8</f>
        <v>0.1813534820718736</v>
      </c>
      <c r="AX18" s="119">
        <f t="shared" ref="AX18:BA18" si="10">AX19-AX17</f>
        <v>0.17629187378430933</v>
      </c>
      <c r="AY18" s="119">
        <f t="shared" si="10"/>
        <v>0.17927266004648201</v>
      </c>
      <c r="AZ18" s="119">
        <f t="shared" si="10"/>
        <v>0.18772747156605418</v>
      </c>
      <c r="BA18" s="119">
        <f t="shared" si="10"/>
        <v>0.19272747156605419</v>
      </c>
      <c r="BB18" s="16">
        <f>BB7/BB8</f>
        <v>0.18384846091009341</v>
      </c>
      <c r="BC18" s="119">
        <f t="shared" ref="BC18:BF18" si="11">BC19-BC17</f>
        <v>0.17879187378430927</v>
      </c>
      <c r="BD18" s="119">
        <f t="shared" si="11"/>
        <v>0.18177266004648196</v>
      </c>
      <c r="BE18" s="119">
        <f t="shared" si="11"/>
        <v>0.19022747156605413</v>
      </c>
      <c r="BF18" s="119">
        <f t="shared" si="11"/>
        <v>0.19522747156605413</v>
      </c>
      <c r="BG18" s="16">
        <f>BG7/BG8</f>
        <v>0.18634676016368645</v>
      </c>
      <c r="BH18" s="119">
        <f t="shared" ref="BH18:BK18" si="12">BH19-BH17</f>
        <v>0.18129187378430922</v>
      </c>
      <c r="BI18" s="119">
        <f t="shared" si="12"/>
        <v>0.18427266004648191</v>
      </c>
      <c r="BJ18" s="119">
        <f t="shared" si="12"/>
        <v>0.19272747156605408</v>
      </c>
      <c r="BK18" s="119">
        <f t="shared" si="12"/>
        <v>0.19772747156605408</v>
      </c>
      <c r="BL18" s="16">
        <f>BL7/BL8</f>
        <v>0.18884663244656857</v>
      </c>
    </row>
    <row r="19" spans="1:64">
      <c r="A19" s="9" t="s">
        <v>1775</v>
      </c>
      <c r="B19" s="9"/>
      <c r="C19" s="9"/>
      <c r="D19" s="9"/>
      <c r="E19" s="9"/>
      <c r="F19" s="9"/>
      <c r="G19" s="9"/>
      <c r="H19" s="9"/>
      <c r="I19" s="105">
        <f t="shared" ref="I19:AJ19" si="13">SUM(I17:I18)</f>
        <v>1</v>
      </c>
      <c r="J19" s="105">
        <f t="shared" si="13"/>
        <v>1</v>
      </c>
      <c r="K19" s="105">
        <f t="shared" si="13"/>
        <v>1</v>
      </c>
      <c r="L19" s="105">
        <f t="shared" si="13"/>
        <v>1</v>
      </c>
      <c r="M19" s="105">
        <f t="shared" si="13"/>
        <v>1</v>
      </c>
      <c r="N19" s="105">
        <f t="shared" si="13"/>
        <v>0.99999999999999989</v>
      </c>
      <c r="O19" s="105">
        <f t="shared" si="13"/>
        <v>1</v>
      </c>
      <c r="P19" s="105">
        <f t="shared" si="13"/>
        <v>1</v>
      </c>
      <c r="Q19" s="105">
        <f t="shared" si="13"/>
        <v>1</v>
      </c>
      <c r="R19" s="105">
        <f t="shared" si="13"/>
        <v>0.99999999999999989</v>
      </c>
      <c r="S19" s="105">
        <f t="shared" si="13"/>
        <v>1</v>
      </c>
      <c r="T19" s="105">
        <f t="shared" si="13"/>
        <v>1</v>
      </c>
      <c r="U19" s="105">
        <f t="shared" si="13"/>
        <v>1</v>
      </c>
      <c r="V19" s="105">
        <f t="shared" si="13"/>
        <v>1</v>
      </c>
      <c r="W19" s="105">
        <f t="shared" si="13"/>
        <v>1</v>
      </c>
      <c r="X19" s="105">
        <f t="shared" si="13"/>
        <v>0.99999999999999989</v>
      </c>
      <c r="Y19" s="105">
        <f t="shared" si="13"/>
        <v>1</v>
      </c>
      <c r="Z19" s="105">
        <f t="shared" si="13"/>
        <v>1</v>
      </c>
      <c r="AA19" s="105">
        <f t="shared" si="13"/>
        <v>1</v>
      </c>
      <c r="AB19" s="105">
        <f t="shared" si="13"/>
        <v>1</v>
      </c>
      <c r="AC19" s="105">
        <f t="shared" si="13"/>
        <v>1</v>
      </c>
      <c r="AD19" s="105">
        <f t="shared" si="13"/>
        <v>1</v>
      </c>
      <c r="AE19" s="105">
        <f t="shared" si="13"/>
        <v>0.99999999999999989</v>
      </c>
      <c r="AF19" s="105">
        <f t="shared" si="13"/>
        <v>1</v>
      </c>
      <c r="AG19" s="105">
        <f t="shared" si="13"/>
        <v>1</v>
      </c>
      <c r="AH19" s="105">
        <f t="shared" si="13"/>
        <v>1</v>
      </c>
      <c r="AI19" s="105">
        <f t="shared" si="13"/>
        <v>1</v>
      </c>
      <c r="AJ19" s="105">
        <f t="shared" si="13"/>
        <v>1</v>
      </c>
      <c r="AK19" s="105">
        <f t="shared" ref="AK19" si="14">SUM(AK17:AK18)</f>
        <v>0.99999999999999989</v>
      </c>
      <c r="AL19" s="105">
        <f>AL8/AL8</f>
        <v>1</v>
      </c>
      <c r="AM19" s="105">
        <f>SUM(AM17:AM18)</f>
        <v>1</v>
      </c>
      <c r="AN19" s="105">
        <f>AN8/AN8</f>
        <v>1</v>
      </c>
      <c r="AO19" s="105">
        <f>AO8/AO8</f>
        <v>1</v>
      </c>
      <c r="AP19" s="105">
        <f>AP8/AP8</f>
        <v>1</v>
      </c>
      <c r="AQ19" s="105">
        <f>AQ8/AQ8</f>
        <v>1</v>
      </c>
      <c r="AR19" s="105">
        <f>SUM(AR17:AR18)</f>
        <v>1</v>
      </c>
      <c r="AS19" s="105">
        <f>AS8/AS8</f>
        <v>1</v>
      </c>
      <c r="AT19" s="105">
        <f>AT8/AT8</f>
        <v>1</v>
      </c>
      <c r="AU19" s="105">
        <f>AU8/AU8</f>
        <v>1</v>
      </c>
      <c r="AV19" s="105">
        <f>AV8/AV8</f>
        <v>1</v>
      </c>
      <c r="AW19" s="105">
        <f>SUM(AW17:AW18)</f>
        <v>1</v>
      </c>
      <c r="AX19" s="105">
        <f>AX8/AX8</f>
        <v>1</v>
      </c>
      <c r="AY19" s="105">
        <f>AY8/AY8</f>
        <v>1</v>
      </c>
      <c r="AZ19" s="105">
        <f>AZ8/AZ8</f>
        <v>1</v>
      </c>
      <c r="BA19" s="105">
        <f>BA8/BA8</f>
        <v>1</v>
      </c>
      <c r="BB19" s="105">
        <f>SUM(BB17:BB18)</f>
        <v>1</v>
      </c>
      <c r="BC19" s="105">
        <f>BC8/BC8</f>
        <v>1</v>
      </c>
      <c r="BD19" s="105">
        <f>BD8/BD8</f>
        <v>1</v>
      </c>
      <c r="BE19" s="105">
        <f>BE8/BE8</f>
        <v>1</v>
      </c>
      <c r="BF19" s="105">
        <f>BF8/BF8</f>
        <v>1</v>
      </c>
      <c r="BG19" s="105">
        <f>SUM(BG17:BG18)</f>
        <v>0.99999999999999978</v>
      </c>
      <c r="BH19" s="105">
        <f>BH8/BH8</f>
        <v>1</v>
      </c>
      <c r="BI19" s="105">
        <f>BI8/BI8</f>
        <v>1</v>
      </c>
      <c r="BJ19" s="105">
        <f>BJ8/BJ8</f>
        <v>1</v>
      </c>
      <c r="BK19" s="105">
        <f>BK8/BK8</f>
        <v>1</v>
      </c>
      <c r="BL19" s="105">
        <f>SUM(BL17:BL18)</f>
        <v>1</v>
      </c>
    </row>
    <row r="21" spans="1:64">
      <c r="A21" s="3" t="s">
        <v>1777</v>
      </c>
    </row>
    <row r="22" spans="1:64">
      <c r="A22" s="5" t="s">
        <v>1778</v>
      </c>
      <c r="I22" s="269">
        <f>12*I70*I34/1000000</f>
        <v>1051.047</v>
      </c>
      <c r="J22" s="269">
        <f>3*J70*AVERAGE(I34:J34)/1000000</f>
        <v>264.71447999999998</v>
      </c>
      <c r="K22" s="269">
        <f>3*K70*AVERAGE(J34:K34)/1000000</f>
        <v>271.55595</v>
      </c>
      <c r="L22" s="269">
        <f>3*L70*AVERAGE(K34:L34)/1000000</f>
        <v>279.60606000000001</v>
      </c>
      <c r="M22" s="269">
        <f>3*M70*AVERAGE(L34:M34)/1000000</f>
        <v>286.75040999999999</v>
      </c>
      <c r="N22" s="375">
        <f>SUM(J22:M22)</f>
        <v>1102.6269000000002</v>
      </c>
      <c r="O22" s="269">
        <f>3*O70*AVERAGE(N34:O34)/1000000</f>
        <v>297.27112499999998</v>
      </c>
      <c r="P22" s="269">
        <f>3*P70*AVERAGE(O34:P34)/1000000</f>
        <v>303.62572499999999</v>
      </c>
      <c r="Q22" s="269">
        <f>3*Q70*AVERAGE(P34:Q34)/1000000</f>
        <v>309.80322000000001</v>
      </c>
      <c r="R22" s="269">
        <f>3*R70*AVERAGE(Q34:R34)/1000000</f>
        <v>309.27241500000002</v>
      </c>
      <c r="S22" s="375">
        <f>SUM(O22:R22)</f>
        <v>1219.972485</v>
      </c>
      <c r="T22" s="269">
        <f>3*T70*AVERAGE(S34:T34)/1000000</f>
        <v>313.66994999999997</v>
      </c>
      <c r="U22" s="269">
        <f>3*U70*AVERAGE(T34:U34)/1000000</f>
        <v>319.26209999999998</v>
      </c>
      <c r="V22" s="269">
        <f>3*V70*AVERAGE(U34:V34)/1000000</f>
        <v>324.38835</v>
      </c>
      <c r="W22" s="269">
        <f>3*W70*AVERAGE(V34:W34)/1000000</f>
        <v>328.80067500000001</v>
      </c>
      <c r="X22" s="375">
        <f>SUM(T22:W22)</f>
        <v>1286.1210749999998</v>
      </c>
      <c r="Y22" s="269">
        <f>3*Y70*AVERAGE(X34:Y34)/1000000</f>
        <v>326.68581</v>
      </c>
      <c r="Z22" s="269">
        <f>3*Z70*AVERAGE(Y34:Z34)/1000000</f>
        <v>323.19793499999997</v>
      </c>
      <c r="AA22" s="269">
        <f>3*AA70*AVERAGE(Z34:AA34)/1000000</f>
        <v>324.38069999999999</v>
      </c>
      <c r="AB22" s="269">
        <f>3*AB70*AVERAGE(AA34:AB34)/1000000</f>
        <v>325.19783999999999</v>
      </c>
      <c r="AC22" s="375">
        <f>SUM(Y22:AB22)</f>
        <v>1299.4622850000001</v>
      </c>
      <c r="AD22" s="269">
        <f>3*AD70*AVERAGE(AC34:AD34)/1000000</f>
        <v>325.52509500000002</v>
      </c>
      <c r="AE22" s="269">
        <f>3*AE70*AVERAGE(AD34:AE34)/1000000</f>
        <v>328.16623499999997</v>
      </c>
      <c r="AF22" s="269">
        <f>3*AF70*AVERAGE(AE34:AF34)/1000000</f>
        <v>328.15872000000002</v>
      </c>
      <c r="AG22" s="269">
        <f>3*AG70*AVERAGE(AF34:AG34)/1000000</f>
        <v>328.38371999999998</v>
      </c>
      <c r="AH22" s="375">
        <f>SUM(AD22:AG22)</f>
        <v>1310.23377</v>
      </c>
      <c r="AI22" s="269">
        <f>3*AI70*AVERAGE(AH34:AI34)/1000000</f>
        <v>328.3272</v>
      </c>
      <c r="AJ22" s="269">
        <f>3*AJ70*AVERAGE(AI34:AJ34)/1000000</f>
        <v>333.64353</v>
      </c>
      <c r="AK22" s="269">
        <f>3*AK70*AVERAGE(AJ34:AK34)/1000000</f>
        <v>337.161</v>
      </c>
      <c r="AL22" s="269">
        <f>3*AL70*AVERAGE(AK34:AL34)/1000000</f>
        <v>334.92411035999999</v>
      </c>
      <c r="AM22" s="375">
        <f>SUM(AI22:AL22)</f>
        <v>1334.05584036</v>
      </c>
      <c r="AN22" s="269">
        <f>3*AN70*AVERAGE(AM34:AN34)/1000000</f>
        <v>334.38292568999998</v>
      </c>
      <c r="AO22" s="269">
        <f>3*AO70*AVERAGE(AN34:AO34)/1000000</f>
        <v>338.77078879875006</v>
      </c>
      <c r="AP22" s="269">
        <f>3*AP70*AVERAGE(AO34:AP34)/1000000</f>
        <v>341.33634348000004</v>
      </c>
      <c r="AQ22" s="269">
        <f>3*AQ70*AVERAGE(AP34:AQ34)/1000000</f>
        <v>337.83213986077504</v>
      </c>
      <c r="AR22" s="375">
        <f>SUM(AN22:AQ22)</f>
        <v>1352.3221978295251</v>
      </c>
      <c r="AS22" s="269">
        <f>3*AS70*AVERAGE(AR34:AS34)/1000000</f>
        <v>338.68170944811004</v>
      </c>
      <c r="AT22" s="269">
        <f>3*AT70*AVERAGE(AS34:AT34)/1000000</f>
        <v>342.20324208811132</v>
      </c>
      <c r="AU22" s="269">
        <f>3*AU70*AVERAGE(AT34:AU34)/1000000</f>
        <v>343.88778529182002</v>
      </c>
      <c r="AV22" s="269">
        <f>3*AV70*AVERAGE(AU34:AV34)/1000000</f>
        <v>339.23643067277555</v>
      </c>
      <c r="AW22" s="375">
        <f>SUM(AS22:AV22)</f>
        <v>1364.0091675008171</v>
      </c>
      <c r="AX22" s="269">
        <f>3*AX70*AVERAGE(AW34:AX34)/1000000</f>
        <v>341.71709294816117</v>
      </c>
      <c r="AY22" s="269">
        <f>3*AY70*AVERAGE(AX34:AY34)/1000000</f>
        <v>344.67948293236304</v>
      </c>
      <c r="AZ22" s="269">
        <f>3*AZ70*AVERAGE(AY34:AZ34)/1000000</f>
        <v>345.7940188295168</v>
      </c>
      <c r="BA22" s="269">
        <f>3*BA70*AVERAGE(AZ34:BA34)/1000000</f>
        <v>340.39545298856348</v>
      </c>
      <c r="BB22" s="375">
        <f>SUM(AX22:BA22)</f>
        <v>1372.5860476986045</v>
      </c>
      <c r="BC22" s="269">
        <f>3*BC70*AVERAGE(BB34:BC34)/1000000</f>
        <v>344.85432291377413</v>
      </c>
      <c r="BD22" s="269">
        <f>3*BD70*AVERAGE(BC34:BD34)/1000000</f>
        <v>347.45849386824705</v>
      </c>
      <c r="BE22" s="269">
        <f>3*BE70*AVERAGE(BD34:BE34)/1000000</f>
        <v>348.20149922408467</v>
      </c>
      <c r="BF22" s="269">
        <f>3*BF70*AVERAGE(BE34:BF34)/1000000</f>
        <v>342.29303753179073</v>
      </c>
      <c r="BG22" s="375">
        <f>SUM(BC22:BF22)</f>
        <v>1382.8073535378967</v>
      </c>
      <c r="BH22" s="269">
        <f>3*BH70*AVERAGE(BG34:BH34)/1000000</f>
        <v>346.36051415585069</v>
      </c>
      <c r="BI22" s="269">
        <f>3*BI70*AVERAGE(BH34:BI34)/1000000</f>
        <v>348.7227319257974</v>
      </c>
      <c r="BJ22" s="269">
        <f>3*BJ70*AVERAGE(BI34:BJ34)/1000000</f>
        <v>349.21805644626653</v>
      </c>
      <c r="BK22" s="269">
        <f>3*BK70*AVERAGE(BJ34:BK34)/1000000</f>
        <v>342.98122022354846</v>
      </c>
      <c r="BL22" s="375">
        <f>SUM(BH22:BK22)</f>
        <v>1387.2825227514631</v>
      </c>
    </row>
    <row r="23" spans="1:64">
      <c r="A23" s="5" t="s">
        <v>192</v>
      </c>
      <c r="I23" s="269">
        <f>I24-I22</f>
        <v>802.49600000000009</v>
      </c>
      <c r="J23" s="269">
        <f>J24-J22</f>
        <v>200.93952000000002</v>
      </c>
      <c r="K23" s="269">
        <f>K24-K22</f>
        <v>198.74405000000002</v>
      </c>
      <c r="L23" s="269">
        <f>L24-L22</f>
        <v>196.73893999999996</v>
      </c>
      <c r="M23" s="269">
        <f>M24-M22</f>
        <v>197.68759</v>
      </c>
      <c r="N23" s="375">
        <f>SUM(J23:M23)</f>
        <v>794.11009999999999</v>
      </c>
      <c r="O23" s="269">
        <f>O24-O22</f>
        <v>193.885875</v>
      </c>
      <c r="P23" s="269">
        <f>P24-P22</f>
        <v>191.51727500000004</v>
      </c>
      <c r="Q23" s="269">
        <f>Q24-Q22</f>
        <v>184.53178000000003</v>
      </c>
      <c r="R23" s="269">
        <f>R24-R22</f>
        <v>161.96158500000001</v>
      </c>
      <c r="S23" s="375">
        <f>SUM(O23:R23)</f>
        <v>731.89651500000014</v>
      </c>
      <c r="T23" s="269">
        <f>T24-T22</f>
        <v>170.23005000000001</v>
      </c>
      <c r="U23" s="269">
        <f>U24-U22</f>
        <v>191.53790000000004</v>
      </c>
      <c r="V23" s="269">
        <f>V24-V22</f>
        <v>174.71165000000002</v>
      </c>
      <c r="W23" s="269">
        <f>W24-W22</f>
        <v>160.39932500000003</v>
      </c>
      <c r="X23" s="375">
        <f>SUM(T23:W23)</f>
        <v>696.87892500000021</v>
      </c>
      <c r="Y23" s="269">
        <f>Y24-Y22</f>
        <v>159.01419000000004</v>
      </c>
      <c r="Z23" s="269">
        <f>Z24-Z22</f>
        <v>159.30206500000003</v>
      </c>
      <c r="AA23" s="269">
        <f>AA24-AA22</f>
        <v>152.21929999999998</v>
      </c>
      <c r="AB23" s="269">
        <f>AB24-AB22</f>
        <v>151.30216000000001</v>
      </c>
      <c r="AC23" s="375">
        <f>SUM(Y23:AB23)</f>
        <v>621.83771500000012</v>
      </c>
      <c r="AD23" s="269">
        <f>AD24-AD22</f>
        <v>142.17490499999997</v>
      </c>
      <c r="AE23" s="269">
        <f>AE24-AE22</f>
        <v>142.93376500000005</v>
      </c>
      <c r="AF23" s="269">
        <f>AF24-AF22</f>
        <v>125.74127999999996</v>
      </c>
      <c r="AG23" s="269">
        <f>AG24-AG22</f>
        <v>112.51627999999999</v>
      </c>
      <c r="AH23" s="375">
        <f>SUM(AD23:AG23)</f>
        <v>523.36622999999997</v>
      </c>
      <c r="AI23" s="269">
        <f>AI24-AI22</f>
        <v>134.37280000000004</v>
      </c>
      <c r="AJ23" s="269">
        <f>AJ24-AJ22</f>
        <v>139.65647000000001</v>
      </c>
      <c r="AK23" s="269">
        <f>AK24-AK22</f>
        <v>120.03900000000004</v>
      </c>
      <c r="AL23" s="269">
        <f>AG23*(1+AL28)</f>
        <v>108.01562879999999</v>
      </c>
      <c r="AM23" s="375">
        <f>SUM(AI23:AL23)</f>
        <v>502.0838988000001</v>
      </c>
      <c r="AN23" s="269">
        <f>AI23*(1+AN28)</f>
        <v>128.99788800000005</v>
      </c>
      <c r="AO23" s="269">
        <f>AJ23*(1+AO28)</f>
        <v>134.07021120000002</v>
      </c>
      <c r="AP23" s="269">
        <f>AK23*(1+AP28)</f>
        <v>115.23744000000003</v>
      </c>
      <c r="AQ23" s="269">
        <f>AL23*(1+AQ28)</f>
        <v>103.69500364799998</v>
      </c>
      <c r="AR23" s="375">
        <f>SUM(AN23:AQ23)</f>
        <v>482.00054284800012</v>
      </c>
      <c r="AS23" s="269">
        <f>AN23*(1+AS28)</f>
        <v>123.83797248000003</v>
      </c>
      <c r="AT23" s="269">
        <f>AO23*(1+AT28)</f>
        <v>128.70740275200001</v>
      </c>
      <c r="AU23" s="269">
        <f>AP23*(1+AU28)</f>
        <v>110.62794240000002</v>
      </c>
      <c r="AV23" s="269">
        <f>AQ23*(1+AV28)</f>
        <v>99.547203502079981</v>
      </c>
      <c r="AW23" s="375">
        <f>SUM(AS23:AV23)</f>
        <v>462.72052113408</v>
      </c>
      <c r="AX23" s="269">
        <f>AS23*(1+AX28)</f>
        <v>119.50364344320003</v>
      </c>
      <c r="AY23" s="269">
        <f>AT23*(1+AY28)</f>
        <v>124.20264365568001</v>
      </c>
      <c r="AZ23" s="269">
        <f>AU23*(1+AZ28)</f>
        <v>106.75596441600003</v>
      </c>
      <c r="BA23" s="269">
        <f>AV23*(1+BA28)</f>
        <v>96.063051379507172</v>
      </c>
      <c r="BB23" s="375">
        <f>SUM(AX23:BA23)</f>
        <v>446.52530289438721</v>
      </c>
      <c r="BC23" s="269">
        <f>AX23*(1+BC28)</f>
        <v>115.32101592268803</v>
      </c>
      <c r="BD23" s="269">
        <f>AY23*(1+BD28)</f>
        <v>119.8555511277312</v>
      </c>
      <c r="BE23" s="269">
        <f>AZ23*(1+BE28)</f>
        <v>103.01950566144002</v>
      </c>
      <c r="BF23" s="269">
        <f>BA23*(1+BF28)</f>
        <v>92.700844581224416</v>
      </c>
      <c r="BG23" s="375">
        <f>SUM(BC23:BF23)</f>
        <v>430.89691729308367</v>
      </c>
      <c r="BH23" s="269">
        <f>BC23*(1+BH28)</f>
        <v>111.28478036539394</v>
      </c>
      <c r="BI23" s="269">
        <f>BD23*(1+BI28)</f>
        <v>115.66060683826061</v>
      </c>
      <c r="BJ23" s="269">
        <f>BE23*(1+BJ28)</f>
        <v>99.413822963289618</v>
      </c>
      <c r="BK23" s="269">
        <f>BF23*(1+BK28)</f>
        <v>89.456315020881561</v>
      </c>
      <c r="BL23" s="375">
        <f>SUM(BH23:BK23)</f>
        <v>415.81552518782576</v>
      </c>
    </row>
    <row r="24" spans="1:64">
      <c r="A24" s="9" t="s">
        <v>1775</v>
      </c>
      <c r="B24" s="9"/>
      <c r="C24" s="9"/>
      <c r="D24" s="9"/>
      <c r="E24" s="9"/>
      <c r="F24" s="9"/>
      <c r="G24" s="9"/>
      <c r="H24" s="9"/>
      <c r="I24" s="15">
        <f t="shared" ref="I24:AK24" si="15">I8</f>
        <v>1853.5430000000001</v>
      </c>
      <c r="J24" s="15">
        <f t="shared" si="15"/>
        <v>465.654</v>
      </c>
      <c r="K24" s="15">
        <f t="shared" si="15"/>
        <v>470.3</v>
      </c>
      <c r="L24" s="15">
        <f t="shared" si="15"/>
        <v>476.34499999999997</v>
      </c>
      <c r="M24" s="15">
        <f t="shared" si="15"/>
        <v>484.43799999999999</v>
      </c>
      <c r="N24" s="378">
        <f t="shared" si="15"/>
        <v>1896.7370000000001</v>
      </c>
      <c r="O24" s="15">
        <f t="shared" si="15"/>
        <v>491.15699999999998</v>
      </c>
      <c r="P24" s="15">
        <f t="shared" si="15"/>
        <v>495.14300000000003</v>
      </c>
      <c r="Q24" s="15">
        <f t="shared" si="15"/>
        <v>494.33500000000004</v>
      </c>
      <c r="R24" s="15">
        <f t="shared" si="15"/>
        <v>471.23400000000004</v>
      </c>
      <c r="S24" s="378">
        <f t="shared" si="15"/>
        <v>1951.8690000000001</v>
      </c>
      <c r="T24" s="15">
        <f t="shared" si="15"/>
        <v>483.9</v>
      </c>
      <c r="U24" s="15">
        <f t="shared" si="15"/>
        <v>510.8</v>
      </c>
      <c r="V24" s="15">
        <f t="shared" si="15"/>
        <v>499.1</v>
      </c>
      <c r="W24" s="15">
        <f t="shared" si="15"/>
        <v>489.20000000000005</v>
      </c>
      <c r="X24" s="378">
        <f t="shared" si="15"/>
        <v>1983.0000000000002</v>
      </c>
      <c r="Y24" s="15">
        <f t="shared" si="15"/>
        <v>485.70000000000005</v>
      </c>
      <c r="Z24" s="15">
        <f t="shared" si="15"/>
        <v>482.5</v>
      </c>
      <c r="AA24" s="15">
        <f t="shared" si="15"/>
        <v>476.59999999999997</v>
      </c>
      <c r="AB24" s="15">
        <f t="shared" si="15"/>
        <v>476.5</v>
      </c>
      <c r="AC24" s="378">
        <f t="shared" si="15"/>
        <v>1921.3</v>
      </c>
      <c r="AD24" s="15">
        <f t="shared" si="15"/>
        <v>467.7</v>
      </c>
      <c r="AE24" s="15">
        <f t="shared" si="15"/>
        <v>471.1</v>
      </c>
      <c r="AF24" s="15">
        <f t="shared" si="15"/>
        <v>453.9</v>
      </c>
      <c r="AG24" s="15">
        <f t="shared" si="15"/>
        <v>440.9</v>
      </c>
      <c r="AH24" s="378">
        <f t="shared" si="15"/>
        <v>1833.6</v>
      </c>
      <c r="AI24" s="15">
        <f t="shared" si="15"/>
        <v>462.70000000000005</v>
      </c>
      <c r="AJ24" s="15">
        <f t="shared" si="15"/>
        <v>473.3</v>
      </c>
      <c r="AK24" s="15">
        <f t="shared" si="15"/>
        <v>457.20000000000005</v>
      </c>
      <c r="AL24" s="15">
        <f t="shared" ref="AL24:BL24" si="16">SUM(AL22:AL23)</f>
        <v>442.93973915999999</v>
      </c>
      <c r="AM24" s="15">
        <f t="shared" si="16"/>
        <v>1836.1397391600001</v>
      </c>
      <c r="AN24" s="15">
        <f t="shared" si="16"/>
        <v>463.38081369000002</v>
      </c>
      <c r="AO24" s="15">
        <f t="shared" si="16"/>
        <v>472.84099999875008</v>
      </c>
      <c r="AP24" s="15">
        <f t="shared" si="16"/>
        <v>456.57378348000009</v>
      </c>
      <c r="AQ24" s="15">
        <f t="shared" si="16"/>
        <v>441.527143508775</v>
      </c>
      <c r="AR24" s="15">
        <f t="shared" si="16"/>
        <v>1834.3227406775252</v>
      </c>
      <c r="AS24" s="15">
        <f t="shared" si="16"/>
        <v>462.51968192811006</v>
      </c>
      <c r="AT24" s="15">
        <f t="shared" si="16"/>
        <v>470.91064484011133</v>
      </c>
      <c r="AU24" s="15">
        <f t="shared" si="16"/>
        <v>454.51572769182008</v>
      </c>
      <c r="AV24" s="15">
        <f t="shared" si="16"/>
        <v>438.78363417485554</v>
      </c>
      <c r="AW24" s="15">
        <f t="shared" si="16"/>
        <v>1826.729688634897</v>
      </c>
      <c r="AX24" s="15">
        <f t="shared" si="16"/>
        <v>461.22073639136119</v>
      </c>
      <c r="AY24" s="15">
        <f t="shared" si="16"/>
        <v>468.88212658804304</v>
      </c>
      <c r="AZ24" s="15">
        <f t="shared" si="16"/>
        <v>452.54998324551684</v>
      </c>
      <c r="BA24" s="15">
        <f t="shared" si="16"/>
        <v>436.45850436807063</v>
      </c>
      <c r="BB24" s="15">
        <f t="shared" si="16"/>
        <v>1819.1113505929916</v>
      </c>
      <c r="BC24" s="15">
        <f t="shared" si="16"/>
        <v>460.17533883646217</v>
      </c>
      <c r="BD24" s="15">
        <f t="shared" si="16"/>
        <v>467.31404499597824</v>
      </c>
      <c r="BE24" s="15">
        <f t="shared" si="16"/>
        <v>451.22100488552468</v>
      </c>
      <c r="BF24" s="15">
        <f t="shared" si="16"/>
        <v>434.99388211301516</v>
      </c>
      <c r="BG24" s="15">
        <f t="shared" si="16"/>
        <v>1813.7042708309805</v>
      </c>
      <c r="BH24" s="15">
        <f t="shared" si="16"/>
        <v>457.64529452124464</v>
      </c>
      <c r="BI24" s="15">
        <f t="shared" si="16"/>
        <v>464.38333876405801</v>
      </c>
      <c r="BJ24" s="15">
        <f t="shared" si="16"/>
        <v>448.63187940955618</v>
      </c>
      <c r="BK24" s="15">
        <f t="shared" si="16"/>
        <v>432.43753524443002</v>
      </c>
      <c r="BL24" s="15">
        <f t="shared" si="16"/>
        <v>1803.0980479392888</v>
      </c>
    </row>
    <row r="26" spans="1:64">
      <c r="A26" s="3" t="s">
        <v>1663</v>
      </c>
    </row>
    <row r="27" spans="1:64">
      <c r="A27" s="5" t="s">
        <v>1778</v>
      </c>
      <c r="O27" s="16">
        <f>O22/J22-1</f>
        <v>0.12298777535705652</v>
      </c>
      <c r="P27" s="16">
        <f t="shared" ref="P27:S28" si="17">P22/K22-1</f>
        <v>0.11809638124298139</v>
      </c>
      <c r="Q27" s="16">
        <f t="shared" si="17"/>
        <v>0.10799894680394262</v>
      </c>
      <c r="R27" s="16">
        <f t="shared" si="17"/>
        <v>7.8542189355544467E-2</v>
      </c>
      <c r="S27" s="16">
        <f t="shared" si="17"/>
        <v>0.10642365518200192</v>
      </c>
      <c r="T27" s="16">
        <f>T22/O22-1</f>
        <v>5.5164540451078103E-2</v>
      </c>
      <c r="U27" s="16">
        <f t="shared" ref="U27:X28" si="18">U22/P22-1</f>
        <v>5.1498847800198755E-2</v>
      </c>
      <c r="V27" s="16">
        <f t="shared" si="18"/>
        <v>4.7078690789592148E-2</v>
      </c>
      <c r="W27" s="16">
        <f t="shared" si="18"/>
        <v>6.3142585800935347E-2</v>
      </c>
      <c r="X27" s="16">
        <f t="shared" si="18"/>
        <v>5.4221378607567372E-2</v>
      </c>
      <c r="Y27" s="16">
        <f>Y22/T22-1</f>
        <v>4.1495399862180093E-2</v>
      </c>
      <c r="Z27" s="16">
        <f t="shared" ref="Z27:AC28" si="19">Z22/U22-1</f>
        <v>1.2327911769044908E-2</v>
      </c>
      <c r="AA27" s="16">
        <f t="shared" si="19"/>
        <v>-2.3582844451808249E-5</v>
      </c>
      <c r="AB27" s="16">
        <f t="shared" si="19"/>
        <v>-1.0957504877385116E-2</v>
      </c>
      <c r="AC27" s="16">
        <f t="shared" si="19"/>
        <v>1.037321466798935E-2</v>
      </c>
      <c r="AD27" s="16">
        <f>AD22/Y22-1</f>
        <v>-3.5530009705655452E-3</v>
      </c>
      <c r="AE27" s="16">
        <f t="shared" ref="AE27:AH28" si="20">AE22/Z22-1</f>
        <v>1.5372313563822848E-2</v>
      </c>
      <c r="AF27" s="16">
        <f t="shared" si="20"/>
        <v>1.1646870482738381E-2</v>
      </c>
      <c r="AG27" s="16">
        <f t="shared" si="20"/>
        <v>9.7967440374142623E-3</v>
      </c>
      <c r="AH27" s="16">
        <f t="shared" si="20"/>
        <v>8.2891863229412888E-3</v>
      </c>
      <c r="AI27" s="16">
        <f>AI22/AD22-1</f>
        <v>8.6079538660452926E-3</v>
      </c>
      <c r="AJ27" s="16">
        <f t="shared" ref="AJ27:AY29" si="21">AJ22/AE22-1</f>
        <v>1.6690611086177087E-2</v>
      </c>
      <c r="AK27" s="16">
        <f t="shared" si="21"/>
        <v>2.7432700858901482E-2</v>
      </c>
      <c r="AL27" s="16">
        <f t="shared" si="21"/>
        <v>1.9916914151529852E-2</v>
      </c>
      <c r="AM27" s="16">
        <f t="shared" si="21"/>
        <v>1.818154203123612E-2</v>
      </c>
      <c r="AN27" s="16">
        <f>AN22/AI22-1</f>
        <v>1.844417912984353E-2</v>
      </c>
      <c r="AO27" s="16">
        <f t="shared" ref="AO27:AR28" si="22">AO22/AJ22-1</f>
        <v>1.53674755771529E-2</v>
      </c>
      <c r="AP27" s="16">
        <f t="shared" si="22"/>
        <v>1.2383826955074895E-2</v>
      </c>
      <c r="AQ27" s="16">
        <f t="shared" si="22"/>
        <v>8.6826520122702533E-3</v>
      </c>
      <c r="AR27" s="16">
        <f t="shared" si="22"/>
        <v>1.3692348488647754E-2</v>
      </c>
      <c r="AS27" s="16">
        <f>AS22/AN22-1</f>
        <v>1.2855871002502628E-2</v>
      </c>
      <c r="AT27" s="16">
        <f t="shared" ref="AT27:AW28" si="23">AT22/AO22-1</f>
        <v>1.0132081640015222E-2</v>
      </c>
      <c r="AU27" s="16">
        <f t="shared" si="23"/>
        <v>7.474861263841559E-3</v>
      </c>
      <c r="AV27" s="16">
        <f t="shared" si="23"/>
        <v>4.1567709116701046E-3</v>
      </c>
      <c r="AW27" s="16">
        <f t="shared" si="23"/>
        <v>8.6421488089520881E-3</v>
      </c>
      <c r="AX27" s="16">
        <f>AX22/AS22-1</f>
        <v>8.9623484687064714E-3</v>
      </c>
      <c r="AY27" s="16">
        <f t="shared" ref="AY27:BB28" si="24">AY22/AT22-1</f>
        <v>7.2361700290792808E-3</v>
      </c>
      <c r="AZ27" s="16">
        <f t="shared" si="24"/>
        <v>5.5431847806957091E-3</v>
      </c>
      <c r="BA27" s="16">
        <f t="shared" si="24"/>
        <v>3.4165620522812468E-3</v>
      </c>
      <c r="BB27" s="16">
        <f t="shared" si="24"/>
        <v>6.2879930737578249E-3</v>
      </c>
      <c r="BC27" s="16">
        <f>BC22/AX22-1</f>
        <v>9.1807815012896477E-3</v>
      </c>
      <c r="BD27" s="16">
        <f t="shared" ref="BD27:BG28" si="25">BD22/AY22-1</f>
        <v>8.0625945943795241E-3</v>
      </c>
      <c r="BE27" s="16">
        <f t="shared" si="25"/>
        <v>6.9621805568442774E-3</v>
      </c>
      <c r="BF27" s="16">
        <f t="shared" si="25"/>
        <v>5.5746471539706022E-3</v>
      </c>
      <c r="BG27" s="16">
        <f t="shared" si="25"/>
        <v>7.4467505016753144E-3</v>
      </c>
      <c r="BH27" s="16">
        <f>BH22/BC22-1</f>
        <v>4.367615952586279E-3</v>
      </c>
      <c r="BI27" s="16">
        <f t="shared" ref="BI27:BL28" si="26">BI22/BD22-1</f>
        <v>3.6385297232932601E-3</v>
      </c>
      <c r="BJ27" s="16">
        <f t="shared" si="26"/>
        <v>2.9194510203061075E-3</v>
      </c>
      <c r="BK27" s="16">
        <f t="shared" si="26"/>
        <v>2.0105074199583406E-3</v>
      </c>
      <c r="BL27" s="16">
        <f t="shared" si="26"/>
        <v>3.2362926058475683E-3</v>
      </c>
    </row>
    <row r="28" spans="1:64">
      <c r="A28" s="5" t="s">
        <v>192</v>
      </c>
      <c r="O28" s="16">
        <f>O23/J23-1</f>
        <v>-3.510332362693025E-2</v>
      </c>
      <c r="P28" s="16">
        <f t="shared" si="17"/>
        <v>-3.636222065515915E-2</v>
      </c>
      <c r="Q28" s="16">
        <f t="shared" si="17"/>
        <v>-6.2047503153162986E-2</v>
      </c>
      <c r="R28" s="16">
        <f t="shared" si="17"/>
        <v>-0.18071951304581124</v>
      </c>
      <c r="S28" s="16">
        <f t="shared" si="17"/>
        <v>-7.8343777519011337E-2</v>
      </c>
      <c r="T28" s="16">
        <f>T23/O23-1</f>
        <v>-0.12200901690234012</v>
      </c>
      <c r="U28" s="16">
        <f t="shared" si="18"/>
        <v>1.0769263503762616E-4</v>
      </c>
      <c r="V28" s="16">
        <f t="shared" si="18"/>
        <v>-5.3216470355404444E-2</v>
      </c>
      <c r="W28" s="16">
        <f t="shared" si="18"/>
        <v>-9.6458675679172989E-3</v>
      </c>
      <c r="X28" s="16">
        <f t="shared" si="18"/>
        <v>-4.784500169398942E-2</v>
      </c>
      <c r="Y28" s="16">
        <f>Y23/T23-1</f>
        <v>-6.5886487139021344E-2</v>
      </c>
      <c r="Z28" s="16">
        <f t="shared" si="19"/>
        <v>-0.16830003357037959</v>
      </c>
      <c r="AA28" s="16">
        <f t="shared" si="19"/>
        <v>-0.12873984076047618</v>
      </c>
      <c r="AB28" s="16">
        <f t="shared" si="19"/>
        <v>-5.6715731191512297E-2</v>
      </c>
      <c r="AC28" s="16">
        <f t="shared" si="19"/>
        <v>-0.10768184731659103</v>
      </c>
      <c r="AD28" s="16">
        <f>AD23/Y23-1</f>
        <v>-0.10589800193303545</v>
      </c>
      <c r="AE28" s="16">
        <f t="shared" si="20"/>
        <v>-0.10275008048389056</v>
      </c>
      <c r="AF28" s="16">
        <f t="shared" si="20"/>
        <v>-0.17394653634591684</v>
      </c>
      <c r="AG28" s="16">
        <f t="shared" si="20"/>
        <v>-0.25634716649121214</v>
      </c>
      <c r="AH28" s="16">
        <f t="shared" si="20"/>
        <v>-0.15835560086605571</v>
      </c>
      <c r="AI28" s="16">
        <f>AI23/AD23-1</f>
        <v>-5.4876808252482534E-2</v>
      </c>
      <c r="AJ28" s="16">
        <f t="shared" si="21"/>
        <v>-2.2928767041153875E-2</v>
      </c>
      <c r="AK28" s="16">
        <f t="shared" si="21"/>
        <v>-4.5349307721377685E-2</v>
      </c>
      <c r="AL28" s="303">
        <v>-0.04</v>
      </c>
      <c r="AM28" s="16">
        <f t="shared" si="21"/>
        <v>-4.0664318750561868E-2</v>
      </c>
      <c r="AN28" s="303">
        <v>-0.04</v>
      </c>
      <c r="AO28" s="303">
        <v>-0.04</v>
      </c>
      <c r="AP28" s="303">
        <v>-0.04</v>
      </c>
      <c r="AQ28" s="303">
        <v>-0.04</v>
      </c>
      <c r="AR28" s="16">
        <f t="shared" si="22"/>
        <v>-3.9999999999999925E-2</v>
      </c>
      <c r="AS28" s="303">
        <v>-0.04</v>
      </c>
      <c r="AT28" s="303">
        <v>-0.04</v>
      </c>
      <c r="AU28" s="303">
        <v>-0.04</v>
      </c>
      <c r="AV28" s="303">
        <v>-0.04</v>
      </c>
      <c r="AW28" s="16">
        <f t="shared" si="23"/>
        <v>-4.0000000000000258E-2</v>
      </c>
      <c r="AX28" s="303">
        <v>-3.5000000000000003E-2</v>
      </c>
      <c r="AY28" s="303">
        <v>-3.5000000000000003E-2</v>
      </c>
      <c r="AZ28" s="303">
        <v>-3.5000000000000003E-2</v>
      </c>
      <c r="BA28" s="303">
        <v>-3.5000000000000003E-2</v>
      </c>
      <c r="BB28" s="16">
        <f t="shared" si="24"/>
        <v>-3.5000000000000031E-2</v>
      </c>
      <c r="BC28" s="303">
        <v>-3.5000000000000003E-2</v>
      </c>
      <c r="BD28" s="303">
        <v>-3.5000000000000003E-2</v>
      </c>
      <c r="BE28" s="303">
        <v>-3.5000000000000003E-2</v>
      </c>
      <c r="BF28" s="303">
        <v>-3.5000000000000003E-2</v>
      </c>
      <c r="BG28" s="16">
        <f t="shared" si="25"/>
        <v>-3.499999999999992E-2</v>
      </c>
      <c r="BH28" s="303">
        <v>-3.5000000000000003E-2</v>
      </c>
      <c r="BI28" s="303">
        <v>-3.5000000000000003E-2</v>
      </c>
      <c r="BJ28" s="303">
        <v>-3.5000000000000003E-2</v>
      </c>
      <c r="BK28" s="303">
        <v>-3.5000000000000003E-2</v>
      </c>
      <c r="BL28" s="16">
        <f t="shared" si="26"/>
        <v>-3.5000000000000031E-2</v>
      </c>
    </row>
    <row r="29" spans="1:64">
      <c r="A29" s="9" t="s">
        <v>1775</v>
      </c>
      <c r="B29" s="9"/>
      <c r="C29" s="9"/>
      <c r="D29" s="9"/>
      <c r="E29" s="9"/>
      <c r="F29" s="9"/>
      <c r="G29" s="9"/>
      <c r="H29" s="9"/>
      <c r="I29" s="9"/>
      <c r="J29" s="9"/>
      <c r="K29" s="9"/>
      <c r="L29" s="9"/>
      <c r="M29" s="9"/>
      <c r="N29" s="9"/>
      <c r="O29" s="17">
        <f>O24/J24-1</f>
        <v>5.4768132561945126E-2</v>
      </c>
      <c r="P29" s="17">
        <f>P24/K24-1</f>
        <v>5.2823729534339892E-2</v>
      </c>
      <c r="Q29" s="17">
        <f>Q24/L24-1</f>
        <v>3.7766744691347887E-2</v>
      </c>
      <c r="R29" s="17">
        <f>R24/M24-1</f>
        <v>-2.7256325886903854E-2</v>
      </c>
      <c r="S29" s="17">
        <f>S24/N24-1</f>
        <v>2.9066760441748052E-2</v>
      </c>
      <c r="T29" s="17">
        <f>T24/O24-1</f>
        <v>-1.4775316243075043E-2</v>
      </c>
      <c r="U29" s="17">
        <f>U24/P24-1</f>
        <v>3.1621168026206625E-2</v>
      </c>
      <c r="V29" s="17">
        <f>V24/Q24-1</f>
        <v>9.6392122750765807E-3</v>
      </c>
      <c r="W29" s="17">
        <f>W24/R24-1</f>
        <v>3.8125432375422763E-2</v>
      </c>
      <c r="X29" s="17">
        <f>X24/S24-1</f>
        <v>1.5949328566620125E-2</v>
      </c>
      <c r="Y29" s="17">
        <f>Y24/T24-1</f>
        <v>3.7197768133914177E-3</v>
      </c>
      <c r="Z29" s="17">
        <f>Z24/U24-1</f>
        <v>-5.5403288958496444E-2</v>
      </c>
      <c r="AA29" s="17">
        <f>AA24/V24-1</f>
        <v>-4.5081146062913358E-2</v>
      </c>
      <c r="AB29" s="17">
        <f>AB24/W24-1</f>
        <v>-2.5960752248569197E-2</v>
      </c>
      <c r="AC29" s="17">
        <f>AC24/X24-1</f>
        <v>-3.1114473020675826E-2</v>
      </c>
      <c r="AD29" s="17">
        <f>AD24/Y24-1</f>
        <v>-3.7059913526868549E-2</v>
      </c>
      <c r="AE29" s="17">
        <f>AE24/Z24-1</f>
        <v>-2.3626943005181311E-2</v>
      </c>
      <c r="AF29" s="17">
        <f>AF24/AA24-1</f>
        <v>-4.7629039026437225E-2</v>
      </c>
      <c r="AG29" s="17">
        <f>AG24/AB24-1</f>
        <v>-7.4711437565582406E-2</v>
      </c>
      <c r="AH29" s="17">
        <f>AH24/AC24-1</f>
        <v>-4.5646177067610538E-2</v>
      </c>
      <c r="AI29" s="17">
        <f>AI24/AD24-1</f>
        <v>-1.0690613641222924E-2</v>
      </c>
      <c r="AJ29" s="17">
        <f t="shared" si="21"/>
        <v>4.6699214604117856E-3</v>
      </c>
      <c r="AK29" s="17">
        <f t="shared" si="21"/>
        <v>7.2703238598812447E-3</v>
      </c>
      <c r="AL29" s="17">
        <f t="shared" si="21"/>
        <v>4.6263079156272369E-3</v>
      </c>
      <c r="AM29" s="17">
        <f t="shared" si="21"/>
        <v>1.3851107984295119E-3</v>
      </c>
      <c r="AN29" s="17">
        <f t="shared" si="21"/>
        <v>1.4713933218066799E-3</v>
      </c>
      <c r="AO29" s="17">
        <f t="shared" si="21"/>
        <v>-9.6978660733137989E-4</v>
      </c>
      <c r="AP29" s="17">
        <f t="shared" si="21"/>
        <v>-1.3696774278214585E-3</v>
      </c>
      <c r="AQ29" s="17">
        <f t="shared" si="21"/>
        <v>-3.1891373167461934E-3</v>
      </c>
      <c r="AR29" s="17">
        <f t="shared" si="21"/>
        <v>-9.8957527236254172E-4</v>
      </c>
      <c r="AS29" s="17">
        <f t="shared" si="21"/>
        <v>-1.8583673221871377E-3</v>
      </c>
      <c r="AT29" s="17">
        <f t="shared" si="21"/>
        <v>-4.0824614588071961E-3</v>
      </c>
      <c r="AU29" s="17">
        <f t="shared" si="21"/>
        <v>-4.5076083267276967E-3</v>
      </c>
      <c r="AV29" s="17">
        <f t="shared" si="21"/>
        <v>-6.2136821580595081E-3</v>
      </c>
      <c r="AW29" s="17">
        <f t="shared" si="21"/>
        <v>-4.1394307960351817E-3</v>
      </c>
      <c r="AX29" s="17">
        <f t="shared" si="21"/>
        <v>-2.8084113768606089E-3</v>
      </c>
      <c r="AY29" s="17">
        <f t="shared" si="21"/>
        <v>-4.3076500272297702E-3</v>
      </c>
      <c r="AZ29" s="17">
        <f t="shared" ref="AZ29:BL29" si="27">AZ24/AU24-1</f>
        <v>-4.3249206276885221E-3</v>
      </c>
      <c r="BA29" s="17">
        <f t="shared" si="27"/>
        <v>-5.2990349358799094E-3</v>
      </c>
      <c r="BB29" s="17">
        <f t="shared" si="27"/>
        <v>-4.1704791296179877E-3</v>
      </c>
      <c r="BC29" s="17">
        <f t="shared" si="27"/>
        <v>-2.2665883652116525E-3</v>
      </c>
      <c r="BD29" s="17">
        <f t="shared" si="27"/>
        <v>-3.3442980722583338E-3</v>
      </c>
      <c r="BE29" s="17">
        <f t="shared" si="27"/>
        <v>-2.9366443690069799E-3</v>
      </c>
      <c r="BF29" s="17">
        <f t="shared" si="27"/>
        <v>-3.3556964531509248E-3</v>
      </c>
      <c r="BG29" s="17">
        <f t="shared" si="27"/>
        <v>-2.9723742640870299E-3</v>
      </c>
      <c r="BH29" s="17">
        <f t="shared" si="27"/>
        <v>-5.4980006569119722E-3</v>
      </c>
      <c r="BI29" s="17">
        <f t="shared" si="27"/>
        <v>-6.2713848712709908E-3</v>
      </c>
      <c r="BJ29" s="17">
        <f t="shared" si="27"/>
        <v>-5.7380428834986619E-3</v>
      </c>
      <c r="BK29" s="17">
        <f t="shared" si="27"/>
        <v>-5.8767421191476821E-3</v>
      </c>
      <c r="BL29" s="17">
        <f t="shared" si="27"/>
        <v>-5.8478237396619726E-3</v>
      </c>
    </row>
    <row r="31" spans="1:64" s="2" customFormat="1">
      <c r="A31" s="4" t="s">
        <v>1779</v>
      </c>
      <c r="T31" s="68" t="s">
        <v>1770</v>
      </c>
    </row>
    <row r="33" spans="1:64">
      <c r="A33" s="3" t="s">
        <v>1780</v>
      </c>
    </row>
    <row r="34" spans="1:64">
      <c r="A34" s="5" t="s">
        <v>1781</v>
      </c>
      <c r="I34" s="383">
        <v>20135</v>
      </c>
      <c r="J34" s="383">
        <v>20716</v>
      </c>
      <c r="K34" s="383">
        <v>21094</v>
      </c>
      <c r="L34" s="383">
        <v>21464</v>
      </c>
      <c r="M34" s="383">
        <v>22082</v>
      </c>
      <c r="N34" s="369">
        <f>M34</f>
        <v>22082</v>
      </c>
      <c r="O34" s="383">
        <v>22453</v>
      </c>
      <c r="P34" s="383">
        <v>23034</v>
      </c>
      <c r="Q34" s="383">
        <v>23483</v>
      </c>
      <c r="R34" s="383">
        <v>24134</v>
      </c>
      <c r="S34" s="369">
        <f>R34</f>
        <v>24134</v>
      </c>
      <c r="T34" s="383">
        <v>24497</v>
      </c>
      <c r="U34" s="383">
        <v>25001</v>
      </c>
      <c r="V34" s="383">
        <v>25409</v>
      </c>
      <c r="W34" s="383">
        <v>25926</v>
      </c>
      <c r="X34" s="369">
        <f>W34</f>
        <v>25926</v>
      </c>
      <c r="Y34" s="383">
        <v>26177</v>
      </c>
      <c r="Z34" s="383">
        <v>26504</v>
      </c>
      <c r="AA34" s="383">
        <v>26892</v>
      </c>
      <c r="AB34" s="383">
        <v>27580</v>
      </c>
      <c r="AC34" s="369">
        <f>AB34</f>
        <v>27580</v>
      </c>
      <c r="AD34" s="383">
        <v>27923</v>
      </c>
      <c r="AE34" s="383">
        <v>28318</v>
      </c>
      <c r="AF34" s="383">
        <v>28654</v>
      </c>
      <c r="AG34" s="383">
        <v>29262</v>
      </c>
      <c r="AH34" s="369">
        <f>AG34</f>
        <v>29262</v>
      </c>
      <c r="AI34" s="383">
        <v>29578</v>
      </c>
      <c r="AJ34" s="383">
        <v>29895</v>
      </c>
      <c r="AK34" s="383">
        <v>30205</v>
      </c>
      <c r="AL34" s="369">
        <f t="shared" ref="AL34:AL36" si="28">AK34+AL45</f>
        <v>30691.4</v>
      </c>
      <c r="AM34" s="369">
        <f>AL34</f>
        <v>30691.4</v>
      </c>
      <c r="AN34" s="369">
        <f>AM34+AN45</f>
        <v>30928.400000000001</v>
      </c>
      <c r="AO34" s="369">
        <f t="shared" ref="AO34:AQ36" si="29">AN34+AO45</f>
        <v>31166.15</v>
      </c>
      <c r="AP34" s="369">
        <f t="shared" si="29"/>
        <v>31398.65</v>
      </c>
      <c r="AQ34" s="369">
        <f t="shared" si="29"/>
        <v>31763.45</v>
      </c>
      <c r="AR34" s="369">
        <f>AQ34</f>
        <v>31763.45</v>
      </c>
      <c r="AS34" s="369">
        <f>AR34+AS45</f>
        <v>31922.240000000002</v>
      </c>
      <c r="AT34" s="369">
        <f t="shared" ref="AT34:AV36" si="30">AS34+AT45</f>
        <v>32081.532500000001</v>
      </c>
      <c r="AU34" s="369">
        <f t="shared" si="30"/>
        <v>32237.307500000003</v>
      </c>
      <c r="AV34" s="369">
        <f t="shared" si="30"/>
        <v>32481.723500000004</v>
      </c>
      <c r="AW34" s="369">
        <f>AV34</f>
        <v>32481.723500000004</v>
      </c>
      <c r="AX34" s="369">
        <f>AW34+AX45</f>
        <v>32588.112800000003</v>
      </c>
      <c r="AY34" s="369">
        <f t="shared" ref="AY34:BA36" si="31">AX34+AY45</f>
        <v>32694.838775000004</v>
      </c>
      <c r="AZ34" s="369">
        <f t="shared" si="31"/>
        <v>32799.208025000007</v>
      </c>
      <c r="BA34" s="369">
        <f t="shared" si="31"/>
        <v>32962.966745000005</v>
      </c>
      <c r="BB34" s="369">
        <f>BA34</f>
        <v>32962.966745000005</v>
      </c>
      <c r="BC34" s="369">
        <f>BB34+BC45</f>
        <v>33034.247576000002</v>
      </c>
      <c r="BD34" s="369">
        <f t="shared" ref="BD34:BF36" si="32">BC34+BD45</f>
        <v>33105.753979250003</v>
      </c>
      <c r="BE34" s="369">
        <f t="shared" si="32"/>
        <v>33175.681376750006</v>
      </c>
      <c r="BF34" s="369">
        <f t="shared" si="32"/>
        <v>33285.399719150009</v>
      </c>
      <c r="BG34" s="369">
        <f>BF34</f>
        <v>33285.399719150009</v>
      </c>
      <c r="BH34" s="369">
        <f>BG34+BH45</f>
        <v>33333.157875920013</v>
      </c>
      <c r="BI34" s="369">
        <f t="shared" ref="BI34:BK36" si="33">BH34+BI45</f>
        <v>33381.067166097513</v>
      </c>
      <c r="BJ34" s="369">
        <f t="shared" si="33"/>
        <v>33427.918522422515</v>
      </c>
      <c r="BK34" s="369">
        <f t="shared" si="33"/>
        <v>33501.429811830516</v>
      </c>
      <c r="BL34" s="369">
        <f>BK34</f>
        <v>33501.429811830516</v>
      </c>
    </row>
    <row r="35" spans="1:64">
      <c r="A35" s="5" t="s">
        <v>1782</v>
      </c>
      <c r="I35" s="383">
        <v>265</v>
      </c>
      <c r="J35" s="383">
        <v>325</v>
      </c>
      <c r="K35" s="383">
        <v>376</v>
      </c>
      <c r="L35" s="383">
        <v>422</v>
      </c>
      <c r="M35" s="383">
        <v>457</v>
      </c>
      <c r="N35" s="369">
        <f>M35</f>
        <v>457</v>
      </c>
      <c r="O35" s="383">
        <v>484</v>
      </c>
      <c r="P35" s="383">
        <v>507</v>
      </c>
      <c r="Q35" s="383">
        <v>525</v>
      </c>
      <c r="R35" s="383">
        <v>544</v>
      </c>
      <c r="S35" s="369">
        <f>R35</f>
        <v>544</v>
      </c>
      <c r="T35" s="383">
        <v>550</v>
      </c>
      <c r="U35" s="383">
        <v>560</v>
      </c>
      <c r="V35" s="383">
        <v>564</v>
      </c>
      <c r="W35" s="383">
        <v>560</v>
      </c>
      <c r="X35" s="369">
        <f>W35</f>
        <v>560</v>
      </c>
      <c r="Y35" s="383">
        <v>564</v>
      </c>
      <c r="Z35" s="383">
        <v>565</v>
      </c>
      <c r="AA35" s="383">
        <v>584</v>
      </c>
      <c r="AB35" s="383">
        <v>607</v>
      </c>
      <c r="AC35" s="369">
        <f>AB35</f>
        <v>607</v>
      </c>
      <c r="AD35" s="383">
        <v>626</v>
      </c>
      <c r="AE35" s="383">
        <v>656</v>
      </c>
      <c r="AF35" s="383">
        <v>681</v>
      </c>
      <c r="AG35" s="383">
        <v>710</v>
      </c>
      <c r="AH35" s="369">
        <f>AG35</f>
        <v>710</v>
      </c>
      <c r="AI35" s="383">
        <v>738</v>
      </c>
      <c r="AJ35" s="383">
        <v>761</v>
      </c>
      <c r="AK35" s="383">
        <v>778</v>
      </c>
      <c r="AL35" s="369">
        <f t="shared" si="28"/>
        <v>802.65</v>
      </c>
      <c r="AM35" s="369">
        <f>AL35</f>
        <v>802.65</v>
      </c>
      <c r="AN35" s="369">
        <f>AM35+AN46</f>
        <v>826.44999999999993</v>
      </c>
      <c r="AO35" s="369">
        <f t="shared" si="29"/>
        <v>845.99999999999989</v>
      </c>
      <c r="AP35" s="369">
        <f t="shared" si="29"/>
        <v>860.44999999999993</v>
      </c>
      <c r="AQ35" s="369">
        <f t="shared" si="29"/>
        <v>881.40249999999992</v>
      </c>
      <c r="AR35" s="369">
        <f>AQ35</f>
        <v>881.40249999999992</v>
      </c>
      <c r="AS35" s="369">
        <f>AR35+AS46</f>
        <v>901.63249999999994</v>
      </c>
      <c r="AT35" s="369">
        <f t="shared" si="30"/>
        <v>918.24999999999989</v>
      </c>
      <c r="AU35" s="369">
        <f t="shared" si="30"/>
        <v>930.53249999999991</v>
      </c>
      <c r="AV35" s="369">
        <f t="shared" si="30"/>
        <v>948.3421249999999</v>
      </c>
      <c r="AW35" s="369">
        <f>AV35</f>
        <v>948.3421249999999</v>
      </c>
      <c r="AX35" s="369">
        <f>AW35+AX46</f>
        <v>965.53762499999993</v>
      </c>
      <c r="AY35" s="369">
        <f t="shared" si="31"/>
        <v>979.66249999999991</v>
      </c>
      <c r="AZ35" s="369">
        <f t="shared" si="31"/>
        <v>990.10262499999988</v>
      </c>
      <c r="BA35" s="369">
        <f t="shared" si="31"/>
        <v>1005.2408062499999</v>
      </c>
      <c r="BB35" s="369">
        <f>BA35</f>
        <v>1005.2408062499999</v>
      </c>
      <c r="BC35" s="369">
        <f>BB35+BC46</f>
        <v>1019.8569812499999</v>
      </c>
      <c r="BD35" s="369">
        <f t="shared" si="32"/>
        <v>1031.8631249999999</v>
      </c>
      <c r="BE35" s="369">
        <f t="shared" si="32"/>
        <v>1040.7372312499999</v>
      </c>
      <c r="BF35" s="369">
        <f t="shared" si="32"/>
        <v>1053.6046853124999</v>
      </c>
      <c r="BG35" s="369">
        <f>BF35</f>
        <v>1053.6046853124999</v>
      </c>
      <c r="BH35" s="369">
        <f>BG35+BH46</f>
        <v>1066.0284340624999</v>
      </c>
      <c r="BI35" s="369">
        <f t="shared" si="33"/>
        <v>1076.23365625</v>
      </c>
      <c r="BJ35" s="369">
        <f t="shared" si="33"/>
        <v>1083.7766465625</v>
      </c>
      <c r="BK35" s="369">
        <f t="shared" si="33"/>
        <v>1094.713982515625</v>
      </c>
      <c r="BL35" s="369">
        <f>BK35</f>
        <v>1094.713982515625</v>
      </c>
    </row>
    <row r="36" spans="1:64">
      <c r="A36" s="5" t="s">
        <v>192</v>
      </c>
      <c r="I36" s="369">
        <f>I37-SUM(I34:I35)</f>
        <v>12775</v>
      </c>
      <c r="J36" s="369">
        <f>J37-SUM(J34:J35)</f>
        <v>12568</v>
      </c>
      <c r="K36" s="369">
        <f>K37-SUM(K34:K35)</f>
        <v>12484</v>
      </c>
      <c r="L36" s="369">
        <f>L37-SUM(L34:L35)</f>
        <v>12337</v>
      </c>
      <c r="M36" s="369">
        <f>M37-SUM(M34:M35)</f>
        <v>12202</v>
      </c>
      <c r="N36" s="369">
        <f>M36</f>
        <v>12202</v>
      </c>
      <c r="O36" s="369">
        <f>O37-SUM(O34:O35)</f>
        <v>12073</v>
      </c>
      <c r="P36" s="369">
        <f>P37-SUM(P34:P35)</f>
        <v>12018</v>
      </c>
      <c r="Q36" s="369">
        <f>Q37-SUM(Q34:Q35)</f>
        <v>11919</v>
      </c>
      <c r="R36" s="369">
        <f>R37-SUM(R34:R35)</f>
        <v>11821</v>
      </c>
      <c r="S36" s="369">
        <f>R36</f>
        <v>11821</v>
      </c>
      <c r="T36" s="369">
        <f>T37-SUM(T34:T35)</f>
        <v>11820</v>
      </c>
      <c r="U36" s="369">
        <f>U37-SUM(U34:U35)</f>
        <v>11720</v>
      </c>
      <c r="V36" s="369">
        <f>V37-SUM(V34:V35)</f>
        <v>11524</v>
      </c>
      <c r="W36" s="369">
        <f>W37-SUM(W34:W35)</f>
        <v>11424</v>
      </c>
      <c r="X36" s="369">
        <f>W36</f>
        <v>11424</v>
      </c>
      <c r="Y36" s="369">
        <f>Y37-SUM(Y34:Y35)</f>
        <v>11182</v>
      </c>
      <c r="Z36" s="369">
        <f>Z37-SUM(Z34:Z35)</f>
        <v>10919</v>
      </c>
      <c r="AA36" s="369">
        <f>AA37-SUM(AA34:AA35)</f>
        <v>10695</v>
      </c>
      <c r="AB36" s="369">
        <f>AB37-SUM(AB34:AB35)</f>
        <v>10382</v>
      </c>
      <c r="AC36" s="369">
        <f>AB36</f>
        <v>10382</v>
      </c>
      <c r="AD36" s="369">
        <f>AD37-SUM(AD34:AD35)</f>
        <v>10158</v>
      </c>
      <c r="AE36" s="369">
        <f>AE37-SUM(AE34:AE35)</f>
        <v>9934</v>
      </c>
      <c r="AF36" s="369">
        <f>AF37-SUM(AF34:AF35)</f>
        <v>9832</v>
      </c>
      <c r="AG36" s="369">
        <f>AG37-SUM(AG34:AG35)</f>
        <v>9624</v>
      </c>
      <c r="AH36" s="369">
        <f>AG36</f>
        <v>9624</v>
      </c>
      <c r="AI36" s="369">
        <f>AI37-SUM(AI34:AI35)</f>
        <v>9460</v>
      </c>
      <c r="AJ36" s="369">
        <f>AJ37-SUM(AJ34:AJ35)</f>
        <v>9338</v>
      </c>
      <c r="AK36" s="369">
        <f>AK37-SUM(AK34:AK35)</f>
        <v>9129</v>
      </c>
      <c r="AL36" s="369">
        <f t="shared" si="28"/>
        <v>8954</v>
      </c>
      <c r="AM36" s="369">
        <f>AL36</f>
        <v>8954</v>
      </c>
      <c r="AN36" s="369">
        <f>AM36+AN47</f>
        <v>8804</v>
      </c>
      <c r="AO36" s="369">
        <f t="shared" si="29"/>
        <v>8654</v>
      </c>
      <c r="AP36" s="369">
        <f t="shared" si="29"/>
        <v>8504</v>
      </c>
      <c r="AQ36" s="369">
        <f t="shared" si="29"/>
        <v>8354</v>
      </c>
      <c r="AR36" s="369">
        <f>AQ36</f>
        <v>8354</v>
      </c>
      <c r="AS36" s="369">
        <f>AR36+AS47</f>
        <v>8229</v>
      </c>
      <c r="AT36" s="369">
        <f t="shared" si="30"/>
        <v>8104</v>
      </c>
      <c r="AU36" s="369">
        <f t="shared" si="30"/>
        <v>7979</v>
      </c>
      <c r="AV36" s="369">
        <f t="shared" si="30"/>
        <v>7854</v>
      </c>
      <c r="AW36" s="369">
        <f>AV36</f>
        <v>7854</v>
      </c>
      <c r="AX36" s="369">
        <f>AW36+AX47</f>
        <v>7729</v>
      </c>
      <c r="AY36" s="369">
        <f t="shared" si="31"/>
        <v>7604</v>
      </c>
      <c r="AZ36" s="369">
        <f t="shared" si="31"/>
        <v>7479</v>
      </c>
      <c r="BA36" s="369">
        <f t="shared" si="31"/>
        <v>7354</v>
      </c>
      <c r="BB36" s="369">
        <f>BA36</f>
        <v>7354</v>
      </c>
      <c r="BC36" s="369">
        <f>BB36+BC47</f>
        <v>7229</v>
      </c>
      <c r="BD36" s="369">
        <f t="shared" si="32"/>
        <v>7104</v>
      </c>
      <c r="BE36" s="369">
        <f t="shared" si="32"/>
        <v>6979</v>
      </c>
      <c r="BF36" s="369">
        <f t="shared" si="32"/>
        <v>6854</v>
      </c>
      <c r="BG36" s="369">
        <f>BF36</f>
        <v>6854</v>
      </c>
      <c r="BH36" s="369">
        <f>BG36+BH47</f>
        <v>6729</v>
      </c>
      <c r="BI36" s="369">
        <f t="shared" si="33"/>
        <v>6604</v>
      </c>
      <c r="BJ36" s="369">
        <f t="shared" si="33"/>
        <v>6479</v>
      </c>
      <c r="BK36" s="369">
        <f t="shared" si="33"/>
        <v>6354</v>
      </c>
      <c r="BL36" s="369">
        <f>BK36</f>
        <v>6354</v>
      </c>
    </row>
    <row r="37" spans="1:64">
      <c r="A37" s="9" t="s">
        <v>1783</v>
      </c>
      <c r="B37" s="9"/>
      <c r="C37" s="9"/>
      <c r="D37" s="9"/>
      <c r="E37" s="9"/>
      <c r="F37" s="9"/>
      <c r="G37" s="9"/>
      <c r="H37" s="9"/>
      <c r="I37" s="411">
        <v>33175</v>
      </c>
      <c r="J37" s="411">
        <v>33609</v>
      </c>
      <c r="K37" s="411">
        <v>33954</v>
      </c>
      <c r="L37" s="411">
        <v>34223</v>
      </c>
      <c r="M37" s="411">
        <v>34741</v>
      </c>
      <c r="N37" s="374">
        <f>SUM(N34:N36)</f>
        <v>34741</v>
      </c>
      <c r="O37" s="411">
        <v>35010</v>
      </c>
      <c r="P37" s="411">
        <v>35559</v>
      </c>
      <c r="Q37" s="411">
        <v>35927</v>
      </c>
      <c r="R37" s="411">
        <v>36499</v>
      </c>
      <c r="S37" s="374">
        <f>SUM(S34:S36)</f>
        <v>36499</v>
      </c>
      <c r="T37" s="411">
        <v>36867</v>
      </c>
      <c r="U37" s="411">
        <v>37281</v>
      </c>
      <c r="V37" s="411">
        <v>37497</v>
      </c>
      <c r="W37" s="411">
        <v>37910</v>
      </c>
      <c r="X37" s="374">
        <f>SUM(X34:X36)</f>
        <v>37910</v>
      </c>
      <c r="Y37" s="411">
        <v>37923</v>
      </c>
      <c r="Z37" s="411">
        <v>37988</v>
      </c>
      <c r="AA37" s="411">
        <v>38171</v>
      </c>
      <c r="AB37" s="411">
        <v>38569</v>
      </c>
      <c r="AC37" s="374">
        <f>SUM(AC34:AC36)</f>
        <v>38569</v>
      </c>
      <c r="AD37" s="411">
        <v>38707</v>
      </c>
      <c r="AE37" s="411">
        <v>38908</v>
      </c>
      <c r="AF37" s="411">
        <v>39167</v>
      </c>
      <c r="AG37" s="411">
        <v>39596</v>
      </c>
      <c r="AH37" s="374">
        <f>SUM(AH34:AH36)</f>
        <v>39596</v>
      </c>
      <c r="AI37" s="411">
        <v>39776</v>
      </c>
      <c r="AJ37" s="411">
        <v>39994</v>
      </c>
      <c r="AK37" s="411">
        <v>40112</v>
      </c>
      <c r="AL37" s="374">
        <f t="shared" ref="AL37:BL37" si="34">SUM(AL34:AL36)</f>
        <v>40448.050000000003</v>
      </c>
      <c r="AM37" s="374">
        <f t="shared" si="34"/>
        <v>40448.050000000003</v>
      </c>
      <c r="AN37" s="374">
        <f t="shared" si="34"/>
        <v>40558.850000000006</v>
      </c>
      <c r="AO37" s="374">
        <f t="shared" si="34"/>
        <v>40666.15</v>
      </c>
      <c r="AP37" s="374">
        <f t="shared" si="34"/>
        <v>40763.100000000006</v>
      </c>
      <c r="AQ37" s="374">
        <f t="shared" si="34"/>
        <v>40998.852500000001</v>
      </c>
      <c r="AR37" s="374">
        <f t="shared" si="34"/>
        <v>40998.852500000001</v>
      </c>
      <c r="AS37" s="374">
        <f t="shared" si="34"/>
        <v>41052.872500000005</v>
      </c>
      <c r="AT37" s="374">
        <f t="shared" si="34"/>
        <v>41103.782500000001</v>
      </c>
      <c r="AU37" s="374">
        <f t="shared" si="34"/>
        <v>41146.840000000004</v>
      </c>
      <c r="AV37" s="374">
        <f t="shared" si="34"/>
        <v>41284.065625000003</v>
      </c>
      <c r="AW37" s="374">
        <f t="shared" si="34"/>
        <v>41284.065625000003</v>
      </c>
      <c r="AX37" s="374">
        <f t="shared" si="34"/>
        <v>41282.650425</v>
      </c>
      <c r="AY37" s="374">
        <f t="shared" si="34"/>
        <v>41278.501275000002</v>
      </c>
      <c r="AZ37" s="374">
        <f t="shared" si="34"/>
        <v>41268.310650000007</v>
      </c>
      <c r="BA37" s="374">
        <f t="shared" si="34"/>
        <v>41322.207551250001</v>
      </c>
      <c r="BB37" s="374">
        <f t="shared" si="34"/>
        <v>41322.207551250001</v>
      </c>
      <c r="BC37" s="374">
        <f t="shared" si="34"/>
        <v>41283.104557250001</v>
      </c>
      <c r="BD37" s="374">
        <f t="shared" si="34"/>
        <v>41241.617104250006</v>
      </c>
      <c r="BE37" s="374">
        <f t="shared" si="34"/>
        <v>41195.418608000007</v>
      </c>
      <c r="BF37" s="374">
        <f t="shared" si="34"/>
        <v>41193.00440446251</v>
      </c>
      <c r="BG37" s="374">
        <f t="shared" si="34"/>
        <v>41193.00440446251</v>
      </c>
      <c r="BH37" s="374">
        <f t="shared" si="34"/>
        <v>41128.186309982513</v>
      </c>
      <c r="BI37" s="374">
        <f t="shared" si="34"/>
        <v>41061.300822347512</v>
      </c>
      <c r="BJ37" s="374">
        <f t="shared" si="34"/>
        <v>40990.695168985018</v>
      </c>
      <c r="BK37" s="374">
        <f t="shared" si="34"/>
        <v>40950.143794346142</v>
      </c>
      <c r="BL37" s="374">
        <f t="shared" si="34"/>
        <v>40950.143794346142</v>
      </c>
    </row>
    <row r="38" spans="1:64">
      <c r="A38" s="5" t="s">
        <v>1784</v>
      </c>
      <c r="I38" s="383">
        <v>6877</v>
      </c>
      <c r="J38" s="383">
        <v>6916</v>
      </c>
      <c r="K38" s="383">
        <v>7152</v>
      </c>
      <c r="L38" s="383">
        <v>7352</v>
      </c>
      <c r="M38" s="383">
        <v>7738</v>
      </c>
      <c r="N38" s="369">
        <f>M38</f>
        <v>7738</v>
      </c>
      <c r="O38" s="383">
        <v>7777</v>
      </c>
      <c r="P38" s="383">
        <v>7325</v>
      </c>
      <c r="Q38" s="383">
        <v>7504</v>
      </c>
      <c r="R38" s="383">
        <v>7663</v>
      </c>
      <c r="S38" s="369">
        <f>R38</f>
        <v>7663</v>
      </c>
      <c r="T38" s="383">
        <v>7805</v>
      </c>
      <c r="U38" s="383">
        <v>8056</v>
      </c>
      <c r="V38" s="383">
        <v>8294</v>
      </c>
      <c r="W38" s="383">
        <v>8714</v>
      </c>
      <c r="X38" s="369">
        <f>W38</f>
        <v>8714</v>
      </c>
      <c r="Y38" s="383">
        <v>9155</v>
      </c>
      <c r="Z38" s="383">
        <v>9638</v>
      </c>
      <c r="AA38" s="383">
        <v>10116</v>
      </c>
      <c r="AB38" s="383">
        <v>10603</v>
      </c>
      <c r="AC38" s="369">
        <f>AB38</f>
        <v>10603</v>
      </c>
      <c r="AD38" s="383">
        <v>10923</v>
      </c>
      <c r="AE38" s="383">
        <v>11347</v>
      </c>
      <c r="AF38" s="383">
        <v>11960</v>
      </c>
      <c r="AG38" s="383">
        <v>12621</v>
      </c>
      <c r="AH38" s="369">
        <f>AG38</f>
        <v>12621</v>
      </c>
      <c r="AI38" s="383">
        <v>12962</v>
      </c>
      <c r="AJ38" s="383">
        <v>13956</v>
      </c>
      <c r="AK38" s="383">
        <v>14525</v>
      </c>
      <c r="AL38" s="369">
        <f>AK38+AL49</f>
        <v>15175</v>
      </c>
      <c r="AM38" s="369">
        <f>AL38</f>
        <v>15175</v>
      </c>
      <c r="AN38" s="369">
        <f>AM38+AN49</f>
        <v>15600</v>
      </c>
      <c r="AO38" s="369">
        <f t="shared" ref="AO38:AQ38" si="35">AN38+AO49</f>
        <v>16025</v>
      </c>
      <c r="AP38" s="369">
        <f t="shared" si="35"/>
        <v>16451.75</v>
      </c>
      <c r="AQ38" s="369">
        <f t="shared" si="35"/>
        <v>16939.25</v>
      </c>
      <c r="AR38" s="369">
        <f>AQ38</f>
        <v>16939.25</v>
      </c>
      <c r="AS38" s="369">
        <f>AR38+AS49</f>
        <v>17258</v>
      </c>
      <c r="AT38" s="369">
        <f t="shared" ref="AT38:AV38" si="36">AS38+AT49</f>
        <v>17576.75</v>
      </c>
      <c r="AU38" s="369">
        <f t="shared" si="36"/>
        <v>17896.8125</v>
      </c>
      <c r="AV38" s="369">
        <f t="shared" si="36"/>
        <v>18262.4375</v>
      </c>
      <c r="AW38" s="369">
        <f>AV38</f>
        <v>18262.4375</v>
      </c>
      <c r="AX38" s="369">
        <f>AW38+AX49</f>
        <v>18501.5</v>
      </c>
      <c r="AY38" s="369">
        <f t="shared" ref="AY38:BA38" si="37">AX38+AY49</f>
        <v>18740.5625</v>
      </c>
      <c r="AZ38" s="369">
        <f t="shared" si="37"/>
        <v>18980.609375</v>
      </c>
      <c r="BA38" s="369">
        <f t="shared" si="37"/>
        <v>19254.828125</v>
      </c>
      <c r="BB38" s="369">
        <f>BA38</f>
        <v>19254.828125</v>
      </c>
      <c r="BC38" s="369">
        <f>BB38+BC49</f>
        <v>19434.125</v>
      </c>
      <c r="BD38" s="369">
        <f t="shared" ref="BD38:BF38" si="38">BC38+BD49</f>
        <v>19613.421875</v>
      </c>
      <c r="BE38" s="369">
        <f t="shared" si="38"/>
        <v>19793.45703125</v>
      </c>
      <c r="BF38" s="369">
        <f t="shared" si="38"/>
        <v>19999.12109375</v>
      </c>
      <c r="BG38" s="369">
        <f>BF38</f>
        <v>19999.12109375</v>
      </c>
      <c r="BH38" s="369">
        <f>BG38+BH49</f>
        <v>20133.59375</v>
      </c>
      <c r="BI38" s="369">
        <f t="shared" ref="BI38:BK38" si="39">BH38+BI49</f>
        <v>20268.06640625</v>
      </c>
      <c r="BJ38" s="369">
        <f t="shared" si="39"/>
        <v>20403.0927734375</v>
      </c>
      <c r="BK38" s="369">
        <f t="shared" si="39"/>
        <v>20557.3408203125</v>
      </c>
      <c r="BL38" s="369">
        <f>BK38</f>
        <v>20557.3408203125</v>
      </c>
    </row>
    <row r="39" spans="1:64">
      <c r="A39" s="5" t="s">
        <v>1785</v>
      </c>
      <c r="I39" s="383">
        <v>2598</v>
      </c>
      <c r="J39" s="383">
        <v>2417</v>
      </c>
      <c r="K39" s="383">
        <v>2241</v>
      </c>
      <c r="L39" s="383">
        <v>2148</v>
      </c>
      <c r="M39" s="383">
        <v>2057</v>
      </c>
      <c r="N39" s="369">
        <f>M39</f>
        <v>2057</v>
      </c>
      <c r="O39" s="383">
        <v>1985</v>
      </c>
      <c r="P39" s="383">
        <v>1906</v>
      </c>
      <c r="Q39" s="383">
        <v>1753</v>
      </c>
      <c r="R39" s="383">
        <v>1616</v>
      </c>
      <c r="S39" s="369">
        <f>R39</f>
        <v>1616</v>
      </c>
      <c r="T39" s="383">
        <v>1459</v>
      </c>
      <c r="U39" s="383">
        <v>1232</v>
      </c>
      <c r="V39" s="383">
        <v>1087</v>
      </c>
      <c r="W39" s="383">
        <v>660</v>
      </c>
      <c r="X39" s="369">
        <f>W39</f>
        <v>660</v>
      </c>
      <c r="Y39" s="383">
        <v>578</v>
      </c>
      <c r="Z39" s="383">
        <v>494</v>
      </c>
      <c r="AA39" s="383">
        <v>420</v>
      </c>
      <c r="AB39" s="383">
        <v>337</v>
      </c>
      <c r="AC39" s="369">
        <f>AB39</f>
        <v>337</v>
      </c>
      <c r="AD39" s="383">
        <v>266</v>
      </c>
      <c r="AE39" s="383">
        <v>183</v>
      </c>
      <c r="AF39" s="383">
        <v>120</v>
      </c>
      <c r="AG39" s="383">
        <v>64</v>
      </c>
      <c r="AH39" s="369">
        <f>AG39</f>
        <v>64</v>
      </c>
      <c r="AI39" s="383">
        <v>0</v>
      </c>
      <c r="AJ39" s="383">
        <v>0</v>
      </c>
      <c r="AK39" s="383">
        <v>0</v>
      </c>
      <c r="AL39" s="369"/>
      <c r="AM39" s="369"/>
      <c r="AN39" s="369"/>
      <c r="AO39" s="369"/>
      <c r="AP39" s="369"/>
      <c r="AQ39" s="369"/>
      <c r="AR39" s="369"/>
      <c r="AS39" s="369"/>
      <c r="AT39" s="369"/>
      <c r="AU39" s="369"/>
      <c r="AV39" s="369"/>
      <c r="AW39" s="369"/>
      <c r="AX39" s="369"/>
      <c r="AY39" s="369"/>
      <c r="AZ39" s="369"/>
      <c r="BA39" s="369"/>
      <c r="BB39" s="369"/>
      <c r="BC39" s="369"/>
      <c r="BD39" s="369"/>
      <c r="BE39" s="369"/>
      <c r="BF39" s="369"/>
      <c r="BG39" s="369"/>
      <c r="BH39" s="369"/>
      <c r="BI39" s="369"/>
      <c r="BJ39" s="369"/>
      <c r="BK39" s="369"/>
      <c r="BL39" s="369"/>
    </row>
    <row r="40" spans="1:64">
      <c r="A40" s="9" t="s">
        <v>1786</v>
      </c>
      <c r="B40" s="9"/>
      <c r="C40" s="9"/>
      <c r="D40" s="9"/>
      <c r="E40" s="9"/>
      <c r="F40" s="9"/>
      <c r="G40" s="9"/>
      <c r="H40" s="9"/>
      <c r="I40" s="9">
        <f t="shared" ref="I40:AQ40" si="40">SUM(I37:I39)</f>
        <v>42650</v>
      </c>
      <c r="J40" s="374">
        <f t="shared" si="40"/>
        <v>42942</v>
      </c>
      <c r="K40" s="374">
        <f t="shared" si="40"/>
        <v>43347</v>
      </c>
      <c r="L40" s="374">
        <f t="shared" si="40"/>
        <v>43723</v>
      </c>
      <c r="M40" s="374">
        <f t="shared" si="40"/>
        <v>44536</v>
      </c>
      <c r="N40" s="374">
        <f t="shared" si="40"/>
        <v>44536</v>
      </c>
      <c r="O40" s="374">
        <f t="shared" si="40"/>
        <v>44772</v>
      </c>
      <c r="P40" s="374">
        <f t="shared" si="40"/>
        <v>44790</v>
      </c>
      <c r="Q40" s="374">
        <f t="shared" si="40"/>
        <v>45184</v>
      </c>
      <c r="R40" s="374">
        <f t="shared" si="40"/>
        <v>45778</v>
      </c>
      <c r="S40" s="374">
        <f t="shared" si="40"/>
        <v>45778</v>
      </c>
      <c r="T40" s="374">
        <f t="shared" si="40"/>
        <v>46131</v>
      </c>
      <c r="U40" s="374">
        <f t="shared" si="40"/>
        <v>46569</v>
      </c>
      <c r="V40" s="374">
        <f t="shared" si="40"/>
        <v>46878</v>
      </c>
      <c r="W40" s="374">
        <f t="shared" si="40"/>
        <v>47284</v>
      </c>
      <c r="X40" s="374">
        <f t="shared" si="40"/>
        <v>47284</v>
      </c>
      <c r="Y40" s="374">
        <f t="shared" si="40"/>
        <v>47656</v>
      </c>
      <c r="Z40" s="374">
        <f t="shared" si="40"/>
        <v>48120</v>
      </c>
      <c r="AA40" s="374">
        <f t="shared" si="40"/>
        <v>48707</v>
      </c>
      <c r="AB40" s="374">
        <f t="shared" si="40"/>
        <v>49509</v>
      </c>
      <c r="AC40" s="374">
        <f t="shared" si="40"/>
        <v>49509</v>
      </c>
      <c r="AD40" s="374">
        <f t="shared" si="40"/>
        <v>49896</v>
      </c>
      <c r="AE40" s="374">
        <f t="shared" si="40"/>
        <v>50438</v>
      </c>
      <c r="AF40" s="374">
        <f t="shared" si="40"/>
        <v>51247</v>
      </c>
      <c r="AG40" s="374">
        <f t="shared" si="40"/>
        <v>52281</v>
      </c>
      <c r="AH40" s="374">
        <f t="shared" si="40"/>
        <v>52281</v>
      </c>
      <c r="AI40" s="374">
        <f t="shared" si="40"/>
        <v>52738</v>
      </c>
      <c r="AJ40" s="374">
        <f t="shared" si="40"/>
        <v>53950</v>
      </c>
      <c r="AK40" s="374">
        <f t="shared" si="40"/>
        <v>54637</v>
      </c>
      <c r="AL40" s="374">
        <f t="shared" si="40"/>
        <v>55623.05</v>
      </c>
      <c r="AM40" s="374">
        <f t="shared" si="40"/>
        <v>55623.05</v>
      </c>
      <c r="AN40" s="374">
        <f t="shared" si="40"/>
        <v>56158.850000000006</v>
      </c>
      <c r="AO40" s="374">
        <f t="shared" si="40"/>
        <v>56691.15</v>
      </c>
      <c r="AP40" s="374">
        <f t="shared" si="40"/>
        <v>57214.850000000006</v>
      </c>
      <c r="AQ40" s="374">
        <f t="shared" si="40"/>
        <v>57938.102500000001</v>
      </c>
      <c r="AR40" s="374">
        <f>SUM(AR37:AR39)</f>
        <v>57938.102500000001</v>
      </c>
      <c r="AS40" s="374">
        <f>SUM(AS37:AS39)</f>
        <v>58310.872500000005</v>
      </c>
      <c r="AT40" s="374">
        <f t="shared" ref="AT40:AV40" si="41">SUM(AT37:AT39)</f>
        <v>58680.532500000001</v>
      </c>
      <c r="AU40" s="374">
        <f t="shared" si="41"/>
        <v>59043.652500000004</v>
      </c>
      <c r="AV40" s="374">
        <f t="shared" si="41"/>
        <v>59546.503125000003</v>
      </c>
      <c r="AW40" s="374">
        <f>SUM(AW37:AW39)</f>
        <v>59546.503125000003</v>
      </c>
      <c r="AX40" s="374">
        <f>SUM(AX37:AX39)</f>
        <v>59784.150425</v>
      </c>
      <c r="AY40" s="374">
        <f t="shared" ref="AY40:BA40" si="42">SUM(AY37:AY39)</f>
        <v>60019.063775000002</v>
      </c>
      <c r="AZ40" s="374">
        <f t="shared" si="42"/>
        <v>60248.920025000007</v>
      </c>
      <c r="BA40" s="374">
        <f t="shared" si="42"/>
        <v>60577.035676250001</v>
      </c>
      <c r="BB40" s="374">
        <f>SUM(BB37:BB39)</f>
        <v>60577.035676250001</v>
      </c>
      <c r="BC40" s="374">
        <f>SUM(BC37:BC39)</f>
        <v>60717.229557250001</v>
      </c>
      <c r="BD40" s="374">
        <f t="shared" ref="BD40:BF40" si="43">SUM(BD37:BD39)</f>
        <v>60855.038979250006</v>
      </c>
      <c r="BE40" s="374">
        <f t="shared" si="43"/>
        <v>60988.875639250007</v>
      </c>
      <c r="BF40" s="374">
        <f t="shared" si="43"/>
        <v>61192.12549821251</v>
      </c>
      <c r="BG40" s="374">
        <f>SUM(BG37:BG39)</f>
        <v>61192.12549821251</v>
      </c>
      <c r="BH40" s="374">
        <f>SUM(BH37:BH39)</f>
        <v>61261.780059982513</v>
      </c>
      <c r="BI40" s="374">
        <f t="shared" ref="BI40:BK40" si="44">SUM(BI37:BI39)</f>
        <v>61329.367228597512</v>
      </c>
      <c r="BJ40" s="374">
        <f t="shared" si="44"/>
        <v>61393.787942422518</v>
      </c>
      <c r="BK40" s="374">
        <f t="shared" si="44"/>
        <v>61507.484614658642</v>
      </c>
      <c r="BL40" s="374">
        <f>SUM(BL37:BL39)</f>
        <v>61507.484614658642</v>
      </c>
    </row>
    <row r="41" spans="1:64">
      <c r="A41" s="28"/>
    </row>
    <row r="42" spans="1:64">
      <c r="A42" s="28" t="s">
        <v>1787</v>
      </c>
      <c r="I42" s="21">
        <f t="shared" ref="I42:BL42" si="45">I34/(I34+I36)</f>
        <v>0.61182011546642356</v>
      </c>
      <c r="J42" s="21">
        <f t="shared" si="45"/>
        <v>0.62240115370748705</v>
      </c>
      <c r="K42" s="21">
        <f t="shared" si="45"/>
        <v>0.62820894633390911</v>
      </c>
      <c r="L42" s="21">
        <f t="shared" si="45"/>
        <v>0.63501079849708586</v>
      </c>
      <c r="M42" s="21">
        <f t="shared" si="45"/>
        <v>0.6440905378602263</v>
      </c>
      <c r="N42" s="21">
        <f t="shared" si="45"/>
        <v>0.6440905378602263</v>
      </c>
      <c r="O42" s="21">
        <f t="shared" si="45"/>
        <v>0.65032149684295892</v>
      </c>
      <c r="P42" s="21">
        <f t="shared" si="45"/>
        <v>0.6571379664498459</v>
      </c>
      <c r="Q42" s="21">
        <f t="shared" si="45"/>
        <v>0.66332410598271285</v>
      </c>
      <c r="R42" s="21">
        <f t="shared" si="45"/>
        <v>0.67122792379363094</v>
      </c>
      <c r="S42" s="21">
        <f t="shared" si="45"/>
        <v>0.67122792379363094</v>
      </c>
      <c r="T42" s="21">
        <f t="shared" si="45"/>
        <v>0.6745325880441666</v>
      </c>
      <c r="U42" s="21">
        <f t="shared" si="45"/>
        <v>0.68083657852455004</v>
      </c>
      <c r="V42" s="21">
        <f t="shared" si="45"/>
        <v>0.68797552324479461</v>
      </c>
      <c r="W42" s="21">
        <f t="shared" si="45"/>
        <v>0.69413654618473897</v>
      </c>
      <c r="X42" s="21">
        <f t="shared" si="45"/>
        <v>0.69413654618473897</v>
      </c>
      <c r="Y42" s="21">
        <f t="shared" si="45"/>
        <v>0.70068791991220325</v>
      </c>
      <c r="Z42" s="21">
        <f t="shared" si="45"/>
        <v>0.70822756059108039</v>
      </c>
      <c r="AA42" s="21">
        <f t="shared" si="45"/>
        <v>0.71546013249261708</v>
      </c>
      <c r="AB42" s="21">
        <f t="shared" si="45"/>
        <v>0.72651598967388442</v>
      </c>
      <c r="AC42" s="21">
        <f t="shared" si="45"/>
        <v>0.72651598967388442</v>
      </c>
      <c r="AD42" s="21">
        <f t="shared" si="45"/>
        <v>0.73325280323520914</v>
      </c>
      <c r="AE42" s="21">
        <f t="shared" si="45"/>
        <v>0.74030116072362229</v>
      </c>
      <c r="AF42" s="21">
        <f t="shared" si="45"/>
        <v>0.74453047861560051</v>
      </c>
      <c r="AG42" s="21">
        <f t="shared" si="45"/>
        <v>0.75250732911587714</v>
      </c>
      <c r="AH42" s="21">
        <f t="shared" si="45"/>
        <v>0.75250732911587714</v>
      </c>
      <c r="AI42" s="21">
        <f t="shared" si="45"/>
        <v>0.75767201188585476</v>
      </c>
      <c r="AJ42" s="21">
        <f t="shared" si="45"/>
        <v>0.76198608314429184</v>
      </c>
      <c r="AK42" s="21">
        <f t="shared" si="45"/>
        <v>0.76791071337773931</v>
      </c>
      <c r="AL42" s="21">
        <f t="shared" si="45"/>
        <v>0.77414782042809505</v>
      </c>
      <c r="AM42" s="21">
        <f t="shared" si="45"/>
        <v>0.77414782042809505</v>
      </c>
      <c r="AN42" s="21">
        <f t="shared" si="45"/>
        <v>0.7784176138365666</v>
      </c>
      <c r="AO42" s="21">
        <f t="shared" si="45"/>
        <v>0.78267284276930149</v>
      </c>
      <c r="AP42" s="21">
        <f t="shared" si="45"/>
        <v>0.78688132241843589</v>
      </c>
      <c r="AQ42" s="21">
        <f t="shared" si="45"/>
        <v>0.79176144047041885</v>
      </c>
      <c r="AR42" s="21">
        <f t="shared" si="45"/>
        <v>0.79176144047041885</v>
      </c>
      <c r="AS42" s="21">
        <f t="shared" si="45"/>
        <v>0.79504991626659594</v>
      </c>
      <c r="AT42" s="21">
        <f t="shared" si="45"/>
        <v>0.79833538351146649</v>
      </c>
      <c r="AU42" s="21">
        <f t="shared" si="45"/>
        <v>0.80159789657466685</v>
      </c>
      <c r="AV42" s="21">
        <f t="shared" si="45"/>
        <v>0.80528426619148152</v>
      </c>
      <c r="AW42" s="21">
        <f t="shared" si="45"/>
        <v>0.80528426619148152</v>
      </c>
      <c r="AX42" s="21">
        <f t="shared" si="45"/>
        <v>0.80829480428469569</v>
      </c>
      <c r="AY42" s="21">
        <f t="shared" si="45"/>
        <v>0.81130969945671838</v>
      </c>
      <c r="AZ42" s="21">
        <f t="shared" si="45"/>
        <v>0.81431646623012843</v>
      </c>
      <c r="BA42" s="21">
        <f t="shared" si="45"/>
        <v>0.81759540477057291</v>
      </c>
      <c r="BB42" s="21">
        <f t="shared" si="45"/>
        <v>0.81759540477057291</v>
      </c>
      <c r="BC42" s="21">
        <f t="shared" si="45"/>
        <v>0.82045660906128592</v>
      </c>
      <c r="BD42" s="21">
        <f t="shared" si="45"/>
        <v>0.823326449506108</v>
      </c>
      <c r="BE42" s="21">
        <f t="shared" si="45"/>
        <v>0.82619710178945871</v>
      </c>
      <c r="BF42" s="21">
        <f t="shared" si="45"/>
        <v>0.82924507969833838</v>
      </c>
      <c r="BG42" s="21">
        <f t="shared" si="45"/>
        <v>0.82924507969833838</v>
      </c>
      <c r="BH42" s="21">
        <f t="shared" si="45"/>
        <v>0.8320360071257028</v>
      </c>
      <c r="BI42" s="21">
        <f t="shared" si="45"/>
        <v>0.83483834170974236</v>
      </c>
      <c r="BJ42" s="21">
        <f t="shared" si="45"/>
        <v>0.83764719903493323</v>
      </c>
      <c r="BK42" s="21">
        <f t="shared" si="45"/>
        <v>0.84057379308166669</v>
      </c>
      <c r="BL42" s="21">
        <f t="shared" si="45"/>
        <v>0.84057379308166669</v>
      </c>
    </row>
    <row r="43" spans="1:64">
      <c r="A43" s="28"/>
    </row>
    <row r="44" spans="1:64">
      <c r="A44" s="1" t="s">
        <v>1788</v>
      </c>
    </row>
    <row r="45" spans="1:64">
      <c r="A45" s="5" t="s">
        <v>1781</v>
      </c>
      <c r="J45" s="369">
        <f t="shared" ref="J45:M47" si="46">J34-I34</f>
        <v>581</v>
      </c>
      <c r="K45" s="369">
        <f t="shared" si="46"/>
        <v>378</v>
      </c>
      <c r="L45" s="369">
        <f t="shared" si="46"/>
        <v>370</v>
      </c>
      <c r="M45" s="369">
        <f t="shared" si="46"/>
        <v>618</v>
      </c>
      <c r="N45" s="369">
        <f>SUM(J45:M45)</f>
        <v>1947</v>
      </c>
      <c r="O45" s="369">
        <f t="shared" ref="O45:R47" si="47">O34-N34</f>
        <v>371</v>
      </c>
      <c r="P45" s="369">
        <f t="shared" si="47"/>
        <v>581</v>
      </c>
      <c r="Q45" s="369">
        <f t="shared" si="47"/>
        <v>449</v>
      </c>
      <c r="R45" s="369">
        <f t="shared" si="47"/>
        <v>651</v>
      </c>
      <c r="S45" s="369">
        <f>SUM(O45:R45)</f>
        <v>2052</v>
      </c>
      <c r="T45" s="369">
        <f t="shared" ref="T45:W47" si="48">T34-S34</f>
        <v>363</v>
      </c>
      <c r="U45" s="369">
        <f t="shared" si="48"/>
        <v>504</v>
      </c>
      <c r="V45" s="369">
        <f t="shared" si="48"/>
        <v>408</v>
      </c>
      <c r="W45" s="369">
        <f t="shared" si="48"/>
        <v>517</v>
      </c>
      <c r="X45" s="369">
        <f>SUM(T45:W45)</f>
        <v>1792</v>
      </c>
      <c r="Y45" s="369">
        <f t="shared" ref="Y45:AB47" si="49">Y34-X34</f>
        <v>251</v>
      </c>
      <c r="Z45" s="369">
        <f t="shared" si="49"/>
        <v>327</v>
      </c>
      <c r="AA45" s="369">
        <f t="shared" si="49"/>
        <v>388</v>
      </c>
      <c r="AB45" s="369">
        <f t="shared" si="49"/>
        <v>688</v>
      </c>
      <c r="AC45" s="369">
        <f>SUM(Y45:AB45)</f>
        <v>1654</v>
      </c>
      <c r="AD45" s="369">
        <f t="shared" ref="AD45:AG47" si="50">AD34-AC34</f>
        <v>343</v>
      </c>
      <c r="AE45" s="369">
        <f t="shared" si="50"/>
        <v>395</v>
      </c>
      <c r="AF45" s="369">
        <f t="shared" si="50"/>
        <v>336</v>
      </c>
      <c r="AG45" s="369">
        <f t="shared" si="50"/>
        <v>608</v>
      </c>
      <c r="AH45" s="369">
        <f>SUM(AD45:AG45)</f>
        <v>1682</v>
      </c>
      <c r="AI45" s="369">
        <f t="shared" ref="AI45:AK47" si="51">AI34-AH34</f>
        <v>316</v>
      </c>
      <c r="AJ45" s="369">
        <f t="shared" si="51"/>
        <v>317</v>
      </c>
      <c r="AK45" s="369">
        <f t="shared" si="51"/>
        <v>310</v>
      </c>
      <c r="AL45" s="384">
        <f>AG45*0.8</f>
        <v>486.40000000000003</v>
      </c>
      <c r="AM45" s="369">
        <f>SUM(AI45:AL45)</f>
        <v>1429.4</v>
      </c>
      <c r="AN45" s="384">
        <f>AI45*0.75</f>
        <v>237</v>
      </c>
      <c r="AO45" s="384">
        <f t="shared" ref="AO45:AQ45" si="52">AJ45*0.75</f>
        <v>237.75</v>
      </c>
      <c r="AP45" s="384">
        <f t="shared" si="52"/>
        <v>232.5</v>
      </c>
      <c r="AQ45" s="384">
        <f t="shared" si="52"/>
        <v>364.8</v>
      </c>
      <c r="AR45" s="369">
        <f>SUM(AN45:AQ45)</f>
        <v>1072.05</v>
      </c>
      <c r="AS45" s="384">
        <f>AN45*0.67</f>
        <v>158.79000000000002</v>
      </c>
      <c r="AT45" s="384">
        <f t="shared" ref="AT45:AV45" si="53">AO45*0.67</f>
        <v>159.29250000000002</v>
      </c>
      <c r="AU45" s="384">
        <f t="shared" si="53"/>
        <v>155.77500000000001</v>
      </c>
      <c r="AV45" s="384">
        <f t="shared" si="53"/>
        <v>244.41600000000003</v>
      </c>
      <c r="AW45" s="369">
        <f>SUM(AS45:AV45)</f>
        <v>718.27350000000013</v>
      </c>
      <c r="AX45" s="384">
        <f>AS45*0.67</f>
        <v>106.38930000000002</v>
      </c>
      <c r="AY45" s="384">
        <f t="shared" ref="AY45:BA45" si="54">AT45*0.67</f>
        <v>106.72597500000002</v>
      </c>
      <c r="AZ45" s="384">
        <f t="shared" si="54"/>
        <v>104.36925000000001</v>
      </c>
      <c r="BA45" s="384">
        <f t="shared" si="54"/>
        <v>163.75872000000004</v>
      </c>
      <c r="BB45" s="369">
        <f>SUM(AX45:BA45)</f>
        <v>481.24324500000012</v>
      </c>
      <c r="BC45" s="384">
        <f>AX45*0.67</f>
        <v>71.28083100000002</v>
      </c>
      <c r="BD45" s="384">
        <f t="shared" ref="BD45:BF45" si="55">AY45*0.67</f>
        <v>71.50640325000002</v>
      </c>
      <c r="BE45" s="384">
        <f t="shared" si="55"/>
        <v>69.927397500000012</v>
      </c>
      <c r="BF45" s="384">
        <f t="shared" si="55"/>
        <v>109.71834240000004</v>
      </c>
      <c r="BG45" s="369">
        <f>SUM(BC45:BF45)</f>
        <v>322.43297415000006</v>
      </c>
      <c r="BH45" s="384">
        <f>BC45*0.67</f>
        <v>47.758156770000014</v>
      </c>
      <c r="BI45" s="384">
        <f t="shared" ref="BI45:BK45" si="56">BD45*0.67</f>
        <v>47.909290177500019</v>
      </c>
      <c r="BJ45" s="384">
        <f t="shared" si="56"/>
        <v>46.851356325000012</v>
      </c>
      <c r="BK45" s="384">
        <f t="shared" si="56"/>
        <v>73.511289408000025</v>
      </c>
      <c r="BL45" s="369">
        <f>SUM(BH45:BK45)</f>
        <v>216.03009268050005</v>
      </c>
    </row>
    <row r="46" spans="1:64">
      <c r="A46" s="5" t="s">
        <v>1782</v>
      </c>
      <c r="J46" s="369">
        <f t="shared" si="46"/>
        <v>60</v>
      </c>
      <c r="K46" s="369">
        <f t="shared" si="46"/>
        <v>51</v>
      </c>
      <c r="L46" s="369">
        <f t="shared" si="46"/>
        <v>46</v>
      </c>
      <c r="M46" s="369">
        <f t="shared" si="46"/>
        <v>35</v>
      </c>
      <c r="N46" s="369">
        <f>SUM(J46:M46)</f>
        <v>192</v>
      </c>
      <c r="O46" s="369">
        <f t="shared" si="47"/>
        <v>27</v>
      </c>
      <c r="P46" s="369">
        <f t="shared" si="47"/>
        <v>23</v>
      </c>
      <c r="Q46" s="369">
        <f t="shared" si="47"/>
        <v>18</v>
      </c>
      <c r="R46" s="369">
        <f t="shared" si="47"/>
        <v>19</v>
      </c>
      <c r="S46" s="369">
        <f>SUM(O46:R46)</f>
        <v>87</v>
      </c>
      <c r="T46" s="369">
        <f t="shared" si="48"/>
        <v>6</v>
      </c>
      <c r="U46" s="369">
        <f t="shared" si="48"/>
        <v>10</v>
      </c>
      <c r="V46" s="369">
        <f t="shared" si="48"/>
        <v>4</v>
      </c>
      <c r="W46" s="369">
        <f t="shared" si="48"/>
        <v>-4</v>
      </c>
      <c r="X46" s="369">
        <f>SUM(T46:W46)</f>
        <v>16</v>
      </c>
      <c r="Y46" s="369">
        <f t="shared" si="49"/>
        <v>4</v>
      </c>
      <c r="Z46" s="369">
        <f t="shared" si="49"/>
        <v>1</v>
      </c>
      <c r="AA46" s="369">
        <f t="shared" si="49"/>
        <v>19</v>
      </c>
      <c r="AB46" s="369">
        <f t="shared" si="49"/>
        <v>23</v>
      </c>
      <c r="AC46" s="369">
        <f>SUM(Y46:AB46)</f>
        <v>47</v>
      </c>
      <c r="AD46" s="369">
        <f t="shared" si="50"/>
        <v>19</v>
      </c>
      <c r="AE46" s="369">
        <f t="shared" si="50"/>
        <v>30</v>
      </c>
      <c r="AF46" s="369">
        <f t="shared" si="50"/>
        <v>25</v>
      </c>
      <c r="AG46" s="369">
        <f t="shared" si="50"/>
        <v>29</v>
      </c>
      <c r="AH46" s="369">
        <f>SUM(AD46:AG46)</f>
        <v>103</v>
      </c>
      <c r="AI46" s="369">
        <f t="shared" si="51"/>
        <v>28</v>
      </c>
      <c r="AJ46" s="369">
        <f t="shared" si="51"/>
        <v>23</v>
      </c>
      <c r="AK46" s="369">
        <f t="shared" si="51"/>
        <v>17</v>
      </c>
      <c r="AL46" s="384">
        <f>AG46*0.85</f>
        <v>24.65</v>
      </c>
      <c r="AM46" s="369">
        <f>SUM(AI46:AL46)</f>
        <v>92.65</v>
      </c>
      <c r="AN46" s="384">
        <f t="shared" ref="AN46:AQ46" si="57">AI46*0.85</f>
        <v>23.8</v>
      </c>
      <c r="AO46" s="384">
        <f t="shared" si="57"/>
        <v>19.55</v>
      </c>
      <c r="AP46" s="384">
        <f t="shared" si="57"/>
        <v>14.45</v>
      </c>
      <c r="AQ46" s="384">
        <f t="shared" si="57"/>
        <v>20.952499999999997</v>
      </c>
      <c r="AR46" s="369">
        <f>SUM(AN46:AQ46)</f>
        <v>78.752499999999998</v>
      </c>
      <c r="AS46" s="384">
        <f t="shared" ref="AS46:AV46" si="58">AN46*0.85</f>
        <v>20.23</v>
      </c>
      <c r="AT46" s="384">
        <f t="shared" si="58"/>
        <v>16.6175</v>
      </c>
      <c r="AU46" s="384">
        <f t="shared" si="58"/>
        <v>12.282499999999999</v>
      </c>
      <c r="AV46" s="384">
        <f t="shared" si="58"/>
        <v>17.809624999999997</v>
      </c>
      <c r="AW46" s="369">
        <f>SUM(AS46:AV46)</f>
        <v>66.939624999999992</v>
      </c>
      <c r="AX46" s="384">
        <f t="shared" ref="AX46:BA46" si="59">AS46*0.85</f>
        <v>17.195499999999999</v>
      </c>
      <c r="AY46" s="384">
        <f t="shared" si="59"/>
        <v>14.124874999999999</v>
      </c>
      <c r="AZ46" s="384">
        <f t="shared" si="59"/>
        <v>10.440124999999998</v>
      </c>
      <c r="BA46" s="384">
        <f t="shared" si="59"/>
        <v>15.138181249999997</v>
      </c>
      <c r="BB46" s="369">
        <f>SUM(AX46:BA46)</f>
        <v>56.898681249999989</v>
      </c>
      <c r="BC46" s="384">
        <f t="shared" ref="BC46:BF46" si="60">AX46*0.85</f>
        <v>14.616174999999998</v>
      </c>
      <c r="BD46" s="384">
        <f t="shared" si="60"/>
        <v>12.00614375</v>
      </c>
      <c r="BE46" s="384">
        <f t="shared" si="60"/>
        <v>8.8741062499999988</v>
      </c>
      <c r="BF46" s="384">
        <f t="shared" si="60"/>
        <v>12.867454062499997</v>
      </c>
      <c r="BG46" s="369">
        <f>SUM(BC46:BF46)</f>
        <v>48.36387906249999</v>
      </c>
      <c r="BH46" s="384">
        <f t="shared" ref="BH46:BK46" si="61">BC46*0.85</f>
        <v>12.423748749999998</v>
      </c>
      <c r="BI46" s="384">
        <f t="shared" si="61"/>
        <v>10.205222187499999</v>
      </c>
      <c r="BJ46" s="384">
        <f t="shared" si="61"/>
        <v>7.5429903124999989</v>
      </c>
      <c r="BK46" s="384">
        <f t="shared" si="61"/>
        <v>10.937335953124997</v>
      </c>
      <c r="BL46" s="369">
        <f>SUM(BH46:BK46)</f>
        <v>41.109297203124996</v>
      </c>
    </row>
    <row r="47" spans="1:64">
      <c r="A47" s="5" t="s">
        <v>192</v>
      </c>
      <c r="J47" s="369">
        <f t="shared" si="46"/>
        <v>-207</v>
      </c>
      <c r="K47" s="369">
        <f t="shared" si="46"/>
        <v>-84</v>
      </c>
      <c r="L47" s="369">
        <f t="shared" si="46"/>
        <v>-147</v>
      </c>
      <c r="M47" s="369">
        <f t="shared" si="46"/>
        <v>-135</v>
      </c>
      <c r="N47" s="369">
        <f>SUM(J47:M47)</f>
        <v>-573</v>
      </c>
      <c r="O47" s="369">
        <f t="shared" si="47"/>
        <v>-129</v>
      </c>
      <c r="P47" s="369">
        <f t="shared" si="47"/>
        <v>-55</v>
      </c>
      <c r="Q47" s="369">
        <f t="shared" si="47"/>
        <v>-99</v>
      </c>
      <c r="R47" s="369">
        <f t="shared" si="47"/>
        <v>-98</v>
      </c>
      <c r="S47" s="369">
        <f>SUM(O47:R47)</f>
        <v>-381</v>
      </c>
      <c r="T47" s="369">
        <f t="shared" si="48"/>
        <v>-1</v>
      </c>
      <c r="U47" s="369">
        <f t="shared" si="48"/>
        <v>-100</v>
      </c>
      <c r="V47" s="369">
        <f t="shared" si="48"/>
        <v>-196</v>
      </c>
      <c r="W47" s="369">
        <f t="shared" si="48"/>
        <v>-100</v>
      </c>
      <c r="X47" s="369">
        <f>SUM(T47:W47)</f>
        <v>-397</v>
      </c>
      <c r="Y47" s="369">
        <f t="shared" si="49"/>
        <v>-242</v>
      </c>
      <c r="Z47" s="369">
        <f t="shared" si="49"/>
        <v>-263</v>
      </c>
      <c r="AA47" s="369">
        <f t="shared" si="49"/>
        <v>-224</v>
      </c>
      <c r="AB47" s="369">
        <f t="shared" si="49"/>
        <v>-313</v>
      </c>
      <c r="AC47" s="369">
        <f>SUM(Y47:AB47)</f>
        <v>-1042</v>
      </c>
      <c r="AD47" s="369">
        <f t="shared" si="50"/>
        <v>-224</v>
      </c>
      <c r="AE47" s="369">
        <f t="shared" si="50"/>
        <v>-224</v>
      </c>
      <c r="AF47" s="369">
        <f t="shared" si="50"/>
        <v>-102</v>
      </c>
      <c r="AG47" s="369">
        <f t="shared" si="50"/>
        <v>-208</v>
      </c>
      <c r="AH47" s="369">
        <f>SUM(AD47:AG47)</f>
        <v>-758</v>
      </c>
      <c r="AI47" s="369">
        <f t="shared" si="51"/>
        <v>-164</v>
      </c>
      <c r="AJ47" s="369">
        <f t="shared" si="51"/>
        <v>-122</v>
      </c>
      <c r="AK47" s="369">
        <f t="shared" si="51"/>
        <v>-209</v>
      </c>
      <c r="AL47" s="384">
        <v>-175</v>
      </c>
      <c r="AM47" s="369">
        <f>SUM(AI47:AL47)</f>
        <v>-670</v>
      </c>
      <c r="AN47" s="384">
        <v>-150</v>
      </c>
      <c r="AO47" s="384">
        <v>-150</v>
      </c>
      <c r="AP47" s="384">
        <v>-150</v>
      </c>
      <c r="AQ47" s="384">
        <v>-150</v>
      </c>
      <c r="AR47" s="369">
        <f>SUM(AN47:AQ47)</f>
        <v>-600</v>
      </c>
      <c r="AS47" s="384">
        <v>-125</v>
      </c>
      <c r="AT47" s="384">
        <v>-125</v>
      </c>
      <c r="AU47" s="384">
        <v>-125</v>
      </c>
      <c r="AV47" s="384">
        <v>-125</v>
      </c>
      <c r="AW47" s="369">
        <f>SUM(AS47:AV47)</f>
        <v>-500</v>
      </c>
      <c r="AX47" s="384">
        <v>-125</v>
      </c>
      <c r="AY47" s="384">
        <v>-125</v>
      </c>
      <c r="AZ47" s="384">
        <v>-125</v>
      </c>
      <c r="BA47" s="384">
        <v>-125</v>
      </c>
      <c r="BB47" s="369">
        <f>SUM(AX47:BA47)</f>
        <v>-500</v>
      </c>
      <c r="BC47" s="384">
        <v>-125</v>
      </c>
      <c r="BD47" s="384">
        <v>-125</v>
      </c>
      <c r="BE47" s="384">
        <v>-125</v>
      </c>
      <c r="BF47" s="384">
        <v>-125</v>
      </c>
      <c r="BG47" s="369">
        <f>SUM(BC47:BF47)</f>
        <v>-500</v>
      </c>
      <c r="BH47" s="384">
        <v>-125</v>
      </c>
      <c r="BI47" s="384">
        <v>-125</v>
      </c>
      <c r="BJ47" s="384">
        <v>-125</v>
      </c>
      <c r="BK47" s="384">
        <v>-125</v>
      </c>
      <c r="BL47" s="369">
        <f>SUM(BH47:BK47)</f>
        <v>-500</v>
      </c>
    </row>
    <row r="48" spans="1:64">
      <c r="A48" s="9" t="s">
        <v>1783</v>
      </c>
      <c r="B48" s="9"/>
      <c r="C48" s="9"/>
      <c r="D48" s="9"/>
      <c r="E48" s="9"/>
      <c r="F48" s="9"/>
      <c r="G48" s="9"/>
      <c r="H48" s="9"/>
      <c r="I48" s="9"/>
      <c r="J48" s="374">
        <f t="shared" ref="J48:BL48" si="62">SUM(J45:J47)</f>
        <v>434</v>
      </c>
      <c r="K48" s="374">
        <f t="shared" si="62"/>
        <v>345</v>
      </c>
      <c r="L48" s="374">
        <f t="shared" si="62"/>
        <v>269</v>
      </c>
      <c r="M48" s="374">
        <f t="shared" si="62"/>
        <v>518</v>
      </c>
      <c r="N48" s="374">
        <f t="shared" si="62"/>
        <v>1566</v>
      </c>
      <c r="O48" s="374">
        <f t="shared" si="62"/>
        <v>269</v>
      </c>
      <c r="P48" s="374">
        <f t="shared" si="62"/>
        <v>549</v>
      </c>
      <c r="Q48" s="374">
        <f t="shared" si="62"/>
        <v>368</v>
      </c>
      <c r="R48" s="374">
        <f t="shared" si="62"/>
        <v>572</v>
      </c>
      <c r="S48" s="374">
        <f t="shared" si="62"/>
        <v>1758</v>
      </c>
      <c r="T48" s="374">
        <f t="shared" si="62"/>
        <v>368</v>
      </c>
      <c r="U48" s="374">
        <f t="shared" si="62"/>
        <v>414</v>
      </c>
      <c r="V48" s="374">
        <f t="shared" si="62"/>
        <v>216</v>
      </c>
      <c r="W48" s="374">
        <f t="shared" si="62"/>
        <v>413</v>
      </c>
      <c r="X48" s="374">
        <f t="shared" si="62"/>
        <v>1411</v>
      </c>
      <c r="Y48" s="374">
        <f t="shared" si="62"/>
        <v>13</v>
      </c>
      <c r="Z48" s="374">
        <f t="shared" si="62"/>
        <v>65</v>
      </c>
      <c r="AA48" s="374">
        <f t="shared" si="62"/>
        <v>183</v>
      </c>
      <c r="AB48" s="374">
        <f t="shared" si="62"/>
        <v>398</v>
      </c>
      <c r="AC48" s="374">
        <f t="shared" si="62"/>
        <v>659</v>
      </c>
      <c r="AD48" s="374">
        <f t="shared" si="62"/>
        <v>138</v>
      </c>
      <c r="AE48" s="374">
        <f t="shared" si="62"/>
        <v>201</v>
      </c>
      <c r="AF48" s="374">
        <f t="shared" si="62"/>
        <v>259</v>
      </c>
      <c r="AG48" s="374">
        <f t="shared" si="62"/>
        <v>429</v>
      </c>
      <c r="AH48" s="374">
        <f t="shared" si="62"/>
        <v>1027</v>
      </c>
      <c r="AI48" s="374">
        <f t="shared" si="62"/>
        <v>180</v>
      </c>
      <c r="AJ48" s="374">
        <f t="shared" si="62"/>
        <v>218</v>
      </c>
      <c r="AK48" s="374">
        <f t="shared" si="62"/>
        <v>118</v>
      </c>
      <c r="AL48" s="374">
        <f t="shared" si="62"/>
        <v>336.05</v>
      </c>
      <c r="AM48" s="374">
        <f t="shared" si="62"/>
        <v>852.05000000000018</v>
      </c>
      <c r="AN48" s="374">
        <f t="shared" si="62"/>
        <v>110.80000000000001</v>
      </c>
      <c r="AO48" s="374">
        <f t="shared" si="62"/>
        <v>107.30000000000001</v>
      </c>
      <c r="AP48" s="374">
        <f t="shared" si="62"/>
        <v>96.949999999999989</v>
      </c>
      <c r="AQ48" s="374">
        <f t="shared" si="62"/>
        <v>235.7525</v>
      </c>
      <c r="AR48" s="374">
        <f t="shared" si="62"/>
        <v>550.80250000000001</v>
      </c>
      <c r="AS48" s="374">
        <f t="shared" si="62"/>
        <v>54.02000000000001</v>
      </c>
      <c r="AT48" s="374">
        <f t="shared" si="62"/>
        <v>50.910000000000025</v>
      </c>
      <c r="AU48" s="374">
        <f t="shared" si="62"/>
        <v>43.057500000000005</v>
      </c>
      <c r="AV48" s="374">
        <f t="shared" si="62"/>
        <v>137.22562500000004</v>
      </c>
      <c r="AW48" s="374">
        <f t="shared" si="62"/>
        <v>285.2131250000001</v>
      </c>
      <c r="AX48" s="374">
        <f t="shared" si="62"/>
        <v>-1.4151999999999845</v>
      </c>
      <c r="AY48" s="374">
        <f t="shared" si="62"/>
        <v>-4.1491499999999775</v>
      </c>
      <c r="AZ48" s="374">
        <f t="shared" si="62"/>
        <v>-10.190624999999997</v>
      </c>
      <c r="BA48" s="374">
        <f t="shared" si="62"/>
        <v>53.896901250000042</v>
      </c>
      <c r="BB48" s="374">
        <f t="shared" si="62"/>
        <v>38.141926250000097</v>
      </c>
      <c r="BC48" s="374">
        <f t="shared" si="62"/>
        <v>-39.102993999999981</v>
      </c>
      <c r="BD48" s="374">
        <f t="shared" si="62"/>
        <v>-41.487452999999988</v>
      </c>
      <c r="BE48" s="374">
        <f t="shared" si="62"/>
        <v>-46.198496249999991</v>
      </c>
      <c r="BF48" s="374">
        <f t="shared" si="62"/>
        <v>-2.414203537499958</v>
      </c>
      <c r="BG48" s="374">
        <f t="shared" si="62"/>
        <v>-129.20314678749992</v>
      </c>
      <c r="BH48" s="374">
        <f t="shared" si="62"/>
        <v>-64.818094479999985</v>
      </c>
      <c r="BI48" s="374">
        <f t="shared" si="62"/>
        <v>-66.885487634999976</v>
      </c>
      <c r="BJ48" s="374">
        <f t="shared" si="62"/>
        <v>-70.605653362499993</v>
      </c>
      <c r="BK48" s="374">
        <f t="shared" si="62"/>
        <v>-40.551374638874975</v>
      </c>
      <c r="BL48" s="374">
        <f t="shared" si="62"/>
        <v>-242.86061011637497</v>
      </c>
    </row>
    <row r="49" spans="1:64">
      <c r="A49" s="5" t="s">
        <v>1784</v>
      </c>
      <c r="J49" s="369">
        <f t="shared" ref="J49:M50" si="63">J38-I38</f>
        <v>39</v>
      </c>
      <c r="K49" s="369">
        <f t="shared" si="63"/>
        <v>236</v>
      </c>
      <c r="L49" s="369">
        <f t="shared" si="63"/>
        <v>200</v>
      </c>
      <c r="M49" s="369">
        <f t="shared" si="63"/>
        <v>386</v>
      </c>
      <c r="N49" s="369">
        <f>SUM(J49:M49)</f>
        <v>861</v>
      </c>
      <c r="O49" s="369">
        <f t="shared" ref="O49:R50" si="64">O38-N38</f>
        <v>39</v>
      </c>
      <c r="P49" s="369">
        <f t="shared" si="64"/>
        <v>-452</v>
      </c>
      <c r="Q49" s="369">
        <f t="shared" si="64"/>
        <v>179</v>
      </c>
      <c r="R49" s="369">
        <f t="shared" si="64"/>
        <v>159</v>
      </c>
      <c r="S49" s="369">
        <f>SUM(O49:R49)</f>
        <v>-75</v>
      </c>
      <c r="T49" s="369">
        <f t="shared" ref="T49:W50" si="65">T38-S38</f>
        <v>142</v>
      </c>
      <c r="U49" s="369">
        <f t="shared" si="65"/>
        <v>251</v>
      </c>
      <c r="V49" s="369">
        <f t="shared" si="65"/>
        <v>238</v>
      </c>
      <c r="W49" s="369">
        <f t="shared" si="65"/>
        <v>420</v>
      </c>
      <c r="X49" s="369">
        <f>SUM(T49:W49)</f>
        <v>1051</v>
      </c>
      <c r="Y49" s="369">
        <f t="shared" ref="Y49:AB50" si="66">Y38-X38</f>
        <v>441</v>
      </c>
      <c r="Z49" s="369">
        <f t="shared" si="66"/>
        <v>483</v>
      </c>
      <c r="AA49" s="369">
        <f t="shared" si="66"/>
        <v>478</v>
      </c>
      <c r="AB49" s="369">
        <f t="shared" si="66"/>
        <v>487</v>
      </c>
      <c r="AC49" s="369">
        <f>SUM(Y49:AB49)</f>
        <v>1889</v>
      </c>
      <c r="AD49" s="369">
        <f t="shared" ref="AD49:AK50" si="67">AD38-AC38</f>
        <v>320</v>
      </c>
      <c r="AE49" s="369">
        <f t="shared" si="67"/>
        <v>424</v>
      </c>
      <c r="AF49" s="369">
        <f t="shared" si="67"/>
        <v>613</v>
      </c>
      <c r="AG49" s="369">
        <f t="shared" si="67"/>
        <v>661</v>
      </c>
      <c r="AH49" s="369">
        <f>SUM(AD49:AG49)</f>
        <v>2018</v>
      </c>
      <c r="AI49" s="369">
        <f t="shared" si="67"/>
        <v>341</v>
      </c>
      <c r="AJ49" s="369">
        <f t="shared" si="67"/>
        <v>994</v>
      </c>
      <c r="AK49" s="369">
        <f t="shared" si="67"/>
        <v>569</v>
      </c>
      <c r="AL49" s="384">
        <v>650</v>
      </c>
      <c r="AM49" s="369">
        <f>SUM(AI49:AL49)</f>
        <v>2554</v>
      </c>
      <c r="AN49" s="384">
        <v>425</v>
      </c>
      <c r="AO49" s="384">
        <v>425</v>
      </c>
      <c r="AP49" s="384">
        <f>AK49*0.75</f>
        <v>426.75</v>
      </c>
      <c r="AQ49" s="384">
        <f>AL49*0.75</f>
        <v>487.5</v>
      </c>
      <c r="AR49" s="369">
        <f>SUM(AN49:AQ49)</f>
        <v>1764.25</v>
      </c>
      <c r="AS49" s="384">
        <f>AN49*0.75</f>
        <v>318.75</v>
      </c>
      <c r="AT49" s="384">
        <f>AO49*0.75</f>
        <v>318.75</v>
      </c>
      <c r="AU49" s="384">
        <f>AP49*0.75</f>
        <v>320.0625</v>
      </c>
      <c r="AV49" s="384">
        <f>AQ49*0.75</f>
        <v>365.625</v>
      </c>
      <c r="AW49" s="369">
        <f>SUM(AS49:AV49)</f>
        <v>1323.1875</v>
      </c>
      <c r="AX49" s="384">
        <f>AS49*0.75</f>
        <v>239.0625</v>
      </c>
      <c r="AY49" s="384">
        <f>AT49*0.75</f>
        <v>239.0625</v>
      </c>
      <c r="AZ49" s="384">
        <f>AU49*0.75</f>
        <v>240.046875</v>
      </c>
      <c r="BA49" s="384">
        <f>AV49*0.75</f>
        <v>274.21875</v>
      </c>
      <c r="BB49" s="369">
        <f>SUM(AX49:BA49)</f>
        <v>992.390625</v>
      </c>
      <c r="BC49" s="384">
        <f>AX49*0.75</f>
        <v>179.296875</v>
      </c>
      <c r="BD49" s="384">
        <f>AY49*0.75</f>
        <v>179.296875</v>
      </c>
      <c r="BE49" s="384">
        <f>AZ49*0.75</f>
        <v>180.03515625</v>
      </c>
      <c r="BF49" s="384">
        <f>BA49*0.75</f>
        <v>205.6640625</v>
      </c>
      <c r="BG49" s="369">
        <f>SUM(BC49:BF49)</f>
        <v>744.29296875</v>
      </c>
      <c r="BH49" s="384">
        <f>BC49*0.75</f>
        <v>134.47265625</v>
      </c>
      <c r="BI49" s="384">
        <f>BD49*0.75</f>
        <v>134.47265625</v>
      </c>
      <c r="BJ49" s="384">
        <f>BE49*0.75</f>
        <v>135.0263671875</v>
      </c>
      <c r="BK49" s="384">
        <f>BF49*0.75</f>
        <v>154.248046875</v>
      </c>
      <c r="BL49" s="369">
        <f>SUM(BH49:BK49)</f>
        <v>558.2197265625</v>
      </c>
    </row>
    <row r="50" spans="1:64">
      <c r="A50" s="5" t="s">
        <v>1785</v>
      </c>
      <c r="J50" s="369">
        <f t="shared" si="63"/>
        <v>-181</v>
      </c>
      <c r="K50" s="369">
        <f t="shared" si="63"/>
        <v>-176</v>
      </c>
      <c r="L50" s="369">
        <f t="shared" si="63"/>
        <v>-93</v>
      </c>
      <c r="M50" s="369">
        <f t="shared" si="63"/>
        <v>-91</v>
      </c>
      <c r="N50" s="369">
        <f>SUM(J50:M50)</f>
        <v>-541</v>
      </c>
      <c r="O50" s="369">
        <f t="shared" si="64"/>
        <v>-72</v>
      </c>
      <c r="P50" s="369">
        <f t="shared" si="64"/>
        <v>-79</v>
      </c>
      <c r="Q50" s="369">
        <f t="shared" si="64"/>
        <v>-153</v>
      </c>
      <c r="R50" s="369">
        <f t="shared" si="64"/>
        <v>-137</v>
      </c>
      <c r="S50" s="369">
        <f>SUM(O50:R50)</f>
        <v>-441</v>
      </c>
      <c r="T50" s="369">
        <f t="shared" si="65"/>
        <v>-157</v>
      </c>
      <c r="U50" s="369">
        <f t="shared" si="65"/>
        <v>-227</v>
      </c>
      <c r="V50" s="369">
        <f t="shared" si="65"/>
        <v>-145</v>
      </c>
      <c r="W50" s="369">
        <f t="shared" si="65"/>
        <v>-427</v>
      </c>
      <c r="X50" s="369">
        <f>SUM(T50:W50)</f>
        <v>-956</v>
      </c>
      <c r="Y50" s="369">
        <f t="shared" si="66"/>
        <v>-82</v>
      </c>
      <c r="Z50" s="369">
        <f t="shared" si="66"/>
        <v>-84</v>
      </c>
      <c r="AA50" s="369">
        <f t="shared" si="66"/>
        <v>-74</v>
      </c>
      <c r="AB50" s="369">
        <f t="shared" si="66"/>
        <v>-83</v>
      </c>
      <c r="AC50" s="369">
        <f>SUM(Y50:AB50)</f>
        <v>-323</v>
      </c>
      <c r="AD50" s="369">
        <f t="shared" si="67"/>
        <v>-71</v>
      </c>
      <c r="AE50" s="369">
        <f t="shared" si="67"/>
        <v>-83</v>
      </c>
      <c r="AF50" s="369">
        <f t="shared" si="67"/>
        <v>-63</v>
      </c>
      <c r="AG50" s="369">
        <f t="shared" si="67"/>
        <v>-56</v>
      </c>
      <c r="AH50" s="369">
        <f>SUM(AD50:AG50)</f>
        <v>-273</v>
      </c>
      <c r="AI50" s="369">
        <f t="shared" si="67"/>
        <v>-64</v>
      </c>
      <c r="AJ50" s="369"/>
      <c r="AK50" s="369"/>
      <c r="AL50" s="369"/>
      <c r="AM50" s="369">
        <f>SUM(AI50:AL50)</f>
        <v>-64</v>
      </c>
      <c r="AN50" s="369"/>
      <c r="AO50" s="369"/>
      <c r="AS50" s="369"/>
      <c r="AT50" s="369"/>
      <c r="AX50" s="369"/>
      <c r="AY50" s="369"/>
      <c r="BC50" s="369"/>
      <c r="BD50" s="369"/>
      <c r="BH50" s="369"/>
      <c r="BI50" s="369"/>
    </row>
    <row r="51" spans="1:64">
      <c r="A51" s="9" t="s">
        <v>1786</v>
      </c>
      <c r="B51" s="9"/>
      <c r="C51" s="9"/>
      <c r="D51" s="9"/>
      <c r="E51" s="9"/>
      <c r="F51" s="9"/>
      <c r="G51" s="9"/>
      <c r="H51" s="9"/>
      <c r="I51" s="9"/>
      <c r="J51" s="374">
        <f t="shared" ref="J51:BL51" si="68">SUM(J48:J50)</f>
        <v>292</v>
      </c>
      <c r="K51" s="374">
        <f t="shared" si="68"/>
        <v>405</v>
      </c>
      <c r="L51" s="374">
        <f t="shared" si="68"/>
        <v>376</v>
      </c>
      <c r="M51" s="374">
        <f t="shared" si="68"/>
        <v>813</v>
      </c>
      <c r="N51" s="374">
        <f t="shared" si="68"/>
        <v>1886</v>
      </c>
      <c r="O51" s="374">
        <f t="shared" si="68"/>
        <v>236</v>
      </c>
      <c r="P51" s="374">
        <f t="shared" si="68"/>
        <v>18</v>
      </c>
      <c r="Q51" s="374">
        <f t="shared" si="68"/>
        <v>394</v>
      </c>
      <c r="R51" s="374">
        <f t="shared" si="68"/>
        <v>594</v>
      </c>
      <c r="S51" s="374">
        <f t="shared" si="68"/>
        <v>1242</v>
      </c>
      <c r="T51" s="374">
        <f t="shared" si="68"/>
        <v>353</v>
      </c>
      <c r="U51" s="374">
        <f t="shared" si="68"/>
        <v>438</v>
      </c>
      <c r="V51" s="374">
        <f t="shared" si="68"/>
        <v>309</v>
      </c>
      <c r="W51" s="374">
        <f t="shared" si="68"/>
        <v>406</v>
      </c>
      <c r="X51" s="374">
        <f t="shared" si="68"/>
        <v>1506</v>
      </c>
      <c r="Y51" s="374">
        <f t="shared" si="68"/>
        <v>372</v>
      </c>
      <c r="Z51" s="374">
        <f t="shared" si="68"/>
        <v>464</v>
      </c>
      <c r="AA51" s="374">
        <f t="shared" si="68"/>
        <v>587</v>
      </c>
      <c r="AB51" s="374">
        <f t="shared" si="68"/>
        <v>802</v>
      </c>
      <c r="AC51" s="374">
        <f t="shared" si="68"/>
        <v>2225</v>
      </c>
      <c r="AD51" s="374">
        <f t="shared" si="68"/>
        <v>387</v>
      </c>
      <c r="AE51" s="374">
        <f t="shared" si="68"/>
        <v>542</v>
      </c>
      <c r="AF51" s="374">
        <f t="shared" si="68"/>
        <v>809</v>
      </c>
      <c r="AG51" s="374">
        <f t="shared" si="68"/>
        <v>1034</v>
      </c>
      <c r="AH51" s="374">
        <f t="shared" si="68"/>
        <v>2772</v>
      </c>
      <c r="AI51" s="374">
        <f t="shared" si="68"/>
        <v>457</v>
      </c>
      <c r="AJ51" s="374">
        <f t="shared" si="68"/>
        <v>1212</v>
      </c>
      <c r="AK51" s="374">
        <f t="shared" si="68"/>
        <v>687</v>
      </c>
      <c r="AL51" s="374">
        <f t="shared" si="68"/>
        <v>986.05</v>
      </c>
      <c r="AM51" s="374">
        <f t="shared" si="68"/>
        <v>3342.05</v>
      </c>
      <c r="AN51" s="374">
        <f t="shared" si="68"/>
        <v>535.79999999999995</v>
      </c>
      <c r="AO51" s="374">
        <f t="shared" si="68"/>
        <v>532.29999999999995</v>
      </c>
      <c r="AP51" s="374">
        <f t="shared" si="68"/>
        <v>523.70000000000005</v>
      </c>
      <c r="AQ51" s="374">
        <f t="shared" si="68"/>
        <v>723.25250000000005</v>
      </c>
      <c r="AR51" s="374">
        <f t="shared" si="68"/>
        <v>2315.0524999999998</v>
      </c>
      <c r="AS51" s="374">
        <f t="shared" si="68"/>
        <v>372.77</v>
      </c>
      <c r="AT51" s="374">
        <f t="shared" si="68"/>
        <v>369.66</v>
      </c>
      <c r="AU51" s="374">
        <f t="shared" si="68"/>
        <v>363.12</v>
      </c>
      <c r="AV51" s="374">
        <f t="shared" si="68"/>
        <v>502.85062500000004</v>
      </c>
      <c r="AW51" s="374">
        <f t="shared" si="68"/>
        <v>1608.4006250000002</v>
      </c>
      <c r="AX51" s="374">
        <f t="shared" si="68"/>
        <v>237.64730000000003</v>
      </c>
      <c r="AY51" s="374">
        <f t="shared" si="68"/>
        <v>234.91335000000004</v>
      </c>
      <c r="AZ51" s="374">
        <f t="shared" si="68"/>
        <v>229.85624999999999</v>
      </c>
      <c r="BA51" s="374">
        <f t="shared" si="68"/>
        <v>328.11565125000004</v>
      </c>
      <c r="BB51" s="374">
        <f t="shared" si="68"/>
        <v>1030.5325512500001</v>
      </c>
      <c r="BC51" s="374">
        <f t="shared" si="68"/>
        <v>140.19388100000003</v>
      </c>
      <c r="BD51" s="374">
        <f t="shared" si="68"/>
        <v>137.80942200000001</v>
      </c>
      <c r="BE51" s="374">
        <f t="shared" si="68"/>
        <v>133.83665999999999</v>
      </c>
      <c r="BF51" s="374">
        <f t="shared" si="68"/>
        <v>203.24985896250004</v>
      </c>
      <c r="BG51" s="374">
        <f t="shared" si="68"/>
        <v>615.08982196250008</v>
      </c>
      <c r="BH51" s="374">
        <f t="shared" si="68"/>
        <v>69.654561770000015</v>
      </c>
      <c r="BI51" s="374">
        <f t="shared" si="68"/>
        <v>67.587168615000024</v>
      </c>
      <c r="BJ51" s="374">
        <f t="shared" si="68"/>
        <v>64.420713825000007</v>
      </c>
      <c r="BK51" s="374">
        <f t="shared" si="68"/>
        <v>113.69667223612502</v>
      </c>
      <c r="BL51" s="374">
        <f t="shared" si="68"/>
        <v>315.35911644612503</v>
      </c>
    </row>
    <row r="53" spans="1:64">
      <c r="A53" s="3" t="s">
        <v>1789</v>
      </c>
    </row>
    <row r="54" spans="1:64">
      <c r="A54" s="28" t="s">
        <v>1790</v>
      </c>
      <c r="J54" s="50">
        <v>7.7000000000000002E-3</v>
      </c>
      <c r="K54" s="50">
        <v>6.7999999999999996E-3</v>
      </c>
      <c r="L54" s="50">
        <v>7.9000000000000008E-3</v>
      </c>
      <c r="M54" s="50">
        <v>1.0699999999999999E-2</v>
      </c>
      <c r="N54" s="50">
        <v>8.3000000000000001E-3</v>
      </c>
      <c r="O54" s="50">
        <v>8.0999999999999996E-3</v>
      </c>
      <c r="P54" s="50">
        <v>7.4000000000000003E-3</v>
      </c>
      <c r="Q54" s="50">
        <v>5.3E-3</v>
      </c>
      <c r="R54" s="50">
        <v>7.1999999999999998E-3</v>
      </c>
      <c r="S54" s="50">
        <v>7.0000000000000001E-3</v>
      </c>
      <c r="T54" s="50">
        <v>5.3E-3</v>
      </c>
      <c r="U54" s="50">
        <v>6.4000000000000003E-3</v>
      </c>
      <c r="V54" s="50">
        <v>6.7999999999999996E-3</v>
      </c>
      <c r="W54" s="50">
        <v>9.7999999999999997E-3</v>
      </c>
      <c r="X54" s="50">
        <v>7.1000000000000004E-3</v>
      </c>
      <c r="Y54" s="50">
        <v>1.01E-2</v>
      </c>
      <c r="Z54" s="50">
        <v>9.1000000000000004E-3</v>
      </c>
      <c r="AA54" s="50">
        <v>8.8000000000000005E-3</v>
      </c>
      <c r="AB54" s="50">
        <v>1.14E-2</v>
      </c>
      <c r="AC54" s="50">
        <v>9.9000000000000008E-3</v>
      </c>
      <c r="AD54" s="50">
        <v>1.01E-2</v>
      </c>
      <c r="AE54" s="50">
        <v>9.4999999999999998E-3</v>
      </c>
      <c r="AF54" s="50">
        <v>9.9000000000000008E-3</v>
      </c>
      <c r="AG54" s="50">
        <v>1.2E-2</v>
      </c>
      <c r="AH54" s="50">
        <v>1.04E-2</v>
      </c>
      <c r="AI54" s="50">
        <v>0.01</v>
      </c>
      <c r="AJ54" s="50">
        <v>1.03E-2</v>
      </c>
      <c r="AK54" s="50">
        <v>1.0800000000000001E-2</v>
      </c>
      <c r="AL54" s="16"/>
      <c r="AM54" s="16"/>
    </row>
    <row r="55" spans="1:64">
      <c r="A55" s="1" t="s">
        <v>1791</v>
      </c>
      <c r="J55" s="412">
        <v>1.03E-2</v>
      </c>
      <c r="K55" s="412">
        <v>9.2999999999999992E-3</v>
      </c>
      <c r="L55" s="412">
        <v>1.03E-2</v>
      </c>
      <c r="M55" s="412">
        <v>1.2699999999999999E-2</v>
      </c>
      <c r="N55" s="412">
        <v>1.0699999999999999E-2</v>
      </c>
      <c r="O55" s="412">
        <v>1.03E-2</v>
      </c>
      <c r="P55" s="412">
        <v>9.7999999999999997E-3</v>
      </c>
      <c r="Q55" s="412">
        <v>8.6E-3</v>
      </c>
      <c r="R55" s="412">
        <v>9.9000000000000008E-3</v>
      </c>
      <c r="S55" s="412">
        <v>9.5999999999999992E-3</v>
      </c>
      <c r="T55" s="412">
        <v>7.3000000000000001E-3</v>
      </c>
      <c r="U55" s="412">
        <v>8.8000000000000005E-3</v>
      </c>
      <c r="V55" s="412">
        <v>9.5999999999999992E-3</v>
      </c>
      <c r="W55" s="412">
        <v>1.1299999999999999E-2</v>
      </c>
      <c r="X55" s="412">
        <v>9.2999999999999992E-3</v>
      </c>
      <c r="Y55" s="16"/>
      <c r="Z55" s="16"/>
      <c r="AA55" s="16"/>
      <c r="AB55" s="16"/>
      <c r="AC55" s="16"/>
      <c r="AD55" s="16"/>
      <c r="AE55" s="16"/>
      <c r="AF55" s="16"/>
      <c r="AG55" s="16"/>
      <c r="AH55" s="16"/>
      <c r="AI55" s="16"/>
      <c r="AJ55" s="16"/>
      <c r="AK55" s="16"/>
      <c r="AL55" s="16"/>
      <c r="AM55" s="16"/>
    </row>
    <row r="57" spans="1:64">
      <c r="A57" s="3" t="s">
        <v>1792</v>
      </c>
    </row>
    <row r="58" spans="1:64">
      <c r="A58" s="5" t="s">
        <v>1793</v>
      </c>
      <c r="J58" s="369">
        <f>J60-J59</f>
        <v>1052.8290500000001</v>
      </c>
      <c r="K58" s="369">
        <f>K60-K59</f>
        <v>804.46199999999999</v>
      </c>
      <c r="L58" s="369">
        <f>L60-L59</f>
        <v>874.31230000000005</v>
      </c>
      <c r="M58" s="369">
        <f>M60-M59</f>
        <v>1316.9132999999999</v>
      </c>
      <c r="N58" s="369">
        <f>SUM(J58:M58)</f>
        <v>4048.5166500000005</v>
      </c>
      <c r="O58" s="369">
        <f>O60-O59</f>
        <v>912.10024999999996</v>
      </c>
      <c r="P58" s="369">
        <f>P60-P59</f>
        <v>1085.9057</v>
      </c>
      <c r="Q58" s="369">
        <f>Q60-Q59</f>
        <v>818.81015000000002</v>
      </c>
      <c r="R58" s="369">
        <f>R60-R59</f>
        <v>1165.2636</v>
      </c>
      <c r="S58" s="369">
        <f>SUM(O58:R58)</f>
        <v>3982.0797000000002</v>
      </c>
      <c r="T58" s="369">
        <f>T60-T59</f>
        <v>749.61644999999999</v>
      </c>
      <c r="U58" s="369">
        <f>U60-U59</f>
        <v>979.18080000000009</v>
      </c>
      <c r="V58" s="369">
        <f>V60-V59</f>
        <v>922.1819999999999</v>
      </c>
      <c r="W58" s="369">
        <f>W60-W59</f>
        <v>1271.6244999999999</v>
      </c>
      <c r="X58" s="369">
        <f>SUM(T58:W58)</f>
        <v>3922.6037499999998</v>
      </c>
      <c r="Y58" s="369">
        <f>Y60-Y59</f>
        <v>1040.3604500000001</v>
      </c>
      <c r="Z58" s="369">
        <f>Z60-Z59</f>
        <v>1046.0956500000002</v>
      </c>
      <c r="AA58" s="369">
        <f>AA60-AA59</f>
        <v>1092.8271999999999</v>
      </c>
      <c r="AB58" s="369">
        <f>AB60-AB59</f>
        <v>1619.4712</v>
      </c>
      <c r="AC58" s="369">
        <f>SUM(Y58:AB58)</f>
        <v>4798.7545</v>
      </c>
      <c r="AD58" s="369">
        <f>AD60-AD59</f>
        <v>1183.8704499999999</v>
      </c>
      <c r="AE58" s="369">
        <f>AE60-AE59</f>
        <v>1196.4342499999998</v>
      </c>
      <c r="AF58" s="369">
        <f>AF60-AF59</f>
        <v>1182.0342000000001</v>
      </c>
      <c r="AG58" s="369">
        <f>AG60-AG59</f>
        <v>1650.4880000000001</v>
      </c>
      <c r="AH58" s="369">
        <f>SUM(AD58:AG58)</f>
        <v>5212.8269</v>
      </c>
      <c r="AI58" s="369">
        <f>AI60-AI59</f>
        <v>1198.5999999999999</v>
      </c>
      <c r="AJ58" s="369">
        <f>AJ60-AJ59</f>
        <v>1235.8578499999999</v>
      </c>
      <c r="AK58" s="369">
        <f>AK60-AK59</f>
        <v>1283.6199999999999</v>
      </c>
      <c r="AL58" s="369"/>
      <c r="AM58" s="369"/>
    </row>
    <row r="59" spans="1:64">
      <c r="A59" s="5" t="s">
        <v>1794</v>
      </c>
      <c r="J59" s="369">
        <f>-3*J54*AVERAGE(I34:J34)</f>
        <v>-471.82905000000005</v>
      </c>
      <c r="K59" s="369">
        <f>-3*K54*AVERAGE(J34:K34)</f>
        <v>-426.46199999999993</v>
      </c>
      <c r="L59" s="369">
        <f>-3*L54*AVERAGE(K34:L34)</f>
        <v>-504.31230000000005</v>
      </c>
      <c r="M59" s="369">
        <f>-3*M54*AVERAGE(L34:M34)</f>
        <v>-698.91329999999994</v>
      </c>
      <c r="N59" s="369">
        <f>SUM(J59:M59)</f>
        <v>-2101.51665</v>
      </c>
      <c r="O59" s="369">
        <f>-3*O54*AVERAGE(N34:O34)</f>
        <v>-541.10024999999996</v>
      </c>
      <c r="P59" s="369">
        <f>-3*P54*AVERAGE(O34:P34)</f>
        <v>-504.90570000000002</v>
      </c>
      <c r="Q59" s="369">
        <f>-3*Q54*AVERAGE(P34:Q34)</f>
        <v>-369.81015000000002</v>
      </c>
      <c r="R59" s="369">
        <f>-3*R54*AVERAGE(Q34:R34)</f>
        <v>-514.2636</v>
      </c>
      <c r="S59" s="369">
        <f>SUM(O59:R59)</f>
        <v>-1930.0797</v>
      </c>
      <c r="T59" s="369">
        <f>-3*T54*AVERAGE(S34:T34)</f>
        <v>-386.61645000000004</v>
      </c>
      <c r="U59" s="369">
        <f>-3*U54*AVERAGE(T34:U34)</f>
        <v>-475.18080000000003</v>
      </c>
      <c r="V59" s="369">
        <f>-3*V54*AVERAGE(U34:V34)</f>
        <v>-514.1819999999999</v>
      </c>
      <c r="W59" s="369">
        <f>-3*W54*AVERAGE(V34:W34)</f>
        <v>-754.62450000000001</v>
      </c>
      <c r="X59" s="369">
        <f>SUM(T59:W59)</f>
        <v>-2130.6037499999998</v>
      </c>
      <c r="Y59" s="369">
        <f>-3*Y54*AVERAGE(X34:Y34)</f>
        <v>-789.36045000000001</v>
      </c>
      <c r="Z59" s="369">
        <f>-3*Z54*AVERAGE(Y34:Z34)</f>
        <v>-719.09565000000009</v>
      </c>
      <c r="AA59" s="369">
        <f>-3*AA54*AVERAGE(Z34:AA34)</f>
        <v>-704.82719999999995</v>
      </c>
      <c r="AB59" s="369">
        <f>-3*AB54*AVERAGE(AA34:AB34)</f>
        <v>-931.47120000000007</v>
      </c>
      <c r="AC59" s="369">
        <f>SUM(Y59:AB59)</f>
        <v>-3144.7545</v>
      </c>
      <c r="AD59" s="369">
        <f>-3*AD54*AVERAGE(AC34:AD34)</f>
        <v>-840.87045000000001</v>
      </c>
      <c r="AE59" s="369">
        <f>-3*AE54*AVERAGE(AD34:AE34)</f>
        <v>-801.43424999999991</v>
      </c>
      <c r="AF59" s="369">
        <f>-3*AF54*AVERAGE(AE34:AF34)</f>
        <v>-846.03420000000017</v>
      </c>
      <c r="AG59" s="369">
        <f>-3*AG54*AVERAGE(AF34:AG34)</f>
        <v>-1042.4880000000001</v>
      </c>
      <c r="AH59" s="369">
        <f>SUM(AD59:AG59)</f>
        <v>-3530.8269</v>
      </c>
      <c r="AI59" s="369">
        <f>-3*AI54*AVERAGE(AH34:AI34)</f>
        <v>-882.6</v>
      </c>
      <c r="AJ59" s="369">
        <f>-3*AJ54*AVERAGE(AI34:AJ34)</f>
        <v>-918.85784999999998</v>
      </c>
      <c r="AK59" s="369">
        <f>-3*AK54*AVERAGE(AJ34:AK34)</f>
        <v>-973.61999999999989</v>
      </c>
    </row>
    <row r="60" spans="1:64">
      <c r="A60" s="9" t="s">
        <v>1795</v>
      </c>
      <c r="B60" s="9"/>
      <c r="C60" s="9"/>
      <c r="D60" s="9"/>
      <c r="E60" s="9"/>
      <c r="F60" s="9"/>
      <c r="G60" s="9"/>
      <c r="H60" s="9"/>
      <c r="I60" s="9"/>
      <c r="J60" s="374">
        <f>J45</f>
        <v>581</v>
      </c>
      <c r="K60" s="374">
        <f>K45</f>
        <v>378</v>
      </c>
      <c r="L60" s="374">
        <f>L45</f>
        <v>370</v>
      </c>
      <c r="M60" s="374">
        <f>M45</f>
        <v>618</v>
      </c>
      <c r="N60" s="374">
        <f>SUM(J60:M60)</f>
        <v>1947</v>
      </c>
      <c r="O60" s="374">
        <f>O45</f>
        <v>371</v>
      </c>
      <c r="P60" s="374">
        <f>P45</f>
        <v>581</v>
      </c>
      <c r="Q60" s="374">
        <f>Q45</f>
        <v>449</v>
      </c>
      <c r="R60" s="374">
        <f>R45</f>
        <v>651</v>
      </c>
      <c r="S60" s="374">
        <f>SUM(O60:R60)</f>
        <v>2052</v>
      </c>
      <c r="T60" s="374">
        <f>T45</f>
        <v>363</v>
      </c>
      <c r="U60" s="374">
        <f>U45</f>
        <v>504</v>
      </c>
      <c r="V60" s="374">
        <f>V45</f>
        <v>408</v>
      </c>
      <c r="W60" s="374">
        <f>W45</f>
        <v>517</v>
      </c>
      <c r="X60" s="374">
        <f>SUM(T60:W60)</f>
        <v>1792</v>
      </c>
      <c r="Y60" s="374">
        <f>Y45</f>
        <v>251</v>
      </c>
      <c r="Z60" s="374">
        <f>Z45</f>
        <v>327</v>
      </c>
      <c r="AA60" s="374">
        <f>AA45</f>
        <v>388</v>
      </c>
      <c r="AB60" s="374">
        <f>AB45</f>
        <v>688</v>
      </c>
      <c r="AC60" s="374">
        <f>SUM(Y60:AB60)</f>
        <v>1654</v>
      </c>
      <c r="AD60" s="374">
        <f>AD45</f>
        <v>343</v>
      </c>
      <c r="AE60" s="374">
        <f>AE45</f>
        <v>395</v>
      </c>
      <c r="AF60" s="374">
        <f>AF45</f>
        <v>336</v>
      </c>
      <c r="AG60" s="374">
        <f>AG45</f>
        <v>608</v>
      </c>
      <c r="AH60" s="374">
        <f>SUM(AD60:AG60)</f>
        <v>1682</v>
      </c>
      <c r="AI60" s="374">
        <f>AI45</f>
        <v>316</v>
      </c>
      <c r="AJ60" s="374">
        <f>AJ45</f>
        <v>317</v>
      </c>
      <c r="AK60" s="374">
        <f>AK45</f>
        <v>310</v>
      </c>
    </row>
    <row r="62" spans="1:64">
      <c r="A62" s="3" t="s">
        <v>1663</v>
      </c>
    </row>
    <row r="63" spans="1:64">
      <c r="A63" s="5" t="s">
        <v>1793</v>
      </c>
      <c r="O63" s="16">
        <f t="shared" ref="O63:AK65" si="69">O58/J58-1</f>
        <v>-0.13366728435162389</v>
      </c>
      <c r="P63" s="16">
        <f t="shared" si="69"/>
        <v>0.34985331811819576</v>
      </c>
      <c r="Q63" s="16">
        <f t="shared" si="69"/>
        <v>-6.3480920947812436E-2</v>
      </c>
      <c r="R63" s="16">
        <f t="shared" si="69"/>
        <v>-0.11515541683723596</v>
      </c>
      <c r="S63" s="16">
        <f t="shared" si="69"/>
        <v>-1.6410195571259445E-2</v>
      </c>
      <c r="T63" s="16">
        <f t="shared" si="69"/>
        <v>-0.17814247940399097</v>
      </c>
      <c r="U63" s="16">
        <f t="shared" si="69"/>
        <v>-9.8281922638402186E-2</v>
      </c>
      <c r="V63" s="16">
        <f t="shared" si="69"/>
        <v>0.12624641988133622</v>
      </c>
      <c r="W63" s="16">
        <f t="shared" si="69"/>
        <v>9.1276257149026208E-2</v>
      </c>
      <c r="X63" s="16">
        <f t="shared" si="69"/>
        <v>-1.4935901458727807E-2</v>
      </c>
      <c r="Y63" s="16">
        <f t="shared" si="69"/>
        <v>0.38785701674503037</v>
      </c>
      <c r="Z63" s="16">
        <f t="shared" si="69"/>
        <v>6.8337583825173187E-2</v>
      </c>
      <c r="AA63" s="16">
        <f t="shared" si="69"/>
        <v>0.18504503449427556</v>
      </c>
      <c r="AB63" s="16">
        <f t="shared" si="69"/>
        <v>0.2735451385216312</v>
      </c>
      <c r="AC63" s="16">
        <f t="shared" si="69"/>
        <v>0.2233594841181703</v>
      </c>
      <c r="AD63" s="16">
        <f t="shared" si="69"/>
        <v>0.13794257557560918</v>
      </c>
      <c r="AE63" s="16">
        <f t="shared" si="69"/>
        <v>0.14371400932601097</v>
      </c>
      <c r="AF63" s="16">
        <f t="shared" si="69"/>
        <v>8.1629556804589054E-2</v>
      </c>
      <c r="AG63" s="16">
        <f t="shared" si="69"/>
        <v>1.9152424569205184E-2</v>
      </c>
      <c r="AH63" s="16">
        <f t="shared" si="69"/>
        <v>8.6287473134956105E-2</v>
      </c>
      <c r="AI63" s="16">
        <f t="shared" si="69"/>
        <v>1.2441859664628074E-2</v>
      </c>
      <c r="AJ63" s="16">
        <f t="shared" si="69"/>
        <v>3.295091226283442E-2</v>
      </c>
      <c r="AK63" s="16">
        <f t="shared" si="69"/>
        <v>8.594150659938582E-2</v>
      </c>
    </row>
    <row r="64" spans="1:64">
      <c r="A64" s="5" t="s">
        <v>1794</v>
      </c>
      <c r="O64" s="16">
        <f t="shared" si="69"/>
        <v>0.14681419043613331</v>
      </c>
      <c r="P64" s="16">
        <f t="shared" si="69"/>
        <v>0.18394065590838138</v>
      </c>
      <c r="Q64" s="16">
        <f t="shared" si="69"/>
        <v>-0.26670408395750023</v>
      </c>
      <c r="R64" s="16">
        <f t="shared" si="69"/>
        <v>-0.26419543024864456</v>
      </c>
      <c r="S64" s="16">
        <f t="shared" si="69"/>
        <v>-8.1577726257843319E-2</v>
      </c>
      <c r="T64" s="16">
        <f t="shared" si="69"/>
        <v>-0.2854994060712408</v>
      </c>
      <c r="U64" s="16">
        <f t="shared" si="69"/>
        <v>-5.8872181478640484E-2</v>
      </c>
      <c r="V64" s="16">
        <f t="shared" si="69"/>
        <v>0.3903945037744363</v>
      </c>
      <c r="W64" s="16">
        <f t="shared" si="69"/>
        <v>0.46738851437278472</v>
      </c>
      <c r="X64" s="16">
        <f t="shared" si="69"/>
        <v>0.10389418115738946</v>
      </c>
      <c r="Y64" s="16">
        <f t="shared" si="69"/>
        <v>1.0417145985381633</v>
      </c>
      <c r="Z64" s="16">
        <f t="shared" si="69"/>
        <v>0.51330956553800156</v>
      </c>
      <c r="AA64" s="16">
        <f t="shared" si="69"/>
        <v>0.37077377271083023</v>
      </c>
      <c r="AB64" s="16">
        <f t="shared" si="69"/>
        <v>0.23435059423594118</v>
      </c>
      <c r="AC64" s="16">
        <f t="shared" si="69"/>
        <v>0.47599219235392809</v>
      </c>
      <c r="AD64" s="16">
        <f t="shared" si="69"/>
        <v>6.525535957622397E-2</v>
      </c>
      <c r="AE64" s="16">
        <f t="shared" si="69"/>
        <v>0.11450298718953422</v>
      </c>
      <c r="AF64" s="16">
        <f t="shared" si="69"/>
        <v>0.20034272230129635</v>
      </c>
      <c r="AG64" s="16">
        <f t="shared" si="69"/>
        <v>0.1191843612556136</v>
      </c>
      <c r="AH64" s="16">
        <f t="shared" si="69"/>
        <v>0.12276710312363015</v>
      </c>
      <c r="AI64" s="16">
        <f t="shared" si="69"/>
        <v>4.9626610139528626E-2</v>
      </c>
      <c r="AJ64" s="16">
        <f t="shared" si="69"/>
        <v>0.14651682280860845</v>
      </c>
      <c r="AK64" s="16">
        <f t="shared" si="69"/>
        <v>0.15080454194404869</v>
      </c>
    </row>
    <row r="65" spans="1:64">
      <c r="A65" s="9" t="s">
        <v>1795</v>
      </c>
      <c r="B65" s="9"/>
      <c r="C65" s="9"/>
      <c r="D65" s="9"/>
      <c r="E65" s="9"/>
      <c r="F65" s="9"/>
      <c r="G65" s="9"/>
      <c r="H65" s="9"/>
      <c r="I65" s="9"/>
      <c r="J65" s="9"/>
      <c r="K65" s="9"/>
      <c r="L65" s="9"/>
      <c r="M65" s="9"/>
      <c r="N65" s="9"/>
      <c r="O65" s="17">
        <f t="shared" si="69"/>
        <v>-0.36144578313253017</v>
      </c>
      <c r="P65" s="17">
        <f t="shared" si="69"/>
        <v>0.53703703703703698</v>
      </c>
      <c r="Q65" s="17">
        <f t="shared" si="69"/>
        <v>0.21351351351351355</v>
      </c>
      <c r="R65" s="17">
        <f t="shared" si="69"/>
        <v>5.3398058252427161E-2</v>
      </c>
      <c r="S65" s="17">
        <f t="shared" si="69"/>
        <v>5.3929121725731832E-2</v>
      </c>
      <c r="T65" s="17">
        <f t="shared" si="69"/>
        <v>-2.1563342318059342E-2</v>
      </c>
      <c r="U65" s="17">
        <f t="shared" si="69"/>
        <v>-0.13253012048192769</v>
      </c>
      <c r="V65" s="17">
        <f t="shared" si="69"/>
        <v>-9.1314031180400934E-2</v>
      </c>
      <c r="W65" s="17">
        <f t="shared" si="69"/>
        <v>-0.20583717357910902</v>
      </c>
      <c r="X65" s="17">
        <f t="shared" si="69"/>
        <v>-0.12670565302144254</v>
      </c>
      <c r="Y65" s="17">
        <f t="shared" si="69"/>
        <v>-0.30853994490358128</v>
      </c>
      <c r="Z65" s="17">
        <f t="shared" si="69"/>
        <v>-0.35119047619047616</v>
      </c>
      <c r="AA65" s="17">
        <f t="shared" si="69"/>
        <v>-4.9019607843137303E-2</v>
      </c>
      <c r="AB65" s="17">
        <f t="shared" si="69"/>
        <v>0.33075435203094772</v>
      </c>
      <c r="AC65" s="17">
        <f t="shared" si="69"/>
        <v>-7.7008928571428603E-2</v>
      </c>
      <c r="AD65" s="17">
        <f t="shared" si="69"/>
        <v>0.36653386454183257</v>
      </c>
      <c r="AE65" s="17">
        <f t="shared" si="69"/>
        <v>0.20795107033639137</v>
      </c>
      <c r="AF65" s="17">
        <f t="shared" si="69"/>
        <v>-0.134020618556701</v>
      </c>
      <c r="AG65" s="17">
        <f t="shared" si="69"/>
        <v>-0.11627906976744184</v>
      </c>
      <c r="AH65" s="17">
        <f t="shared" si="69"/>
        <v>1.6928657799274438E-2</v>
      </c>
      <c r="AI65" s="17">
        <f t="shared" si="69"/>
        <v>-7.871720116618075E-2</v>
      </c>
      <c r="AJ65" s="17">
        <f t="shared" si="69"/>
        <v>-0.1974683544303798</v>
      </c>
      <c r="AK65" s="17">
        <f t="shared" si="69"/>
        <v>-7.7380952380952328E-2</v>
      </c>
    </row>
    <row r="67" spans="1:64">
      <c r="A67" s="3" t="s">
        <v>1796</v>
      </c>
    </row>
    <row r="68" spans="1:64">
      <c r="A68" s="5" t="s">
        <v>1797</v>
      </c>
      <c r="I68" s="383">
        <v>5570</v>
      </c>
      <c r="J68" s="383">
        <v>5470</v>
      </c>
      <c r="K68" s="383">
        <v>5450</v>
      </c>
      <c r="L68" s="383">
        <v>5420</v>
      </c>
      <c r="M68" s="383">
        <v>5320</v>
      </c>
      <c r="N68" s="383">
        <v>5420</v>
      </c>
      <c r="O68" s="383">
        <v>5250</v>
      </c>
      <c r="P68" s="383">
        <v>5190</v>
      </c>
      <c r="Q68" s="383">
        <v>5100</v>
      </c>
      <c r="R68" s="383">
        <v>4920</v>
      </c>
      <c r="S68" s="383">
        <v>5110</v>
      </c>
      <c r="T68" s="383">
        <v>4810</v>
      </c>
      <c r="U68" s="383">
        <v>4750</v>
      </c>
      <c r="V68" s="383">
        <v>4710</v>
      </c>
      <c r="W68" s="383">
        <v>4650</v>
      </c>
      <c r="X68" s="383">
        <v>4730</v>
      </c>
      <c r="Y68" s="383">
        <v>4530</v>
      </c>
      <c r="Z68" s="383">
        <v>4420</v>
      </c>
      <c r="AA68" s="383">
        <v>4360</v>
      </c>
      <c r="AB68" s="383">
        <v>4260</v>
      </c>
      <c r="AC68" s="383">
        <v>4390</v>
      </c>
      <c r="AD68" s="383">
        <v>4180</v>
      </c>
      <c r="AE68" s="383">
        <v>4140</v>
      </c>
      <c r="AF68" s="383">
        <v>4090</v>
      </c>
      <c r="AG68" s="383">
        <v>4030</v>
      </c>
      <c r="AH68" s="383">
        <v>4110</v>
      </c>
      <c r="AI68" s="383">
        <v>3970</v>
      </c>
      <c r="AJ68" s="383">
        <v>3990</v>
      </c>
      <c r="AK68" s="383">
        <v>3990</v>
      </c>
      <c r="AL68" s="369"/>
      <c r="AM68" s="369"/>
    </row>
    <row r="69" spans="1:64">
      <c r="A69" s="5" t="s">
        <v>1798</v>
      </c>
      <c r="I69" s="383">
        <v>-1220</v>
      </c>
      <c r="J69" s="383">
        <v>-1150</v>
      </c>
      <c r="K69" s="383">
        <v>-1120</v>
      </c>
      <c r="L69" s="383">
        <v>-1040</v>
      </c>
      <c r="M69" s="383">
        <v>-930</v>
      </c>
      <c r="N69" s="383">
        <v>-1060</v>
      </c>
      <c r="O69" s="383">
        <v>-800</v>
      </c>
      <c r="P69" s="383">
        <v>-740</v>
      </c>
      <c r="Q69" s="383">
        <v>-660</v>
      </c>
      <c r="R69" s="383">
        <v>-590</v>
      </c>
      <c r="S69" s="383">
        <v>-700</v>
      </c>
      <c r="T69" s="383">
        <v>-510</v>
      </c>
      <c r="U69" s="383">
        <v>-450</v>
      </c>
      <c r="V69" s="383">
        <v>-420</v>
      </c>
      <c r="W69" s="383">
        <v>-380</v>
      </c>
      <c r="X69" s="383">
        <v>-440</v>
      </c>
      <c r="Y69" s="383">
        <v>-350</v>
      </c>
      <c r="Z69" s="383">
        <v>-330</v>
      </c>
      <c r="AA69" s="383">
        <v>-310</v>
      </c>
      <c r="AB69" s="383">
        <v>-280</v>
      </c>
      <c r="AC69" s="383">
        <v>-320</v>
      </c>
      <c r="AD69" s="383">
        <v>-270</v>
      </c>
      <c r="AE69" s="383">
        <v>-250</v>
      </c>
      <c r="AF69" s="383">
        <v>-250</v>
      </c>
      <c r="AG69" s="383">
        <v>-250</v>
      </c>
      <c r="AH69" s="383">
        <v>-250</v>
      </c>
      <c r="AI69" s="383">
        <v>-250</v>
      </c>
      <c r="AJ69" s="383">
        <v>-250</v>
      </c>
      <c r="AK69" s="383">
        <v>-250</v>
      </c>
      <c r="AL69" s="369"/>
      <c r="AM69" s="369"/>
    </row>
    <row r="70" spans="1:64">
      <c r="A70" s="9" t="s">
        <v>1799</v>
      </c>
      <c r="B70" s="9"/>
      <c r="C70" s="9"/>
      <c r="D70" s="9"/>
      <c r="E70" s="9"/>
      <c r="F70" s="9"/>
      <c r="G70" s="9"/>
      <c r="H70" s="9"/>
      <c r="I70" s="374">
        <f t="shared" ref="I70:AK70" si="70">SUM(I68:I69)</f>
        <v>4350</v>
      </c>
      <c r="J70" s="374">
        <f t="shared" si="70"/>
        <v>4320</v>
      </c>
      <c r="K70" s="374">
        <f t="shared" si="70"/>
        <v>4330</v>
      </c>
      <c r="L70" s="374">
        <f t="shared" si="70"/>
        <v>4380</v>
      </c>
      <c r="M70" s="374">
        <f t="shared" si="70"/>
        <v>4390</v>
      </c>
      <c r="N70" s="374">
        <f t="shared" si="70"/>
        <v>4360</v>
      </c>
      <c r="O70" s="374">
        <f t="shared" si="70"/>
        <v>4450</v>
      </c>
      <c r="P70" s="374">
        <f t="shared" si="70"/>
        <v>4450</v>
      </c>
      <c r="Q70" s="374">
        <f t="shared" si="70"/>
        <v>4440</v>
      </c>
      <c r="R70" s="374">
        <f t="shared" si="70"/>
        <v>4330</v>
      </c>
      <c r="S70" s="374">
        <f t="shared" si="70"/>
        <v>4410</v>
      </c>
      <c r="T70" s="374">
        <f t="shared" si="70"/>
        <v>4300</v>
      </c>
      <c r="U70" s="374">
        <f t="shared" si="70"/>
        <v>4300</v>
      </c>
      <c r="V70" s="374">
        <f t="shared" si="70"/>
        <v>4290</v>
      </c>
      <c r="W70" s="374">
        <f t="shared" si="70"/>
        <v>4270</v>
      </c>
      <c r="X70" s="374">
        <f t="shared" si="70"/>
        <v>4290</v>
      </c>
      <c r="Y70" s="374">
        <f t="shared" si="70"/>
        <v>4180</v>
      </c>
      <c r="Z70" s="374">
        <f t="shared" si="70"/>
        <v>4090</v>
      </c>
      <c r="AA70" s="374">
        <f t="shared" si="70"/>
        <v>4050</v>
      </c>
      <c r="AB70" s="374">
        <f t="shared" si="70"/>
        <v>3980</v>
      </c>
      <c r="AC70" s="374">
        <f t="shared" si="70"/>
        <v>4070</v>
      </c>
      <c r="AD70" s="374">
        <f t="shared" si="70"/>
        <v>3910</v>
      </c>
      <c r="AE70" s="374">
        <f t="shared" si="70"/>
        <v>3890</v>
      </c>
      <c r="AF70" s="374">
        <f t="shared" si="70"/>
        <v>3840</v>
      </c>
      <c r="AG70" s="374">
        <f t="shared" si="70"/>
        <v>3780</v>
      </c>
      <c r="AH70" s="374">
        <f t="shared" si="70"/>
        <v>3860</v>
      </c>
      <c r="AI70" s="374">
        <f t="shared" si="70"/>
        <v>3720</v>
      </c>
      <c r="AJ70" s="374">
        <f t="shared" si="70"/>
        <v>3740</v>
      </c>
      <c r="AK70" s="374">
        <f t="shared" si="70"/>
        <v>3740</v>
      </c>
      <c r="AL70" s="374">
        <f>AG70*(1+AL74)</f>
        <v>3666.6</v>
      </c>
      <c r="AM70" s="374">
        <f>1000000*AM22/AVERAGE(AH34:AL34)/12</f>
        <v>3714.8392660230415</v>
      </c>
      <c r="AN70" s="374">
        <f t="shared" ref="AN70:AQ70" si="71">AI70*(1+AN74)</f>
        <v>3617.7000000000003</v>
      </c>
      <c r="AO70" s="374">
        <f t="shared" si="71"/>
        <v>3637.15</v>
      </c>
      <c r="AP70" s="374">
        <f t="shared" si="71"/>
        <v>3637.15</v>
      </c>
      <c r="AQ70" s="374">
        <f t="shared" si="71"/>
        <v>3565.7685000000001</v>
      </c>
      <c r="AR70" s="374">
        <f>1000000*AR22/AVERAGE(AM34:AQ34)/12</f>
        <v>3613.1749158066978</v>
      </c>
      <c r="AS70" s="374">
        <f t="shared" ref="AS70:AV70" si="72">AN70*(1+AS74)</f>
        <v>3545.346</v>
      </c>
      <c r="AT70" s="374">
        <f t="shared" si="72"/>
        <v>3564.4070000000002</v>
      </c>
      <c r="AU70" s="374">
        <f t="shared" si="72"/>
        <v>3564.4070000000002</v>
      </c>
      <c r="AV70" s="374">
        <f t="shared" si="72"/>
        <v>3494.4531299999999</v>
      </c>
      <c r="AW70" s="374">
        <f>1000000*AW22/AVERAGE(AR34:AV34)/12</f>
        <v>3541.3447615022087</v>
      </c>
      <c r="AX70" s="374">
        <f t="shared" ref="AX70:BA70" si="73">AS70*(1+AX74)</f>
        <v>3501.0291750000001</v>
      </c>
      <c r="AY70" s="374">
        <f t="shared" si="73"/>
        <v>3519.8519125000003</v>
      </c>
      <c r="AZ70" s="374">
        <f t="shared" si="73"/>
        <v>3519.8519125000003</v>
      </c>
      <c r="BA70" s="374">
        <f t="shared" si="73"/>
        <v>3450.7724658749999</v>
      </c>
      <c r="BB70" s="374">
        <f>1000000*BB22/AVERAGE(AW34:BA34)/12</f>
        <v>3497.3513753236325</v>
      </c>
      <c r="BC70" s="374">
        <f t="shared" ref="BC70:BF70" si="74">AX70*(1+BC74)</f>
        <v>3483.5240291250002</v>
      </c>
      <c r="BD70" s="374">
        <f t="shared" si="74"/>
        <v>3502.2526529375004</v>
      </c>
      <c r="BE70" s="374">
        <f t="shared" si="74"/>
        <v>3502.2526529375004</v>
      </c>
      <c r="BF70" s="374">
        <f t="shared" si="74"/>
        <v>3433.518603545625</v>
      </c>
      <c r="BG70" s="374">
        <f>1000000*BG22/AVERAGE(BB34:BF34)/12</f>
        <v>3480.0413057195278</v>
      </c>
      <c r="BH70" s="374">
        <f t="shared" ref="BH70:BK70" si="75">BC70*(1+BH74)</f>
        <v>3466.1064089793754</v>
      </c>
      <c r="BI70" s="374">
        <f t="shared" si="75"/>
        <v>3484.7413896728131</v>
      </c>
      <c r="BJ70" s="374">
        <f t="shared" si="75"/>
        <v>3484.7413896728131</v>
      </c>
      <c r="BK70" s="374">
        <f t="shared" si="75"/>
        <v>3416.351010527897</v>
      </c>
      <c r="BL70" s="374">
        <f>1000000*BL22/AVERAGE(BG34:BK34)/12</f>
        <v>3462.7564871519221</v>
      </c>
    </row>
    <row r="72" spans="1:64">
      <c r="A72" s="3" t="s">
        <v>1800</v>
      </c>
    </row>
    <row r="73" spans="1:64">
      <c r="A73" s="1" t="s">
        <v>1797</v>
      </c>
      <c r="K73" s="16"/>
      <c r="L73" s="16"/>
      <c r="M73" s="16"/>
      <c r="N73" s="16">
        <f t="shared" ref="N73:AK73" si="76">N68/I68-1</f>
        <v>-2.6929982046678624E-2</v>
      </c>
      <c r="O73" s="16">
        <f t="shared" si="76"/>
        <v>-4.0219378427787889E-2</v>
      </c>
      <c r="P73" s="16">
        <f t="shared" si="76"/>
        <v>-4.7706422018348627E-2</v>
      </c>
      <c r="Q73" s="16">
        <f t="shared" si="76"/>
        <v>-5.9040590405904037E-2</v>
      </c>
      <c r="R73" s="16">
        <f t="shared" si="76"/>
        <v>-7.5187969924812026E-2</v>
      </c>
      <c r="S73" s="16">
        <f t="shared" si="76"/>
        <v>-5.719557195571956E-2</v>
      </c>
      <c r="T73" s="16">
        <f t="shared" si="76"/>
        <v>-8.3809523809523778E-2</v>
      </c>
      <c r="U73" s="16">
        <f t="shared" si="76"/>
        <v>-8.477842003853564E-2</v>
      </c>
      <c r="V73" s="16">
        <f t="shared" si="76"/>
        <v>-7.6470588235294068E-2</v>
      </c>
      <c r="W73" s="16">
        <f t="shared" si="76"/>
        <v>-5.4878048780487854E-2</v>
      </c>
      <c r="X73" s="16">
        <f t="shared" si="76"/>
        <v>-7.4363992172211346E-2</v>
      </c>
      <c r="Y73" s="16">
        <f t="shared" si="76"/>
        <v>-5.8212058212058215E-2</v>
      </c>
      <c r="Z73" s="16">
        <f t="shared" si="76"/>
        <v>-6.9473684210526354E-2</v>
      </c>
      <c r="AA73" s="16">
        <f t="shared" si="76"/>
        <v>-7.4309978768577478E-2</v>
      </c>
      <c r="AB73" s="16">
        <f t="shared" si="76"/>
        <v>-8.3870967741935476E-2</v>
      </c>
      <c r="AC73" s="16">
        <f t="shared" si="76"/>
        <v>-7.1881606765327732E-2</v>
      </c>
      <c r="AD73" s="16">
        <f t="shared" si="76"/>
        <v>-7.7262693156732842E-2</v>
      </c>
      <c r="AE73" s="16">
        <f t="shared" si="76"/>
        <v>-6.3348416289592757E-2</v>
      </c>
      <c r="AF73" s="16">
        <f t="shared" si="76"/>
        <v>-6.1926605504587173E-2</v>
      </c>
      <c r="AG73" s="16">
        <f t="shared" si="76"/>
        <v>-5.39906103286385E-2</v>
      </c>
      <c r="AH73" s="16">
        <f t="shared" si="76"/>
        <v>-6.3781321184510298E-2</v>
      </c>
      <c r="AI73" s="16">
        <f t="shared" si="76"/>
        <v>-5.023923444976075E-2</v>
      </c>
      <c r="AJ73" s="16">
        <f t="shared" si="76"/>
        <v>-3.6231884057971064E-2</v>
      </c>
      <c r="AK73" s="16">
        <f t="shared" si="76"/>
        <v>-2.4449877750611249E-2</v>
      </c>
    </row>
    <row r="74" spans="1:64">
      <c r="A74" s="1" t="s">
        <v>1799</v>
      </c>
      <c r="K74" s="16"/>
      <c r="L74" s="16"/>
      <c r="M74" s="16"/>
      <c r="N74" s="16">
        <f t="shared" ref="N74:AK74" si="77">N70/I70-1</f>
        <v>2.2988505747125743E-3</v>
      </c>
      <c r="O74" s="16">
        <f t="shared" si="77"/>
        <v>3.009259259259256E-2</v>
      </c>
      <c r="P74" s="16">
        <f t="shared" si="77"/>
        <v>2.7713625866050862E-2</v>
      </c>
      <c r="Q74" s="16">
        <f t="shared" si="77"/>
        <v>1.3698630136986356E-2</v>
      </c>
      <c r="R74" s="16">
        <f t="shared" si="77"/>
        <v>-1.3667425968109326E-2</v>
      </c>
      <c r="S74" s="16">
        <f t="shared" si="77"/>
        <v>1.1467889908256979E-2</v>
      </c>
      <c r="T74" s="16">
        <f t="shared" si="77"/>
        <v>-3.3707865168539297E-2</v>
      </c>
      <c r="U74" s="16">
        <f t="shared" si="77"/>
        <v>-3.3707865168539297E-2</v>
      </c>
      <c r="V74" s="16">
        <f t="shared" si="77"/>
        <v>-3.3783783783783772E-2</v>
      </c>
      <c r="W74" s="16">
        <f t="shared" si="77"/>
        <v>-1.3856812933025431E-2</v>
      </c>
      <c r="X74" s="16">
        <f t="shared" si="77"/>
        <v>-2.7210884353741527E-2</v>
      </c>
      <c r="Y74" s="16">
        <f t="shared" si="77"/>
        <v>-2.7906976744186074E-2</v>
      </c>
      <c r="Z74" s="16">
        <f t="shared" si="77"/>
        <v>-4.8837209302325602E-2</v>
      </c>
      <c r="AA74" s="16">
        <f t="shared" si="77"/>
        <v>-5.5944055944055937E-2</v>
      </c>
      <c r="AB74" s="16">
        <f t="shared" si="77"/>
        <v>-6.7915690866510503E-2</v>
      </c>
      <c r="AC74" s="16">
        <f t="shared" si="77"/>
        <v>-5.1282051282051322E-2</v>
      </c>
      <c r="AD74" s="16">
        <f t="shared" si="77"/>
        <v>-6.4593301435406647E-2</v>
      </c>
      <c r="AE74" s="16">
        <f t="shared" si="77"/>
        <v>-4.8899755501222497E-2</v>
      </c>
      <c r="AF74" s="16">
        <f t="shared" si="77"/>
        <v>-5.1851851851851816E-2</v>
      </c>
      <c r="AG74" s="16">
        <f t="shared" si="77"/>
        <v>-5.0251256281407031E-2</v>
      </c>
      <c r="AH74" s="16">
        <f t="shared" si="77"/>
        <v>-5.1597051597051635E-2</v>
      </c>
      <c r="AI74" s="16">
        <f t="shared" si="77"/>
        <v>-4.8593350383631662E-2</v>
      </c>
      <c r="AJ74" s="16">
        <f t="shared" si="77"/>
        <v>-3.8560411311054033E-2</v>
      </c>
      <c r="AK74" s="16">
        <f t="shared" si="77"/>
        <v>-2.604166666666663E-2</v>
      </c>
      <c r="AL74" s="303">
        <v>-0.03</v>
      </c>
      <c r="AM74" s="16">
        <f t="shared" ref="AM74" si="78">AM70/AH70-1</f>
        <v>-3.7606407766051397E-2</v>
      </c>
      <c r="AN74" s="303">
        <v>-2.75E-2</v>
      </c>
      <c r="AO74" s="303">
        <v>-2.75E-2</v>
      </c>
      <c r="AP74" s="303">
        <v>-2.75E-2</v>
      </c>
      <c r="AQ74" s="303">
        <v>-2.75E-2</v>
      </c>
      <c r="AS74" s="303">
        <f>AN74+0.75%</f>
        <v>-0.02</v>
      </c>
      <c r="AT74" s="303">
        <f>AO74+0.75%</f>
        <v>-0.02</v>
      </c>
      <c r="AU74" s="303">
        <f>AP74+0.75%</f>
        <v>-0.02</v>
      </c>
      <c r="AV74" s="303">
        <f>AQ74+0.75%</f>
        <v>-0.02</v>
      </c>
      <c r="AX74" s="303">
        <f>AS74+0.75%</f>
        <v>-1.2500000000000001E-2</v>
      </c>
      <c r="AY74" s="303">
        <f>AT74+0.75%</f>
        <v>-1.2500000000000001E-2</v>
      </c>
      <c r="AZ74" s="303">
        <f>AU74+0.75%</f>
        <v>-1.2500000000000001E-2</v>
      </c>
      <c r="BA74" s="303">
        <f>AV74+0.75%</f>
        <v>-1.2500000000000001E-2</v>
      </c>
      <c r="BC74" s="303">
        <f>AX74+0.75%</f>
        <v>-5.000000000000001E-3</v>
      </c>
      <c r="BD74" s="303">
        <f>AY74+0.75%</f>
        <v>-5.000000000000001E-3</v>
      </c>
      <c r="BE74" s="303">
        <f>AZ74+0.75%</f>
        <v>-5.000000000000001E-3</v>
      </c>
      <c r="BF74" s="303">
        <f>BA74+0.75%</f>
        <v>-5.000000000000001E-3</v>
      </c>
      <c r="BH74" s="303">
        <f>BC74</f>
        <v>-5.000000000000001E-3</v>
      </c>
      <c r="BI74" s="303">
        <f t="shared" ref="BI74:BK74" si="79">BD74</f>
        <v>-5.000000000000001E-3</v>
      </c>
      <c r="BJ74" s="303">
        <f t="shared" si="79"/>
        <v>-5.000000000000001E-3</v>
      </c>
      <c r="BK74" s="303">
        <f t="shared" si="79"/>
        <v>-5.000000000000001E-3</v>
      </c>
    </row>
    <row r="76" spans="1:64">
      <c r="A76" s="3" t="s">
        <v>1801</v>
      </c>
    </row>
    <row r="77" spans="1:64">
      <c r="A77" s="1" t="s">
        <v>1797</v>
      </c>
      <c r="I77" s="103">
        <f>I68/'FP SoftBank Corp.'!$I$4</f>
        <v>35.935483870967744</v>
      </c>
      <c r="J77" s="103">
        <f>J68/'FP SoftBank Corp.'!$I$4</f>
        <v>35.29032258064516</v>
      </c>
      <c r="K77" s="103">
        <f>K68/'FP SoftBank Corp.'!$I$4</f>
        <v>35.161290322580648</v>
      </c>
      <c r="L77" s="103">
        <f>L68/'FP SoftBank Corp.'!$I$4</f>
        <v>34.967741935483872</v>
      </c>
      <c r="M77" s="103">
        <f>M68/'FP SoftBank Corp.'!$I$4</f>
        <v>34.322580645161288</v>
      </c>
      <c r="N77" s="103">
        <f>N68/'FP SoftBank Corp.'!$I$4</f>
        <v>34.967741935483872</v>
      </c>
      <c r="O77" s="103">
        <f>O68/'FP SoftBank Corp.'!$I$4</f>
        <v>33.87096774193548</v>
      </c>
      <c r="P77" s="103">
        <f>P68/'FP SoftBank Corp.'!$I$4</f>
        <v>33.483870967741936</v>
      </c>
      <c r="Q77" s="103">
        <f>Q68/'FP SoftBank Corp.'!$I$4</f>
        <v>32.903225806451616</v>
      </c>
      <c r="R77" s="103">
        <f>R68/'FP SoftBank Corp.'!$I$4</f>
        <v>31.741935483870968</v>
      </c>
      <c r="S77" s="103">
        <f>S68/'FP SoftBank Corp.'!$I$4</f>
        <v>32.967741935483872</v>
      </c>
      <c r="T77" s="103">
        <f>T68/'FP SoftBank Corp.'!$I$4</f>
        <v>31.032258064516128</v>
      </c>
      <c r="U77" s="103">
        <f>U68/'FP SoftBank Corp.'!$I$4</f>
        <v>30.64516129032258</v>
      </c>
      <c r="V77" s="103">
        <f>V68/'FP SoftBank Corp.'!$I$4</f>
        <v>30.387096774193548</v>
      </c>
      <c r="W77" s="103">
        <f>W68/'FP SoftBank Corp.'!$I$4</f>
        <v>30</v>
      </c>
      <c r="X77" s="103">
        <f>X68/'FP SoftBank Corp.'!$I$4</f>
        <v>30.516129032258064</v>
      </c>
      <c r="Y77" s="103">
        <f>Y68/'FP SoftBank Corp.'!$I$4</f>
        <v>29.225806451612904</v>
      </c>
      <c r="Z77" s="103">
        <f>Z68/'FP SoftBank Corp.'!$I$4</f>
        <v>28.516129032258064</v>
      </c>
      <c r="AA77" s="103">
        <f>AA68/'FP SoftBank Corp.'!$I$4</f>
        <v>28.129032258064516</v>
      </c>
      <c r="AB77" s="103">
        <f>AB68/'FP SoftBank Corp.'!$I$4</f>
        <v>27.483870967741936</v>
      </c>
      <c r="AC77" s="103">
        <f>AC68/'FP SoftBank Corp.'!$I$4</f>
        <v>28.322580645161292</v>
      </c>
      <c r="AD77" s="103">
        <f>AD68/'FP SoftBank Corp.'!$I$4</f>
        <v>26.967741935483872</v>
      </c>
      <c r="AE77" s="103">
        <f>AE68/'FP SoftBank Corp.'!$I$4</f>
        <v>26.70967741935484</v>
      </c>
      <c r="AF77" s="103">
        <f>AF68/'FP SoftBank Corp.'!$I$4</f>
        <v>26.387096774193548</v>
      </c>
      <c r="AG77" s="103">
        <f>AG68/'FP SoftBank Corp.'!$I$4</f>
        <v>26</v>
      </c>
      <c r="AH77" s="103">
        <f>AH68/'FP SoftBank Corp.'!$I$4</f>
        <v>26.516129032258064</v>
      </c>
      <c r="AI77" s="103">
        <f>AI68/'FP SoftBank Corp.'!$I$4</f>
        <v>25.612903225806452</v>
      </c>
      <c r="AJ77" s="103">
        <f>AJ68/'FP SoftBank Corp.'!$I$4</f>
        <v>25.741935483870968</v>
      </c>
      <c r="AK77" s="103">
        <f>AK68/'FP SoftBank Corp.'!$I$4</f>
        <v>25.741935483870968</v>
      </c>
    </row>
    <row r="78" spans="1:64">
      <c r="A78" s="1" t="s">
        <v>1799</v>
      </c>
      <c r="I78" s="103">
        <f>I70/'FP SoftBank Corp.'!$I$4</f>
        <v>28.06451612903226</v>
      </c>
      <c r="J78" s="103">
        <f>J70/'FP SoftBank Corp.'!$I$4</f>
        <v>27.870967741935484</v>
      </c>
      <c r="K78" s="103">
        <f>K70/'FP SoftBank Corp.'!$I$4</f>
        <v>27.93548387096774</v>
      </c>
      <c r="L78" s="103">
        <f>L70/'FP SoftBank Corp.'!$I$4</f>
        <v>28.258064516129032</v>
      </c>
      <c r="M78" s="103">
        <f>M70/'FP SoftBank Corp.'!$I$4</f>
        <v>28.322580645161292</v>
      </c>
      <c r="N78" s="103">
        <f>N70/'FP SoftBank Corp.'!$I$4</f>
        <v>28.129032258064516</v>
      </c>
      <c r="O78" s="103">
        <f>O70/'FP SoftBank Corp.'!$I$4</f>
        <v>28.70967741935484</v>
      </c>
      <c r="P78" s="103">
        <f>P70/'FP SoftBank Corp.'!$I$4</f>
        <v>28.70967741935484</v>
      </c>
      <c r="Q78" s="103">
        <f>Q70/'FP SoftBank Corp.'!$I$4</f>
        <v>28.64516129032258</v>
      </c>
      <c r="R78" s="103">
        <f>R70/'FP SoftBank Corp.'!$I$4</f>
        <v>27.93548387096774</v>
      </c>
      <c r="S78" s="103">
        <f>S70/'FP SoftBank Corp.'!$I$4</f>
        <v>28.451612903225808</v>
      </c>
      <c r="T78" s="103">
        <f>T70/'FP SoftBank Corp.'!$I$4</f>
        <v>27.741935483870968</v>
      </c>
      <c r="U78" s="103">
        <f>U70/'FP SoftBank Corp.'!$I$4</f>
        <v>27.741935483870968</v>
      </c>
      <c r="V78" s="103">
        <f>V70/'FP SoftBank Corp.'!$I$4</f>
        <v>27.677419354838708</v>
      </c>
      <c r="W78" s="103">
        <f>W70/'FP SoftBank Corp.'!$I$4</f>
        <v>27.548387096774192</v>
      </c>
      <c r="X78" s="103">
        <f>X70/'FP SoftBank Corp.'!$I$4</f>
        <v>27.677419354838708</v>
      </c>
      <c r="Y78" s="103">
        <f>Y70/'FP SoftBank Corp.'!$I$4</f>
        <v>26.967741935483872</v>
      </c>
      <c r="Z78" s="103">
        <f>Z70/'FP SoftBank Corp.'!$I$4</f>
        <v>26.387096774193548</v>
      </c>
      <c r="AA78" s="103">
        <f>AA70/'FP SoftBank Corp.'!$I$4</f>
        <v>26.129032258064516</v>
      </c>
      <c r="AB78" s="103">
        <f>AB70/'FP SoftBank Corp.'!$I$4</f>
        <v>25.677419354838708</v>
      </c>
      <c r="AC78" s="103">
        <f>AC70/'FP SoftBank Corp.'!$I$4</f>
        <v>26.258064516129032</v>
      </c>
      <c r="AD78" s="103">
        <f>AD70/'FP SoftBank Corp.'!$I$4</f>
        <v>25.225806451612904</v>
      </c>
      <c r="AE78" s="103">
        <f>AE70/'FP SoftBank Corp.'!$I$4</f>
        <v>25.096774193548388</v>
      </c>
      <c r="AF78" s="103">
        <f>AF70/'FP SoftBank Corp.'!$I$4</f>
        <v>24.774193548387096</v>
      </c>
      <c r="AG78" s="103">
        <f>AG70/'FP SoftBank Corp.'!$I$4</f>
        <v>24.387096774193548</v>
      </c>
      <c r="AH78" s="103">
        <f>AH70/'FP SoftBank Corp.'!$I$4</f>
        <v>24.903225806451612</v>
      </c>
      <c r="AI78" s="103">
        <f>AI70/'FP SoftBank Corp.'!$I$4</f>
        <v>24</v>
      </c>
      <c r="AJ78" s="103">
        <f>AJ70/'FP SoftBank Corp.'!$I$4</f>
        <v>24.129032258064516</v>
      </c>
      <c r="AK78" s="103">
        <f>AK70/'FP SoftBank Corp.'!$I$4</f>
        <v>24.129032258064516</v>
      </c>
      <c r="AL78" s="103">
        <f>AL70/'FP SoftBank Corp.'!$I$4</f>
        <v>23.655483870967743</v>
      </c>
      <c r="AM78" s="103">
        <f>AM70/'FP SoftBank Corp.'!$I$4</f>
        <v>23.966704942084139</v>
      </c>
      <c r="AN78" s="103">
        <f>AN70/'FP SoftBank Corp.'!$I$4</f>
        <v>23.340000000000003</v>
      </c>
      <c r="AO78" s="103">
        <f>AO70/'FP SoftBank Corp.'!$I$4</f>
        <v>23.465483870967741</v>
      </c>
      <c r="AP78" s="103">
        <f>AP70/'FP SoftBank Corp.'!$I$4</f>
        <v>23.465483870967741</v>
      </c>
      <c r="AQ78" s="103">
        <f>AQ70/'FP SoftBank Corp.'!$I$4</f>
        <v>23.004958064516131</v>
      </c>
      <c r="AR78" s="103">
        <f>AR70/'FP SoftBank Corp.'!$I$4</f>
        <v>23.310805908430307</v>
      </c>
      <c r="AS78" s="103">
        <f>AS70/'FP SoftBank Corp.'!$I$4</f>
        <v>22.873200000000001</v>
      </c>
      <c r="AT78" s="103">
        <f>AT70/'FP SoftBank Corp.'!$I$4</f>
        <v>22.996174193548388</v>
      </c>
      <c r="AU78" s="103">
        <f>AU70/'FP SoftBank Corp.'!$I$4</f>
        <v>22.996174193548388</v>
      </c>
      <c r="AV78" s="103">
        <f>AV70/'FP SoftBank Corp.'!$I$4</f>
        <v>22.544858903225805</v>
      </c>
      <c r="AW78" s="103">
        <f>AW70/'FP SoftBank Corp.'!$I$4</f>
        <v>22.847385558078766</v>
      </c>
      <c r="AX78" s="103">
        <f>AX70/'FP SoftBank Corp.'!$I$4</f>
        <v>22.587285000000001</v>
      </c>
      <c r="AY78" s="103">
        <f>AY70/'FP SoftBank Corp.'!$I$4</f>
        <v>22.708722016129034</v>
      </c>
      <c r="AZ78" s="103">
        <f>AZ70/'FP SoftBank Corp.'!$I$4</f>
        <v>22.708722016129034</v>
      </c>
      <c r="BA78" s="103">
        <f>BA70/'FP SoftBank Corp.'!$I$4</f>
        <v>22.263048166935484</v>
      </c>
      <c r="BB78" s="103">
        <f>BB70/'FP SoftBank Corp.'!$I$4</f>
        <v>22.563557260152468</v>
      </c>
      <c r="BC78" s="103">
        <f>BC70/'FP SoftBank Corp.'!$I$4</f>
        <v>22.474348575</v>
      </c>
      <c r="BD78" s="103">
        <f>BD70/'FP SoftBank Corp.'!$I$4</f>
        <v>22.59517840604839</v>
      </c>
      <c r="BE78" s="103">
        <f>BE70/'FP SoftBank Corp.'!$I$4</f>
        <v>22.59517840604839</v>
      </c>
      <c r="BF78" s="103">
        <f>BF70/'FP SoftBank Corp.'!$I$4</f>
        <v>22.151732926100806</v>
      </c>
      <c r="BG78" s="103">
        <f>BG70/'FP SoftBank Corp.'!$I$4</f>
        <v>22.451879391738888</v>
      </c>
      <c r="BH78" s="103">
        <f>BH70/'FP SoftBank Corp.'!$I$4</f>
        <v>22.361976832125002</v>
      </c>
      <c r="BI78" s="103">
        <f>BI70/'FP SoftBank Corp.'!$I$4</f>
        <v>22.482202514018148</v>
      </c>
      <c r="BJ78" s="103">
        <f>BJ70/'FP SoftBank Corp.'!$I$4</f>
        <v>22.482202514018148</v>
      </c>
      <c r="BK78" s="103">
        <f>BK70/'FP SoftBank Corp.'!$I$4</f>
        <v>22.040974261470303</v>
      </c>
      <c r="BL78" s="103">
        <f>BL70/'FP SoftBank Corp.'!$I$4</f>
        <v>22.340364433238207</v>
      </c>
    </row>
  </sheetData>
  <pageMargins left="0.7" right="0.7" top="0.75" bottom="0.75" header="0.3" footer="0.3"/>
  <legacy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91B6C-60E5-40D2-9969-EE73D812E3E9}">
  <sheetPr codeName="Sheet25"/>
  <dimension ref="A1:BL45"/>
  <sheetViews>
    <sheetView zoomScale="90" zoomScaleNormal="90" workbookViewId="0">
      <pane xSplit="8" ySplit="2" topLeftCell="AE3" activePane="bottomRight" state="frozen"/>
      <selection pane="topRight" activeCell="I1" sqref="I1"/>
      <selection pane="bottomLeft" activeCell="A3" sqref="A3"/>
      <selection pane="bottomRight"/>
    </sheetView>
  </sheetViews>
  <sheetFormatPr defaultColWidth="9.140625" defaultRowHeight="12"/>
  <cols>
    <col min="1" max="16384" width="9.140625" style="1"/>
  </cols>
  <sheetData>
    <row r="1" spans="1:64" s="2" customFormat="1">
      <c r="A1" s="2" t="s">
        <v>85</v>
      </c>
      <c r="N1" s="18" t="s">
        <v>153</v>
      </c>
      <c r="S1" s="18" t="s">
        <v>149</v>
      </c>
      <c r="X1" s="18" t="s">
        <v>145</v>
      </c>
      <c r="AC1" s="18" t="s">
        <v>141</v>
      </c>
      <c r="AH1" s="18" t="s">
        <v>79</v>
      </c>
      <c r="AM1" s="18" t="s">
        <v>90</v>
      </c>
      <c r="AR1" s="18" t="s">
        <v>699</v>
      </c>
      <c r="AW1" s="18" t="s">
        <v>1180</v>
      </c>
      <c r="BB1" s="18" t="s">
        <v>1198</v>
      </c>
      <c r="BG1" s="18" t="s">
        <v>1209</v>
      </c>
      <c r="BL1" s="18" t="s">
        <v>1210</v>
      </c>
    </row>
    <row r="2" spans="1:64" s="2" customFormat="1">
      <c r="A2" s="2" t="s">
        <v>1390</v>
      </c>
      <c r="I2" s="6" t="s">
        <v>198</v>
      </c>
      <c r="J2" s="6" t="s">
        <v>163</v>
      </c>
      <c r="K2" s="6" t="s">
        <v>164</v>
      </c>
      <c r="L2" s="6" t="s">
        <v>165</v>
      </c>
      <c r="M2" s="6" t="s">
        <v>166</v>
      </c>
      <c r="N2" s="6" t="s">
        <v>167</v>
      </c>
      <c r="O2" s="6" t="s">
        <v>154</v>
      </c>
      <c r="P2" s="6" t="s">
        <v>155</v>
      </c>
      <c r="Q2" s="6" t="s">
        <v>156</v>
      </c>
      <c r="R2" s="6" t="s">
        <v>157</v>
      </c>
      <c r="S2" s="6" t="s">
        <v>158</v>
      </c>
      <c r="T2" s="6" t="s">
        <v>133</v>
      </c>
      <c r="U2" s="6" t="s">
        <v>134</v>
      </c>
      <c r="V2" s="6" t="s">
        <v>135</v>
      </c>
      <c r="W2" s="6" t="s">
        <v>136</v>
      </c>
      <c r="X2" s="6" t="s">
        <v>137</v>
      </c>
      <c r="Y2" s="6" t="s">
        <v>74</v>
      </c>
      <c r="Z2" s="6" t="s">
        <v>75</v>
      </c>
      <c r="AA2" s="6" t="s">
        <v>76</v>
      </c>
      <c r="AB2" s="6" t="s">
        <v>77</v>
      </c>
      <c r="AC2" s="6" t="s">
        <v>78</v>
      </c>
      <c r="AD2" s="6" t="s">
        <v>10</v>
      </c>
      <c r="AE2" s="6" t="s">
        <v>11</v>
      </c>
      <c r="AF2" s="6" t="s">
        <v>12</v>
      </c>
      <c r="AG2" s="6" t="s">
        <v>13</v>
      </c>
      <c r="AH2" s="6" t="s">
        <v>14</v>
      </c>
      <c r="AI2" s="6" t="s">
        <v>91</v>
      </c>
      <c r="AJ2" s="6" t="s">
        <v>92</v>
      </c>
      <c r="AK2" s="6" t="s">
        <v>93</v>
      </c>
      <c r="AL2" s="6" t="s">
        <v>1450</v>
      </c>
      <c r="AM2" s="6" t="s">
        <v>1451</v>
      </c>
      <c r="AN2" s="6" t="s">
        <v>1452</v>
      </c>
      <c r="AO2" s="6" t="s">
        <v>1453</v>
      </c>
      <c r="AP2" s="6" t="s">
        <v>1454</v>
      </c>
      <c r="AQ2" s="6" t="s">
        <v>1455</v>
      </c>
      <c r="AR2" s="6" t="s">
        <v>1456</v>
      </c>
      <c r="AS2" s="6" t="s">
        <v>1457</v>
      </c>
      <c r="AT2" s="6" t="s">
        <v>1458</v>
      </c>
      <c r="AU2" s="6" t="s">
        <v>1459</v>
      </c>
      <c r="AV2" s="6" t="s">
        <v>1460</v>
      </c>
      <c r="AW2" s="6" t="s">
        <v>1461</v>
      </c>
      <c r="AX2" s="6" t="s">
        <v>1462</v>
      </c>
      <c r="AY2" s="6" t="s">
        <v>1463</v>
      </c>
      <c r="AZ2" s="6" t="s">
        <v>1464</v>
      </c>
      <c r="BA2" s="6" t="s">
        <v>1465</v>
      </c>
      <c r="BB2" s="6" t="s">
        <v>1466</v>
      </c>
      <c r="BC2" s="6" t="s">
        <v>1467</v>
      </c>
      <c r="BD2" s="6" t="s">
        <v>1468</v>
      </c>
      <c r="BE2" s="6" t="s">
        <v>1469</v>
      </c>
      <c r="BF2" s="6" t="s">
        <v>1470</v>
      </c>
      <c r="BG2" s="6" t="s">
        <v>1471</v>
      </c>
      <c r="BH2" s="6" t="s">
        <v>1472</v>
      </c>
      <c r="BI2" s="6" t="s">
        <v>1473</v>
      </c>
      <c r="BJ2" s="6" t="s">
        <v>1474</v>
      </c>
      <c r="BK2" s="6" t="s">
        <v>1475</v>
      </c>
      <c r="BL2" s="6" t="s">
        <v>1476</v>
      </c>
    </row>
    <row r="4" spans="1:64" s="2" customFormat="1">
      <c r="A4" s="4" t="s">
        <v>1705</v>
      </c>
      <c r="T4" s="68" t="s">
        <v>1770</v>
      </c>
    </row>
    <row r="6" spans="1:64">
      <c r="A6" s="5" t="s">
        <v>1802</v>
      </c>
      <c r="I6" s="269"/>
      <c r="J6" s="269">
        <f t="shared" ref="J6:M8" si="0">3*J36*AVERAGE(I23:J23)/1000000</f>
        <v>72.388890000000004</v>
      </c>
      <c r="K6" s="269">
        <f t="shared" si="0"/>
        <v>73.087019999999995</v>
      </c>
      <c r="L6" s="269">
        <f t="shared" si="0"/>
        <v>78.252525000000006</v>
      </c>
      <c r="M6" s="269">
        <f t="shared" si="0"/>
        <v>78.543000000000006</v>
      </c>
      <c r="N6" s="375">
        <f t="shared" ref="N6:N11" si="1">SUM(J6:M6)</f>
        <v>302.271435</v>
      </c>
      <c r="O6" s="269">
        <f t="shared" ref="O6:R8" si="2">3*O36*AVERAGE(N23:O23)/1000000</f>
        <v>80.94999</v>
      </c>
      <c r="P6" s="269">
        <f t="shared" si="2"/>
        <v>82.261290000000002</v>
      </c>
      <c r="Q6" s="269">
        <f t="shared" si="2"/>
        <v>83.422079999999994</v>
      </c>
      <c r="R6" s="269">
        <f t="shared" si="2"/>
        <v>85.110195000000004</v>
      </c>
      <c r="S6" s="375">
        <f t="shared" ref="S6:S11" si="3">SUM(O6:R6)</f>
        <v>331.74355500000001</v>
      </c>
      <c r="T6" s="269">
        <f t="shared" ref="T6:W8" si="4">3*T36*AVERAGE(S23:T23)/1000000</f>
        <v>86.123699999999999</v>
      </c>
      <c r="U6" s="269">
        <f t="shared" si="4"/>
        <v>87.601020000000005</v>
      </c>
      <c r="V6" s="269">
        <f t="shared" si="4"/>
        <v>89.957385000000002</v>
      </c>
      <c r="W6" s="269">
        <f t="shared" si="4"/>
        <v>91.601640000000003</v>
      </c>
      <c r="X6" s="375">
        <f t="shared" ref="X6:X11" si="5">SUM(T6:W6)</f>
        <v>355.28374499999995</v>
      </c>
      <c r="Y6" s="269">
        <f t="shared" ref="Y6:AB8" si="6">3*Y36*AVERAGE(X23:Y23)/1000000</f>
        <v>92.461979999999997</v>
      </c>
      <c r="Z6" s="269">
        <f t="shared" si="6"/>
        <v>93.767624999999995</v>
      </c>
      <c r="AA6" s="269">
        <f t="shared" si="6"/>
        <v>94.378050000000002</v>
      </c>
      <c r="AB6" s="269">
        <f t="shared" si="6"/>
        <v>92.82114</v>
      </c>
      <c r="AC6" s="375">
        <f t="shared" ref="AC6:AC11" si="7">SUM(Y6:AB6)</f>
        <v>373.42879500000004</v>
      </c>
      <c r="AD6" s="269">
        <f t="shared" ref="AD6:AG8" si="8">3*AD36*AVERAGE(AC23:AD23)/1000000</f>
        <v>92.685254999999998</v>
      </c>
      <c r="AE6" s="269">
        <f t="shared" si="8"/>
        <v>92.617784999999998</v>
      </c>
      <c r="AF6" s="269">
        <f t="shared" si="8"/>
        <v>92.392229999999998</v>
      </c>
      <c r="AG6" s="269">
        <f t="shared" si="8"/>
        <v>92.520600000000002</v>
      </c>
      <c r="AH6" s="375">
        <f t="shared" ref="AH6:AH11" si="9">SUM(AD6:AG6)</f>
        <v>370.21587</v>
      </c>
      <c r="AI6" s="269">
        <f t="shared" ref="AI6:AL8" si="10">3*AI36*AVERAGE(AH23:AI23)/1000000</f>
        <v>93.129300000000001</v>
      </c>
      <c r="AJ6" s="269">
        <f t="shared" si="10"/>
        <v>93.452399999999997</v>
      </c>
      <c r="AK6" s="269">
        <f t="shared" si="10"/>
        <v>93.997079999999997</v>
      </c>
      <c r="AL6" s="269">
        <f t="shared" si="10"/>
        <v>93.493366256250013</v>
      </c>
      <c r="AM6" s="375">
        <f t="shared" ref="AM6:AM11" si="11">SUM(AI6:AL6)</f>
        <v>374.07214625624999</v>
      </c>
      <c r="AN6" s="269">
        <f t="shared" ref="AN6:AQ8" si="12">3*AN36*AVERAGE(AM23:AN23)/1000000</f>
        <v>93.159490641750011</v>
      </c>
      <c r="AO6" s="269">
        <f t="shared" si="12"/>
        <v>93.376007712000003</v>
      </c>
      <c r="AP6" s="269">
        <f t="shared" si="12"/>
        <v>93.890410847999988</v>
      </c>
      <c r="AQ6" s="269">
        <f t="shared" si="12"/>
        <v>93.367441106842492</v>
      </c>
      <c r="AR6" s="375">
        <f t="shared" ref="AR6:AR11" si="13">SUM(AN6:AQ6)</f>
        <v>373.79335030859249</v>
      </c>
      <c r="AS6" s="269">
        <f t="shared" ref="AS6:AV8" si="14">3*AS36*AVERAGE(AR23:AS23)/1000000</f>
        <v>93.662373843601287</v>
      </c>
      <c r="AT6" s="269">
        <f t="shared" si="14"/>
        <v>93.79587447527075</v>
      </c>
      <c r="AU6" s="269">
        <f t="shared" si="14"/>
        <v>94.302274258193037</v>
      </c>
      <c r="AV6" s="269">
        <f t="shared" si="14"/>
        <v>93.764400017223792</v>
      </c>
      <c r="AW6" s="375">
        <f t="shared" ref="AW6:AW11" si="15">SUM(AS6:AV6)</f>
        <v>375.52492259428891</v>
      </c>
      <c r="AX6" s="269">
        <f t="shared" ref="AX6:BA7" si="16">3*AX36*AVERAGE(AW23:AX23)/1000000</f>
        <v>94.693727728912819</v>
      </c>
      <c r="AY6" s="269">
        <f t="shared" si="16"/>
        <v>94.630648186054628</v>
      </c>
      <c r="AZ6" s="269">
        <f t="shared" si="16"/>
        <v>94.900591395555665</v>
      </c>
      <c r="BA6" s="269">
        <f t="shared" si="16"/>
        <v>94.120871580173016</v>
      </c>
      <c r="BB6" s="375">
        <f>SUM(AX6:BA6)</f>
        <v>378.34583889069609</v>
      </c>
      <c r="BC6" s="269">
        <f t="shared" ref="BC6:BF7" si="17">3*BC36*AVERAGE(BB23:BC23)/1000000</f>
        <v>95.461287174815581</v>
      </c>
      <c r="BD6" s="269">
        <f t="shared" si="17"/>
        <v>95.205194488051276</v>
      </c>
      <c r="BE6" s="269">
        <f t="shared" si="17"/>
        <v>95.475000017829501</v>
      </c>
      <c r="BF6" s="269">
        <f t="shared" si="17"/>
        <v>94.688014656868589</v>
      </c>
      <c r="BG6" s="375">
        <f>SUM(BC6:BF6)</f>
        <v>380.82949633756493</v>
      </c>
      <c r="BH6" s="269">
        <f t="shared" ref="BH6:BK7" si="18">3*BH36*AVERAGE(BG23:BH23)/1000000</f>
        <v>95.960637716218599</v>
      </c>
      <c r="BI6" s="269">
        <f t="shared" si="18"/>
        <v>95.628214674068587</v>
      </c>
      <c r="BJ6" s="269">
        <f t="shared" si="18"/>
        <v>95.897652953324652</v>
      </c>
      <c r="BK6" s="269">
        <f t="shared" si="18"/>
        <v>95.104864546974397</v>
      </c>
      <c r="BL6" s="375">
        <f>SUM(BH6:BK6)</f>
        <v>382.59136989058624</v>
      </c>
    </row>
    <row r="7" spans="1:64">
      <c r="A7" s="5" t="s">
        <v>1803</v>
      </c>
      <c r="I7" s="269"/>
      <c r="J7" s="269">
        <f t="shared" si="0"/>
        <v>5.2147800000000002</v>
      </c>
      <c r="K7" s="269">
        <f t="shared" si="0"/>
        <v>5.1129899999999999</v>
      </c>
      <c r="L7" s="269">
        <f t="shared" si="0"/>
        <v>4.9250699999999998</v>
      </c>
      <c r="M7" s="269">
        <f t="shared" si="0"/>
        <v>4.7254949999999996</v>
      </c>
      <c r="N7" s="375">
        <f t="shared" si="1"/>
        <v>19.978335000000001</v>
      </c>
      <c r="O7" s="269">
        <f t="shared" si="2"/>
        <v>4.5015749999999999</v>
      </c>
      <c r="P7" s="269">
        <f t="shared" si="2"/>
        <v>4.301895</v>
      </c>
      <c r="Q7" s="269">
        <f t="shared" si="2"/>
        <v>4.1776799999999996</v>
      </c>
      <c r="R7" s="269">
        <f t="shared" si="2"/>
        <v>4.0509300000000001</v>
      </c>
      <c r="S7" s="375">
        <f t="shared" si="3"/>
        <v>17.032080000000001</v>
      </c>
      <c r="T7" s="269">
        <f t="shared" si="4"/>
        <v>3.8520300000000001</v>
      </c>
      <c r="U7" s="269">
        <f t="shared" si="4"/>
        <v>3.7774800000000002</v>
      </c>
      <c r="V7" s="269">
        <f t="shared" si="4"/>
        <v>3.6397650000000001</v>
      </c>
      <c r="W7" s="269">
        <f t="shared" si="4"/>
        <v>3.5034299999999998</v>
      </c>
      <c r="X7" s="375">
        <f t="shared" si="5"/>
        <v>14.772705</v>
      </c>
      <c r="Y7" s="269">
        <f t="shared" si="6"/>
        <v>3.3709500000000001</v>
      </c>
      <c r="Z7" s="269">
        <f t="shared" si="6"/>
        <v>3.2768999999999999</v>
      </c>
      <c r="AA7" s="269">
        <f t="shared" si="6"/>
        <v>3.1807799999999999</v>
      </c>
      <c r="AB7" s="269">
        <f t="shared" si="6"/>
        <v>3.1094400000000002</v>
      </c>
      <c r="AC7" s="375">
        <f t="shared" si="7"/>
        <v>12.93807</v>
      </c>
      <c r="AD7" s="269">
        <f t="shared" si="8"/>
        <v>3.0171299999999999</v>
      </c>
      <c r="AE7" s="269">
        <f t="shared" si="8"/>
        <v>2.9667599999999998</v>
      </c>
      <c r="AF7" s="269">
        <f t="shared" si="8"/>
        <v>2.8899900000000001</v>
      </c>
      <c r="AG7" s="269">
        <f t="shared" si="8"/>
        <v>2.8139400000000001</v>
      </c>
      <c r="AH7" s="375">
        <f t="shared" si="9"/>
        <v>11.68782</v>
      </c>
      <c r="AI7" s="269">
        <f t="shared" si="10"/>
        <v>2.73861</v>
      </c>
      <c r="AJ7" s="269">
        <f t="shared" si="10"/>
        <v>2.683065</v>
      </c>
      <c r="AK7" s="269">
        <f t="shared" si="10"/>
        <v>2.6299350000000001</v>
      </c>
      <c r="AL7" s="269">
        <f t="shared" si="10"/>
        <v>2.5498233000000003</v>
      </c>
      <c r="AM7" s="375">
        <f t="shared" si="11"/>
        <v>10.6014333</v>
      </c>
      <c r="AN7" s="269">
        <f t="shared" si="12"/>
        <v>2.4929561999999996</v>
      </c>
      <c r="AO7" s="269">
        <f t="shared" si="12"/>
        <v>2.4453806999999999</v>
      </c>
      <c r="AP7" s="269">
        <f t="shared" si="12"/>
        <v>2.3978051999999996</v>
      </c>
      <c r="AQ7" s="269">
        <f t="shared" si="12"/>
        <v>2.3234429204999998</v>
      </c>
      <c r="AR7" s="375">
        <f t="shared" si="13"/>
        <v>9.6595850204999998</v>
      </c>
      <c r="AS7" s="269">
        <f t="shared" si="14"/>
        <v>2.2738710225000003</v>
      </c>
      <c r="AT7" s="269">
        <f t="shared" si="14"/>
        <v>2.2268902162500002</v>
      </c>
      <c r="AU7" s="269">
        <f t="shared" si="14"/>
        <v>2.17990941</v>
      </c>
      <c r="AV7" s="269">
        <f t="shared" si="14"/>
        <v>2.1086185168687503</v>
      </c>
      <c r="AW7" s="375">
        <f t="shared" si="15"/>
        <v>8.7892891656187508</v>
      </c>
      <c r="AX7" s="269">
        <f t="shared" si="16"/>
        <v>2.065088319525</v>
      </c>
      <c r="AY7" s="269">
        <f t="shared" si="16"/>
        <v>2.0185773213374998</v>
      </c>
      <c r="AZ7" s="269">
        <f t="shared" si="16"/>
        <v>1.97206632315</v>
      </c>
      <c r="BA7" s="269">
        <f t="shared" si="16"/>
        <v>1.9036087782463129</v>
      </c>
      <c r="BB7" s="375">
        <f>SUM(AX7:BA7)</f>
        <v>7.9593407422588127</v>
      </c>
      <c r="BC7" s="269">
        <f t="shared" si="17"/>
        <v>1.8649514943241878</v>
      </c>
      <c r="BD7" s="269">
        <f t="shared" si="17"/>
        <v>1.8187893286230938</v>
      </c>
      <c r="BE7" s="269">
        <f t="shared" si="17"/>
        <v>1.7726271629220001</v>
      </c>
      <c r="BF7" s="269">
        <f t="shared" si="17"/>
        <v>1.7067875856066186</v>
      </c>
      <c r="BG7" s="375">
        <f>SUM(BC7:BF7)</f>
        <v>7.1631555714759001</v>
      </c>
      <c r="BH7" s="269">
        <f t="shared" si="18"/>
        <v>1.6719013173622135</v>
      </c>
      <c r="BI7" s="269">
        <f t="shared" si="18"/>
        <v>1.6259699624896251</v>
      </c>
      <c r="BJ7" s="269">
        <f t="shared" si="18"/>
        <v>1.580038607617037</v>
      </c>
      <c r="BK7" s="269">
        <f t="shared" si="18"/>
        <v>1.516622241509753</v>
      </c>
      <c r="BL7" s="375">
        <f>SUM(BH7:BK7)</f>
        <v>6.3945321289786285</v>
      </c>
    </row>
    <row r="8" spans="1:64">
      <c r="A8" s="5" t="s">
        <v>1804</v>
      </c>
      <c r="I8" s="269"/>
      <c r="J8" s="269">
        <f t="shared" si="0"/>
        <v>6.7602599999999997</v>
      </c>
      <c r="K8" s="269">
        <f t="shared" si="0"/>
        <v>6.5453849999999996</v>
      </c>
      <c r="L8" s="269">
        <f t="shared" si="0"/>
        <v>6.0817500000000004</v>
      </c>
      <c r="M8" s="269">
        <f t="shared" si="0"/>
        <v>5.7422399999999998</v>
      </c>
      <c r="N8" s="375">
        <f t="shared" si="1"/>
        <v>25.129634999999997</v>
      </c>
      <c r="O8" s="269">
        <f t="shared" si="2"/>
        <v>5.3446949999999998</v>
      </c>
      <c r="P8" s="269">
        <f t="shared" si="2"/>
        <v>5.0019749999999998</v>
      </c>
      <c r="Q8" s="269">
        <f t="shared" si="2"/>
        <v>4.6652100000000001</v>
      </c>
      <c r="R8" s="269">
        <f t="shared" si="2"/>
        <v>4.3368000000000002</v>
      </c>
      <c r="S8" s="375">
        <f t="shared" si="3"/>
        <v>19.348680000000002</v>
      </c>
      <c r="T8" s="269">
        <f t="shared" si="4"/>
        <v>3.81318</v>
      </c>
      <c r="U8" s="269">
        <f t="shared" si="4"/>
        <v>3.58386</v>
      </c>
      <c r="V8" s="269">
        <f t="shared" si="4"/>
        <v>3.3291300000000001</v>
      </c>
      <c r="W8" s="269">
        <f t="shared" si="4"/>
        <v>3.0606300000000002</v>
      </c>
      <c r="X8" s="375">
        <f t="shared" si="5"/>
        <v>13.786799999999999</v>
      </c>
      <c r="Y8" s="269">
        <f t="shared" si="6"/>
        <v>2.6261399999999999</v>
      </c>
      <c r="Z8" s="269">
        <f t="shared" si="6"/>
        <v>2.3816999999999999</v>
      </c>
      <c r="AA8" s="269">
        <f t="shared" si="6"/>
        <v>2.0276550000000002</v>
      </c>
      <c r="AB8" s="269">
        <f t="shared" si="6"/>
        <v>1.82952</v>
      </c>
      <c r="AC8" s="375">
        <f t="shared" si="7"/>
        <v>8.8650149999999996</v>
      </c>
      <c r="AD8" s="269">
        <f t="shared" si="8"/>
        <v>1.5137100000000001</v>
      </c>
      <c r="AE8" s="269">
        <f t="shared" si="8"/>
        <v>1.3405499999999999</v>
      </c>
      <c r="AF8" s="269">
        <f t="shared" si="8"/>
        <v>1.0430999999999999</v>
      </c>
      <c r="AG8" s="269">
        <f t="shared" si="8"/>
        <v>0.82870500000000002</v>
      </c>
      <c r="AH8" s="375">
        <f t="shared" si="9"/>
        <v>4.7260650000000002</v>
      </c>
      <c r="AI8" s="269">
        <f t="shared" si="10"/>
        <v>0.70077</v>
      </c>
      <c r="AJ8" s="269">
        <f t="shared" si="10"/>
        <v>0.56011500000000003</v>
      </c>
      <c r="AK8" s="269">
        <f t="shared" si="10"/>
        <v>0.40949999999999998</v>
      </c>
      <c r="AL8" s="269">
        <f t="shared" si="10"/>
        <v>0.37420500000000001</v>
      </c>
      <c r="AM8" s="375">
        <f t="shared" si="11"/>
        <v>2.0445899999999999</v>
      </c>
      <c r="AN8" s="269">
        <f t="shared" si="12"/>
        <v>0.31161</v>
      </c>
      <c r="AO8" s="269">
        <f t="shared" si="12"/>
        <v>0.236925</v>
      </c>
      <c r="AP8" s="269">
        <f t="shared" si="12"/>
        <v>0.164775</v>
      </c>
      <c r="AQ8" s="269">
        <f t="shared" si="12"/>
        <v>0.14081925000000003</v>
      </c>
      <c r="AR8" s="375">
        <f t="shared" si="13"/>
        <v>0.85412925000000006</v>
      </c>
      <c r="AS8" s="269">
        <f t="shared" si="14"/>
        <v>0.10723050000000001</v>
      </c>
      <c r="AT8" s="269">
        <f t="shared" si="14"/>
        <v>7.1867250000000021E-2</v>
      </c>
      <c r="AU8" s="269">
        <f t="shared" si="14"/>
        <v>4.1193750000000001E-2</v>
      </c>
      <c r="AV8" s="269">
        <f t="shared" si="14"/>
        <v>2.4963412500000001E-2</v>
      </c>
      <c r="AW8" s="375">
        <f t="shared" si="15"/>
        <v>0.24525491250000003</v>
      </c>
      <c r="AX8" s="269"/>
      <c r="AY8" s="269"/>
      <c r="AZ8" s="269"/>
      <c r="BA8" s="269"/>
      <c r="BB8" s="375"/>
      <c r="BC8" s="269"/>
      <c r="BD8" s="269"/>
      <c r="BE8" s="269"/>
      <c r="BF8" s="269"/>
      <c r="BG8" s="375"/>
      <c r="BH8" s="269"/>
      <c r="BI8" s="269"/>
      <c r="BJ8" s="269"/>
      <c r="BK8" s="269"/>
      <c r="BL8" s="375"/>
    </row>
    <row r="9" spans="1:64">
      <c r="A9" s="5" t="s">
        <v>1805</v>
      </c>
      <c r="I9" s="269"/>
      <c r="J9" s="269">
        <f>J10-SUM(J6:J8)</f>
        <v>3.4460699999999918</v>
      </c>
      <c r="K9" s="269">
        <f>K10-SUM(K6:K8)</f>
        <v>3.1896050000000145</v>
      </c>
      <c r="L9" s="269">
        <f>L10-SUM(L6:L8)</f>
        <v>3.3106549999999828</v>
      </c>
      <c r="M9" s="269">
        <f>M10-SUM(M6:M8)</f>
        <v>3.7512650000000036</v>
      </c>
      <c r="N9" s="375">
        <f t="shared" si="1"/>
        <v>13.697594999999993</v>
      </c>
      <c r="O9" s="269">
        <f>O10-SUM(O6:O8)</f>
        <v>4.248739999999998</v>
      </c>
      <c r="P9" s="269">
        <f>P10-SUM(P6:P8)</f>
        <v>3.8758399999999966</v>
      </c>
      <c r="Q9" s="269">
        <f>Q10-SUM(Q6:Q8)</f>
        <v>3.8820300000000145</v>
      </c>
      <c r="R9" s="269">
        <f>R10-SUM(R6:R8)</f>
        <v>3.7000749999999982</v>
      </c>
      <c r="S9" s="375">
        <f t="shared" si="3"/>
        <v>15.706685000000007</v>
      </c>
      <c r="T9" s="269">
        <f>T10-SUM(T6:T8)</f>
        <v>3.4110900000000015</v>
      </c>
      <c r="U9" s="269">
        <f>U10-SUM(U6:U8)</f>
        <v>3.737639999999999</v>
      </c>
      <c r="V9" s="269">
        <f>V10-SUM(V6:V8)</f>
        <v>4.1737199999999888</v>
      </c>
      <c r="W9" s="269">
        <f>W10-SUM(W6:W8)</f>
        <v>4.4342999999999932</v>
      </c>
      <c r="X9" s="375">
        <f t="shared" si="5"/>
        <v>15.756749999999982</v>
      </c>
      <c r="Y9" s="269">
        <f>Y10-SUM(Y6:Y8)</f>
        <v>3.1409299999999973</v>
      </c>
      <c r="Z9" s="269">
        <f>Z10-SUM(Z6:Z8)</f>
        <v>1.5737750000000119</v>
      </c>
      <c r="AA9" s="269">
        <f>AA10-SUM(AA6:AA8)</f>
        <v>2.1135150000000067</v>
      </c>
      <c r="AB9" s="269">
        <f>AB10-SUM(AB6:AB8)</f>
        <v>2.6398999999999972</v>
      </c>
      <c r="AC9" s="375">
        <f t="shared" si="7"/>
        <v>9.4681200000000132</v>
      </c>
      <c r="AD9" s="269">
        <f>AD10-SUM(AD6:AD8)</f>
        <v>2.5839050000000015</v>
      </c>
      <c r="AE9" s="269">
        <f>AE10-SUM(AE6:AE8)</f>
        <v>2.0749050000000153</v>
      </c>
      <c r="AF9" s="269">
        <f>AF10-SUM(AF6:AF8)</f>
        <v>2.7746800000000036</v>
      </c>
      <c r="AG9" s="269">
        <f>AG10-SUM(AG6:AG8)</f>
        <v>2.7367550000000023</v>
      </c>
      <c r="AH9" s="375">
        <f t="shared" si="9"/>
        <v>10.170245000000023</v>
      </c>
      <c r="AI9" s="269">
        <f>AI10-SUM(AI6:AI8)</f>
        <v>3.9313199999999995</v>
      </c>
      <c r="AJ9" s="269">
        <f>AJ10-SUM(AJ6:AJ8)</f>
        <v>4.3044200000000075</v>
      </c>
      <c r="AK9" s="269">
        <f>AK10-SUM(AK6:AK8)</f>
        <v>4.063485</v>
      </c>
      <c r="AL9" s="413">
        <v>3.75</v>
      </c>
      <c r="AM9" s="375">
        <f t="shared" si="11"/>
        <v>16.049225000000007</v>
      </c>
      <c r="AN9" s="413">
        <f>AI9*0.995</f>
        <v>3.9116633999999997</v>
      </c>
      <c r="AO9" s="413">
        <f>AJ9*0.995</f>
        <v>4.2828979000000071</v>
      </c>
      <c r="AP9" s="413">
        <f>AK9*0.995</f>
        <v>4.043167575</v>
      </c>
      <c r="AQ9" s="413">
        <f>AL9*0.995</f>
        <v>3.7312500000000002</v>
      </c>
      <c r="AR9" s="375">
        <f t="shared" si="13"/>
        <v>15.968978875000008</v>
      </c>
      <c r="AS9" s="413">
        <f>AN9*0.995</f>
        <v>3.8921050829999997</v>
      </c>
      <c r="AT9" s="413">
        <f>AO9*0.995</f>
        <v>4.2614834105000075</v>
      </c>
      <c r="AU9" s="413">
        <f>AP9*0.995</f>
        <v>4.0229517371250001</v>
      </c>
      <c r="AV9" s="413">
        <f>AQ9*0.995</f>
        <v>3.7125937500000004</v>
      </c>
      <c r="AW9" s="375">
        <f t="shared" si="15"/>
        <v>15.889133980625006</v>
      </c>
      <c r="AX9" s="413">
        <f>AS9*0.995</f>
        <v>3.8726445575849997</v>
      </c>
      <c r="AY9" s="413">
        <f>AT9*0.995</f>
        <v>4.2401759934475072</v>
      </c>
      <c r="AZ9" s="413">
        <f>AU9*0.995</f>
        <v>4.0028369784393751</v>
      </c>
      <c r="BA9" s="413">
        <f>AV9*0.995</f>
        <v>3.6940307812500004</v>
      </c>
      <c r="BB9" s="375">
        <f>SUM(AX9:BA9)</f>
        <v>15.809688310721882</v>
      </c>
      <c r="BC9" s="413">
        <f>AX9*0.995</f>
        <v>3.8532813347970749</v>
      </c>
      <c r="BD9" s="413">
        <f>AY9*0.995</f>
        <v>4.21897511348027</v>
      </c>
      <c r="BE9" s="413">
        <f>AZ9*0.995</f>
        <v>3.9828227935471783</v>
      </c>
      <c r="BF9" s="413">
        <f>BA9*0.995</f>
        <v>3.6755606273437502</v>
      </c>
      <c r="BG9" s="375">
        <f>SUM(BC9:BF9)</f>
        <v>15.730639869168275</v>
      </c>
      <c r="BH9" s="413">
        <f>BC9*0.995</f>
        <v>3.8340149281230893</v>
      </c>
      <c r="BI9" s="413">
        <f>BD9*0.995</f>
        <v>4.1978802379128686</v>
      </c>
      <c r="BJ9" s="413">
        <f>BE9*0.995</f>
        <v>3.9629086795794422</v>
      </c>
      <c r="BK9" s="413">
        <f>BF9*0.995</f>
        <v>3.6571828242070317</v>
      </c>
      <c r="BL9" s="375"/>
    </row>
    <row r="10" spans="1:64">
      <c r="A10" s="288" t="s">
        <v>1806</v>
      </c>
      <c r="B10" s="9"/>
      <c r="C10" s="9"/>
      <c r="D10" s="9"/>
      <c r="E10" s="9"/>
      <c r="F10" s="9"/>
      <c r="G10" s="9"/>
      <c r="H10" s="9"/>
      <c r="I10" s="15"/>
      <c r="J10" s="414">
        <v>87.81</v>
      </c>
      <c r="K10" s="414">
        <v>87.935000000000002</v>
      </c>
      <c r="L10" s="414">
        <v>92.57</v>
      </c>
      <c r="M10" s="414">
        <v>92.762</v>
      </c>
      <c r="N10" s="378">
        <f t="shared" si="1"/>
        <v>361.077</v>
      </c>
      <c r="O10" s="414">
        <v>95.045000000000002</v>
      </c>
      <c r="P10" s="414">
        <v>95.441000000000003</v>
      </c>
      <c r="Q10" s="414">
        <v>96.147000000000006</v>
      </c>
      <c r="R10" s="414">
        <v>97.197999999999993</v>
      </c>
      <c r="S10" s="378">
        <f t="shared" si="3"/>
        <v>383.83099999999996</v>
      </c>
      <c r="T10" s="414">
        <v>97.2</v>
      </c>
      <c r="U10" s="414">
        <v>98.7</v>
      </c>
      <c r="V10" s="414">
        <v>101.1</v>
      </c>
      <c r="W10" s="414">
        <v>102.6</v>
      </c>
      <c r="X10" s="378">
        <f t="shared" si="5"/>
        <v>399.6</v>
      </c>
      <c r="Y10" s="414">
        <v>101.6</v>
      </c>
      <c r="Z10" s="414">
        <v>101</v>
      </c>
      <c r="AA10" s="414">
        <v>101.7</v>
      </c>
      <c r="AB10" s="414">
        <v>100.4</v>
      </c>
      <c r="AC10" s="378">
        <f t="shared" si="7"/>
        <v>404.70000000000005</v>
      </c>
      <c r="AD10" s="414">
        <v>99.8</v>
      </c>
      <c r="AE10" s="414">
        <v>99</v>
      </c>
      <c r="AF10" s="414">
        <v>99.1</v>
      </c>
      <c r="AG10" s="414">
        <v>98.9</v>
      </c>
      <c r="AH10" s="378">
        <f t="shared" si="9"/>
        <v>396.79999999999995</v>
      </c>
      <c r="AI10" s="414">
        <v>100.5</v>
      </c>
      <c r="AJ10" s="414">
        <v>101</v>
      </c>
      <c r="AK10" s="414">
        <v>101.1</v>
      </c>
      <c r="AL10" s="378">
        <f>SUM(AL6:AL9)</f>
        <v>100.16739455625002</v>
      </c>
      <c r="AM10" s="378">
        <f t="shared" si="11"/>
        <v>402.76739455625005</v>
      </c>
      <c r="AN10" s="378">
        <f>SUM(AN6:AN9)</f>
        <v>99.875720241750003</v>
      </c>
      <c r="AO10" s="378">
        <f>SUM(AO6:AO9)</f>
        <v>100.34121131200001</v>
      </c>
      <c r="AP10" s="378">
        <f>SUM(AP6:AP9)</f>
        <v>100.49615862299999</v>
      </c>
      <c r="AQ10" s="378">
        <f>SUM(AQ6:AQ9)</f>
        <v>99.562953277342501</v>
      </c>
      <c r="AR10" s="378">
        <f t="shared" si="13"/>
        <v>400.27604345409253</v>
      </c>
      <c r="AS10" s="378">
        <f>SUM(AS6:AS9)</f>
        <v>99.935580449101295</v>
      </c>
      <c r="AT10" s="378">
        <f>SUM(AT6:AT9)</f>
        <v>100.35611535202075</v>
      </c>
      <c r="AU10" s="378">
        <f>SUM(AU6:AU9)</f>
        <v>100.54632915531803</v>
      </c>
      <c r="AV10" s="378">
        <f>SUM(AV6:AV9)</f>
        <v>99.610575696592534</v>
      </c>
      <c r="AW10" s="378">
        <f t="shared" si="15"/>
        <v>400.44860065303266</v>
      </c>
      <c r="AX10" s="378">
        <f>SUM(AX6:AX9)</f>
        <v>100.63146060602283</v>
      </c>
      <c r="AY10" s="378">
        <f>SUM(AY6:AY9)</f>
        <v>100.88940150083964</v>
      </c>
      <c r="AZ10" s="378">
        <f>SUM(AZ6:AZ9)</f>
        <v>100.87549469714504</v>
      </c>
      <c r="BA10" s="378">
        <f>SUM(BA6:BA9)</f>
        <v>99.718511139669332</v>
      </c>
      <c r="BB10" s="378">
        <f>SUM(AX10:BA10)</f>
        <v>402.11486794367681</v>
      </c>
      <c r="BC10" s="378">
        <f>SUM(BC6:BC9)</f>
        <v>101.17952000393684</v>
      </c>
      <c r="BD10" s="378">
        <f>SUM(BD6:BD9)</f>
        <v>101.24295893015464</v>
      </c>
      <c r="BE10" s="378">
        <f>SUM(BE6:BE9)</f>
        <v>101.23044997429868</v>
      </c>
      <c r="BF10" s="378">
        <f>SUM(BF6:BF9)</f>
        <v>100.07036286981896</v>
      </c>
      <c r="BG10" s="378">
        <f>SUM(BC10:BF10)</f>
        <v>403.7232917782091</v>
      </c>
      <c r="BH10" s="378">
        <f>SUM(BH6:BH9)</f>
        <v>101.46655396170391</v>
      </c>
      <c r="BI10" s="378">
        <f>SUM(BI6:BI9)</f>
        <v>101.45206487447108</v>
      </c>
      <c r="BJ10" s="378">
        <f>SUM(BJ6:BJ9)</f>
        <v>101.44060024052114</v>
      </c>
      <c r="BK10" s="378">
        <f>SUM(BK6:BK9)</f>
        <v>100.27866961269117</v>
      </c>
      <c r="BL10" s="378">
        <f>SUM(BH10:BK10)</f>
        <v>404.6378886893873</v>
      </c>
    </row>
    <row r="11" spans="1:64">
      <c r="A11" s="1" t="s">
        <v>1807</v>
      </c>
      <c r="J11" s="410">
        <f>J10/'FP SoftBank Corp.'!$I$4</f>
        <v>0.56651612903225812</v>
      </c>
      <c r="K11" s="410">
        <f>K10/'FP SoftBank Corp.'!$I$4</f>
        <v>0.56732258064516128</v>
      </c>
      <c r="L11" s="410">
        <f>L10/'FP SoftBank Corp.'!$I$4</f>
        <v>0.59722580645161283</v>
      </c>
      <c r="M11" s="410">
        <f>M10/'FP SoftBank Corp.'!$I$4</f>
        <v>0.59846451612903229</v>
      </c>
      <c r="N11" s="410">
        <f t="shared" si="1"/>
        <v>2.3295290322580646</v>
      </c>
      <c r="O11" s="410">
        <f>O10/'FP SoftBank Corp.'!$I$4</f>
        <v>0.61319354838709683</v>
      </c>
      <c r="P11" s="410">
        <f>P10/'FP SoftBank Corp.'!$I$4</f>
        <v>0.61574838709677426</v>
      </c>
      <c r="Q11" s="410">
        <f>Q10/'FP SoftBank Corp.'!$I$4</f>
        <v>0.6203032258064517</v>
      </c>
      <c r="R11" s="410">
        <f>R10/'FP SoftBank Corp.'!$I$4</f>
        <v>0.62708387096774187</v>
      </c>
      <c r="S11" s="410">
        <f t="shared" si="3"/>
        <v>2.4763290322580644</v>
      </c>
      <c r="T11" s="410">
        <f>T10/'FP SoftBank Corp.'!$I$4</f>
        <v>0.62709677419354837</v>
      </c>
      <c r="U11" s="410">
        <f>U10/'FP SoftBank Corp.'!$I$4</f>
        <v>0.63677419354838716</v>
      </c>
      <c r="V11" s="410">
        <f>V10/'FP SoftBank Corp.'!$I$4</f>
        <v>0.652258064516129</v>
      </c>
      <c r="W11" s="410">
        <f>W10/'FP SoftBank Corp.'!$I$4</f>
        <v>0.66193548387096768</v>
      </c>
      <c r="X11" s="410">
        <f t="shared" si="5"/>
        <v>2.5780645161290323</v>
      </c>
      <c r="Y11" s="410">
        <f>Y10/'FP SoftBank Corp.'!$I$4</f>
        <v>0.65548387096774186</v>
      </c>
      <c r="Z11" s="410">
        <f>Z10/'FP SoftBank Corp.'!$I$4</f>
        <v>0.65161290322580645</v>
      </c>
      <c r="AA11" s="410">
        <f>AA10/'FP SoftBank Corp.'!$I$4</f>
        <v>0.65612903225806452</v>
      </c>
      <c r="AB11" s="410">
        <f>AB10/'FP SoftBank Corp.'!$I$4</f>
        <v>0.64774193548387105</v>
      </c>
      <c r="AC11" s="410">
        <f t="shared" si="7"/>
        <v>2.6109677419354842</v>
      </c>
      <c r="AD11" s="410">
        <f>AD10/'FP SoftBank Corp.'!$I$4</f>
        <v>0.64387096774193542</v>
      </c>
      <c r="AE11" s="410">
        <f>AE10/'FP SoftBank Corp.'!$I$4</f>
        <v>0.6387096774193548</v>
      </c>
      <c r="AF11" s="410">
        <f>AF10/'FP SoftBank Corp.'!$I$4</f>
        <v>0.63935483870967735</v>
      </c>
      <c r="AG11" s="410">
        <f>AG10/'FP SoftBank Corp.'!$I$4</f>
        <v>0.63806451612903226</v>
      </c>
      <c r="AH11" s="410">
        <f t="shared" si="9"/>
        <v>2.56</v>
      </c>
      <c r="AI11" s="410">
        <f>AI10/'FP SoftBank Corp.'!$I$4</f>
        <v>0.64838709677419359</v>
      </c>
      <c r="AJ11" s="410">
        <f>AJ10/'FP SoftBank Corp.'!$I$4</f>
        <v>0.65161290322580645</v>
      </c>
      <c r="AK11" s="410">
        <f>AK10/'FP SoftBank Corp.'!$I$4</f>
        <v>0.652258064516129</v>
      </c>
      <c r="AL11" s="410">
        <f>AL10/'FP SoftBank Corp.'!$I$4</f>
        <v>0.64624125520161302</v>
      </c>
      <c r="AM11" s="410">
        <f t="shared" si="11"/>
        <v>2.598499319717742</v>
      </c>
      <c r="AN11" s="410">
        <f>AN10/'FP SoftBank Corp.'!$I$4</f>
        <v>0.64435948543064514</v>
      </c>
      <c r="AO11" s="410">
        <f>AO10/'FP SoftBank Corp.'!$I$4</f>
        <v>0.64736265362580658</v>
      </c>
      <c r="AP11" s="410">
        <f>AP10/'FP SoftBank Corp.'!$I$4</f>
        <v>0.64836231369677411</v>
      </c>
      <c r="AQ11" s="410">
        <f>AQ10/'FP SoftBank Corp.'!$I$4</f>
        <v>0.64234163404737099</v>
      </c>
      <c r="AR11" s="410">
        <f t="shared" si="13"/>
        <v>2.5824260868005968</v>
      </c>
      <c r="AS11" s="410">
        <f>AS10/'FP SoftBank Corp.'!$I$4</f>
        <v>0.64474568031678259</v>
      </c>
      <c r="AT11" s="410">
        <f>AT10/'FP SoftBank Corp.'!$I$4</f>
        <v>0.64745880872271455</v>
      </c>
      <c r="AU11" s="410">
        <f>AU10/'FP SoftBank Corp.'!$I$4</f>
        <v>0.64868599455043896</v>
      </c>
      <c r="AV11" s="410">
        <f>AV10/'FP SoftBank Corp.'!$I$4</f>
        <v>0.64264887546188731</v>
      </c>
      <c r="AW11" s="410">
        <f t="shared" si="15"/>
        <v>2.5835393590518234</v>
      </c>
      <c r="AX11" s="410">
        <f>AX10/'FP SoftBank Corp.'!$I$4</f>
        <v>0.64923522971627634</v>
      </c>
      <c r="AY11" s="410">
        <f>AY10/'FP SoftBank Corp.'!$I$4</f>
        <v>0.65089936452154606</v>
      </c>
      <c r="AZ11" s="410">
        <f>AZ10/'FP SoftBank Corp.'!$I$4</f>
        <v>0.65080964320738743</v>
      </c>
      <c r="BA11" s="410">
        <f>BA10/'FP SoftBank Corp.'!$I$4</f>
        <v>0.64334523315915693</v>
      </c>
      <c r="BB11" s="410">
        <f>SUM(AX11:BA11)</f>
        <v>2.5942894706043669</v>
      </c>
      <c r="BC11" s="410">
        <f>BC10/'FP SoftBank Corp.'!$I$4</f>
        <v>0.65277109679959255</v>
      </c>
      <c r="BD11" s="410">
        <f>BD10/'FP SoftBank Corp.'!$I$4</f>
        <v>0.65318038019454605</v>
      </c>
      <c r="BE11" s="410">
        <f>BE10/'FP SoftBank Corp.'!$I$4</f>
        <v>0.6530996772535399</v>
      </c>
      <c r="BF11" s="410">
        <f>BF10/'FP SoftBank Corp.'!$I$4</f>
        <v>0.64561524432141271</v>
      </c>
      <c r="BG11" s="410">
        <f>SUM(BC11:BF11)</f>
        <v>2.6046663985690914</v>
      </c>
      <c r="BH11" s="410">
        <f>BH10/'FP SoftBank Corp.'!$I$4</f>
        <v>0.65462292878518646</v>
      </c>
      <c r="BI11" s="410">
        <f>BI10/'FP SoftBank Corp.'!$I$4</f>
        <v>0.65452945080303926</v>
      </c>
      <c r="BJ11" s="410">
        <f>BJ10/'FP SoftBank Corp.'!$I$4</f>
        <v>0.65445548542271703</v>
      </c>
      <c r="BK11" s="410">
        <f>BK10/'FP SoftBank Corp.'!$I$4</f>
        <v>0.64695915879155597</v>
      </c>
      <c r="BL11" s="410">
        <f>SUM(BH11:BK11)</f>
        <v>2.6105670238024992</v>
      </c>
    </row>
    <row r="13" spans="1:64">
      <c r="A13" s="3" t="s">
        <v>1663</v>
      </c>
    </row>
    <row r="14" spans="1:64">
      <c r="A14" s="5" t="s">
        <v>1802</v>
      </c>
      <c r="O14" s="16">
        <f t="shared" ref="O14:BL18" si="19">O6/J6-1</f>
        <v>0.11826538575187429</v>
      </c>
      <c r="P14" s="16">
        <f t="shared" si="19"/>
        <v>0.12552529847297111</v>
      </c>
      <c r="Q14" s="16">
        <f t="shared" si="19"/>
        <v>6.6062468910747407E-2</v>
      </c>
      <c r="R14" s="16">
        <f t="shared" si="19"/>
        <v>8.3612734425728474E-2</v>
      </c>
      <c r="S14" s="16">
        <f t="shared" si="19"/>
        <v>9.7502167216032332E-2</v>
      </c>
      <c r="T14" s="16">
        <f t="shared" si="19"/>
        <v>6.3912422966327709E-2</v>
      </c>
      <c r="U14" s="16">
        <f t="shared" si="19"/>
        <v>6.4911819398893567E-2</v>
      </c>
      <c r="V14" s="16">
        <f t="shared" si="19"/>
        <v>7.8340230787820264E-2</v>
      </c>
      <c r="W14" s="16">
        <f t="shared" si="19"/>
        <v>7.6271062473773021E-2</v>
      </c>
      <c r="X14" s="16">
        <f t="shared" si="19"/>
        <v>7.0958997229049192E-2</v>
      </c>
      <c r="Y14" s="16">
        <f t="shared" si="19"/>
        <v>7.3595073133179367E-2</v>
      </c>
      <c r="Z14" s="16">
        <f t="shared" si="19"/>
        <v>7.0394214587912174E-2</v>
      </c>
      <c r="AA14" s="16">
        <f t="shared" si="19"/>
        <v>4.9141768627445126E-2</v>
      </c>
      <c r="AB14" s="16">
        <f t="shared" si="19"/>
        <v>1.3313080420830792E-2</v>
      </c>
      <c r="AC14" s="16">
        <f t="shared" si="19"/>
        <v>5.10719959901349E-2</v>
      </c>
      <c r="AD14" s="16">
        <f t="shared" si="19"/>
        <v>2.4147763221165075E-3</v>
      </c>
      <c r="AE14" s="16">
        <f t="shared" si="19"/>
        <v>-1.2262654620931235E-2</v>
      </c>
      <c r="AF14" s="16">
        <f t="shared" si="19"/>
        <v>-2.1041121320052758E-2</v>
      </c>
      <c r="AG14" s="16">
        <f t="shared" si="19"/>
        <v>-3.2378400006722874E-3</v>
      </c>
      <c r="AH14" s="16">
        <f t="shared" si="19"/>
        <v>-8.6038490952472513E-3</v>
      </c>
      <c r="AI14" s="16">
        <f t="shared" si="19"/>
        <v>4.7908914961716231E-3</v>
      </c>
      <c r="AJ14" s="16">
        <f t="shared" si="19"/>
        <v>9.0113901989774536E-3</v>
      </c>
      <c r="AK14" s="16">
        <f t="shared" si="19"/>
        <v>1.7369967149835075E-2</v>
      </c>
      <c r="AL14" s="16">
        <f t="shared" si="19"/>
        <v>1.0514050452007595E-2</v>
      </c>
      <c r="AM14" s="16">
        <f t="shared" si="19"/>
        <v>1.0416291058106264E-2</v>
      </c>
      <c r="AN14" s="16">
        <f t="shared" si="19"/>
        <v>3.2417984189736515E-4</v>
      </c>
      <c r="AO14" s="16">
        <f t="shared" si="19"/>
        <v>-8.1744597249500117E-4</v>
      </c>
      <c r="AP14" s="16">
        <f t="shared" si="19"/>
        <v>-1.1348134644183494E-3</v>
      </c>
      <c r="AQ14" s="16">
        <f t="shared" si="19"/>
        <v>-1.3468886023675353E-3</v>
      </c>
      <c r="AR14" s="16">
        <f t="shared" si="19"/>
        <v>-7.4529993865546373E-4</v>
      </c>
      <c r="AS14" s="16">
        <f t="shared" si="19"/>
        <v>5.3980887871654115E-3</v>
      </c>
      <c r="AT14" s="16">
        <f t="shared" si="19"/>
        <v>4.4965165416552821E-3</v>
      </c>
      <c r="AU14" s="16">
        <f t="shared" si="19"/>
        <v>4.3866397694203307E-3</v>
      </c>
      <c r="AV14" s="16">
        <f t="shared" si="19"/>
        <v>4.2515774843507881E-3</v>
      </c>
      <c r="AW14" s="16">
        <f t="shared" si="19"/>
        <v>4.632432022311006E-3</v>
      </c>
      <c r="AX14" s="16">
        <f t="shared" si="19"/>
        <v>1.1011400234566926E-2</v>
      </c>
      <c r="AY14" s="16">
        <f t="shared" si="19"/>
        <v>8.8998979481125229E-3</v>
      </c>
      <c r="AZ14" s="16">
        <f t="shared" si="19"/>
        <v>6.3446734669885263E-3</v>
      </c>
      <c r="BA14" s="16">
        <f t="shared" si="19"/>
        <v>3.8017793841131908E-3</v>
      </c>
      <c r="BB14" s="16">
        <f t="shared" si="19"/>
        <v>7.5119283080309351E-3</v>
      </c>
      <c r="BC14" s="16">
        <f t="shared" si="19"/>
        <v>8.1057052490332016E-3</v>
      </c>
      <c r="BD14" s="16">
        <f t="shared" si="19"/>
        <v>6.0714611281857955E-3</v>
      </c>
      <c r="BE14" s="16">
        <f t="shared" si="19"/>
        <v>6.0527401760821498E-3</v>
      </c>
      <c r="BF14" s="16">
        <f t="shared" si="19"/>
        <v>6.0256887465441888E-3</v>
      </c>
      <c r="BG14" s="16">
        <f t="shared" si="19"/>
        <v>6.5645163540080098E-3</v>
      </c>
      <c r="BH14" s="16">
        <f t="shared" si="19"/>
        <v>5.230921938948585E-3</v>
      </c>
      <c r="BI14" s="16">
        <f t="shared" si="19"/>
        <v>4.4432469078186099E-3</v>
      </c>
      <c r="BJ14" s="16">
        <f t="shared" si="19"/>
        <v>4.4268440473027582E-3</v>
      </c>
      <c r="BK14" s="16">
        <f t="shared" si="19"/>
        <v>4.4023511488375799E-3</v>
      </c>
      <c r="BL14" s="16">
        <f t="shared" si="19"/>
        <v>4.6264104276723117E-3</v>
      </c>
    </row>
    <row r="15" spans="1:64">
      <c r="A15" s="5" t="s">
        <v>1803</v>
      </c>
      <c r="O15" s="16">
        <f t="shared" si="19"/>
        <v>-0.13676607642124894</v>
      </c>
      <c r="P15" s="16">
        <f t="shared" si="19"/>
        <v>-0.1586341846942787</v>
      </c>
      <c r="Q15" s="16">
        <f t="shared" si="19"/>
        <v>-0.15175215783735063</v>
      </c>
      <c r="R15" s="16">
        <f t="shared" si="19"/>
        <v>-0.14275012459012215</v>
      </c>
      <c r="S15" s="16">
        <f t="shared" si="19"/>
        <v>-0.14747249958517572</v>
      </c>
      <c r="T15" s="16">
        <f t="shared" si="19"/>
        <v>-0.14429283084253841</v>
      </c>
      <c r="U15" s="16">
        <f t="shared" si="19"/>
        <v>-0.12190325426352799</v>
      </c>
      <c r="V15" s="16">
        <f t="shared" si="19"/>
        <v>-0.12875926351467792</v>
      </c>
      <c r="W15" s="16">
        <f t="shared" si="19"/>
        <v>-0.13515414978782658</v>
      </c>
      <c r="X15" s="16">
        <f t="shared" si="19"/>
        <v>-0.13265408570180504</v>
      </c>
      <c r="Y15" s="16">
        <f t="shared" si="19"/>
        <v>-0.12488999306858983</v>
      </c>
      <c r="Z15" s="16">
        <f t="shared" si="19"/>
        <v>-0.1325169160392643</v>
      </c>
      <c r="AA15" s="16">
        <f t="shared" si="19"/>
        <v>-0.12610292147982083</v>
      </c>
      <c r="AB15" s="16">
        <f t="shared" si="19"/>
        <v>-0.11245836223358241</v>
      </c>
      <c r="AC15" s="16">
        <f t="shared" si="19"/>
        <v>-0.1241908641646875</v>
      </c>
      <c r="AD15" s="16">
        <f t="shared" si="19"/>
        <v>-0.10496150936679582</v>
      </c>
      <c r="AE15" s="16">
        <f t="shared" si="19"/>
        <v>-9.4644328481186535E-2</v>
      </c>
      <c r="AF15" s="16">
        <f t="shared" si="19"/>
        <v>-9.1420972214362517E-2</v>
      </c>
      <c r="AG15" s="16">
        <f t="shared" si="19"/>
        <v>-9.5033189255943173E-2</v>
      </c>
      <c r="AH15" s="16">
        <f t="shared" si="19"/>
        <v>-9.6633423686840469E-2</v>
      </c>
      <c r="AI15" s="16">
        <f t="shared" si="19"/>
        <v>-9.2312893378806993E-2</v>
      </c>
      <c r="AJ15" s="16">
        <f t="shared" si="19"/>
        <v>-9.5624519678032538E-2</v>
      </c>
      <c r="AK15" s="16">
        <f t="shared" si="19"/>
        <v>-8.9984740431627741E-2</v>
      </c>
      <c r="AL15" s="16">
        <f t="shared" si="19"/>
        <v>-9.386010362694297E-2</v>
      </c>
      <c r="AM15" s="16">
        <f t="shared" si="19"/>
        <v>-9.2950327777121866E-2</v>
      </c>
      <c r="AN15" s="16">
        <f t="shared" si="19"/>
        <v>-8.9700176366843132E-2</v>
      </c>
      <c r="AO15" s="16">
        <f t="shared" si="19"/>
        <v>-8.8586858685868686E-2</v>
      </c>
      <c r="AP15" s="16">
        <f t="shared" si="19"/>
        <v>-8.826446280991751E-2</v>
      </c>
      <c r="AQ15" s="16">
        <f t="shared" si="19"/>
        <v>-8.8782771535580784E-2</v>
      </c>
      <c r="AR15" s="16">
        <f t="shared" si="19"/>
        <v>-8.8841598380852926E-2</v>
      </c>
      <c r="AS15" s="16">
        <f t="shared" si="19"/>
        <v>-8.7881679389312684E-2</v>
      </c>
      <c r="AT15" s="16">
        <f t="shared" si="19"/>
        <v>-8.9348249027237259E-2</v>
      </c>
      <c r="AU15" s="16">
        <f t="shared" si="19"/>
        <v>-9.0873015873015661E-2</v>
      </c>
      <c r="AV15" s="16">
        <f t="shared" si="19"/>
        <v>-9.245951417004028E-2</v>
      </c>
      <c r="AW15" s="16">
        <f t="shared" si="19"/>
        <v>-9.0096609019359342E-2</v>
      </c>
      <c r="AX15" s="16">
        <f t="shared" si="19"/>
        <v>-9.181818181818191E-2</v>
      </c>
      <c r="AY15" s="16">
        <f t="shared" si="19"/>
        <v>-9.3544303797468475E-2</v>
      </c>
      <c r="AZ15" s="16">
        <f t="shared" si="19"/>
        <v>-9.5344827586206882E-2</v>
      </c>
      <c r="BA15" s="16">
        <f t="shared" si="19"/>
        <v>-9.7224669603524161E-2</v>
      </c>
      <c r="BB15" s="16">
        <f t="shared" si="19"/>
        <v>-9.4427252047465382E-2</v>
      </c>
      <c r="BC15" s="16">
        <f t="shared" si="19"/>
        <v>-9.6914414414414285E-2</v>
      </c>
      <c r="BD15" s="16">
        <f t="shared" si="19"/>
        <v>-9.897465437788E-2</v>
      </c>
      <c r="BE15" s="16">
        <f t="shared" si="19"/>
        <v>-0.10113207547169811</v>
      </c>
      <c r="BF15" s="16">
        <f t="shared" si="19"/>
        <v>-0.10339371980676337</v>
      </c>
      <c r="BG15" s="16">
        <f t="shared" si="19"/>
        <v>-0.10003154740639486</v>
      </c>
      <c r="BH15" s="16">
        <f t="shared" si="19"/>
        <v>-0.10351485148514861</v>
      </c>
      <c r="BI15" s="16">
        <f t="shared" si="19"/>
        <v>-0.10601522842639599</v>
      </c>
      <c r="BJ15" s="16">
        <f t="shared" si="19"/>
        <v>-0.10864583333333333</v>
      </c>
      <c r="BK15" s="16">
        <f t="shared" si="19"/>
        <v>-0.11141711229946516</v>
      </c>
      <c r="BL15" s="16">
        <f t="shared" si="19"/>
        <v>-0.10730235227027241</v>
      </c>
    </row>
    <row r="16" spans="1:64">
      <c r="A16" s="5" t="s">
        <v>1804</v>
      </c>
      <c r="O16" s="16">
        <f t="shared" si="19"/>
        <v>-0.20939505285299675</v>
      </c>
      <c r="P16" s="16">
        <f t="shared" si="19"/>
        <v>-0.23580125538833852</v>
      </c>
      <c r="Q16" s="16">
        <f t="shared" si="19"/>
        <v>-0.23291651251695655</v>
      </c>
      <c r="R16" s="16">
        <f t="shared" si="19"/>
        <v>-0.24475466020229031</v>
      </c>
      <c r="S16" s="16">
        <f t="shared" si="19"/>
        <v>-0.23004532298220792</v>
      </c>
      <c r="T16" s="16">
        <f t="shared" si="19"/>
        <v>-0.28654862438361772</v>
      </c>
      <c r="U16" s="16">
        <f t="shared" si="19"/>
        <v>-0.28351101314980576</v>
      </c>
      <c r="V16" s="16">
        <f t="shared" si="19"/>
        <v>-0.28639225243879696</v>
      </c>
      <c r="W16" s="16">
        <f t="shared" si="19"/>
        <v>-0.29426535694521305</v>
      </c>
      <c r="X16" s="16">
        <f t="shared" si="19"/>
        <v>-0.28745526826636247</v>
      </c>
      <c r="Y16" s="16">
        <f t="shared" si="19"/>
        <v>-0.31129923056346676</v>
      </c>
      <c r="Z16" s="16">
        <f t="shared" si="19"/>
        <v>-0.33543721015887895</v>
      </c>
      <c r="AA16" s="16">
        <f t="shared" si="19"/>
        <v>-0.39093546962719983</v>
      </c>
      <c r="AB16" s="16">
        <f t="shared" si="19"/>
        <v>-0.40224071514688153</v>
      </c>
      <c r="AC16" s="16">
        <f t="shared" si="19"/>
        <v>-0.35699255809905128</v>
      </c>
      <c r="AD16" s="16">
        <f t="shared" si="19"/>
        <v>-0.42359889419452113</v>
      </c>
      <c r="AE16" s="16">
        <f t="shared" si="19"/>
        <v>-0.43714573623882103</v>
      </c>
      <c r="AF16" s="16">
        <f t="shared" si="19"/>
        <v>-0.48556337246720971</v>
      </c>
      <c r="AG16" s="16">
        <f t="shared" si="19"/>
        <v>-0.5470369277187459</v>
      </c>
      <c r="AH16" s="16">
        <f t="shared" si="19"/>
        <v>-0.46688584283275325</v>
      </c>
      <c r="AI16" s="16">
        <f t="shared" si="19"/>
        <v>-0.53705135065501319</v>
      </c>
      <c r="AJ16" s="16">
        <f t="shared" si="19"/>
        <v>-0.58217522658610266</v>
      </c>
      <c r="AK16" s="16">
        <f t="shared" si="19"/>
        <v>-0.6074201898188093</v>
      </c>
      <c r="AL16" s="16">
        <f t="shared" si="19"/>
        <v>-0.54844606946983543</v>
      </c>
      <c r="AM16" s="16">
        <f t="shared" si="19"/>
        <v>-0.56738005084568244</v>
      </c>
      <c r="AN16" s="16">
        <f t="shared" si="19"/>
        <v>-0.55533199195171035</v>
      </c>
      <c r="AO16" s="16">
        <f t="shared" si="19"/>
        <v>-0.57700650759219085</v>
      </c>
      <c r="AP16" s="16">
        <f t="shared" si="19"/>
        <v>-0.59761904761904761</v>
      </c>
      <c r="AQ16" s="16">
        <f t="shared" si="19"/>
        <v>-0.62368421052631573</v>
      </c>
      <c r="AR16" s="16">
        <f t="shared" si="19"/>
        <v>-0.58224913063254724</v>
      </c>
      <c r="AS16" s="16">
        <f t="shared" si="19"/>
        <v>-0.65588235294117647</v>
      </c>
      <c r="AT16" s="16">
        <f t="shared" si="19"/>
        <v>-0.69666666666666655</v>
      </c>
      <c r="AU16" s="16">
        <f t="shared" si="19"/>
        <v>-0.75</v>
      </c>
      <c r="AV16" s="16">
        <f t="shared" si="19"/>
        <v>-0.82272727272727275</v>
      </c>
      <c r="AW16" s="16">
        <f t="shared" si="19"/>
        <v>-0.71285971941600179</v>
      </c>
      <c r="AX16" s="16"/>
      <c r="AY16" s="16"/>
      <c r="AZ16" s="16"/>
      <c r="BA16" s="16"/>
      <c r="BB16" s="16"/>
      <c r="BC16" s="16"/>
      <c r="BD16" s="16"/>
      <c r="BE16" s="16"/>
      <c r="BF16" s="16"/>
      <c r="BG16" s="16"/>
      <c r="BH16" s="16"/>
      <c r="BI16" s="16"/>
      <c r="BJ16" s="16"/>
      <c r="BK16" s="16"/>
      <c r="BL16" s="16"/>
    </row>
    <row r="17" spans="1:64">
      <c r="A17" s="5" t="s">
        <v>1805</v>
      </c>
      <c r="O17" s="16">
        <f t="shared" si="19"/>
        <v>0.23292330103567482</v>
      </c>
      <c r="P17" s="16">
        <f t="shared" si="19"/>
        <v>0.21514733015529486</v>
      </c>
      <c r="Q17" s="16">
        <f t="shared" si="19"/>
        <v>0.17258669356971201</v>
      </c>
      <c r="R17" s="16">
        <f t="shared" si="19"/>
        <v>-1.364606339461627E-2</v>
      </c>
      <c r="S17" s="16">
        <f t="shared" si="19"/>
        <v>0.1466746534701906</v>
      </c>
      <c r="T17" s="16">
        <f t="shared" si="19"/>
        <v>-0.19715256758474198</v>
      </c>
      <c r="U17" s="16">
        <f t="shared" si="19"/>
        <v>-3.5656786657859429E-2</v>
      </c>
      <c r="V17" s="16">
        <f t="shared" si="19"/>
        <v>7.513852288621492E-2</v>
      </c>
      <c r="W17" s="16">
        <f t="shared" si="19"/>
        <v>0.19843516685472462</v>
      </c>
      <c r="X17" s="16">
        <f t="shared" si="19"/>
        <v>3.1874962794489203E-3</v>
      </c>
      <c r="Y17" s="16">
        <f t="shared" si="19"/>
        <v>-7.9200490165901249E-2</v>
      </c>
      <c r="Z17" s="16">
        <f t="shared" si="19"/>
        <v>-0.57893884911334093</v>
      </c>
      <c r="AA17" s="16">
        <f t="shared" si="19"/>
        <v>-0.49361361087950018</v>
      </c>
      <c r="AB17" s="16">
        <f t="shared" si="19"/>
        <v>-0.40466364476918537</v>
      </c>
      <c r="AC17" s="16">
        <f t="shared" si="19"/>
        <v>-0.39910704935979668</v>
      </c>
      <c r="AD17" s="16">
        <f t="shared" si="19"/>
        <v>-0.17734397137153535</v>
      </c>
      <c r="AE17" s="16">
        <f t="shared" si="19"/>
        <v>0.31842544201045242</v>
      </c>
      <c r="AF17" s="16">
        <f t="shared" si="19"/>
        <v>0.31282720964837951</v>
      </c>
      <c r="AG17" s="16">
        <f t="shared" si="19"/>
        <v>3.6688889730673635E-2</v>
      </c>
      <c r="AH17" s="16">
        <f t="shared" si="19"/>
        <v>7.4156749175127601E-2</v>
      </c>
      <c r="AI17" s="16">
        <f t="shared" si="19"/>
        <v>0.52146460492935964</v>
      </c>
      <c r="AJ17" s="16">
        <f t="shared" si="19"/>
        <v>1.0745142548694884</v>
      </c>
      <c r="AK17" s="16">
        <f t="shared" si="19"/>
        <v>0.46448779679097951</v>
      </c>
      <c r="AL17" s="16">
        <f t="shared" si="19"/>
        <v>0.37023591808546863</v>
      </c>
      <c r="AM17" s="16">
        <f t="shared" si="19"/>
        <v>0.57805687080301116</v>
      </c>
      <c r="AN17" s="16">
        <f t="shared" si="19"/>
        <v>-5.0000000000000044E-3</v>
      </c>
      <c r="AO17" s="16">
        <f t="shared" si="19"/>
        <v>-5.0000000000001155E-3</v>
      </c>
      <c r="AP17" s="16">
        <f t="shared" si="19"/>
        <v>-5.0000000000000044E-3</v>
      </c>
      <c r="AQ17" s="16">
        <f t="shared" si="19"/>
        <v>-5.0000000000000044E-3</v>
      </c>
      <c r="AR17" s="16">
        <f t="shared" si="19"/>
        <v>-4.9999999999998934E-3</v>
      </c>
      <c r="AS17" s="16">
        <f t="shared" si="19"/>
        <v>-5.0000000000000044E-3</v>
      </c>
      <c r="AT17" s="16">
        <f t="shared" si="19"/>
        <v>-4.9999999999998934E-3</v>
      </c>
      <c r="AU17" s="16">
        <f t="shared" si="19"/>
        <v>-5.0000000000000044E-3</v>
      </c>
      <c r="AV17" s="16">
        <f t="shared" si="19"/>
        <v>-5.0000000000000044E-3</v>
      </c>
      <c r="AW17" s="16">
        <f t="shared" si="19"/>
        <v>-5.0000000000001155E-3</v>
      </c>
      <c r="AX17" s="16">
        <f t="shared" si="19"/>
        <v>-5.0000000000000044E-3</v>
      </c>
      <c r="AY17" s="16">
        <f t="shared" si="19"/>
        <v>-5.0000000000000044E-3</v>
      </c>
      <c r="AZ17" s="16">
        <f t="shared" si="19"/>
        <v>-5.0000000000000044E-3</v>
      </c>
      <c r="BA17" s="16">
        <f t="shared" si="19"/>
        <v>-5.0000000000000044E-3</v>
      </c>
      <c r="BB17" s="16">
        <f t="shared" si="19"/>
        <v>-5.0000000000000044E-3</v>
      </c>
      <c r="BC17" s="16">
        <f t="shared" si="19"/>
        <v>-4.9999999999998934E-3</v>
      </c>
      <c r="BD17" s="16">
        <f t="shared" si="19"/>
        <v>-4.9999999999998934E-3</v>
      </c>
      <c r="BE17" s="16">
        <f t="shared" si="19"/>
        <v>-5.0000000000000044E-3</v>
      </c>
      <c r="BF17" s="16">
        <f t="shared" si="19"/>
        <v>-5.0000000000000044E-3</v>
      </c>
      <c r="BG17" s="16">
        <f t="shared" si="19"/>
        <v>-4.9999999999997824E-3</v>
      </c>
      <c r="BH17" s="16">
        <f t="shared" si="19"/>
        <v>-5.0000000000000044E-3</v>
      </c>
      <c r="BI17" s="16">
        <f t="shared" si="19"/>
        <v>-5.0000000000000044E-3</v>
      </c>
      <c r="BJ17" s="16">
        <f t="shared" si="19"/>
        <v>-5.0000000000000044E-3</v>
      </c>
      <c r="BK17" s="16">
        <f t="shared" si="19"/>
        <v>-4.9999999999998934E-3</v>
      </c>
      <c r="BL17" s="16">
        <f t="shared" si="19"/>
        <v>-1</v>
      </c>
    </row>
    <row r="18" spans="1:64">
      <c r="A18" s="288" t="s">
        <v>1808</v>
      </c>
      <c r="B18" s="9"/>
      <c r="C18" s="9"/>
      <c r="D18" s="9"/>
      <c r="E18" s="9"/>
      <c r="F18" s="9"/>
      <c r="G18" s="9"/>
      <c r="H18" s="9"/>
      <c r="I18" s="9"/>
      <c r="J18" s="9"/>
      <c r="K18" s="9"/>
      <c r="L18" s="9"/>
      <c r="M18" s="9"/>
      <c r="N18" s="9"/>
      <c r="O18" s="17">
        <f t="shared" si="19"/>
        <v>8.2393804805830806E-2</v>
      </c>
      <c r="P18" s="17">
        <f t="shared" si="19"/>
        <v>8.5358503440041034E-2</v>
      </c>
      <c r="Q18" s="17">
        <f t="shared" si="19"/>
        <v>3.8641028410932421E-2</v>
      </c>
      <c r="R18" s="17">
        <f t="shared" si="19"/>
        <v>4.7821306138289277E-2</v>
      </c>
      <c r="S18" s="17">
        <f t="shared" si="19"/>
        <v>6.3017029608642972E-2</v>
      </c>
      <c r="T18" s="17">
        <f t="shared" si="19"/>
        <v>2.2673470461360479E-2</v>
      </c>
      <c r="U18" s="17">
        <f t="shared" si="19"/>
        <v>3.4146750348382771E-2</v>
      </c>
      <c r="V18" s="17">
        <f t="shared" si="19"/>
        <v>5.1514867858591495E-2</v>
      </c>
      <c r="W18" s="17">
        <f t="shared" si="19"/>
        <v>5.5577275252577163E-2</v>
      </c>
      <c r="X18" s="17">
        <f t="shared" si="19"/>
        <v>4.1083185047586124E-2</v>
      </c>
      <c r="Y18" s="17">
        <f t="shared" si="19"/>
        <v>4.5267489711934061E-2</v>
      </c>
      <c r="Z18" s="17">
        <f t="shared" si="19"/>
        <v>2.3302938196555267E-2</v>
      </c>
      <c r="AA18" s="17">
        <f t="shared" si="19"/>
        <v>5.9347181008901906E-3</v>
      </c>
      <c r="AB18" s="17">
        <f t="shared" si="19"/>
        <v>-2.1442495126705596E-2</v>
      </c>
      <c r="AC18" s="17">
        <f t="shared" si="19"/>
        <v>1.2762762762762891E-2</v>
      </c>
      <c r="AD18" s="17">
        <f t="shared" si="19"/>
        <v>-1.7716535433070835E-2</v>
      </c>
      <c r="AE18" s="17">
        <f t="shared" si="19"/>
        <v>-1.980198019801982E-2</v>
      </c>
      <c r="AF18" s="17">
        <f t="shared" si="19"/>
        <v>-2.5565388397246869E-2</v>
      </c>
      <c r="AG18" s="17">
        <f t="shared" si="19"/>
        <v>-1.4940239043824688E-2</v>
      </c>
      <c r="AH18" s="17">
        <f t="shared" si="19"/>
        <v>-1.9520632567334051E-2</v>
      </c>
      <c r="AI18" s="17">
        <f t="shared" si="19"/>
        <v>7.0140280561121759E-3</v>
      </c>
      <c r="AJ18" s="17">
        <f t="shared" si="19"/>
        <v>2.020202020202011E-2</v>
      </c>
      <c r="AK18" s="17">
        <f t="shared" si="19"/>
        <v>2.0181634712411745E-2</v>
      </c>
      <c r="AL18" s="17">
        <f t="shared" si="19"/>
        <v>1.2814909567745225E-2</v>
      </c>
      <c r="AM18" s="17">
        <f t="shared" si="19"/>
        <v>1.5038796764743179E-2</v>
      </c>
      <c r="AN18" s="17">
        <f t="shared" si="19"/>
        <v>-6.2117388880597035E-3</v>
      </c>
      <c r="AO18" s="17">
        <f t="shared" si="19"/>
        <v>-6.5226602772275877E-3</v>
      </c>
      <c r="AP18" s="17">
        <f t="shared" si="19"/>
        <v>-5.9727139169140075E-3</v>
      </c>
      <c r="AQ18" s="17">
        <f t="shared" si="19"/>
        <v>-6.0343116798159402E-3</v>
      </c>
      <c r="AR18" s="17">
        <f t="shared" si="19"/>
        <v>-6.185582884390084E-3</v>
      </c>
      <c r="AS18" s="17">
        <f t="shared" si="19"/>
        <v>5.9934694044150305E-4</v>
      </c>
      <c r="AT18" s="17">
        <f t="shared" si="19"/>
        <v>1.4853358680699813E-4</v>
      </c>
      <c r="AU18" s="17">
        <f t="shared" si="19"/>
        <v>4.9922835863069892E-4</v>
      </c>
      <c r="AV18" s="17">
        <f t="shared" si="19"/>
        <v>4.7831465100656168E-4</v>
      </c>
      <c r="AW18" s="17">
        <f t="shared" si="19"/>
        <v>4.3109549462694297E-4</v>
      </c>
      <c r="AX18" s="17">
        <f t="shared" si="19"/>
        <v>6.9632872876137508E-3</v>
      </c>
      <c r="AY18" s="17">
        <f t="shared" si="19"/>
        <v>5.3139377400994725E-3</v>
      </c>
      <c r="AZ18" s="17">
        <f t="shared" si="19"/>
        <v>3.2737698590521447E-3</v>
      </c>
      <c r="BA18" s="17">
        <f t="shared" si="19"/>
        <v>1.0835741317825054E-3</v>
      </c>
      <c r="BB18" s="17">
        <f t="shared" si="19"/>
        <v>4.1610016564594954E-3</v>
      </c>
      <c r="BC18" s="17">
        <f t="shared" si="19"/>
        <v>5.4462033504580898E-3</v>
      </c>
      <c r="BD18" s="17">
        <f t="shared" si="19"/>
        <v>3.504406053118192E-3</v>
      </c>
      <c r="BE18" s="17">
        <f t="shared" si="19"/>
        <v>3.5187463339763081E-3</v>
      </c>
      <c r="BF18" s="17">
        <f t="shared" si="19"/>
        <v>3.5284494937637412E-3</v>
      </c>
      <c r="BG18" s="17">
        <f t="shared" si="19"/>
        <v>3.999911375466958E-3</v>
      </c>
      <c r="BH18" s="17">
        <f t="shared" si="19"/>
        <v>2.836878033775081E-3</v>
      </c>
      <c r="BI18" s="17">
        <f t="shared" si="19"/>
        <v>2.0653875244864839E-3</v>
      </c>
      <c r="BJ18" s="17">
        <f t="shared" si="19"/>
        <v>2.0759590249357363E-3</v>
      </c>
      <c r="BK18" s="17">
        <f t="shared" si="19"/>
        <v>2.0816027532866155E-3</v>
      </c>
      <c r="BL18" s="17">
        <f t="shared" si="19"/>
        <v>2.265405365020845E-3</v>
      </c>
    </row>
    <row r="20" spans="1:64" s="2" customFormat="1">
      <c r="A20" s="4" t="s">
        <v>1809</v>
      </c>
      <c r="T20" s="68" t="s">
        <v>1770</v>
      </c>
    </row>
    <row r="22" spans="1:64">
      <c r="A22" s="3" t="s">
        <v>1810</v>
      </c>
    </row>
    <row r="23" spans="1:64">
      <c r="A23" s="5" t="s">
        <v>1802</v>
      </c>
      <c r="J23" s="383">
        <v>5257</v>
      </c>
      <c r="K23" s="383">
        <v>5499</v>
      </c>
      <c r="L23" s="383">
        <v>5720</v>
      </c>
      <c r="M23" s="383">
        <v>5916</v>
      </c>
      <c r="N23" s="369">
        <f>M23</f>
        <v>5916</v>
      </c>
      <c r="O23" s="383">
        <v>6050</v>
      </c>
      <c r="P23" s="383">
        <v>6164</v>
      </c>
      <c r="Q23" s="383">
        <v>6250</v>
      </c>
      <c r="R23" s="383">
        <v>6387</v>
      </c>
      <c r="S23" s="369">
        <f>R23</f>
        <v>6387</v>
      </c>
      <c r="T23" s="383">
        <v>6603</v>
      </c>
      <c r="U23" s="383">
        <v>6761</v>
      </c>
      <c r="V23" s="383">
        <v>6838</v>
      </c>
      <c r="W23" s="383">
        <v>6916</v>
      </c>
      <c r="X23" s="369">
        <f>W23</f>
        <v>6916</v>
      </c>
      <c r="Y23" s="383">
        <v>7030</v>
      </c>
      <c r="Z23" s="383">
        <v>7145</v>
      </c>
      <c r="AA23" s="383">
        <v>7220</v>
      </c>
      <c r="AB23" s="383">
        <v>7306</v>
      </c>
      <c r="AC23" s="369">
        <f>AB23</f>
        <v>7306</v>
      </c>
      <c r="AD23" s="383">
        <v>7371</v>
      </c>
      <c r="AE23" s="383">
        <v>7436</v>
      </c>
      <c r="AF23" s="383">
        <v>7478</v>
      </c>
      <c r="AG23" s="383">
        <v>7566</v>
      </c>
      <c r="AH23" s="369">
        <f>AG23</f>
        <v>7566</v>
      </c>
      <c r="AI23" s="383">
        <v>7614</v>
      </c>
      <c r="AJ23" s="383">
        <v>7656</v>
      </c>
      <c r="AK23" s="383">
        <v>7703</v>
      </c>
      <c r="AL23" s="369">
        <f>AL26-SUM(AL24:AL25)</f>
        <v>7769.9500000000007</v>
      </c>
      <c r="AM23" s="369">
        <f>AL23</f>
        <v>7769.9500000000007</v>
      </c>
      <c r="AN23" s="369">
        <f t="shared" ref="AN23:AQ23" si="20">AN26-SUM(AN24:AN25)</f>
        <v>7804.3279999999995</v>
      </c>
      <c r="AO23" s="369">
        <f t="shared" si="20"/>
        <v>7844.4079999999994</v>
      </c>
      <c r="AP23" s="369">
        <f t="shared" si="20"/>
        <v>7890.5360000000001</v>
      </c>
      <c r="AQ23" s="369">
        <f t="shared" si="20"/>
        <v>7957.7816000000003</v>
      </c>
      <c r="AR23" s="369">
        <f>AQ23</f>
        <v>7957.7816000000003</v>
      </c>
      <c r="AS23" s="369">
        <f t="shared" ref="AS23:AV23" si="21">AS26-SUM(AS24:AS25)</f>
        <v>7979.4696319999985</v>
      </c>
      <c r="AT23" s="369">
        <f t="shared" si="21"/>
        <v>8019.6151519999985</v>
      </c>
      <c r="AU23" s="369">
        <f t="shared" si="21"/>
        <v>8065.847984</v>
      </c>
      <c r="AV23" s="369">
        <f t="shared" si="21"/>
        <v>8133.3356803999995</v>
      </c>
      <c r="AW23" s="369">
        <f>AV23</f>
        <v>8133.3356803999995</v>
      </c>
      <c r="AX23" s="369">
        <f t="shared" ref="AX23:BA23" si="22">AX26-SUM(AX24:AX25)</f>
        <v>8142.1619801599973</v>
      </c>
      <c r="AY23" s="369">
        <f t="shared" si="22"/>
        <v>8162.358227759998</v>
      </c>
      <c r="AZ23" s="369">
        <f t="shared" si="22"/>
        <v>8188.6722239199989</v>
      </c>
      <c r="BA23" s="369">
        <f t="shared" si="22"/>
        <v>8236.3473588019988</v>
      </c>
      <c r="BB23" s="369">
        <f>BA23</f>
        <v>8236.3473588019988</v>
      </c>
      <c r="BC23" s="369">
        <f t="shared" ref="BC23:BF23" si="23">BC26-SUM(BC24:BC25)</f>
        <v>8212.1960470905578</v>
      </c>
      <c r="BD23" s="369">
        <f t="shared" si="23"/>
        <v>8232.427981557159</v>
      </c>
      <c r="BE23" s="369">
        <f t="shared" si="23"/>
        <v>8258.799076703719</v>
      </c>
      <c r="BF23" s="369">
        <f t="shared" si="23"/>
        <v>8306.606074557807</v>
      </c>
      <c r="BG23" s="369">
        <f>BF23</f>
        <v>8306.606074557807</v>
      </c>
      <c r="BH23" s="369">
        <f t="shared" ref="BH23:BK23" si="24">BH26-SUM(BH24:BH25)</f>
        <v>8269.4184391847393</v>
      </c>
      <c r="BI23" s="369">
        <f t="shared" si="24"/>
        <v>8289.6708375202725</v>
      </c>
      <c r="BJ23" s="369">
        <f t="shared" si="24"/>
        <v>8316.0746748571273</v>
      </c>
      <c r="BK23" s="369">
        <f t="shared" si="24"/>
        <v>8363.9572867069219</v>
      </c>
      <c r="BL23" s="369">
        <f>BK23</f>
        <v>8363.9572867069219</v>
      </c>
    </row>
    <row r="24" spans="1:64">
      <c r="A24" s="5" t="s">
        <v>1803</v>
      </c>
      <c r="J24" s="383">
        <v>999</v>
      </c>
      <c r="K24" s="383">
        <v>960</v>
      </c>
      <c r="L24" s="383">
        <v>927</v>
      </c>
      <c r="M24" s="383">
        <v>894</v>
      </c>
      <c r="N24" s="369">
        <f>M24</f>
        <v>894</v>
      </c>
      <c r="O24" s="383">
        <v>861</v>
      </c>
      <c r="P24" s="383">
        <v>836</v>
      </c>
      <c r="Q24" s="383">
        <v>812</v>
      </c>
      <c r="R24" s="383">
        <v>786</v>
      </c>
      <c r="S24" s="369">
        <f>R24</f>
        <v>786</v>
      </c>
      <c r="T24" s="383">
        <v>761</v>
      </c>
      <c r="U24" s="383">
        <v>738</v>
      </c>
      <c r="V24" s="383">
        <v>715</v>
      </c>
      <c r="W24" s="383">
        <v>692</v>
      </c>
      <c r="X24" s="369">
        <f>W24</f>
        <v>692</v>
      </c>
      <c r="Y24" s="383">
        <v>670</v>
      </c>
      <c r="Z24" s="383">
        <v>654</v>
      </c>
      <c r="AA24" s="383">
        <v>639</v>
      </c>
      <c r="AB24" s="383">
        <v>625</v>
      </c>
      <c r="AC24" s="369">
        <f>AB24</f>
        <v>625</v>
      </c>
      <c r="AD24" s="383">
        <v>609</v>
      </c>
      <c r="AE24" s="383">
        <v>597</v>
      </c>
      <c r="AF24" s="383">
        <v>585</v>
      </c>
      <c r="AG24" s="383">
        <v>573</v>
      </c>
      <c r="AH24" s="369">
        <f>AG24</f>
        <v>573</v>
      </c>
      <c r="AI24" s="383">
        <v>561</v>
      </c>
      <c r="AJ24" s="383">
        <v>550</v>
      </c>
      <c r="AK24" s="383">
        <v>539</v>
      </c>
      <c r="AL24" s="384">
        <f>AK24-10</f>
        <v>529</v>
      </c>
      <c r="AM24" s="369">
        <f>AL24</f>
        <v>529</v>
      </c>
      <c r="AN24" s="384">
        <f t="shared" ref="AN24:BK24" si="25">AM24-10</f>
        <v>519</v>
      </c>
      <c r="AO24" s="384">
        <f t="shared" si="25"/>
        <v>509</v>
      </c>
      <c r="AP24" s="384">
        <f t="shared" si="25"/>
        <v>499</v>
      </c>
      <c r="AQ24" s="384">
        <f t="shared" si="25"/>
        <v>489</v>
      </c>
      <c r="AR24" s="369">
        <f>AQ24</f>
        <v>489</v>
      </c>
      <c r="AS24" s="384">
        <f t="shared" si="25"/>
        <v>479</v>
      </c>
      <c r="AT24" s="384">
        <f t="shared" si="25"/>
        <v>469</v>
      </c>
      <c r="AU24" s="384">
        <f t="shared" si="25"/>
        <v>459</v>
      </c>
      <c r="AV24" s="384">
        <f t="shared" si="25"/>
        <v>449</v>
      </c>
      <c r="AW24" s="369">
        <f>AV24</f>
        <v>449</v>
      </c>
      <c r="AX24" s="384">
        <f t="shared" si="25"/>
        <v>439</v>
      </c>
      <c r="AY24" s="384">
        <f t="shared" si="25"/>
        <v>429</v>
      </c>
      <c r="AZ24" s="384">
        <f t="shared" si="25"/>
        <v>419</v>
      </c>
      <c r="BA24" s="384">
        <f t="shared" si="25"/>
        <v>409</v>
      </c>
      <c r="BB24" s="369">
        <f>BA24</f>
        <v>409</v>
      </c>
      <c r="BC24" s="384">
        <f t="shared" si="25"/>
        <v>399</v>
      </c>
      <c r="BD24" s="384">
        <f t="shared" si="25"/>
        <v>389</v>
      </c>
      <c r="BE24" s="384">
        <f t="shared" si="25"/>
        <v>379</v>
      </c>
      <c r="BF24" s="384">
        <f t="shared" si="25"/>
        <v>369</v>
      </c>
      <c r="BG24" s="369">
        <f>BF24</f>
        <v>369</v>
      </c>
      <c r="BH24" s="384">
        <f t="shared" si="25"/>
        <v>359</v>
      </c>
      <c r="BI24" s="384">
        <f t="shared" si="25"/>
        <v>349</v>
      </c>
      <c r="BJ24" s="384">
        <f t="shared" si="25"/>
        <v>339</v>
      </c>
      <c r="BK24" s="384">
        <f t="shared" si="25"/>
        <v>329</v>
      </c>
      <c r="BL24" s="369">
        <f>BK24</f>
        <v>329</v>
      </c>
    </row>
    <row r="25" spans="1:64">
      <c r="A25" s="5" t="s">
        <v>1804</v>
      </c>
      <c r="J25" s="383">
        <v>963</v>
      </c>
      <c r="K25" s="383">
        <v>926</v>
      </c>
      <c r="L25" s="383">
        <v>876</v>
      </c>
      <c r="M25" s="383">
        <v>833</v>
      </c>
      <c r="N25" s="369">
        <f>M25</f>
        <v>833</v>
      </c>
      <c r="O25" s="383">
        <v>794</v>
      </c>
      <c r="P25" s="383">
        <v>757</v>
      </c>
      <c r="Q25" s="383">
        <v>717</v>
      </c>
      <c r="R25" s="383">
        <v>673</v>
      </c>
      <c r="S25" s="369">
        <f>R25</f>
        <v>673</v>
      </c>
      <c r="T25" s="383">
        <v>624</v>
      </c>
      <c r="U25" s="383">
        <v>595</v>
      </c>
      <c r="V25" s="383">
        <v>567</v>
      </c>
      <c r="W25" s="383">
        <v>530</v>
      </c>
      <c r="X25" s="369">
        <f>W25</f>
        <v>530</v>
      </c>
      <c r="Y25" s="383">
        <v>482</v>
      </c>
      <c r="Z25" s="383">
        <v>452</v>
      </c>
      <c r="AA25" s="383">
        <v>409</v>
      </c>
      <c r="AB25" s="383">
        <v>383</v>
      </c>
      <c r="AC25" s="369">
        <f>AB25</f>
        <v>383</v>
      </c>
      <c r="AD25" s="383">
        <v>343</v>
      </c>
      <c r="AE25" s="383">
        <v>319</v>
      </c>
      <c r="AF25" s="383">
        <v>291</v>
      </c>
      <c r="AG25" s="383">
        <v>256</v>
      </c>
      <c r="AH25" s="369">
        <f>AG25</f>
        <v>256</v>
      </c>
      <c r="AI25" s="383">
        <v>241</v>
      </c>
      <c r="AJ25" s="383">
        <v>220</v>
      </c>
      <c r="AK25" s="383">
        <v>200</v>
      </c>
      <c r="AL25" s="384">
        <f>AK25-20</f>
        <v>180</v>
      </c>
      <c r="AM25" s="369">
        <f>AL25</f>
        <v>180</v>
      </c>
      <c r="AN25" s="384">
        <f t="shared" ref="AN25:AV25" si="26">AM25-20</f>
        <v>160</v>
      </c>
      <c r="AO25" s="384">
        <f t="shared" si="26"/>
        <v>140</v>
      </c>
      <c r="AP25" s="384">
        <f t="shared" si="26"/>
        <v>120</v>
      </c>
      <c r="AQ25" s="384">
        <f t="shared" si="26"/>
        <v>100</v>
      </c>
      <c r="AR25" s="369">
        <f>AQ25</f>
        <v>100</v>
      </c>
      <c r="AS25" s="384">
        <f t="shared" si="26"/>
        <v>80</v>
      </c>
      <c r="AT25" s="384">
        <f t="shared" si="26"/>
        <v>60</v>
      </c>
      <c r="AU25" s="384">
        <f t="shared" si="26"/>
        <v>40</v>
      </c>
      <c r="AV25" s="384">
        <f t="shared" si="26"/>
        <v>20</v>
      </c>
      <c r="AW25" s="369">
        <f>AV25</f>
        <v>20</v>
      </c>
    </row>
    <row r="26" spans="1:64">
      <c r="A26" s="9" t="s">
        <v>1811</v>
      </c>
      <c r="B26" s="9"/>
      <c r="C26" s="9"/>
      <c r="D26" s="9"/>
      <c r="E26" s="9"/>
      <c r="F26" s="9"/>
      <c r="G26" s="9"/>
      <c r="H26" s="9"/>
      <c r="I26" s="9"/>
      <c r="J26" s="374">
        <f t="shared" ref="J26" si="27">SUM(J23:J25)</f>
        <v>7219</v>
      </c>
      <c r="K26" s="374">
        <f t="shared" ref="K26:AH26" si="28">SUM(K23:K25)</f>
        <v>7385</v>
      </c>
      <c r="L26" s="374">
        <f t="shared" si="28"/>
        <v>7523</v>
      </c>
      <c r="M26" s="374">
        <f t="shared" si="28"/>
        <v>7643</v>
      </c>
      <c r="N26" s="374">
        <f t="shared" si="28"/>
        <v>7643</v>
      </c>
      <c r="O26" s="374">
        <f t="shared" si="28"/>
        <v>7705</v>
      </c>
      <c r="P26" s="374">
        <f t="shared" si="28"/>
        <v>7757</v>
      </c>
      <c r="Q26" s="374">
        <f t="shared" si="28"/>
        <v>7779</v>
      </c>
      <c r="R26" s="374">
        <f t="shared" si="28"/>
        <v>7846</v>
      </c>
      <c r="S26" s="374">
        <f t="shared" si="28"/>
        <v>7846</v>
      </c>
      <c r="T26" s="374">
        <f t="shared" si="28"/>
        <v>7988</v>
      </c>
      <c r="U26" s="374">
        <f t="shared" si="28"/>
        <v>8094</v>
      </c>
      <c r="V26" s="374">
        <f t="shared" si="28"/>
        <v>8120</v>
      </c>
      <c r="W26" s="374">
        <f t="shared" si="28"/>
        <v>8138</v>
      </c>
      <c r="X26" s="374">
        <f t="shared" si="28"/>
        <v>8138</v>
      </c>
      <c r="Y26" s="374">
        <f t="shared" si="28"/>
        <v>8182</v>
      </c>
      <c r="Z26" s="374">
        <f t="shared" si="28"/>
        <v>8251</v>
      </c>
      <c r="AA26" s="374">
        <f t="shared" si="28"/>
        <v>8268</v>
      </c>
      <c r="AB26" s="374">
        <f t="shared" si="28"/>
        <v>8314</v>
      </c>
      <c r="AC26" s="374">
        <f t="shared" si="28"/>
        <v>8314</v>
      </c>
      <c r="AD26" s="374">
        <f t="shared" si="28"/>
        <v>8323</v>
      </c>
      <c r="AE26" s="374">
        <f t="shared" si="28"/>
        <v>8352</v>
      </c>
      <c r="AF26" s="374">
        <f t="shared" si="28"/>
        <v>8354</v>
      </c>
      <c r="AG26" s="374">
        <f t="shared" si="28"/>
        <v>8395</v>
      </c>
      <c r="AH26" s="374">
        <f t="shared" si="28"/>
        <v>8395</v>
      </c>
      <c r="AI26" s="374">
        <f>SUM(AI23:AI25)</f>
        <v>8416</v>
      </c>
      <c r="AJ26" s="374">
        <f>SUM(AJ23:AJ25)</f>
        <v>8426</v>
      </c>
      <c r="AK26" s="374">
        <f>SUM(AK23:AK25)</f>
        <v>8442</v>
      </c>
      <c r="AL26" s="374">
        <f>AG26*(1+AL27)</f>
        <v>8478.9500000000007</v>
      </c>
      <c r="AM26" s="374">
        <f t="shared" ref="AM26" si="29">SUM(AM23:AM25)</f>
        <v>8478.9500000000007</v>
      </c>
      <c r="AN26" s="374">
        <f t="shared" ref="AN26:AQ26" si="30">AI26*(1+AN27)</f>
        <v>8483.3279999999995</v>
      </c>
      <c r="AO26" s="374">
        <f t="shared" si="30"/>
        <v>8493.4079999999994</v>
      </c>
      <c r="AP26" s="374">
        <f t="shared" si="30"/>
        <v>8509.5360000000001</v>
      </c>
      <c r="AQ26" s="374">
        <f t="shared" si="30"/>
        <v>8546.7816000000003</v>
      </c>
      <c r="AR26" s="374">
        <f t="shared" ref="AR26" si="31">SUM(AR23:AR25)</f>
        <v>8546.7816000000003</v>
      </c>
      <c r="AS26" s="374">
        <f t="shared" ref="AS26:AV26" si="32">AN26*(1+AS27)</f>
        <v>8538.4696319999985</v>
      </c>
      <c r="AT26" s="374">
        <f t="shared" si="32"/>
        <v>8548.6151519999985</v>
      </c>
      <c r="AU26" s="374">
        <f t="shared" si="32"/>
        <v>8564.847984</v>
      </c>
      <c r="AV26" s="374">
        <f t="shared" si="32"/>
        <v>8602.3356803999995</v>
      </c>
      <c r="AW26" s="374">
        <f t="shared" ref="AW26" si="33">SUM(AW23:AW25)</f>
        <v>8602.3356803999995</v>
      </c>
      <c r="AX26" s="374">
        <f t="shared" ref="AX26:BA26" si="34">AS26*(1+AX27)</f>
        <v>8581.1619801599973</v>
      </c>
      <c r="AY26" s="374">
        <f t="shared" si="34"/>
        <v>8591.358227759998</v>
      </c>
      <c r="AZ26" s="374">
        <f t="shared" si="34"/>
        <v>8607.6722239199989</v>
      </c>
      <c r="BA26" s="374">
        <f t="shared" si="34"/>
        <v>8645.3473588019988</v>
      </c>
      <c r="BB26" s="374">
        <f t="shared" ref="BB26" si="35">SUM(BB23:BB25)</f>
        <v>8645.3473588019988</v>
      </c>
      <c r="BC26" s="374">
        <f t="shared" ref="BC26:BF26" si="36">AX26*(1+BC27)</f>
        <v>8611.1960470905578</v>
      </c>
      <c r="BD26" s="374">
        <f t="shared" si="36"/>
        <v>8621.427981557159</v>
      </c>
      <c r="BE26" s="374">
        <f t="shared" si="36"/>
        <v>8637.799076703719</v>
      </c>
      <c r="BF26" s="374">
        <f t="shared" si="36"/>
        <v>8675.606074557807</v>
      </c>
      <c r="BG26" s="374">
        <f t="shared" ref="BG26" si="37">SUM(BG23:BG25)</f>
        <v>8675.606074557807</v>
      </c>
      <c r="BH26" s="374">
        <f t="shared" ref="BH26:BK26" si="38">BC26*(1+BH27)</f>
        <v>8628.4184391847393</v>
      </c>
      <c r="BI26" s="374">
        <f t="shared" si="38"/>
        <v>8638.6708375202725</v>
      </c>
      <c r="BJ26" s="374">
        <f t="shared" si="38"/>
        <v>8655.0746748571273</v>
      </c>
      <c r="BK26" s="374">
        <f t="shared" si="38"/>
        <v>8692.9572867069219</v>
      </c>
      <c r="BL26" s="374">
        <f t="shared" ref="BL26" si="39">SUM(BL23:BL25)</f>
        <v>8692.9572867069219</v>
      </c>
    </row>
    <row r="27" spans="1:64">
      <c r="A27" s="1" t="s">
        <v>28</v>
      </c>
      <c r="Y27" s="16">
        <f t="shared" ref="Y27:AK27" si="40">Y26/T26-1</f>
        <v>2.42864296444667E-2</v>
      </c>
      <c r="Z27" s="16">
        <f t="shared" si="40"/>
        <v>1.9397084259945574E-2</v>
      </c>
      <c r="AA27" s="16">
        <f t="shared" si="40"/>
        <v>1.8226600985221664E-2</v>
      </c>
      <c r="AB27" s="16">
        <f t="shared" si="40"/>
        <v>2.1626935364954525E-2</v>
      </c>
      <c r="AC27" s="16">
        <f t="shared" si="40"/>
        <v>2.1626935364954525E-2</v>
      </c>
      <c r="AD27" s="16">
        <f t="shared" si="40"/>
        <v>1.7232950378880396E-2</v>
      </c>
      <c r="AE27" s="16">
        <f t="shared" si="40"/>
        <v>1.2240940492061592E-2</v>
      </c>
      <c r="AF27" s="16">
        <f t="shared" si="40"/>
        <v>1.0401548137397132E-2</v>
      </c>
      <c r="AG27" s="16">
        <f t="shared" si="40"/>
        <v>9.7426028385854124E-3</v>
      </c>
      <c r="AH27" s="16">
        <f t="shared" si="40"/>
        <v>9.7426028385854124E-3</v>
      </c>
      <c r="AI27" s="16">
        <f t="shared" si="40"/>
        <v>1.1173855580920433E-2</v>
      </c>
      <c r="AJ27" s="16">
        <f t="shared" si="40"/>
        <v>8.8601532567049723E-3</v>
      </c>
      <c r="AK27" s="16">
        <f t="shared" si="40"/>
        <v>1.0533875987550845E-2</v>
      </c>
      <c r="AL27" s="303">
        <v>0.01</v>
      </c>
      <c r="AN27" s="303">
        <v>8.0000000000000002E-3</v>
      </c>
      <c r="AO27" s="303">
        <v>8.0000000000000002E-3</v>
      </c>
      <c r="AP27" s="303">
        <v>8.0000000000000002E-3</v>
      </c>
      <c r="AQ27" s="303">
        <v>8.0000000000000002E-3</v>
      </c>
      <c r="AS27" s="303">
        <f>AN27-0.15%</f>
        <v>6.5000000000000006E-3</v>
      </c>
      <c r="AT27" s="303">
        <f>AO27-0.15%</f>
        <v>6.5000000000000006E-3</v>
      </c>
      <c r="AU27" s="303">
        <f>AP27-0.15%</f>
        <v>6.5000000000000006E-3</v>
      </c>
      <c r="AV27" s="303">
        <f>AQ27-0.15%</f>
        <v>6.5000000000000006E-3</v>
      </c>
      <c r="AX27" s="303">
        <f>AS27-0.15%</f>
        <v>5.000000000000001E-3</v>
      </c>
      <c r="AY27" s="303">
        <f>AT27-0.15%</f>
        <v>5.000000000000001E-3</v>
      </c>
      <c r="AZ27" s="303">
        <f>AU27-0.15%</f>
        <v>5.000000000000001E-3</v>
      </c>
      <c r="BA27" s="303">
        <f>AV27-0.15%</f>
        <v>5.000000000000001E-3</v>
      </c>
      <c r="BC27" s="303">
        <f>AX27-0.15%</f>
        <v>3.5000000000000009E-3</v>
      </c>
      <c r="BD27" s="303">
        <f>AY27-0.15%</f>
        <v>3.5000000000000009E-3</v>
      </c>
      <c r="BE27" s="303">
        <f>AZ27-0.15%</f>
        <v>3.5000000000000009E-3</v>
      </c>
      <c r="BF27" s="303">
        <f>BA27-0.15%</f>
        <v>3.5000000000000009E-3</v>
      </c>
      <c r="BH27" s="303">
        <f>BC27-0.15%</f>
        <v>2.0000000000000009E-3</v>
      </c>
      <c r="BI27" s="303">
        <f>BD27-0.15%</f>
        <v>2.0000000000000009E-3</v>
      </c>
      <c r="BJ27" s="303">
        <f>BE27-0.15%</f>
        <v>2.0000000000000009E-3</v>
      </c>
      <c r="BK27" s="303">
        <f>BF27-0.15%</f>
        <v>2.0000000000000009E-3</v>
      </c>
    </row>
    <row r="29" spans="1:64">
      <c r="A29" s="3" t="s">
        <v>1812</v>
      </c>
    </row>
    <row r="30" spans="1:64">
      <c r="A30" s="5" t="s">
        <v>1802</v>
      </c>
      <c r="O30" s="369">
        <f t="shared" ref="O30:R32" si="41">O23-N23</f>
        <v>134</v>
      </c>
      <c r="P30" s="369">
        <f t="shared" si="41"/>
        <v>114</v>
      </c>
      <c r="Q30" s="369">
        <f t="shared" si="41"/>
        <v>86</v>
      </c>
      <c r="R30" s="369">
        <f t="shared" si="41"/>
        <v>137</v>
      </c>
      <c r="S30" s="369">
        <f>SUM(O30:R30)</f>
        <v>471</v>
      </c>
      <c r="T30" s="369">
        <f t="shared" ref="T30:W32" si="42">T23-S23</f>
        <v>216</v>
      </c>
      <c r="U30" s="369">
        <f t="shared" si="42"/>
        <v>158</v>
      </c>
      <c r="V30" s="369">
        <f t="shared" si="42"/>
        <v>77</v>
      </c>
      <c r="W30" s="369">
        <f t="shared" si="42"/>
        <v>78</v>
      </c>
      <c r="X30" s="369">
        <f>SUM(T30:W30)</f>
        <v>529</v>
      </c>
      <c r="Y30" s="369">
        <f t="shared" ref="Y30:AB32" si="43">Y23-X23</f>
        <v>114</v>
      </c>
      <c r="Z30" s="369">
        <f t="shared" si="43"/>
        <v>115</v>
      </c>
      <c r="AA30" s="369">
        <f t="shared" si="43"/>
        <v>75</v>
      </c>
      <c r="AB30" s="369">
        <f t="shared" si="43"/>
        <v>86</v>
      </c>
      <c r="AC30" s="369">
        <f>SUM(Y30:AB30)</f>
        <v>390</v>
      </c>
      <c r="AD30" s="369">
        <f t="shared" ref="AD30:AG32" si="44">AD23-AC23</f>
        <v>65</v>
      </c>
      <c r="AE30" s="369">
        <f t="shared" si="44"/>
        <v>65</v>
      </c>
      <c r="AF30" s="369">
        <f t="shared" si="44"/>
        <v>42</v>
      </c>
      <c r="AG30" s="369">
        <f t="shared" si="44"/>
        <v>88</v>
      </c>
      <c r="AH30" s="369">
        <f>SUM(AD30:AG30)</f>
        <v>260</v>
      </c>
      <c r="AI30" s="369">
        <f t="shared" ref="AI30:AL32" si="45">AI23-AH23</f>
        <v>48</v>
      </c>
      <c r="AJ30" s="369">
        <f t="shared" si="45"/>
        <v>42</v>
      </c>
      <c r="AK30" s="369">
        <f t="shared" si="45"/>
        <v>47</v>
      </c>
      <c r="AL30" s="369">
        <f t="shared" si="45"/>
        <v>66.950000000000728</v>
      </c>
      <c r="AM30" s="369">
        <f>SUM(AI30:AL30)</f>
        <v>203.95000000000073</v>
      </c>
      <c r="AN30" s="369">
        <f t="shared" ref="AN30:AQ32" si="46">AN23-AM23</f>
        <v>34.377999999998792</v>
      </c>
      <c r="AO30" s="369">
        <f t="shared" si="46"/>
        <v>40.079999999999927</v>
      </c>
      <c r="AP30" s="369">
        <f t="shared" si="46"/>
        <v>46.128000000000611</v>
      </c>
      <c r="AQ30" s="369">
        <f t="shared" si="46"/>
        <v>67.245600000000195</v>
      </c>
      <c r="AR30" s="369">
        <f>SUM(AN30:AQ30)</f>
        <v>187.83159999999953</v>
      </c>
      <c r="AS30" s="369">
        <f t="shared" ref="AS30:AV32" si="47">AS23-AR23</f>
        <v>21.688031999998202</v>
      </c>
      <c r="AT30" s="369">
        <f t="shared" si="47"/>
        <v>40.145520000000033</v>
      </c>
      <c r="AU30" s="369">
        <f t="shared" si="47"/>
        <v>46.232832000001508</v>
      </c>
      <c r="AV30" s="369">
        <f t="shared" si="47"/>
        <v>67.48769639999955</v>
      </c>
      <c r="AW30" s="369">
        <f>SUM(AS30:AV30)</f>
        <v>175.55408039999929</v>
      </c>
      <c r="AX30" s="369">
        <f t="shared" ref="AX30:BA32" si="48">AX23-AW23</f>
        <v>8.8262997599977098</v>
      </c>
      <c r="AY30" s="369">
        <f t="shared" si="48"/>
        <v>20.196247600000788</v>
      </c>
      <c r="AZ30" s="369">
        <f t="shared" si="48"/>
        <v>26.313996160000897</v>
      </c>
      <c r="BA30" s="369">
        <f t="shared" si="48"/>
        <v>47.675134881999838</v>
      </c>
      <c r="BB30" s="369">
        <f>SUM(AX30:BA30)</f>
        <v>103.01167840199923</v>
      </c>
      <c r="BC30" s="369">
        <f t="shared" ref="BC30:BF32" si="49">BC23-BB23</f>
        <v>-24.15131171144094</v>
      </c>
      <c r="BD30" s="369">
        <f t="shared" si="49"/>
        <v>20.23193446660116</v>
      </c>
      <c r="BE30" s="369">
        <f t="shared" si="49"/>
        <v>26.371095146560037</v>
      </c>
      <c r="BF30" s="369">
        <f t="shared" si="49"/>
        <v>47.806997854087967</v>
      </c>
      <c r="BG30" s="369">
        <f>SUM(BC30:BF30)</f>
        <v>70.258715755808225</v>
      </c>
      <c r="BH30" s="369">
        <f t="shared" ref="BH30:BK32" si="50">BH23-BG23</f>
        <v>-37.187635373067678</v>
      </c>
      <c r="BI30" s="369">
        <f t="shared" si="50"/>
        <v>20.252398335533144</v>
      </c>
      <c r="BJ30" s="369">
        <f t="shared" si="50"/>
        <v>26.403837336854849</v>
      </c>
      <c r="BK30" s="369">
        <f t="shared" si="50"/>
        <v>47.882611849794557</v>
      </c>
      <c r="BL30" s="369">
        <f>SUM(BH30:BK30)</f>
        <v>57.351212149114872</v>
      </c>
    </row>
    <row r="31" spans="1:64">
      <c r="A31" s="5" t="s">
        <v>1803</v>
      </c>
      <c r="O31" s="369">
        <f t="shared" si="41"/>
        <v>-33</v>
      </c>
      <c r="P31" s="369">
        <f t="shared" si="41"/>
        <v>-25</v>
      </c>
      <c r="Q31" s="369">
        <f t="shared" si="41"/>
        <v>-24</v>
      </c>
      <c r="R31" s="369">
        <f t="shared" si="41"/>
        <v>-26</v>
      </c>
      <c r="S31" s="369">
        <f>SUM(O31:R31)</f>
        <v>-108</v>
      </c>
      <c r="T31" s="369">
        <f t="shared" si="42"/>
        <v>-25</v>
      </c>
      <c r="U31" s="369">
        <f t="shared" si="42"/>
        <v>-23</v>
      </c>
      <c r="V31" s="369">
        <f t="shared" si="42"/>
        <v>-23</v>
      </c>
      <c r="W31" s="369">
        <f t="shared" si="42"/>
        <v>-23</v>
      </c>
      <c r="X31" s="369">
        <f>SUM(T31:W31)</f>
        <v>-94</v>
      </c>
      <c r="Y31" s="369">
        <f t="shared" si="43"/>
        <v>-22</v>
      </c>
      <c r="Z31" s="369">
        <f t="shared" si="43"/>
        <v>-16</v>
      </c>
      <c r="AA31" s="369">
        <f t="shared" si="43"/>
        <v>-15</v>
      </c>
      <c r="AB31" s="369">
        <f t="shared" si="43"/>
        <v>-14</v>
      </c>
      <c r="AC31" s="369">
        <f>SUM(Y31:AB31)</f>
        <v>-67</v>
      </c>
      <c r="AD31" s="369">
        <f t="shared" si="44"/>
        <v>-16</v>
      </c>
      <c r="AE31" s="369">
        <f t="shared" si="44"/>
        <v>-12</v>
      </c>
      <c r="AF31" s="369">
        <f t="shared" si="44"/>
        <v>-12</v>
      </c>
      <c r="AG31" s="369">
        <f t="shared" si="44"/>
        <v>-12</v>
      </c>
      <c r="AH31" s="369">
        <f>SUM(AD31:AG31)</f>
        <v>-52</v>
      </c>
      <c r="AI31" s="369">
        <f t="shared" si="45"/>
        <v>-12</v>
      </c>
      <c r="AJ31" s="369">
        <f t="shared" si="45"/>
        <v>-11</v>
      </c>
      <c r="AK31" s="369">
        <f t="shared" si="45"/>
        <v>-11</v>
      </c>
      <c r="AL31" s="369">
        <f t="shared" si="45"/>
        <v>-10</v>
      </c>
      <c r="AM31" s="369">
        <f>SUM(AI31:AL31)</f>
        <v>-44</v>
      </c>
      <c r="AN31" s="369">
        <f t="shared" si="46"/>
        <v>-10</v>
      </c>
      <c r="AO31" s="369">
        <f t="shared" si="46"/>
        <v>-10</v>
      </c>
      <c r="AP31" s="369">
        <f t="shared" si="46"/>
        <v>-10</v>
      </c>
      <c r="AQ31" s="369">
        <f t="shared" si="46"/>
        <v>-10</v>
      </c>
      <c r="AR31" s="369">
        <f>SUM(AN31:AQ31)</f>
        <v>-40</v>
      </c>
      <c r="AS31" s="369">
        <f t="shared" si="47"/>
        <v>-10</v>
      </c>
      <c r="AT31" s="369">
        <f t="shared" si="47"/>
        <v>-10</v>
      </c>
      <c r="AU31" s="369">
        <f t="shared" si="47"/>
        <v>-10</v>
      </c>
      <c r="AV31" s="369">
        <f t="shared" si="47"/>
        <v>-10</v>
      </c>
      <c r="AW31" s="369">
        <f>SUM(AS31:AV31)</f>
        <v>-40</v>
      </c>
      <c r="AX31" s="369">
        <f t="shared" si="48"/>
        <v>-10</v>
      </c>
      <c r="AY31" s="369">
        <f t="shared" si="48"/>
        <v>-10</v>
      </c>
      <c r="AZ31" s="369">
        <f t="shared" si="48"/>
        <v>-10</v>
      </c>
      <c r="BA31" s="369">
        <f t="shared" si="48"/>
        <v>-10</v>
      </c>
      <c r="BB31" s="369">
        <f>SUM(AX31:BA31)</f>
        <v>-40</v>
      </c>
      <c r="BC31" s="369">
        <f t="shared" si="49"/>
        <v>-10</v>
      </c>
      <c r="BD31" s="369">
        <f t="shared" si="49"/>
        <v>-10</v>
      </c>
      <c r="BE31" s="369">
        <f t="shared" si="49"/>
        <v>-10</v>
      </c>
      <c r="BF31" s="369">
        <f t="shared" si="49"/>
        <v>-10</v>
      </c>
      <c r="BG31" s="369">
        <f>SUM(BC31:BF31)</f>
        <v>-40</v>
      </c>
      <c r="BH31" s="369">
        <f t="shared" si="50"/>
        <v>-10</v>
      </c>
      <c r="BI31" s="369">
        <f t="shared" si="50"/>
        <v>-10</v>
      </c>
      <c r="BJ31" s="369">
        <f t="shared" si="50"/>
        <v>-10</v>
      </c>
      <c r="BK31" s="369">
        <f t="shared" si="50"/>
        <v>-10</v>
      </c>
      <c r="BL31" s="369">
        <f>SUM(BH31:BK31)</f>
        <v>-40</v>
      </c>
    </row>
    <row r="32" spans="1:64">
      <c r="A32" s="5" t="s">
        <v>1804</v>
      </c>
      <c r="O32" s="369">
        <f t="shared" si="41"/>
        <v>-39</v>
      </c>
      <c r="P32" s="369">
        <f t="shared" si="41"/>
        <v>-37</v>
      </c>
      <c r="Q32" s="369">
        <f t="shared" si="41"/>
        <v>-40</v>
      </c>
      <c r="R32" s="369">
        <f t="shared" si="41"/>
        <v>-44</v>
      </c>
      <c r="S32" s="369">
        <f>SUM(O32:R32)</f>
        <v>-160</v>
      </c>
      <c r="T32" s="369">
        <f t="shared" si="42"/>
        <v>-49</v>
      </c>
      <c r="U32" s="369">
        <f t="shared" si="42"/>
        <v>-29</v>
      </c>
      <c r="V32" s="369">
        <f t="shared" si="42"/>
        <v>-28</v>
      </c>
      <c r="W32" s="369">
        <f t="shared" si="42"/>
        <v>-37</v>
      </c>
      <c r="X32" s="369">
        <f>SUM(T32:W32)</f>
        <v>-143</v>
      </c>
      <c r="Y32" s="369">
        <f t="shared" si="43"/>
        <v>-48</v>
      </c>
      <c r="Z32" s="369">
        <f t="shared" si="43"/>
        <v>-30</v>
      </c>
      <c r="AA32" s="369">
        <f t="shared" si="43"/>
        <v>-43</v>
      </c>
      <c r="AB32" s="369">
        <f t="shared" si="43"/>
        <v>-26</v>
      </c>
      <c r="AC32" s="369">
        <f>SUM(Y32:AB32)</f>
        <v>-147</v>
      </c>
      <c r="AD32" s="369">
        <f t="shared" si="44"/>
        <v>-40</v>
      </c>
      <c r="AE32" s="369">
        <f t="shared" si="44"/>
        <v>-24</v>
      </c>
      <c r="AF32" s="369">
        <f t="shared" si="44"/>
        <v>-28</v>
      </c>
      <c r="AG32" s="369">
        <f t="shared" si="44"/>
        <v>-35</v>
      </c>
      <c r="AH32" s="369">
        <f>SUM(AD32:AG32)</f>
        <v>-127</v>
      </c>
      <c r="AI32" s="369">
        <f t="shared" si="45"/>
        <v>-15</v>
      </c>
      <c r="AJ32" s="369">
        <f t="shared" si="45"/>
        <v>-21</v>
      </c>
      <c r="AK32" s="369">
        <f t="shared" si="45"/>
        <v>-20</v>
      </c>
      <c r="AL32" s="369">
        <f t="shared" si="45"/>
        <v>-20</v>
      </c>
      <c r="AM32" s="369">
        <f>SUM(AI32:AL32)</f>
        <v>-76</v>
      </c>
      <c r="AN32" s="369">
        <f t="shared" si="46"/>
        <v>-20</v>
      </c>
      <c r="AO32" s="369">
        <f t="shared" si="46"/>
        <v>-20</v>
      </c>
      <c r="AP32" s="369">
        <f t="shared" si="46"/>
        <v>-20</v>
      </c>
      <c r="AQ32" s="369">
        <f t="shared" si="46"/>
        <v>-20</v>
      </c>
      <c r="AR32" s="369">
        <f>SUM(AN32:AQ32)</f>
        <v>-80</v>
      </c>
      <c r="AS32" s="369">
        <f t="shared" si="47"/>
        <v>-20</v>
      </c>
      <c r="AT32" s="369">
        <f t="shared" si="47"/>
        <v>-20</v>
      </c>
      <c r="AU32" s="369">
        <f t="shared" si="47"/>
        <v>-20</v>
      </c>
      <c r="AV32" s="369">
        <f t="shared" si="47"/>
        <v>-20</v>
      </c>
      <c r="AW32" s="369">
        <f>SUM(AS32:AV32)</f>
        <v>-80</v>
      </c>
      <c r="AX32" s="369">
        <f t="shared" si="48"/>
        <v>-20</v>
      </c>
      <c r="AY32" s="369">
        <f t="shared" si="48"/>
        <v>0</v>
      </c>
      <c r="AZ32" s="369">
        <f t="shared" si="48"/>
        <v>0</v>
      </c>
      <c r="BA32" s="369">
        <f t="shared" si="48"/>
        <v>0</v>
      </c>
      <c r="BB32" s="369">
        <f>SUM(AX32:BA32)</f>
        <v>-20</v>
      </c>
      <c r="BC32" s="369">
        <f t="shared" si="49"/>
        <v>0</v>
      </c>
      <c r="BD32" s="369">
        <f t="shared" si="49"/>
        <v>0</v>
      </c>
      <c r="BE32" s="369">
        <f t="shared" si="49"/>
        <v>0</v>
      </c>
      <c r="BF32" s="369">
        <f t="shared" si="49"/>
        <v>0</v>
      </c>
      <c r="BG32" s="369">
        <f>SUM(BC32:BF32)</f>
        <v>0</v>
      </c>
      <c r="BH32" s="369">
        <f t="shared" si="50"/>
        <v>0</v>
      </c>
      <c r="BI32" s="369">
        <f t="shared" si="50"/>
        <v>0</v>
      </c>
      <c r="BJ32" s="369">
        <f t="shared" si="50"/>
        <v>0</v>
      </c>
      <c r="BK32" s="369">
        <f t="shared" si="50"/>
        <v>0</v>
      </c>
      <c r="BL32" s="369">
        <f>SUM(BH32:BK32)</f>
        <v>0</v>
      </c>
    </row>
    <row r="33" spans="1:64">
      <c r="A33" s="9" t="s">
        <v>1811</v>
      </c>
      <c r="B33" s="9"/>
      <c r="C33" s="9"/>
      <c r="D33" s="9"/>
      <c r="E33" s="9"/>
      <c r="F33" s="9"/>
      <c r="G33" s="9"/>
      <c r="H33" s="9"/>
      <c r="I33" s="9"/>
      <c r="J33" s="374"/>
      <c r="K33" s="374"/>
      <c r="L33" s="374"/>
      <c r="M33" s="374"/>
      <c r="N33" s="374"/>
      <c r="O33" s="374">
        <f t="shared" ref="O33:BL33" si="51">SUM(O30:O32)</f>
        <v>62</v>
      </c>
      <c r="P33" s="374">
        <f t="shared" si="51"/>
        <v>52</v>
      </c>
      <c r="Q33" s="374">
        <f t="shared" si="51"/>
        <v>22</v>
      </c>
      <c r="R33" s="374">
        <f t="shared" si="51"/>
        <v>67</v>
      </c>
      <c r="S33" s="374">
        <f t="shared" si="51"/>
        <v>203</v>
      </c>
      <c r="T33" s="374">
        <f t="shared" si="51"/>
        <v>142</v>
      </c>
      <c r="U33" s="374">
        <f t="shared" si="51"/>
        <v>106</v>
      </c>
      <c r="V33" s="374">
        <f t="shared" si="51"/>
        <v>26</v>
      </c>
      <c r="W33" s="374">
        <f t="shared" si="51"/>
        <v>18</v>
      </c>
      <c r="X33" s="374">
        <f t="shared" si="51"/>
        <v>292</v>
      </c>
      <c r="Y33" s="374">
        <f t="shared" si="51"/>
        <v>44</v>
      </c>
      <c r="Z33" s="374">
        <f t="shared" si="51"/>
        <v>69</v>
      </c>
      <c r="AA33" s="374">
        <f t="shared" si="51"/>
        <v>17</v>
      </c>
      <c r="AB33" s="374">
        <f t="shared" si="51"/>
        <v>46</v>
      </c>
      <c r="AC33" s="374">
        <f t="shared" si="51"/>
        <v>176</v>
      </c>
      <c r="AD33" s="374">
        <f t="shared" si="51"/>
        <v>9</v>
      </c>
      <c r="AE33" s="374">
        <f t="shared" si="51"/>
        <v>29</v>
      </c>
      <c r="AF33" s="374">
        <f t="shared" si="51"/>
        <v>2</v>
      </c>
      <c r="AG33" s="374">
        <f t="shared" si="51"/>
        <v>41</v>
      </c>
      <c r="AH33" s="374">
        <f t="shared" si="51"/>
        <v>81</v>
      </c>
      <c r="AI33" s="374">
        <f t="shared" si="51"/>
        <v>21</v>
      </c>
      <c r="AJ33" s="374">
        <f t="shared" si="51"/>
        <v>10</v>
      </c>
      <c r="AK33" s="374">
        <f t="shared" si="51"/>
        <v>16</v>
      </c>
      <c r="AL33" s="374">
        <f t="shared" si="51"/>
        <v>36.950000000000728</v>
      </c>
      <c r="AM33" s="374">
        <f t="shared" si="51"/>
        <v>83.950000000000728</v>
      </c>
      <c r="AN33" s="374">
        <f t="shared" si="51"/>
        <v>4.3779999999987922</v>
      </c>
      <c r="AO33" s="374">
        <f t="shared" si="51"/>
        <v>10.079999999999927</v>
      </c>
      <c r="AP33" s="374">
        <f t="shared" si="51"/>
        <v>16.128000000000611</v>
      </c>
      <c r="AQ33" s="374">
        <f t="shared" si="51"/>
        <v>37.245600000000195</v>
      </c>
      <c r="AR33" s="374">
        <f t="shared" si="51"/>
        <v>67.831599999999526</v>
      </c>
      <c r="AS33" s="374">
        <f t="shared" si="51"/>
        <v>-8.3119680000017979</v>
      </c>
      <c r="AT33" s="374">
        <f t="shared" si="51"/>
        <v>10.145520000000033</v>
      </c>
      <c r="AU33" s="374">
        <f t="shared" si="51"/>
        <v>16.232832000001508</v>
      </c>
      <c r="AV33" s="374">
        <f t="shared" si="51"/>
        <v>37.48769639999955</v>
      </c>
      <c r="AW33" s="374">
        <f t="shared" si="51"/>
        <v>55.554080399999293</v>
      </c>
      <c r="AX33" s="374">
        <f t="shared" si="51"/>
        <v>-21.17370024000229</v>
      </c>
      <c r="AY33" s="374">
        <f t="shared" si="51"/>
        <v>10.196247600000788</v>
      </c>
      <c r="AZ33" s="374">
        <f t="shared" si="51"/>
        <v>16.313996160000897</v>
      </c>
      <c r="BA33" s="374">
        <f t="shared" si="51"/>
        <v>37.675134881999838</v>
      </c>
      <c r="BB33" s="374">
        <f t="shared" si="51"/>
        <v>43.011678401999234</v>
      </c>
      <c r="BC33" s="374">
        <f t="shared" si="51"/>
        <v>-34.15131171144094</v>
      </c>
      <c r="BD33" s="374">
        <f t="shared" si="51"/>
        <v>10.23193446660116</v>
      </c>
      <c r="BE33" s="374">
        <f t="shared" si="51"/>
        <v>16.371095146560037</v>
      </c>
      <c r="BF33" s="374">
        <f t="shared" si="51"/>
        <v>37.806997854087967</v>
      </c>
      <c r="BG33" s="374">
        <f t="shared" si="51"/>
        <v>30.258715755808225</v>
      </c>
      <c r="BH33" s="374">
        <f t="shared" si="51"/>
        <v>-47.187635373067678</v>
      </c>
      <c r="BI33" s="374">
        <f t="shared" si="51"/>
        <v>10.252398335533144</v>
      </c>
      <c r="BJ33" s="374">
        <f t="shared" si="51"/>
        <v>16.403837336854849</v>
      </c>
      <c r="BK33" s="374">
        <f t="shared" si="51"/>
        <v>37.882611849794557</v>
      </c>
      <c r="BL33" s="374">
        <f t="shared" si="51"/>
        <v>17.351212149114872</v>
      </c>
    </row>
    <row r="35" spans="1:64">
      <c r="A35" s="3" t="s">
        <v>1796</v>
      </c>
    </row>
    <row r="36" spans="1:64">
      <c r="A36" s="5" t="s">
        <v>1802</v>
      </c>
      <c r="I36" s="369"/>
      <c r="J36" s="383">
        <v>4590</v>
      </c>
      <c r="K36" s="383">
        <v>4530</v>
      </c>
      <c r="L36" s="383">
        <v>4650</v>
      </c>
      <c r="M36" s="383">
        <v>4500</v>
      </c>
      <c r="N36" s="383">
        <v>4570</v>
      </c>
      <c r="O36" s="383">
        <v>4510</v>
      </c>
      <c r="P36" s="383">
        <v>4490</v>
      </c>
      <c r="Q36" s="383">
        <v>4480</v>
      </c>
      <c r="R36" s="383">
        <v>4490</v>
      </c>
      <c r="S36" s="383">
        <v>4500</v>
      </c>
      <c r="T36" s="383">
        <v>4420</v>
      </c>
      <c r="U36" s="383">
        <v>4370</v>
      </c>
      <c r="V36" s="383">
        <v>4410</v>
      </c>
      <c r="W36" s="383">
        <v>4440</v>
      </c>
      <c r="X36" s="383">
        <v>4410</v>
      </c>
      <c r="Y36" s="383">
        <v>4420</v>
      </c>
      <c r="Z36" s="383">
        <v>4410</v>
      </c>
      <c r="AA36" s="383">
        <v>4380</v>
      </c>
      <c r="AB36" s="383">
        <v>4260</v>
      </c>
      <c r="AC36" s="383">
        <v>4370</v>
      </c>
      <c r="AD36" s="383">
        <v>4210</v>
      </c>
      <c r="AE36" s="383">
        <v>4170</v>
      </c>
      <c r="AF36" s="383">
        <v>4130</v>
      </c>
      <c r="AG36" s="383">
        <v>4100</v>
      </c>
      <c r="AH36" s="383">
        <v>4150</v>
      </c>
      <c r="AI36" s="383">
        <v>4090</v>
      </c>
      <c r="AJ36" s="383">
        <v>4080</v>
      </c>
      <c r="AK36" s="383">
        <v>4080</v>
      </c>
      <c r="AL36" s="369">
        <f t="shared" ref="AL36:AL38" si="52">AG36*(1+AL42)</f>
        <v>4028.25</v>
      </c>
      <c r="AM36" s="369"/>
      <c r="AN36" s="369">
        <f t="shared" ref="AN36:AQ38" si="53">AI36*(1+AN42)</f>
        <v>3987.75</v>
      </c>
      <c r="AO36" s="369">
        <f t="shared" si="53"/>
        <v>3978</v>
      </c>
      <c r="AP36" s="369">
        <f t="shared" si="53"/>
        <v>3978</v>
      </c>
      <c r="AQ36" s="369">
        <f t="shared" si="53"/>
        <v>3927.5437499999998</v>
      </c>
      <c r="AS36" s="369">
        <f t="shared" ref="AS36:AV38" si="54">AN36*(1+AS42)</f>
        <v>3917.964375</v>
      </c>
      <c r="AT36" s="369">
        <f t="shared" si="54"/>
        <v>3908.3850000000002</v>
      </c>
      <c r="AU36" s="369">
        <f t="shared" si="54"/>
        <v>3908.3850000000002</v>
      </c>
      <c r="AV36" s="369">
        <f t="shared" si="54"/>
        <v>3858.811734375</v>
      </c>
      <c r="AX36" s="369">
        <f t="shared" ref="AX36:BA37" si="55">AS36*(1+AX42)</f>
        <v>3878.7847312499998</v>
      </c>
      <c r="AY36" s="369">
        <f t="shared" si="55"/>
        <v>3869.3011500000002</v>
      </c>
      <c r="AZ36" s="369">
        <f t="shared" si="55"/>
        <v>3869.3011500000002</v>
      </c>
      <c r="BA36" s="369">
        <f t="shared" si="55"/>
        <v>3820.2236170312499</v>
      </c>
      <c r="BC36" s="369">
        <f t="shared" ref="BC36:BF37" si="56">AX36*(1+BC42)</f>
        <v>3869.0877694218752</v>
      </c>
      <c r="BD36" s="369">
        <f t="shared" si="56"/>
        <v>3859.6278971250003</v>
      </c>
      <c r="BE36" s="369">
        <f t="shared" si="56"/>
        <v>3859.6278971250003</v>
      </c>
      <c r="BF36" s="369">
        <f t="shared" si="56"/>
        <v>3810.6730579886721</v>
      </c>
      <c r="BH36" s="369">
        <f t="shared" ref="BH36:BK37" si="57">BC36*(1+BH42)</f>
        <v>3859.4150499983207</v>
      </c>
      <c r="BI36" s="369">
        <f t="shared" si="57"/>
        <v>3849.9788273821882</v>
      </c>
      <c r="BJ36" s="369">
        <f t="shared" si="57"/>
        <v>3849.9788273821882</v>
      </c>
      <c r="BK36" s="369">
        <f t="shared" si="57"/>
        <v>3801.1463753437006</v>
      </c>
    </row>
    <row r="37" spans="1:64">
      <c r="A37" s="5" t="s">
        <v>1803</v>
      </c>
      <c r="I37" s="369"/>
      <c r="J37" s="383">
        <v>1740</v>
      </c>
      <c r="K37" s="383">
        <v>1740</v>
      </c>
      <c r="L37" s="383">
        <v>1740</v>
      </c>
      <c r="M37" s="383">
        <v>1730</v>
      </c>
      <c r="N37" s="383">
        <v>1740</v>
      </c>
      <c r="O37" s="383">
        <v>1710</v>
      </c>
      <c r="P37" s="383">
        <v>1690</v>
      </c>
      <c r="Q37" s="383">
        <v>1690</v>
      </c>
      <c r="R37" s="383">
        <v>1690</v>
      </c>
      <c r="S37" s="383">
        <v>1700</v>
      </c>
      <c r="T37" s="383">
        <v>1660</v>
      </c>
      <c r="U37" s="383">
        <v>1680</v>
      </c>
      <c r="V37" s="383">
        <v>1670</v>
      </c>
      <c r="W37" s="383">
        <v>1660</v>
      </c>
      <c r="X37" s="383">
        <v>1670</v>
      </c>
      <c r="Y37" s="383">
        <v>1650</v>
      </c>
      <c r="Z37" s="383">
        <v>1650</v>
      </c>
      <c r="AA37" s="383">
        <v>1640</v>
      </c>
      <c r="AB37" s="383">
        <v>1640</v>
      </c>
      <c r="AC37" s="383">
        <v>1650</v>
      </c>
      <c r="AD37" s="383">
        <v>1630</v>
      </c>
      <c r="AE37" s="383">
        <v>1640</v>
      </c>
      <c r="AF37" s="383">
        <v>1630</v>
      </c>
      <c r="AG37" s="383">
        <v>1620</v>
      </c>
      <c r="AH37" s="383">
        <v>1630</v>
      </c>
      <c r="AI37" s="383">
        <v>1610</v>
      </c>
      <c r="AJ37" s="383">
        <v>1610</v>
      </c>
      <c r="AK37" s="383">
        <v>1610</v>
      </c>
      <c r="AL37" s="369">
        <f t="shared" si="52"/>
        <v>1591.65</v>
      </c>
      <c r="AM37" s="369"/>
      <c r="AN37" s="369">
        <f t="shared" si="53"/>
        <v>1585.85</v>
      </c>
      <c r="AO37" s="369">
        <f t="shared" si="53"/>
        <v>1585.85</v>
      </c>
      <c r="AP37" s="369">
        <f t="shared" si="53"/>
        <v>1585.85</v>
      </c>
      <c r="AQ37" s="369">
        <f t="shared" si="53"/>
        <v>1567.7752500000001</v>
      </c>
      <c r="AS37" s="369">
        <f t="shared" si="54"/>
        <v>1566.026875</v>
      </c>
      <c r="AT37" s="369">
        <f t="shared" si="54"/>
        <v>1566.026875</v>
      </c>
      <c r="AU37" s="369">
        <f t="shared" si="54"/>
        <v>1566.026875</v>
      </c>
      <c r="AV37" s="369">
        <f t="shared" si="54"/>
        <v>1548.1780593750002</v>
      </c>
      <c r="AX37" s="369">
        <f t="shared" si="55"/>
        <v>1550.3666062499999</v>
      </c>
      <c r="AY37" s="369">
        <f t="shared" si="55"/>
        <v>1550.3666062499999</v>
      </c>
      <c r="AZ37" s="369">
        <f t="shared" si="55"/>
        <v>1550.3666062499999</v>
      </c>
      <c r="BA37" s="369">
        <f t="shared" si="55"/>
        <v>1532.6962787812502</v>
      </c>
      <c r="BC37" s="369">
        <f t="shared" si="56"/>
        <v>1538.7388567031251</v>
      </c>
      <c r="BD37" s="369">
        <f t="shared" si="56"/>
        <v>1538.7388567031251</v>
      </c>
      <c r="BE37" s="369">
        <f t="shared" si="56"/>
        <v>1538.7388567031251</v>
      </c>
      <c r="BF37" s="369">
        <f t="shared" si="56"/>
        <v>1521.2010566903909</v>
      </c>
      <c r="BH37" s="369">
        <f t="shared" si="57"/>
        <v>1531.0451624196094</v>
      </c>
      <c r="BI37" s="369">
        <f t="shared" si="57"/>
        <v>1531.0451624196094</v>
      </c>
      <c r="BJ37" s="369">
        <f t="shared" si="57"/>
        <v>1531.0451624196094</v>
      </c>
      <c r="BK37" s="369">
        <f t="shared" si="57"/>
        <v>1513.5950514069391</v>
      </c>
    </row>
    <row r="38" spans="1:64">
      <c r="A38" s="5" t="s">
        <v>1804</v>
      </c>
      <c r="I38" s="369"/>
      <c r="J38" s="383">
        <v>2340</v>
      </c>
      <c r="K38" s="383">
        <v>2310</v>
      </c>
      <c r="L38" s="383">
        <v>2250</v>
      </c>
      <c r="M38" s="383">
        <v>2240</v>
      </c>
      <c r="N38" s="383">
        <v>2290</v>
      </c>
      <c r="O38" s="383">
        <v>2190</v>
      </c>
      <c r="P38" s="383">
        <v>2150</v>
      </c>
      <c r="Q38" s="383">
        <v>2110</v>
      </c>
      <c r="R38" s="383">
        <v>2080</v>
      </c>
      <c r="S38" s="383">
        <v>2140</v>
      </c>
      <c r="T38" s="383">
        <v>1960</v>
      </c>
      <c r="U38" s="383">
        <v>1960</v>
      </c>
      <c r="V38" s="383">
        <v>1910</v>
      </c>
      <c r="W38" s="383">
        <v>1860</v>
      </c>
      <c r="X38" s="383">
        <v>1930</v>
      </c>
      <c r="Y38" s="383">
        <v>1730</v>
      </c>
      <c r="Z38" s="383">
        <v>1700</v>
      </c>
      <c r="AA38" s="383">
        <v>1570</v>
      </c>
      <c r="AB38" s="383">
        <v>1540</v>
      </c>
      <c r="AC38" s="383">
        <v>1640</v>
      </c>
      <c r="AD38" s="383">
        <v>1390</v>
      </c>
      <c r="AE38" s="383">
        <v>1350</v>
      </c>
      <c r="AF38" s="383">
        <v>1140</v>
      </c>
      <c r="AG38" s="383">
        <v>1010</v>
      </c>
      <c r="AH38" s="383">
        <v>1240</v>
      </c>
      <c r="AI38" s="383">
        <v>940</v>
      </c>
      <c r="AJ38" s="383">
        <v>810</v>
      </c>
      <c r="AK38" s="383">
        <v>650</v>
      </c>
      <c r="AL38" s="369">
        <f t="shared" si="52"/>
        <v>656.5</v>
      </c>
      <c r="AM38" s="369"/>
      <c r="AN38" s="369">
        <f t="shared" si="53"/>
        <v>611</v>
      </c>
      <c r="AO38" s="369">
        <f t="shared" si="53"/>
        <v>526.5</v>
      </c>
      <c r="AP38" s="369">
        <f t="shared" si="53"/>
        <v>422.5</v>
      </c>
      <c r="AQ38" s="369">
        <f t="shared" si="53"/>
        <v>426.72500000000002</v>
      </c>
      <c r="AS38" s="369">
        <f t="shared" si="54"/>
        <v>397.15000000000003</v>
      </c>
      <c r="AT38" s="369">
        <f t="shared" si="54"/>
        <v>342.22500000000002</v>
      </c>
      <c r="AU38" s="369">
        <f t="shared" si="54"/>
        <v>274.625</v>
      </c>
      <c r="AV38" s="369">
        <f t="shared" si="54"/>
        <v>277.37125000000003</v>
      </c>
      <c r="AX38" s="369"/>
      <c r="AY38" s="369"/>
      <c r="AZ38" s="369"/>
      <c r="BA38" s="369"/>
      <c r="BC38" s="369"/>
      <c r="BD38" s="369"/>
      <c r="BE38" s="369"/>
      <c r="BF38" s="369"/>
      <c r="BH38" s="369"/>
      <c r="BI38" s="369"/>
      <c r="BJ38" s="369"/>
      <c r="BK38" s="369"/>
    </row>
    <row r="39" spans="1:64">
      <c r="A39" s="9" t="s">
        <v>1813</v>
      </c>
      <c r="B39" s="9"/>
      <c r="C39" s="9"/>
      <c r="D39" s="9"/>
      <c r="E39" s="9"/>
      <c r="F39" s="9"/>
      <c r="G39" s="9"/>
      <c r="H39" s="9"/>
      <c r="I39" s="374"/>
      <c r="J39" s="374">
        <f>1000000*J10/AVERAGE(I26:J26)/3</f>
        <v>4054.5781964260982</v>
      </c>
      <c r="K39" s="374">
        <f>1000000*K10/AVERAGE(J26:K26)/3</f>
        <v>4014.1970236464895</v>
      </c>
      <c r="L39" s="374">
        <f>1000000*L10/AVERAGE(K26:L26)/3</f>
        <v>4139.6118415168594</v>
      </c>
      <c r="M39" s="374">
        <f>1000000*M10/AVERAGE(L26:M26)/3</f>
        <v>4077.6297859246556</v>
      </c>
      <c r="N39" s="374">
        <f>1000000*N10/AVERAGE(I26:M26)/12</f>
        <v>4042.9627141417532</v>
      </c>
      <c r="O39" s="374">
        <f>1000000*O10/AVERAGE(N26:O26)/3</f>
        <v>4128.4423594822347</v>
      </c>
      <c r="P39" s="374">
        <f>1000000*P10/AVERAGE(O26:P26)/3</f>
        <v>4115.0778252058808</v>
      </c>
      <c r="Q39" s="374">
        <f>1000000*Q10/AVERAGE(P26:Q26)/3</f>
        <v>4125.7723995880533</v>
      </c>
      <c r="R39" s="374">
        <f>1000000*R10/AVERAGE(Q26:R26)/3</f>
        <v>4147.1146666666664</v>
      </c>
      <c r="S39" s="374">
        <f>1000000*S10/AVERAGE(N26:R26)/12</f>
        <v>4129.3463292882343</v>
      </c>
      <c r="T39" s="374">
        <f>1000000*T10/AVERAGE(S26:T26)/3</f>
        <v>4092.4592648730577</v>
      </c>
      <c r="U39" s="374">
        <f>1000000*U10/AVERAGE(T26:U26)/3</f>
        <v>4091.5309041164037</v>
      </c>
      <c r="V39" s="374">
        <f>1000000*V10/AVERAGE(U26:V26)/3</f>
        <v>4156.9014431972364</v>
      </c>
      <c r="W39" s="374">
        <f>1000000*W10/AVERAGE(V26:W26)/3</f>
        <v>4207.1595522204452</v>
      </c>
      <c r="X39" s="374">
        <f>1000000*X10/AVERAGE(S26:W26)/12</f>
        <v>4143.2339620763451</v>
      </c>
      <c r="Y39" s="374">
        <f>1000000*Y10/AVERAGE(X26:Y26)/3</f>
        <v>4150.3267973856209</v>
      </c>
      <c r="Z39" s="374">
        <f>1000000*Z10/AVERAGE(Y26:Z26)/3</f>
        <v>4097.4461956631976</v>
      </c>
      <c r="AA39" s="374">
        <f>1000000*AA10/AVERAGE(Z26:AA26)/3</f>
        <v>4104.3646709849263</v>
      </c>
      <c r="AB39" s="374">
        <f>1000000*AB10/AVERAGE(AA26:AB26)/3</f>
        <v>4036.5054476741848</v>
      </c>
      <c r="AC39" s="374">
        <f>1000000*AC10/AVERAGE(X26:AB26)/12</f>
        <v>4097.5141544966345</v>
      </c>
      <c r="AD39" s="374">
        <f>1000000*AD10/AVERAGE(AC26:AD26)/3</f>
        <v>3999.1184308068364</v>
      </c>
      <c r="AE39" s="374">
        <f>1000000*AE10/AVERAGE(AD26:AE26)/3</f>
        <v>3958.0209895052471</v>
      </c>
      <c r="AF39" s="374">
        <f>1000000*AF10/AVERAGE(AE26:AF26)/3</f>
        <v>3954.6669859132448</v>
      </c>
      <c r="AG39" s="374">
        <f>1000000*AG10/AVERAGE(AF26:AG26)/3</f>
        <v>3936.5534260751883</v>
      </c>
      <c r="AH39" s="374">
        <f>1000000*AH10/AVERAGE(AC26:AG26)/12</f>
        <v>3961.2183941092844</v>
      </c>
      <c r="AI39" s="374">
        <f>1000000*AI10/AVERAGE(AH26:AI26)/3</f>
        <v>3985.4856938909047</v>
      </c>
      <c r="AJ39" s="374">
        <f>1000000*AJ10/AVERAGE(AI26:AJ26)/3</f>
        <v>3997.9416538020032</v>
      </c>
      <c r="AK39" s="374">
        <f>1000000*AK10/AVERAGE(AJ26:AK26)/3</f>
        <v>3995.7315627223143</v>
      </c>
      <c r="AL39" s="374">
        <f>1000000*AL10/AVERAGE(AK26:AL26)/3</f>
        <v>3946.4842717164233</v>
      </c>
      <c r="AM39" s="374">
        <f>1000000*AM10/AVERAGE(AH26:AL26)/12</f>
        <v>3980.737861584134</v>
      </c>
      <c r="AN39" s="374">
        <f>1000000*AN10/AVERAGE(AM26:AN26)/3</f>
        <v>3925.405154572989</v>
      </c>
      <c r="AO39" s="374">
        <f>1000000*AO10/AVERAGE(AN26:AO26)/3</f>
        <v>3940.3417049465038</v>
      </c>
      <c r="AP39" s="374">
        <f>1000000*AP10/AVERAGE(AO26:AP26)/3</f>
        <v>3940.3434535807442</v>
      </c>
      <c r="AQ39" s="374">
        <f>1000000*AQ10/AVERAGE(AP26:AQ26)/3</f>
        <v>3891.5376543466209</v>
      </c>
      <c r="AR39" s="374">
        <f>1000000*AR10/AVERAGE(AM26:AQ26)/12</f>
        <v>3923.1668858001922</v>
      </c>
      <c r="AS39" s="374">
        <f>1000000*AS10/AVERAGE(AR26:AS26)/3</f>
        <v>3899.4873060231785</v>
      </c>
      <c r="AT39" s="374">
        <f>1000000*AT10/AVERAGE(AS26:AT26)/3</f>
        <v>3915.4763815530896</v>
      </c>
      <c r="AU39" s="374">
        <f>1000000*AU10/AVERAGE(AT26:AU26)/3</f>
        <v>3916.8510529314622</v>
      </c>
      <c r="AV39" s="374">
        <f>1000000*AV10/AVERAGE(AU26:AV26)/3</f>
        <v>3868.2553738913462</v>
      </c>
      <c r="AW39" s="374">
        <f>1000000*AW10/AVERAGE(AR26:AV26)/12</f>
        <v>3898.3525735174721</v>
      </c>
      <c r="AX39" s="374">
        <f>1000000*AX10/AVERAGE(AW26:AX26)/3</f>
        <v>3904.1900391441545</v>
      </c>
      <c r="AY39" s="374">
        <f>1000000*AY10/AVERAGE(AX26:AY26)/3</f>
        <v>3916.6994818582025</v>
      </c>
      <c r="AZ39" s="374">
        <f>1000000*AZ10/AVERAGE(AY26:AZ26)/3</f>
        <v>3910.123305324325</v>
      </c>
      <c r="BA39" s="374">
        <f>1000000*BA10/AVERAGE(AZ26:BA26)/3</f>
        <v>3853.1810102981331</v>
      </c>
      <c r="BB39" s="374">
        <f>1000000*BB10/AVERAGE(AW26:BA26)/12</f>
        <v>3893.9375883422217</v>
      </c>
      <c r="BC39" s="374">
        <f>1000000*BC10/AVERAGE(BB26:BC26)/3</f>
        <v>3908.8368828791549</v>
      </c>
      <c r="BD39" s="374">
        <f>1000000*BD10/AVERAGE(BC26:BD26)/3</f>
        <v>3916.7166788546783</v>
      </c>
      <c r="BE39" s="374">
        <f>1000000*BE10/AVERAGE(BD26:BE26)/3</f>
        <v>3910.1963501448231</v>
      </c>
      <c r="BF39" s="374">
        <f>1000000*BF10/AVERAGE(BE26:BF26)/3</f>
        <v>3853.2902490117581</v>
      </c>
      <c r="BG39" s="374">
        <f>1000000*BG10/AVERAGE(BB26:BF26)/12</f>
        <v>3894.7135220418645</v>
      </c>
      <c r="BH39" s="374">
        <f>1000000*BH10/AVERAGE(BG26:BH26)/3</f>
        <v>3909.1697572481285</v>
      </c>
      <c r="BI39" s="374">
        <f>1000000*BI10/AVERAGE(BH26:BI26)/3</f>
        <v>3916.9722720759823</v>
      </c>
      <c r="BJ39" s="374">
        <f>1000000*BJ10/AVERAGE(BI26:BJ26)/3</f>
        <v>3910.4927720031706</v>
      </c>
      <c r="BK39" s="374">
        <f>1000000*BK10/AVERAGE(BJ26:BK26)/3</f>
        <v>3853.6040604823488</v>
      </c>
      <c r="BL39" s="374">
        <f>1000000*BL10/AVERAGE(BG26:BK26)/12</f>
        <v>3894.5781406931801</v>
      </c>
    </row>
    <row r="41" spans="1:64">
      <c r="A41" s="3" t="s">
        <v>1800</v>
      </c>
    </row>
    <row r="42" spans="1:64">
      <c r="A42" s="5" t="s">
        <v>1802</v>
      </c>
      <c r="K42" s="16"/>
      <c r="L42" s="16"/>
      <c r="M42" s="16"/>
      <c r="N42" s="16"/>
      <c r="O42" s="16">
        <f t="shared" ref="O42:AK45" si="58">O36/J36-1</f>
        <v>-1.7429193899782147E-2</v>
      </c>
      <c r="P42" s="16">
        <f t="shared" si="58"/>
        <v>-8.8300220750552327E-3</v>
      </c>
      <c r="Q42" s="16">
        <f t="shared" si="58"/>
        <v>-3.6559139784946182E-2</v>
      </c>
      <c r="R42" s="16">
        <f t="shared" si="58"/>
        <v>-2.2222222222222365E-3</v>
      </c>
      <c r="S42" s="16">
        <f t="shared" si="58"/>
        <v>-1.5317286652078765E-2</v>
      </c>
      <c r="T42" s="16">
        <f t="shared" si="58"/>
        <v>-1.9955654101995512E-2</v>
      </c>
      <c r="U42" s="16">
        <f t="shared" si="58"/>
        <v>-2.6726057906458767E-2</v>
      </c>
      <c r="V42" s="16">
        <f t="shared" si="58"/>
        <v>-1.5625E-2</v>
      </c>
      <c r="W42" s="16">
        <f t="shared" si="58"/>
        <v>-1.1135857461024523E-2</v>
      </c>
      <c r="X42" s="16">
        <f t="shared" si="58"/>
        <v>-2.0000000000000018E-2</v>
      </c>
      <c r="Y42" s="16">
        <f t="shared" si="58"/>
        <v>0</v>
      </c>
      <c r="Z42" s="16">
        <f t="shared" si="58"/>
        <v>9.1533180778031742E-3</v>
      </c>
      <c r="AA42" s="16">
        <f t="shared" si="58"/>
        <v>-6.8027210884353817E-3</v>
      </c>
      <c r="AB42" s="16">
        <f t="shared" si="58"/>
        <v>-4.0540540540540571E-2</v>
      </c>
      <c r="AC42" s="16">
        <f t="shared" si="58"/>
        <v>-9.0702947845805459E-3</v>
      </c>
      <c r="AD42" s="16">
        <f t="shared" si="58"/>
        <v>-4.7511312217194623E-2</v>
      </c>
      <c r="AE42" s="16">
        <f t="shared" si="58"/>
        <v>-5.4421768707482943E-2</v>
      </c>
      <c r="AF42" s="16">
        <f t="shared" si="58"/>
        <v>-5.7077625570776225E-2</v>
      </c>
      <c r="AG42" s="16">
        <f t="shared" si="58"/>
        <v>-3.7558685446009377E-2</v>
      </c>
      <c r="AH42" s="16">
        <f t="shared" si="58"/>
        <v>-5.0343249427917569E-2</v>
      </c>
      <c r="AI42" s="16">
        <f t="shared" si="58"/>
        <v>-2.8503562945368155E-2</v>
      </c>
      <c r="AJ42" s="16">
        <f t="shared" si="58"/>
        <v>-2.1582733812949617E-2</v>
      </c>
      <c r="AK42" s="16">
        <f t="shared" si="58"/>
        <v>-1.2106537530266359E-2</v>
      </c>
      <c r="AL42" s="303">
        <v>-1.7500000000000002E-2</v>
      </c>
      <c r="AN42" s="303">
        <v>-2.5000000000000001E-2</v>
      </c>
      <c r="AO42" s="303">
        <v>-2.5000000000000001E-2</v>
      </c>
      <c r="AP42" s="303">
        <v>-2.5000000000000001E-2</v>
      </c>
      <c r="AQ42" s="303">
        <v>-2.5000000000000001E-2</v>
      </c>
      <c r="AS42" s="303">
        <f>AN42+0.75%</f>
        <v>-1.7500000000000002E-2</v>
      </c>
      <c r="AT42" s="303">
        <f>AO42+0.75%</f>
        <v>-1.7500000000000002E-2</v>
      </c>
      <c r="AU42" s="303">
        <f>AP42+0.75%</f>
        <v>-1.7500000000000002E-2</v>
      </c>
      <c r="AV42" s="303">
        <f>AQ42+0.75%</f>
        <v>-1.7500000000000002E-2</v>
      </c>
      <c r="AX42" s="303">
        <f>AS42+0.75%</f>
        <v>-1.0000000000000002E-2</v>
      </c>
      <c r="AY42" s="303">
        <f>AT42+0.75%</f>
        <v>-1.0000000000000002E-2</v>
      </c>
      <c r="AZ42" s="303">
        <f>AU42+0.75%</f>
        <v>-1.0000000000000002E-2</v>
      </c>
      <c r="BA42" s="303">
        <f>AV42+0.75%</f>
        <v>-1.0000000000000002E-2</v>
      </c>
      <c r="BC42" s="303">
        <f>AX42+0.75%</f>
        <v>-2.5000000000000022E-3</v>
      </c>
      <c r="BD42" s="303">
        <f>AY42+0.75%</f>
        <v>-2.5000000000000022E-3</v>
      </c>
      <c r="BE42" s="303">
        <f>AZ42+0.75%</f>
        <v>-2.5000000000000022E-3</v>
      </c>
      <c r="BF42" s="303">
        <f>BA42+0.75%</f>
        <v>-2.5000000000000022E-3</v>
      </c>
      <c r="BH42" s="303">
        <v>-2.5000000000000001E-3</v>
      </c>
      <c r="BI42" s="303">
        <v>-2.5000000000000001E-3</v>
      </c>
      <c r="BJ42" s="303">
        <v>-2.5000000000000001E-3</v>
      </c>
      <c r="BK42" s="303">
        <v>-2.5000000000000001E-3</v>
      </c>
    </row>
    <row r="43" spans="1:64">
      <c r="A43" s="5" t="s">
        <v>1803</v>
      </c>
      <c r="K43" s="16"/>
      <c r="L43" s="16"/>
      <c r="M43" s="16"/>
      <c r="N43" s="16"/>
      <c r="O43" s="16">
        <f t="shared" si="58"/>
        <v>-1.7241379310344862E-2</v>
      </c>
      <c r="P43" s="16">
        <f t="shared" si="58"/>
        <v>-2.8735632183908066E-2</v>
      </c>
      <c r="Q43" s="16">
        <f t="shared" si="58"/>
        <v>-2.8735632183908066E-2</v>
      </c>
      <c r="R43" s="16">
        <f t="shared" si="58"/>
        <v>-2.3121387283236983E-2</v>
      </c>
      <c r="S43" s="16">
        <f t="shared" si="58"/>
        <v>-2.2988505747126409E-2</v>
      </c>
      <c r="T43" s="16">
        <f t="shared" si="58"/>
        <v>-2.9239766081871399E-2</v>
      </c>
      <c r="U43" s="16">
        <f t="shared" si="58"/>
        <v>-5.9171597633136397E-3</v>
      </c>
      <c r="V43" s="16">
        <f t="shared" si="58"/>
        <v>-1.1834319526627168E-2</v>
      </c>
      <c r="W43" s="16">
        <f t="shared" si="58"/>
        <v>-1.7751479289940808E-2</v>
      </c>
      <c r="X43" s="16">
        <f t="shared" si="58"/>
        <v>-1.764705882352946E-2</v>
      </c>
      <c r="Y43" s="16">
        <f t="shared" si="58"/>
        <v>-6.0240963855421326E-3</v>
      </c>
      <c r="Z43" s="16">
        <f t="shared" si="58"/>
        <v>-1.7857142857142905E-2</v>
      </c>
      <c r="AA43" s="16">
        <f t="shared" si="58"/>
        <v>-1.7964071856287456E-2</v>
      </c>
      <c r="AB43" s="16">
        <f t="shared" si="58"/>
        <v>-1.2048192771084376E-2</v>
      </c>
      <c r="AC43" s="16">
        <f t="shared" si="58"/>
        <v>-1.19760479041916E-2</v>
      </c>
      <c r="AD43" s="16">
        <f t="shared" si="58"/>
        <v>-1.2121212121212088E-2</v>
      </c>
      <c r="AE43" s="16">
        <f t="shared" si="58"/>
        <v>-6.0606060606060996E-3</v>
      </c>
      <c r="AF43" s="16">
        <f t="shared" si="58"/>
        <v>-6.0975609756097615E-3</v>
      </c>
      <c r="AG43" s="16">
        <f t="shared" si="58"/>
        <v>-1.2195121951219523E-2</v>
      </c>
      <c r="AH43" s="16">
        <f t="shared" si="58"/>
        <v>-1.2121212121212088E-2</v>
      </c>
      <c r="AI43" s="16">
        <f t="shared" si="58"/>
        <v>-1.2269938650306789E-2</v>
      </c>
      <c r="AJ43" s="16">
        <f t="shared" si="58"/>
        <v>-1.8292682926829285E-2</v>
      </c>
      <c r="AK43" s="16">
        <f t="shared" si="58"/>
        <v>-1.2269938650306789E-2</v>
      </c>
      <c r="AL43" s="303">
        <v>-1.7500000000000002E-2</v>
      </c>
      <c r="AN43" s="303">
        <v>-1.4999999999999999E-2</v>
      </c>
      <c r="AO43" s="303">
        <v>-1.4999999999999999E-2</v>
      </c>
      <c r="AP43" s="303">
        <v>-1.4999999999999999E-2</v>
      </c>
      <c r="AQ43" s="303">
        <v>-1.4999999999999999E-2</v>
      </c>
      <c r="AS43" s="303">
        <f t="shared" ref="AS43:AV43" si="59">AN43+0.25%</f>
        <v>-1.2499999999999999E-2</v>
      </c>
      <c r="AT43" s="303">
        <f t="shared" si="59"/>
        <v>-1.2499999999999999E-2</v>
      </c>
      <c r="AU43" s="303">
        <f t="shared" si="59"/>
        <v>-1.2499999999999999E-2</v>
      </c>
      <c r="AV43" s="303">
        <f t="shared" si="59"/>
        <v>-1.2499999999999999E-2</v>
      </c>
      <c r="AX43" s="303">
        <f t="shared" ref="AX43:BA43" si="60">AS43+0.25%</f>
        <v>-9.9999999999999985E-3</v>
      </c>
      <c r="AY43" s="303">
        <f t="shared" si="60"/>
        <v>-9.9999999999999985E-3</v>
      </c>
      <c r="AZ43" s="303">
        <f t="shared" si="60"/>
        <v>-9.9999999999999985E-3</v>
      </c>
      <c r="BA43" s="303">
        <f t="shared" si="60"/>
        <v>-9.9999999999999985E-3</v>
      </c>
      <c r="BC43" s="303">
        <f t="shared" ref="BC43:BF43" si="61">AX43+0.25%</f>
        <v>-7.499999999999998E-3</v>
      </c>
      <c r="BD43" s="303">
        <f t="shared" si="61"/>
        <v>-7.499999999999998E-3</v>
      </c>
      <c r="BE43" s="303">
        <f t="shared" si="61"/>
        <v>-7.499999999999998E-3</v>
      </c>
      <c r="BF43" s="303">
        <f t="shared" si="61"/>
        <v>-7.499999999999998E-3</v>
      </c>
      <c r="BH43" s="303">
        <f t="shared" ref="BH43:BK43" si="62">BC43+0.25%</f>
        <v>-4.9999999999999975E-3</v>
      </c>
      <c r="BI43" s="303">
        <f t="shared" si="62"/>
        <v>-4.9999999999999975E-3</v>
      </c>
      <c r="BJ43" s="303">
        <f t="shared" si="62"/>
        <v>-4.9999999999999975E-3</v>
      </c>
      <c r="BK43" s="303">
        <f t="shared" si="62"/>
        <v>-4.9999999999999975E-3</v>
      </c>
    </row>
    <row r="44" spans="1:64">
      <c r="A44" s="5" t="s">
        <v>1804</v>
      </c>
      <c r="K44" s="16"/>
      <c r="L44" s="16"/>
      <c r="M44" s="16"/>
      <c r="N44" s="16"/>
      <c r="O44" s="16">
        <f t="shared" si="58"/>
        <v>-6.4102564102564097E-2</v>
      </c>
      <c r="P44" s="16">
        <f t="shared" si="58"/>
        <v>-6.926406926406925E-2</v>
      </c>
      <c r="Q44" s="16">
        <f t="shared" si="58"/>
        <v>-6.2222222222222179E-2</v>
      </c>
      <c r="R44" s="16">
        <f t="shared" si="58"/>
        <v>-7.1428571428571397E-2</v>
      </c>
      <c r="S44" s="16">
        <f t="shared" si="58"/>
        <v>-6.5502183406113579E-2</v>
      </c>
      <c r="T44" s="16">
        <f t="shared" si="58"/>
        <v>-0.10502283105022836</v>
      </c>
      <c r="U44" s="16">
        <f t="shared" si="58"/>
        <v>-8.8372093023255771E-2</v>
      </c>
      <c r="V44" s="16">
        <f t="shared" si="58"/>
        <v>-9.4786729857819885E-2</v>
      </c>
      <c r="W44" s="16">
        <f t="shared" si="58"/>
        <v>-0.10576923076923073</v>
      </c>
      <c r="X44" s="16">
        <f t="shared" si="58"/>
        <v>-9.8130841121495282E-2</v>
      </c>
      <c r="Y44" s="16">
        <f t="shared" si="58"/>
        <v>-0.11734693877551017</v>
      </c>
      <c r="Z44" s="16">
        <f t="shared" si="58"/>
        <v>-0.13265306122448983</v>
      </c>
      <c r="AA44" s="16">
        <f t="shared" si="58"/>
        <v>-0.17801047120418845</v>
      </c>
      <c r="AB44" s="16">
        <f t="shared" si="58"/>
        <v>-0.17204301075268813</v>
      </c>
      <c r="AC44" s="16">
        <f t="shared" si="58"/>
        <v>-0.15025906735751293</v>
      </c>
      <c r="AD44" s="16">
        <f t="shared" si="58"/>
        <v>-0.19653179190751446</v>
      </c>
      <c r="AE44" s="16">
        <f t="shared" si="58"/>
        <v>-0.20588235294117652</v>
      </c>
      <c r="AF44" s="16">
        <f t="shared" si="58"/>
        <v>-0.27388535031847139</v>
      </c>
      <c r="AG44" s="16">
        <f t="shared" si="58"/>
        <v>-0.3441558441558441</v>
      </c>
      <c r="AH44" s="16">
        <f t="shared" si="58"/>
        <v>-0.24390243902439024</v>
      </c>
      <c r="AI44" s="16">
        <f t="shared" si="58"/>
        <v>-0.32374100719424459</v>
      </c>
      <c r="AJ44" s="16">
        <f t="shared" si="58"/>
        <v>-0.4</v>
      </c>
      <c r="AK44" s="16">
        <f t="shared" si="58"/>
        <v>-0.42982456140350878</v>
      </c>
      <c r="AL44" s="303">
        <v>-0.35</v>
      </c>
      <c r="AN44" s="303">
        <v>-0.35</v>
      </c>
      <c r="AO44" s="303">
        <v>-0.35</v>
      </c>
      <c r="AP44" s="303">
        <v>-0.35</v>
      </c>
      <c r="AQ44" s="303">
        <v>-0.35</v>
      </c>
      <c r="AS44" s="303">
        <v>-0.35</v>
      </c>
      <c r="AT44" s="303">
        <v>-0.35</v>
      </c>
      <c r="AU44" s="303">
        <v>-0.35</v>
      </c>
      <c r="AV44" s="303">
        <v>-0.35</v>
      </c>
    </row>
    <row r="45" spans="1:64">
      <c r="A45" s="9" t="s">
        <v>1813</v>
      </c>
      <c r="B45" s="9"/>
      <c r="C45" s="9"/>
      <c r="D45" s="9"/>
      <c r="E45" s="9"/>
      <c r="F45" s="9"/>
      <c r="G45" s="9"/>
      <c r="H45" s="9"/>
      <c r="I45" s="9"/>
      <c r="J45" s="9"/>
      <c r="K45" s="17"/>
      <c r="L45" s="17"/>
      <c r="M45" s="17"/>
      <c r="N45" s="17"/>
      <c r="O45" s="17">
        <f>O39/J39-1</f>
        <v>1.8217471578484856E-2</v>
      </c>
      <c r="P45" s="17">
        <f t="shared" si="58"/>
        <v>2.5131004025246151E-2</v>
      </c>
      <c r="Q45" s="17">
        <f t="shared" si="58"/>
        <v>-3.3431738188609561E-3</v>
      </c>
      <c r="R45" s="17">
        <f t="shared" si="58"/>
        <v>1.7040507449171072E-2</v>
      </c>
      <c r="S45" s="17">
        <f t="shared" si="58"/>
        <v>2.1366414002365719E-2</v>
      </c>
      <c r="T45" s="17">
        <f t="shared" si="58"/>
        <v>-8.7159009321108316E-3</v>
      </c>
      <c r="U45" s="17">
        <f t="shared" si="58"/>
        <v>-5.7221083269061168E-3</v>
      </c>
      <c r="V45" s="17">
        <f t="shared" si="58"/>
        <v>7.5450220211592534E-3</v>
      </c>
      <c r="W45" s="17">
        <f t="shared" si="58"/>
        <v>1.4478713606933091E-2</v>
      </c>
      <c r="X45" s="17">
        <f t="shared" si="58"/>
        <v>3.3631552504109763E-3</v>
      </c>
      <c r="Y45" s="17">
        <f t="shared" si="58"/>
        <v>1.4140038731542015E-2</v>
      </c>
      <c r="Z45" s="17">
        <f t="shared" si="58"/>
        <v>1.4457404050993716E-3</v>
      </c>
      <c r="AA45" s="17">
        <f t="shared" si="58"/>
        <v>-1.2638445469590476E-2</v>
      </c>
      <c r="AB45" s="17">
        <f t="shared" si="58"/>
        <v>-4.0562784089372861E-2</v>
      </c>
      <c r="AC45" s="17">
        <f t="shared" si="58"/>
        <v>-1.1034811936325828E-2</v>
      </c>
      <c r="AD45" s="17">
        <f t="shared" si="58"/>
        <v>-3.6432882026069313E-2</v>
      </c>
      <c r="AE45" s="17">
        <f t="shared" si="58"/>
        <v>-3.4027342764261337E-2</v>
      </c>
      <c r="AF45" s="17">
        <f t="shared" si="58"/>
        <v>-3.6472803240399809E-2</v>
      </c>
      <c r="AG45" s="17">
        <f t="shared" si="58"/>
        <v>-2.476201825928126E-2</v>
      </c>
      <c r="AH45" s="17">
        <f t="shared" si="58"/>
        <v>-3.3263035891597403E-2</v>
      </c>
      <c r="AI45" s="17">
        <f t="shared" si="58"/>
        <v>-3.4089355321195169E-3</v>
      </c>
      <c r="AJ45" s="17">
        <f t="shared" si="58"/>
        <v>1.008601632043038E-2</v>
      </c>
      <c r="AK45" s="17">
        <f t="shared" si="58"/>
        <v>1.0383826743274094E-2</v>
      </c>
      <c r="AL45" s="17">
        <f t="shared" ref="AL45:BL45" si="63">AL39/AG39-1</f>
        <v>2.5227259905720167E-3</v>
      </c>
      <c r="AM45" s="17">
        <f t="shared" si="63"/>
        <v>4.9276423395077096E-3</v>
      </c>
      <c r="AN45" s="17">
        <f t="shared" si="63"/>
        <v>-1.507483502199225E-2</v>
      </c>
      <c r="AO45" s="17">
        <f t="shared" si="63"/>
        <v>-1.4407401068677994E-2</v>
      </c>
      <c r="AP45" s="17">
        <f t="shared" si="63"/>
        <v>-1.3861819362017913E-2</v>
      </c>
      <c r="AQ45" s="17">
        <f t="shared" si="63"/>
        <v>-1.3922928253785938E-2</v>
      </c>
      <c r="AR45" s="17">
        <f t="shared" si="63"/>
        <v>-1.4462388076222465E-2</v>
      </c>
      <c r="AS45" s="17">
        <f t="shared" si="63"/>
        <v>-6.602591969294469E-3</v>
      </c>
      <c r="AT45" s="17">
        <f t="shared" si="63"/>
        <v>-6.3104484979562558E-3</v>
      </c>
      <c r="AU45" s="17">
        <f t="shared" si="63"/>
        <v>-5.9620185209828813E-3</v>
      </c>
      <c r="AV45" s="17">
        <f t="shared" si="63"/>
        <v>-5.9827971674050184E-3</v>
      </c>
      <c r="AW45" s="17">
        <f t="shared" si="63"/>
        <v>-6.3250718118912364E-3</v>
      </c>
      <c r="AX45" s="17">
        <f t="shared" si="63"/>
        <v>1.2059875444938584E-3</v>
      </c>
      <c r="AY45" s="17">
        <f t="shared" si="63"/>
        <v>3.1237586079568835E-4</v>
      </c>
      <c r="AZ45" s="17">
        <f t="shared" si="63"/>
        <v>-1.7176419312912028E-3</v>
      </c>
      <c r="BA45" s="17">
        <f t="shared" si="63"/>
        <v>-3.896941162405354E-3</v>
      </c>
      <c r="BB45" s="17">
        <f t="shared" si="63"/>
        <v>-1.132525879070756E-3</v>
      </c>
      <c r="BC45" s="17">
        <f t="shared" si="63"/>
        <v>1.1902196584721025E-3</v>
      </c>
      <c r="BD45" s="17">
        <f t="shared" si="63"/>
        <v>4.3906857176700953E-6</v>
      </c>
      <c r="BE45" s="17">
        <f t="shared" si="63"/>
        <v>1.8680950649052619E-5</v>
      </c>
      <c r="BF45" s="17">
        <f t="shared" si="63"/>
        <v>2.8350267826215969E-5</v>
      </c>
      <c r="BG45" s="17">
        <f t="shared" si="63"/>
        <v>1.9926711254081297E-4</v>
      </c>
      <c r="BH45" s="17">
        <f t="shared" si="63"/>
        <v>8.5159442296367516E-5</v>
      </c>
      <c r="BI45" s="17">
        <f t="shared" si="63"/>
        <v>6.5257010466002185E-5</v>
      </c>
      <c r="BJ45" s="17">
        <f t="shared" si="63"/>
        <v>7.5807410115480423E-5</v>
      </c>
      <c r="BK45" s="17">
        <f t="shared" si="63"/>
        <v>8.1439873539590479E-5</v>
      </c>
      <c r="BL45" s="17">
        <f t="shared" si="63"/>
        <v>-3.4760284143731113E-5</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F327B-CFB0-4F5D-8569-A58F3BF0372D}">
  <sheetPr codeName="Sheet26"/>
  <dimension ref="A1:BL143"/>
  <sheetViews>
    <sheetView zoomScale="90" zoomScaleNormal="90" workbookViewId="0">
      <pane xSplit="8" ySplit="2" topLeftCell="AP3" activePane="bottomRight" state="frozen"/>
      <selection pane="topRight" activeCell="I1" sqref="I1"/>
      <selection pane="bottomLeft" activeCell="A3" sqref="A3"/>
      <selection pane="bottomRight"/>
    </sheetView>
  </sheetViews>
  <sheetFormatPr defaultColWidth="9.140625" defaultRowHeight="12"/>
  <cols>
    <col min="1" max="16384" width="9.140625" style="1"/>
  </cols>
  <sheetData>
    <row r="1" spans="1:64" s="2" customFormat="1">
      <c r="A1" s="2" t="s">
        <v>85</v>
      </c>
      <c r="N1" s="18" t="s">
        <v>153</v>
      </c>
      <c r="S1" s="18" t="s">
        <v>149</v>
      </c>
      <c r="X1" s="18" t="s">
        <v>145</v>
      </c>
      <c r="AC1" s="18" t="s">
        <v>141</v>
      </c>
      <c r="AH1" s="18" t="s">
        <v>79</v>
      </c>
      <c r="AM1" s="18" t="s">
        <v>90</v>
      </c>
      <c r="AR1" s="18" t="s">
        <v>699</v>
      </c>
      <c r="AW1" s="18" t="s">
        <v>1180</v>
      </c>
      <c r="BB1" s="18" t="s">
        <v>1198</v>
      </c>
      <c r="BG1" s="18" t="s">
        <v>1209</v>
      </c>
      <c r="BL1" s="18" t="s">
        <v>1210</v>
      </c>
    </row>
    <row r="2" spans="1:64" s="2" customFormat="1">
      <c r="A2" s="2" t="s">
        <v>1390</v>
      </c>
      <c r="I2" s="6" t="s">
        <v>198</v>
      </c>
      <c r="J2" s="6" t="s">
        <v>163</v>
      </c>
      <c r="K2" s="6" t="s">
        <v>164</v>
      </c>
      <c r="L2" s="6" t="s">
        <v>165</v>
      </c>
      <c r="M2" s="6" t="s">
        <v>166</v>
      </c>
      <c r="N2" s="6" t="s">
        <v>167</v>
      </c>
      <c r="O2" s="6" t="s">
        <v>154</v>
      </c>
      <c r="P2" s="6" t="s">
        <v>155</v>
      </c>
      <c r="Q2" s="6" t="s">
        <v>156</v>
      </c>
      <c r="R2" s="6" t="s">
        <v>157</v>
      </c>
      <c r="S2" s="6" t="s">
        <v>158</v>
      </c>
      <c r="T2" s="6" t="s">
        <v>133</v>
      </c>
      <c r="U2" s="6" t="s">
        <v>134</v>
      </c>
      <c r="V2" s="6" t="s">
        <v>135</v>
      </c>
      <c r="W2" s="6" t="s">
        <v>136</v>
      </c>
      <c r="X2" s="6" t="s">
        <v>137</v>
      </c>
      <c r="Y2" s="6" t="s">
        <v>74</v>
      </c>
      <c r="Z2" s="6" t="s">
        <v>75</v>
      </c>
      <c r="AA2" s="6" t="s">
        <v>76</v>
      </c>
      <c r="AB2" s="6" t="s">
        <v>77</v>
      </c>
      <c r="AC2" s="6" t="s">
        <v>78</v>
      </c>
      <c r="AD2" s="6" t="s">
        <v>10</v>
      </c>
      <c r="AE2" s="6" t="s">
        <v>11</v>
      </c>
      <c r="AF2" s="6" t="s">
        <v>12</v>
      </c>
      <c r="AG2" s="6" t="s">
        <v>13</v>
      </c>
      <c r="AH2" s="6" t="s">
        <v>14</v>
      </c>
      <c r="AI2" s="6" t="s">
        <v>91</v>
      </c>
      <c r="AJ2" s="6" t="s">
        <v>92</v>
      </c>
      <c r="AK2" s="6" t="s">
        <v>93</v>
      </c>
      <c r="AL2" s="6" t="s">
        <v>1450</v>
      </c>
      <c r="AM2" s="6" t="s">
        <v>1451</v>
      </c>
      <c r="AN2" s="6" t="s">
        <v>1452</v>
      </c>
      <c r="AO2" s="6" t="s">
        <v>1453</v>
      </c>
      <c r="AP2" s="6" t="s">
        <v>1454</v>
      </c>
      <c r="AQ2" s="6" t="s">
        <v>1455</v>
      </c>
      <c r="AR2" s="6" t="s">
        <v>1456</v>
      </c>
      <c r="AS2" s="6" t="s">
        <v>1457</v>
      </c>
      <c r="AT2" s="6" t="s">
        <v>1458</v>
      </c>
      <c r="AU2" s="6" t="s">
        <v>1459</v>
      </c>
      <c r="AV2" s="6" t="s">
        <v>1460</v>
      </c>
      <c r="AW2" s="6" t="s">
        <v>1461</v>
      </c>
      <c r="AX2" s="6" t="s">
        <v>1462</v>
      </c>
      <c r="AY2" s="6" t="s">
        <v>1463</v>
      </c>
      <c r="AZ2" s="6" t="s">
        <v>1464</v>
      </c>
      <c r="BA2" s="6" t="s">
        <v>1465</v>
      </c>
      <c r="BB2" s="6" t="s">
        <v>1466</v>
      </c>
      <c r="BC2" s="6" t="s">
        <v>1467</v>
      </c>
      <c r="BD2" s="6" t="s">
        <v>1468</v>
      </c>
      <c r="BE2" s="6" t="s">
        <v>1469</v>
      </c>
      <c r="BF2" s="6" t="s">
        <v>1470</v>
      </c>
      <c r="BG2" s="6" t="s">
        <v>1471</v>
      </c>
      <c r="BH2" s="6" t="s">
        <v>1472</v>
      </c>
      <c r="BI2" s="6" t="s">
        <v>1473</v>
      </c>
      <c r="BJ2" s="6" t="s">
        <v>1474</v>
      </c>
      <c r="BK2" s="6" t="s">
        <v>1475</v>
      </c>
      <c r="BL2" s="6" t="s">
        <v>1476</v>
      </c>
    </row>
    <row r="4" spans="1:64" s="2" customFormat="1">
      <c r="A4" s="4" t="s">
        <v>1652</v>
      </c>
      <c r="T4" s="68"/>
      <c r="X4" s="68" t="s">
        <v>1744</v>
      </c>
    </row>
    <row r="6" spans="1:64">
      <c r="A6" s="5" t="s">
        <v>1814</v>
      </c>
      <c r="J6" s="376">
        <v>71.86</v>
      </c>
      <c r="K6" s="376">
        <v>74.760999999999996</v>
      </c>
      <c r="L6" s="376">
        <v>75.765000000000001</v>
      </c>
      <c r="M6" s="376">
        <v>79.495000000000005</v>
      </c>
      <c r="N6" s="375">
        <f>SUM(J6:M6)</f>
        <v>301.88099999999997</v>
      </c>
      <c r="O6" s="376">
        <v>72.594999999999999</v>
      </c>
      <c r="P6" s="376">
        <v>75.828999999999994</v>
      </c>
      <c r="Q6" s="376">
        <v>77.978999999999999</v>
      </c>
      <c r="R6" s="376">
        <v>83.531000000000006</v>
      </c>
      <c r="S6" s="375">
        <f>SUM(O6:R6)</f>
        <v>309.93399999999997</v>
      </c>
      <c r="T6" s="376">
        <v>75.599999999999994</v>
      </c>
      <c r="U6" s="376">
        <v>83</v>
      </c>
      <c r="V6" s="376">
        <v>90.1</v>
      </c>
      <c r="W6" s="376">
        <v>116.3</v>
      </c>
      <c r="X6" s="375">
        <f>SUM(T6:W6)</f>
        <v>365</v>
      </c>
      <c r="Y6" s="376">
        <v>147.4</v>
      </c>
      <c r="Z6" s="376">
        <v>153.9</v>
      </c>
      <c r="AA6" s="376">
        <v>165.6</v>
      </c>
      <c r="AB6" s="376">
        <v>167.5</v>
      </c>
      <c r="AC6" s="375">
        <f>SUM(Y6:AB6)</f>
        <v>634.4</v>
      </c>
      <c r="AD6" s="376">
        <v>165.2</v>
      </c>
      <c r="AE6" s="376">
        <v>165.5</v>
      </c>
      <c r="AF6" s="376">
        <v>176.6</v>
      </c>
      <c r="AG6" s="376">
        <v>179.2</v>
      </c>
      <c r="AH6" s="375">
        <f>SUM(AD6:AG6)</f>
        <v>686.5</v>
      </c>
      <c r="AI6" s="376">
        <v>168.2</v>
      </c>
      <c r="AJ6" s="376">
        <v>172.7</v>
      </c>
      <c r="AK6" s="376">
        <v>180.4</v>
      </c>
      <c r="AL6" s="375">
        <f>AL48</f>
        <v>186.68878474402302</v>
      </c>
      <c r="AM6" s="375">
        <f>SUM(AI6:AL6)</f>
        <v>707.98878474402295</v>
      </c>
      <c r="AN6" s="375">
        <f>AN48</f>
        <v>176.64387980277547</v>
      </c>
      <c r="AO6" s="375">
        <f>AO48</f>
        <v>180.56948238506686</v>
      </c>
      <c r="AP6" s="375">
        <f>AP48</f>
        <v>183.96705257121909</v>
      </c>
      <c r="AQ6" s="375">
        <f>AQ48</f>
        <v>189.57877616263576</v>
      </c>
      <c r="AR6" s="375">
        <f>SUM(AN6:AQ6)</f>
        <v>730.75919092169727</v>
      </c>
      <c r="AS6" s="375">
        <f>AS48</f>
        <v>181.53631835181903</v>
      </c>
      <c r="AT6" s="375">
        <f>AT48</f>
        <v>185.16186881521818</v>
      </c>
      <c r="AU6" s="375">
        <f>AU48</f>
        <v>188.72954998790482</v>
      </c>
      <c r="AV6" s="375">
        <f>AV48</f>
        <v>194.39530524245569</v>
      </c>
      <c r="AW6" s="375">
        <f>SUM(AS6:AV6)</f>
        <v>749.82304239739767</v>
      </c>
      <c r="AX6" s="375">
        <f>AX48</f>
        <v>186.82375635438942</v>
      </c>
      <c r="AY6" s="375">
        <f>AY48</f>
        <v>190.0070668889316</v>
      </c>
      <c r="AZ6" s="375">
        <f>AZ48</f>
        <v>193.7334289150661</v>
      </c>
      <c r="BA6" s="375">
        <f>BA48</f>
        <v>199.41487168226394</v>
      </c>
      <c r="BB6" s="375">
        <f>SUM(AX6:BA6)</f>
        <v>769.97912384065103</v>
      </c>
      <c r="BC6" s="375">
        <f>BC48</f>
        <v>192.87498371186177</v>
      </c>
      <c r="BD6" s="375">
        <f>BD48</f>
        <v>195.52122369626991</v>
      </c>
      <c r="BE6" s="375">
        <f>BE48</f>
        <v>199.43877211219251</v>
      </c>
      <c r="BF6" s="375">
        <f>BF48</f>
        <v>205.07894411947203</v>
      </c>
      <c r="BG6" s="375">
        <f>SUM(BC6:BF6)</f>
        <v>792.91392363979617</v>
      </c>
      <c r="BH6" s="375">
        <f>BH48</f>
        <v>199.48288274084976</v>
      </c>
      <c r="BI6" s="375">
        <f>BI48</f>
        <v>201.52293544347583</v>
      </c>
      <c r="BJ6" s="375">
        <f>BJ48</f>
        <v>205.65835982248836</v>
      </c>
      <c r="BK6" s="375">
        <f>BK48</f>
        <v>211.21759200741468</v>
      </c>
      <c r="BL6" s="375">
        <f>SUM(BH6:BK6)</f>
        <v>817.88177001422855</v>
      </c>
    </row>
    <row r="7" spans="1:64">
      <c r="A7" s="5" t="s">
        <v>1815</v>
      </c>
      <c r="J7" s="376">
        <v>157.64599999999999</v>
      </c>
      <c r="K7" s="376">
        <v>156.62700000000001</v>
      </c>
      <c r="L7" s="376">
        <v>166.91800000000001</v>
      </c>
      <c r="M7" s="376">
        <v>165.25200000000001</v>
      </c>
      <c r="N7" s="375">
        <f>SUM(J7:M7)</f>
        <v>646.44299999999998</v>
      </c>
      <c r="O7" s="376">
        <v>164.654</v>
      </c>
      <c r="P7" s="376">
        <v>168.58699999999999</v>
      </c>
      <c r="Q7" s="376">
        <v>196.142</v>
      </c>
      <c r="R7" s="376">
        <v>208.821</v>
      </c>
      <c r="S7" s="375">
        <f>SUM(O7:R7)</f>
        <v>738.20400000000006</v>
      </c>
      <c r="T7" s="376">
        <v>175.1</v>
      </c>
      <c r="U7" s="376">
        <v>177.8</v>
      </c>
      <c r="V7" s="376">
        <v>201.7</v>
      </c>
      <c r="W7" s="376">
        <v>190.2</v>
      </c>
      <c r="X7" s="375">
        <f>SUM(T7:W7)</f>
        <v>744.8</v>
      </c>
      <c r="Y7" s="376">
        <v>195.5</v>
      </c>
      <c r="Z7" s="376">
        <v>192.2</v>
      </c>
      <c r="AA7" s="376">
        <v>213.2</v>
      </c>
      <c r="AB7" s="376">
        <v>208.2</v>
      </c>
      <c r="AC7" s="375">
        <f>SUM(Y7:AB7)</f>
        <v>809.09999999999991</v>
      </c>
      <c r="AD7" s="376">
        <v>194.2</v>
      </c>
      <c r="AE7" s="376">
        <v>194.7</v>
      </c>
      <c r="AF7" s="376">
        <v>212.2</v>
      </c>
      <c r="AG7" s="376">
        <v>189.9</v>
      </c>
      <c r="AH7" s="375">
        <f>SUM(AD7:AG7)</f>
        <v>790.99999999999989</v>
      </c>
      <c r="AI7" s="376">
        <v>195.7</v>
      </c>
      <c r="AJ7" s="376">
        <v>197.7</v>
      </c>
      <c r="AK7" s="376">
        <v>216.8</v>
      </c>
      <c r="AL7" s="375">
        <f>AL39*AL24</f>
        <v>190.19215977499158</v>
      </c>
      <c r="AM7" s="375">
        <f>SUM(AI7:AL7)</f>
        <v>800.39215977499157</v>
      </c>
      <c r="AN7" s="375">
        <f>AN39*AN24</f>
        <v>189.62504009469799</v>
      </c>
      <c r="AO7" s="375">
        <f>AO39*AO24</f>
        <v>198.19823238815334</v>
      </c>
      <c r="AP7" s="375">
        <f>AP39*AP24</f>
        <v>214.84968521070795</v>
      </c>
      <c r="AQ7" s="375">
        <f>AQ39*AQ24</f>
        <v>189.03634527088045</v>
      </c>
      <c r="AR7" s="375">
        <f>SUM(AN7:AQ7)</f>
        <v>791.70930296443976</v>
      </c>
      <c r="AS7" s="375">
        <f>AS39*AS24</f>
        <v>189.21005356019253</v>
      </c>
      <c r="AT7" s="375">
        <f>AT39*AT24</f>
        <v>200.86382274618128</v>
      </c>
      <c r="AU7" s="375">
        <f>AU39*AU24</f>
        <v>217.10576410129264</v>
      </c>
      <c r="AV7" s="375">
        <f>AV39*AV24</f>
        <v>194.01385109121696</v>
      </c>
      <c r="AW7" s="375">
        <f>SUM(AS7:AV7)</f>
        <v>801.1934914988833</v>
      </c>
      <c r="AX7" s="375">
        <f>AX39*AX24</f>
        <v>194.42525342805561</v>
      </c>
      <c r="AY7" s="375">
        <f>AY39*AY24</f>
        <v>204.68850385659374</v>
      </c>
      <c r="AZ7" s="375">
        <f>AZ39*AZ24</f>
        <v>224.11907407139282</v>
      </c>
      <c r="BA7" s="375">
        <f>BA39*BA24</f>
        <v>198.60106997893209</v>
      </c>
      <c r="BB7" s="375">
        <f>SUM(AX7:BA7)</f>
        <v>821.83390133497426</v>
      </c>
      <c r="BC7" s="375">
        <f>BC39*BC24</f>
        <v>199.33588779632549</v>
      </c>
      <c r="BD7" s="375">
        <f>BD39*BD24</f>
        <v>211.01814740752096</v>
      </c>
      <c r="BE7" s="375">
        <f>BE39*BE24</f>
        <v>229.80921180733046</v>
      </c>
      <c r="BF7" s="375">
        <f>BF39*BF24</f>
        <v>204.76562971462553</v>
      </c>
      <c r="BG7" s="375">
        <f>SUM(BC7:BF7)</f>
        <v>844.92887672580252</v>
      </c>
      <c r="BH7" s="375">
        <f>BH39*BH24</f>
        <v>204.50919778040316</v>
      </c>
      <c r="BI7" s="375">
        <f>BI39*BI24</f>
        <v>215.91207065580261</v>
      </c>
      <c r="BJ7" s="375">
        <f>BJ39*BJ24</f>
        <v>235.80821593680506</v>
      </c>
      <c r="BK7" s="375">
        <f>BK39*BK24</f>
        <v>209.53745670627765</v>
      </c>
      <c r="BL7" s="375">
        <f>SUM(BH7:BK7)</f>
        <v>865.76694107928847</v>
      </c>
    </row>
    <row r="8" spans="1:64">
      <c r="A8" s="5" t="s">
        <v>1816</v>
      </c>
      <c r="J8" s="375"/>
      <c r="K8" s="375"/>
      <c r="L8" s="375"/>
      <c r="M8" s="375"/>
      <c r="N8" s="375"/>
      <c r="O8" s="375"/>
      <c r="P8" s="375"/>
      <c r="Q8" s="375"/>
      <c r="R8" s="375"/>
      <c r="S8" s="375"/>
      <c r="T8" s="376">
        <v>20.7</v>
      </c>
      <c r="U8" s="376">
        <v>20.100000000000001</v>
      </c>
      <c r="V8" s="376">
        <v>22.2</v>
      </c>
      <c r="W8" s="376">
        <v>22.6</v>
      </c>
      <c r="X8" s="375">
        <f>SUM(T8:W8)</f>
        <v>85.6</v>
      </c>
      <c r="Y8" s="376">
        <v>16.2</v>
      </c>
      <c r="Z8" s="376">
        <v>17.100000000000001</v>
      </c>
      <c r="AA8" s="376">
        <v>14.7</v>
      </c>
      <c r="AB8" s="376">
        <v>15.1</v>
      </c>
      <c r="AC8" s="375">
        <f>SUM(Y8:AB8)</f>
        <v>63.1</v>
      </c>
      <c r="AD8" s="376">
        <v>17.3</v>
      </c>
      <c r="AE8" s="376">
        <v>20.100000000000001</v>
      </c>
      <c r="AF8" s="376">
        <v>19.399999999999999</v>
      </c>
      <c r="AG8" s="376">
        <v>21.7</v>
      </c>
      <c r="AH8" s="375">
        <f>SUM(AD8:AG8)</f>
        <v>78.5</v>
      </c>
      <c r="AI8" s="376">
        <v>19.5</v>
      </c>
      <c r="AJ8" s="376">
        <v>20.5</v>
      </c>
      <c r="AK8" s="376">
        <v>22.9</v>
      </c>
      <c r="AL8" s="377">
        <v>22.5</v>
      </c>
      <c r="AM8" s="375">
        <f>SUM(AI8:AL8)</f>
        <v>85.4</v>
      </c>
      <c r="AN8" s="377">
        <f>AI8*1.05</f>
        <v>20.475000000000001</v>
      </c>
      <c r="AO8" s="377">
        <f>AJ8*1.05</f>
        <v>21.525000000000002</v>
      </c>
      <c r="AP8" s="377">
        <f>AK8*1.05</f>
        <v>24.044999999999998</v>
      </c>
      <c r="AQ8" s="377">
        <f>AL8*1.05</f>
        <v>23.625</v>
      </c>
      <c r="AR8" s="375">
        <f>SUM(AN8:AQ8)</f>
        <v>89.67</v>
      </c>
      <c r="AS8" s="377">
        <f>AN8*1.05</f>
        <v>21.498750000000001</v>
      </c>
      <c r="AT8" s="377">
        <f>AO8*1.05</f>
        <v>22.601250000000004</v>
      </c>
      <c r="AU8" s="377">
        <f>AP8*1.05</f>
        <v>25.247249999999998</v>
      </c>
      <c r="AV8" s="377">
        <f>AQ8*1.05</f>
        <v>24.806250000000002</v>
      </c>
      <c r="AW8" s="375">
        <f>SUM(AS8:AV8)</f>
        <v>94.153500000000008</v>
      </c>
      <c r="AX8" s="377">
        <f>AS8*1.05</f>
        <v>22.573687500000002</v>
      </c>
      <c r="AY8" s="377">
        <f>AT8*1.05</f>
        <v>23.731312500000005</v>
      </c>
      <c r="AZ8" s="377">
        <f>AU8*1.05</f>
        <v>26.509612499999999</v>
      </c>
      <c r="BA8" s="377">
        <f>AV8*1.05</f>
        <v>26.046562500000004</v>
      </c>
      <c r="BB8" s="375">
        <f>SUM(AX8:BA8)</f>
        <v>98.861175000000017</v>
      </c>
      <c r="BC8" s="377">
        <f>AX8*1.05</f>
        <v>23.702371875000004</v>
      </c>
      <c r="BD8" s="377">
        <f>AY8*1.05</f>
        <v>24.917878125000005</v>
      </c>
      <c r="BE8" s="377">
        <f>AZ8*1.05</f>
        <v>27.835093125</v>
      </c>
      <c r="BF8" s="377">
        <f>BA8*1.05</f>
        <v>27.348890625000006</v>
      </c>
      <c r="BG8" s="375">
        <f>SUM(BC8:BF8)</f>
        <v>103.80423375000002</v>
      </c>
      <c r="BH8" s="377">
        <f>BC8*1.05</f>
        <v>24.887490468750006</v>
      </c>
      <c r="BI8" s="377">
        <f>BD8*1.05</f>
        <v>26.163772031250005</v>
      </c>
      <c r="BJ8" s="377">
        <f>BE8*1.05</f>
        <v>29.226847781250001</v>
      </c>
      <c r="BK8" s="377">
        <f>BF8*1.05</f>
        <v>28.716335156250008</v>
      </c>
      <c r="BL8" s="375">
        <f>SUM(BH8:BK8)</f>
        <v>108.99444543750002</v>
      </c>
    </row>
    <row r="9" spans="1:64">
      <c r="A9" s="5" t="s">
        <v>711</v>
      </c>
      <c r="J9" s="375">
        <f t="shared" ref="J9:AK9" si="0">J10-SUM(J6:J8)</f>
        <v>1.5940000000000225</v>
      </c>
      <c r="K9" s="375">
        <f t="shared" si="0"/>
        <v>1.3019999999999925</v>
      </c>
      <c r="L9" s="375">
        <f t="shared" si="0"/>
        <v>1.6100000000000136</v>
      </c>
      <c r="M9" s="375">
        <f t="shared" si="0"/>
        <v>1.5959999999999752</v>
      </c>
      <c r="N9" s="375">
        <f t="shared" si="0"/>
        <v>6.1019999999999754</v>
      </c>
      <c r="O9" s="375">
        <f t="shared" si="0"/>
        <v>1.3849999999999909</v>
      </c>
      <c r="P9" s="375">
        <f t="shared" si="0"/>
        <v>1.0939999999999941</v>
      </c>
      <c r="Q9" s="375">
        <f t="shared" si="0"/>
        <v>1.3480000000000132</v>
      </c>
      <c r="R9" s="375">
        <f t="shared" si="0"/>
        <v>0.97700000000003229</v>
      </c>
      <c r="S9" s="375">
        <f t="shared" si="0"/>
        <v>4.8040000000000873</v>
      </c>
      <c r="T9" s="375">
        <f t="shared" si="0"/>
        <v>2.5</v>
      </c>
      <c r="U9" s="375">
        <f t="shared" si="0"/>
        <v>2.3999999999999773</v>
      </c>
      <c r="V9" s="375">
        <f t="shared" si="0"/>
        <v>2.6000000000000796</v>
      </c>
      <c r="W9" s="375">
        <f t="shared" si="0"/>
        <v>2.8999999999999773</v>
      </c>
      <c r="X9" s="375">
        <f t="shared" si="0"/>
        <v>10.400000000000318</v>
      </c>
      <c r="Y9" s="375">
        <f t="shared" si="0"/>
        <v>3.2000000000000455</v>
      </c>
      <c r="Z9" s="375">
        <f t="shared" si="0"/>
        <v>3.1999999999999318</v>
      </c>
      <c r="AA9" s="375">
        <f t="shared" si="0"/>
        <v>4.1000000000000796</v>
      </c>
      <c r="AB9" s="375">
        <f t="shared" si="0"/>
        <v>4.3999999999999773</v>
      </c>
      <c r="AC9" s="375">
        <f t="shared" si="0"/>
        <v>14.900000000000318</v>
      </c>
      <c r="AD9" s="375">
        <f t="shared" si="0"/>
        <v>1.4000000000000341</v>
      </c>
      <c r="AE9" s="375">
        <f t="shared" si="0"/>
        <v>1.5</v>
      </c>
      <c r="AF9" s="375">
        <f t="shared" si="0"/>
        <v>1.5000000000000568</v>
      </c>
      <c r="AG9" s="375">
        <f t="shared" si="0"/>
        <v>1.3000000000000114</v>
      </c>
      <c r="AH9" s="375">
        <f t="shared" si="0"/>
        <v>5.7000000000002728</v>
      </c>
      <c r="AI9" s="375">
        <f t="shared" si="0"/>
        <v>1.8000000000000114</v>
      </c>
      <c r="AJ9" s="375">
        <f t="shared" si="0"/>
        <v>1.8000000000000114</v>
      </c>
      <c r="AK9" s="375">
        <f t="shared" si="0"/>
        <v>1.5999999999999659</v>
      </c>
      <c r="AL9" s="377">
        <v>1.5</v>
      </c>
      <c r="AM9" s="375">
        <f>SUM(AI9:AL9)</f>
        <v>6.6999999999999886</v>
      </c>
      <c r="AN9" s="377">
        <v>2</v>
      </c>
      <c r="AO9" s="377">
        <v>2</v>
      </c>
      <c r="AP9" s="377">
        <v>2</v>
      </c>
      <c r="AQ9" s="377">
        <v>2</v>
      </c>
      <c r="AR9" s="375">
        <f>SUM(AN9:AQ9)</f>
        <v>8</v>
      </c>
      <c r="AS9" s="377">
        <v>2</v>
      </c>
      <c r="AT9" s="377">
        <v>2</v>
      </c>
      <c r="AU9" s="377">
        <v>2</v>
      </c>
      <c r="AV9" s="377">
        <v>2</v>
      </c>
      <c r="AW9" s="375">
        <f>SUM(AS9:AV9)</f>
        <v>8</v>
      </c>
      <c r="AX9" s="377">
        <v>2</v>
      </c>
      <c r="AY9" s="377">
        <v>2</v>
      </c>
      <c r="AZ9" s="377">
        <v>2</v>
      </c>
      <c r="BA9" s="377">
        <v>2</v>
      </c>
      <c r="BB9" s="375">
        <f>SUM(AX9:BA9)</f>
        <v>8</v>
      </c>
      <c r="BC9" s="377">
        <v>2</v>
      </c>
      <c r="BD9" s="377">
        <v>2</v>
      </c>
      <c r="BE9" s="377">
        <v>2</v>
      </c>
      <c r="BF9" s="377">
        <v>2</v>
      </c>
      <c r="BG9" s="375">
        <f>SUM(BC9:BF9)</f>
        <v>8</v>
      </c>
      <c r="BH9" s="377">
        <v>2</v>
      </c>
      <c r="BI9" s="377">
        <v>2</v>
      </c>
      <c r="BJ9" s="377">
        <v>2</v>
      </c>
      <c r="BK9" s="377">
        <v>2</v>
      </c>
      <c r="BL9" s="375">
        <f>SUM(BH9:BK9)</f>
        <v>8</v>
      </c>
    </row>
    <row r="10" spans="1:64">
      <c r="A10" s="9" t="s">
        <v>1817</v>
      </c>
      <c r="B10" s="9"/>
      <c r="C10" s="9"/>
      <c r="D10" s="9"/>
      <c r="E10" s="9"/>
      <c r="F10" s="9"/>
      <c r="G10" s="9"/>
      <c r="H10" s="9"/>
      <c r="I10" s="9"/>
      <c r="J10" s="395">
        <v>231.1</v>
      </c>
      <c r="K10" s="395">
        <v>232.69</v>
      </c>
      <c r="L10" s="395">
        <v>244.29300000000001</v>
      </c>
      <c r="M10" s="395">
        <v>246.34299999999999</v>
      </c>
      <c r="N10" s="378">
        <f>SUM(J10:M10)</f>
        <v>954.42599999999993</v>
      </c>
      <c r="O10" s="395">
        <v>238.63399999999999</v>
      </c>
      <c r="P10" s="395">
        <v>245.51</v>
      </c>
      <c r="Q10" s="395">
        <v>275.46899999999999</v>
      </c>
      <c r="R10" s="395">
        <v>293.32900000000001</v>
      </c>
      <c r="S10" s="378">
        <f>SUM(O10:R10)</f>
        <v>1052.942</v>
      </c>
      <c r="T10" s="395">
        <v>273.89999999999998</v>
      </c>
      <c r="U10" s="395">
        <v>283.3</v>
      </c>
      <c r="V10" s="395">
        <v>316.60000000000002</v>
      </c>
      <c r="W10" s="395">
        <v>332</v>
      </c>
      <c r="X10" s="378">
        <f>SUM(T10:W10)</f>
        <v>1205.8000000000002</v>
      </c>
      <c r="Y10" s="395">
        <v>362.3</v>
      </c>
      <c r="Z10" s="395">
        <v>366.4</v>
      </c>
      <c r="AA10" s="395">
        <v>397.6</v>
      </c>
      <c r="AB10" s="395">
        <v>395.2</v>
      </c>
      <c r="AC10" s="378">
        <f>SUM(Y10:AB10)</f>
        <v>1521.5000000000002</v>
      </c>
      <c r="AD10" s="395">
        <v>378.1</v>
      </c>
      <c r="AE10" s="395">
        <v>381.8</v>
      </c>
      <c r="AF10" s="395">
        <v>409.7</v>
      </c>
      <c r="AG10" s="395">
        <v>392.1</v>
      </c>
      <c r="AH10" s="378">
        <f>SUM(AD10:AG10)</f>
        <v>1561.7000000000003</v>
      </c>
      <c r="AI10" s="395">
        <v>385.2</v>
      </c>
      <c r="AJ10" s="395">
        <v>392.7</v>
      </c>
      <c r="AK10" s="395">
        <v>421.7</v>
      </c>
      <c r="AL10" s="378">
        <f>SUM(AL6:AL9)</f>
        <v>400.88094451901463</v>
      </c>
      <c r="AM10" s="378">
        <f>SUM(AI10:AL10)</f>
        <v>1600.4809445190144</v>
      </c>
      <c r="AN10" s="378">
        <f t="shared" ref="AN10:AQ10" si="1">SUM(AN6:AN9)</f>
        <v>388.74391989747346</v>
      </c>
      <c r="AO10" s="378">
        <f t="shared" si="1"/>
        <v>402.29271477322015</v>
      </c>
      <c r="AP10" s="378">
        <f t="shared" si="1"/>
        <v>424.86173778192705</v>
      </c>
      <c r="AQ10" s="378">
        <f t="shared" si="1"/>
        <v>404.24012143351621</v>
      </c>
      <c r="AR10" s="378">
        <f>SUM(AN10:AQ10)</f>
        <v>1620.1384938861368</v>
      </c>
      <c r="AS10" s="378">
        <f t="shared" ref="AS10:AV10" si="2">SUM(AS6:AS9)</f>
        <v>394.24512191201154</v>
      </c>
      <c r="AT10" s="378">
        <f t="shared" si="2"/>
        <v>410.62694156139946</v>
      </c>
      <c r="AU10" s="378">
        <f t="shared" si="2"/>
        <v>433.08256408919749</v>
      </c>
      <c r="AV10" s="378">
        <f t="shared" si="2"/>
        <v>415.2154063336726</v>
      </c>
      <c r="AW10" s="378">
        <f>SUM(AS10:AV10)</f>
        <v>1653.170033896281</v>
      </c>
      <c r="AX10" s="378">
        <f t="shared" ref="AX10:BA10" si="3">SUM(AX6:AX9)</f>
        <v>405.82269728244501</v>
      </c>
      <c r="AY10" s="378">
        <f t="shared" si="3"/>
        <v>420.42688324552535</v>
      </c>
      <c r="AZ10" s="378">
        <f t="shared" si="3"/>
        <v>446.36211548645895</v>
      </c>
      <c r="BA10" s="378">
        <f t="shared" si="3"/>
        <v>426.06250416119605</v>
      </c>
      <c r="BB10" s="378">
        <f>SUM(AX10:BA10)</f>
        <v>1698.6742001756254</v>
      </c>
      <c r="BC10" s="378">
        <f t="shared" ref="BC10:BF10" si="4">SUM(BC6:BC9)</f>
        <v>417.91324338318725</v>
      </c>
      <c r="BD10" s="378">
        <f t="shared" si="4"/>
        <v>433.45724922879089</v>
      </c>
      <c r="BE10" s="378">
        <f t="shared" si="4"/>
        <v>459.08307704452301</v>
      </c>
      <c r="BF10" s="378">
        <f t="shared" si="4"/>
        <v>439.19346445909758</v>
      </c>
      <c r="BG10" s="378">
        <f>SUM(BC10:BF10)</f>
        <v>1749.6470341155987</v>
      </c>
      <c r="BH10" s="378">
        <f t="shared" ref="BH10:BK10" si="5">SUM(BH6:BH9)</f>
        <v>430.87957099000289</v>
      </c>
      <c r="BI10" s="378">
        <f t="shared" si="5"/>
        <v>445.59877813052844</v>
      </c>
      <c r="BJ10" s="378">
        <f t="shared" si="5"/>
        <v>472.69342354054339</v>
      </c>
      <c r="BK10" s="378">
        <f t="shared" si="5"/>
        <v>451.47138386994231</v>
      </c>
      <c r="BL10" s="378">
        <f>SUM(BH10:BK10)</f>
        <v>1800.6431565310172</v>
      </c>
    </row>
    <row r="12" spans="1:64">
      <c r="A12" s="3" t="s">
        <v>1663</v>
      </c>
    </row>
    <row r="13" spans="1:64">
      <c r="A13" s="5" t="s">
        <v>1814</v>
      </c>
      <c r="O13" s="16">
        <f t="shared" ref="O13:BL17" si="6">O6/J6-1</f>
        <v>1.0228221541886962E-2</v>
      </c>
      <c r="P13" s="16">
        <f t="shared" si="6"/>
        <v>1.4285523200599171E-2</v>
      </c>
      <c r="Q13" s="16">
        <f t="shared" si="6"/>
        <v>2.9221936250247493E-2</v>
      </c>
      <c r="R13" s="16">
        <f t="shared" si="6"/>
        <v>5.0770488709981798E-2</v>
      </c>
      <c r="S13" s="16">
        <f t="shared" si="6"/>
        <v>2.6676074347176559E-2</v>
      </c>
      <c r="T13" s="16">
        <f t="shared" si="6"/>
        <v>4.139403540188713E-2</v>
      </c>
      <c r="U13" s="16">
        <f t="shared" si="6"/>
        <v>9.4568041250708834E-2</v>
      </c>
      <c r="V13" s="16">
        <f t="shared" si="6"/>
        <v>0.15543928493568782</v>
      </c>
      <c r="W13" s="16">
        <f t="shared" si="6"/>
        <v>0.39229747040021046</v>
      </c>
      <c r="X13" s="16">
        <f t="shared" si="6"/>
        <v>0.17767008459865652</v>
      </c>
      <c r="Y13" s="16">
        <f t="shared" si="6"/>
        <v>0.94973544973544999</v>
      </c>
      <c r="Z13" s="16">
        <f t="shared" si="6"/>
        <v>0.85421686746987957</v>
      </c>
      <c r="AA13" s="16">
        <f t="shared" si="6"/>
        <v>0.83795782463928981</v>
      </c>
      <c r="AB13" s="16">
        <f t="shared" si="6"/>
        <v>0.44024075666380047</v>
      </c>
      <c r="AC13" s="16">
        <f t="shared" si="6"/>
        <v>0.73808219178082179</v>
      </c>
      <c r="AD13" s="16">
        <f t="shared" si="6"/>
        <v>0.12075983717774741</v>
      </c>
      <c r="AE13" s="16">
        <f t="shared" si="6"/>
        <v>7.5373619233268352E-2</v>
      </c>
      <c r="AF13" s="16">
        <f t="shared" si="6"/>
        <v>6.6425120772946933E-2</v>
      </c>
      <c r="AG13" s="16">
        <f t="shared" si="6"/>
        <v>6.9850746268656616E-2</v>
      </c>
      <c r="AH13" s="16">
        <f t="shared" si="6"/>
        <v>8.2124842370744133E-2</v>
      </c>
      <c r="AI13" s="16">
        <f t="shared" si="6"/>
        <v>1.8159806295399594E-2</v>
      </c>
      <c r="AJ13" s="16">
        <f t="shared" si="6"/>
        <v>4.3504531722054374E-2</v>
      </c>
      <c r="AK13" s="16">
        <f t="shared" si="6"/>
        <v>2.1517553793884536E-2</v>
      </c>
      <c r="AL13" s="16">
        <f t="shared" si="6"/>
        <v>4.1790093437628517E-2</v>
      </c>
      <c r="AM13" s="16">
        <f t="shared" si="6"/>
        <v>3.1301944273886217E-2</v>
      </c>
      <c r="AN13" s="16">
        <f t="shared" si="6"/>
        <v>5.0201425700211022E-2</v>
      </c>
      <c r="AO13" s="16">
        <f t="shared" si="6"/>
        <v>4.5567356022390815E-2</v>
      </c>
      <c r="AP13" s="16">
        <f t="shared" si="6"/>
        <v>1.977301868746717E-2</v>
      </c>
      <c r="AQ13" s="16">
        <f t="shared" si="6"/>
        <v>1.5480262633748021E-2</v>
      </c>
      <c r="AR13" s="16">
        <f t="shared" si="6"/>
        <v>3.2162100118446224E-2</v>
      </c>
      <c r="AS13" s="16">
        <f t="shared" si="6"/>
        <v>2.769662076323276E-2</v>
      </c>
      <c r="AT13" s="16">
        <f t="shared" si="6"/>
        <v>2.5432793900123096E-2</v>
      </c>
      <c r="AU13" s="16">
        <f t="shared" si="6"/>
        <v>2.588777365361139E-2</v>
      </c>
      <c r="AV13" s="16">
        <f t="shared" si="6"/>
        <v>2.5406478390217702E-2</v>
      </c>
      <c r="AW13" s="16">
        <f t="shared" si="6"/>
        <v>2.6087734116153172E-2</v>
      </c>
      <c r="AX13" s="16">
        <f t="shared" si="6"/>
        <v>2.9126061663998781E-2</v>
      </c>
      <c r="AY13" s="16">
        <f t="shared" si="6"/>
        <v>2.6167364288965267E-2</v>
      </c>
      <c r="AZ13" s="16">
        <f t="shared" si="6"/>
        <v>2.6513489421672309E-2</v>
      </c>
      <c r="BA13" s="16">
        <f t="shared" si="6"/>
        <v>2.582143860700592E-2</v>
      </c>
      <c r="BB13" s="16">
        <f t="shared" si="6"/>
        <v>2.6881117681858191E-2</v>
      </c>
      <c r="BC13" s="16">
        <f t="shared" si="6"/>
        <v>3.2390031522509855E-2</v>
      </c>
      <c r="BD13" s="16">
        <f t="shared" si="6"/>
        <v>2.9020798529360015E-2</v>
      </c>
      <c r="BE13" s="16">
        <f t="shared" si="6"/>
        <v>2.9449451388318115E-2</v>
      </c>
      <c r="BF13" s="16">
        <f t="shared" si="6"/>
        <v>2.8403460531433611E-2</v>
      </c>
      <c r="BG13" s="16">
        <f t="shared" si="6"/>
        <v>2.9786261846615369E-2</v>
      </c>
      <c r="BH13" s="16">
        <f t="shared" si="6"/>
        <v>3.4260010820582165E-2</v>
      </c>
      <c r="BI13" s="16">
        <f t="shared" si="6"/>
        <v>3.0695960437160608E-2</v>
      </c>
      <c r="BJ13" s="16">
        <f t="shared" si="6"/>
        <v>3.1185449270601628E-2</v>
      </c>
      <c r="BK13" s="16">
        <f t="shared" si="6"/>
        <v>2.9933096809619197E-2</v>
      </c>
      <c r="BL13" s="16">
        <f t="shared" si="6"/>
        <v>3.1488722331700192E-2</v>
      </c>
    </row>
    <row r="14" spans="1:64">
      <c r="A14" s="5" t="s">
        <v>1815</v>
      </c>
      <c r="O14" s="16">
        <f t="shared" si="6"/>
        <v>4.445402991512637E-2</v>
      </c>
      <c r="P14" s="16">
        <f t="shared" si="6"/>
        <v>7.6359759173067143E-2</v>
      </c>
      <c r="Q14" s="16">
        <f t="shared" si="6"/>
        <v>0.17507997939107822</v>
      </c>
      <c r="R14" s="16">
        <f t="shared" si="6"/>
        <v>0.26365187713310578</v>
      </c>
      <c r="S14" s="16">
        <f t="shared" si="6"/>
        <v>0.14194754989999137</v>
      </c>
      <c r="T14" s="16">
        <f t="shared" si="6"/>
        <v>6.3442127127187886E-2</v>
      </c>
      <c r="U14" s="16">
        <f t="shared" si="6"/>
        <v>5.4648341805714651E-2</v>
      </c>
      <c r="V14" s="16">
        <f t="shared" si="6"/>
        <v>2.8336613269977828E-2</v>
      </c>
      <c r="W14" s="16">
        <f t="shared" si="6"/>
        <v>-8.9172066027842112E-2</v>
      </c>
      <c r="X14" s="16">
        <f t="shared" si="6"/>
        <v>8.9351994841533333E-3</v>
      </c>
      <c r="Y14" s="16">
        <f t="shared" si="6"/>
        <v>0.11650485436893199</v>
      </c>
      <c r="Z14" s="16">
        <f t="shared" si="6"/>
        <v>8.0989876265466609E-2</v>
      </c>
      <c r="AA14" s="16">
        <f t="shared" si="6"/>
        <v>5.7015369360436274E-2</v>
      </c>
      <c r="AB14" s="16">
        <f t="shared" si="6"/>
        <v>9.4637223974763485E-2</v>
      </c>
      <c r="AC14" s="16">
        <f t="shared" si="6"/>
        <v>8.6331901181525117E-2</v>
      </c>
      <c r="AD14" s="16">
        <f t="shared" si="6"/>
        <v>-6.6496163682865372E-3</v>
      </c>
      <c r="AE14" s="16">
        <f t="shared" si="6"/>
        <v>1.3007284079084247E-2</v>
      </c>
      <c r="AF14" s="16">
        <f t="shared" si="6"/>
        <v>-4.6904315196998336E-3</v>
      </c>
      <c r="AG14" s="16">
        <f t="shared" si="6"/>
        <v>-8.7896253602305352E-2</v>
      </c>
      <c r="AH14" s="16">
        <f t="shared" si="6"/>
        <v>-2.2370535162526295E-2</v>
      </c>
      <c r="AI14" s="16">
        <f t="shared" si="6"/>
        <v>7.7239958805355169E-3</v>
      </c>
      <c r="AJ14" s="16">
        <f t="shared" si="6"/>
        <v>1.5408320493066174E-2</v>
      </c>
      <c r="AK14" s="16">
        <f t="shared" si="6"/>
        <v>2.1677662582469504E-2</v>
      </c>
      <c r="AL14" s="16">
        <f t="shared" si="6"/>
        <v>1.5384927593027342E-3</v>
      </c>
      <c r="AM14" s="16">
        <f t="shared" si="6"/>
        <v>1.1873779740823931E-2</v>
      </c>
      <c r="AN14" s="16">
        <f t="shared" si="6"/>
        <v>-3.1042206976504838E-2</v>
      </c>
      <c r="AO14" s="16">
        <f t="shared" si="6"/>
        <v>2.520143592075641E-3</v>
      </c>
      <c r="AP14" s="16">
        <f t="shared" si="6"/>
        <v>-8.9959169247788573E-3</v>
      </c>
      <c r="AQ14" s="16">
        <f t="shared" si="6"/>
        <v>-6.0770880644004377E-3</v>
      </c>
      <c r="AR14" s="16">
        <f t="shared" si="6"/>
        <v>-1.084825320252103E-2</v>
      </c>
      <c r="AS14" s="16">
        <f t="shared" si="6"/>
        <v>-2.1884585194983375E-3</v>
      </c>
      <c r="AT14" s="16">
        <f t="shared" si="6"/>
        <v>1.3449112668207919E-2</v>
      </c>
      <c r="AU14" s="16">
        <f t="shared" si="6"/>
        <v>1.0500731655120221E-2</v>
      </c>
      <c r="AV14" s="16">
        <f t="shared" si="6"/>
        <v>2.6330946110939557E-2</v>
      </c>
      <c r="AW14" s="16">
        <f t="shared" si="6"/>
        <v>1.1979382456327681E-2</v>
      </c>
      <c r="AX14" s="16">
        <f t="shared" si="6"/>
        <v>2.7563016709384325E-2</v>
      </c>
      <c r="AY14" s="16">
        <f t="shared" si="6"/>
        <v>1.9041164596600657E-2</v>
      </c>
      <c r="AZ14" s="16">
        <f t="shared" si="6"/>
        <v>3.2303656234700773E-2</v>
      </c>
      <c r="BA14" s="16">
        <f t="shared" si="6"/>
        <v>2.3643770080922888E-2</v>
      </c>
      <c r="BB14" s="16">
        <f t="shared" si="6"/>
        <v>2.5762078767610275E-2</v>
      </c>
      <c r="BC14" s="16">
        <f t="shared" si="6"/>
        <v>2.525718383639397E-2</v>
      </c>
      <c r="BD14" s="16">
        <f t="shared" si="6"/>
        <v>3.0923297750819589E-2</v>
      </c>
      <c r="BE14" s="16">
        <f t="shared" si="6"/>
        <v>2.5388904355927666E-2</v>
      </c>
      <c r="BF14" s="16">
        <f t="shared" si="6"/>
        <v>3.1039912002223335E-2</v>
      </c>
      <c r="BG14" s="16">
        <f t="shared" si="6"/>
        <v>2.8101755541251272E-2</v>
      </c>
      <c r="BH14" s="16">
        <f t="shared" si="6"/>
        <v>2.5952727535764053E-2</v>
      </c>
      <c r="BI14" s="16">
        <f t="shared" si="6"/>
        <v>2.3191954381205138E-2</v>
      </c>
      <c r="BJ14" s="16">
        <f t="shared" si="6"/>
        <v>2.6104280512933009E-2</v>
      </c>
      <c r="BK14" s="16">
        <f t="shared" si="6"/>
        <v>2.3303847419620327E-2</v>
      </c>
      <c r="BL14" s="16">
        <f t="shared" si="6"/>
        <v>2.4662507019804769E-2</v>
      </c>
    </row>
    <row r="15" spans="1:64">
      <c r="A15" s="5" t="s">
        <v>1816</v>
      </c>
      <c r="O15" s="16"/>
      <c r="P15" s="16"/>
      <c r="Q15" s="16"/>
      <c r="R15" s="16"/>
      <c r="S15" s="16"/>
      <c r="T15" s="16"/>
      <c r="U15" s="16"/>
      <c r="V15" s="16"/>
      <c r="W15" s="16"/>
      <c r="X15" s="16"/>
      <c r="Y15" s="16">
        <f t="shared" si="6"/>
        <v>-0.21739130434782605</v>
      </c>
      <c r="Z15" s="16">
        <f t="shared" si="6"/>
        <v>-0.14925373134328357</v>
      </c>
      <c r="AA15" s="16">
        <f t="shared" si="6"/>
        <v>-0.33783783783783783</v>
      </c>
      <c r="AB15" s="16">
        <f t="shared" si="6"/>
        <v>-0.33185840707964609</v>
      </c>
      <c r="AC15" s="16">
        <f t="shared" si="6"/>
        <v>-0.26285046728971961</v>
      </c>
      <c r="AD15" s="16">
        <f t="shared" si="6"/>
        <v>6.7901234567901314E-2</v>
      </c>
      <c r="AE15" s="16">
        <f t="shared" si="6"/>
        <v>0.17543859649122795</v>
      </c>
      <c r="AF15" s="16">
        <f t="shared" si="6"/>
        <v>0.3197278911564625</v>
      </c>
      <c r="AG15" s="16">
        <f t="shared" si="6"/>
        <v>0.4370860927152318</v>
      </c>
      <c r="AH15" s="16">
        <f t="shared" si="6"/>
        <v>0.24405705229793972</v>
      </c>
      <c r="AI15" s="16">
        <f t="shared" si="6"/>
        <v>0.12716763005780352</v>
      </c>
      <c r="AJ15" s="16">
        <f t="shared" si="6"/>
        <v>1.990049751243772E-2</v>
      </c>
      <c r="AK15" s="16">
        <f t="shared" si="6"/>
        <v>0.18041237113402064</v>
      </c>
      <c r="AL15" s="16">
        <f t="shared" si="6"/>
        <v>3.6866359447004671E-2</v>
      </c>
      <c r="AM15" s="16">
        <f t="shared" si="6"/>
        <v>8.7898089171974503E-2</v>
      </c>
      <c r="AN15" s="16">
        <f t="shared" si="6"/>
        <v>5.0000000000000044E-2</v>
      </c>
      <c r="AO15" s="16">
        <f t="shared" si="6"/>
        <v>5.0000000000000044E-2</v>
      </c>
      <c r="AP15" s="16">
        <f t="shared" si="6"/>
        <v>5.0000000000000044E-2</v>
      </c>
      <c r="AQ15" s="16">
        <f t="shared" si="6"/>
        <v>5.0000000000000044E-2</v>
      </c>
      <c r="AR15" s="16">
        <f t="shared" si="6"/>
        <v>5.0000000000000044E-2</v>
      </c>
      <c r="AS15" s="16">
        <f t="shared" si="6"/>
        <v>5.0000000000000044E-2</v>
      </c>
      <c r="AT15" s="16">
        <f t="shared" si="6"/>
        <v>5.0000000000000044E-2</v>
      </c>
      <c r="AU15" s="16">
        <f t="shared" si="6"/>
        <v>5.0000000000000044E-2</v>
      </c>
      <c r="AV15" s="16">
        <f t="shared" si="6"/>
        <v>5.0000000000000044E-2</v>
      </c>
      <c r="AW15" s="16">
        <f t="shared" si="6"/>
        <v>5.0000000000000044E-2</v>
      </c>
      <c r="AX15" s="16">
        <f t="shared" si="6"/>
        <v>5.0000000000000044E-2</v>
      </c>
      <c r="AY15" s="16">
        <f t="shared" si="6"/>
        <v>5.0000000000000044E-2</v>
      </c>
      <c r="AZ15" s="16">
        <f t="shared" si="6"/>
        <v>5.0000000000000044E-2</v>
      </c>
      <c r="BA15" s="16">
        <f t="shared" si="6"/>
        <v>5.0000000000000044E-2</v>
      </c>
      <c r="BB15" s="16">
        <f t="shared" si="6"/>
        <v>5.0000000000000044E-2</v>
      </c>
      <c r="BC15" s="16">
        <f t="shared" si="6"/>
        <v>5.0000000000000044E-2</v>
      </c>
      <c r="BD15" s="16">
        <f t="shared" si="6"/>
        <v>5.0000000000000044E-2</v>
      </c>
      <c r="BE15" s="16">
        <f t="shared" si="6"/>
        <v>5.0000000000000044E-2</v>
      </c>
      <c r="BF15" s="16">
        <f t="shared" si="6"/>
        <v>5.0000000000000044E-2</v>
      </c>
      <c r="BG15" s="16">
        <f t="shared" si="6"/>
        <v>5.0000000000000044E-2</v>
      </c>
      <c r="BH15" s="16">
        <f t="shared" si="6"/>
        <v>5.0000000000000044E-2</v>
      </c>
      <c r="BI15" s="16">
        <f t="shared" si="6"/>
        <v>5.0000000000000044E-2</v>
      </c>
      <c r="BJ15" s="16">
        <f t="shared" si="6"/>
        <v>5.0000000000000044E-2</v>
      </c>
      <c r="BK15" s="16">
        <f t="shared" si="6"/>
        <v>5.0000000000000044E-2</v>
      </c>
      <c r="BL15" s="16">
        <f t="shared" si="6"/>
        <v>5.0000000000000044E-2</v>
      </c>
    </row>
    <row r="16" spans="1:64">
      <c r="A16" s="5" t="s">
        <v>711</v>
      </c>
      <c r="O16" s="16">
        <f t="shared" ref="O16:X17" si="7">O9/J9-1</f>
        <v>-0.13111668757843709</v>
      </c>
      <c r="P16" s="16">
        <f t="shared" si="7"/>
        <v>-0.15975422427035302</v>
      </c>
      <c r="Q16" s="16">
        <f t="shared" si="7"/>
        <v>-0.16273291925465727</v>
      </c>
      <c r="R16" s="16">
        <f t="shared" si="7"/>
        <v>-0.38784461152879235</v>
      </c>
      <c r="S16" s="16">
        <f t="shared" si="7"/>
        <v>-0.21271714192066427</v>
      </c>
      <c r="T16" s="16">
        <f t="shared" si="7"/>
        <v>0.80505415162456062</v>
      </c>
      <c r="U16" s="16">
        <f t="shared" si="7"/>
        <v>1.1937842778793328</v>
      </c>
      <c r="V16" s="16">
        <f t="shared" si="7"/>
        <v>0.92878338278935768</v>
      </c>
      <c r="W16" s="16">
        <f t="shared" si="7"/>
        <v>1.9682702149435838</v>
      </c>
      <c r="X16" s="16">
        <f t="shared" si="7"/>
        <v>1.1648626144879537</v>
      </c>
      <c r="Y16" s="16">
        <f t="shared" si="6"/>
        <v>0.28000000000001823</v>
      </c>
      <c r="Z16" s="16">
        <f t="shared" si="6"/>
        <v>0.33333333333331749</v>
      </c>
      <c r="AA16" s="16">
        <f t="shared" si="6"/>
        <v>0.57692307692305933</v>
      </c>
      <c r="AB16" s="16">
        <f t="shared" si="6"/>
        <v>0.51724137931034897</v>
      </c>
      <c r="AC16" s="16">
        <f t="shared" si="6"/>
        <v>0.43269230769229439</v>
      </c>
      <c r="AD16" s="16">
        <f t="shared" si="6"/>
        <v>-0.56249999999999556</v>
      </c>
      <c r="AE16" s="16">
        <f t="shared" si="6"/>
        <v>-0.53124999999999001</v>
      </c>
      <c r="AF16" s="16">
        <f t="shared" si="6"/>
        <v>-0.63414634146340787</v>
      </c>
      <c r="AG16" s="16">
        <f t="shared" si="6"/>
        <v>-0.70454545454545037</v>
      </c>
      <c r="AH16" s="16">
        <f t="shared" si="6"/>
        <v>-0.61744966442951998</v>
      </c>
      <c r="AI16" s="16">
        <f t="shared" si="6"/>
        <v>0.28571428571426249</v>
      </c>
      <c r="AJ16" s="16">
        <f t="shared" si="6"/>
        <v>0.20000000000000751</v>
      </c>
      <c r="AK16" s="16">
        <f t="shared" si="6"/>
        <v>6.6666666666603591E-2</v>
      </c>
      <c r="AL16" s="16">
        <f t="shared" si="6"/>
        <v>0.15384615384614375</v>
      </c>
      <c r="AM16" s="16">
        <f t="shared" si="6"/>
        <v>0.17543859649116977</v>
      </c>
      <c r="AN16" s="16">
        <f t="shared" si="6"/>
        <v>0.11111111111110406</v>
      </c>
      <c r="AO16" s="16">
        <f t="shared" si="6"/>
        <v>0.11111111111110406</v>
      </c>
      <c r="AP16" s="16">
        <f t="shared" si="6"/>
        <v>0.25000000000002665</v>
      </c>
      <c r="AQ16" s="16">
        <f t="shared" si="6"/>
        <v>0.33333333333333326</v>
      </c>
      <c r="AR16" s="16">
        <f t="shared" si="6"/>
        <v>0.19402985074627077</v>
      </c>
      <c r="AS16" s="16">
        <f t="shared" si="6"/>
        <v>0</v>
      </c>
      <c r="AT16" s="16">
        <f t="shared" si="6"/>
        <v>0</v>
      </c>
      <c r="AU16" s="16">
        <f t="shared" si="6"/>
        <v>0</v>
      </c>
      <c r="AV16" s="16">
        <f t="shared" si="6"/>
        <v>0</v>
      </c>
      <c r="AW16" s="16">
        <f t="shared" si="6"/>
        <v>0</v>
      </c>
      <c r="AX16" s="16">
        <f t="shared" si="6"/>
        <v>0</v>
      </c>
      <c r="AY16" s="16">
        <f t="shared" si="6"/>
        <v>0</v>
      </c>
      <c r="AZ16" s="16">
        <f t="shared" si="6"/>
        <v>0</v>
      </c>
      <c r="BA16" s="16">
        <f t="shared" si="6"/>
        <v>0</v>
      </c>
      <c r="BB16" s="16">
        <f t="shared" si="6"/>
        <v>0</v>
      </c>
      <c r="BC16" s="16">
        <f t="shared" si="6"/>
        <v>0</v>
      </c>
      <c r="BD16" s="16">
        <f t="shared" si="6"/>
        <v>0</v>
      </c>
      <c r="BE16" s="16">
        <f t="shared" si="6"/>
        <v>0</v>
      </c>
      <c r="BF16" s="16">
        <f t="shared" si="6"/>
        <v>0</v>
      </c>
      <c r="BG16" s="16">
        <f t="shared" si="6"/>
        <v>0</v>
      </c>
      <c r="BH16" s="16">
        <f t="shared" si="6"/>
        <v>0</v>
      </c>
      <c r="BI16" s="16">
        <f t="shared" si="6"/>
        <v>0</v>
      </c>
      <c r="BJ16" s="16">
        <f t="shared" si="6"/>
        <v>0</v>
      </c>
      <c r="BK16" s="16">
        <f t="shared" si="6"/>
        <v>0</v>
      </c>
      <c r="BL16" s="16">
        <f t="shared" si="6"/>
        <v>0</v>
      </c>
    </row>
    <row r="17" spans="1:64">
      <c r="A17" s="9" t="s">
        <v>1817</v>
      </c>
      <c r="B17" s="9"/>
      <c r="C17" s="9"/>
      <c r="D17" s="9"/>
      <c r="E17" s="9"/>
      <c r="F17" s="9"/>
      <c r="G17" s="9"/>
      <c r="H17" s="9"/>
      <c r="I17" s="9"/>
      <c r="J17" s="9"/>
      <c r="K17" s="9"/>
      <c r="L17" s="9"/>
      <c r="M17" s="9"/>
      <c r="N17" s="9"/>
      <c r="O17" s="17">
        <f t="shared" si="7"/>
        <v>3.2600605798355664E-2</v>
      </c>
      <c r="P17" s="17">
        <f t="shared" si="7"/>
        <v>5.5094761270359616E-2</v>
      </c>
      <c r="Q17" s="17">
        <f t="shared" si="7"/>
        <v>0.12761724650317441</v>
      </c>
      <c r="R17" s="17">
        <f t="shared" si="7"/>
        <v>0.19073405779746144</v>
      </c>
      <c r="S17" s="17">
        <f t="shared" si="7"/>
        <v>0.10322015536039464</v>
      </c>
      <c r="T17" s="17">
        <f t="shared" si="7"/>
        <v>0.14778279708675202</v>
      </c>
      <c r="U17" s="17">
        <f t="shared" si="7"/>
        <v>0.15392448372775047</v>
      </c>
      <c r="V17" s="17">
        <f t="shared" si="7"/>
        <v>0.14931262682915336</v>
      </c>
      <c r="W17" s="17">
        <f t="shared" si="7"/>
        <v>0.13183490210650839</v>
      </c>
      <c r="X17" s="17">
        <f t="shared" si="7"/>
        <v>0.14517228869206478</v>
      </c>
      <c r="Y17" s="17">
        <f t="shared" si="6"/>
        <v>0.32274552756480479</v>
      </c>
      <c r="Z17" s="17">
        <f t="shared" si="6"/>
        <v>0.2933286268972819</v>
      </c>
      <c r="AA17" s="17">
        <f t="shared" si="6"/>
        <v>0.2558433354390397</v>
      </c>
      <c r="AB17" s="17">
        <f t="shared" si="6"/>
        <v>0.19036144578313241</v>
      </c>
      <c r="AC17" s="17">
        <f t="shared" si="6"/>
        <v>0.26181788024548025</v>
      </c>
      <c r="AD17" s="17">
        <f t="shared" si="6"/>
        <v>4.3610267733922292E-2</v>
      </c>
      <c r="AE17" s="17">
        <f t="shared" si="6"/>
        <v>4.2030567685589659E-2</v>
      </c>
      <c r="AF17" s="17">
        <f t="shared" si="6"/>
        <v>3.043259557344058E-2</v>
      </c>
      <c r="AG17" s="17">
        <f t="shared" si="6"/>
        <v>-7.8441295546557432E-3</v>
      </c>
      <c r="AH17" s="17">
        <f t="shared" si="6"/>
        <v>2.6421294774893189E-2</v>
      </c>
      <c r="AI17" s="17">
        <f t="shared" si="6"/>
        <v>1.8778101031473149E-2</v>
      </c>
      <c r="AJ17" s="17">
        <f t="shared" si="6"/>
        <v>2.8548978522786816E-2</v>
      </c>
      <c r="AK17" s="17">
        <f t="shared" si="6"/>
        <v>2.9289724188430455E-2</v>
      </c>
      <c r="AL17" s="17">
        <f t="shared" si="6"/>
        <v>2.2394655748570802E-2</v>
      </c>
      <c r="AM17" s="17">
        <f t="shared" si="6"/>
        <v>2.4832518741764842E-2</v>
      </c>
      <c r="AN17" s="17">
        <f t="shared" si="6"/>
        <v>9.200207418155415E-3</v>
      </c>
      <c r="AO17" s="17">
        <f t="shared" si="6"/>
        <v>2.442759045892573E-2</v>
      </c>
      <c r="AP17" s="17">
        <f t="shared" si="6"/>
        <v>7.4975996725801242E-3</v>
      </c>
      <c r="AQ17" s="17">
        <f t="shared" si="6"/>
        <v>8.3794876270111285E-3</v>
      </c>
      <c r="AR17" s="17">
        <f t="shared" si="6"/>
        <v>1.2282276420997995E-2</v>
      </c>
      <c r="AS17" s="17">
        <f t="shared" si="6"/>
        <v>1.4151223293701776E-2</v>
      </c>
      <c r="AT17" s="17">
        <f t="shared" si="6"/>
        <v>2.0716822557618197E-2</v>
      </c>
      <c r="AU17" s="17">
        <f t="shared" si="6"/>
        <v>1.9349415530306002E-2</v>
      </c>
      <c r="AV17" s="17">
        <f t="shared" si="6"/>
        <v>2.7150409665512187E-2</v>
      </c>
      <c r="AW17" s="17">
        <f t="shared" si="6"/>
        <v>2.0388096532978128E-2</v>
      </c>
      <c r="AX17" s="17">
        <f t="shared" si="6"/>
        <v>2.9366439118598375E-2</v>
      </c>
      <c r="AY17" s="17">
        <f t="shared" si="6"/>
        <v>2.3865802976448247E-2</v>
      </c>
      <c r="AZ17" s="17">
        <f t="shared" si="6"/>
        <v>3.0662863154487185E-2</v>
      </c>
      <c r="BA17" s="17">
        <f t="shared" si="6"/>
        <v>2.6124025414429264E-2</v>
      </c>
      <c r="BB17" s="17">
        <f t="shared" si="6"/>
        <v>2.7525399896160652E-2</v>
      </c>
      <c r="BC17" s="17">
        <f t="shared" si="6"/>
        <v>2.9792680847339215E-2</v>
      </c>
      <c r="BD17" s="17">
        <f t="shared" si="6"/>
        <v>3.099317979544125E-2</v>
      </c>
      <c r="BE17" s="17">
        <f t="shared" si="6"/>
        <v>2.8499196317770759E-2</v>
      </c>
      <c r="BF17" s="17">
        <f t="shared" si="6"/>
        <v>3.0819328548408409E-2</v>
      </c>
      <c r="BG17" s="17">
        <f t="shared" si="6"/>
        <v>3.0007422220637237E-2</v>
      </c>
      <c r="BH17" s="17">
        <f t="shared" si="6"/>
        <v>3.1026362078999004E-2</v>
      </c>
      <c r="BI17" s="17">
        <f t="shared" si="6"/>
        <v>2.8010902859139764E-2</v>
      </c>
      <c r="BJ17" s="17">
        <f t="shared" si="6"/>
        <v>2.9646805069881488E-2</v>
      </c>
      <c r="BK17" s="17">
        <f t="shared" si="6"/>
        <v>2.7955605910406689E-2</v>
      </c>
      <c r="BL17" s="17">
        <f t="shared" si="6"/>
        <v>2.9146520081517968E-2</v>
      </c>
    </row>
    <row r="19" spans="1:64" s="2" customFormat="1">
      <c r="A19" s="4" t="s">
        <v>1818</v>
      </c>
      <c r="T19" s="68"/>
      <c r="X19" s="68" t="s">
        <v>1744</v>
      </c>
    </row>
    <row r="21" spans="1:64">
      <c r="A21" s="3" t="s">
        <v>1819</v>
      </c>
    </row>
    <row r="22" spans="1:64">
      <c r="A22" s="5" t="s">
        <v>1820</v>
      </c>
      <c r="J22" s="375">
        <f>J27</f>
        <v>536.70000000000005</v>
      </c>
      <c r="K22" s="375">
        <f>K27</f>
        <v>540</v>
      </c>
      <c r="L22" s="375">
        <f>L27</f>
        <v>602.70000000000005</v>
      </c>
      <c r="M22" s="375">
        <f>M27</f>
        <v>589.9</v>
      </c>
      <c r="N22" s="375">
        <f>SUM(J22:M22)</f>
        <v>2269.3000000000002</v>
      </c>
      <c r="O22" s="375">
        <f>O27</f>
        <v>584</v>
      </c>
      <c r="P22" s="375">
        <f>P27</f>
        <v>604.70000000000005</v>
      </c>
      <c r="Q22" s="375">
        <f>Q27</f>
        <v>690.4</v>
      </c>
      <c r="R22" s="375">
        <f>R27</f>
        <v>714.3</v>
      </c>
      <c r="S22" s="375">
        <f>SUM(O22:R22)</f>
        <v>2593.3999999999996</v>
      </c>
      <c r="T22" s="375">
        <f>T27</f>
        <v>707.3</v>
      </c>
      <c r="U22" s="375">
        <f>U27</f>
        <v>784.9</v>
      </c>
      <c r="V22" s="375">
        <f>V27</f>
        <v>918.2</v>
      </c>
      <c r="W22" s="375">
        <f>W27</f>
        <v>816.3</v>
      </c>
      <c r="X22" s="375">
        <f>SUM(T22:W22)</f>
        <v>3226.7</v>
      </c>
      <c r="Y22" s="375">
        <f>Y27</f>
        <v>817.2</v>
      </c>
      <c r="Z22" s="375">
        <f>Z27</f>
        <v>844.1</v>
      </c>
      <c r="AA22" s="375">
        <f>AA27</f>
        <v>977.5</v>
      </c>
      <c r="AB22" s="375">
        <f>AB27</f>
        <v>939.8</v>
      </c>
      <c r="AC22" s="375">
        <f>SUM(Y22:AB22)</f>
        <v>3578.6000000000004</v>
      </c>
      <c r="AD22" s="375">
        <f>AD36*AD24</f>
        <v>914.43820030565962</v>
      </c>
      <c r="AE22" s="375">
        <f>AE36*AE24</f>
        <v>945.78870025635979</v>
      </c>
      <c r="AF22" s="375">
        <f>AF36*AF24</f>
        <v>1027.7842355551174</v>
      </c>
      <c r="AG22" s="375">
        <f>AG36*AG24</f>
        <v>898.58384677578397</v>
      </c>
      <c r="AH22" s="375">
        <f>SUM(AD22:AG22)</f>
        <v>3786.5949828929206</v>
      </c>
      <c r="AI22" s="375">
        <f>AI36*AI24</f>
        <v>898.14420848944997</v>
      </c>
      <c r="AJ22" s="375">
        <f>AJ36*AJ24</f>
        <v>938.80861033326778</v>
      </c>
      <c r="AK22" s="375">
        <f>AK36*AK24</f>
        <v>1017.7841197495566</v>
      </c>
      <c r="AL22" s="375">
        <f>AG22*(1+AL31)</f>
        <v>900.8303063927234</v>
      </c>
      <c r="AM22" s="375">
        <f>SUM(AI22:AL22)</f>
        <v>3755.5672449649974</v>
      </c>
      <c r="AN22" s="375">
        <f t="shared" ref="AN22:AQ23" si="8">AI22*(1+AN31)</f>
        <v>902.63492953189711</v>
      </c>
      <c r="AO22" s="375">
        <f t="shared" si="8"/>
        <v>945.84967491076736</v>
      </c>
      <c r="AP22" s="375">
        <f t="shared" si="8"/>
        <v>1027.9619609470521</v>
      </c>
      <c r="AQ22" s="375">
        <f t="shared" si="8"/>
        <v>907.58653369066883</v>
      </c>
      <c r="AR22" s="375">
        <f>SUM(AN22:AQ22)</f>
        <v>3784.0330990803859</v>
      </c>
      <c r="AS22" s="375">
        <f t="shared" ref="AS22:AV23" si="9">AN22*(1+AS31)</f>
        <v>911.66127882721605</v>
      </c>
      <c r="AT22" s="375">
        <f t="shared" si="9"/>
        <v>957.67279584715186</v>
      </c>
      <c r="AU22" s="375">
        <f t="shared" si="9"/>
        <v>1043.3813903612579</v>
      </c>
      <c r="AV22" s="375">
        <f t="shared" si="9"/>
        <v>923.46929803025557</v>
      </c>
      <c r="AW22" s="375">
        <f>SUM(AS22:AV22)</f>
        <v>3836.1847630658817</v>
      </c>
      <c r="AX22" s="375">
        <f t="shared" ref="AX22:BA23" si="10">AS22*(1+AX31)</f>
        <v>929.89450440376038</v>
      </c>
      <c r="AY22" s="375">
        <f t="shared" si="10"/>
        <v>979.22043375371277</v>
      </c>
      <c r="AZ22" s="375">
        <f t="shared" si="10"/>
        <v>1069.4659251202893</v>
      </c>
      <c r="BA22" s="375">
        <f t="shared" si="10"/>
        <v>948.86470372608767</v>
      </c>
      <c r="BB22" s="375">
        <f>SUM(AX22:BA22)</f>
        <v>3927.4455670038501</v>
      </c>
      <c r="BC22" s="375">
        <f t="shared" ref="BC22:BF23" si="11">AX22*(1+BC31)</f>
        <v>957.79133953587325</v>
      </c>
      <c r="BD22" s="375">
        <f t="shared" si="11"/>
        <v>1008.5970467663242</v>
      </c>
      <c r="BE22" s="375">
        <f t="shared" si="11"/>
        <v>1101.549902873898</v>
      </c>
      <c r="BF22" s="375">
        <f t="shared" si="11"/>
        <v>977.3306448378703</v>
      </c>
      <c r="BG22" s="375">
        <f>SUM(BC22:BF22)</f>
        <v>4045.2689340139655</v>
      </c>
      <c r="BH22" s="375">
        <f t="shared" ref="BH22:BK23" si="12">BC22*(1+BH31)</f>
        <v>981.73612302427</v>
      </c>
      <c r="BI22" s="375">
        <f t="shared" si="12"/>
        <v>1033.8119729354821</v>
      </c>
      <c r="BJ22" s="375">
        <f t="shared" si="12"/>
        <v>1129.0886504457453</v>
      </c>
      <c r="BK22" s="375">
        <f t="shared" si="12"/>
        <v>1001.763910958817</v>
      </c>
      <c r="BL22" s="375">
        <f>SUM(BH22:BK22)</f>
        <v>4146.4006573643146</v>
      </c>
    </row>
    <row r="23" spans="1:64">
      <c r="A23" s="5" t="s">
        <v>1821</v>
      </c>
      <c r="J23" s="375">
        <f t="shared" ref="J23:AK23" si="13">J24-J22</f>
        <v>12.353708439898014</v>
      </c>
      <c r="K23" s="375">
        <f t="shared" si="13"/>
        <v>13.846153846154152</v>
      </c>
      <c r="L23" s="375">
        <f t="shared" si="13"/>
        <v>17.04293059125996</v>
      </c>
      <c r="M23" s="375">
        <f t="shared" si="13"/>
        <v>18.244329896907516</v>
      </c>
      <c r="N23" s="375">
        <f t="shared" si="13"/>
        <v>61.487122774219642</v>
      </c>
      <c r="O23" s="375">
        <f t="shared" si="13"/>
        <v>19.617571059431839</v>
      </c>
      <c r="P23" s="375">
        <f t="shared" si="13"/>
        <v>21.932124352331812</v>
      </c>
      <c r="Q23" s="375">
        <f t="shared" si="13"/>
        <v>26.898701298701553</v>
      </c>
      <c r="R23" s="375">
        <f t="shared" si="13"/>
        <v>29.762500000000159</v>
      </c>
      <c r="S23" s="375">
        <f t="shared" si="13"/>
        <v>98.210896710465477</v>
      </c>
      <c r="T23" s="375">
        <f t="shared" si="13"/>
        <v>31.394516971279472</v>
      </c>
      <c r="U23" s="375">
        <f t="shared" si="13"/>
        <v>36.984816753926793</v>
      </c>
      <c r="V23" s="375">
        <f t="shared" si="13"/>
        <v>45.789501312336029</v>
      </c>
      <c r="W23" s="375">
        <f t="shared" si="13"/>
        <v>42.963157894736923</v>
      </c>
      <c r="X23" s="375">
        <f t="shared" si="13"/>
        <v>157.13199293227899</v>
      </c>
      <c r="Y23" s="375">
        <f t="shared" si="13"/>
        <v>42.699999999999932</v>
      </c>
      <c r="Z23" s="375">
        <f t="shared" si="13"/>
        <v>60.399999999999977</v>
      </c>
      <c r="AA23" s="375">
        <f t="shared" si="13"/>
        <v>73.799999999999955</v>
      </c>
      <c r="AB23" s="375">
        <f t="shared" si="13"/>
        <v>74.400000000000091</v>
      </c>
      <c r="AC23" s="375">
        <f t="shared" si="13"/>
        <v>251.29999999999927</v>
      </c>
      <c r="AD23" s="375">
        <f t="shared" si="13"/>
        <v>75.06179969434038</v>
      </c>
      <c r="AE23" s="375">
        <f t="shared" si="13"/>
        <v>80.411299743640257</v>
      </c>
      <c r="AF23" s="375">
        <f t="shared" si="13"/>
        <v>90.415764444882598</v>
      </c>
      <c r="AG23" s="375">
        <f t="shared" si="13"/>
        <v>81.716153224215986</v>
      </c>
      <c r="AH23" s="375">
        <f t="shared" si="13"/>
        <v>327.60501710707922</v>
      </c>
      <c r="AI23" s="375">
        <f t="shared" si="13"/>
        <v>84.355791510550034</v>
      </c>
      <c r="AJ23" s="375">
        <f t="shared" si="13"/>
        <v>90.991389666732175</v>
      </c>
      <c r="AK23" s="375">
        <f t="shared" si="13"/>
        <v>101.71588025044343</v>
      </c>
      <c r="AL23" s="375">
        <f>AG23*(1+AL32)</f>
        <v>91.522091611121908</v>
      </c>
      <c r="AM23" s="375">
        <f>SUM(AI23:AL23)</f>
        <v>368.58515303884758</v>
      </c>
      <c r="AN23" s="375">
        <f t="shared" si="8"/>
        <v>91.947812746499551</v>
      </c>
      <c r="AO23" s="375">
        <f t="shared" si="8"/>
        <v>99.180614736738079</v>
      </c>
      <c r="AP23" s="375">
        <f t="shared" si="8"/>
        <v>110.87030947298335</v>
      </c>
      <c r="AQ23" s="375">
        <f t="shared" si="8"/>
        <v>99.759079856122881</v>
      </c>
      <c r="AR23" s="375">
        <f>SUM(AN23:AQ23)</f>
        <v>401.75781681234383</v>
      </c>
      <c r="AS23" s="375">
        <f t="shared" si="9"/>
        <v>99.303637766219524</v>
      </c>
      <c r="AT23" s="375">
        <f t="shared" si="9"/>
        <v>107.11506391567713</v>
      </c>
      <c r="AU23" s="375">
        <f t="shared" si="9"/>
        <v>119.73993423082203</v>
      </c>
      <c r="AV23" s="375">
        <f t="shared" si="9"/>
        <v>107.73980624461272</v>
      </c>
      <c r="AW23" s="375">
        <f>SUM(AS23:AV23)</f>
        <v>433.89844215733143</v>
      </c>
      <c r="AX23" s="375">
        <f t="shared" si="10"/>
        <v>106.25489240985489</v>
      </c>
      <c r="AY23" s="375">
        <f t="shared" si="10"/>
        <v>114.61311838977453</v>
      </c>
      <c r="AZ23" s="375">
        <f t="shared" si="10"/>
        <v>128.12172962697957</v>
      </c>
      <c r="BA23" s="375">
        <f t="shared" si="10"/>
        <v>115.28159268173562</v>
      </c>
      <c r="BB23" s="375">
        <f>SUM(AX23:BA23)</f>
        <v>464.27133310834461</v>
      </c>
      <c r="BC23" s="375">
        <f t="shared" si="11"/>
        <v>113.16146041649546</v>
      </c>
      <c r="BD23" s="375">
        <f t="shared" si="11"/>
        <v>122.06297108510987</v>
      </c>
      <c r="BE23" s="375">
        <f t="shared" si="11"/>
        <v>136.44964205273322</v>
      </c>
      <c r="BF23" s="375">
        <f t="shared" si="11"/>
        <v>122.77489620604842</v>
      </c>
      <c r="BG23" s="375">
        <f>SUM(BC23:BF23)</f>
        <v>494.44896976038694</v>
      </c>
      <c r="BH23" s="375">
        <f t="shared" si="12"/>
        <v>119.9511480414852</v>
      </c>
      <c r="BI23" s="375">
        <f t="shared" si="12"/>
        <v>129.38674935021646</v>
      </c>
      <c r="BJ23" s="375">
        <f t="shared" si="12"/>
        <v>144.63662057589721</v>
      </c>
      <c r="BK23" s="375">
        <f t="shared" si="12"/>
        <v>130.14138997841133</v>
      </c>
      <c r="BL23" s="375">
        <f>SUM(BH23:BK23)</f>
        <v>524.11590794601022</v>
      </c>
    </row>
    <row r="24" spans="1:64">
      <c r="A24" s="9" t="s">
        <v>1822</v>
      </c>
      <c r="B24" s="9"/>
      <c r="C24" s="9"/>
      <c r="D24" s="9"/>
      <c r="E24" s="9"/>
      <c r="F24" s="9"/>
      <c r="G24" s="9"/>
      <c r="H24" s="9"/>
      <c r="I24" s="9"/>
      <c r="J24" s="378">
        <f>J22/J36</f>
        <v>549.05370843989806</v>
      </c>
      <c r="K24" s="378">
        <f>K22/K36</f>
        <v>553.84615384615415</v>
      </c>
      <c r="L24" s="378">
        <f>L22/L36</f>
        <v>619.74293059126001</v>
      </c>
      <c r="M24" s="378">
        <f>M22/M36</f>
        <v>608.14432989690749</v>
      </c>
      <c r="N24" s="378">
        <f>SUM(J24:M24)</f>
        <v>2330.7871227742198</v>
      </c>
      <c r="O24" s="378">
        <f>O22/O36</f>
        <v>603.61757105943184</v>
      </c>
      <c r="P24" s="378">
        <f>P22/P36</f>
        <v>626.63212435233186</v>
      </c>
      <c r="Q24" s="378">
        <f>Q22/Q36</f>
        <v>717.29870129870153</v>
      </c>
      <c r="R24" s="378">
        <f>R22/R36</f>
        <v>744.06250000000011</v>
      </c>
      <c r="S24" s="378">
        <f>SUM(O24:R24)</f>
        <v>2691.6108967104651</v>
      </c>
      <c r="T24" s="378">
        <f>T22/T36</f>
        <v>738.69451697127943</v>
      </c>
      <c r="U24" s="378">
        <f>U22/U36</f>
        <v>821.88481675392677</v>
      </c>
      <c r="V24" s="378">
        <f>V22/V36</f>
        <v>963.98950131233607</v>
      </c>
      <c r="W24" s="378">
        <f>W22/W36</f>
        <v>859.26315789473688</v>
      </c>
      <c r="X24" s="378">
        <f>SUM(T24:W24)</f>
        <v>3383.8319929322788</v>
      </c>
      <c r="Y24" s="395">
        <v>859.9</v>
      </c>
      <c r="Z24" s="395">
        <v>904.5</v>
      </c>
      <c r="AA24" s="395">
        <v>1051.3</v>
      </c>
      <c r="AB24" s="395">
        <v>1014.2</v>
      </c>
      <c r="AC24" s="378">
        <f>SUM(Y24:AB24)</f>
        <v>3829.8999999999996</v>
      </c>
      <c r="AD24" s="395">
        <v>989.5</v>
      </c>
      <c r="AE24" s="395">
        <v>1026.2</v>
      </c>
      <c r="AF24" s="395">
        <v>1118.2</v>
      </c>
      <c r="AG24" s="395">
        <v>980.3</v>
      </c>
      <c r="AH24" s="378">
        <f>SUM(AD24:AG24)</f>
        <v>4114.2</v>
      </c>
      <c r="AI24" s="395">
        <v>982.5</v>
      </c>
      <c r="AJ24" s="395">
        <v>1029.8</v>
      </c>
      <c r="AK24" s="395">
        <v>1119.5</v>
      </c>
      <c r="AL24" s="378">
        <f>SUM(AL22:AL23)</f>
        <v>992.35239800384534</v>
      </c>
      <c r="AM24" s="378">
        <f>SUM(AI24:AL24)</f>
        <v>4124.1523980038455</v>
      </c>
      <c r="AN24" s="378">
        <f>SUM(AN22:AN23)</f>
        <v>994.58274227839661</v>
      </c>
      <c r="AO24" s="378">
        <f>SUM(AO22:AO23)</f>
        <v>1045.0302896475055</v>
      </c>
      <c r="AP24" s="378">
        <f>SUM(AP22:AP23)</f>
        <v>1138.8322704200355</v>
      </c>
      <c r="AQ24" s="378">
        <f>SUM(AQ22:AQ23)</f>
        <v>1007.3456135467917</v>
      </c>
      <c r="AR24" s="378">
        <f>SUM(AN24:AQ24)</f>
        <v>4185.7909158927287</v>
      </c>
      <c r="AS24" s="378">
        <f>SUM(AS22:AS23)</f>
        <v>1010.9649165934355</v>
      </c>
      <c r="AT24" s="378">
        <f>SUM(AT22:AT23)</f>
        <v>1064.7878597628289</v>
      </c>
      <c r="AU24" s="378">
        <f>SUM(AU22:AU23)</f>
        <v>1163.1213245920799</v>
      </c>
      <c r="AV24" s="378">
        <f>SUM(AV22:AV23)</f>
        <v>1031.2091042748682</v>
      </c>
      <c r="AW24" s="378">
        <f>SUM(AS24:AV24)</f>
        <v>4270.0832052232126</v>
      </c>
      <c r="AX24" s="378">
        <f>SUM(AX22:AX23)</f>
        <v>1036.1493968136153</v>
      </c>
      <c r="AY24" s="378">
        <f>SUM(AY22:AY23)</f>
        <v>1093.8335521434874</v>
      </c>
      <c r="AZ24" s="378">
        <f>SUM(AZ22:AZ23)</f>
        <v>1197.587654747269</v>
      </c>
      <c r="BA24" s="378">
        <f>SUM(BA22:BA23)</f>
        <v>1064.1462964078232</v>
      </c>
      <c r="BB24" s="378">
        <f>SUM(AX24:BA24)</f>
        <v>4391.7169001121947</v>
      </c>
      <c r="BC24" s="378">
        <f>SUM(BC22:BC23)</f>
        <v>1070.9527999523687</v>
      </c>
      <c r="BD24" s="378">
        <f>SUM(BD22:BD23)</f>
        <v>1130.6600178514341</v>
      </c>
      <c r="BE24" s="378">
        <f>SUM(BE22:BE23)</f>
        <v>1237.9995449266312</v>
      </c>
      <c r="BF24" s="378">
        <f>SUM(BF22:BF23)</f>
        <v>1100.1055410439187</v>
      </c>
      <c r="BG24" s="378">
        <f>SUM(BC24:BF24)</f>
        <v>4539.7179037743526</v>
      </c>
      <c r="BH24" s="378">
        <f>SUM(BH22:BH23)</f>
        <v>1101.6872710657551</v>
      </c>
      <c r="BI24" s="378">
        <f>SUM(BI22:BI23)</f>
        <v>1163.1987222856985</v>
      </c>
      <c r="BJ24" s="378">
        <f>SUM(BJ22:BJ23)</f>
        <v>1273.7252710216426</v>
      </c>
      <c r="BK24" s="378">
        <f>SUM(BK22:BK23)</f>
        <v>1131.9053009372283</v>
      </c>
      <c r="BL24" s="378">
        <f>SUM(BH24:BK24)</f>
        <v>4670.5165653103249</v>
      </c>
    </row>
    <row r="25" spans="1:64">
      <c r="A25" s="1" t="s">
        <v>28</v>
      </c>
      <c r="O25" s="16">
        <f t="shared" ref="O25:BL25" si="14">O24/J24-1</f>
        <v>9.9378005795778268E-2</v>
      </c>
      <c r="P25" s="16">
        <f t="shared" si="14"/>
        <v>0.13141911341393198</v>
      </c>
      <c r="Q25" s="16">
        <f t="shared" si="14"/>
        <v>0.15741328523807341</v>
      </c>
      <c r="R25" s="16">
        <f t="shared" si="14"/>
        <v>0.22349656721478173</v>
      </c>
      <c r="S25" s="16">
        <f t="shared" si="14"/>
        <v>0.15480769153502738</v>
      </c>
      <c r="T25" s="16">
        <f t="shared" si="14"/>
        <v>0.22377901570156244</v>
      </c>
      <c r="U25" s="16">
        <f t="shared" si="14"/>
        <v>0.31159062041928065</v>
      </c>
      <c r="V25" s="16">
        <f t="shared" si="14"/>
        <v>0.34391641803754802</v>
      </c>
      <c r="W25" s="16">
        <f t="shared" si="14"/>
        <v>0.15482658767877266</v>
      </c>
      <c r="X25" s="16">
        <f t="shared" si="14"/>
        <v>0.25717725287403437</v>
      </c>
      <c r="Y25" s="16">
        <f t="shared" si="14"/>
        <v>0.1640806588434891</v>
      </c>
      <c r="Z25" s="16">
        <f t="shared" si="14"/>
        <v>0.10051917441712321</v>
      </c>
      <c r="AA25" s="16">
        <f t="shared" si="14"/>
        <v>9.0572043127858715E-2</v>
      </c>
      <c r="AB25" s="16">
        <f t="shared" si="14"/>
        <v>0.18031361019233128</v>
      </c>
      <c r="AC25" s="16">
        <f t="shared" si="14"/>
        <v>0.13182333165458915</v>
      </c>
      <c r="AD25" s="16">
        <f t="shared" si="14"/>
        <v>0.15071519944179568</v>
      </c>
      <c r="AE25" s="16">
        <f t="shared" si="14"/>
        <v>0.1345494748479823</v>
      </c>
      <c r="AF25" s="16">
        <f t="shared" si="14"/>
        <v>6.3635498906116306E-2</v>
      </c>
      <c r="AG25" s="16">
        <f t="shared" si="14"/>
        <v>-3.3425359889568185E-2</v>
      </c>
      <c r="AH25" s="16">
        <f t="shared" si="14"/>
        <v>7.4231703177628727E-2</v>
      </c>
      <c r="AI25" s="16">
        <f t="shared" si="14"/>
        <v>-7.0742799393632705E-3</v>
      </c>
      <c r="AJ25" s="16">
        <f t="shared" si="14"/>
        <v>3.5080880919897695E-3</v>
      </c>
      <c r="AK25" s="16">
        <f t="shared" si="14"/>
        <v>1.1625827222321305E-3</v>
      </c>
      <c r="AL25" s="16">
        <f t="shared" si="14"/>
        <v>1.2294601656477999E-2</v>
      </c>
      <c r="AM25" s="16">
        <f t="shared" si="14"/>
        <v>2.4190360225184726E-3</v>
      </c>
      <c r="AN25" s="16">
        <f t="shared" si="14"/>
        <v>1.2297956517451913E-2</v>
      </c>
      <c r="AO25" s="16">
        <f t="shared" si="14"/>
        <v>1.4789560737527241E-2</v>
      </c>
      <c r="AP25" s="16">
        <f t="shared" si="14"/>
        <v>1.7268664957601931E-2</v>
      </c>
      <c r="AQ25" s="16">
        <f t="shared" si="14"/>
        <v>1.5108761336301235E-2</v>
      </c>
      <c r="AR25" s="16">
        <f t="shared" si="14"/>
        <v>1.4945742043557253E-2</v>
      </c>
      <c r="AS25" s="16">
        <f t="shared" si="14"/>
        <v>1.6471404156390701E-2</v>
      </c>
      <c r="AT25" s="16">
        <f t="shared" si="14"/>
        <v>1.8906217658043012E-2</v>
      </c>
      <c r="AU25" s="16">
        <f t="shared" si="14"/>
        <v>2.1328034692137621E-2</v>
      </c>
      <c r="AV25" s="16">
        <f t="shared" si="14"/>
        <v>2.3689476985018887E-2</v>
      </c>
      <c r="AW25" s="16">
        <f t="shared" si="14"/>
        <v>2.0137720928783187E-2</v>
      </c>
      <c r="AX25" s="16">
        <f t="shared" si="14"/>
        <v>2.4911329569221596E-2</v>
      </c>
      <c r="AY25" s="16">
        <f t="shared" si="14"/>
        <v>2.7278384247476417E-2</v>
      </c>
      <c r="AZ25" s="16">
        <f t="shared" si="14"/>
        <v>2.9632618220009732E-2</v>
      </c>
      <c r="BA25" s="16">
        <f t="shared" si="14"/>
        <v>3.1940362043366477E-2</v>
      </c>
      <c r="BB25" s="16">
        <f t="shared" si="14"/>
        <v>2.8485087770701689E-2</v>
      </c>
      <c r="BC25" s="16">
        <f t="shared" si="14"/>
        <v>3.3589174732699068E-2</v>
      </c>
      <c r="BD25" s="16">
        <f t="shared" si="14"/>
        <v>3.36673396384497E-2</v>
      </c>
      <c r="BE25" s="16">
        <f t="shared" si="14"/>
        <v>3.374441112445381E-2</v>
      </c>
      <c r="BF25" s="16">
        <f t="shared" si="14"/>
        <v>3.3791636316811813E-2</v>
      </c>
      <c r="BG25" s="16">
        <f t="shared" si="14"/>
        <v>3.3700032818230419E-2</v>
      </c>
      <c r="BH25" s="16">
        <f t="shared" si="14"/>
        <v>2.8698249927310959E-2</v>
      </c>
      <c r="BI25" s="16">
        <f t="shared" si="14"/>
        <v>2.8778504519950232E-2</v>
      </c>
      <c r="BJ25" s="16">
        <f t="shared" si="14"/>
        <v>2.8857624577825369E-2</v>
      </c>
      <c r="BK25" s="16">
        <f t="shared" si="14"/>
        <v>2.890609919402265E-2</v>
      </c>
      <c r="BL25" s="16">
        <f t="shared" si="14"/>
        <v>2.8812068130318336E-2</v>
      </c>
    </row>
    <row r="27" spans="1:64">
      <c r="A27" s="1" t="s">
        <v>1823</v>
      </c>
      <c r="J27" s="376">
        <v>536.70000000000005</v>
      </c>
      <c r="K27" s="376">
        <v>540</v>
      </c>
      <c r="L27" s="376">
        <v>602.70000000000005</v>
      </c>
      <c r="M27" s="376">
        <v>589.9</v>
      </c>
      <c r="N27" s="375">
        <f>SUM(J27:M27)</f>
        <v>2269.3000000000002</v>
      </c>
      <c r="O27" s="376">
        <v>584</v>
      </c>
      <c r="P27" s="376">
        <v>604.70000000000005</v>
      </c>
      <c r="Q27" s="376">
        <v>690.4</v>
      </c>
      <c r="R27" s="376">
        <v>714.3</v>
      </c>
      <c r="S27" s="375">
        <f>SUM(O27:R27)</f>
        <v>2593.3999999999996</v>
      </c>
      <c r="T27" s="376">
        <v>707.3</v>
      </c>
      <c r="U27" s="376">
        <v>784.9</v>
      </c>
      <c r="V27" s="376">
        <v>918.2</v>
      </c>
      <c r="W27" s="376">
        <v>816.3</v>
      </c>
      <c r="X27" s="375">
        <f>SUM(T27:W27)</f>
        <v>3226.7</v>
      </c>
      <c r="Y27" s="376">
        <v>817.2</v>
      </c>
      <c r="Z27" s="376">
        <v>844.1</v>
      </c>
      <c r="AA27" s="376">
        <v>977.5</v>
      </c>
      <c r="AB27" s="376">
        <v>939.8</v>
      </c>
      <c r="AC27" s="375">
        <f>SUM(Y27:AB27)</f>
        <v>3578.6000000000004</v>
      </c>
      <c r="AD27" s="375"/>
      <c r="AE27" s="375"/>
      <c r="AF27" s="375"/>
      <c r="AG27" s="375"/>
      <c r="AH27" s="375"/>
      <c r="AI27" s="375"/>
      <c r="AJ27" s="375"/>
    </row>
    <row r="28" spans="1:64">
      <c r="A28" s="1" t="s">
        <v>28</v>
      </c>
      <c r="O28" s="16">
        <f t="shared" ref="O28:AC28" si="15">O27/J27-1</f>
        <v>8.8131171976895795E-2</v>
      </c>
      <c r="P28" s="16">
        <f t="shared" si="15"/>
        <v>0.11981481481481482</v>
      </c>
      <c r="Q28" s="16">
        <f t="shared" si="15"/>
        <v>0.14551186328189791</v>
      </c>
      <c r="R28" s="16">
        <f t="shared" si="15"/>
        <v>0.21088320054246479</v>
      </c>
      <c r="S28" s="16">
        <f t="shared" si="15"/>
        <v>0.14281937161239133</v>
      </c>
      <c r="T28" s="16">
        <f t="shared" si="15"/>
        <v>0.21113013698630123</v>
      </c>
      <c r="U28" s="16">
        <f t="shared" si="15"/>
        <v>0.29799900777244903</v>
      </c>
      <c r="V28" s="16">
        <f t="shared" si="15"/>
        <v>0.32995365005793764</v>
      </c>
      <c r="W28" s="16">
        <f t="shared" si="15"/>
        <v>0.14279714405711896</v>
      </c>
      <c r="X28" s="16">
        <f t="shared" si="15"/>
        <v>0.24419680728001869</v>
      </c>
      <c r="Y28" s="16">
        <f t="shared" si="15"/>
        <v>0.15537961261133892</v>
      </c>
      <c r="Z28" s="16">
        <f t="shared" si="15"/>
        <v>7.5423620843419581E-2</v>
      </c>
      <c r="AA28" s="16">
        <f t="shared" si="15"/>
        <v>6.4582879546939642E-2</v>
      </c>
      <c r="AB28" s="16">
        <f t="shared" si="15"/>
        <v>0.15129241700355256</v>
      </c>
      <c r="AC28" s="16">
        <f t="shared" si="15"/>
        <v>0.10905879071497204</v>
      </c>
      <c r="AD28" s="16"/>
      <c r="AE28" s="16"/>
      <c r="AF28" s="16"/>
      <c r="AG28" s="16"/>
      <c r="AH28" s="16"/>
      <c r="AI28" s="16"/>
      <c r="AJ28" s="16"/>
    </row>
    <row r="30" spans="1:64">
      <c r="A30" s="3" t="s">
        <v>1663</v>
      </c>
    </row>
    <row r="31" spans="1:64">
      <c r="A31" s="5" t="s">
        <v>1820</v>
      </c>
      <c r="O31" s="16">
        <f t="shared" ref="O31:AK33" si="16">O22/J22-1</f>
        <v>8.8131171976895795E-2</v>
      </c>
      <c r="P31" s="16">
        <f t="shared" si="16"/>
        <v>0.11981481481481482</v>
      </c>
      <c r="Q31" s="16">
        <f t="shared" si="16"/>
        <v>0.14551186328189791</v>
      </c>
      <c r="R31" s="16">
        <f t="shared" si="16"/>
        <v>0.21088320054246479</v>
      </c>
      <c r="S31" s="16">
        <f t="shared" si="16"/>
        <v>0.14281937161239133</v>
      </c>
      <c r="T31" s="16">
        <f t="shared" si="16"/>
        <v>0.21113013698630123</v>
      </c>
      <c r="U31" s="16">
        <f t="shared" si="16"/>
        <v>0.29799900777244903</v>
      </c>
      <c r="V31" s="16">
        <f t="shared" si="16"/>
        <v>0.32995365005793764</v>
      </c>
      <c r="W31" s="16">
        <f t="shared" si="16"/>
        <v>0.14279714405711896</v>
      </c>
      <c r="X31" s="16">
        <f t="shared" si="16"/>
        <v>0.24419680728001869</v>
      </c>
      <c r="Y31" s="16">
        <f t="shared" si="16"/>
        <v>0.15537961261133892</v>
      </c>
      <c r="Z31" s="16">
        <f t="shared" si="16"/>
        <v>7.5423620843419581E-2</v>
      </c>
      <c r="AA31" s="16">
        <f t="shared" si="16"/>
        <v>6.4582879546939642E-2</v>
      </c>
      <c r="AB31" s="16">
        <f t="shared" si="16"/>
        <v>0.15129241700355256</v>
      </c>
      <c r="AC31" s="16">
        <f t="shared" si="16"/>
        <v>0.10905879071497204</v>
      </c>
      <c r="AD31" s="16">
        <f t="shared" si="16"/>
        <v>0.11898947663443415</v>
      </c>
      <c r="AE31" s="16">
        <f t="shared" si="16"/>
        <v>0.12046996831697632</v>
      </c>
      <c r="AF31" s="16">
        <f t="shared" si="16"/>
        <v>5.1441673202166083E-2</v>
      </c>
      <c r="AG31" s="16">
        <f t="shared" si="16"/>
        <v>-4.3856302643345391E-2</v>
      </c>
      <c r="AH31" s="16">
        <f t="shared" si="16"/>
        <v>5.8121886462001893E-2</v>
      </c>
      <c r="AI31" s="16">
        <f t="shared" si="16"/>
        <v>-1.7818581737686801E-2</v>
      </c>
      <c r="AJ31" s="16">
        <f t="shared" si="16"/>
        <v>-7.3801790201131201E-3</v>
      </c>
      <c r="AK31" s="16">
        <f t="shared" si="16"/>
        <v>-9.7297812708323494E-3</v>
      </c>
      <c r="AL31" s="303">
        <v>2.5000000000000001E-3</v>
      </c>
      <c r="AM31" s="16">
        <f>AM22/AH22-1</f>
        <v>-8.1940999943486137E-3</v>
      </c>
      <c r="AN31" s="303">
        <v>5.0000000000000001E-3</v>
      </c>
      <c r="AO31" s="303">
        <v>7.4999999999999997E-3</v>
      </c>
      <c r="AP31" s="303">
        <v>0.01</v>
      </c>
      <c r="AQ31" s="303">
        <v>7.4999999999999997E-3</v>
      </c>
      <c r="AR31" s="16">
        <f>AR22/AM22-1</f>
        <v>7.579641704872131E-3</v>
      </c>
      <c r="AS31" s="303">
        <v>0.01</v>
      </c>
      <c r="AT31" s="303">
        <v>1.2500000000000001E-2</v>
      </c>
      <c r="AU31" s="303">
        <v>1.4999999999999999E-2</v>
      </c>
      <c r="AV31" s="303">
        <v>1.7500000000000002E-2</v>
      </c>
      <c r="AW31" s="16">
        <f>AW22/AR22-1</f>
        <v>1.3782031663034378E-2</v>
      </c>
      <c r="AX31" s="303">
        <v>0.02</v>
      </c>
      <c r="AY31" s="303">
        <v>2.2499999999999999E-2</v>
      </c>
      <c r="AZ31" s="303">
        <v>2.5000000000000001E-2</v>
      </c>
      <c r="BA31" s="303">
        <v>2.75E-2</v>
      </c>
      <c r="BB31" s="16">
        <f>BB22/AW22-1</f>
        <v>2.378947041774726E-2</v>
      </c>
      <c r="BC31" s="303">
        <v>0.03</v>
      </c>
      <c r="BD31" s="303">
        <v>0.03</v>
      </c>
      <c r="BE31" s="303">
        <v>0.03</v>
      </c>
      <c r="BF31" s="303">
        <v>0.03</v>
      </c>
      <c r="BG31" s="16">
        <f>BG22/BB22-1</f>
        <v>3.0000000000000027E-2</v>
      </c>
      <c r="BH31" s="303">
        <f t="shared" ref="BH31:BK32" si="17">BC31-0.5%</f>
        <v>2.4999999999999998E-2</v>
      </c>
      <c r="BI31" s="303">
        <f t="shared" si="17"/>
        <v>2.4999999999999998E-2</v>
      </c>
      <c r="BJ31" s="303">
        <f t="shared" si="17"/>
        <v>2.4999999999999998E-2</v>
      </c>
      <c r="BK31" s="303">
        <f t="shared" si="17"/>
        <v>2.4999999999999998E-2</v>
      </c>
      <c r="BL31" s="16">
        <f>BL22/BG22-1</f>
        <v>2.4999999999999911E-2</v>
      </c>
    </row>
    <row r="32" spans="1:64">
      <c r="A32" s="5" t="s">
        <v>1821</v>
      </c>
      <c r="O32" s="16">
        <f t="shared" si="16"/>
        <v>0.58799045281610929</v>
      </c>
      <c r="P32" s="16">
        <f t="shared" si="16"/>
        <v>0.58398675877948469</v>
      </c>
      <c r="Q32" s="16">
        <f t="shared" si="16"/>
        <v>0.57829084350644933</v>
      </c>
      <c r="R32" s="16">
        <f t="shared" si="16"/>
        <v>0.63132875628635809</v>
      </c>
      <c r="S32" s="16">
        <f t="shared" si="16"/>
        <v>0.59725959321751509</v>
      </c>
      <c r="T32" s="16">
        <f t="shared" si="16"/>
        <v>0.60032640514817714</v>
      </c>
      <c r="U32" s="16">
        <f t="shared" si="16"/>
        <v>0.68633079768192129</v>
      </c>
      <c r="V32" s="16">
        <f t="shared" si="16"/>
        <v>0.70229412951421444</v>
      </c>
      <c r="W32" s="16">
        <f t="shared" si="16"/>
        <v>0.44353323459846083</v>
      </c>
      <c r="X32" s="16">
        <f t="shared" si="16"/>
        <v>0.59994459062438033</v>
      </c>
      <c r="Y32" s="16">
        <f t="shared" si="16"/>
        <v>0.36011011219134259</v>
      </c>
      <c r="Z32" s="16">
        <f t="shared" si="16"/>
        <v>0.63310258914794049</v>
      </c>
      <c r="AA32" s="16">
        <f t="shared" si="16"/>
        <v>0.61172316546102445</v>
      </c>
      <c r="AB32" s="16">
        <f t="shared" si="16"/>
        <v>0.73171628077912421</v>
      </c>
      <c r="AC32" s="16">
        <f t="shared" si="16"/>
        <v>0.59929238667713558</v>
      </c>
      <c r="AD32" s="16">
        <f t="shared" si="16"/>
        <v>0.75788758066371198</v>
      </c>
      <c r="AE32" s="16">
        <f t="shared" si="16"/>
        <v>0.3313129096629186</v>
      </c>
      <c r="AF32" s="16">
        <f t="shared" si="16"/>
        <v>0.22514585968675682</v>
      </c>
      <c r="AG32" s="16">
        <f t="shared" si="16"/>
        <v>9.8335392798600596E-2</v>
      </c>
      <c r="AH32" s="16">
        <f t="shared" si="16"/>
        <v>0.30364113452877106</v>
      </c>
      <c r="AI32" s="16">
        <f t="shared" si="16"/>
        <v>0.12381786546626605</v>
      </c>
      <c r="AJ32" s="16">
        <f t="shared" si="16"/>
        <v>0.13157466620763958</v>
      </c>
      <c r="AK32" s="16">
        <f t="shared" si="16"/>
        <v>0.124979486430703</v>
      </c>
      <c r="AL32" s="303">
        <v>0.12</v>
      </c>
      <c r="AM32" s="16">
        <f>AM23/AH23-1</f>
        <v>0.12509007430241459</v>
      </c>
      <c r="AN32" s="303">
        <v>0.09</v>
      </c>
      <c r="AO32" s="303">
        <v>0.09</v>
      </c>
      <c r="AP32" s="303">
        <v>0.09</v>
      </c>
      <c r="AQ32" s="303">
        <v>0.09</v>
      </c>
      <c r="AR32" s="16">
        <f>AR23/AM23-1</f>
        <v>8.9999999999999858E-2</v>
      </c>
      <c r="AS32" s="303">
        <f>AN32-1%</f>
        <v>0.08</v>
      </c>
      <c r="AT32" s="303">
        <f>AO32-1%</f>
        <v>0.08</v>
      </c>
      <c r="AU32" s="303">
        <f>AP32-1%</f>
        <v>0.08</v>
      </c>
      <c r="AV32" s="303">
        <f>AQ32-1%</f>
        <v>0.08</v>
      </c>
      <c r="AW32" s="16">
        <f>AW23/AR23-1</f>
        <v>8.0000000000000293E-2</v>
      </c>
      <c r="AX32" s="303">
        <f>AS32-1%</f>
        <v>7.0000000000000007E-2</v>
      </c>
      <c r="AY32" s="303">
        <f>AT32-1%</f>
        <v>7.0000000000000007E-2</v>
      </c>
      <c r="AZ32" s="303">
        <f>AU32-1%</f>
        <v>7.0000000000000007E-2</v>
      </c>
      <c r="BA32" s="303">
        <f>AV32-1%</f>
        <v>7.0000000000000007E-2</v>
      </c>
      <c r="BB32" s="16">
        <f>BB23/AW23-1</f>
        <v>6.999999999999984E-2</v>
      </c>
      <c r="BC32" s="303">
        <f>AX32-0.5%</f>
        <v>6.5000000000000002E-2</v>
      </c>
      <c r="BD32" s="303">
        <f>AY32-0.5%</f>
        <v>6.5000000000000002E-2</v>
      </c>
      <c r="BE32" s="303">
        <f>AZ32-0.5%</f>
        <v>6.5000000000000002E-2</v>
      </c>
      <c r="BF32" s="303">
        <f>BA32-0.5%</f>
        <v>6.5000000000000002E-2</v>
      </c>
      <c r="BG32" s="16">
        <f>BG23/BB23-1</f>
        <v>6.4999999999999947E-2</v>
      </c>
      <c r="BH32" s="303">
        <f t="shared" si="17"/>
        <v>6.0000000000000005E-2</v>
      </c>
      <c r="BI32" s="303">
        <f t="shared" si="17"/>
        <v>6.0000000000000005E-2</v>
      </c>
      <c r="BJ32" s="303">
        <f t="shared" si="17"/>
        <v>6.0000000000000005E-2</v>
      </c>
      <c r="BK32" s="303">
        <f t="shared" si="17"/>
        <v>6.0000000000000005E-2</v>
      </c>
      <c r="BL32" s="16">
        <f>BL23/BG23-1</f>
        <v>6.0000000000000053E-2</v>
      </c>
    </row>
    <row r="33" spans="1:64">
      <c r="A33" s="9" t="s">
        <v>1824</v>
      </c>
      <c r="B33" s="9"/>
      <c r="C33" s="9"/>
      <c r="D33" s="9"/>
      <c r="E33" s="9"/>
      <c r="F33" s="9"/>
      <c r="G33" s="9"/>
      <c r="H33" s="9"/>
      <c r="I33" s="9"/>
      <c r="J33" s="9"/>
      <c r="K33" s="9"/>
      <c r="L33" s="9"/>
      <c r="M33" s="9"/>
      <c r="N33" s="9"/>
      <c r="O33" s="17">
        <f t="shared" si="16"/>
        <v>9.9378005795778268E-2</v>
      </c>
      <c r="P33" s="17">
        <f t="shared" si="16"/>
        <v>0.13141911341393198</v>
      </c>
      <c r="Q33" s="17">
        <f t="shared" si="16"/>
        <v>0.15741328523807341</v>
      </c>
      <c r="R33" s="17">
        <f t="shared" si="16"/>
        <v>0.22349656721478173</v>
      </c>
      <c r="S33" s="17">
        <f t="shared" si="16"/>
        <v>0.15480769153502738</v>
      </c>
      <c r="T33" s="17">
        <f t="shared" si="16"/>
        <v>0.22377901570156244</v>
      </c>
      <c r="U33" s="17">
        <f t="shared" si="16"/>
        <v>0.31159062041928065</v>
      </c>
      <c r="V33" s="17">
        <f t="shared" si="16"/>
        <v>0.34391641803754802</v>
      </c>
      <c r="W33" s="17">
        <f t="shared" si="16"/>
        <v>0.15482658767877266</v>
      </c>
      <c r="X33" s="17">
        <f t="shared" si="16"/>
        <v>0.25717725287403437</v>
      </c>
      <c r="Y33" s="17">
        <f t="shared" si="16"/>
        <v>0.1640806588434891</v>
      </c>
      <c r="Z33" s="17">
        <f t="shared" si="16"/>
        <v>0.10051917441712321</v>
      </c>
      <c r="AA33" s="17">
        <f t="shared" si="16"/>
        <v>9.0572043127858715E-2</v>
      </c>
      <c r="AB33" s="17">
        <f t="shared" si="16"/>
        <v>0.18031361019233128</v>
      </c>
      <c r="AC33" s="17">
        <f t="shared" si="16"/>
        <v>0.13182333165458915</v>
      </c>
      <c r="AD33" s="17">
        <f t="shared" si="16"/>
        <v>0.15071519944179568</v>
      </c>
      <c r="AE33" s="17">
        <f t="shared" si="16"/>
        <v>0.1345494748479823</v>
      </c>
      <c r="AF33" s="17">
        <f t="shared" si="16"/>
        <v>6.3635498906116306E-2</v>
      </c>
      <c r="AG33" s="17">
        <f t="shared" si="16"/>
        <v>-3.3425359889568185E-2</v>
      </c>
      <c r="AH33" s="17">
        <f t="shared" si="16"/>
        <v>7.4231703177628727E-2</v>
      </c>
      <c r="AI33" s="17">
        <f t="shared" si="16"/>
        <v>-7.0742799393632705E-3</v>
      </c>
      <c r="AJ33" s="17">
        <f t="shared" si="16"/>
        <v>3.5080880919897695E-3</v>
      </c>
      <c r="AK33" s="17">
        <f t="shared" si="16"/>
        <v>1.1625827222321305E-3</v>
      </c>
      <c r="AL33" s="17">
        <f>AL24/AG24-1</f>
        <v>1.2294601656477999E-2</v>
      </c>
      <c r="AM33" s="17">
        <f>AM24/AH24-1</f>
        <v>2.4190360225184726E-3</v>
      </c>
      <c r="AN33" s="17">
        <f t="shared" ref="AN33:AQ33" si="18">AN24/AI24-1</f>
        <v>1.2297956517451913E-2</v>
      </c>
      <c r="AO33" s="17">
        <f t="shared" si="18"/>
        <v>1.4789560737527241E-2</v>
      </c>
      <c r="AP33" s="17">
        <f t="shared" si="18"/>
        <v>1.7268664957601931E-2</v>
      </c>
      <c r="AQ33" s="17">
        <f t="shared" si="18"/>
        <v>1.5108761336301235E-2</v>
      </c>
      <c r="AR33" s="17">
        <f>AR24/AM24-1</f>
        <v>1.4945742043557253E-2</v>
      </c>
      <c r="AS33" s="17">
        <f t="shared" ref="AS33:AV33" si="19">AS24/AN24-1</f>
        <v>1.6471404156390701E-2</v>
      </c>
      <c r="AT33" s="17">
        <f t="shared" si="19"/>
        <v>1.8906217658043012E-2</v>
      </c>
      <c r="AU33" s="17">
        <f t="shared" si="19"/>
        <v>2.1328034692137621E-2</v>
      </c>
      <c r="AV33" s="17">
        <f t="shared" si="19"/>
        <v>2.3689476985018887E-2</v>
      </c>
      <c r="AW33" s="17">
        <f>AW24/AR24-1</f>
        <v>2.0137720928783187E-2</v>
      </c>
      <c r="AX33" s="17">
        <f t="shared" ref="AX33:BA33" si="20">AX24/AS24-1</f>
        <v>2.4911329569221596E-2</v>
      </c>
      <c r="AY33" s="17">
        <f t="shared" si="20"/>
        <v>2.7278384247476417E-2</v>
      </c>
      <c r="AZ33" s="17">
        <f t="shared" si="20"/>
        <v>2.9632618220009732E-2</v>
      </c>
      <c r="BA33" s="17">
        <f t="shared" si="20"/>
        <v>3.1940362043366477E-2</v>
      </c>
      <c r="BB33" s="17">
        <f>BB24/AW24-1</f>
        <v>2.8485087770701689E-2</v>
      </c>
      <c r="BC33" s="17">
        <f t="shared" ref="BC33:BF33" si="21">BC24/AX24-1</f>
        <v>3.3589174732699068E-2</v>
      </c>
      <c r="BD33" s="17">
        <f t="shared" si="21"/>
        <v>3.36673396384497E-2</v>
      </c>
      <c r="BE33" s="17">
        <f t="shared" si="21"/>
        <v>3.374441112445381E-2</v>
      </c>
      <c r="BF33" s="17">
        <f t="shared" si="21"/>
        <v>3.3791636316811813E-2</v>
      </c>
      <c r="BG33" s="17">
        <f>BG24/BB24-1</f>
        <v>3.3700032818230419E-2</v>
      </c>
      <c r="BH33" s="17">
        <f t="shared" ref="BH33:BK33" si="22">BH24/BC24-1</f>
        <v>2.8698249927310959E-2</v>
      </c>
      <c r="BI33" s="17">
        <f t="shared" si="22"/>
        <v>2.8778504519950232E-2</v>
      </c>
      <c r="BJ33" s="17">
        <f t="shared" si="22"/>
        <v>2.8857624577825369E-2</v>
      </c>
      <c r="BK33" s="17">
        <f t="shared" si="22"/>
        <v>2.890609919402265E-2</v>
      </c>
      <c r="BL33" s="17">
        <f>BL24/BG24-1</f>
        <v>2.8812068130318336E-2</v>
      </c>
    </row>
    <row r="35" spans="1:64">
      <c r="A35" s="3" t="s">
        <v>1825</v>
      </c>
    </row>
    <row r="36" spans="1:64">
      <c r="A36" s="1" t="s">
        <v>1826</v>
      </c>
      <c r="J36" s="261">
        <f>K36+0.25%</f>
        <v>0.97749999999999937</v>
      </c>
      <c r="K36" s="261">
        <f>L36+0.25%</f>
        <v>0.97499999999999942</v>
      </c>
      <c r="L36" s="261">
        <f>M36+0.25%</f>
        <v>0.97249999999999948</v>
      </c>
      <c r="M36" s="261">
        <f>O36+0.25%</f>
        <v>0.96999999999999953</v>
      </c>
      <c r="O36" s="261">
        <f>P36+0.25%</f>
        <v>0.96749999999999958</v>
      </c>
      <c r="P36" s="261">
        <f>Q36+0.25%</f>
        <v>0.96499999999999964</v>
      </c>
      <c r="Q36" s="261">
        <f>R36+0.25%</f>
        <v>0.96249999999999969</v>
      </c>
      <c r="R36" s="261">
        <f>T36+0.25%</f>
        <v>0.95999999999999974</v>
      </c>
      <c r="S36" s="21">
        <f>S22/S24</f>
        <v>0.96351222354223143</v>
      </c>
      <c r="T36" s="261">
        <f>U36+0.25%</f>
        <v>0.9574999999999998</v>
      </c>
      <c r="U36" s="261">
        <f>V36+0.25%</f>
        <v>0.95499999999999985</v>
      </c>
      <c r="V36" s="261">
        <f>W36+0.25%</f>
        <v>0.9524999999999999</v>
      </c>
      <c r="W36" s="261">
        <v>0.95</v>
      </c>
      <c r="X36" s="21">
        <f t="shared" ref="X36:AC36" si="23">X22/X24</f>
        <v>0.95356389050624368</v>
      </c>
      <c r="Y36" s="21">
        <f t="shared" si="23"/>
        <v>0.95034306314687766</v>
      </c>
      <c r="Z36" s="21">
        <f t="shared" si="23"/>
        <v>0.93322277501381978</v>
      </c>
      <c r="AA36" s="21">
        <f t="shared" si="23"/>
        <v>0.92980119851612297</v>
      </c>
      <c r="AB36" s="21">
        <f t="shared" si="23"/>
        <v>0.92664168802997426</v>
      </c>
      <c r="AC36" s="21">
        <f t="shared" si="23"/>
        <v>0.93438470978354549</v>
      </c>
      <c r="AD36" s="261">
        <f>AB36-0.25%</f>
        <v>0.92414168802997432</v>
      </c>
      <c r="AE36" s="261">
        <f>AD36-0.25%</f>
        <v>0.92164168802997437</v>
      </c>
      <c r="AF36" s="261">
        <f>AE36-0.25%</f>
        <v>0.91914168802997442</v>
      </c>
      <c r="AG36" s="261">
        <f>AF36-0.25%</f>
        <v>0.91664168802997448</v>
      </c>
      <c r="AH36" s="21">
        <f>AH22/AH24</f>
        <v>0.92037212165011928</v>
      </c>
      <c r="AI36" s="261">
        <f>AG36-0.25%</f>
        <v>0.91414168802997453</v>
      </c>
      <c r="AJ36" s="261">
        <f>AI36-0.25%</f>
        <v>0.91164168802997458</v>
      </c>
      <c r="AK36" s="261">
        <f>AJ36-0.25%</f>
        <v>0.90914168802997464</v>
      </c>
      <c r="AL36" s="21">
        <f t="shared" ref="AL36:BL36" si="24">AL22/AL24</f>
        <v>0.90777258986301423</v>
      </c>
      <c r="AM36" s="21">
        <f t="shared" si="24"/>
        <v>0.91062765934225687</v>
      </c>
      <c r="AN36" s="21">
        <f t="shared" si="24"/>
        <v>0.90755136919441726</v>
      </c>
      <c r="AO36" s="21">
        <f t="shared" si="24"/>
        <v>0.90509307173269371</v>
      </c>
      <c r="AP36" s="21">
        <f t="shared" si="24"/>
        <v>0.90264562012095861</v>
      </c>
      <c r="AQ36" s="21">
        <f t="shared" si="24"/>
        <v>0.9009683682396965</v>
      </c>
      <c r="AR36" s="21">
        <f t="shared" si="24"/>
        <v>0.90401866101650286</v>
      </c>
      <c r="AS36" s="21">
        <f t="shared" si="24"/>
        <v>0.90177340861556832</v>
      </c>
      <c r="AT36" s="21">
        <f t="shared" si="24"/>
        <v>0.89940243689523669</v>
      </c>
      <c r="AU36" s="21">
        <f t="shared" si="24"/>
        <v>0.89705292844423079</v>
      </c>
      <c r="AV36" s="21">
        <f t="shared" si="24"/>
        <v>0.89552089309726013</v>
      </c>
      <c r="AW36" s="21">
        <f t="shared" si="24"/>
        <v>0.89838641981810063</v>
      </c>
      <c r="AX36" s="21">
        <f t="shared" si="24"/>
        <v>0.89745215049430915</v>
      </c>
      <c r="AY36" s="21">
        <f t="shared" si="24"/>
        <v>0.89521886747286405</v>
      </c>
      <c r="AZ36" s="21">
        <f t="shared" si="24"/>
        <v>0.89301682501560387</v>
      </c>
      <c r="BA36" s="21">
        <f t="shared" si="24"/>
        <v>0.89166753380537533</v>
      </c>
      <c r="BB36" s="21">
        <f t="shared" si="24"/>
        <v>0.89428477662198946</v>
      </c>
      <c r="BC36" s="21">
        <f t="shared" si="24"/>
        <v>0.89433571636254339</v>
      </c>
      <c r="BD36" s="21">
        <f t="shared" si="24"/>
        <v>0.89204272800141704</v>
      </c>
      <c r="BE36" s="21">
        <f t="shared" si="24"/>
        <v>0.88978215491927359</v>
      </c>
      <c r="BF36" s="21">
        <f t="shared" si="24"/>
        <v>0.88839716588506212</v>
      </c>
      <c r="BG36" s="21">
        <f t="shared" si="24"/>
        <v>0.89108376770519182</v>
      </c>
      <c r="BH36" s="21">
        <f t="shared" si="24"/>
        <v>0.89112051015580285</v>
      </c>
      <c r="BI36" s="21">
        <f t="shared" si="24"/>
        <v>0.888766427549052</v>
      </c>
      <c r="BJ36" s="21">
        <f t="shared" si="24"/>
        <v>0.88644598339492342</v>
      </c>
      <c r="BK36" s="21">
        <f t="shared" si="24"/>
        <v>0.88502448935378863</v>
      </c>
      <c r="BL36" s="21">
        <f t="shared" si="24"/>
        <v>0.88778202568880382</v>
      </c>
    </row>
    <row r="37" spans="1:64">
      <c r="A37" s="1" t="s">
        <v>1827</v>
      </c>
      <c r="J37" s="104">
        <f>1-J36</f>
        <v>2.2500000000000631E-2</v>
      </c>
      <c r="K37" s="104">
        <f>1-K36</f>
        <v>2.5000000000000577E-2</v>
      </c>
      <c r="L37" s="104">
        <f>1-L36</f>
        <v>2.7500000000000524E-2</v>
      </c>
      <c r="M37" s="104">
        <f>1-M36</f>
        <v>3.0000000000000471E-2</v>
      </c>
      <c r="O37" s="104">
        <f>1-O36</f>
        <v>3.2500000000000417E-2</v>
      </c>
      <c r="P37" s="104">
        <f>1-P36</f>
        <v>3.5000000000000364E-2</v>
      </c>
      <c r="Q37" s="104">
        <f>1-Q36</f>
        <v>3.7500000000000311E-2</v>
      </c>
      <c r="R37" s="104">
        <f>1-R36</f>
        <v>4.0000000000000258E-2</v>
      </c>
      <c r="S37" s="21">
        <f>S23/S24</f>
        <v>3.648777645776858E-2</v>
      </c>
      <c r="T37" s="104">
        <f>1-T36</f>
        <v>4.2500000000000204E-2</v>
      </c>
      <c r="U37" s="104">
        <f>1-U36</f>
        <v>4.5000000000000151E-2</v>
      </c>
      <c r="V37" s="104">
        <f>1-V36</f>
        <v>4.7500000000000098E-2</v>
      </c>
      <c r="W37" s="104">
        <f>1-W36</f>
        <v>5.0000000000000044E-2</v>
      </c>
      <c r="X37" s="21">
        <f t="shared" ref="X37:BL37" si="25">X23/X24</f>
        <v>4.6436109493756331E-2</v>
      </c>
      <c r="Y37" s="21">
        <f t="shared" si="25"/>
        <v>4.9656936853122377E-2</v>
      </c>
      <c r="Z37" s="21">
        <f t="shared" si="25"/>
        <v>6.6777224986180189E-2</v>
      </c>
      <c r="AA37" s="21">
        <f t="shared" si="25"/>
        <v>7.0198801483877069E-2</v>
      </c>
      <c r="AB37" s="21">
        <f t="shared" si="25"/>
        <v>7.3358311970025722E-2</v>
      </c>
      <c r="AC37" s="21">
        <f t="shared" si="25"/>
        <v>6.5615290216454555E-2</v>
      </c>
      <c r="AD37" s="21">
        <f t="shared" si="25"/>
        <v>7.5858311970025655E-2</v>
      </c>
      <c r="AE37" s="21">
        <f t="shared" si="25"/>
        <v>7.8358311970025588E-2</v>
      </c>
      <c r="AF37" s="21">
        <f t="shared" si="25"/>
        <v>8.0858311970025576E-2</v>
      </c>
      <c r="AG37" s="21">
        <f t="shared" si="25"/>
        <v>8.3358311970025495E-2</v>
      </c>
      <c r="AH37" s="21">
        <f t="shared" si="25"/>
        <v>7.9627878349880721E-2</v>
      </c>
      <c r="AI37" s="21">
        <f t="shared" si="25"/>
        <v>8.5858311970025483E-2</v>
      </c>
      <c r="AJ37" s="21">
        <f t="shared" si="25"/>
        <v>8.8358311970025416E-2</v>
      </c>
      <c r="AK37" s="21">
        <f t="shared" si="25"/>
        <v>9.0858311970025404E-2</v>
      </c>
      <c r="AL37" s="21">
        <f t="shared" si="25"/>
        <v>9.2227410136985696E-2</v>
      </c>
      <c r="AM37" s="21">
        <f t="shared" si="25"/>
        <v>8.9372340657743049E-2</v>
      </c>
      <c r="AN37" s="21">
        <f t="shared" si="25"/>
        <v>9.2448630805582757E-2</v>
      </c>
      <c r="AO37" s="21">
        <f t="shared" si="25"/>
        <v>9.4906928267306248E-2</v>
      </c>
      <c r="AP37" s="21">
        <f t="shared" si="25"/>
        <v>9.7354379879041414E-2</v>
      </c>
      <c r="AQ37" s="21">
        <f t="shared" si="25"/>
        <v>9.903163176030351E-2</v>
      </c>
      <c r="AR37" s="21">
        <f t="shared" si="25"/>
        <v>9.5981338983497352E-2</v>
      </c>
      <c r="AS37" s="21">
        <f t="shared" si="25"/>
        <v>9.8226591384431752E-2</v>
      </c>
      <c r="AT37" s="21">
        <f t="shared" si="25"/>
        <v>0.10059756310476338</v>
      </c>
      <c r="AU37" s="21">
        <f t="shared" si="25"/>
        <v>0.10294707155576931</v>
      </c>
      <c r="AV37" s="21">
        <f t="shared" si="25"/>
        <v>0.10447910690274001</v>
      </c>
      <c r="AW37" s="21">
        <f t="shared" si="25"/>
        <v>0.10161358018189952</v>
      </c>
      <c r="AX37" s="21">
        <f t="shared" si="25"/>
        <v>0.10254784950569076</v>
      </c>
      <c r="AY37" s="21">
        <f t="shared" si="25"/>
        <v>0.10478113252713586</v>
      </c>
      <c r="AZ37" s="21">
        <f t="shared" si="25"/>
        <v>0.10698317498439606</v>
      </c>
      <c r="BA37" s="21">
        <f t="shared" si="25"/>
        <v>0.10833246619462474</v>
      </c>
      <c r="BB37" s="21">
        <f t="shared" si="25"/>
        <v>0.10571522337801052</v>
      </c>
      <c r="BC37" s="21">
        <f t="shared" si="25"/>
        <v>0.10566428363745665</v>
      </c>
      <c r="BD37" s="21">
        <f t="shared" si="25"/>
        <v>0.1079572719985829</v>
      </c>
      <c r="BE37" s="21">
        <f t="shared" si="25"/>
        <v>0.11021784508072641</v>
      </c>
      <c r="BF37" s="21">
        <f t="shared" si="25"/>
        <v>0.11160283411493786</v>
      </c>
      <c r="BG37" s="21">
        <f t="shared" si="25"/>
        <v>0.10891623229480817</v>
      </c>
      <c r="BH37" s="21">
        <f t="shared" si="25"/>
        <v>0.10887948984419718</v>
      </c>
      <c r="BI37" s="21">
        <f t="shared" si="25"/>
        <v>0.11123357245094806</v>
      </c>
      <c r="BJ37" s="21">
        <f t="shared" si="25"/>
        <v>0.11355401660507654</v>
      </c>
      <c r="BK37" s="21">
        <f t="shared" si="25"/>
        <v>0.11497551064621132</v>
      </c>
      <c r="BL37" s="21">
        <f t="shared" si="25"/>
        <v>0.11221797431119618</v>
      </c>
    </row>
    <row r="39" spans="1:64">
      <c r="A39" s="1" t="s">
        <v>1828</v>
      </c>
      <c r="O39" s="21">
        <f t="shared" ref="O39:AK39" si="26">O7/O24</f>
        <v>0.27277867294520536</v>
      </c>
      <c r="P39" s="21">
        <f t="shared" si="26"/>
        <v>0.26903663800231509</v>
      </c>
      <c r="Q39" s="21">
        <f t="shared" si="26"/>
        <v>0.27344535776361523</v>
      </c>
      <c r="R39" s="21">
        <f t="shared" si="26"/>
        <v>0.28064981100377989</v>
      </c>
      <c r="S39" s="21">
        <f t="shared" si="26"/>
        <v>0.27426103858555162</v>
      </c>
      <c r="T39" s="21">
        <f t="shared" si="26"/>
        <v>0.23703979923653326</v>
      </c>
      <c r="U39" s="21">
        <f t="shared" si="26"/>
        <v>0.21633201681742897</v>
      </c>
      <c r="V39" s="21">
        <f t="shared" si="26"/>
        <v>0.20923464386843821</v>
      </c>
      <c r="W39" s="21">
        <f t="shared" si="26"/>
        <v>0.22135244395442849</v>
      </c>
      <c r="X39" s="21">
        <f t="shared" si="26"/>
        <v>0.22010549033038407</v>
      </c>
      <c r="Y39" s="21">
        <f t="shared" si="26"/>
        <v>0.22735201767647401</v>
      </c>
      <c r="Z39" s="21">
        <f t="shared" si="26"/>
        <v>0.2124930901050304</v>
      </c>
      <c r="AA39" s="21">
        <f t="shared" si="26"/>
        <v>0.20279653762008942</v>
      </c>
      <c r="AB39" s="21">
        <f t="shared" si="26"/>
        <v>0.2052849536580556</v>
      </c>
      <c r="AC39" s="21">
        <f t="shared" si="26"/>
        <v>0.21125877960260059</v>
      </c>
      <c r="AD39" s="21">
        <f t="shared" si="26"/>
        <v>0.19626073774633651</v>
      </c>
      <c r="AE39" s="21">
        <f t="shared" si="26"/>
        <v>0.18972909764178519</v>
      </c>
      <c r="AF39" s="21">
        <f t="shared" si="26"/>
        <v>0.18976927204435698</v>
      </c>
      <c r="AG39" s="21">
        <f t="shared" si="26"/>
        <v>0.19371620932367645</v>
      </c>
      <c r="AH39" s="21">
        <f t="shared" si="26"/>
        <v>0.19226094988090028</v>
      </c>
      <c r="AI39" s="21">
        <f t="shared" si="26"/>
        <v>0.19918575063613231</v>
      </c>
      <c r="AJ39" s="21">
        <f t="shared" si="26"/>
        <v>0.19197902505340841</v>
      </c>
      <c r="AK39" s="21">
        <f t="shared" si="26"/>
        <v>0.19365788298347478</v>
      </c>
      <c r="AL39" s="261">
        <f>AK39-0.2%</f>
        <v>0.19165788298347478</v>
      </c>
      <c r="AM39" s="21">
        <f>AM7/AM24</f>
        <v>0.19407434123006559</v>
      </c>
      <c r="AN39" s="261">
        <f>AL39-0.1%</f>
        <v>0.19065788298347477</v>
      </c>
      <c r="AO39" s="261">
        <f>AN39-0.1%</f>
        <v>0.18965788298347477</v>
      </c>
      <c r="AP39" s="261">
        <f>AO39-0.1%</f>
        <v>0.18865788298347477</v>
      </c>
      <c r="AQ39" s="261">
        <f>AP39-0.1%</f>
        <v>0.18765788298347477</v>
      </c>
      <c r="AR39" s="21">
        <f>AR7/AR24</f>
        <v>0.18914210453237298</v>
      </c>
      <c r="AS39" s="261">
        <f>AQ39-0.05%</f>
        <v>0.18715788298347477</v>
      </c>
      <c r="AT39" s="261">
        <f>AR39-0.05%</f>
        <v>0.18864210453237298</v>
      </c>
      <c r="AU39" s="261">
        <f>AS39-0.05%</f>
        <v>0.18665788298347477</v>
      </c>
      <c r="AV39" s="261">
        <f>AT39-0.05%</f>
        <v>0.18814210453237298</v>
      </c>
      <c r="AW39" s="21">
        <f>AW7/AW24</f>
        <v>0.18762948003421914</v>
      </c>
      <c r="AX39" s="261">
        <f>AV39-0.05%</f>
        <v>0.18764210453237298</v>
      </c>
      <c r="AY39" s="261">
        <f>AW39-0.05%</f>
        <v>0.18712948003421914</v>
      </c>
      <c r="AZ39" s="261">
        <f>AX39-0.05%</f>
        <v>0.18714210453237298</v>
      </c>
      <c r="BA39" s="261">
        <f>AY39-0.05%</f>
        <v>0.18662948003421914</v>
      </c>
      <c r="BB39" s="21">
        <f>BB7/BB24</f>
        <v>0.18713271370337622</v>
      </c>
      <c r="BC39" s="261">
        <f>BA39-0.05%</f>
        <v>0.18612948003421914</v>
      </c>
      <c r="BD39" s="261">
        <f>BB39-0.05%</f>
        <v>0.18663271370337622</v>
      </c>
      <c r="BE39" s="261">
        <f>BC39-0.05%</f>
        <v>0.18562948003421914</v>
      </c>
      <c r="BF39" s="261">
        <f>BD39-0.05%</f>
        <v>0.18613271370337622</v>
      </c>
      <c r="BG39" s="21">
        <f>BG7/BG24</f>
        <v>0.1861192467539278</v>
      </c>
      <c r="BH39" s="261">
        <f>BF39-0.05%</f>
        <v>0.18563271370337622</v>
      </c>
      <c r="BI39" s="261">
        <f>BG39-0.05%</f>
        <v>0.1856192467539278</v>
      </c>
      <c r="BJ39" s="261">
        <f>BH39-0.05%</f>
        <v>0.18513271370337622</v>
      </c>
      <c r="BK39" s="261">
        <f>BI39-0.05%</f>
        <v>0.1851192467539278</v>
      </c>
      <c r="BL39" s="21">
        <f>BL7/BL24</f>
        <v>0.1853685623362657</v>
      </c>
    </row>
    <row r="41" spans="1:64">
      <c r="A41" s="3" t="s">
        <v>1829</v>
      </c>
      <c r="Y41" s="262" t="s">
        <v>1830</v>
      </c>
    </row>
    <row r="42" spans="1:64">
      <c r="A42" s="1" t="s">
        <v>1831</v>
      </c>
      <c r="J42" s="376">
        <v>76.400000000000006</v>
      </c>
      <c r="K42" s="376">
        <v>79.3</v>
      </c>
      <c r="L42" s="376">
        <v>82.9</v>
      </c>
      <c r="M42" s="376">
        <v>85.1</v>
      </c>
      <c r="N42" s="375">
        <f>SUM(J42:M42)</f>
        <v>323.7</v>
      </c>
      <c r="O42" s="376">
        <v>78.2</v>
      </c>
      <c r="P42" s="376">
        <v>82.1</v>
      </c>
      <c r="Q42" s="376">
        <v>87.6</v>
      </c>
      <c r="R42" s="376">
        <v>93</v>
      </c>
      <c r="S42" s="375">
        <f>SUM(O42:R42)</f>
        <v>340.9</v>
      </c>
      <c r="T42" s="376">
        <v>79.099999999999994</v>
      </c>
      <c r="U42" s="376">
        <v>83.8</v>
      </c>
      <c r="V42" s="376">
        <v>93.4</v>
      </c>
      <c r="W42" s="376">
        <v>97.3</v>
      </c>
      <c r="X42" s="375">
        <f>SUM(T42:W42)</f>
        <v>353.59999999999997</v>
      </c>
      <c r="Y42" s="376">
        <v>133.30000000000001</v>
      </c>
      <c r="Z42" s="376">
        <v>139.9</v>
      </c>
      <c r="AA42" s="376">
        <v>153.4</v>
      </c>
      <c r="AB42" s="376">
        <v>154.69999999999999</v>
      </c>
      <c r="AC42" s="375">
        <f>SUM(Y42:AB42)</f>
        <v>581.29999999999995</v>
      </c>
      <c r="AD42" s="376">
        <v>143</v>
      </c>
      <c r="AE42" s="376">
        <v>145.1</v>
      </c>
      <c r="AF42" s="376">
        <v>151.5</v>
      </c>
      <c r="AG42" s="376">
        <v>151.69999999999999</v>
      </c>
      <c r="AH42" s="375">
        <f>SUM(AD42:AG42)</f>
        <v>591.29999999999995</v>
      </c>
      <c r="AI42" s="376">
        <v>142.5</v>
      </c>
      <c r="AJ42" s="376">
        <v>147.30000000000001</v>
      </c>
      <c r="AK42" s="376">
        <v>157.19999999999999</v>
      </c>
    </row>
    <row r="43" spans="1:64">
      <c r="A43" s="1" t="s">
        <v>28</v>
      </c>
      <c r="O43" s="16">
        <f t="shared" ref="O43:AH43" si="27">O42/J42-1</f>
        <v>2.3560209424083656E-2</v>
      </c>
      <c r="P43" s="16">
        <f t="shared" si="27"/>
        <v>3.5308953341740112E-2</v>
      </c>
      <c r="Q43" s="16">
        <f t="shared" si="27"/>
        <v>5.669481302774404E-2</v>
      </c>
      <c r="R43" s="16">
        <f t="shared" si="27"/>
        <v>9.2831962397179835E-2</v>
      </c>
      <c r="S43" s="16">
        <f t="shared" si="27"/>
        <v>5.3135619400679568E-2</v>
      </c>
      <c r="T43" s="16">
        <f t="shared" si="27"/>
        <v>1.1508951406649537E-2</v>
      </c>
      <c r="U43" s="16">
        <f t="shared" si="27"/>
        <v>2.0706455542021995E-2</v>
      </c>
      <c r="V43" s="16">
        <f t="shared" si="27"/>
        <v>6.6210045662100647E-2</v>
      </c>
      <c r="W43" s="16">
        <f t="shared" si="27"/>
        <v>4.6236559139784861E-2</v>
      </c>
      <c r="X43" s="16">
        <f t="shared" si="27"/>
        <v>3.7254326782047542E-2</v>
      </c>
      <c r="Y43" s="16">
        <f t="shared" si="27"/>
        <v>0.6852085967130217</v>
      </c>
      <c r="Z43" s="16">
        <f t="shared" si="27"/>
        <v>0.66945107398568027</v>
      </c>
      <c r="AA43" s="16">
        <f t="shared" si="27"/>
        <v>0.64239828693790146</v>
      </c>
      <c r="AB43" s="16">
        <f t="shared" si="27"/>
        <v>0.58992805755395672</v>
      </c>
      <c r="AC43" s="16">
        <f t="shared" si="27"/>
        <v>0.64394796380090491</v>
      </c>
      <c r="AD43" s="16">
        <f t="shared" si="27"/>
        <v>7.2768192048011882E-2</v>
      </c>
      <c r="AE43" s="16">
        <f t="shared" si="27"/>
        <v>3.7169406719085085E-2</v>
      </c>
      <c r="AF43" s="16">
        <f t="shared" si="27"/>
        <v>-1.2385919165580184E-2</v>
      </c>
      <c r="AG43" s="16">
        <f t="shared" si="27"/>
        <v>-1.9392372333548846E-2</v>
      </c>
      <c r="AH43" s="16">
        <f t="shared" si="27"/>
        <v>1.7202821262687129E-2</v>
      </c>
      <c r="AI43" s="16">
        <f>AI42/AD42-1</f>
        <v>-3.4965034965035446E-3</v>
      </c>
      <c r="AJ43" s="16">
        <f>AJ42/AE42-1</f>
        <v>1.5161957270847903E-2</v>
      </c>
      <c r="AK43" s="16">
        <f>AK42/AF42-1</f>
        <v>3.7623762376237657E-2</v>
      </c>
    </row>
    <row r="45" spans="1:64">
      <c r="A45" s="3" t="s">
        <v>1832</v>
      </c>
    </row>
    <row r="46" spans="1:64">
      <c r="A46" s="5" t="s">
        <v>1831</v>
      </c>
      <c r="J46" s="375"/>
      <c r="K46" s="375"/>
      <c r="L46" s="375"/>
      <c r="M46" s="375"/>
      <c r="N46" s="375"/>
      <c r="O46" s="375"/>
      <c r="P46" s="375"/>
      <c r="Q46" s="375"/>
      <c r="R46" s="375"/>
      <c r="S46" s="375"/>
      <c r="T46" s="375"/>
      <c r="U46" s="375"/>
      <c r="V46" s="375"/>
      <c r="W46" s="375"/>
      <c r="X46" s="375"/>
      <c r="Y46" s="375">
        <f t="shared" ref="Y46:AL46" si="28">Y62</f>
        <v>133.30000000000001</v>
      </c>
      <c r="Z46" s="375">
        <f t="shared" si="28"/>
        <v>139.9</v>
      </c>
      <c r="AA46" s="375">
        <f t="shared" si="28"/>
        <v>153.4</v>
      </c>
      <c r="AB46" s="375">
        <f t="shared" si="28"/>
        <v>154.69999999999999</v>
      </c>
      <c r="AC46" s="375">
        <f t="shared" si="28"/>
        <v>581.29999999999995</v>
      </c>
      <c r="AD46" s="375">
        <f t="shared" si="28"/>
        <v>143</v>
      </c>
      <c r="AE46" s="375">
        <f t="shared" si="28"/>
        <v>145.1</v>
      </c>
      <c r="AF46" s="375">
        <f t="shared" si="28"/>
        <v>151.5</v>
      </c>
      <c r="AG46" s="375">
        <f t="shared" si="28"/>
        <v>151.69999999999999</v>
      </c>
      <c r="AH46" s="375">
        <f t="shared" si="28"/>
        <v>591.29999999999995</v>
      </c>
      <c r="AI46" s="375">
        <f t="shared" si="28"/>
        <v>142.5</v>
      </c>
      <c r="AJ46" s="375">
        <f t="shared" si="28"/>
        <v>147.30000000000001</v>
      </c>
      <c r="AK46" s="375">
        <f t="shared" si="28"/>
        <v>157.19999999999999</v>
      </c>
      <c r="AL46" s="375">
        <f t="shared" si="28"/>
        <v>157.81378474402302</v>
      </c>
      <c r="AM46" s="375">
        <f>SUM(AI46:AL46)</f>
        <v>604.813784744023</v>
      </c>
      <c r="AN46" s="375">
        <f>AN62</f>
        <v>149.65887980277549</v>
      </c>
      <c r="AO46" s="375">
        <f>AO62</f>
        <v>153.89948238506688</v>
      </c>
      <c r="AP46" s="375">
        <f>AP62</f>
        <v>159.60705257121907</v>
      </c>
      <c r="AQ46" s="375">
        <f>AQ62</f>
        <v>159.26002616263577</v>
      </c>
      <c r="AR46" s="375">
        <f>SUM(AN46:AQ46)</f>
        <v>622.42544092169715</v>
      </c>
      <c r="AS46" s="375">
        <f>AS62</f>
        <v>153.20206835181904</v>
      </c>
      <c r="AT46" s="375">
        <f>AT62</f>
        <v>157.15836881521821</v>
      </c>
      <c r="AU46" s="375">
        <f>AU62</f>
        <v>163.15154998790479</v>
      </c>
      <c r="AV46" s="375">
        <f>AV62</f>
        <v>162.56061774245569</v>
      </c>
      <c r="AW46" s="375">
        <f>SUM(AS46:AV46)</f>
        <v>636.0726048973977</v>
      </c>
      <c r="AX46" s="375">
        <f>AX62</f>
        <v>157.07279385438943</v>
      </c>
      <c r="AY46" s="375">
        <f>AY62</f>
        <v>160.60339188893164</v>
      </c>
      <c r="AZ46" s="375">
        <f>AZ62</f>
        <v>166.87652891506607</v>
      </c>
      <c r="BA46" s="375">
        <f>BA62</f>
        <v>165.98844980726395</v>
      </c>
      <c r="BB46" s="375">
        <f>SUM(AX46:BA46)</f>
        <v>650.54116446565104</v>
      </c>
      <c r="BC46" s="375">
        <f>BC62</f>
        <v>161.63647308686177</v>
      </c>
      <c r="BD46" s="375">
        <f>BD62</f>
        <v>164.64736494626993</v>
      </c>
      <c r="BE46" s="375">
        <f>BE62</f>
        <v>171.23902711219247</v>
      </c>
      <c r="BF46" s="375">
        <f>BF62</f>
        <v>169.98120115072203</v>
      </c>
      <c r="BG46" s="375">
        <f>SUM(BC46:BF46)</f>
        <v>667.50406629604618</v>
      </c>
      <c r="BH46" s="375">
        <f>BH62</f>
        <v>166.68244658459977</v>
      </c>
      <c r="BI46" s="375">
        <f>BI62</f>
        <v>169.10538375597585</v>
      </c>
      <c r="BJ46" s="375">
        <f>BJ62</f>
        <v>176.04862757248833</v>
      </c>
      <c r="BK46" s="375">
        <f>BK62</f>
        <v>174.36496189022716</v>
      </c>
      <c r="BL46" s="375">
        <f>SUM(BH46:BK46)</f>
        <v>686.20141980329117</v>
      </c>
    </row>
    <row r="47" spans="1:64">
      <c r="A47" s="5" t="s">
        <v>192</v>
      </c>
      <c r="J47" s="375"/>
      <c r="K47" s="375"/>
      <c r="L47" s="375"/>
      <c r="M47" s="375"/>
      <c r="N47" s="375"/>
      <c r="O47" s="375"/>
      <c r="P47" s="375"/>
      <c r="Q47" s="375"/>
      <c r="R47" s="375"/>
      <c r="S47" s="375"/>
      <c r="T47" s="375"/>
      <c r="U47" s="375"/>
      <c r="V47" s="375"/>
      <c r="W47" s="375"/>
      <c r="X47" s="375"/>
      <c r="Y47" s="375">
        <f t="shared" ref="Y47:AK47" si="29">Y48-Y46</f>
        <v>14.099999999999994</v>
      </c>
      <c r="Z47" s="375">
        <f t="shared" si="29"/>
        <v>14</v>
      </c>
      <c r="AA47" s="375">
        <f t="shared" si="29"/>
        <v>12.199999999999989</v>
      </c>
      <c r="AB47" s="375">
        <f t="shared" si="29"/>
        <v>12.800000000000011</v>
      </c>
      <c r="AC47" s="375">
        <f t="shared" si="29"/>
        <v>53.100000000000023</v>
      </c>
      <c r="AD47" s="375">
        <f t="shared" si="29"/>
        <v>22.199999999999989</v>
      </c>
      <c r="AE47" s="375">
        <f t="shared" si="29"/>
        <v>20.400000000000006</v>
      </c>
      <c r="AF47" s="375">
        <f t="shared" si="29"/>
        <v>25.099999999999994</v>
      </c>
      <c r="AG47" s="375">
        <f t="shared" si="29"/>
        <v>27.5</v>
      </c>
      <c r="AH47" s="375">
        <f t="shared" si="29"/>
        <v>95.200000000000045</v>
      </c>
      <c r="AI47" s="375">
        <f t="shared" si="29"/>
        <v>25.699999999999989</v>
      </c>
      <c r="AJ47" s="375">
        <f t="shared" si="29"/>
        <v>25.399999999999977</v>
      </c>
      <c r="AK47" s="375">
        <f t="shared" si="29"/>
        <v>23.200000000000017</v>
      </c>
      <c r="AL47" s="377">
        <f>AG47*1.05</f>
        <v>28.875</v>
      </c>
      <c r="AM47" s="375">
        <f>SUM(AI47:AL47)</f>
        <v>103.17499999999998</v>
      </c>
      <c r="AN47" s="377">
        <f t="shared" ref="AN47:AQ47" si="30">AI47*1.05</f>
        <v>26.984999999999989</v>
      </c>
      <c r="AO47" s="377">
        <f t="shared" si="30"/>
        <v>26.669999999999977</v>
      </c>
      <c r="AP47" s="377">
        <f t="shared" si="30"/>
        <v>24.360000000000017</v>
      </c>
      <c r="AQ47" s="377">
        <f t="shared" si="30"/>
        <v>30.318750000000001</v>
      </c>
      <c r="AR47" s="375">
        <f>SUM(AN47:AQ47)</f>
        <v>108.33374999999998</v>
      </c>
      <c r="AS47" s="377">
        <f>AN47*1.05</f>
        <v>28.33424999999999</v>
      </c>
      <c r="AT47" s="377">
        <f t="shared" ref="AT47:AV47" si="31">AO47*1.05</f>
        <v>28.003499999999978</v>
      </c>
      <c r="AU47" s="377">
        <f t="shared" si="31"/>
        <v>25.578000000000021</v>
      </c>
      <c r="AV47" s="377">
        <f t="shared" si="31"/>
        <v>31.834687500000001</v>
      </c>
      <c r="AW47" s="375">
        <f>SUM(AS47:AV47)</f>
        <v>113.75043749999999</v>
      </c>
      <c r="AX47" s="377">
        <f>AS47*1.05</f>
        <v>29.750962499999989</v>
      </c>
      <c r="AY47" s="377">
        <f t="shared" ref="AY47" si="32">AT47*1.05</f>
        <v>29.403674999999978</v>
      </c>
      <c r="AZ47" s="377">
        <f t="shared" ref="AZ47" si="33">AU47*1.05</f>
        <v>26.856900000000024</v>
      </c>
      <c r="BA47" s="377">
        <f t="shared" ref="BA47" si="34">AV47*1.05</f>
        <v>33.426421875000003</v>
      </c>
      <c r="BB47" s="375">
        <f>SUM(AX47:BA47)</f>
        <v>119.43795937499999</v>
      </c>
      <c r="BC47" s="377">
        <f>AX47*1.05</f>
        <v>31.238510624999989</v>
      </c>
      <c r="BD47" s="377">
        <f t="shared" ref="BD47" si="35">AY47*1.05</f>
        <v>30.873858749999979</v>
      </c>
      <c r="BE47" s="377">
        <f t="shared" ref="BE47" si="36">AZ47*1.05</f>
        <v>28.199745000000028</v>
      </c>
      <c r="BF47" s="377">
        <f t="shared" ref="BF47" si="37">BA47*1.05</f>
        <v>35.097742968750005</v>
      </c>
      <c r="BG47" s="375">
        <f>SUM(BC47:BF47)</f>
        <v>125.40985734374999</v>
      </c>
      <c r="BH47" s="377">
        <f>BC47*1.05</f>
        <v>32.800436156249987</v>
      </c>
      <c r="BI47" s="377">
        <f t="shared" ref="BI47" si="38">BD47*1.05</f>
        <v>32.41755168749998</v>
      </c>
      <c r="BJ47" s="377">
        <f t="shared" ref="BJ47" si="39">BE47*1.05</f>
        <v>29.609732250000032</v>
      </c>
      <c r="BK47" s="377">
        <f t="shared" ref="BK47" si="40">BF47*1.05</f>
        <v>36.852630117187509</v>
      </c>
      <c r="BL47" s="375">
        <f>SUM(BH47:BK47)</f>
        <v>131.68035021093752</v>
      </c>
    </row>
    <row r="48" spans="1:64">
      <c r="A48" s="9" t="s">
        <v>1833</v>
      </c>
      <c r="B48" s="9"/>
      <c r="C48" s="9"/>
      <c r="D48" s="9"/>
      <c r="E48" s="9"/>
      <c r="F48" s="9"/>
      <c r="G48" s="9"/>
      <c r="H48" s="9"/>
      <c r="I48" s="9"/>
      <c r="J48" s="378"/>
      <c r="K48" s="378"/>
      <c r="L48" s="378"/>
      <c r="M48" s="378"/>
      <c r="N48" s="378"/>
      <c r="O48" s="378"/>
      <c r="P48" s="378"/>
      <c r="Q48" s="378"/>
      <c r="R48" s="378"/>
      <c r="S48" s="378"/>
      <c r="T48" s="378"/>
      <c r="U48" s="378"/>
      <c r="V48" s="378"/>
      <c r="W48" s="378"/>
      <c r="X48" s="378"/>
      <c r="Y48" s="378">
        <f t="shared" ref="Y48:AK48" si="41">Y6</f>
        <v>147.4</v>
      </c>
      <c r="Z48" s="378">
        <f t="shared" si="41"/>
        <v>153.9</v>
      </c>
      <c r="AA48" s="378">
        <f t="shared" si="41"/>
        <v>165.6</v>
      </c>
      <c r="AB48" s="378">
        <f t="shared" si="41"/>
        <v>167.5</v>
      </c>
      <c r="AC48" s="378">
        <f t="shared" si="41"/>
        <v>634.4</v>
      </c>
      <c r="AD48" s="378">
        <f t="shared" si="41"/>
        <v>165.2</v>
      </c>
      <c r="AE48" s="378">
        <f t="shared" si="41"/>
        <v>165.5</v>
      </c>
      <c r="AF48" s="378">
        <f t="shared" si="41"/>
        <v>176.6</v>
      </c>
      <c r="AG48" s="378">
        <f t="shared" si="41"/>
        <v>179.2</v>
      </c>
      <c r="AH48" s="378">
        <f t="shared" si="41"/>
        <v>686.5</v>
      </c>
      <c r="AI48" s="378">
        <f t="shared" si="41"/>
        <v>168.2</v>
      </c>
      <c r="AJ48" s="378">
        <f t="shared" si="41"/>
        <v>172.7</v>
      </c>
      <c r="AK48" s="378">
        <f t="shared" si="41"/>
        <v>180.4</v>
      </c>
      <c r="AL48" s="378">
        <f t="shared" ref="AL48:BL48" si="42">SUM(AL46:AL47)</f>
        <v>186.68878474402302</v>
      </c>
      <c r="AM48" s="378">
        <f t="shared" si="42"/>
        <v>707.98878474402295</v>
      </c>
      <c r="AN48" s="378">
        <f t="shared" si="42"/>
        <v>176.64387980277547</v>
      </c>
      <c r="AO48" s="378">
        <f t="shared" si="42"/>
        <v>180.56948238506686</v>
      </c>
      <c r="AP48" s="378">
        <f t="shared" si="42"/>
        <v>183.96705257121909</v>
      </c>
      <c r="AQ48" s="378">
        <f t="shared" si="42"/>
        <v>189.57877616263576</v>
      </c>
      <c r="AR48" s="378">
        <f t="shared" si="42"/>
        <v>730.75919092169715</v>
      </c>
      <c r="AS48" s="378">
        <f t="shared" si="42"/>
        <v>181.53631835181903</v>
      </c>
      <c r="AT48" s="378">
        <f t="shared" si="42"/>
        <v>185.16186881521818</v>
      </c>
      <c r="AU48" s="378">
        <f t="shared" si="42"/>
        <v>188.72954998790482</v>
      </c>
      <c r="AV48" s="378">
        <f t="shared" si="42"/>
        <v>194.39530524245569</v>
      </c>
      <c r="AW48" s="378">
        <f t="shared" si="42"/>
        <v>749.82304239739767</v>
      </c>
      <c r="AX48" s="378">
        <f t="shared" si="42"/>
        <v>186.82375635438942</v>
      </c>
      <c r="AY48" s="378">
        <f t="shared" si="42"/>
        <v>190.0070668889316</v>
      </c>
      <c r="AZ48" s="378">
        <f t="shared" si="42"/>
        <v>193.7334289150661</v>
      </c>
      <c r="BA48" s="378">
        <f t="shared" si="42"/>
        <v>199.41487168226394</v>
      </c>
      <c r="BB48" s="378">
        <f t="shared" si="42"/>
        <v>769.97912384065103</v>
      </c>
      <c r="BC48" s="378">
        <f t="shared" si="42"/>
        <v>192.87498371186177</v>
      </c>
      <c r="BD48" s="378">
        <f t="shared" si="42"/>
        <v>195.52122369626991</v>
      </c>
      <c r="BE48" s="378">
        <f t="shared" si="42"/>
        <v>199.43877211219251</v>
      </c>
      <c r="BF48" s="378">
        <f t="shared" si="42"/>
        <v>205.07894411947203</v>
      </c>
      <c r="BG48" s="378">
        <f t="shared" si="42"/>
        <v>792.91392363979617</v>
      </c>
      <c r="BH48" s="378">
        <f t="shared" si="42"/>
        <v>199.48288274084976</v>
      </c>
      <c r="BI48" s="378">
        <f t="shared" si="42"/>
        <v>201.52293544347583</v>
      </c>
      <c r="BJ48" s="378">
        <f t="shared" si="42"/>
        <v>205.65835982248836</v>
      </c>
      <c r="BK48" s="378">
        <f t="shared" si="42"/>
        <v>211.21759200741468</v>
      </c>
      <c r="BL48" s="378">
        <f t="shared" si="42"/>
        <v>817.88177001422866</v>
      </c>
    </row>
    <row r="50" spans="1:64">
      <c r="A50" s="3" t="s">
        <v>1663</v>
      </c>
    </row>
    <row r="51" spans="1:64">
      <c r="A51" s="5" t="s">
        <v>1831</v>
      </c>
      <c r="AD51" s="16">
        <f t="shared" ref="AD51:BL53" si="43">AD46/Y46-1</f>
        <v>7.2768192048011882E-2</v>
      </c>
      <c r="AE51" s="16">
        <f t="shared" si="43"/>
        <v>3.7169406719085085E-2</v>
      </c>
      <c r="AF51" s="16">
        <f t="shared" si="43"/>
        <v>-1.2385919165580184E-2</v>
      </c>
      <c r="AG51" s="16">
        <f t="shared" si="43"/>
        <v>-1.9392372333548846E-2</v>
      </c>
      <c r="AH51" s="16">
        <f t="shared" si="43"/>
        <v>1.7202821262687129E-2</v>
      </c>
      <c r="AI51" s="16">
        <f t="shared" si="43"/>
        <v>-3.4965034965035446E-3</v>
      </c>
      <c r="AJ51" s="16">
        <f t="shared" si="43"/>
        <v>1.5161957270847903E-2</v>
      </c>
      <c r="AK51" s="16">
        <f t="shared" si="43"/>
        <v>3.7623762376237657E-2</v>
      </c>
      <c r="AL51" s="16">
        <f t="shared" si="43"/>
        <v>4.0301811101008722E-2</v>
      </c>
      <c r="AM51" s="16">
        <f t="shared" si="43"/>
        <v>2.2854362834471509E-2</v>
      </c>
      <c r="AN51" s="16">
        <f t="shared" si="43"/>
        <v>5.0237753001933338E-2</v>
      </c>
      <c r="AO51" s="16">
        <f t="shared" si="43"/>
        <v>4.4803003293053978E-2</v>
      </c>
      <c r="AP51" s="16">
        <f t="shared" si="43"/>
        <v>1.5312039257118881E-2</v>
      </c>
      <c r="AQ51" s="16">
        <f t="shared" si="43"/>
        <v>9.1642274529983858E-3</v>
      </c>
      <c r="AR51" s="16">
        <f t="shared" si="43"/>
        <v>2.9119138190820237E-2</v>
      </c>
      <c r="AS51" s="16">
        <f t="shared" si="43"/>
        <v>2.3675097352812369E-2</v>
      </c>
      <c r="AT51" s="16">
        <f t="shared" si="43"/>
        <v>2.1175421643052639E-2</v>
      </c>
      <c r="AU51" s="16">
        <f t="shared" si="43"/>
        <v>2.2207649095606907E-2</v>
      </c>
      <c r="AV51" s="16">
        <f t="shared" si="43"/>
        <v>2.0724545005721406E-2</v>
      </c>
      <c r="AW51" s="16">
        <f t="shared" si="43"/>
        <v>2.1925781111214793E-2</v>
      </c>
      <c r="AX51" s="16">
        <f t="shared" si="43"/>
        <v>2.5265491153040553E-2</v>
      </c>
      <c r="AY51" s="16">
        <f t="shared" si="43"/>
        <v>2.1920710298055868E-2</v>
      </c>
      <c r="AZ51" s="16">
        <f t="shared" si="43"/>
        <v>2.2831403853885712E-2</v>
      </c>
      <c r="BA51" s="16">
        <f t="shared" si="43"/>
        <v>2.1086485228783758E-2</v>
      </c>
      <c r="BB51" s="16">
        <f t="shared" si="43"/>
        <v>2.2746710763604128E-2</v>
      </c>
      <c r="BC51" s="16">
        <f t="shared" si="43"/>
        <v>2.9054549298352716E-2</v>
      </c>
      <c r="BD51" s="16">
        <f t="shared" si="43"/>
        <v>2.5179873287701104E-2</v>
      </c>
      <c r="BE51" s="16">
        <f t="shared" si="43"/>
        <v>2.6142071778990195E-2</v>
      </c>
      <c r="BF51" s="16">
        <f t="shared" si="43"/>
        <v>2.4054392628488408E-2</v>
      </c>
      <c r="BG51" s="16">
        <f t="shared" si="43"/>
        <v>2.6075062973652585E-2</v>
      </c>
      <c r="BH51" s="16">
        <f t="shared" si="43"/>
        <v>3.1218037620917016E-2</v>
      </c>
      <c r="BI51" s="16">
        <f t="shared" si="43"/>
        <v>2.707616250743361E-2</v>
      </c>
      <c r="BJ51" s="16">
        <f t="shared" si="43"/>
        <v>2.8087057847769215E-2</v>
      </c>
      <c r="BK51" s="16">
        <f t="shared" si="43"/>
        <v>2.5789679740044091E-2</v>
      </c>
      <c r="BL51" s="16">
        <f t="shared" si="43"/>
        <v>2.8010845852963762E-2</v>
      </c>
    </row>
    <row r="52" spans="1:64">
      <c r="A52" s="5" t="s">
        <v>192</v>
      </c>
      <c r="AD52" s="16">
        <f t="shared" si="43"/>
        <v>0.57446808510638281</v>
      </c>
      <c r="AE52" s="16">
        <f t="shared" si="43"/>
        <v>0.45714285714285752</v>
      </c>
      <c r="AF52" s="16">
        <f t="shared" si="43"/>
        <v>1.0573770491803294</v>
      </c>
      <c r="AG52" s="16">
        <f t="shared" si="43"/>
        <v>1.1484374999999982</v>
      </c>
      <c r="AH52" s="16">
        <f t="shared" si="43"/>
        <v>0.79284369114877595</v>
      </c>
      <c r="AI52" s="16">
        <f t="shared" si="43"/>
        <v>0.15765765765765782</v>
      </c>
      <c r="AJ52" s="16">
        <f t="shared" si="43"/>
        <v>0.24509803921568474</v>
      </c>
      <c r="AK52" s="16">
        <f t="shared" si="43"/>
        <v>-7.5697211155377642E-2</v>
      </c>
      <c r="AL52" s="16">
        <f t="shared" si="43"/>
        <v>5.0000000000000044E-2</v>
      </c>
      <c r="AM52" s="16">
        <f t="shared" si="43"/>
        <v>8.3771008403360714E-2</v>
      </c>
      <c r="AN52" s="16">
        <f t="shared" si="43"/>
        <v>5.0000000000000044E-2</v>
      </c>
      <c r="AO52" s="16">
        <f t="shared" si="43"/>
        <v>5.0000000000000044E-2</v>
      </c>
      <c r="AP52" s="16">
        <f t="shared" si="43"/>
        <v>5.0000000000000044E-2</v>
      </c>
      <c r="AQ52" s="16">
        <f t="shared" si="43"/>
        <v>5.0000000000000044E-2</v>
      </c>
      <c r="AR52" s="16">
        <f t="shared" si="43"/>
        <v>5.0000000000000044E-2</v>
      </c>
      <c r="AS52" s="16">
        <f t="shared" si="43"/>
        <v>5.0000000000000044E-2</v>
      </c>
      <c r="AT52" s="16">
        <f t="shared" si="43"/>
        <v>5.0000000000000044E-2</v>
      </c>
      <c r="AU52" s="16">
        <f t="shared" si="43"/>
        <v>5.0000000000000044E-2</v>
      </c>
      <c r="AV52" s="16">
        <f t="shared" si="43"/>
        <v>5.0000000000000044E-2</v>
      </c>
      <c r="AW52" s="16">
        <f t="shared" si="43"/>
        <v>5.0000000000000044E-2</v>
      </c>
      <c r="AX52" s="16">
        <f t="shared" si="43"/>
        <v>5.0000000000000044E-2</v>
      </c>
      <c r="AY52" s="16">
        <f t="shared" si="43"/>
        <v>5.0000000000000044E-2</v>
      </c>
      <c r="AZ52" s="16">
        <f t="shared" si="43"/>
        <v>5.0000000000000044E-2</v>
      </c>
      <c r="BA52" s="16">
        <f t="shared" si="43"/>
        <v>5.0000000000000044E-2</v>
      </c>
      <c r="BB52" s="16">
        <f t="shared" si="43"/>
        <v>5.0000000000000044E-2</v>
      </c>
      <c r="BC52" s="16">
        <f t="shared" si="43"/>
        <v>5.0000000000000044E-2</v>
      </c>
      <c r="BD52" s="16">
        <f t="shared" si="43"/>
        <v>5.0000000000000044E-2</v>
      </c>
      <c r="BE52" s="16">
        <f t="shared" si="43"/>
        <v>5.0000000000000044E-2</v>
      </c>
      <c r="BF52" s="16">
        <f t="shared" si="43"/>
        <v>5.0000000000000044E-2</v>
      </c>
      <c r="BG52" s="16">
        <f t="shared" si="43"/>
        <v>5.0000000000000044E-2</v>
      </c>
      <c r="BH52" s="16">
        <f t="shared" si="43"/>
        <v>4.9999999999999822E-2</v>
      </c>
      <c r="BI52" s="16">
        <f t="shared" si="43"/>
        <v>5.0000000000000044E-2</v>
      </c>
      <c r="BJ52" s="16">
        <f t="shared" si="43"/>
        <v>5.0000000000000044E-2</v>
      </c>
      <c r="BK52" s="16">
        <f t="shared" si="43"/>
        <v>5.0000000000000044E-2</v>
      </c>
      <c r="BL52" s="16">
        <f t="shared" si="43"/>
        <v>5.0000000000000266E-2</v>
      </c>
    </row>
    <row r="53" spans="1:64">
      <c r="A53" s="9" t="s">
        <v>1833</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17">
        <f t="shared" si="43"/>
        <v>0.12075983717774741</v>
      </c>
      <c r="AE53" s="17">
        <f t="shared" si="43"/>
        <v>7.5373619233268352E-2</v>
      </c>
      <c r="AF53" s="17">
        <f t="shared" si="43"/>
        <v>6.6425120772946933E-2</v>
      </c>
      <c r="AG53" s="17">
        <f t="shared" si="43"/>
        <v>6.9850746268656616E-2</v>
      </c>
      <c r="AH53" s="17">
        <f t="shared" si="43"/>
        <v>8.2124842370744133E-2</v>
      </c>
      <c r="AI53" s="17">
        <f t="shared" si="43"/>
        <v>1.8159806295399594E-2</v>
      </c>
      <c r="AJ53" s="17">
        <f t="shared" si="43"/>
        <v>4.3504531722054374E-2</v>
      </c>
      <c r="AK53" s="17">
        <f t="shared" si="43"/>
        <v>2.1517553793884536E-2</v>
      </c>
      <c r="AL53" s="17">
        <f t="shared" si="43"/>
        <v>4.1790093437628517E-2</v>
      </c>
      <c r="AM53" s="17">
        <f t="shared" si="43"/>
        <v>3.1301944273886217E-2</v>
      </c>
      <c r="AN53" s="17">
        <f t="shared" si="43"/>
        <v>5.0201425700211022E-2</v>
      </c>
      <c r="AO53" s="17">
        <f t="shared" si="43"/>
        <v>4.5567356022390815E-2</v>
      </c>
      <c r="AP53" s="17">
        <f t="shared" si="43"/>
        <v>1.977301868746717E-2</v>
      </c>
      <c r="AQ53" s="17">
        <f t="shared" si="43"/>
        <v>1.5480262633748021E-2</v>
      </c>
      <c r="AR53" s="17">
        <f t="shared" si="43"/>
        <v>3.2162100118446002E-2</v>
      </c>
      <c r="AS53" s="17">
        <f t="shared" si="43"/>
        <v>2.769662076323276E-2</v>
      </c>
      <c r="AT53" s="17">
        <f t="shared" si="43"/>
        <v>2.5432793900123096E-2</v>
      </c>
      <c r="AU53" s="17">
        <f t="shared" si="43"/>
        <v>2.588777365361139E-2</v>
      </c>
      <c r="AV53" s="17">
        <f t="shared" si="43"/>
        <v>2.5406478390217702E-2</v>
      </c>
      <c r="AW53" s="17">
        <f t="shared" si="43"/>
        <v>2.6087734116153172E-2</v>
      </c>
      <c r="AX53" s="17">
        <f t="shared" si="43"/>
        <v>2.9126061663998781E-2</v>
      </c>
      <c r="AY53" s="17">
        <f t="shared" si="43"/>
        <v>2.6167364288965267E-2</v>
      </c>
      <c r="AZ53" s="17">
        <f t="shared" si="43"/>
        <v>2.6513489421672309E-2</v>
      </c>
      <c r="BA53" s="17">
        <f t="shared" si="43"/>
        <v>2.582143860700592E-2</v>
      </c>
      <c r="BB53" s="17">
        <f t="shared" si="43"/>
        <v>2.6881117681858191E-2</v>
      </c>
      <c r="BC53" s="17">
        <f t="shared" si="43"/>
        <v>3.2390031522509855E-2</v>
      </c>
      <c r="BD53" s="17">
        <f t="shared" si="43"/>
        <v>2.9020798529360015E-2</v>
      </c>
      <c r="BE53" s="17">
        <f t="shared" si="43"/>
        <v>2.9449451388318115E-2</v>
      </c>
      <c r="BF53" s="17">
        <f t="shared" si="43"/>
        <v>2.8403460531433611E-2</v>
      </c>
      <c r="BG53" s="17">
        <f t="shared" si="43"/>
        <v>2.9786261846615369E-2</v>
      </c>
      <c r="BH53" s="17">
        <f t="shared" si="43"/>
        <v>3.4260010820582165E-2</v>
      </c>
      <c r="BI53" s="17">
        <f t="shared" si="43"/>
        <v>3.0695960437160608E-2</v>
      </c>
      <c r="BJ53" s="17">
        <f t="shared" si="43"/>
        <v>3.1185449270601628E-2</v>
      </c>
      <c r="BK53" s="17">
        <f t="shared" si="43"/>
        <v>2.9933096809619197E-2</v>
      </c>
      <c r="BL53" s="17">
        <f t="shared" si="43"/>
        <v>3.1488722331700192E-2</v>
      </c>
    </row>
    <row r="55" spans="1:64" s="12" customFormat="1">
      <c r="A55" s="13" t="s">
        <v>1834</v>
      </c>
      <c r="T55" s="69"/>
      <c r="X55" s="69" t="s">
        <v>1744</v>
      </c>
    </row>
    <row r="57" spans="1:64">
      <c r="A57" s="3" t="s">
        <v>1835</v>
      </c>
    </row>
    <row r="59" spans="1:64">
      <c r="A59" s="5" t="s">
        <v>1836</v>
      </c>
      <c r="Y59" s="375">
        <f>Y125</f>
        <v>43.1</v>
      </c>
      <c r="Z59" s="375">
        <f t="shared" ref="Z59:BL59" si="44">Z125</f>
        <v>44.6</v>
      </c>
      <c r="AA59" s="375">
        <f t="shared" si="44"/>
        <v>47.7</v>
      </c>
      <c r="AB59" s="375">
        <f t="shared" si="44"/>
        <v>49.1</v>
      </c>
      <c r="AC59" s="375">
        <f t="shared" si="44"/>
        <v>184.5</v>
      </c>
      <c r="AD59" s="375">
        <f>AD125</f>
        <v>46.7</v>
      </c>
      <c r="AE59" s="375">
        <f t="shared" si="44"/>
        <v>47.4</v>
      </c>
      <c r="AF59" s="375">
        <f t="shared" si="44"/>
        <v>48.3</v>
      </c>
      <c r="AG59" s="375">
        <f t="shared" si="44"/>
        <v>52.2</v>
      </c>
      <c r="AH59" s="375">
        <f t="shared" si="44"/>
        <v>194.59999999999997</v>
      </c>
      <c r="AI59" s="375">
        <f>AI125</f>
        <v>49.1</v>
      </c>
      <c r="AJ59" s="375">
        <f t="shared" si="44"/>
        <v>48.2</v>
      </c>
      <c r="AK59" s="375">
        <f t="shared" si="44"/>
        <v>47.8</v>
      </c>
      <c r="AL59" s="375">
        <f t="shared" si="44"/>
        <v>51.678000000000004</v>
      </c>
      <c r="AM59" s="375">
        <f t="shared" si="44"/>
        <v>196.77800000000002</v>
      </c>
      <c r="AN59" s="375">
        <f t="shared" si="44"/>
        <v>48.977250000000005</v>
      </c>
      <c r="AO59" s="375">
        <f t="shared" si="44"/>
        <v>48.079500000000003</v>
      </c>
      <c r="AP59" s="375">
        <f t="shared" si="44"/>
        <v>47.680500000000002</v>
      </c>
      <c r="AQ59" s="375">
        <f t="shared" si="44"/>
        <v>51.548805000000009</v>
      </c>
      <c r="AR59" s="375">
        <f t="shared" si="44"/>
        <v>196.28605500000003</v>
      </c>
      <c r="AS59" s="375">
        <f t="shared" si="44"/>
        <v>48.854806875000008</v>
      </c>
      <c r="AT59" s="375">
        <f t="shared" si="44"/>
        <v>47.959301250000003</v>
      </c>
      <c r="AU59" s="375">
        <f t="shared" si="44"/>
        <v>47.561298750000006</v>
      </c>
      <c r="AV59" s="375">
        <f t="shared" si="44"/>
        <v>51.419932987500012</v>
      </c>
      <c r="AW59" s="375">
        <f t="shared" si="44"/>
        <v>195.79533986250001</v>
      </c>
      <c r="AX59" s="375">
        <f t="shared" si="44"/>
        <v>48.73266985781251</v>
      </c>
      <c r="AY59" s="375">
        <f t="shared" si="44"/>
        <v>47.839402996875009</v>
      </c>
      <c r="AZ59" s="375">
        <f t="shared" si="44"/>
        <v>47.442395503125006</v>
      </c>
      <c r="BA59" s="375">
        <f t="shared" si="44"/>
        <v>51.291383155031262</v>
      </c>
      <c r="BB59" s="375">
        <f t="shared" si="44"/>
        <v>195.30585151284379</v>
      </c>
      <c r="BC59" s="375">
        <f t="shared" si="44"/>
        <v>48.610838183167985</v>
      </c>
      <c r="BD59" s="375">
        <f t="shared" si="44"/>
        <v>47.719804489382824</v>
      </c>
      <c r="BE59" s="375">
        <f t="shared" si="44"/>
        <v>47.323789514367199</v>
      </c>
      <c r="BF59" s="375">
        <f t="shared" si="44"/>
        <v>51.163154697143689</v>
      </c>
      <c r="BG59" s="375">
        <f t="shared" si="44"/>
        <v>194.81758688406168</v>
      </c>
      <c r="BH59" s="375">
        <f t="shared" si="44"/>
        <v>48.489311087710071</v>
      </c>
      <c r="BI59" s="375">
        <f t="shared" si="44"/>
        <v>47.600504978159371</v>
      </c>
      <c r="BJ59" s="375">
        <f t="shared" si="44"/>
        <v>47.205480040581286</v>
      </c>
      <c r="BK59" s="375">
        <f t="shared" si="44"/>
        <v>51.035246810400835</v>
      </c>
      <c r="BL59" s="375">
        <f t="shared" si="44"/>
        <v>194.33054291685158</v>
      </c>
    </row>
    <row r="60" spans="1:64">
      <c r="A60" s="5" t="s">
        <v>1837</v>
      </c>
      <c r="Y60" s="375">
        <f>Y74</f>
        <v>90.200000000000017</v>
      </c>
      <c r="Z60" s="375">
        <f t="shared" ref="Z60:BL60" si="45">Z74</f>
        <v>95.300000000000011</v>
      </c>
      <c r="AA60" s="375">
        <f t="shared" si="45"/>
        <v>105.7</v>
      </c>
      <c r="AB60" s="375">
        <f t="shared" si="45"/>
        <v>105.6</v>
      </c>
      <c r="AC60" s="375">
        <f t="shared" si="45"/>
        <v>396.79999999999995</v>
      </c>
      <c r="AD60" s="375">
        <f>AD74</f>
        <v>96.3</v>
      </c>
      <c r="AE60" s="375">
        <f t="shared" si="45"/>
        <v>97.699999999999989</v>
      </c>
      <c r="AF60" s="375">
        <f t="shared" si="45"/>
        <v>103.2</v>
      </c>
      <c r="AG60" s="375">
        <f t="shared" si="45"/>
        <v>99.499999999999986</v>
      </c>
      <c r="AH60" s="375">
        <f t="shared" si="45"/>
        <v>396.7</v>
      </c>
      <c r="AI60" s="375">
        <f>AI74</f>
        <v>93.4</v>
      </c>
      <c r="AJ60" s="375">
        <f t="shared" si="45"/>
        <v>99.100000000000009</v>
      </c>
      <c r="AK60" s="375">
        <f t="shared" si="45"/>
        <v>109.39999999999999</v>
      </c>
      <c r="AL60" s="375">
        <f t="shared" si="45"/>
        <v>106.13578474402301</v>
      </c>
      <c r="AM60" s="375">
        <f t="shared" si="45"/>
        <v>408.03578474402298</v>
      </c>
      <c r="AN60" s="375">
        <f t="shared" si="45"/>
        <v>100.68162980277549</v>
      </c>
      <c r="AO60" s="375">
        <f t="shared" si="45"/>
        <v>105.81998238506688</v>
      </c>
      <c r="AP60" s="375">
        <f t="shared" si="45"/>
        <v>111.92655257121906</v>
      </c>
      <c r="AQ60" s="375">
        <f t="shared" si="45"/>
        <v>107.71122116263575</v>
      </c>
      <c r="AR60" s="375">
        <f t="shared" si="45"/>
        <v>426.13938592169723</v>
      </c>
      <c r="AS60" s="375">
        <f t="shared" si="45"/>
        <v>104.34726147681904</v>
      </c>
      <c r="AT60" s="375">
        <f t="shared" si="45"/>
        <v>109.1990675652182</v>
      </c>
      <c r="AU60" s="375">
        <f t="shared" si="45"/>
        <v>115.59025123790479</v>
      </c>
      <c r="AV60" s="375">
        <f t="shared" si="45"/>
        <v>111.14068475495569</v>
      </c>
      <c r="AW60" s="375">
        <f t="shared" si="45"/>
        <v>440.27726503489777</v>
      </c>
      <c r="AX60" s="375">
        <f t="shared" si="45"/>
        <v>108.34012399657692</v>
      </c>
      <c r="AY60" s="375">
        <f t="shared" si="45"/>
        <v>112.76398889205663</v>
      </c>
      <c r="AZ60" s="375">
        <f t="shared" si="45"/>
        <v>119.43413341194108</v>
      </c>
      <c r="BA60" s="375">
        <f t="shared" si="45"/>
        <v>114.69706665223268</v>
      </c>
      <c r="BB60" s="375">
        <f t="shared" si="45"/>
        <v>455.23531295280731</v>
      </c>
      <c r="BC60" s="375">
        <f t="shared" si="45"/>
        <v>113.0256349036938</v>
      </c>
      <c r="BD60" s="375">
        <f t="shared" si="45"/>
        <v>116.92756045688712</v>
      </c>
      <c r="BE60" s="375">
        <f t="shared" si="45"/>
        <v>123.91523759782527</v>
      </c>
      <c r="BF60" s="375">
        <f t="shared" si="45"/>
        <v>118.81804645357835</v>
      </c>
      <c r="BG60" s="375">
        <f t="shared" si="45"/>
        <v>472.68647941198458</v>
      </c>
      <c r="BH60" s="375">
        <f t="shared" si="45"/>
        <v>118.1931354968897</v>
      </c>
      <c r="BI60" s="375">
        <f t="shared" si="45"/>
        <v>121.50487877781647</v>
      </c>
      <c r="BJ60" s="375">
        <f t="shared" si="45"/>
        <v>128.84314753190705</v>
      </c>
      <c r="BK60" s="375">
        <f t="shared" si="45"/>
        <v>123.32971507982634</v>
      </c>
      <c r="BL60" s="375">
        <f t="shared" si="45"/>
        <v>491.87087688643953</v>
      </c>
    </row>
    <row r="61" spans="1:64" s="26" customFormat="1">
      <c r="A61" s="29" t="s">
        <v>1838</v>
      </c>
      <c r="Y61" s="415"/>
      <c r="Z61" s="415"/>
      <c r="AA61" s="415"/>
      <c r="AB61" s="415"/>
      <c r="AC61" s="415"/>
      <c r="AD61" s="415"/>
      <c r="AE61" s="415"/>
      <c r="AF61" s="415"/>
      <c r="AG61" s="415"/>
      <c r="AH61" s="415"/>
      <c r="AI61" s="415"/>
      <c r="AJ61" s="415"/>
      <c r="AK61" s="415"/>
      <c r="AL61" s="415"/>
      <c r="AM61" s="415"/>
      <c r="AN61" s="415"/>
      <c r="AO61" s="415"/>
      <c r="AP61" s="415"/>
      <c r="AQ61" s="415"/>
      <c r="AR61" s="415"/>
      <c r="AS61" s="415"/>
      <c r="AT61" s="415"/>
      <c r="AU61" s="415"/>
      <c r="AV61" s="415"/>
      <c r="AW61" s="415"/>
      <c r="AX61" s="415"/>
      <c r="AY61" s="415"/>
      <c r="AZ61" s="415"/>
      <c r="BA61" s="415"/>
      <c r="BB61" s="415"/>
      <c r="BC61" s="415"/>
      <c r="BD61" s="415"/>
      <c r="BE61" s="415"/>
      <c r="BF61" s="415"/>
      <c r="BG61" s="415"/>
      <c r="BH61" s="415"/>
      <c r="BI61" s="415"/>
      <c r="BJ61" s="415"/>
      <c r="BK61" s="415"/>
      <c r="BL61" s="415"/>
    </row>
    <row r="62" spans="1:64">
      <c r="A62" s="9" t="s">
        <v>1839</v>
      </c>
      <c r="B62" s="9"/>
      <c r="C62" s="9"/>
      <c r="D62" s="9"/>
      <c r="E62" s="9"/>
      <c r="F62" s="9"/>
      <c r="G62" s="9"/>
      <c r="H62" s="9"/>
      <c r="I62" s="9"/>
      <c r="J62" s="9"/>
      <c r="K62" s="9"/>
      <c r="L62" s="9"/>
      <c r="M62" s="9"/>
      <c r="N62" s="9"/>
      <c r="O62" s="9"/>
      <c r="P62" s="9"/>
      <c r="Q62" s="9"/>
      <c r="R62" s="9"/>
      <c r="S62" s="9"/>
      <c r="T62" s="9"/>
      <c r="U62" s="9"/>
      <c r="V62" s="9"/>
      <c r="W62" s="9"/>
      <c r="X62" s="9"/>
      <c r="Y62" s="416">
        <v>133.30000000000001</v>
      </c>
      <c r="Z62" s="416">
        <v>139.9</v>
      </c>
      <c r="AA62" s="416">
        <v>153.4</v>
      </c>
      <c r="AB62" s="416">
        <v>154.69999999999999</v>
      </c>
      <c r="AC62" s="378">
        <f>SUM(Y62:AB62)</f>
        <v>581.29999999999995</v>
      </c>
      <c r="AD62" s="416">
        <v>143</v>
      </c>
      <c r="AE62" s="416">
        <v>145.1</v>
      </c>
      <c r="AF62" s="416">
        <v>151.5</v>
      </c>
      <c r="AG62" s="416">
        <v>151.69999999999999</v>
      </c>
      <c r="AH62" s="378">
        <f>SUM(AD62:AG62)</f>
        <v>591.29999999999995</v>
      </c>
      <c r="AI62" s="416">
        <v>142.5</v>
      </c>
      <c r="AJ62" s="416">
        <v>147.30000000000001</v>
      </c>
      <c r="AK62" s="416">
        <v>157.19999999999999</v>
      </c>
      <c r="AL62" s="378">
        <f>SUM(AL59:AL61)</f>
        <v>157.81378474402302</v>
      </c>
      <c r="AM62" s="378">
        <f>SUM(AI62:AL62)</f>
        <v>604.813784744023</v>
      </c>
      <c r="AN62" s="378">
        <f>SUM(AN59:AN61)</f>
        <v>149.65887980277549</v>
      </c>
      <c r="AO62" s="378">
        <f>SUM(AO59:AO61)</f>
        <v>153.89948238506688</v>
      </c>
      <c r="AP62" s="378">
        <f>SUM(AP59:AP61)</f>
        <v>159.60705257121907</v>
      </c>
      <c r="AQ62" s="378">
        <f>SUM(AQ59:AQ61)</f>
        <v>159.26002616263577</v>
      </c>
      <c r="AR62" s="378">
        <f>SUM(AN62:AQ62)</f>
        <v>622.42544092169715</v>
      </c>
      <c r="AS62" s="378">
        <f>SUM(AS59:AS61)</f>
        <v>153.20206835181904</v>
      </c>
      <c r="AT62" s="378">
        <f>SUM(AT59:AT61)</f>
        <v>157.15836881521821</v>
      </c>
      <c r="AU62" s="378">
        <f>SUM(AU59:AU61)</f>
        <v>163.15154998790479</v>
      </c>
      <c r="AV62" s="378">
        <f>SUM(AV59:AV61)</f>
        <v>162.56061774245569</v>
      </c>
      <c r="AW62" s="378">
        <f>SUM(AS62:AV62)</f>
        <v>636.0726048973977</v>
      </c>
      <c r="AX62" s="378">
        <f>SUM(AX59:AX61)</f>
        <v>157.07279385438943</v>
      </c>
      <c r="AY62" s="378">
        <f>SUM(AY59:AY61)</f>
        <v>160.60339188893164</v>
      </c>
      <c r="AZ62" s="378">
        <f>SUM(AZ59:AZ61)</f>
        <v>166.87652891506607</v>
      </c>
      <c r="BA62" s="378">
        <f>SUM(BA59:BA61)</f>
        <v>165.98844980726395</v>
      </c>
      <c r="BB62" s="378">
        <f>SUM(AX62:BA62)</f>
        <v>650.54116446565104</v>
      </c>
      <c r="BC62" s="378">
        <f>SUM(BC59:BC61)</f>
        <v>161.63647308686177</v>
      </c>
      <c r="BD62" s="378">
        <f>SUM(BD59:BD61)</f>
        <v>164.64736494626993</v>
      </c>
      <c r="BE62" s="378">
        <f>SUM(BE59:BE61)</f>
        <v>171.23902711219247</v>
      </c>
      <c r="BF62" s="378">
        <f>SUM(BF59:BF61)</f>
        <v>169.98120115072203</v>
      </c>
      <c r="BG62" s="378">
        <f>SUM(BC62:BF62)</f>
        <v>667.50406629604618</v>
      </c>
      <c r="BH62" s="378">
        <f>SUM(BH59:BH61)</f>
        <v>166.68244658459977</v>
      </c>
      <c r="BI62" s="378">
        <f>SUM(BI59:BI61)</f>
        <v>169.10538375597585</v>
      </c>
      <c r="BJ62" s="378">
        <f>SUM(BJ59:BJ61)</f>
        <v>176.04862757248833</v>
      </c>
      <c r="BK62" s="378">
        <f>SUM(BK59:BK61)</f>
        <v>174.36496189022716</v>
      </c>
      <c r="BL62" s="378">
        <f>SUM(BH62:BK62)</f>
        <v>686.20141980329117</v>
      </c>
    </row>
    <row r="63" spans="1:64">
      <c r="A63" s="1" t="s">
        <v>28</v>
      </c>
      <c r="Y63" s="16"/>
      <c r="Z63" s="16"/>
      <c r="AA63" s="16"/>
      <c r="AB63" s="16"/>
      <c r="AC63" s="16"/>
      <c r="AD63" s="16">
        <f t="shared" ref="AD63:BL63" si="46">AD62/Y62-1</f>
        <v>7.2768192048011882E-2</v>
      </c>
      <c r="AE63" s="16">
        <f t="shared" si="46"/>
        <v>3.7169406719085085E-2</v>
      </c>
      <c r="AF63" s="16">
        <f t="shared" si="46"/>
        <v>-1.2385919165580184E-2</v>
      </c>
      <c r="AG63" s="16">
        <f t="shared" si="46"/>
        <v>-1.9392372333548846E-2</v>
      </c>
      <c r="AH63" s="16">
        <f t="shared" si="46"/>
        <v>1.7202821262687129E-2</v>
      </c>
      <c r="AI63" s="16">
        <f t="shared" si="46"/>
        <v>-3.4965034965035446E-3</v>
      </c>
      <c r="AJ63" s="16">
        <f t="shared" si="46"/>
        <v>1.5161957270847903E-2</v>
      </c>
      <c r="AK63" s="16">
        <f t="shared" si="46"/>
        <v>3.7623762376237657E-2</v>
      </c>
      <c r="AL63" s="16">
        <f t="shared" si="46"/>
        <v>4.0301811101008722E-2</v>
      </c>
      <c r="AM63" s="16">
        <f t="shared" si="46"/>
        <v>2.2854362834471509E-2</v>
      </c>
      <c r="AN63" s="16">
        <f t="shared" si="46"/>
        <v>5.0237753001933338E-2</v>
      </c>
      <c r="AO63" s="16">
        <f t="shared" si="46"/>
        <v>4.4803003293053978E-2</v>
      </c>
      <c r="AP63" s="16">
        <f t="shared" si="46"/>
        <v>1.5312039257118881E-2</v>
      </c>
      <c r="AQ63" s="16">
        <f t="shared" si="46"/>
        <v>9.1642274529983858E-3</v>
      </c>
      <c r="AR63" s="16">
        <f t="shared" si="46"/>
        <v>2.9119138190820237E-2</v>
      </c>
      <c r="AS63" s="16">
        <f t="shared" si="46"/>
        <v>2.3675097352812369E-2</v>
      </c>
      <c r="AT63" s="16">
        <f t="shared" si="46"/>
        <v>2.1175421643052639E-2</v>
      </c>
      <c r="AU63" s="16">
        <f t="shared" si="46"/>
        <v>2.2207649095606907E-2</v>
      </c>
      <c r="AV63" s="16">
        <f t="shared" si="46"/>
        <v>2.0724545005721406E-2</v>
      </c>
      <c r="AW63" s="16">
        <f t="shared" si="46"/>
        <v>2.1925781111214793E-2</v>
      </c>
      <c r="AX63" s="16">
        <f t="shared" si="46"/>
        <v>2.5265491153040553E-2</v>
      </c>
      <c r="AY63" s="16">
        <f t="shared" si="46"/>
        <v>2.1920710298055868E-2</v>
      </c>
      <c r="AZ63" s="16">
        <f t="shared" si="46"/>
        <v>2.2831403853885712E-2</v>
      </c>
      <c r="BA63" s="16">
        <f t="shared" si="46"/>
        <v>2.1086485228783758E-2</v>
      </c>
      <c r="BB63" s="16">
        <f t="shared" si="46"/>
        <v>2.2746710763604128E-2</v>
      </c>
      <c r="BC63" s="16">
        <f t="shared" si="46"/>
        <v>2.9054549298352716E-2</v>
      </c>
      <c r="BD63" s="16">
        <f t="shared" si="46"/>
        <v>2.5179873287701104E-2</v>
      </c>
      <c r="BE63" s="16">
        <f t="shared" si="46"/>
        <v>2.6142071778990195E-2</v>
      </c>
      <c r="BF63" s="16">
        <f t="shared" si="46"/>
        <v>2.4054392628488408E-2</v>
      </c>
      <c r="BG63" s="16">
        <f t="shared" si="46"/>
        <v>2.6075062973652585E-2</v>
      </c>
      <c r="BH63" s="16">
        <f t="shared" si="46"/>
        <v>3.1218037620917016E-2</v>
      </c>
      <c r="BI63" s="16">
        <f t="shared" si="46"/>
        <v>2.707616250743361E-2</v>
      </c>
      <c r="BJ63" s="16">
        <f t="shared" si="46"/>
        <v>2.8087057847769215E-2</v>
      </c>
      <c r="BK63" s="16">
        <f t="shared" si="46"/>
        <v>2.5789679740044091E-2</v>
      </c>
      <c r="BL63" s="16">
        <f t="shared" si="46"/>
        <v>2.8010845852963762E-2</v>
      </c>
    </row>
    <row r="65" spans="1:64">
      <c r="A65" s="3" t="s">
        <v>1840</v>
      </c>
    </row>
    <row r="67" spans="1:64">
      <c r="A67" s="34" t="s">
        <v>1841</v>
      </c>
      <c r="Y67" s="375">
        <f t="shared" ref="Y67:AR67" si="47">Y84+Y124</f>
        <v>72.400000000000006</v>
      </c>
      <c r="Z67" s="375">
        <f t="shared" si="47"/>
        <v>75.900000000000006</v>
      </c>
      <c r="AA67" s="375">
        <f t="shared" si="47"/>
        <v>84</v>
      </c>
      <c r="AB67" s="375">
        <f t="shared" si="47"/>
        <v>85.1</v>
      </c>
      <c r="AC67" s="375">
        <f t="shared" si="47"/>
        <v>317.39999999999998</v>
      </c>
      <c r="AD67" s="375">
        <f t="shared" si="47"/>
        <v>74.7</v>
      </c>
      <c r="AE67" s="375">
        <f t="shared" si="47"/>
        <v>75.2</v>
      </c>
      <c r="AF67" s="375">
        <f t="shared" si="47"/>
        <v>78.7</v>
      </c>
      <c r="AG67" s="375">
        <f t="shared" si="47"/>
        <v>76.199999999999989</v>
      </c>
      <c r="AH67" s="375">
        <f t="shared" si="47"/>
        <v>304.79999999999995</v>
      </c>
      <c r="AI67" s="375">
        <f t="shared" si="47"/>
        <v>69.2</v>
      </c>
      <c r="AJ67" s="375">
        <f t="shared" si="47"/>
        <v>72.800000000000011</v>
      </c>
      <c r="AK67" s="375">
        <f t="shared" si="47"/>
        <v>77.581554828578902</v>
      </c>
      <c r="AL67" s="375">
        <f t="shared" si="47"/>
        <v>74.336409039548016</v>
      </c>
      <c r="AM67" s="375">
        <f t="shared" si="47"/>
        <v>293.91796386812689</v>
      </c>
      <c r="AN67" s="375">
        <f>AN84+AN124</f>
        <v>69.167910000000006</v>
      </c>
      <c r="AO67" s="375">
        <f t="shared" si="47"/>
        <v>72.556330000000003</v>
      </c>
      <c r="AP67" s="375">
        <f t="shared" si="47"/>
        <v>77.346823414027739</v>
      </c>
      <c r="AQ67" s="375">
        <f t="shared" si="47"/>
        <v>74.05837367864406</v>
      </c>
      <c r="AR67" s="375">
        <f t="shared" si="47"/>
        <v>293.12943709267176</v>
      </c>
      <c r="AS67" s="375">
        <f>AS84+AS124</f>
        <v>69.162533536500007</v>
      </c>
      <c r="AT67" s="375">
        <f>AT84+AT124</f>
        <v>72.655378949499976</v>
      </c>
      <c r="AU67" s="375">
        <f>AU84+AU124</f>
        <v>77.569761661140518</v>
      </c>
      <c r="AV67" s="375">
        <f>AV84+AV124</f>
        <v>74.302304340661948</v>
      </c>
      <c r="AW67" s="375">
        <f t="shared" ref="AW67" si="48">AW84+AW124</f>
        <v>293.68997848780248</v>
      </c>
      <c r="AX67" s="375">
        <f>AX84+AX124</f>
        <v>69.627168298338447</v>
      </c>
      <c r="AY67" s="375">
        <f>AY84+AY124</f>
        <v>73.224826206417333</v>
      </c>
      <c r="AZ67" s="375">
        <f>AZ84+AZ124</f>
        <v>78.271266649188775</v>
      </c>
      <c r="BA67" s="375">
        <f>BA84+BA124</f>
        <v>74.99264138220731</v>
      </c>
      <c r="BB67" s="375">
        <f t="shared" ref="BB67" si="49">BB84+BB124</f>
        <v>296.11590253615191</v>
      </c>
      <c r="BC67" s="375">
        <f>BC84+BC124</f>
        <v>71.091774955847953</v>
      </c>
      <c r="BD67" s="375">
        <f>BD84+BD124</f>
        <v>74.831233828543958</v>
      </c>
      <c r="BE67" s="375">
        <f>BE84+BE124</f>
        <v>80.070395270316311</v>
      </c>
      <c r="BF67" s="375">
        <f>BF84+BF124</f>
        <v>76.718575145701934</v>
      </c>
      <c r="BG67" s="375">
        <f t="shared" ref="BG67" si="50">BG84+BG124</f>
        <v>302.71197920041016</v>
      </c>
      <c r="BH67" s="375">
        <f>BH84+BH124</f>
        <v>73.513404951474271</v>
      </c>
      <c r="BI67" s="375">
        <f>BI84+BI124</f>
        <v>77.434141274817335</v>
      </c>
      <c r="BJ67" s="375">
        <f>BJ84+BJ124</f>
        <v>82.928960293254676</v>
      </c>
      <c r="BK67" s="375">
        <f>BK84+BK124</f>
        <v>79.445304327702985</v>
      </c>
      <c r="BL67" s="375">
        <f t="shared" ref="BL67" si="51">BL84+BL124</f>
        <v>313.32181084724925</v>
      </c>
    </row>
    <row r="68" spans="1:64">
      <c r="A68" s="34" t="s">
        <v>1654</v>
      </c>
      <c r="Y68" s="377">
        <v>0.1</v>
      </c>
      <c r="Z68" s="377">
        <v>0.1</v>
      </c>
      <c r="AA68" s="377">
        <v>0.1</v>
      </c>
      <c r="AB68" s="377">
        <v>0.1</v>
      </c>
      <c r="AC68" s="375">
        <f>SUM(Y68:AB68)</f>
        <v>0.4</v>
      </c>
      <c r="AD68" s="375">
        <f t="shared" ref="AD68:AK68" si="52">AD69-AD67</f>
        <v>9.9999999999994316E-2</v>
      </c>
      <c r="AE68" s="375">
        <f t="shared" si="52"/>
        <v>0</v>
      </c>
      <c r="AF68" s="375">
        <f t="shared" si="52"/>
        <v>9.9999999999994316E-2</v>
      </c>
      <c r="AG68" s="375">
        <f t="shared" si="52"/>
        <v>0.20000000000001705</v>
      </c>
      <c r="AH68" s="375">
        <f t="shared" si="52"/>
        <v>0.40000000000009095</v>
      </c>
      <c r="AI68" s="375">
        <f t="shared" si="52"/>
        <v>0</v>
      </c>
      <c r="AJ68" s="375">
        <f t="shared" si="52"/>
        <v>9.9999999999994316E-2</v>
      </c>
      <c r="AK68" s="375">
        <f t="shared" si="52"/>
        <v>3.3184451714211036</v>
      </c>
      <c r="AL68" s="377">
        <v>5</v>
      </c>
      <c r="AM68" s="375">
        <f>AM69-AM67</f>
        <v>8.4184451714211264</v>
      </c>
      <c r="AN68" s="377">
        <v>3.5</v>
      </c>
      <c r="AO68" s="377">
        <v>3.5</v>
      </c>
      <c r="AP68" s="377">
        <v>3.5</v>
      </c>
      <c r="AQ68" s="377">
        <v>3.5</v>
      </c>
      <c r="AR68" s="375">
        <f>AR69-AR67</f>
        <v>14.000000000000057</v>
      </c>
      <c r="AS68" s="377">
        <v>3.5</v>
      </c>
      <c r="AT68" s="377">
        <v>3.5</v>
      </c>
      <c r="AU68" s="377">
        <v>3.5</v>
      </c>
      <c r="AV68" s="377">
        <v>3.5</v>
      </c>
      <c r="AW68" s="375">
        <f>AW69-AW67</f>
        <v>14</v>
      </c>
      <c r="AX68" s="377">
        <v>3.5</v>
      </c>
      <c r="AY68" s="377">
        <v>3.5</v>
      </c>
      <c r="AZ68" s="377">
        <v>3.5</v>
      </c>
      <c r="BA68" s="377">
        <v>3.5</v>
      </c>
      <c r="BB68" s="375">
        <f>BB69-BB67</f>
        <v>13.999999999999943</v>
      </c>
      <c r="BC68" s="377">
        <v>3.5</v>
      </c>
      <c r="BD68" s="377">
        <v>3.5</v>
      </c>
      <c r="BE68" s="377">
        <v>3.5</v>
      </c>
      <c r="BF68" s="377">
        <v>3.5</v>
      </c>
      <c r="BG68" s="375">
        <f>BG69-BG67</f>
        <v>14</v>
      </c>
      <c r="BH68" s="377">
        <v>3.5</v>
      </c>
      <c r="BI68" s="377">
        <v>3.5</v>
      </c>
      <c r="BJ68" s="377">
        <v>3.5</v>
      </c>
      <c r="BK68" s="377">
        <v>3.5</v>
      </c>
      <c r="BL68" s="375">
        <f>BL69-BL67</f>
        <v>14</v>
      </c>
    </row>
    <row r="69" spans="1:64">
      <c r="A69" s="5" t="s">
        <v>1842</v>
      </c>
      <c r="Y69" s="375">
        <f>SUM(Y67:Y68)</f>
        <v>72.5</v>
      </c>
      <c r="Z69" s="375">
        <f>SUM(Z67:Z68)</f>
        <v>76</v>
      </c>
      <c r="AA69" s="375">
        <f>SUM(AA67:AA68)</f>
        <v>84.1</v>
      </c>
      <c r="AB69" s="375">
        <f>SUM(AB67:AB68)</f>
        <v>85.199999999999989</v>
      </c>
      <c r="AC69" s="375">
        <f>SUM(AC67:AC68)</f>
        <v>317.79999999999995</v>
      </c>
      <c r="AD69" s="417">
        <v>74.8</v>
      </c>
      <c r="AE69" s="417">
        <v>75.2</v>
      </c>
      <c r="AF69" s="417">
        <v>78.8</v>
      </c>
      <c r="AG69" s="417">
        <v>76.400000000000006</v>
      </c>
      <c r="AH69" s="375">
        <f>SUM(AD69:AG69)</f>
        <v>305.20000000000005</v>
      </c>
      <c r="AI69" s="417">
        <v>69.2</v>
      </c>
      <c r="AJ69" s="417">
        <v>72.900000000000006</v>
      </c>
      <c r="AK69" s="417">
        <v>80.900000000000006</v>
      </c>
      <c r="AL69" s="375">
        <f>SUM(AL67:AL68)</f>
        <v>79.336409039548016</v>
      </c>
      <c r="AM69" s="375">
        <f>SUM(AI69:AL69)</f>
        <v>302.33640903954802</v>
      </c>
      <c r="AN69" s="375">
        <f>SUM(AN67:AN68)</f>
        <v>72.667910000000006</v>
      </c>
      <c r="AO69" s="375">
        <f>SUM(AO67:AO68)</f>
        <v>76.056330000000003</v>
      </c>
      <c r="AP69" s="375">
        <f>SUM(AP67:AP68)</f>
        <v>80.846823414027739</v>
      </c>
      <c r="AQ69" s="375">
        <f>SUM(AQ67:AQ68)</f>
        <v>77.55837367864406</v>
      </c>
      <c r="AR69" s="375">
        <f>SUM(AN69:AQ69)</f>
        <v>307.12943709267182</v>
      </c>
      <c r="AS69" s="375">
        <f>SUM(AS67:AS68)</f>
        <v>72.662533536500007</v>
      </c>
      <c r="AT69" s="375">
        <f>SUM(AT67:AT68)</f>
        <v>76.155378949499976</v>
      </c>
      <c r="AU69" s="375">
        <f>SUM(AU67:AU68)</f>
        <v>81.069761661140518</v>
      </c>
      <c r="AV69" s="375">
        <f>SUM(AV67:AV68)</f>
        <v>77.802304340661948</v>
      </c>
      <c r="AW69" s="375">
        <f>SUM(AS69:AV69)</f>
        <v>307.68997848780248</v>
      </c>
      <c r="AX69" s="375">
        <f>SUM(AX67:AX68)</f>
        <v>73.127168298338447</v>
      </c>
      <c r="AY69" s="375">
        <f>SUM(AY67:AY68)</f>
        <v>76.724826206417333</v>
      </c>
      <c r="AZ69" s="375">
        <f>SUM(AZ67:AZ68)</f>
        <v>81.771266649188775</v>
      </c>
      <c r="BA69" s="375">
        <f>SUM(BA67:BA68)</f>
        <v>78.49264138220731</v>
      </c>
      <c r="BB69" s="375">
        <f>SUM(AX69:BA69)</f>
        <v>310.11590253615185</v>
      </c>
      <c r="BC69" s="375">
        <f>SUM(BC67:BC68)</f>
        <v>74.591774955847953</v>
      </c>
      <c r="BD69" s="375">
        <f>SUM(BD67:BD68)</f>
        <v>78.331233828543958</v>
      </c>
      <c r="BE69" s="375">
        <f>SUM(BE67:BE68)</f>
        <v>83.570395270316311</v>
      </c>
      <c r="BF69" s="375">
        <f>SUM(BF67:BF68)</f>
        <v>80.218575145701934</v>
      </c>
      <c r="BG69" s="375">
        <f>SUM(BC69:BF69)</f>
        <v>316.71197920041016</v>
      </c>
      <c r="BH69" s="375">
        <f>SUM(BH67:BH68)</f>
        <v>77.013404951474271</v>
      </c>
      <c r="BI69" s="375">
        <f>SUM(BI67:BI68)</f>
        <v>80.934141274817335</v>
      </c>
      <c r="BJ69" s="375">
        <f>SUM(BJ67:BJ68)</f>
        <v>86.428960293254676</v>
      </c>
      <c r="BK69" s="375">
        <f>SUM(BK67:BK68)</f>
        <v>82.945304327702985</v>
      </c>
      <c r="BL69" s="375">
        <f>SUM(BH69:BK69)</f>
        <v>327.32181084724925</v>
      </c>
    </row>
    <row r="70" spans="1:64">
      <c r="A70" s="34" t="s">
        <v>1843</v>
      </c>
      <c r="Y70" s="375">
        <f>Y85</f>
        <v>16.100000000000001</v>
      </c>
      <c r="Z70" s="375">
        <f t="shared" ref="Z70:BL70" si="53">Z85</f>
        <v>17.7</v>
      </c>
      <c r="AA70" s="375">
        <f t="shared" si="53"/>
        <v>20.100000000000001</v>
      </c>
      <c r="AB70" s="375">
        <f t="shared" si="53"/>
        <v>18.8</v>
      </c>
      <c r="AC70" s="375">
        <f t="shared" si="53"/>
        <v>72.7</v>
      </c>
      <c r="AD70" s="375">
        <f>AD85</f>
        <v>19.8</v>
      </c>
      <c r="AE70" s="375">
        <f t="shared" si="53"/>
        <v>20.8</v>
      </c>
      <c r="AF70" s="375">
        <f t="shared" si="53"/>
        <v>22.8</v>
      </c>
      <c r="AG70" s="375">
        <f t="shared" si="53"/>
        <v>22.4</v>
      </c>
      <c r="AH70" s="375">
        <f t="shared" si="53"/>
        <v>85.800000000000011</v>
      </c>
      <c r="AI70" s="375">
        <f>AI85</f>
        <v>23.6</v>
      </c>
      <c r="AJ70" s="375">
        <f t="shared" si="53"/>
        <v>25.6</v>
      </c>
      <c r="AK70" s="375">
        <f t="shared" si="53"/>
        <v>27.8</v>
      </c>
      <c r="AL70" s="375">
        <f>AL85</f>
        <v>26.049375704474997</v>
      </c>
      <c r="AM70" s="375">
        <f t="shared" si="53"/>
        <v>103.049375704475</v>
      </c>
      <c r="AN70" s="375">
        <f t="shared" si="53"/>
        <v>27.263719802775483</v>
      </c>
      <c r="AO70" s="375">
        <f t="shared" si="53"/>
        <v>29.01365238506688</v>
      </c>
      <c r="AP70" s="375">
        <f t="shared" si="53"/>
        <v>30.32972915719132</v>
      </c>
      <c r="AQ70" s="375">
        <f t="shared" si="53"/>
        <v>29.402847483991692</v>
      </c>
      <c r="AR70" s="375">
        <f t="shared" si="53"/>
        <v>116.00994882902538</v>
      </c>
      <c r="AS70" s="375">
        <f t="shared" si="53"/>
        <v>30.934727940319032</v>
      </c>
      <c r="AT70" s="375">
        <f t="shared" si="53"/>
        <v>32.293688615718231</v>
      </c>
      <c r="AU70" s="375">
        <f t="shared" si="53"/>
        <v>33.770489576764277</v>
      </c>
      <c r="AV70" s="375">
        <f t="shared" si="53"/>
        <v>32.588380414293738</v>
      </c>
      <c r="AW70" s="375">
        <f t="shared" si="53"/>
        <v>129.58728654709529</v>
      </c>
      <c r="AX70" s="375">
        <f t="shared" si="53"/>
        <v>34.462955698238467</v>
      </c>
      <c r="AY70" s="375">
        <f t="shared" si="53"/>
        <v>35.289162685639305</v>
      </c>
      <c r="AZ70" s="375">
        <f t="shared" si="53"/>
        <v>36.912866762752294</v>
      </c>
      <c r="BA70" s="375">
        <f t="shared" si="53"/>
        <v>35.454425270025368</v>
      </c>
      <c r="BB70" s="375">
        <f t="shared" si="53"/>
        <v>142.11941041665546</v>
      </c>
      <c r="BC70" s="375">
        <f t="shared" si="53"/>
        <v>37.683859947845846</v>
      </c>
      <c r="BD70" s="375">
        <f t="shared" si="53"/>
        <v>37.846326628343164</v>
      </c>
      <c r="BE70" s="375">
        <f t="shared" si="53"/>
        <v>39.59484232750895</v>
      </c>
      <c r="BF70" s="375">
        <f t="shared" si="53"/>
        <v>37.849471307876421</v>
      </c>
      <c r="BG70" s="375">
        <f t="shared" si="53"/>
        <v>152.97450021157439</v>
      </c>
      <c r="BH70" s="375">
        <f t="shared" si="53"/>
        <v>40.429730545415424</v>
      </c>
      <c r="BI70" s="375">
        <f t="shared" si="53"/>
        <v>39.820737502999137</v>
      </c>
      <c r="BJ70" s="375">
        <f t="shared" si="53"/>
        <v>41.66418723865236</v>
      </c>
      <c r="BK70" s="375">
        <f t="shared" si="53"/>
        <v>39.634410752123351</v>
      </c>
      <c r="BL70" s="375">
        <f t="shared" si="53"/>
        <v>161.54906603919028</v>
      </c>
    </row>
    <row r="71" spans="1:64">
      <c r="A71" s="34" t="s">
        <v>1654</v>
      </c>
      <c r="Y71" s="377">
        <v>0</v>
      </c>
      <c r="Z71" s="377">
        <v>0</v>
      </c>
      <c r="AA71" s="377">
        <v>0</v>
      </c>
      <c r="AB71" s="377">
        <v>0</v>
      </c>
      <c r="AC71" s="375">
        <f>SUM(Y71:AB71)</f>
        <v>0</v>
      </c>
      <c r="AD71" s="375">
        <f t="shared" ref="AD71:AK71" si="54">AD72-AD70</f>
        <v>0</v>
      </c>
      <c r="AE71" s="375">
        <f t="shared" si="54"/>
        <v>0</v>
      </c>
      <c r="AF71" s="375">
        <f t="shared" si="54"/>
        <v>0</v>
      </c>
      <c r="AG71" s="375">
        <f t="shared" si="54"/>
        <v>0</v>
      </c>
      <c r="AH71" s="375">
        <f t="shared" si="54"/>
        <v>0</v>
      </c>
      <c r="AI71" s="375">
        <f t="shared" si="54"/>
        <v>0</v>
      </c>
      <c r="AJ71" s="375">
        <f t="shared" si="54"/>
        <v>0</v>
      </c>
      <c r="AK71" s="375">
        <f t="shared" si="54"/>
        <v>0</v>
      </c>
      <c r="AL71" s="377">
        <v>1.25</v>
      </c>
      <c r="AM71" s="375">
        <f>AM72-AM70</f>
        <v>1.25</v>
      </c>
      <c r="AN71" s="377">
        <v>1.25</v>
      </c>
      <c r="AO71" s="377">
        <v>1.25</v>
      </c>
      <c r="AP71" s="377">
        <v>1.25</v>
      </c>
      <c r="AQ71" s="377">
        <v>1.25</v>
      </c>
      <c r="AR71" s="375">
        <f>AR72-AR70</f>
        <v>5</v>
      </c>
      <c r="AS71" s="377">
        <v>1.25</v>
      </c>
      <c r="AT71" s="377">
        <v>1.25</v>
      </c>
      <c r="AU71" s="377">
        <v>1.25</v>
      </c>
      <c r="AV71" s="377">
        <v>1.25</v>
      </c>
      <c r="AW71" s="375">
        <f>AW72-AW70</f>
        <v>5</v>
      </c>
      <c r="AX71" s="377">
        <v>1.25</v>
      </c>
      <c r="AY71" s="377">
        <v>1.25</v>
      </c>
      <c r="AZ71" s="377">
        <v>1.25</v>
      </c>
      <c r="BA71" s="377">
        <v>1.25</v>
      </c>
      <c r="BB71" s="375">
        <f>BB72-BB70</f>
        <v>5</v>
      </c>
      <c r="BC71" s="377">
        <v>1.25</v>
      </c>
      <c r="BD71" s="377">
        <v>1.25</v>
      </c>
      <c r="BE71" s="377">
        <v>1.25</v>
      </c>
      <c r="BF71" s="377">
        <v>1.25</v>
      </c>
      <c r="BG71" s="375">
        <f>BG72-BG70</f>
        <v>5</v>
      </c>
      <c r="BH71" s="377">
        <v>1.25</v>
      </c>
      <c r="BI71" s="377">
        <v>1.25</v>
      </c>
      <c r="BJ71" s="377">
        <v>1.25</v>
      </c>
      <c r="BK71" s="377">
        <v>1.25</v>
      </c>
      <c r="BL71" s="375">
        <f>BL72-BL70</f>
        <v>5</v>
      </c>
    </row>
    <row r="72" spans="1:64">
      <c r="A72" s="5" t="s">
        <v>1844</v>
      </c>
      <c r="Y72" s="375">
        <f>SUM(Y70:Y71)</f>
        <v>16.100000000000001</v>
      </c>
      <c r="Z72" s="375">
        <f>SUM(Z70:Z71)</f>
        <v>17.7</v>
      </c>
      <c r="AA72" s="375">
        <f>SUM(AA70:AA71)</f>
        <v>20.100000000000001</v>
      </c>
      <c r="AB72" s="375">
        <f>SUM(AB70:AB71)</f>
        <v>18.8</v>
      </c>
      <c r="AC72" s="375">
        <f>SUM(AC70:AC71)</f>
        <v>72.7</v>
      </c>
      <c r="AD72" s="417">
        <v>19.8</v>
      </c>
      <c r="AE72" s="417">
        <v>20.8</v>
      </c>
      <c r="AF72" s="417">
        <v>22.8</v>
      </c>
      <c r="AG72" s="417">
        <v>22.4</v>
      </c>
      <c r="AH72" s="375">
        <f>SUM(AD72:AG72)</f>
        <v>85.800000000000011</v>
      </c>
      <c r="AI72" s="417">
        <v>23.6</v>
      </c>
      <c r="AJ72" s="417">
        <v>25.6</v>
      </c>
      <c r="AK72" s="417">
        <v>27.8</v>
      </c>
      <c r="AL72" s="375">
        <f>SUM(AL70:AL71)</f>
        <v>27.299375704474997</v>
      </c>
      <c r="AM72" s="375">
        <f>SUM(AI72:AL72)</f>
        <v>104.299375704475</v>
      </c>
      <c r="AN72" s="375">
        <f>SUM(AN70:AN71)</f>
        <v>28.513719802775483</v>
      </c>
      <c r="AO72" s="375">
        <f>SUM(AO70:AO71)</f>
        <v>30.26365238506688</v>
      </c>
      <c r="AP72" s="375">
        <f>SUM(AP70:AP71)</f>
        <v>31.57972915719132</v>
      </c>
      <c r="AQ72" s="375">
        <f>SUM(AQ70:AQ71)</f>
        <v>30.652847483991692</v>
      </c>
      <c r="AR72" s="375">
        <f>SUM(AN72:AQ72)</f>
        <v>121.00994882902538</v>
      </c>
      <c r="AS72" s="375">
        <f>SUM(AS70:AS71)</f>
        <v>32.184727940319036</v>
      </c>
      <c r="AT72" s="375">
        <f>SUM(AT70:AT71)</f>
        <v>33.543688615718231</v>
      </c>
      <c r="AU72" s="375">
        <f>SUM(AU70:AU71)</f>
        <v>35.020489576764277</v>
      </c>
      <c r="AV72" s="375">
        <f>SUM(AV70:AV71)</f>
        <v>33.838380414293738</v>
      </c>
      <c r="AW72" s="375">
        <f>SUM(AS72:AV72)</f>
        <v>134.58728654709529</v>
      </c>
      <c r="AX72" s="375">
        <f>SUM(AX70:AX71)</f>
        <v>35.712955698238467</v>
      </c>
      <c r="AY72" s="375">
        <f>SUM(AY70:AY71)</f>
        <v>36.539162685639305</v>
      </c>
      <c r="AZ72" s="375">
        <f>SUM(AZ70:AZ71)</f>
        <v>38.162866762752294</v>
      </c>
      <c r="BA72" s="375">
        <f>SUM(BA70:BA71)</f>
        <v>36.704425270025368</v>
      </c>
      <c r="BB72" s="375">
        <f>SUM(AX72:BA72)</f>
        <v>147.11941041665546</v>
      </c>
      <c r="BC72" s="375">
        <f>SUM(BC70:BC71)</f>
        <v>38.933859947845846</v>
      </c>
      <c r="BD72" s="375">
        <f>SUM(BD70:BD71)</f>
        <v>39.096326628343164</v>
      </c>
      <c r="BE72" s="375">
        <f>SUM(BE70:BE71)</f>
        <v>40.84484232750895</v>
      </c>
      <c r="BF72" s="375">
        <f>SUM(BF70:BF71)</f>
        <v>39.099471307876421</v>
      </c>
      <c r="BG72" s="375">
        <f>SUM(BC72:BF72)</f>
        <v>157.97450021157439</v>
      </c>
      <c r="BH72" s="375">
        <f>SUM(BH70:BH71)</f>
        <v>41.679730545415424</v>
      </c>
      <c r="BI72" s="375">
        <f>SUM(BI70:BI71)</f>
        <v>41.070737502999137</v>
      </c>
      <c r="BJ72" s="375">
        <f>SUM(BJ70:BJ71)</f>
        <v>42.91418723865236</v>
      </c>
      <c r="BK72" s="375">
        <f>SUM(BK70:BK71)</f>
        <v>40.884410752123351</v>
      </c>
      <c r="BL72" s="375">
        <f>SUM(BH72:BK72)</f>
        <v>166.54906603919028</v>
      </c>
    </row>
    <row r="73" spans="1:64">
      <c r="A73" s="5" t="s">
        <v>1845</v>
      </c>
      <c r="Y73" s="398">
        <f t="shared" ref="Y73:AK73" si="55">Y74-Y69-Y72</f>
        <v>1.6000000000000156</v>
      </c>
      <c r="Z73" s="398">
        <f t="shared" si="55"/>
        <v>1.6000000000000121</v>
      </c>
      <c r="AA73" s="398">
        <f t="shared" si="55"/>
        <v>1.5000000000000071</v>
      </c>
      <c r="AB73" s="398">
        <f t="shared" si="55"/>
        <v>1.600000000000005</v>
      </c>
      <c r="AC73" s="398">
        <f t="shared" si="55"/>
        <v>6.2999999999999972</v>
      </c>
      <c r="AD73" s="398">
        <f t="shared" si="55"/>
        <v>1.6999999999999993</v>
      </c>
      <c r="AE73" s="398">
        <f t="shared" si="55"/>
        <v>1.6999999999999851</v>
      </c>
      <c r="AF73" s="398">
        <f t="shared" si="55"/>
        <v>1.600000000000005</v>
      </c>
      <c r="AG73" s="398">
        <f t="shared" si="55"/>
        <v>0.69999999999998153</v>
      </c>
      <c r="AH73" s="398">
        <f t="shared" si="55"/>
        <v>5.6999999999999318</v>
      </c>
      <c r="AI73" s="398">
        <f t="shared" si="55"/>
        <v>0.60000000000000142</v>
      </c>
      <c r="AJ73" s="398">
        <f t="shared" si="55"/>
        <v>0.60000000000000142</v>
      </c>
      <c r="AK73" s="398">
        <f t="shared" si="55"/>
        <v>0.69999999999998508</v>
      </c>
      <c r="AL73" s="418">
        <v>-0.5</v>
      </c>
      <c r="AM73" s="398">
        <f>SUM(AI73:AL73)</f>
        <v>1.3999999999999879</v>
      </c>
      <c r="AN73" s="418">
        <v>-0.5</v>
      </c>
      <c r="AO73" s="418">
        <v>-0.5</v>
      </c>
      <c r="AP73" s="418">
        <v>-0.5</v>
      </c>
      <c r="AQ73" s="418">
        <v>-0.5</v>
      </c>
      <c r="AR73" s="398">
        <f>SUM(AN73:AQ73)</f>
        <v>-2</v>
      </c>
      <c r="AS73" s="418">
        <v>-0.5</v>
      </c>
      <c r="AT73" s="418">
        <v>-0.5</v>
      </c>
      <c r="AU73" s="418">
        <v>-0.5</v>
      </c>
      <c r="AV73" s="418">
        <v>-0.5</v>
      </c>
      <c r="AW73" s="398">
        <f>SUM(AS73:AV73)</f>
        <v>-2</v>
      </c>
      <c r="AX73" s="418">
        <v>-0.5</v>
      </c>
      <c r="AY73" s="418">
        <v>-0.5</v>
      </c>
      <c r="AZ73" s="418">
        <v>-0.5</v>
      </c>
      <c r="BA73" s="418">
        <v>-0.5</v>
      </c>
      <c r="BB73" s="398">
        <f>SUM(AX73:BA73)</f>
        <v>-2</v>
      </c>
      <c r="BC73" s="418">
        <v>-0.5</v>
      </c>
      <c r="BD73" s="418">
        <v>-0.5</v>
      </c>
      <c r="BE73" s="418">
        <v>-0.5</v>
      </c>
      <c r="BF73" s="418">
        <v>-0.5</v>
      </c>
      <c r="BG73" s="398">
        <f>SUM(BC73:BF73)</f>
        <v>-2</v>
      </c>
      <c r="BH73" s="418">
        <v>-0.5</v>
      </c>
      <c r="BI73" s="418">
        <v>-0.5</v>
      </c>
      <c r="BJ73" s="418">
        <v>-0.5</v>
      </c>
      <c r="BK73" s="418">
        <v>-0.5</v>
      </c>
      <c r="BL73" s="398">
        <f>SUM(BH73:BK73)</f>
        <v>-2</v>
      </c>
    </row>
    <row r="74" spans="1:64">
      <c r="A74" s="9" t="s">
        <v>1846</v>
      </c>
      <c r="B74" s="9"/>
      <c r="C74" s="9"/>
      <c r="D74" s="9"/>
      <c r="E74" s="9"/>
      <c r="F74" s="9"/>
      <c r="G74" s="9"/>
      <c r="H74" s="9"/>
      <c r="I74" s="9"/>
      <c r="J74" s="378"/>
      <c r="K74" s="378"/>
      <c r="L74" s="378"/>
      <c r="M74" s="378"/>
      <c r="N74" s="378"/>
      <c r="O74" s="378"/>
      <c r="P74" s="378"/>
      <c r="Q74" s="378"/>
      <c r="R74" s="378"/>
      <c r="S74" s="378"/>
      <c r="T74" s="378"/>
      <c r="U74" s="378"/>
      <c r="V74" s="378"/>
      <c r="W74" s="378"/>
      <c r="X74" s="378"/>
      <c r="Y74" s="378">
        <f t="shared" ref="Y74:AK74" si="56">Y62-Y59</f>
        <v>90.200000000000017</v>
      </c>
      <c r="Z74" s="378">
        <f t="shared" si="56"/>
        <v>95.300000000000011</v>
      </c>
      <c r="AA74" s="378">
        <f t="shared" si="56"/>
        <v>105.7</v>
      </c>
      <c r="AB74" s="378">
        <f t="shared" si="56"/>
        <v>105.6</v>
      </c>
      <c r="AC74" s="378">
        <f t="shared" si="56"/>
        <v>396.79999999999995</v>
      </c>
      <c r="AD74" s="378">
        <f t="shared" si="56"/>
        <v>96.3</v>
      </c>
      <c r="AE74" s="378">
        <f t="shared" si="56"/>
        <v>97.699999999999989</v>
      </c>
      <c r="AF74" s="378">
        <f t="shared" si="56"/>
        <v>103.2</v>
      </c>
      <c r="AG74" s="378">
        <f t="shared" si="56"/>
        <v>99.499999999999986</v>
      </c>
      <c r="AH74" s="378">
        <f t="shared" si="56"/>
        <v>396.7</v>
      </c>
      <c r="AI74" s="378">
        <f t="shared" si="56"/>
        <v>93.4</v>
      </c>
      <c r="AJ74" s="378">
        <f t="shared" si="56"/>
        <v>99.100000000000009</v>
      </c>
      <c r="AK74" s="378">
        <f t="shared" si="56"/>
        <v>109.39999999999999</v>
      </c>
      <c r="AL74" s="378">
        <f t="shared" ref="AL74:BL74" si="57">AL69+AL72+AL73</f>
        <v>106.13578474402301</v>
      </c>
      <c r="AM74" s="378">
        <f t="shared" si="57"/>
        <v>408.03578474402298</v>
      </c>
      <c r="AN74" s="378">
        <f t="shared" si="57"/>
        <v>100.68162980277549</v>
      </c>
      <c r="AO74" s="378">
        <f t="shared" si="57"/>
        <v>105.81998238506688</v>
      </c>
      <c r="AP74" s="378">
        <f t="shared" si="57"/>
        <v>111.92655257121906</v>
      </c>
      <c r="AQ74" s="378">
        <f t="shared" si="57"/>
        <v>107.71122116263575</v>
      </c>
      <c r="AR74" s="378">
        <f t="shared" si="57"/>
        <v>426.13938592169723</v>
      </c>
      <c r="AS74" s="378">
        <f t="shared" si="57"/>
        <v>104.34726147681904</v>
      </c>
      <c r="AT74" s="378">
        <f t="shared" si="57"/>
        <v>109.1990675652182</v>
      </c>
      <c r="AU74" s="378">
        <f t="shared" si="57"/>
        <v>115.59025123790479</v>
      </c>
      <c r="AV74" s="378">
        <f t="shared" si="57"/>
        <v>111.14068475495569</v>
      </c>
      <c r="AW74" s="378">
        <f t="shared" si="57"/>
        <v>440.27726503489777</v>
      </c>
      <c r="AX74" s="378">
        <f t="shared" si="57"/>
        <v>108.34012399657692</v>
      </c>
      <c r="AY74" s="378">
        <f t="shared" si="57"/>
        <v>112.76398889205663</v>
      </c>
      <c r="AZ74" s="378">
        <f t="shared" si="57"/>
        <v>119.43413341194108</v>
      </c>
      <c r="BA74" s="378">
        <f t="shared" si="57"/>
        <v>114.69706665223268</v>
      </c>
      <c r="BB74" s="378">
        <f t="shared" si="57"/>
        <v>455.23531295280731</v>
      </c>
      <c r="BC74" s="378">
        <f t="shared" si="57"/>
        <v>113.0256349036938</v>
      </c>
      <c r="BD74" s="378">
        <f t="shared" si="57"/>
        <v>116.92756045688712</v>
      </c>
      <c r="BE74" s="378">
        <f t="shared" si="57"/>
        <v>123.91523759782527</v>
      </c>
      <c r="BF74" s="378">
        <f t="shared" si="57"/>
        <v>118.81804645357835</v>
      </c>
      <c r="BG74" s="378">
        <f t="shared" si="57"/>
        <v>472.68647941198458</v>
      </c>
      <c r="BH74" s="378">
        <f t="shared" si="57"/>
        <v>118.1931354968897</v>
      </c>
      <c r="BI74" s="378">
        <f t="shared" si="57"/>
        <v>121.50487877781647</v>
      </c>
      <c r="BJ74" s="378">
        <f t="shared" si="57"/>
        <v>128.84314753190705</v>
      </c>
      <c r="BK74" s="378">
        <f t="shared" si="57"/>
        <v>123.32971507982634</v>
      </c>
      <c r="BL74" s="378">
        <f t="shared" si="57"/>
        <v>491.87087688643953</v>
      </c>
    </row>
    <row r="75" spans="1:64">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row>
    <row r="76" spans="1:64">
      <c r="A76" s="3" t="s">
        <v>1663</v>
      </c>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row>
    <row r="77" spans="1:64">
      <c r="A77" s="5" t="s">
        <v>1842</v>
      </c>
      <c r="Y77" s="16"/>
      <c r="Z77" s="16"/>
      <c r="AA77" s="16"/>
      <c r="AB77" s="16"/>
      <c r="AC77" s="16"/>
      <c r="AD77" s="16">
        <f t="shared" ref="AD77:BL77" si="58">AD69/Y69-1</f>
        <v>3.1724137931034457E-2</v>
      </c>
      <c r="AE77" s="16">
        <f t="shared" si="58"/>
        <v>-1.0526315789473606E-2</v>
      </c>
      <c r="AF77" s="16">
        <f t="shared" si="58"/>
        <v>-6.3020214030915511E-2</v>
      </c>
      <c r="AG77" s="16">
        <f t="shared" si="58"/>
        <v>-0.10328638497652565</v>
      </c>
      <c r="AH77" s="16">
        <f t="shared" si="58"/>
        <v>-3.9647577092510766E-2</v>
      </c>
      <c r="AI77" s="16">
        <f t="shared" si="58"/>
        <v>-7.4866310160427774E-2</v>
      </c>
      <c r="AJ77" s="16">
        <f t="shared" si="58"/>
        <v>-3.0585106382978733E-2</v>
      </c>
      <c r="AK77" s="16">
        <f t="shared" si="58"/>
        <v>2.664974619289362E-2</v>
      </c>
      <c r="AL77" s="16">
        <f t="shared" si="58"/>
        <v>3.8434673292513155E-2</v>
      </c>
      <c r="AM77" s="16">
        <f t="shared" si="58"/>
        <v>-9.3826702504981041E-3</v>
      </c>
      <c r="AN77" s="16">
        <f t="shared" si="58"/>
        <v>5.0114306358381544E-2</v>
      </c>
      <c r="AO77" s="16">
        <f t="shared" si="58"/>
        <v>4.3296707818929914E-2</v>
      </c>
      <c r="AP77" s="16">
        <f t="shared" si="58"/>
        <v>-6.573125583716477E-4</v>
      </c>
      <c r="AQ77" s="16">
        <f t="shared" si="58"/>
        <v>-2.241134155716118E-2</v>
      </c>
      <c r="AR77" s="16">
        <f t="shared" si="58"/>
        <v>1.5853294243819871E-2</v>
      </c>
      <c r="AS77" s="16">
        <f t="shared" si="58"/>
        <v>-7.3986763896138896E-5</v>
      </c>
      <c r="AT77" s="16">
        <f t="shared" si="58"/>
        <v>1.3023103994100893E-3</v>
      </c>
      <c r="AU77" s="16">
        <f t="shared" si="58"/>
        <v>2.7575387343430346E-3</v>
      </c>
      <c r="AV77" s="16">
        <f t="shared" si="58"/>
        <v>3.1451234785890847E-3</v>
      </c>
      <c r="AW77" s="16">
        <f t="shared" si="58"/>
        <v>1.8250982401322169E-3</v>
      </c>
      <c r="AX77" s="16">
        <f t="shared" si="58"/>
        <v>6.3944200570029697E-3</v>
      </c>
      <c r="AY77" s="16">
        <f t="shared" si="58"/>
        <v>7.4774397392858294E-3</v>
      </c>
      <c r="AZ77" s="16">
        <f t="shared" si="58"/>
        <v>8.6531028792269371E-3</v>
      </c>
      <c r="BA77" s="16">
        <f t="shared" si="58"/>
        <v>8.872963948762802E-3</v>
      </c>
      <c r="BB77" s="16">
        <f t="shared" si="58"/>
        <v>7.8843128407106722E-3</v>
      </c>
      <c r="BC77" s="16">
        <f t="shared" si="58"/>
        <v>2.002821511608821E-2</v>
      </c>
      <c r="BD77" s="16">
        <f t="shared" si="58"/>
        <v>2.0937259835621003E-2</v>
      </c>
      <c r="BE77" s="16">
        <f t="shared" si="58"/>
        <v>2.2001965908710508E-2</v>
      </c>
      <c r="BF77" s="16">
        <f t="shared" si="58"/>
        <v>2.1988478577124937E-2</v>
      </c>
      <c r="BG77" s="16">
        <f t="shared" si="58"/>
        <v>2.1269714356197511E-2</v>
      </c>
      <c r="BH77" s="16">
        <f t="shared" si="58"/>
        <v>3.2465107541142624E-2</v>
      </c>
      <c r="BI77" s="16">
        <f t="shared" si="58"/>
        <v>3.3229496320341001E-2</v>
      </c>
      <c r="BJ77" s="16">
        <f t="shared" si="58"/>
        <v>3.4205474482824627E-2</v>
      </c>
      <c r="BK77" s="16">
        <f t="shared" si="58"/>
        <v>3.3991244260427989E-2</v>
      </c>
      <c r="BL77" s="16">
        <f t="shared" si="58"/>
        <v>3.349993793611894E-2</v>
      </c>
    </row>
    <row r="78" spans="1:64">
      <c r="A78" s="5" t="s">
        <v>1844</v>
      </c>
      <c r="Y78" s="16"/>
      <c r="Z78" s="16"/>
      <c r="AA78" s="16"/>
      <c r="AB78" s="16"/>
      <c r="AC78" s="16"/>
      <c r="AD78" s="16">
        <f t="shared" ref="AD78:BL80" si="59">AD72/Y72-1</f>
        <v>0.22981366459627317</v>
      </c>
      <c r="AE78" s="16">
        <f t="shared" si="59"/>
        <v>0.17514124293785316</v>
      </c>
      <c r="AF78" s="16">
        <f t="shared" si="59"/>
        <v>0.13432835820895517</v>
      </c>
      <c r="AG78" s="16">
        <f t="shared" si="59"/>
        <v>0.1914893617021276</v>
      </c>
      <c r="AH78" s="16">
        <f t="shared" si="59"/>
        <v>0.18019257221458052</v>
      </c>
      <c r="AI78" s="16">
        <f t="shared" si="59"/>
        <v>0.19191919191919204</v>
      </c>
      <c r="AJ78" s="16">
        <f t="shared" si="59"/>
        <v>0.23076923076923084</v>
      </c>
      <c r="AK78" s="16">
        <f t="shared" si="59"/>
        <v>0.2192982456140351</v>
      </c>
      <c r="AL78" s="16">
        <f t="shared" si="59"/>
        <v>0.21872212966406246</v>
      </c>
      <c r="AM78" s="16">
        <f t="shared" si="59"/>
        <v>0.21561043944609537</v>
      </c>
      <c r="AN78" s="16">
        <f t="shared" si="59"/>
        <v>0.2082084662193</v>
      </c>
      <c r="AO78" s="16">
        <f t="shared" si="59"/>
        <v>0.18217392129167487</v>
      </c>
      <c r="AP78" s="16">
        <f t="shared" si="59"/>
        <v>0.13596148047450796</v>
      </c>
      <c r="AQ78" s="16">
        <f t="shared" si="59"/>
        <v>0.12284060323646839</v>
      </c>
      <c r="AR78" s="16">
        <f t="shared" si="59"/>
        <v>0.16021738396496854</v>
      </c>
      <c r="AS78" s="16">
        <f t="shared" si="59"/>
        <v>0.12874532551120255</v>
      </c>
      <c r="AT78" s="16">
        <f t="shared" si="59"/>
        <v>0.10838203495457255</v>
      </c>
      <c r="AU78" s="16">
        <f t="shared" si="59"/>
        <v>0.10895471593331973</v>
      </c>
      <c r="AV78" s="16">
        <f t="shared" si="59"/>
        <v>0.10392290412711813</v>
      </c>
      <c r="AW78" s="16">
        <f t="shared" si="59"/>
        <v>0.11220017733627263</v>
      </c>
      <c r="AX78" s="16">
        <f t="shared" si="59"/>
        <v>0.10962428405366409</v>
      </c>
      <c r="AY78" s="16">
        <f t="shared" si="59"/>
        <v>8.9300676029929082E-2</v>
      </c>
      <c r="AZ78" s="16">
        <f t="shared" si="59"/>
        <v>8.9729676082910936E-2</v>
      </c>
      <c r="BA78" s="16">
        <f t="shared" si="59"/>
        <v>8.4698050575759076E-2</v>
      </c>
      <c r="BB78" s="16">
        <f t="shared" si="59"/>
        <v>9.3115213116172546E-2</v>
      </c>
      <c r="BC78" s="16">
        <f t="shared" si="59"/>
        <v>9.0188677655886451E-2</v>
      </c>
      <c r="BD78" s="16">
        <f t="shared" si="59"/>
        <v>6.9984196537401289E-2</v>
      </c>
      <c r="BE78" s="16">
        <f t="shared" si="59"/>
        <v>7.027709897764578E-2</v>
      </c>
      <c r="BF78" s="16">
        <f t="shared" si="59"/>
        <v>6.5252241936259558E-2</v>
      </c>
      <c r="BG78" s="16">
        <f t="shared" si="59"/>
        <v>7.3784212186388975E-2</v>
      </c>
      <c r="BH78" s="16">
        <f t="shared" si="59"/>
        <v>7.0526544279139847E-2</v>
      </c>
      <c r="BI78" s="16">
        <f t="shared" si="59"/>
        <v>5.0501186298781642E-2</v>
      </c>
      <c r="BJ78" s="16">
        <f t="shared" si="59"/>
        <v>5.0663554887802942E-2</v>
      </c>
      <c r="BK78" s="16">
        <f t="shared" si="59"/>
        <v>4.5651242447551033E-2</v>
      </c>
      <c r="BL78" s="16">
        <f t="shared" si="59"/>
        <v>5.4278163982997452E-2</v>
      </c>
    </row>
    <row r="79" spans="1:64">
      <c r="A79" s="5" t="s">
        <v>1845</v>
      </c>
      <c r="Y79" s="16"/>
      <c r="Z79" s="16"/>
      <c r="AA79" s="16"/>
      <c r="AB79" s="16"/>
      <c r="AC79" s="16"/>
      <c r="AD79" s="16">
        <f>AD73/Y73-1</f>
        <v>6.249999999998912E-2</v>
      </c>
      <c r="AE79" s="16">
        <f t="shared" si="59"/>
        <v>6.2499999999982681E-2</v>
      </c>
      <c r="AF79" s="16">
        <f t="shared" si="59"/>
        <v>6.6666666666664876E-2</v>
      </c>
      <c r="AG79" s="16">
        <f t="shared" si="59"/>
        <v>-0.56250000000001288</v>
      </c>
      <c r="AH79" s="16">
        <f t="shared" si="59"/>
        <v>-9.5238095238105669E-2</v>
      </c>
      <c r="AI79" s="16">
        <f>AI73/AD73-1</f>
        <v>-0.6470588235294108</v>
      </c>
      <c r="AJ79" s="16">
        <f t="shared" si="59"/>
        <v>-0.64705882352940791</v>
      </c>
      <c r="AK79" s="16">
        <f t="shared" si="59"/>
        <v>-0.56250000000001066</v>
      </c>
      <c r="AL79" s="16">
        <f t="shared" si="59"/>
        <v>-1.7142857142857331</v>
      </c>
      <c r="AM79" s="16">
        <f t="shared" si="59"/>
        <v>-0.75438596491227994</v>
      </c>
      <c r="AN79" s="16">
        <f>AN73/AI73-1</f>
        <v>-1.8333333333333313</v>
      </c>
      <c r="AO79" s="16">
        <f t="shared" si="59"/>
        <v>-1.8333333333333313</v>
      </c>
      <c r="AP79" s="16">
        <f t="shared" si="59"/>
        <v>-1.7142857142857295</v>
      </c>
      <c r="AQ79" s="16">
        <f t="shared" si="59"/>
        <v>0</v>
      </c>
      <c r="AR79" s="16">
        <f t="shared" si="59"/>
        <v>-2.4285714285714408</v>
      </c>
      <c r="AS79" s="16">
        <f>AS73/AN73-1</f>
        <v>0</v>
      </c>
      <c r="AT79" s="16">
        <f t="shared" si="59"/>
        <v>0</v>
      </c>
      <c r="AU79" s="16">
        <f t="shared" si="59"/>
        <v>0</v>
      </c>
      <c r="AV79" s="16">
        <f t="shared" si="59"/>
        <v>0</v>
      </c>
      <c r="AW79" s="16">
        <f t="shared" si="59"/>
        <v>0</v>
      </c>
      <c r="AX79" s="16">
        <f>AX73/AS73-1</f>
        <v>0</v>
      </c>
      <c r="AY79" s="16">
        <f t="shared" si="59"/>
        <v>0</v>
      </c>
      <c r="AZ79" s="16">
        <f t="shared" si="59"/>
        <v>0</v>
      </c>
      <c r="BA79" s="16">
        <f t="shared" si="59"/>
        <v>0</v>
      </c>
      <c r="BB79" s="16">
        <f t="shared" si="59"/>
        <v>0</v>
      </c>
      <c r="BC79" s="16">
        <f>BC73/AX73-1</f>
        <v>0</v>
      </c>
      <c r="BD79" s="16">
        <f t="shared" si="59"/>
        <v>0</v>
      </c>
      <c r="BE79" s="16">
        <f t="shared" si="59"/>
        <v>0</v>
      </c>
      <c r="BF79" s="16">
        <f t="shared" si="59"/>
        <v>0</v>
      </c>
      <c r="BG79" s="16">
        <f t="shared" si="59"/>
        <v>0</v>
      </c>
      <c r="BH79" s="16">
        <f>BH73/BC73-1</f>
        <v>0</v>
      </c>
      <c r="BI79" s="16">
        <f t="shared" si="59"/>
        <v>0</v>
      </c>
      <c r="BJ79" s="16">
        <f t="shared" si="59"/>
        <v>0</v>
      </c>
      <c r="BK79" s="16">
        <f t="shared" si="59"/>
        <v>0</v>
      </c>
      <c r="BL79" s="16">
        <f t="shared" si="59"/>
        <v>0</v>
      </c>
    </row>
    <row r="80" spans="1:64">
      <c r="A80" s="9" t="s">
        <v>1846</v>
      </c>
      <c r="B80" s="9"/>
      <c r="C80" s="9"/>
      <c r="D80" s="9"/>
      <c r="E80" s="9"/>
      <c r="F80" s="9"/>
      <c r="G80" s="9"/>
      <c r="H80" s="9"/>
      <c r="I80" s="9"/>
      <c r="J80" s="9"/>
      <c r="K80" s="9"/>
      <c r="L80" s="9"/>
      <c r="M80" s="9"/>
      <c r="N80" s="9"/>
      <c r="O80" s="9"/>
      <c r="P80" s="9"/>
      <c r="Q80" s="9"/>
      <c r="R80" s="9"/>
      <c r="S80" s="9"/>
      <c r="T80" s="9"/>
      <c r="U80" s="9"/>
      <c r="V80" s="9"/>
      <c r="W80" s="9"/>
      <c r="X80" s="9"/>
      <c r="Y80" s="17"/>
      <c r="Z80" s="17"/>
      <c r="AA80" s="17"/>
      <c r="AB80" s="17"/>
      <c r="AC80" s="17"/>
      <c r="AD80" s="17">
        <f>AD74/Y74-1</f>
        <v>6.7627494456762527E-2</v>
      </c>
      <c r="AE80" s="17">
        <f t="shared" si="59"/>
        <v>2.5183630640083665E-2</v>
      </c>
      <c r="AF80" s="17">
        <f t="shared" si="59"/>
        <v>-2.3651844843897818E-2</v>
      </c>
      <c r="AG80" s="17">
        <f t="shared" si="59"/>
        <v>-5.7765151515151603E-2</v>
      </c>
      <c r="AH80" s="17">
        <f t="shared" si="59"/>
        <v>-2.5201612903213988E-4</v>
      </c>
      <c r="AI80" s="17">
        <f>AI74/AD74-1</f>
        <v>-3.0114226375908548E-2</v>
      </c>
      <c r="AJ80" s="17">
        <f t="shared" si="59"/>
        <v>1.4329580348004356E-2</v>
      </c>
      <c r="AK80" s="17">
        <f t="shared" si="59"/>
        <v>6.0077519379844846E-2</v>
      </c>
      <c r="AL80" s="17">
        <f t="shared" si="59"/>
        <v>6.6691303960030535E-2</v>
      </c>
      <c r="AM80" s="17">
        <f t="shared" si="59"/>
        <v>2.8575207320451268E-2</v>
      </c>
      <c r="AN80" s="17">
        <f>AN74/AI74-1</f>
        <v>7.7961775190315663E-2</v>
      </c>
      <c r="AO80" s="17">
        <f t="shared" si="59"/>
        <v>6.7810114884630401E-2</v>
      </c>
      <c r="AP80" s="17">
        <f t="shared" si="59"/>
        <v>2.3094630449900011E-2</v>
      </c>
      <c r="AQ80" s="17">
        <f t="shared" si="59"/>
        <v>1.4843593255680521E-2</v>
      </c>
      <c r="AR80" s="17">
        <f t="shared" si="59"/>
        <v>4.4367680126465858E-2</v>
      </c>
      <c r="AS80" s="17">
        <f>AS74/AN74-1</f>
        <v>3.6408147953346903E-2</v>
      </c>
      <c r="AT80" s="17">
        <f t="shared" si="59"/>
        <v>3.1932392200323845E-2</v>
      </c>
      <c r="AU80" s="17">
        <f t="shared" si="59"/>
        <v>3.2733060945074E-2</v>
      </c>
      <c r="AV80" s="17">
        <f t="shared" si="59"/>
        <v>3.1839427269529263E-2</v>
      </c>
      <c r="AW80" s="17">
        <f t="shared" si="59"/>
        <v>3.317665435364936E-2</v>
      </c>
      <c r="AX80" s="17">
        <f>AX74/AS74-1</f>
        <v>3.8265139527834169E-2</v>
      </c>
      <c r="AY80" s="17">
        <f t="shared" si="59"/>
        <v>3.2646078454006133E-2</v>
      </c>
      <c r="AZ80" s="17">
        <f t="shared" si="59"/>
        <v>3.3254380303447073E-2</v>
      </c>
      <c r="BA80" s="17">
        <f t="shared" si="59"/>
        <v>3.1998920153480714E-2</v>
      </c>
      <c r="BB80" s="17">
        <f t="shared" si="59"/>
        <v>3.3974154710722848E-2</v>
      </c>
      <c r="BC80" s="17">
        <f>BC74/AX74-1</f>
        <v>4.3248158985538243E-2</v>
      </c>
      <c r="BD80" s="17">
        <f t="shared" si="59"/>
        <v>3.6922882967682868E-2</v>
      </c>
      <c r="BE80" s="17">
        <f t="shared" si="59"/>
        <v>3.7519459955625889E-2</v>
      </c>
      <c r="BF80" s="17">
        <f t="shared" si="59"/>
        <v>3.5929251912262927E-2</v>
      </c>
      <c r="BG80" s="17">
        <f t="shared" si="59"/>
        <v>3.8334386552711042E-2</v>
      </c>
      <c r="BH80" s="17">
        <f>BH74/BC74-1</f>
        <v>4.5719721880783881E-2</v>
      </c>
      <c r="BI80" s="17">
        <f t="shared" si="59"/>
        <v>3.9146616101830567E-2</v>
      </c>
      <c r="BJ80" s="17">
        <f t="shared" si="59"/>
        <v>3.9768393537489066E-2</v>
      </c>
      <c r="BK80" s="17">
        <f t="shared" si="59"/>
        <v>3.7971240572539422E-2</v>
      </c>
      <c r="BL80" s="17">
        <f t="shared" si="59"/>
        <v>4.0585881572750004E-2</v>
      </c>
    </row>
    <row r="81" spans="1:64">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row>
    <row r="82" spans="1:64">
      <c r="A82" s="3" t="s">
        <v>1847</v>
      </c>
    </row>
    <row r="83" spans="1:64">
      <c r="A83" s="25" t="s">
        <v>1848</v>
      </c>
      <c r="AK83" s="419" t="s">
        <v>1849</v>
      </c>
      <c r="AL83" s="115"/>
      <c r="AM83" s="115"/>
      <c r="AN83" s="115"/>
      <c r="AO83" s="115"/>
      <c r="AP83" s="115"/>
      <c r="AQ83" s="115"/>
    </row>
    <row r="84" spans="1:64" s="26" customFormat="1">
      <c r="A84" s="29" t="s">
        <v>1850</v>
      </c>
      <c r="J84" s="386"/>
      <c r="K84" s="386"/>
      <c r="L84" s="386"/>
      <c r="M84" s="386"/>
      <c r="N84" s="386"/>
      <c r="O84" s="386"/>
      <c r="P84" s="386"/>
      <c r="Q84" s="386"/>
      <c r="R84" s="386"/>
      <c r="S84" s="386"/>
      <c r="T84" s="386"/>
      <c r="U84" s="386"/>
      <c r="V84" s="386"/>
      <c r="W84" s="386"/>
      <c r="X84" s="386"/>
      <c r="Y84" s="420">
        <v>25</v>
      </c>
      <c r="Z84" s="420">
        <v>26.8</v>
      </c>
      <c r="AA84" s="420">
        <v>29.3</v>
      </c>
      <c r="AB84" s="420">
        <v>28.6</v>
      </c>
      <c r="AC84" s="386">
        <f>SUM(Y84:AB84)</f>
        <v>109.69999999999999</v>
      </c>
      <c r="AD84" s="420">
        <v>27.3</v>
      </c>
      <c r="AE84" s="420">
        <v>26.2</v>
      </c>
      <c r="AF84" s="420">
        <v>26.6</v>
      </c>
      <c r="AG84" s="420">
        <v>25.6</v>
      </c>
      <c r="AH84" s="386">
        <f>SUM(AD84:AG84)</f>
        <v>105.69999999999999</v>
      </c>
      <c r="AI84" s="420">
        <v>24.7</v>
      </c>
      <c r="AJ84" s="420">
        <v>26.1</v>
      </c>
      <c r="AK84" s="421">
        <f>AK69*(AC84+AH84+SUM(AI84:AJ84))/(AC84+AH84+SUM(AI84:AJ84)+AC124+AH124+SUM(AI124:AJ124))</f>
        <v>28.180554828578906</v>
      </c>
      <c r="AL84" s="386">
        <f>3*AL109*AVERAGE(AK104:AL104)/1000</f>
        <v>26.734409039548016</v>
      </c>
      <c r="AM84" s="386">
        <f>SUM(AI84:AL84)</f>
        <v>105.71496386812692</v>
      </c>
      <c r="AN84" s="386">
        <f>3*AN109*AVERAGE(AM104:AN104)/1000</f>
        <v>25.571910000000003</v>
      </c>
      <c r="AO84" s="386">
        <f>3*AO109*AVERAGE(AN104:AO104)/1000</f>
        <v>27.021329999999999</v>
      </c>
      <c r="AP84" s="386">
        <f>3*AP109*AVERAGE(AO104:AP104)/1000</f>
        <v>29.175328414027735</v>
      </c>
      <c r="AQ84" s="386">
        <f>3*AQ109*AVERAGE(AP104:AQ104)/1000</f>
        <v>27.678133678644063</v>
      </c>
      <c r="AR84" s="386">
        <f>SUM(AN84:AQ84)</f>
        <v>109.4467020926718</v>
      </c>
      <c r="AS84" s="386">
        <f>3*AS109*AVERAGE(AR104:AS104)/1000</f>
        <v>26.215043536500005</v>
      </c>
      <c r="AT84" s="386">
        <f>3*AT109*AVERAGE(AS104:AT104)/1000</f>
        <v>27.700916449499992</v>
      </c>
      <c r="AU84" s="386">
        <f>3*AU109*AVERAGE(AT104:AU104)/1000</f>
        <v>29.909087923640524</v>
      </c>
      <c r="AV84" s="386">
        <f>3*AV109*AVERAGE(AU104:AV104)/1000</f>
        <v>28.374238740661959</v>
      </c>
      <c r="AW84" s="386">
        <f>SUM(AS84:AV84)</f>
        <v>112.19928665030247</v>
      </c>
      <c r="AX84" s="386">
        <f>3*AX109*AVERAGE(AW104:AX104)/1000</f>
        <v>27.140434573338453</v>
      </c>
      <c r="AY84" s="386">
        <f>3*AY109*AVERAGE(AX104:AY104)/1000</f>
        <v>28.678758800167344</v>
      </c>
      <c r="AZ84" s="386">
        <f>3*AZ109*AVERAGE(AY104:AZ104)/1000</f>
        <v>30.964878727345031</v>
      </c>
      <c r="BA84" s="386">
        <f>3*BA109*AVERAGE(AZ104:BA104)/1000</f>
        <v>29.37584936820733</v>
      </c>
      <c r="BB84" s="386">
        <f>SUM(AX84:BA84)</f>
        <v>116.15992146905816</v>
      </c>
      <c r="BC84" s="386">
        <f>3*BC109*AVERAGE(BB104:BC104)/1000</f>
        <v>28.924918146535461</v>
      </c>
      <c r="BD84" s="386">
        <f>3*BD109*AVERAGE(BC104:BD104)/1000</f>
        <v>30.564387191278346</v>
      </c>
      <c r="BE84" s="386">
        <f>3*BE109*AVERAGE(BD104:BE104)/1000</f>
        <v>33.000819503667969</v>
      </c>
      <c r="BF84" s="386">
        <f>3*BF109*AVERAGE(BE104:BF104)/1000</f>
        <v>31.307311464166954</v>
      </c>
      <c r="BG84" s="386">
        <f>SUM(BC84:BF84)</f>
        <v>123.79743630564873</v>
      </c>
      <c r="BH84" s="386">
        <f>3*BH109*AVERAGE(BG104:BH104)/1000</f>
        <v>31.560701312638496</v>
      </c>
      <c r="BI84" s="386">
        <f>3*BI109*AVERAGE(BH104:BI104)/1000</f>
        <v>33.349566974083572</v>
      </c>
      <c r="BJ84" s="386">
        <f>3*BJ109*AVERAGE(BI104:BJ104)/1000</f>
        <v>36.008019180939705</v>
      </c>
      <c r="BK84" s="386">
        <f>3*BK109*AVERAGE(BJ104:BK104)/1000</f>
        <v>34.160190221339164</v>
      </c>
      <c r="BL84" s="386">
        <f>SUM(BH84:BK84)</f>
        <v>135.07847768900092</v>
      </c>
    </row>
    <row r="85" spans="1:64">
      <c r="A85" s="5" t="s">
        <v>1851</v>
      </c>
      <c r="J85" s="375"/>
      <c r="K85" s="375"/>
      <c r="L85" s="375"/>
      <c r="M85" s="375"/>
      <c r="N85" s="375"/>
      <c r="O85" s="375"/>
      <c r="P85" s="375"/>
      <c r="Q85" s="375"/>
      <c r="R85" s="375"/>
      <c r="S85" s="375"/>
      <c r="T85" s="375"/>
      <c r="U85" s="375"/>
      <c r="V85" s="375"/>
      <c r="W85" s="375"/>
      <c r="X85" s="375"/>
      <c r="Y85" s="417">
        <v>16.100000000000001</v>
      </c>
      <c r="Z85" s="417">
        <v>17.7</v>
      </c>
      <c r="AA85" s="417">
        <v>20.100000000000001</v>
      </c>
      <c r="AB85" s="417">
        <v>18.8</v>
      </c>
      <c r="AC85" s="375">
        <f>SUM(Y85:AB85)</f>
        <v>72.7</v>
      </c>
      <c r="AD85" s="417">
        <v>19.8</v>
      </c>
      <c r="AE85" s="417">
        <v>20.8</v>
      </c>
      <c r="AF85" s="417">
        <v>22.8</v>
      </c>
      <c r="AG85" s="417">
        <v>22.4</v>
      </c>
      <c r="AH85" s="375">
        <f>SUM(AD85:AG85)</f>
        <v>85.800000000000011</v>
      </c>
      <c r="AI85" s="417">
        <v>23.6</v>
      </c>
      <c r="AJ85" s="417">
        <v>25.6</v>
      </c>
      <c r="AK85" s="417">
        <v>27.8</v>
      </c>
      <c r="AL85" s="375">
        <f>3*AL117*AVERAGE(AK114:AL114)/1000000</f>
        <v>26.049375704474997</v>
      </c>
      <c r="AM85" s="375">
        <f>SUM(AI85:AL85)</f>
        <v>103.049375704475</v>
      </c>
      <c r="AN85" s="375">
        <f>3*AN117*AVERAGE(AM114:AN114)/1000000</f>
        <v>27.263719802775483</v>
      </c>
      <c r="AO85" s="375">
        <f>3*AO117*AVERAGE(AN114:AO114)/1000000</f>
        <v>29.01365238506688</v>
      </c>
      <c r="AP85" s="375">
        <f>3*AP117*AVERAGE(AO114:AP114)/1000000</f>
        <v>30.32972915719132</v>
      </c>
      <c r="AQ85" s="375">
        <f>3*AQ117*AVERAGE(AP114:AQ114)/1000000</f>
        <v>29.402847483991692</v>
      </c>
      <c r="AR85" s="375">
        <f>SUM(AN85:AQ85)</f>
        <v>116.00994882902538</v>
      </c>
      <c r="AS85" s="375">
        <f>3*AS117*AVERAGE(AR114:AS114)/1000000</f>
        <v>30.934727940319032</v>
      </c>
      <c r="AT85" s="375">
        <f>3*AT117*AVERAGE(AS114:AT114)/1000000</f>
        <v>32.293688615718231</v>
      </c>
      <c r="AU85" s="375">
        <f>3*AU117*AVERAGE(AT114:AU114)/1000000</f>
        <v>33.770489576764277</v>
      </c>
      <c r="AV85" s="375">
        <f>3*AV117*AVERAGE(AU114:AV114)/1000000</f>
        <v>32.588380414293738</v>
      </c>
      <c r="AW85" s="375">
        <f>SUM(AS85:AV85)</f>
        <v>129.58728654709529</v>
      </c>
      <c r="AX85" s="375">
        <f>3*AX117*AVERAGE(AW114:AX114)/1000000</f>
        <v>34.462955698238467</v>
      </c>
      <c r="AY85" s="375">
        <f>3*AY117*AVERAGE(AX114:AY114)/1000000</f>
        <v>35.289162685639305</v>
      </c>
      <c r="AZ85" s="375">
        <f>3*AZ117*AVERAGE(AY114:AZ114)/1000000</f>
        <v>36.912866762752294</v>
      </c>
      <c r="BA85" s="375">
        <f>3*BA117*AVERAGE(AZ114:BA114)/1000000</f>
        <v>35.454425270025368</v>
      </c>
      <c r="BB85" s="375">
        <f>SUM(AX85:BA85)</f>
        <v>142.11941041665546</v>
      </c>
      <c r="BC85" s="375">
        <f>3*BC117*AVERAGE(BB114:BC114)/1000000</f>
        <v>37.683859947845846</v>
      </c>
      <c r="BD85" s="375">
        <f>3*BD117*AVERAGE(BC114:BD114)/1000000</f>
        <v>37.846326628343164</v>
      </c>
      <c r="BE85" s="375">
        <f>3*BE117*AVERAGE(BD114:BE114)/1000000</f>
        <v>39.59484232750895</v>
      </c>
      <c r="BF85" s="375">
        <f>3*BF117*AVERAGE(BE114:BF114)/1000000</f>
        <v>37.849471307876421</v>
      </c>
      <c r="BG85" s="375">
        <f>SUM(BC85:BF85)</f>
        <v>152.97450021157439</v>
      </c>
      <c r="BH85" s="375">
        <f>3*BH117*AVERAGE(BG114:BH114)/1000000</f>
        <v>40.429730545415424</v>
      </c>
      <c r="BI85" s="375">
        <f>3*BI117*AVERAGE(BH114:BI114)/1000000</f>
        <v>39.820737502999137</v>
      </c>
      <c r="BJ85" s="375">
        <f>3*BJ117*AVERAGE(BI114:BJ114)/1000000</f>
        <v>41.66418723865236</v>
      </c>
      <c r="BK85" s="375">
        <f>3*BK117*AVERAGE(BJ114:BK114)/1000000</f>
        <v>39.634410752123351</v>
      </c>
      <c r="BL85" s="375">
        <f>SUM(BH85:BK85)</f>
        <v>161.54906603919028</v>
      </c>
    </row>
    <row r="86" spans="1:64" s="26" customFormat="1">
      <c r="A86" s="29" t="s">
        <v>1852</v>
      </c>
      <c r="J86" s="386"/>
      <c r="K86" s="386"/>
      <c r="L86" s="386"/>
      <c r="M86" s="386"/>
      <c r="N86" s="386"/>
      <c r="O86" s="386"/>
      <c r="P86" s="386"/>
      <c r="Q86" s="386"/>
      <c r="R86" s="386"/>
      <c r="S86" s="386"/>
      <c r="T86" s="386"/>
      <c r="U86" s="386"/>
      <c r="V86" s="386"/>
      <c r="W86" s="386"/>
      <c r="X86" s="386"/>
      <c r="Y86" s="386">
        <f>Y87-SUM(Y84:Y85)</f>
        <v>1.6000000000000014</v>
      </c>
      <c r="Z86" s="386">
        <f t="shared" ref="Z86:AB86" si="60">Z87-SUM(Z84:Z85)</f>
        <v>1.6000000000000014</v>
      </c>
      <c r="AA86" s="386">
        <f t="shared" si="60"/>
        <v>1.5999999999999943</v>
      </c>
      <c r="AB86" s="386">
        <f t="shared" si="60"/>
        <v>1.5999999999999943</v>
      </c>
      <c r="AC86" s="386">
        <f>SUM(Y86:AB86)</f>
        <v>6.3999999999999915</v>
      </c>
      <c r="AD86" s="386">
        <f>AD87-SUM(AD84:AD85)</f>
        <v>1.6999999999999957</v>
      </c>
      <c r="AE86" s="386">
        <f t="shared" ref="AE86:AG86" si="61">AE87-SUM(AE84:AE85)</f>
        <v>1.6000000000000014</v>
      </c>
      <c r="AF86" s="386">
        <f t="shared" si="61"/>
        <v>1.5999999999999943</v>
      </c>
      <c r="AG86" s="386">
        <f t="shared" si="61"/>
        <v>0.70000000000000284</v>
      </c>
      <c r="AH86" s="386">
        <f>SUM(AD86:AG86)</f>
        <v>5.5999999999999943</v>
      </c>
      <c r="AI86" s="386">
        <f>AI87-SUM(AI84:AI85)</f>
        <v>0.60000000000000142</v>
      </c>
      <c r="AJ86" s="386">
        <f t="shared" ref="AJ86" si="62">AJ87-SUM(AJ84:AJ85)</f>
        <v>0.59999999999999432</v>
      </c>
      <c r="AK86" s="421">
        <v>0.5</v>
      </c>
      <c r="AL86" s="421">
        <v>0.5</v>
      </c>
      <c r="AM86" s="386">
        <f>SUM(AI86:AL86)</f>
        <v>2.1999999999999957</v>
      </c>
      <c r="AN86" s="421">
        <v>0.5</v>
      </c>
      <c r="AO86" s="421">
        <v>0.5</v>
      </c>
      <c r="AP86" s="421">
        <v>0.5</v>
      </c>
      <c r="AQ86" s="421">
        <v>0.5</v>
      </c>
      <c r="AR86" s="386">
        <f>SUM(AN86:AQ86)</f>
        <v>2</v>
      </c>
      <c r="AS86" s="421">
        <v>0.5</v>
      </c>
      <c r="AT86" s="421">
        <v>0.5</v>
      </c>
      <c r="AU86" s="421">
        <v>0.5</v>
      </c>
      <c r="AV86" s="421">
        <v>0.5</v>
      </c>
      <c r="AW86" s="386">
        <f>SUM(AS86:AV86)</f>
        <v>2</v>
      </c>
      <c r="AX86" s="421">
        <v>0.5</v>
      </c>
      <c r="AY86" s="421">
        <v>0.5</v>
      </c>
      <c r="AZ86" s="421">
        <v>0.5</v>
      </c>
      <c r="BA86" s="421">
        <v>0.5</v>
      </c>
      <c r="BB86" s="386">
        <f>SUM(AX86:BA86)</f>
        <v>2</v>
      </c>
      <c r="BC86" s="421">
        <v>0.5</v>
      </c>
      <c r="BD86" s="421">
        <v>0.5</v>
      </c>
      <c r="BE86" s="421">
        <v>0.5</v>
      </c>
      <c r="BF86" s="421">
        <v>0.5</v>
      </c>
      <c r="BG86" s="386">
        <f>SUM(BC86:BF86)</f>
        <v>2</v>
      </c>
      <c r="BH86" s="421">
        <v>0.5</v>
      </c>
      <c r="BI86" s="421">
        <v>0.5</v>
      </c>
      <c r="BJ86" s="421">
        <v>0.5</v>
      </c>
      <c r="BK86" s="421">
        <v>0.5</v>
      </c>
      <c r="BL86" s="386">
        <f>SUM(BH86:BK86)</f>
        <v>2</v>
      </c>
    </row>
    <row r="87" spans="1:64">
      <c r="A87" s="9" t="s">
        <v>1853</v>
      </c>
      <c r="B87" s="9"/>
      <c r="C87" s="9"/>
      <c r="D87" s="9"/>
      <c r="E87" s="9"/>
      <c r="F87" s="9"/>
      <c r="G87" s="9"/>
      <c r="H87" s="9"/>
      <c r="I87" s="9"/>
      <c r="J87" s="378"/>
      <c r="K87" s="378"/>
      <c r="L87" s="378"/>
      <c r="M87" s="378"/>
      <c r="N87" s="378"/>
      <c r="O87" s="378"/>
      <c r="P87" s="378"/>
      <c r="Q87" s="378"/>
      <c r="R87" s="378"/>
      <c r="S87" s="378"/>
      <c r="T87" s="378"/>
      <c r="U87" s="378"/>
      <c r="V87" s="378"/>
      <c r="W87" s="378"/>
      <c r="X87" s="378"/>
      <c r="Y87" s="416">
        <v>42.7</v>
      </c>
      <c r="Z87" s="416">
        <v>46.1</v>
      </c>
      <c r="AA87" s="416">
        <v>51</v>
      </c>
      <c r="AB87" s="416">
        <v>49</v>
      </c>
      <c r="AC87" s="378">
        <f>SUM(Y87:AB87)</f>
        <v>188.8</v>
      </c>
      <c r="AD87" s="416">
        <v>48.8</v>
      </c>
      <c r="AE87" s="416">
        <v>48.6</v>
      </c>
      <c r="AF87" s="416">
        <v>51</v>
      </c>
      <c r="AG87" s="416">
        <v>48.7</v>
      </c>
      <c r="AH87" s="378">
        <f>SUM(AD87:AG87)</f>
        <v>197.10000000000002</v>
      </c>
      <c r="AI87" s="416">
        <v>48.9</v>
      </c>
      <c r="AJ87" s="416">
        <v>52.3</v>
      </c>
      <c r="AK87" s="378">
        <f>SUM(AK84:AK86)</f>
        <v>56.480554828578903</v>
      </c>
      <c r="AL87" s="378">
        <f>SUM(AL84:AL86)</f>
        <v>53.283784744023009</v>
      </c>
      <c r="AM87" s="378">
        <f>SUM(AI87:AL87)</f>
        <v>210.96433957260189</v>
      </c>
      <c r="AN87" s="378">
        <f t="shared" ref="AN87:AQ87" si="63">SUM(AN84:AN86)</f>
        <v>53.335629802775486</v>
      </c>
      <c r="AO87" s="378">
        <f t="shared" si="63"/>
        <v>56.534982385066883</v>
      </c>
      <c r="AP87" s="378">
        <f t="shared" si="63"/>
        <v>60.005057571219055</v>
      </c>
      <c r="AQ87" s="378">
        <f t="shared" si="63"/>
        <v>57.580981162635752</v>
      </c>
      <c r="AR87" s="378">
        <f>SUM(AN87:AQ87)</f>
        <v>227.45665092169719</v>
      </c>
      <c r="AS87" s="378">
        <f t="shared" ref="AS87:AV87" si="64">SUM(AS84:AS86)</f>
        <v>57.649771476819041</v>
      </c>
      <c r="AT87" s="378">
        <f t="shared" si="64"/>
        <v>60.494605065218224</v>
      </c>
      <c r="AU87" s="378">
        <f t="shared" si="64"/>
        <v>64.179577500404804</v>
      </c>
      <c r="AV87" s="378">
        <f t="shared" si="64"/>
        <v>61.462619154955696</v>
      </c>
      <c r="AW87" s="378">
        <f>SUM(AS87:AV87)</f>
        <v>243.78657319739776</v>
      </c>
      <c r="AX87" s="378">
        <f t="shared" ref="AX87:BA87" si="65">SUM(AX84:AX86)</f>
        <v>62.10339027157692</v>
      </c>
      <c r="AY87" s="378">
        <f t="shared" si="65"/>
        <v>64.467921485806642</v>
      </c>
      <c r="AZ87" s="378">
        <f t="shared" si="65"/>
        <v>68.377745490097325</v>
      </c>
      <c r="BA87" s="378">
        <f t="shared" si="65"/>
        <v>65.330274638232694</v>
      </c>
      <c r="BB87" s="378">
        <f>SUM(AX87:BA87)</f>
        <v>260.27933188571359</v>
      </c>
      <c r="BC87" s="378">
        <f t="shared" ref="BC87:BF87" si="66">SUM(BC84:BC86)</f>
        <v>67.108778094381307</v>
      </c>
      <c r="BD87" s="378">
        <f t="shared" si="66"/>
        <v>68.910713819621506</v>
      </c>
      <c r="BE87" s="378">
        <f t="shared" si="66"/>
        <v>73.095661831176926</v>
      </c>
      <c r="BF87" s="378">
        <f t="shared" si="66"/>
        <v>69.656782772043371</v>
      </c>
      <c r="BG87" s="378">
        <f>SUM(BC87:BF87)</f>
        <v>278.77193651722308</v>
      </c>
      <c r="BH87" s="378">
        <f t="shared" ref="BH87:BK87" si="67">SUM(BH84:BH86)</f>
        <v>72.490431858053924</v>
      </c>
      <c r="BI87" s="378">
        <f t="shared" si="67"/>
        <v>73.670304477082709</v>
      </c>
      <c r="BJ87" s="378">
        <f t="shared" si="67"/>
        <v>78.172206419592072</v>
      </c>
      <c r="BK87" s="378">
        <f t="shared" si="67"/>
        <v>74.294600973462508</v>
      </c>
      <c r="BL87" s="378">
        <f>SUM(BH87:BK87)</f>
        <v>298.6275437281912</v>
      </c>
    </row>
    <row r="89" spans="1:64" s="3" customFormat="1">
      <c r="A89" s="3" t="s">
        <v>1663</v>
      </c>
    </row>
    <row r="90" spans="1:64">
      <c r="A90" s="5" t="s">
        <v>1850</v>
      </c>
      <c r="AD90" s="16">
        <f t="shared" ref="AD90:BL93" si="68">AD84/Y84-1</f>
        <v>9.2000000000000082E-2</v>
      </c>
      <c r="AE90" s="16">
        <f t="shared" si="68"/>
        <v>-2.2388059701492602E-2</v>
      </c>
      <c r="AF90" s="16">
        <f t="shared" si="68"/>
        <v>-9.2150170648464091E-2</v>
      </c>
      <c r="AG90" s="16">
        <f t="shared" si="68"/>
        <v>-0.1048951048951049</v>
      </c>
      <c r="AH90" s="16">
        <f t="shared" si="68"/>
        <v>-3.6463081130355568E-2</v>
      </c>
      <c r="AI90" s="16">
        <f t="shared" si="68"/>
        <v>-9.5238095238095233E-2</v>
      </c>
      <c r="AJ90" s="16">
        <f t="shared" si="68"/>
        <v>-3.8167938931297218E-3</v>
      </c>
      <c r="AK90" s="16">
        <f t="shared" si="68"/>
        <v>5.9419354457853624E-2</v>
      </c>
      <c r="AL90" s="16">
        <f t="shared" si="68"/>
        <v>4.431285310734423E-2</v>
      </c>
      <c r="AM90" s="16">
        <f t="shared" si="68"/>
        <v>1.4156923488095607E-4</v>
      </c>
      <c r="AN90" s="16">
        <f t="shared" si="68"/>
        <v>3.5300000000000109E-2</v>
      </c>
      <c r="AO90" s="16">
        <f t="shared" si="68"/>
        <v>3.5299999999999887E-2</v>
      </c>
      <c r="AP90" s="16">
        <f t="shared" si="68"/>
        <v>3.5299999999999887E-2</v>
      </c>
      <c r="AQ90" s="16">
        <f t="shared" si="68"/>
        <v>3.5300000000000109E-2</v>
      </c>
      <c r="AR90" s="16">
        <f t="shared" si="68"/>
        <v>3.5300000000000109E-2</v>
      </c>
      <c r="AS90" s="16">
        <f t="shared" si="68"/>
        <v>2.5150000000000006E-2</v>
      </c>
      <c r="AT90" s="16">
        <f t="shared" si="68"/>
        <v>2.5149999999999784E-2</v>
      </c>
      <c r="AU90" s="16">
        <f t="shared" si="68"/>
        <v>2.5149999999999784E-2</v>
      </c>
      <c r="AV90" s="16">
        <f t="shared" si="68"/>
        <v>2.5150000000000006E-2</v>
      </c>
      <c r="AW90" s="16">
        <f t="shared" si="68"/>
        <v>2.5149999999999784E-2</v>
      </c>
      <c r="AX90" s="16">
        <f t="shared" si="68"/>
        <v>3.5299999999999887E-2</v>
      </c>
      <c r="AY90" s="16">
        <f t="shared" si="68"/>
        <v>3.5300000000000109E-2</v>
      </c>
      <c r="AZ90" s="16">
        <f t="shared" si="68"/>
        <v>3.5299999999999887E-2</v>
      </c>
      <c r="BA90" s="16">
        <f t="shared" si="68"/>
        <v>3.5300000000000109E-2</v>
      </c>
      <c r="BB90" s="16">
        <f t="shared" si="68"/>
        <v>3.5300000000000109E-2</v>
      </c>
      <c r="BC90" s="16">
        <f t="shared" si="68"/>
        <v>6.5750000000000197E-2</v>
      </c>
      <c r="BD90" s="16">
        <f t="shared" si="68"/>
        <v>6.5749999999999975E-2</v>
      </c>
      <c r="BE90" s="16">
        <f t="shared" si="68"/>
        <v>6.5750000000000197E-2</v>
      </c>
      <c r="BF90" s="16">
        <f t="shared" si="68"/>
        <v>6.5749999999999753E-2</v>
      </c>
      <c r="BG90" s="16">
        <f t="shared" si="68"/>
        <v>6.5749999999999975E-2</v>
      </c>
      <c r="BH90" s="16">
        <f t="shared" si="68"/>
        <v>9.1124999999999678E-2</v>
      </c>
      <c r="BI90" s="16">
        <f t="shared" si="68"/>
        <v>9.1124999999999678E-2</v>
      </c>
      <c r="BJ90" s="16">
        <f t="shared" si="68"/>
        <v>9.1124999999999678E-2</v>
      </c>
      <c r="BK90" s="16">
        <f t="shared" si="68"/>
        <v>9.1124999999999901E-2</v>
      </c>
      <c r="BL90" s="16">
        <f t="shared" si="68"/>
        <v>9.1124999999999678E-2</v>
      </c>
    </row>
    <row r="91" spans="1:64">
      <c r="A91" s="5" t="s">
        <v>1851</v>
      </c>
      <c r="AD91" s="16">
        <f t="shared" si="68"/>
        <v>0.22981366459627317</v>
      </c>
      <c r="AE91" s="16">
        <f t="shared" si="68"/>
        <v>0.17514124293785316</v>
      </c>
      <c r="AF91" s="16">
        <f t="shared" si="68"/>
        <v>0.13432835820895517</v>
      </c>
      <c r="AG91" s="16">
        <f t="shared" si="68"/>
        <v>0.1914893617021276</v>
      </c>
      <c r="AH91" s="16">
        <f t="shared" si="68"/>
        <v>0.18019257221458052</v>
      </c>
      <c r="AI91" s="16">
        <f t="shared" si="68"/>
        <v>0.19191919191919204</v>
      </c>
      <c r="AJ91" s="16">
        <f t="shared" si="68"/>
        <v>0.23076923076923084</v>
      </c>
      <c r="AK91" s="16">
        <f t="shared" si="68"/>
        <v>0.2192982456140351</v>
      </c>
      <c r="AL91" s="16">
        <f t="shared" si="68"/>
        <v>0.16291855823549106</v>
      </c>
      <c r="AM91" s="16">
        <f t="shared" si="68"/>
        <v>0.20104167487733071</v>
      </c>
      <c r="AN91" s="16">
        <f t="shared" si="68"/>
        <v>0.15524236452438478</v>
      </c>
      <c r="AO91" s="16">
        <f t="shared" si="68"/>
        <v>0.13334579629167487</v>
      </c>
      <c r="AP91" s="16">
        <f t="shared" si="68"/>
        <v>9.0997451697529375E-2</v>
      </c>
      <c r="AQ91" s="16">
        <f t="shared" si="68"/>
        <v>0.12873520722957688</v>
      </c>
      <c r="AR91" s="16">
        <f t="shared" si="68"/>
        <v>0.12577051569646303</v>
      </c>
      <c r="AS91" s="16">
        <f t="shared" si="68"/>
        <v>0.13464810246362036</v>
      </c>
      <c r="AT91" s="16">
        <f t="shared" si="68"/>
        <v>0.11305147615057121</v>
      </c>
      <c r="AU91" s="16">
        <f t="shared" si="68"/>
        <v>0.11344514162129071</v>
      </c>
      <c r="AV91" s="16">
        <f t="shared" si="68"/>
        <v>0.10834096704533125</v>
      </c>
      <c r="AW91" s="16">
        <f t="shared" si="68"/>
        <v>0.11703597713054847</v>
      </c>
      <c r="AX91" s="16">
        <f t="shared" si="68"/>
        <v>0.11405394496199506</v>
      </c>
      <c r="AY91" s="16">
        <f t="shared" si="68"/>
        <v>9.2757259957696236E-2</v>
      </c>
      <c r="AZ91" s="16">
        <f t="shared" si="68"/>
        <v>9.3050981059810356E-2</v>
      </c>
      <c r="BA91" s="16">
        <f t="shared" si="68"/>
        <v>8.7946833174763706E-2</v>
      </c>
      <c r="BB91" s="16">
        <f t="shared" si="68"/>
        <v>9.6707973470882669E-2</v>
      </c>
      <c r="BC91" s="16">
        <f t="shared" si="68"/>
        <v>9.3459895831627948E-2</v>
      </c>
      <c r="BD91" s="16">
        <f t="shared" si="68"/>
        <v>7.2463151520012703E-2</v>
      </c>
      <c r="BE91" s="16">
        <f t="shared" si="68"/>
        <v>7.2656929682388016E-2</v>
      </c>
      <c r="BF91" s="16">
        <f t="shared" si="68"/>
        <v>6.7552809546624459E-2</v>
      </c>
      <c r="BG91" s="16">
        <f t="shared" si="68"/>
        <v>7.6380064926351521E-2</v>
      </c>
      <c r="BH91" s="16">
        <f t="shared" si="68"/>
        <v>7.2865959096807931E-2</v>
      </c>
      <c r="BI91" s="16">
        <f t="shared" si="68"/>
        <v>5.2169154857352407E-2</v>
      </c>
      <c r="BJ91" s="16">
        <f t="shared" si="68"/>
        <v>5.2262991579226759E-2</v>
      </c>
      <c r="BK91" s="16">
        <f t="shared" si="68"/>
        <v>4.7158900311389251E-2</v>
      </c>
      <c r="BL91" s="16">
        <f t="shared" si="68"/>
        <v>5.605225587112006E-2</v>
      </c>
    </row>
    <row r="92" spans="1:64">
      <c r="A92" s="5" t="s">
        <v>1852</v>
      </c>
      <c r="AD92" s="16">
        <f t="shared" si="68"/>
        <v>6.2499999999996447E-2</v>
      </c>
      <c r="AE92" s="16">
        <f t="shared" si="68"/>
        <v>0</v>
      </c>
      <c r="AF92" s="16">
        <f t="shared" si="68"/>
        <v>0</v>
      </c>
      <c r="AG92" s="16">
        <f t="shared" si="68"/>
        <v>-0.56249999999999667</v>
      </c>
      <c r="AH92" s="16">
        <f t="shared" si="68"/>
        <v>-0.12499999999999978</v>
      </c>
      <c r="AI92" s="16">
        <f t="shared" si="68"/>
        <v>-0.64705882352941002</v>
      </c>
      <c r="AJ92" s="16">
        <f t="shared" si="68"/>
        <v>-0.62500000000000389</v>
      </c>
      <c r="AK92" s="16">
        <f t="shared" si="68"/>
        <v>-0.68749999999999889</v>
      </c>
      <c r="AL92" s="16">
        <f t="shared" si="68"/>
        <v>-0.28571428571428859</v>
      </c>
      <c r="AM92" s="16">
        <f t="shared" si="68"/>
        <v>-0.60714285714285743</v>
      </c>
      <c r="AN92" s="16">
        <f t="shared" si="68"/>
        <v>-0.16666666666666863</v>
      </c>
      <c r="AO92" s="16">
        <f t="shared" si="68"/>
        <v>-0.16666666666665875</v>
      </c>
      <c r="AP92" s="16">
        <f t="shared" si="68"/>
        <v>0</v>
      </c>
      <c r="AQ92" s="16">
        <f t="shared" si="68"/>
        <v>0</v>
      </c>
      <c r="AR92" s="16">
        <f t="shared" si="68"/>
        <v>-9.0909090909089163E-2</v>
      </c>
      <c r="AS92" s="16">
        <f t="shared" si="68"/>
        <v>0</v>
      </c>
      <c r="AT92" s="16">
        <f t="shared" si="68"/>
        <v>0</v>
      </c>
      <c r="AU92" s="16">
        <f t="shared" si="68"/>
        <v>0</v>
      </c>
      <c r="AV92" s="16">
        <f t="shared" si="68"/>
        <v>0</v>
      </c>
      <c r="AW92" s="16">
        <f t="shared" si="68"/>
        <v>0</v>
      </c>
      <c r="AX92" s="16">
        <f t="shared" si="68"/>
        <v>0</v>
      </c>
      <c r="AY92" s="16">
        <f t="shared" si="68"/>
        <v>0</v>
      </c>
      <c r="AZ92" s="16">
        <f t="shared" si="68"/>
        <v>0</v>
      </c>
      <c r="BA92" s="16">
        <f t="shared" si="68"/>
        <v>0</v>
      </c>
      <c r="BB92" s="16">
        <f t="shared" si="68"/>
        <v>0</v>
      </c>
      <c r="BC92" s="16">
        <f t="shared" si="68"/>
        <v>0</v>
      </c>
      <c r="BD92" s="16">
        <f t="shared" si="68"/>
        <v>0</v>
      </c>
      <c r="BE92" s="16">
        <f t="shared" si="68"/>
        <v>0</v>
      </c>
      <c r="BF92" s="16">
        <f t="shared" si="68"/>
        <v>0</v>
      </c>
      <c r="BG92" s="16">
        <f t="shared" si="68"/>
        <v>0</v>
      </c>
      <c r="BH92" s="16">
        <f t="shared" si="68"/>
        <v>0</v>
      </c>
      <c r="BI92" s="16">
        <f t="shared" si="68"/>
        <v>0</v>
      </c>
      <c r="BJ92" s="16">
        <f t="shared" si="68"/>
        <v>0</v>
      </c>
      <c r="BK92" s="16">
        <f t="shared" si="68"/>
        <v>0</v>
      </c>
      <c r="BL92" s="16">
        <f t="shared" si="68"/>
        <v>0</v>
      </c>
    </row>
    <row r="93" spans="1:64">
      <c r="A93" s="9" t="s">
        <v>1853</v>
      </c>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17">
        <f t="shared" si="68"/>
        <v>0.14285714285714279</v>
      </c>
      <c r="AE93" s="17">
        <f t="shared" si="68"/>
        <v>5.4229934924078016E-2</v>
      </c>
      <c r="AF93" s="17">
        <f t="shared" si="68"/>
        <v>0</v>
      </c>
      <c r="AG93" s="17">
        <f t="shared" si="68"/>
        <v>-6.1224489795917991E-3</v>
      </c>
      <c r="AH93" s="17">
        <f t="shared" si="68"/>
        <v>4.3961864406779627E-2</v>
      </c>
      <c r="AI93" s="17">
        <f t="shared" si="68"/>
        <v>2.049180327868827E-3</v>
      </c>
      <c r="AJ93" s="17">
        <f t="shared" si="68"/>
        <v>7.6131687242798174E-2</v>
      </c>
      <c r="AK93" s="17">
        <f t="shared" si="68"/>
        <v>0.10746185938390007</v>
      </c>
      <c r="AL93" s="17">
        <f t="shared" si="68"/>
        <v>9.4122890021006267E-2</v>
      </c>
      <c r="AM93" s="17">
        <f t="shared" si="68"/>
        <v>7.0341651814316952E-2</v>
      </c>
      <c r="AN93" s="17">
        <f t="shared" si="68"/>
        <v>9.0708175925878987E-2</v>
      </c>
      <c r="AO93" s="17">
        <f t="shared" si="68"/>
        <v>8.097480659783729E-2</v>
      </c>
      <c r="AP93" s="17">
        <f t="shared" si="68"/>
        <v>6.2402055952480939E-2</v>
      </c>
      <c r="AQ93" s="17">
        <f t="shared" si="68"/>
        <v>8.064735715108462E-2</v>
      </c>
      <c r="AR93" s="17">
        <f t="shared" si="68"/>
        <v>7.8175825272212007E-2</v>
      </c>
      <c r="AS93" s="17">
        <f t="shared" si="68"/>
        <v>8.0886673505054407E-2</v>
      </c>
      <c r="AT93" s="17">
        <f t="shared" si="68"/>
        <v>7.0038452531599793E-2</v>
      </c>
      <c r="AU93" s="17">
        <f t="shared" si="68"/>
        <v>6.9569467944115893E-2</v>
      </c>
      <c r="AV93" s="17">
        <f t="shared" si="68"/>
        <v>6.7411807057548678E-2</v>
      </c>
      <c r="AW93" s="17">
        <f t="shared" si="68"/>
        <v>7.179355806712473E-2</v>
      </c>
      <c r="AX93" s="17">
        <f t="shared" si="68"/>
        <v>7.7253017326333717E-2</v>
      </c>
      <c r="AY93" s="17">
        <f t="shared" si="68"/>
        <v>6.5680508473521693E-2</v>
      </c>
      <c r="AZ93" s="17">
        <f t="shared" si="68"/>
        <v>6.5412833072421517E-2</v>
      </c>
      <c r="BA93" s="17">
        <f t="shared" si="68"/>
        <v>6.2926955220149461E-2</v>
      </c>
      <c r="BB93" s="17">
        <f t="shared" si="68"/>
        <v>6.7652448910553442E-2</v>
      </c>
      <c r="BC93" s="17">
        <f t="shared" si="68"/>
        <v>8.0597658210218803E-2</v>
      </c>
      <c r="BD93" s="17">
        <f t="shared" si="68"/>
        <v>6.8914775463840616E-2</v>
      </c>
      <c r="BE93" s="17">
        <f t="shared" si="68"/>
        <v>6.899783412371896E-2</v>
      </c>
      <c r="BF93" s="17">
        <f t="shared" si="68"/>
        <v>6.6225163720323721E-2</v>
      </c>
      <c r="BG93" s="17">
        <f t="shared" si="68"/>
        <v>7.104907061782928E-2</v>
      </c>
      <c r="BH93" s="17">
        <f t="shared" si="68"/>
        <v>8.0192992876489289E-2</v>
      </c>
      <c r="BI93" s="17">
        <f t="shared" si="68"/>
        <v>6.9068950147864516E-2</v>
      </c>
      <c r="BJ93" s="17">
        <f t="shared" si="68"/>
        <v>6.9450695995338707E-2</v>
      </c>
      <c r="BK93" s="17">
        <f t="shared" si="68"/>
        <v>6.6580999248798456E-2</v>
      </c>
      <c r="BL93" s="17">
        <f t="shared" si="68"/>
        <v>7.1225272740971901E-2</v>
      </c>
    </row>
    <row r="95" spans="1:64">
      <c r="A95" s="1" t="s">
        <v>1854</v>
      </c>
      <c r="Y95" s="417">
        <v>85</v>
      </c>
      <c r="Z95" s="417">
        <v>85</v>
      </c>
      <c r="AA95" s="417">
        <v>85</v>
      </c>
      <c r="AB95" s="417">
        <v>85</v>
      </c>
      <c r="AC95" s="375">
        <f>AB95</f>
        <v>85</v>
      </c>
      <c r="AD95" s="417">
        <v>86</v>
      </c>
      <c r="AE95" s="417">
        <v>86</v>
      </c>
      <c r="AF95" s="417">
        <v>86</v>
      </c>
      <c r="AG95" s="417">
        <v>86</v>
      </c>
      <c r="AH95" s="375">
        <f>AG95</f>
        <v>86</v>
      </c>
      <c r="AI95" s="417">
        <v>86</v>
      </c>
      <c r="AJ95" s="417">
        <v>86</v>
      </c>
      <c r="AK95" s="417">
        <v>86</v>
      </c>
    </row>
    <row r="96" spans="1:64">
      <c r="A96" s="1" t="s">
        <v>28</v>
      </c>
      <c r="Y96" s="375"/>
      <c r="Z96" s="375"/>
      <c r="AA96" s="375"/>
      <c r="AB96" s="375"/>
      <c r="AC96" s="375"/>
      <c r="AD96" s="16"/>
      <c r="AE96" s="16"/>
      <c r="AF96" s="16"/>
      <c r="AG96" s="16"/>
      <c r="AH96" s="16"/>
      <c r="AI96" s="16"/>
      <c r="AJ96" s="16"/>
    </row>
    <row r="97" spans="1:64">
      <c r="A97" s="1" t="s">
        <v>1855</v>
      </c>
      <c r="Y97" s="417">
        <v>89</v>
      </c>
      <c r="Z97" s="417">
        <v>89</v>
      </c>
      <c r="AA97" s="417">
        <v>90</v>
      </c>
      <c r="AB97" s="417">
        <v>92</v>
      </c>
      <c r="AC97" s="375">
        <f>AB97</f>
        <v>92</v>
      </c>
      <c r="AD97" s="417">
        <v>92</v>
      </c>
      <c r="AE97" s="417">
        <v>93</v>
      </c>
      <c r="AF97" s="417">
        <v>94</v>
      </c>
      <c r="AG97" s="417">
        <v>95</v>
      </c>
      <c r="AH97" s="375">
        <f>AG97</f>
        <v>95</v>
      </c>
      <c r="AI97" s="417">
        <v>95</v>
      </c>
      <c r="AJ97" s="417">
        <v>96</v>
      </c>
      <c r="AK97" s="417">
        <v>96</v>
      </c>
    </row>
    <row r="98" spans="1:64">
      <c r="A98" s="1" t="s">
        <v>28</v>
      </c>
      <c r="Y98" s="375"/>
      <c r="Z98" s="375"/>
      <c r="AA98" s="375"/>
      <c r="AB98" s="375"/>
      <c r="AC98" s="375"/>
      <c r="AD98" s="16">
        <f t="shared" ref="AD98:AK98" si="69">AD97/Y97-1</f>
        <v>3.3707865168539408E-2</v>
      </c>
      <c r="AE98" s="16">
        <f t="shared" si="69"/>
        <v>4.4943820224719211E-2</v>
      </c>
      <c r="AF98" s="16">
        <f t="shared" si="69"/>
        <v>4.4444444444444509E-2</v>
      </c>
      <c r="AG98" s="16">
        <f t="shared" si="69"/>
        <v>3.2608695652173836E-2</v>
      </c>
      <c r="AH98" s="16">
        <f t="shared" si="69"/>
        <v>3.2608695652173836E-2</v>
      </c>
      <c r="AI98" s="16">
        <f t="shared" si="69"/>
        <v>3.2608695652173836E-2</v>
      </c>
      <c r="AJ98" s="16">
        <f t="shared" si="69"/>
        <v>3.2258064516129004E-2</v>
      </c>
      <c r="AK98" s="16">
        <f t="shared" si="69"/>
        <v>2.1276595744680771E-2</v>
      </c>
    </row>
    <row r="100" spans="1:64">
      <c r="A100" s="1" t="s">
        <v>1856</v>
      </c>
      <c r="Y100" s="21">
        <f t="shared" ref="Y100:AK100" si="70">Y95/Y97</f>
        <v>0.9550561797752809</v>
      </c>
      <c r="Z100" s="21">
        <f t="shared" si="70"/>
        <v>0.9550561797752809</v>
      </c>
      <c r="AA100" s="21">
        <f t="shared" si="70"/>
        <v>0.94444444444444442</v>
      </c>
      <c r="AB100" s="21">
        <f t="shared" si="70"/>
        <v>0.92391304347826086</v>
      </c>
      <c r="AC100" s="21">
        <f t="shared" si="70"/>
        <v>0.92391304347826086</v>
      </c>
      <c r="AD100" s="21">
        <f t="shared" si="70"/>
        <v>0.93478260869565222</v>
      </c>
      <c r="AE100" s="21">
        <f t="shared" si="70"/>
        <v>0.92473118279569888</v>
      </c>
      <c r="AF100" s="21">
        <f t="shared" si="70"/>
        <v>0.91489361702127658</v>
      </c>
      <c r="AG100" s="21">
        <f t="shared" si="70"/>
        <v>0.90526315789473688</v>
      </c>
      <c r="AH100" s="21">
        <f t="shared" si="70"/>
        <v>0.90526315789473688</v>
      </c>
      <c r="AI100" s="21">
        <f t="shared" si="70"/>
        <v>0.90526315789473688</v>
      </c>
      <c r="AJ100" s="21">
        <f t="shared" si="70"/>
        <v>0.89583333333333337</v>
      </c>
      <c r="AK100" s="21">
        <f t="shared" si="70"/>
        <v>0.89583333333333337</v>
      </c>
    </row>
    <row r="102" spans="1:64">
      <c r="A102" s="1" t="s">
        <v>1857</v>
      </c>
      <c r="Y102" s="417">
        <v>80</v>
      </c>
      <c r="Z102" s="417">
        <v>80</v>
      </c>
      <c r="AA102" s="417">
        <v>80</v>
      </c>
      <c r="AB102" s="417">
        <v>80</v>
      </c>
      <c r="AC102" s="375">
        <f>AB102</f>
        <v>80</v>
      </c>
      <c r="AD102" s="417">
        <v>80</v>
      </c>
      <c r="AE102" s="417">
        <v>81</v>
      </c>
      <c r="AF102" s="417">
        <v>81</v>
      </c>
      <c r="AG102" s="417">
        <v>81</v>
      </c>
      <c r="AH102" s="375">
        <f>AG102</f>
        <v>81</v>
      </c>
      <c r="AI102" s="417">
        <v>80</v>
      </c>
      <c r="AJ102" s="417">
        <v>81</v>
      </c>
      <c r="AK102" s="417">
        <v>81</v>
      </c>
    </row>
    <row r="103" spans="1:64">
      <c r="A103" s="1" t="s">
        <v>28</v>
      </c>
    </row>
    <row r="104" spans="1:64">
      <c r="A104" s="1" t="s">
        <v>1858</v>
      </c>
      <c r="Y104" s="417">
        <v>171</v>
      </c>
      <c r="Z104" s="417">
        <v>173</v>
      </c>
      <c r="AA104" s="417">
        <v>174</v>
      </c>
      <c r="AB104" s="417">
        <v>176</v>
      </c>
      <c r="AC104" s="375">
        <f>AB104</f>
        <v>176</v>
      </c>
      <c r="AD104" s="417">
        <v>176</v>
      </c>
      <c r="AE104" s="417">
        <v>176</v>
      </c>
      <c r="AF104" s="417">
        <v>176</v>
      </c>
      <c r="AG104" s="417">
        <v>178</v>
      </c>
      <c r="AH104" s="375">
        <f>AG104</f>
        <v>178</v>
      </c>
      <c r="AI104" s="417">
        <v>178</v>
      </c>
      <c r="AJ104" s="417">
        <v>179</v>
      </c>
      <c r="AK104" s="417">
        <v>180</v>
      </c>
      <c r="AL104" s="375">
        <f>AG104*(1+AL105)</f>
        <v>180.67</v>
      </c>
      <c r="AM104" s="375">
        <f>AL104</f>
        <v>180.67</v>
      </c>
      <c r="AN104" s="375">
        <f>AI104*(1+AN105)</f>
        <v>180.67</v>
      </c>
      <c r="AO104" s="375">
        <f>AJ104*(1+AO105)</f>
        <v>181.68499999999997</v>
      </c>
      <c r="AP104" s="375">
        <f>AK104*(1+AP105)</f>
        <v>182.7</v>
      </c>
      <c r="AQ104" s="375">
        <f>AL104*(1+AQ105)</f>
        <v>183.38004999999998</v>
      </c>
      <c r="AR104" s="375">
        <f>AQ104</f>
        <v>183.38004999999998</v>
      </c>
      <c r="AS104" s="375">
        <f>AN104*(1+AS105)</f>
        <v>183.38004999999998</v>
      </c>
      <c r="AT104" s="375">
        <f>AO104*(1+AT105)</f>
        <v>184.41027499999996</v>
      </c>
      <c r="AU104" s="375">
        <f>AP104*(1+AU105)</f>
        <v>185.44049999999996</v>
      </c>
      <c r="AV104" s="375">
        <f>AQ104*(1+AV105)</f>
        <v>186.13075074999998</v>
      </c>
      <c r="AW104" s="375">
        <f>AV104</f>
        <v>186.13075074999998</v>
      </c>
      <c r="AX104" s="375">
        <f>AS104*(1+AX105)</f>
        <v>186.13075074999998</v>
      </c>
      <c r="AY104" s="375">
        <f>AT104*(1+AY105)</f>
        <v>187.17642912499994</v>
      </c>
      <c r="AZ104" s="375">
        <f>AU104*(1+AZ105)</f>
        <v>188.22210749999994</v>
      </c>
      <c r="BA104" s="375">
        <f>AV104*(1+BA105)</f>
        <v>188.92271201124996</v>
      </c>
      <c r="BB104" s="375">
        <f>BA104</f>
        <v>188.92271201124996</v>
      </c>
      <c r="BC104" s="375">
        <f>AX104*(1+BC105)</f>
        <v>188.92271201124996</v>
      </c>
      <c r="BD104" s="375">
        <f>AY104*(1+BD105)</f>
        <v>189.98407556187493</v>
      </c>
      <c r="BE104" s="375">
        <f>AZ104*(1+BE105)</f>
        <v>191.04543911249991</v>
      </c>
      <c r="BF104" s="375">
        <f>BA104*(1+BF105)</f>
        <v>191.75655269141868</v>
      </c>
      <c r="BG104" s="375">
        <f>BF104</f>
        <v>191.75655269141868</v>
      </c>
      <c r="BH104" s="375">
        <f>BC104*(1+BH105)</f>
        <v>191.75655269141868</v>
      </c>
      <c r="BI104" s="375">
        <f>BD104*(1+BI105)</f>
        <v>192.83383669530303</v>
      </c>
      <c r="BJ104" s="375">
        <f>BE104*(1+BJ105)</f>
        <v>193.91112069918739</v>
      </c>
      <c r="BK104" s="375">
        <f>BF104*(1+BK105)</f>
        <v>194.63290098178993</v>
      </c>
      <c r="BL104" s="375">
        <f>BK104</f>
        <v>194.63290098178993</v>
      </c>
    </row>
    <row r="105" spans="1:64">
      <c r="A105" s="1" t="s">
        <v>28</v>
      </c>
      <c r="AD105" s="16">
        <f t="shared" ref="AD105:AK105" si="71">AD104/Y104-1</f>
        <v>2.9239766081871288E-2</v>
      </c>
      <c r="AE105" s="16">
        <f t="shared" si="71"/>
        <v>1.7341040462427681E-2</v>
      </c>
      <c r="AF105" s="16">
        <f t="shared" si="71"/>
        <v>1.1494252873563315E-2</v>
      </c>
      <c r="AG105" s="16">
        <f t="shared" si="71"/>
        <v>1.1363636363636465E-2</v>
      </c>
      <c r="AH105" s="16">
        <f t="shared" si="71"/>
        <v>1.1363636363636465E-2</v>
      </c>
      <c r="AI105" s="16">
        <f t="shared" si="71"/>
        <v>1.1363636363636465E-2</v>
      </c>
      <c r="AJ105" s="16">
        <f t="shared" si="71"/>
        <v>1.7045454545454586E-2</v>
      </c>
      <c r="AK105" s="16">
        <f t="shared" si="71"/>
        <v>2.2727272727272707E-2</v>
      </c>
      <c r="AL105" s="303">
        <v>1.4999999999999999E-2</v>
      </c>
      <c r="AM105" s="16">
        <f>AM104/AH104-1</f>
        <v>1.4999999999999902E-2</v>
      </c>
      <c r="AN105" s="303">
        <v>1.4999999999999999E-2</v>
      </c>
      <c r="AO105" s="303">
        <v>1.4999999999999999E-2</v>
      </c>
      <c r="AP105" s="303">
        <v>1.4999999999999999E-2</v>
      </c>
      <c r="AQ105" s="303">
        <v>1.4999999999999999E-2</v>
      </c>
      <c r="AR105" s="16">
        <f>AR104/AM104-1</f>
        <v>1.4999999999999902E-2</v>
      </c>
      <c r="AS105" s="303">
        <v>1.4999999999999999E-2</v>
      </c>
      <c r="AT105" s="303">
        <v>1.4999999999999999E-2</v>
      </c>
      <c r="AU105" s="303">
        <v>1.4999999999999999E-2</v>
      </c>
      <c r="AV105" s="303">
        <v>1.4999999999999999E-2</v>
      </c>
      <c r="AW105" s="16">
        <f>AW104/AR104-1</f>
        <v>1.4999999999999902E-2</v>
      </c>
      <c r="AX105" s="303">
        <v>1.4999999999999999E-2</v>
      </c>
      <c r="AY105" s="303">
        <v>1.4999999999999999E-2</v>
      </c>
      <c r="AZ105" s="303">
        <v>1.4999999999999999E-2</v>
      </c>
      <c r="BA105" s="303">
        <v>1.4999999999999999E-2</v>
      </c>
      <c r="BB105" s="16">
        <f>BB104/AW104-1</f>
        <v>1.4999999999999902E-2</v>
      </c>
      <c r="BC105" s="303">
        <v>1.4999999999999999E-2</v>
      </c>
      <c r="BD105" s="303">
        <v>1.4999999999999999E-2</v>
      </c>
      <c r="BE105" s="303">
        <v>1.4999999999999999E-2</v>
      </c>
      <c r="BF105" s="303">
        <v>1.4999999999999999E-2</v>
      </c>
      <c r="BG105" s="16">
        <f>BG104/BB104-1</f>
        <v>1.4999999999999902E-2</v>
      </c>
      <c r="BH105" s="303">
        <v>1.4999999999999999E-2</v>
      </c>
      <c r="BI105" s="303">
        <v>1.4999999999999999E-2</v>
      </c>
      <c r="BJ105" s="303">
        <v>1.4999999999999999E-2</v>
      </c>
      <c r="BK105" s="303">
        <v>1.4999999999999999E-2</v>
      </c>
      <c r="BL105" s="16">
        <f>BL104/BG104-1</f>
        <v>1.4999999999999902E-2</v>
      </c>
    </row>
    <row r="107" spans="1:64">
      <c r="A107" s="1" t="s">
        <v>1856</v>
      </c>
      <c r="Y107" s="21">
        <f t="shared" ref="Y107:AK107" si="72">Y102/Y104</f>
        <v>0.46783625730994149</v>
      </c>
      <c r="Z107" s="21">
        <f t="shared" si="72"/>
        <v>0.46242774566473988</v>
      </c>
      <c r="AA107" s="21">
        <f t="shared" si="72"/>
        <v>0.45977011494252873</v>
      </c>
      <c r="AB107" s="21">
        <f t="shared" si="72"/>
        <v>0.45454545454545453</v>
      </c>
      <c r="AC107" s="21">
        <f t="shared" si="72"/>
        <v>0.45454545454545453</v>
      </c>
      <c r="AD107" s="21">
        <f t="shared" si="72"/>
        <v>0.45454545454545453</v>
      </c>
      <c r="AE107" s="21">
        <f t="shared" si="72"/>
        <v>0.46022727272727271</v>
      </c>
      <c r="AF107" s="21">
        <f t="shared" si="72"/>
        <v>0.46022727272727271</v>
      </c>
      <c r="AG107" s="21">
        <f t="shared" si="72"/>
        <v>0.4550561797752809</v>
      </c>
      <c r="AH107" s="21">
        <f t="shared" si="72"/>
        <v>0.4550561797752809</v>
      </c>
      <c r="AI107" s="21">
        <f t="shared" si="72"/>
        <v>0.449438202247191</v>
      </c>
      <c r="AJ107" s="21">
        <f t="shared" si="72"/>
        <v>0.45251396648044695</v>
      </c>
      <c r="AK107" s="21">
        <f t="shared" si="72"/>
        <v>0.45</v>
      </c>
    </row>
    <row r="108" spans="1:64">
      <c r="AX108" s="522" t="s">
        <v>2262</v>
      </c>
      <c r="AY108" s="71"/>
      <c r="AZ108" s="71"/>
      <c r="BA108" s="71"/>
      <c r="BB108" s="71"/>
      <c r="BC108" s="71"/>
      <c r="BD108" s="71"/>
      <c r="BE108" s="71"/>
      <c r="BF108" s="71"/>
      <c r="BG108" s="71"/>
    </row>
    <row r="109" spans="1:64">
      <c r="A109" s="1" t="s">
        <v>1859</v>
      </c>
      <c r="Y109" s="369">
        <f>1000*Y84/AVERAGE(X104:Y104)/3</f>
        <v>48.732943469785575</v>
      </c>
      <c r="Z109" s="369">
        <f>1000*Z84/AVERAGE(Y104:Z104)/3</f>
        <v>51.937984496124038</v>
      </c>
      <c r="AA109" s="369">
        <f>1000*AA84/AVERAGE(Z104:AA104)/3</f>
        <v>56.292026897214214</v>
      </c>
      <c r="AB109" s="369">
        <f>1000*AB84/AVERAGE(AA104:AB104)/3</f>
        <v>54.476190476190474</v>
      </c>
      <c r="AC109" s="369">
        <f>1000*AC84/AVERAGE(X104:AB104)/12</f>
        <v>52.689721421709891</v>
      </c>
      <c r="AD109" s="369">
        <f>1000*AD84/AVERAGE(AC104:AD104)/3</f>
        <v>51.70454545454546</v>
      </c>
      <c r="AE109" s="369">
        <f>1000*AE84/AVERAGE(AD104:AE104)/3</f>
        <v>49.621212121212125</v>
      </c>
      <c r="AF109" s="369">
        <f>1000*AF84/AVERAGE(AE104:AF104)/3</f>
        <v>50.378787878787875</v>
      </c>
      <c r="AG109" s="369">
        <f>1000*AG84/AVERAGE(AF104:AG104)/3</f>
        <v>48.210922787193972</v>
      </c>
      <c r="AH109" s="369">
        <f>1000*AH84/AVERAGE(AC104:AG104)/12</f>
        <v>49.93386243386243</v>
      </c>
      <c r="AI109" s="369">
        <f>1000*AI84/AVERAGE(AH104:AI104)/3</f>
        <v>46.254681647940082</v>
      </c>
      <c r="AJ109" s="369">
        <f>1000*AJ84/AVERAGE(AI104:AJ104)/3</f>
        <v>48.739495798319325</v>
      </c>
      <c r="AK109" s="369">
        <f>1000*AK84/AVERAGE(AJ104:AK104)/3</f>
        <v>52.331578140350793</v>
      </c>
      <c r="AL109" s="369">
        <f>AG109*(1+AL110)</f>
        <v>49.41619585687382</v>
      </c>
      <c r="AM109" s="369">
        <f>1000*AM84/AVERAGE(AH104:AL104)/12</f>
        <v>49.17871717453923</v>
      </c>
      <c r="AN109" s="369">
        <f>AI109*(1+AN110)</f>
        <v>47.179775280898888</v>
      </c>
      <c r="AO109" s="369">
        <f>AJ109*(1+AO110)</f>
        <v>49.714285714285715</v>
      </c>
      <c r="AP109" s="369">
        <f>AK109*(1+AP110)</f>
        <v>53.378209703157808</v>
      </c>
      <c r="AQ109" s="369">
        <f>AL109*(1+AQ110)</f>
        <v>50.404519774011298</v>
      </c>
      <c r="AR109" s="369">
        <f>1000*AR84/AVERAGE(AM104:AQ104)/12</f>
        <v>50.162291518030024</v>
      </c>
      <c r="AS109" s="369">
        <f>AN109*(1+AS110)</f>
        <v>47.651573033707876</v>
      </c>
      <c r="AT109" s="369">
        <f>AO109*(1+AT110)</f>
        <v>50.21142857142857</v>
      </c>
      <c r="AU109" s="369">
        <f>AP109*(1+AU110)</f>
        <v>53.911991800189384</v>
      </c>
      <c r="AV109" s="369">
        <f>AQ109*(1+AV110)</f>
        <v>50.90856497175141</v>
      </c>
      <c r="AW109" s="369">
        <f>1000*AW84/AVERAGE(AR104:AV104)/12</f>
        <v>50.663914433210316</v>
      </c>
      <c r="AX109" s="369">
        <f>AS109*(1+AX110)</f>
        <v>48.604604494382038</v>
      </c>
      <c r="AY109" s="369">
        <f>AT109*(1+AY110)</f>
        <v>51.21565714285714</v>
      </c>
      <c r="AZ109" s="369">
        <f>AU109*(1+AZ110)</f>
        <v>54.990231636193172</v>
      </c>
      <c r="BA109" s="369">
        <f>AV109*(1+BA110)</f>
        <v>51.926736271186442</v>
      </c>
      <c r="BB109" s="369">
        <f>1000*BB84/AVERAGE(AW104:BA104)/12</f>
        <v>51.677192721874526</v>
      </c>
      <c r="BC109" s="369">
        <f>AX109*(1+BC110)</f>
        <v>51.034834719101141</v>
      </c>
      <c r="BD109" s="369">
        <f>AY109*(1+BD110)</f>
        <v>53.776440000000001</v>
      </c>
      <c r="BE109" s="369">
        <f>AZ109*(1+BE110)</f>
        <v>57.739743218002836</v>
      </c>
      <c r="BF109" s="369">
        <f>BA109*(1+BF110)</f>
        <v>54.523073084745768</v>
      </c>
      <c r="BG109" s="369">
        <f>1000*BG84/AVERAGE(BB104:BF104)/12</f>
        <v>54.261052357968254</v>
      </c>
      <c r="BH109" s="369">
        <f>BC109*(1+BH110)</f>
        <v>54.862447323033727</v>
      </c>
      <c r="BI109" s="369">
        <f>BD109*(1+BI110)</f>
        <v>57.809672999999997</v>
      </c>
      <c r="BJ109" s="369">
        <f>BE109*(1+BJ110)</f>
        <v>62.070223959353044</v>
      </c>
      <c r="BK109" s="369">
        <f>BF109*(1+BK110)</f>
        <v>58.612303566101701</v>
      </c>
      <c r="BL109" s="369">
        <f>1000*BL84/AVERAGE(BG104:BK104)/12</f>
        <v>58.330631284815858</v>
      </c>
    </row>
    <row r="110" spans="1:64">
      <c r="A110" s="1" t="s">
        <v>28</v>
      </c>
      <c r="AD110" s="16">
        <f t="shared" ref="AD110:AK110" si="73">AD109/Y109-1</f>
        <v>6.0977272727272824E-2</v>
      </c>
      <c r="AE110" s="16">
        <f t="shared" si="73"/>
        <v>-4.4606512890095096E-2</v>
      </c>
      <c r="AF110" s="16">
        <f t="shared" si="73"/>
        <v>-0.10504576481538941</v>
      </c>
      <c r="AG110" s="16">
        <f t="shared" si="73"/>
        <v>-0.11500928450080994</v>
      </c>
      <c r="AH110" s="16">
        <f t="shared" si="73"/>
        <v>-5.2303540680933569E-2</v>
      </c>
      <c r="AI110" s="16">
        <f t="shared" si="73"/>
        <v>-0.10540395933654356</v>
      </c>
      <c r="AJ110" s="16">
        <f t="shared" si="73"/>
        <v>-1.7768939636923609E-2</v>
      </c>
      <c r="AK110" s="16">
        <f t="shared" si="73"/>
        <v>3.8762152560346541E-2</v>
      </c>
      <c r="AL110" s="303">
        <v>2.5000000000000001E-2</v>
      </c>
      <c r="AM110" s="16">
        <f>AM109/AH109-1</f>
        <v>-1.5122909034393062E-2</v>
      </c>
      <c r="AN110" s="303">
        <v>0.02</v>
      </c>
      <c r="AO110" s="303">
        <v>0.02</v>
      </c>
      <c r="AP110" s="303">
        <v>0.02</v>
      </c>
      <c r="AQ110" s="303">
        <v>0.02</v>
      </c>
      <c r="AR110" s="16">
        <f>AR109/AM109-1</f>
        <v>2.000000000000024E-2</v>
      </c>
      <c r="AS110" s="303">
        <v>0.01</v>
      </c>
      <c r="AT110" s="303">
        <v>0.01</v>
      </c>
      <c r="AU110" s="303">
        <v>0.01</v>
      </c>
      <c r="AV110" s="303">
        <v>0.01</v>
      </c>
      <c r="AW110" s="16">
        <f>AW109/AR109-1</f>
        <v>9.9999999999997868E-3</v>
      </c>
      <c r="AX110" s="521">
        <v>0.02</v>
      </c>
      <c r="AY110" s="521">
        <v>0.02</v>
      </c>
      <c r="AZ110" s="521">
        <v>0.02</v>
      </c>
      <c r="BA110" s="521">
        <v>0.02</v>
      </c>
      <c r="BB110" s="16">
        <f>BB109/AW109-1</f>
        <v>2.0000000000000018E-2</v>
      </c>
      <c r="BC110" s="521">
        <v>0.05</v>
      </c>
      <c r="BD110" s="521">
        <v>0.05</v>
      </c>
      <c r="BE110" s="521">
        <v>0.05</v>
      </c>
      <c r="BF110" s="521">
        <v>0.05</v>
      </c>
      <c r="BG110" s="16">
        <f>BG109/BB109-1</f>
        <v>5.0000000000000044E-2</v>
      </c>
      <c r="BH110" s="521">
        <v>7.4999999999999997E-2</v>
      </c>
      <c r="BI110" s="521">
        <v>7.4999999999999997E-2</v>
      </c>
      <c r="BJ110" s="521">
        <v>7.4999999999999997E-2</v>
      </c>
      <c r="BK110" s="521">
        <v>7.4999999999999997E-2</v>
      </c>
      <c r="BL110" s="16">
        <f>BL109/BG109-1</f>
        <v>7.4999999999999734E-2</v>
      </c>
    </row>
    <row r="112" spans="1:64">
      <c r="A112" s="1" t="s">
        <v>1860</v>
      </c>
      <c r="Y112" s="24">
        <f>Y109/'FP SoftBank Corp.'!$I$4</f>
        <v>0.31440608690184241</v>
      </c>
      <c r="Z112" s="24">
        <f>Z109/'FP SoftBank Corp.'!$I$4</f>
        <v>0.33508377094273573</v>
      </c>
      <c r="AA112" s="24">
        <f>AA109/'FP SoftBank Corp.'!$I$4</f>
        <v>0.36317436707880141</v>
      </c>
      <c r="AB112" s="24">
        <f>AB109/'FP SoftBank Corp.'!$I$4</f>
        <v>0.35145929339477727</v>
      </c>
      <c r="AC112" s="24">
        <f>AC109/'FP SoftBank Corp.'!$I$4</f>
        <v>0.33993368659167672</v>
      </c>
      <c r="AD112" s="24">
        <f>AD109/'FP SoftBank Corp.'!$I$4</f>
        <v>0.33357771260997071</v>
      </c>
      <c r="AE112" s="24">
        <f>AE109/'FP SoftBank Corp.'!$I$4</f>
        <v>0.32013685239491696</v>
      </c>
      <c r="AF112" s="24">
        <f>AF109/'FP SoftBank Corp.'!$I$4</f>
        <v>0.32502443792766372</v>
      </c>
      <c r="AG112" s="24">
        <f>AG109/'FP SoftBank Corp.'!$I$4</f>
        <v>0.31103821153028371</v>
      </c>
      <c r="AH112" s="24">
        <f>AH109/'FP SoftBank Corp.'!$I$4</f>
        <v>0.32215395118620921</v>
      </c>
      <c r="AI112" s="24">
        <f>AI109/'FP SoftBank Corp.'!$I$4</f>
        <v>0.29841730095445212</v>
      </c>
      <c r="AJ112" s="24">
        <f>AJ109/'FP SoftBank Corp.'!$I$4</f>
        <v>0.31444835998915693</v>
      </c>
      <c r="AK112" s="24">
        <f>AK109/'FP SoftBank Corp.'!$I$4</f>
        <v>0.33762308477645675</v>
      </c>
    </row>
    <row r="114" spans="1:64">
      <c r="A114" s="1" t="s">
        <v>1861</v>
      </c>
      <c r="Y114" s="422">
        <v>15966</v>
      </c>
      <c r="Z114" s="422">
        <v>16887</v>
      </c>
      <c r="AA114" s="422">
        <v>17705</v>
      </c>
      <c r="AB114" s="422">
        <v>18508</v>
      </c>
      <c r="AC114" s="369">
        <f>AB114</f>
        <v>18508</v>
      </c>
      <c r="AD114" s="422">
        <v>19361</v>
      </c>
      <c r="AE114" s="422">
        <v>20203</v>
      </c>
      <c r="AF114" s="422">
        <v>20872</v>
      </c>
      <c r="AG114" s="422">
        <v>21636</v>
      </c>
      <c r="AH114" s="369">
        <f>AG114</f>
        <v>21636</v>
      </c>
      <c r="AI114" s="422">
        <v>22384</v>
      </c>
      <c r="AJ114" s="422">
        <v>23115</v>
      </c>
      <c r="AK114" s="369">
        <f>AF114*(1+AK115)</f>
        <v>23671.707659258525</v>
      </c>
      <c r="AL114" s="369">
        <f>AG114*(1+AL115)</f>
        <v>24321.828334405782</v>
      </c>
      <c r="AM114" s="369">
        <f>AL114</f>
        <v>24321.828334405782</v>
      </c>
      <c r="AN114" s="369">
        <f t="shared" ref="AN114:AQ114" si="74">AI114*(1+AN115)</f>
        <v>25050.762817403356</v>
      </c>
      <c r="AO114" s="369">
        <f t="shared" si="74"/>
        <v>25753.276971241892</v>
      </c>
      <c r="AP114" s="369">
        <f t="shared" si="74"/>
        <v>26255.167039516939</v>
      </c>
      <c r="AQ114" s="369">
        <f t="shared" si="74"/>
        <v>26854.630799197625</v>
      </c>
      <c r="AR114" s="369">
        <f>AQ114</f>
        <v>26854.630799197625</v>
      </c>
      <c r="AS114" s="369">
        <f t="shared" ref="AS114:AV114" si="75">AN114*(1+AS115)</f>
        <v>27534.220525183318</v>
      </c>
      <c r="AT114" s="369">
        <f t="shared" si="75"/>
        <v>28177.613446406787</v>
      </c>
      <c r="AU114" s="369">
        <f t="shared" si="75"/>
        <v>28595.474109536659</v>
      </c>
      <c r="AV114" s="369">
        <f t="shared" si="75"/>
        <v>29114.099121976025</v>
      </c>
      <c r="AW114" s="369">
        <f>AV114</f>
        <v>29114.099121976025</v>
      </c>
      <c r="AX114" s="369">
        <f t="shared" ref="AX114:BA114" si="76">AS114*(1+AX115)</f>
        <v>29713.196392468657</v>
      </c>
      <c r="AY114" s="369">
        <f t="shared" si="76"/>
        <v>30266.617438085923</v>
      </c>
      <c r="AZ114" s="369">
        <f t="shared" si="76"/>
        <v>30572.479670559675</v>
      </c>
      <c r="BA114" s="369">
        <f t="shared" si="76"/>
        <v>30981.390369725945</v>
      </c>
      <c r="BB114" s="369">
        <f>BA114</f>
        <v>30981.390369725945</v>
      </c>
      <c r="BC114" s="369">
        <f t="shared" ref="BC114:BF114" si="77">AX114*(1+BC115)</f>
        <v>31470.345965498404</v>
      </c>
      <c r="BD114" s="369">
        <f t="shared" si="77"/>
        <v>31905.161589477186</v>
      </c>
      <c r="BE114" s="369">
        <f t="shared" si="77"/>
        <v>32074.719890138927</v>
      </c>
      <c r="BF114" s="369">
        <f t="shared" si="77"/>
        <v>32348.816286306876</v>
      </c>
      <c r="BG114" s="369">
        <f>BF114</f>
        <v>32348.816286306876</v>
      </c>
      <c r="BH114" s="369">
        <f t="shared" ref="BH114:BK114" si="78">BC114*(1+BH115)</f>
        <v>32702.001189956656</v>
      </c>
      <c r="BI114" s="369">
        <f t="shared" si="78"/>
        <v>32994.308389131431</v>
      </c>
      <c r="BJ114" s="369">
        <f t="shared" si="78"/>
        <v>33009.281303638396</v>
      </c>
      <c r="BK114" s="369">
        <f t="shared" si="78"/>
        <v>33129.619967634135</v>
      </c>
      <c r="BL114" s="369">
        <f>BK114</f>
        <v>33129.619967634135</v>
      </c>
    </row>
    <row r="115" spans="1:64">
      <c r="A115" s="1" t="s">
        <v>28</v>
      </c>
      <c r="AD115" s="16">
        <f t="shared" ref="AD115:AJ115" si="79">AD114/Y114-1</f>
        <v>0.21263935863710381</v>
      </c>
      <c r="AE115" s="16">
        <f t="shared" si="79"/>
        <v>0.19636406703381293</v>
      </c>
      <c r="AF115" s="16">
        <f t="shared" si="79"/>
        <v>0.17887602372211231</v>
      </c>
      <c r="AG115" s="16">
        <f t="shared" si="79"/>
        <v>0.16900799654203591</v>
      </c>
      <c r="AH115" s="16">
        <f t="shared" si="79"/>
        <v>0.16900799654203591</v>
      </c>
      <c r="AI115" s="16">
        <f t="shared" si="79"/>
        <v>0.15613862920303712</v>
      </c>
      <c r="AJ115" s="16">
        <f t="shared" si="79"/>
        <v>0.14413700935504625</v>
      </c>
      <c r="AK115" s="303">
        <f>AJ115-1%</f>
        <v>0.13413700935504624</v>
      </c>
      <c r="AL115" s="303">
        <f>AK115-1%</f>
        <v>0.12413700935504625</v>
      </c>
      <c r="AM115" s="16">
        <f>AM114/AH114-1</f>
        <v>0.12413700935504624</v>
      </c>
      <c r="AN115" s="303">
        <f>AM115-0.5%</f>
        <v>0.11913700935504623</v>
      </c>
      <c r="AO115" s="303">
        <f>AN115-0.5%</f>
        <v>0.11413700935504623</v>
      </c>
      <c r="AP115" s="303">
        <f>AO115-0.5%</f>
        <v>0.10913700935504622</v>
      </c>
      <c r="AQ115" s="303">
        <f>AP115-0.5%</f>
        <v>0.10413700935504622</v>
      </c>
      <c r="AR115" s="16">
        <f>AR114/AM114-1</f>
        <v>0.10413700935504622</v>
      </c>
      <c r="AS115" s="303">
        <f>AR115-0.5%</f>
        <v>9.9137009355046213E-2</v>
      </c>
      <c r="AT115" s="303">
        <f>AS115-0.5%</f>
        <v>9.4137009355046208E-2</v>
      </c>
      <c r="AU115" s="303">
        <f>AT115-0.5%</f>
        <v>8.9137009355046204E-2</v>
      </c>
      <c r="AV115" s="303">
        <f>AU115-0.5%</f>
        <v>8.4137009355046199E-2</v>
      </c>
      <c r="AW115" s="16">
        <f>AW114/AR114-1</f>
        <v>8.4137009355046199E-2</v>
      </c>
      <c r="AX115" s="303">
        <f>AW115-0.5%</f>
        <v>7.9137009355046195E-2</v>
      </c>
      <c r="AY115" s="303">
        <f>AX115-0.5%</f>
        <v>7.4137009355046191E-2</v>
      </c>
      <c r="AZ115" s="303">
        <f>AY115-0.5%</f>
        <v>6.9137009355046186E-2</v>
      </c>
      <c r="BA115" s="303">
        <f>AZ115-0.5%</f>
        <v>6.4137009355046182E-2</v>
      </c>
      <c r="BB115" s="16">
        <f>BB114/AW114-1</f>
        <v>6.4137009355046182E-2</v>
      </c>
      <c r="BC115" s="303">
        <f>BB115-0.5%</f>
        <v>5.9137009355046184E-2</v>
      </c>
      <c r="BD115" s="303">
        <f>BC115-0.5%</f>
        <v>5.4137009355046187E-2</v>
      </c>
      <c r="BE115" s="303">
        <f>BD115-0.5%</f>
        <v>4.9137009355046189E-2</v>
      </c>
      <c r="BF115" s="303">
        <f>BE115-0.5%</f>
        <v>4.4137009355046192E-2</v>
      </c>
      <c r="BG115" s="16">
        <f>BG114/BB114-1</f>
        <v>4.4137009355046164E-2</v>
      </c>
      <c r="BH115" s="303">
        <f>BG115-0.5%</f>
        <v>3.9137009355046166E-2</v>
      </c>
      <c r="BI115" s="303">
        <f>BH115-0.5%</f>
        <v>3.4137009355046169E-2</v>
      </c>
      <c r="BJ115" s="303">
        <f>BI115-0.5%</f>
        <v>2.9137009355046168E-2</v>
      </c>
      <c r="BK115" s="303">
        <f>BJ115-0.5%</f>
        <v>2.4137009355046167E-2</v>
      </c>
      <c r="BL115" s="16">
        <f>BL114/BG114-1</f>
        <v>2.4137009355046146E-2</v>
      </c>
    </row>
    <row r="117" spans="1:64">
      <c r="A117" s="1" t="s">
        <v>1862</v>
      </c>
      <c r="Y117" s="369">
        <f>1000000*Y85/AVERAGE(X114:Y114)/3</f>
        <v>336.13094492463154</v>
      </c>
      <c r="Z117" s="369">
        <f>1000000*Z85/AVERAGE(Y114:Z114)/3</f>
        <v>359.17572215627189</v>
      </c>
      <c r="AA117" s="369">
        <f>1000000*AA85/AVERAGE(Z114:AA114)/3</f>
        <v>387.37280296022203</v>
      </c>
      <c r="AB117" s="369">
        <f>1000000*AB85/AVERAGE(AA114:AB114)/3</f>
        <v>346.10038752197647</v>
      </c>
      <c r="AC117" s="369">
        <f>1000000*AC85/AVERAGE(X114:AB114)/12</f>
        <v>350.87211266518017</v>
      </c>
      <c r="AD117" s="369">
        <f>1000000*AD85/AVERAGE(AC114:AD114)/3</f>
        <v>348.57007050621883</v>
      </c>
      <c r="AE117" s="369">
        <f>1000000*AE85/AVERAGE(AD114:AE114)/3</f>
        <v>350.48697469079633</v>
      </c>
      <c r="AF117" s="369">
        <f>1000000*AF85/AVERAGE(AE114:AF114)/3</f>
        <v>370.05477784540471</v>
      </c>
      <c r="AG117" s="369">
        <f>1000000*AG85/AVERAGE(AF114:AG114)/3</f>
        <v>351.30642075217219</v>
      </c>
      <c r="AH117" s="369">
        <f>1000000*AH85/AVERAGE(AC114:AG114)/12</f>
        <v>355.4384569496919</v>
      </c>
      <c r="AI117" s="369">
        <f>1000000*AI85/AVERAGE(AH114:AI114)/3</f>
        <v>357.41329698621843</v>
      </c>
      <c r="AJ117" s="369">
        <f>1000000*AJ85/AVERAGE(AI114:AJ114)/3</f>
        <v>375.09981904364196</v>
      </c>
      <c r="AK117" s="369">
        <f>AF117*(1+AK118)</f>
        <v>381.15642118076687</v>
      </c>
      <c r="AL117" s="369">
        <f>AG117*(1+AL118)</f>
        <v>361.84561337473735</v>
      </c>
      <c r="AM117" s="369">
        <f>1000000*AM85/AVERAGE(AH114:AL114)/12</f>
        <v>372.95045495260609</v>
      </c>
      <c r="AN117" s="369">
        <f t="shared" ref="AN117:AQ117" si="80">AI117*(1+AN118)</f>
        <v>368.13569589580499</v>
      </c>
      <c r="AO117" s="369">
        <f t="shared" si="80"/>
        <v>380.72631632929654</v>
      </c>
      <c r="AP117" s="369">
        <f t="shared" si="80"/>
        <v>388.77954960438223</v>
      </c>
      <c r="AQ117" s="369">
        <f t="shared" si="80"/>
        <v>369.0825256422321</v>
      </c>
      <c r="AR117" s="369">
        <f>1000000*AR85/AVERAGE(AM114:AQ114)/12</f>
        <v>376.94254805190275</v>
      </c>
      <c r="AS117" s="369">
        <f t="shared" ref="AS117:AV117" si="81">AN117*(1+AS118)</f>
        <v>379.17976677267916</v>
      </c>
      <c r="AT117" s="369">
        <f t="shared" si="81"/>
        <v>386.43721107423596</v>
      </c>
      <c r="AU117" s="369">
        <f t="shared" si="81"/>
        <v>396.55514059646987</v>
      </c>
      <c r="AV117" s="369">
        <f t="shared" si="81"/>
        <v>376.46417615507676</v>
      </c>
      <c r="AW117" s="369">
        <f>1000000*AW85/AVERAGE(AR114:AV114)/12</f>
        <v>384.91750620352491</v>
      </c>
      <c r="AX117" s="369">
        <f t="shared" ref="AX117:BA117" si="82">AS117*(1+AX118)</f>
        <v>390.55515977585952</v>
      </c>
      <c r="AY117" s="369">
        <f t="shared" si="82"/>
        <v>392.23376924034949</v>
      </c>
      <c r="AZ117" s="369">
        <f t="shared" si="82"/>
        <v>404.48624340839928</v>
      </c>
      <c r="BA117" s="369">
        <f t="shared" si="82"/>
        <v>383.99345967817828</v>
      </c>
      <c r="BB117" s="369">
        <f>1000000*BB85/AVERAGE(AW114:BA114)/12</f>
        <v>393.0786091273813</v>
      </c>
      <c r="BC117" s="369">
        <f t="shared" ref="BC117:BF117" si="83">AX117*(1+BC118)</f>
        <v>402.2718145691353</v>
      </c>
      <c r="BD117" s="369">
        <f t="shared" si="83"/>
        <v>398.11727577895471</v>
      </c>
      <c r="BE117" s="369">
        <f t="shared" si="83"/>
        <v>412.57596827656727</v>
      </c>
      <c r="BF117" s="369">
        <f t="shared" si="83"/>
        <v>391.67332887174183</v>
      </c>
      <c r="BG117" s="369">
        <f>1000000*BG85/AVERAGE(BB114:BF114)/12</f>
        <v>401.43091589957697</v>
      </c>
      <c r="BH117" s="369">
        <f t="shared" ref="BH117:BK117" si="84">BC117*(1+BH118)</f>
        <v>414.33996900620934</v>
      </c>
      <c r="BI117" s="369">
        <f t="shared" si="84"/>
        <v>404.08903491563899</v>
      </c>
      <c r="BJ117" s="369">
        <f t="shared" si="84"/>
        <v>420.82748764209862</v>
      </c>
      <c r="BK117" s="369">
        <f t="shared" si="84"/>
        <v>399.50679544917665</v>
      </c>
      <c r="BL117" s="369">
        <f>1000000*BL85/AVERAGE(BG114:BK114)/12</f>
        <v>409.97965529029034</v>
      </c>
    </row>
    <row r="118" spans="1:64">
      <c r="A118" s="1" t="s">
        <v>28</v>
      </c>
      <c r="AD118" s="16">
        <f t="shared" ref="AD118:AJ118" si="85">AD117/Y117-1</f>
        <v>3.7006784913470092E-2</v>
      </c>
      <c r="AE118" s="16">
        <f t="shared" si="85"/>
        <v>-2.4190798346039655E-2</v>
      </c>
      <c r="AF118" s="16">
        <f t="shared" si="85"/>
        <v>-4.4706352594907517E-2</v>
      </c>
      <c r="AG118" s="16">
        <f t="shared" si="85"/>
        <v>1.5041974577000961E-2</v>
      </c>
      <c r="AH118" s="16">
        <f t="shared" si="85"/>
        <v>1.3014269643222276E-2</v>
      </c>
      <c r="AI118" s="16">
        <f t="shared" si="85"/>
        <v>2.5370010876598847E-2</v>
      </c>
      <c r="AJ118" s="16">
        <f t="shared" si="85"/>
        <v>7.0224704854037423E-2</v>
      </c>
      <c r="AK118" s="303">
        <v>0.03</v>
      </c>
      <c r="AL118" s="303">
        <v>0.03</v>
      </c>
      <c r="AM118" s="16">
        <f>AM117/AH117-1</f>
        <v>4.9268720535191823E-2</v>
      </c>
      <c r="AN118" s="303">
        <v>0.03</v>
      </c>
      <c r="AO118" s="303">
        <v>1.4999999999999999E-2</v>
      </c>
      <c r="AP118" s="303">
        <v>0.02</v>
      </c>
      <c r="AQ118" s="303">
        <v>0.02</v>
      </c>
      <c r="AR118" s="16">
        <f>AR117/AM117-1</f>
        <v>1.0704084272544989E-2</v>
      </c>
      <c r="AS118" s="303">
        <v>0.03</v>
      </c>
      <c r="AT118" s="303">
        <v>1.4999999999999999E-2</v>
      </c>
      <c r="AU118" s="303">
        <v>0.02</v>
      </c>
      <c r="AV118" s="303">
        <v>0.02</v>
      </c>
      <c r="AW118" s="16">
        <f>AW117/AR117-1</f>
        <v>2.1156959310743684E-2</v>
      </c>
      <c r="AX118" s="303">
        <v>0.03</v>
      </c>
      <c r="AY118" s="303">
        <v>1.4999999999999999E-2</v>
      </c>
      <c r="AZ118" s="303">
        <v>0.02</v>
      </c>
      <c r="BA118" s="303">
        <v>0.02</v>
      </c>
      <c r="BB118" s="16">
        <f>BB117/AW117-1</f>
        <v>2.1202212921802577E-2</v>
      </c>
      <c r="BC118" s="303">
        <v>0.03</v>
      </c>
      <c r="BD118" s="303">
        <v>1.4999999999999999E-2</v>
      </c>
      <c r="BE118" s="303">
        <v>0.02</v>
      </c>
      <c r="BF118" s="303">
        <v>0.02</v>
      </c>
      <c r="BG118" s="16">
        <f>BG117/BB117-1</f>
        <v>2.1248438806521275E-2</v>
      </c>
      <c r="BH118" s="303">
        <v>0.03</v>
      </c>
      <c r="BI118" s="303">
        <v>1.4999999999999999E-2</v>
      </c>
      <c r="BJ118" s="303">
        <v>0.02</v>
      </c>
      <c r="BK118" s="303">
        <v>0.02</v>
      </c>
      <c r="BL118" s="16">
        <f>BL117/BG117-1</f>
        <v>2.12956677030125E-2</v>
      </c>
    </row>
    <row r="120" spans="1:64">
      <c r="A120" s="3" t="s">
        <v>1863</v>
      </c>
    </row>
    <row r="121" spans="1:64">
      <c r="A121" s="25" t="s">
        <v>1848</v>
      </c>
    </row>
    <row r="122" spans="1:64" s="26" customFormat="1">
      <c r="A122" s="423" t="s">
        <v>1864</v>
      </c>
      <c r="Y122" s="420">
        <v>42</v>
      </c>
      <c r="Z122" s="420">
        <v>43.5</v>
      </c>
      <c r="AA122" s="420">
        <v>47.1</v>
      </c>
      <c r="AB122" s="420">
        <v>48.8</v>
      </c>
      <c r="AC122" s="386">
        <f t="shared" ref="AC122:AC127" si="86">SUM(Y122:AB122)</f>
        <v>181.39999999999998</v>
      </c>
      <c r="AD122" s="420">
        <v>42.9</v>
      </c>
      <c r="AE122" s="420">
        <v>43.9</v>
      </c>
      <c r="AF122" s="420">
        <v>46.6</v>
      </c>
      <c r="AG122" s="420">
        <v>44.8</v>
      </c>
      <c r="AH122" s="386">
        <f t="shared" ref="AH122:AH127" si="87">SUM(AD122:AG122)</f>
        <v>178.2</v>
      </c>
      <c r="AI122" s="420">
        <v>40.799999999999997</v>
      </c>
      <c r="AJ122" s="420">
        <v>43</v>
      </c>
      <c r="AK122" s="386">
        <f>AF122*(1+AK130)</f>
        <v>45.901000000000003</v>
      </c>
      <c r="AL122" s="386">
        <f>AG122*(1+AL130)</f>
        <v>44.351999999999997</v>
      </c>
      <c r="AM122" s="386">
        <f>SUM(AI122:AL122)</f>
        <v>174.053</v>
      </c>
      <c r="AN122" s="386">
        <f>AI122*(1+AN130)</f>
        <v>40.595999999999997</v>
      </c>
      <c r="AO122" s="386">
        <f>AJ122*(1+AO130)</f>
        <v>42.784999999999997</v>
      </c>
      <c r="AP122" s="386">
        <f>AK122*(1+AP130)</f>
        <v>45.671495</v>
      </c>
      <c r="AQ122" s="386">
        <f>AL122*(1+AQ130)</f>
        <v>44.130239999999993</v>
      </c>
      <c r="AR122" s="386">
        <f>SUM(AN122:AQ122)</f>
        <v>173.18273499999998</v>
      </c>
      <c r="AS122" s="386">
        <f>AN122*(1+AS130)</f>
        <v>40.697489999999995</v>
      </c>
      <c r="AT122" s="386">
        <f>AO122*(1+AT130)</f>
        <v>42.891962499999991</v>
      </c>
      <c r="AU122" s="386">
        <f>AP122*(1+AU130)</f>
        <v>45.785673737499998</v>
      </c>
      <c r="AV122" s="386">
        <f>AQ122*(1+AV130)</f>
        <v>44.240565599999989</v>
      </c>
      <c r="AW122" s="386">
        <f>SUM(AS122:AV122)</f>
        <v>173.61569183749998</v>
      </c>
      <c r="AX122" s="386">
        <f>AS122*(1+AX130)</f>
        <v>40.799233724999993</v>
      </c>
      <c r="AY122" s="386">
        <f>AT122*(1+AY130)</f>
        <v>42.999192406249989</v>
      </c>
      <c r="AZ122" s="386">
        <f>AU122*(1+AZ130)</f>
        <v>45.900137921843744</v>
      </c>
      <c r="BA122" s="386">
        <f>AV122*(1+BA130)</f>
        <v>44.351167013999984</v>
      </c>
      <c r="BB122" s="386">
        <f>SUM(AX122:BA122)</f>
        <v>174.04973106709372</v>
      </c>
      <c r="BC122" s="386">
        <f>AX122*(1+BC130)</f>
        <v>40.901231809312492</v>
      </c>
      <c r="BD122" s="386">
        <f>AY122*(1+BD130)</f>
        <v>43.106690387265608</v>
      </c>
      <c r="BE122" s="386">
        <f>AZ122*(1+BE130)</f>
        <v>46.014888266648349</v>
      </c>
      <c r="BF122" s="386">
        <f>BA122*(1+BF130)</f>
        <v>44.462044931534983</v>
      </c>
      <c r="BG122" s="386">
        <f>SUM(BC122:BF122)</f>
        <v>174.48485539476144</v>
      </c>
      <c r="BH122" s="386">
        <f>BC122*(1+BH130)</f>
        <v>41.003484888835771</v>
      </c>
      <c r="BI122" s="386">
        <f>BD122*(1+BI130)</f>
        <v>43.21445711323377</v>
      </c>
      <c r="BJ122" s="386">
        <f>BE122*(1+BJ130)</f>
        <v>46.129925487314971</v>
      </c>
      <c r="BK122" s="386">
        <f>BF122*(1+BK130)</f>
        <v>44.573200043863821</v>
      </c>
      <c r="BL122" s="386">
        <f>SUM(BH122:BK122)</f>
        <v>174.92106753324833</v>
      </c>
    </row>
    <row r="123" spans="1:64" s="26" customFormat="1">
      <c r="A123" s="423" t="s">
        <v>1865</v>
      </c>
      <c r="J123" s="386"/>
      <c r="K123" s="386"/>
      <c r="L123" s="386"/>
      <c r="M123" s="386"/>
      <c r="N123" s="386"/>
      <c r="O123" s="386"/>
      <c r="P123" s="386"/>
      <c r="Q123" s="386"/>
      <c r="R123" s="386"/>
      <c r="S123" s="386"/>
      <c r="T123" s="386"/>
      <c r="U123" s="386"/>
      <c r="V123" s="386"/>
      <c r="W123" s="386"/>
      <c r="X123" s="386"/>
      <c r="Y123" s="420">
        <v>5.4</v>
      </c>
      <c r="Z123" s="420">
        <v>5.6</v>
      </c>
      <c r="AA123" s="420">
        <v>7.6</v>
      </c>
      <c r="AB123" s="420">
        <v>7.7</v>
      </c>
      <c r="AC123" s="386">
        <f t="shared" si="86"/>
        <v>26.3</v>
      </c>
      <c r="AD123" s="420">
        <v>4.5</v>
      </c>
      <c r="AE123" s="420">
        <v>5.0999999999999996</v>
      </c>
      <c r="AF123" s="420">
        <v>5.5</v>
      </c>
      <c r="AG123" s="420">
        <v>5.8</v>
      </c>
      <c r="AH123" s="386">
        <f t="shared" si="87"/>
        <v>20.9</v>
      </c>
      <c r="AI123" s="420">
        <v>3.7</v>
      </c>
      <c r="AJ123" s="420">
        <v>3.7</v>
      </c>
      <c r="AK123" s="421">
        <v>3.5</v>
      </c>
      <c r="AL123" s="421">
        <f>AK123-0.25</f>
        <v>3.25</v>
      </c>
      <c r="AM123" s="386">
        <f>SUM(AI123:AL123)</f>
        <v>14.15</v>
      </c>
      <c r="AN123" s="421">
        <f>AL123-0.25</f>
        <v>3</v>
      </c>
      <c r="AO123" s="421">
        <f>AN123-0.25</f>
        <v>2.75</v>
      </c>
      <c r="AP123" s="421">
        <f>AO123-0.25</f>
        <v>2.5</v>
      </c>
      <c r="AQ123" s="421">
        <f>AP123-0.25</f>
        <v>2.25</v>
      </c>
      <c r="AR123" s="386">
        <f>SUM(AN123:AQ123)</f>
        <v>10.5</v>
      </c>
      <c r="AS123" s="421">
        <f>AN123*0.75</f>
        <v>2.25</v>
      </c>
      <c r="AT123" s="421">
        <f>AO123*0.75</f>
        <v>2.0625</v>
      </c>
      <c r="AU123" s="421">
        <f>AP123*0.75</f>
        <v>1.875</v>
      </c>
      <c r="AV123" s="421">
        <f>AQ123*0.75</f>
        <v>1.6875</v>
      </c>
      <c r="AW123" s="386">
        <f>SUM(AS123:AV123)</f>
        <v>7.875</v>
      </c>
      <c r="AX123" s="421">
        <f>AS123*0.75</f>
        <v>1.6875</v>
      </c>
      <c r="AY123" s="421">
        <f>AT123*0.75</f>
        <v>1.546875</v>
      </c>
      <c r="AZ123" s="421">
        <f>AU123*0.75</f>
        <v>1.40625</v>
      </c>
      <c r="BA123" s="421">
        <f>AV123*0.75</f>
        <v>1.265625</v>
      </c>
      <c r="BB123" s="386">
        <f>SUM(AX123:BA123)</f>
        <v>5.90625</v>
      </c>
      <c r="BC123" s="421">
        <f>AX123*0.75</f>
        <v>1.265625</v>
      </c>
      <c r="BD123" s="421">
        <f>AY123*0.75</f>
        <v>1.16015625</v>
      </c>
      <c r="BE123" s="421">
        <f>AZ123*0.75</f>
        <v>1.0546875</v>
      </c>
      <c r="BF123" s="421">
        <f>BA123*0.75</f>
        <v>0.94921875</v>
      </c>
      <c r="BG123" s="386">
        <f>SUM(BC123:BF123)</f>
        <v>4.4296875</v>
      </c>
      <c r="BH123" s="421">
        <f>BC123*0.75</f>
        <v>0.94921875</v>
      </c>
      <c r="BI123" s="421">
        <f>BD123*0.75</f>
        <v>0.8701171875</v>
      </c>
      <c r="BJ123" s="421">
        <f>BE123*0.75</f>
        <v>0.791015625</v>
      </c>
      <c r="BK123" s="421">
        <f>BF123*0.75</f>
        <v>0.7119140625</v>
      </c>
      <c r="BL123" s="386">
        <f>SUM(BH123:BK123)</f>
        <v>3.322265625</v>
      </c>
    </row>
    <row r="124" spans="1:64" s="26" customFormat="1">
      <c r="A124" s="29" t="s">
        <v>1850</v>
      </c>
      <c r="J124" s="386"/>
      <c r="K124" s="386"/>
      <c r="L124" s="386"/>
      <c r="M124" s="386"/>
      <c r="N124" s="386"/>
      <c r="O124" s="386"/>
      <c r="P124" s="386"/>
      <c r="Q124" s="386"/>
      <c r="R124" s="386"/>
      <c r="S124" s="386"/>
      <c r="T124" s="386"/>
      <c r="U124" s="386"/>
      <c r="V124" s="386"/>
      <c r="W124" s="386"/>
      <c r="X124" s="386"/>
      <c r="Y124" s="386">
        <f>SUM(Y122:Y123)</f>
        <v>47.4</v>
      </c>
      <c r="Z124" s="386">
        <f>SUM(Z122:Z123)</f>
        <v>49.1</v>
      </c>
      <c r="AA124" s="386">
        <f>SUM(AA122:AA123)</f>
        <v>54.7</v>
      </c>
      <c r="AB124" s="386">
        <f>SUM(AB122:AB123)</f>
        <v>56.5</v>
      </c>
      <c r="AC124" s="386">
        <f t="shared" si="86"/>
        <v>207.7</v>
      </c>
      <c r="AD124" s="386">
        <f>SUM(AD122:AD123)</f>
        <v>47.4</v>
      </c>
      <c r="AE124" s="386">
        <f>SUM(AE122:AE123)</f>
        <v>49</v>
      </c>
      <c r="AF124" s="386">
        <f>SUM(AF122:AF123)</f>
        <v>52.1</v>
      </c>
      <c r="AG124" s="386">
        <f>SUM(AG122:AG123)</f>
        <v>50.599999999999994</v>
      </c>
      <c r="AH124" s="386">
        <f t="shared" si="87"/>
        <v>199.1</v>
      </c>
      <c r="AI124" s="386">
        <f>SUM(AI122:AI123)</f>
        <v>44.5</v>
      </c>
      <c r="AJ124" s="386">
        <f>SUM(AJ122:AJ123)</f>
        <v>46.7</v>
      </c>
      <c r="AK124" s="386">
        <f>SUM(AK122:AK123)</f>
        <v>49.401000000000003</v>
      </c>
      <c r="AL124" s="386">
        <f>SUM(AL122:AL123)</f>
        <v>47.601999999999997</v>
      </c>
      <c r="AM124" s="386">
        <f>SUM(AI124:AL124)</f>
        <v>188.203</v>
      </c>
      <c r="AN124" s="386">
        <f>SUM(AN122:AN123)</f>
        <v>43.595999999999997</v>
      </c>
      <c r="AO124" s="386">
        <f>SUM(AO122:AO123)</f>
        <v>45.534999999999997</v>
      </c>
      <c r="AP124" s="386">
        <f>SUM(AP122:AP123)</f>
        <v>48.171495</v>
      </c>
      <c r="AQ124" s="386">
        <f>SUM(AQ122:AQ123)</f>
        <v>46.380239999999993</v>
      </c>
      <c r="AR124" s="386">
        <f>SUM(AN124:AQ124)</f>
        <v>183.68273499999998</v>
      </c>
      <c r="AS124" s="386">
        <f>SUM(AS122:AS123)</f>
        <v>42.947489999999995</v>
      </c>
      <c r="AT124" s="386">
        <f>SUM(AT122:AT123)</f>
        <v>44.954462499999991</v>
      </c>
      <c r="AU124" s="386">
        <f>SUM(AU122:AU123)</f>
        <v>47.660673737499998</v>
      </c>
      <c r="AV124" s="386">
        <f>SUM(AV122:AV123)</f>
        <v>45.928065599999989</v>
      </c>
      <c r="AW124" s="386">
        <f>SUM(AS124:AV124)</f>
        <v>181.49069183749998</v>
      </c>
      <c r="AX124" s="386">
        <f>SUM(AX122:AX123)</f>
        <v>42.486733724999993</v>
      </c>
      <c r="AY124" s="386">
        <f>SUM(AY122:AY123)</f>
        <v>44.546067406249989</v>
      </c>
      <c r="AZ124" s="386">
        <f>SUM(AZ122:AZ123)</f>
        <v>47.306387921843744</v>
      </c>
      <c r="BA124" s="386">
        <f>SUM(BA122:BA123)</f>
        <v>45.616792013999984</v>
      </c>
      <c r="BB124" s="386">
        <f>SUM(AX124:BA124)</f>
        <v>179.95598106709372</v>
      </c>
      <c r="BC124" s="386">
        <f>SUM(BC122:BC123)</f>
        <v>42.166856809312492</v>
      </c>
      <c r="BD124" s="386">
        <f>SUM(BD122:BD123)</f>
        <v>44.266846637265608</v>
      </c>
      <c r="BE124" s="386">
        <f>SUM(BE122:BE123)</f>
        <v>47.069575766648349</v>
      </c>
      <c r="BF124" s="386">
        <f>SUM(BF122:BF123)</f>
        <v>45.411263681534983</v>
      </c>
      <c r="BG124" s="386">
        <f>SUM(BC124:BF124)</f>
        <v>178.91454289476144</v>
      </c>
      <c r="BH124" s="386">
        <f>SUM(BH122:BH123)</f>
        <v>41.952703638835771</v>
      </c>
      <c r="BI124" s="386">
        <f>SUM(BI122:BI123)</f>
        <v>44.08457430073377</v>
      </c>
      <c r="BJ124" s="386">
        <f>SUM(BJ122:BJ123)</f>
        <v>46.920941112314971</v>
      </c>
      <c r="BK124" s="386">
        <f>SUM(BK122:BK123)</f>
        <v>45.285114106363821</v>
      </c>
      <c r="BL124" s="386">
        <f>SUM(BH124:BK124)</f>
        <v>178.24333315824833</v>
      </c>
    </row>
    <row r="125" spans="1:64">
      <c r="A125" s="5" t="s">
        <v>1866</v>
      </c>
      <c r="J125" s="375"/>
      <c r="K125" s="375"/>
      <c r="L125" s="375"/>
      <c r="M125" s="375"/>
      <c r="N125" s="375"/>
      <c r="O125" s="375"/>
      <c r="P125" s="375"/>
      <c r="Q125" s="375"/>
      <c r="R125" s="375"/>
      <c r="S125" s="375"/>
      <c r="T125" s="375"/>
      <c r="U125" s="375"/>
      <c r="V125" s="375"/>
      <c r="W125" s="375"/>
      <c r="X125" s="375"/>
      <c r="Y125" s="417">
        <v>43.1</v>
      </c>
      <c r="Z125" s="417">
        <v>44.6</v>
      </c>
      <c r="AA125" s="417">
        <v>47.7</v>
      </c>
      <c r="AB125" s="417">
        <v>49.1</v>
      </c>
      <c r="AC125" s="375">
        <f t="shared" si="86"/>
        <v>184.5</v>
      </c>
      <c r="AD125" s="417">
        <v>46.7</v>
      </c>
      <c r="AE125" s="417">
        <v>47.4</v>
      </c>
      <c r="AF125" s="417">
        <v>48.3</v>
      </c>
      <c r="AG125" s="417">
        <v>52.2</v>
      </c>
      <c r="AH125" s="375">
        <f t="shared" si="87"/>
        <v>194.59999999999997</v>
      </c>
      <c r="AI125" s="417">
        <v>49.1</v>
      </c>
      <c r="AJ125" s="417">
        <v>48.2</v>
      </c>
      <c r="AK125" s="417">
        <v>47.8</v>
      </c>
      <c r="AL125" s="375">
        <f>AG125*(1+AL133)</f>
        <v>51.678000000000004</v>
      </c>
      <c r="AM125" s="375">
        <f>SUM(AI125:AL125)</f>
        <v>196.77800000000002</v>
      </c>
      <c r="AN125" s="375">
        <f>AI125*(1+AN133)</f>
        <v>48.977250000000005</v>
      </c>
      <c r="AO125" s="375">
        <f>AJ125*(1+AO133)</f>
        <v>48.079500000000003</v>
      </c>
      <c r="AP125" s="375">
        <f>AK125*(1+AP133)</f>
        <v>47.680500000000002</v>
      </c>
      <c r="AQ125" s="375">
        <f>AL125*(1+AQ133)</f>
        <v>51.548805000000009</v>
      </c>
      <c r="AR125" s="375">
        <f>SUM(AN125:AQ125)</f>
        <v>196.28605500000003</v>
      </c>
      <c r="AS125" s="375">
        <f>AN125*(1+AS133)</f>
        <v>48.854806875000008</v>
      </c>
      <c r="AT125" s="375">
        <f>AO125*(1+AT133)</f>
        <v>47.959301250000003</v>
      </c>
      <c r="AU125" s="375">
        <f>AP125*(1+AU133)</f>
        <v>47.561298750000006</v>
      </c>
      <c r="AV125" s="375">
        <f>AQ125*(1+AV133)</f>
        <v>51.419932987500012</v>
      </c>
      <c r="AW125" s="375">
        <f>SUM(AS125:AV125)</f>
        <v>195.79533986250001</v>
      </c>
      <c r="AX125" s="375">
        <f>AS125*(1+AX133)</f>
        <v>48.73266985781251</v>
      </c>
      <c r="AY125" s="375">
        <f>AT125*(1+AY133)</f>
        <v>47.839402996875009</v>
      </c>
      <c r="AZ125" s="375">
        <f>AU125*(1+AZ133)</f>
        <v>47.442395503125006</v>
      </c>
      <c r="BA125" s="375">
        <f>AV125*(1+BA133)</f>
        <v>51.291383155031262</v>
      </c>
      <c r="BB125" s="375">
        <f>SUM(AX125:BA125)</f>
        <v>195.30585151284379</v>
      </c>
      <c r="BC125" s="375">
        <f>AX125*(1+BC133)</f>
        <v>48.610838183167985</v>
      </c>
      <c r="BD125" s="375">
        <f>AY125*(1+BD133)</f>
        <v>47.719804489382824</v>
      </c>
      <c r="BE125" s="375">
        <f>AZ125*(1+BE133)</f>
        <v>47.323789514367199</v>
      </c>
      <c r="BF125" s="375">
        <f>BA125*(1+BF133)</f>
        <v>51.163154697143689</v>
      </c>
      <c r="BG125" s="375">
        <f>SUM(BC125:BF125)</f>
        <v>194.81758688406168</v>
      </c>
      <c r="BH125" s="375">
        <f>BC125*(1+BH133)</f>
        <v>48.489311087710071</v>
      </c>
      <c r="BI125" s="375">
        <f>BD125*(1+BI133)</f>
        <v>47.600504978159371</v>
      </c>
      <c r="BJ125" s="375">
        <f>BE125*(1+BJ133)</f>
        <v>47.205480040581286</v>
      </c>
      <c r="BK125" s="375">
        <f>BF125*(1+BK133)</f>
        <v>51.035246810400835</v>
      </c>
      <c r="BL125" s="375">
        <f>SUM(BH125:BK125)</f>
        <v>194.33054291685158</v>
      </c>
    </row>
    <row r="126" spans="1:64" s="26" customFormat="1">
      <c r="A126" s="29" t="s">
        <v>1852</v>
      </c>
      <c r="J126" s="386"/>
      <c r="K126" s="386"/>
      <c r="L126" s="386"/>
      <c r="M126" s="386"/>
      <c r="N126" s="386"/>
      <c r="O126" s="386"/>
      <c r="P126" s="386"/>
      <c r="Q126" s="386"/>
      <c r="R126" s="386"/>
      <c r="S126" s="386"/>
      <c r="T126" s="386"/>
      <c r="U126" s="386"/>
      <c r="V126" s="386"/>
      <c r="W126" s="386"/>
      <c r="X126" s="386"/>
      <c r="Y126" s="386">
        <f>Y127-SUM(Y124:Y125)</f>
        <v>9.9999999999994316E-2</v>
      </c>
      <c r="Z126" s="386">
        <f>Z127-SUM(Z124:Z125)</f>
        <v>0</v>
      </c>
      <c r="AA126" s="386">
        <f>AA127-SUM(AA124:AA125)</f>
        <v>0</v>
      </c>
      <c r="AB126" s="386">
        <f>AB127-SUM(AB124:AB125)</f>
        <v>0.10000000000000853</v>
      </c>
      <c r="AC126" s="386">
        <f t="shared" si="86"/>
        <v>0.20000000000000284</v>
      </c>
      <c r="AD126" s="386">
        <f>AD127-SUM(AD124:AD125)</f>
        <v>0.10000000000000853</v>
      </c>
      <c r="AE126" s="386">
        <f>AE127-SUM(AE124:AE125)</f>
        <v>9.9999999999994316E-2</v>
      </c>
      <c r="AF126" s="386">
        <f>AF127-SUM(AF124:AF125)</f>
        <v>9.9999999999994316E-2</v>
      </c>
      <c r="AG126" s="386">
        <f>AG127-SUM(AG124:AG125)</f>
        <v>0.20000000000000284</v>
      </c>
      <c r="AH126" s="386">
        <f t="shared" si="87"/>
        <v>0.5</v>
      </c>
      <c r="AI126" s="386">
        <f>AI127-SUM(AI124:AI125)</f>
        <v>0</v>
      </c>
      <c r="AJ126" s="386">
        <f>AJ127-SUM(AJ124:AJ125)</f>
        <v>0</v>
      </c>
      <c r="AK126" s="386"/>
      <c r="AL126" s="386"/>
      <c r="AM126" s="386"/>
      <c r="AN126" s="386"/>
      <c r="AO126" s="386"/>
      <c r="AP126" s="386"/>
      <c r="AQ126" s="386"/>
      <c r="AR126" s="386"/>
      <c r="AS126" s="386"/>
      <c r="AT126" s="386"/>
      <c r="AU126" s="386"/>
      <c r="AV126" s="386"/>
      <c r="AW126" s="386"/>
      <c r="AX126" s="386"/>
      <c r="AY126" s="386"/>
      <c r="AZ126" s="386"/>
      <c r="BA126" s="386"/>
      <c r="BB126" s="386"/>
      <c r="BC126" s="386"/>
      <c r="BD126" s="386"/>
      <c r="BE126" s="386"/>
      <c r="BF126" s="386"/>
      <c r="BG126" s="386"/>
      <c r="BH126" s="386"/>
      <c r="BI126" s="386"/>
      <c r="BJ126" s="386"/>
      <c r="BK126" s="386"/>
      <c r="BL126" s="386"/>
    </row>
    <row r="127" spans="1:64" s="26" customFormat="1">
      <c r="A127" s="174" t="s">
        <v>1867</v>
      </c>
      <c r="B127" s="174"/>
      <c r="C127" s="174"/>
      <c r="D127" s="174"/>
      <c r="E127" s="174"/>
      <c r="F127" s="174"/>
      <c r="G127" s="174"/>
      <c r="H127" s="174"/>
      <c r="I127" s="174"/>
      <c r="J127" s="388"/>
      <c r="K127" s="388"/>
      <c r="L127" s="388"/>
      <c r="M127" s="388"/>
      <c r="N127" s="388"/>
      <c r="O127" s="388"/>
      <c r="P127" s="388"/>
      <c r="Q127" s="388"/>
      <c r="R127" s="388"/>
      <c r="S127" s="388"/>
      <c r="T127" s="388"/>
      <c r="U127" s="388"/>
      <c r="V127" s="388"/>
      <c r="W127" s="388"/>
      <c r="X127" s="388"/>
      <c r="Y127" s="424">
        <v>90.6</v>
      </c>
      <c r="Z127" s="424">
        <v>93.7</v>
      </c>
      <c r="AA127" s="424">
        <v>102.4</v>
      </c>
      <c r="AB127" s="424">
        <v>105.7</v>
      </c>
      <c r="AC127" s="388">
        <f t="shared" si="86"/>
        <v>392.40000000000003</v>
      </c>
      <c r="AD127" s="424">
        <v>94.2</v>
      </c>
      <c r="AE127" s="424">
        <v>96.5</v>
      </c>
      <c r="AF127" s="424">
        <v>100.5</v>
      </c>
      <c r="AG127" s="424">
        <v>103</v>
      </c>
      <c r="AH127" s="388">
        <f t="shared" si="87"/>
        <v>394.2</v>
      </c>
      <c r="AI127" s="424">
        <v>93.6</v>
      </c>
      <c r="AJ127" s="424">
        <v>94.9</v>
      </c>
      <c r="AK127" s="388">
        <f>SUM(AK124:AK126)</f>
        <v>97.200999999999993</v>
      </c>
      <c r="AL127" s="388">
        <f>SUM(AL124:AL126)</f>
        <v>99.28</v>
      </c>
      <c r="AM127" s="388">
        <f>SUM(AI127:AL127)</f>
        <v>384.98099999999999</v>
      </c>
      <c r="AN127" s="388">
        <f>SUM(AN124:AN126)</f>
        <v>92.573250000000002</v>
      </c>
      <c r="AO127" s="388">
        <f>SUM(AO124:AO126)</f>
        <v>93.614499999999992</v>
      </c>
      <c r="AP127" s="388">
        <f>SUM(AP124:AP126)</f>
        <v>95.851995000000002</v>
      </c>
      <c r="AQ127" s="388">
        <f>SUM(AQ124:AQ126)</f>
        <v>97.929045000000002</v>
      </c>
      <c r="AR127" s="388">
        <f>SUM(AN127:AQ127)</f>
        <v>379.96879000000001</v>
      </c>
      <c r="AS127" s="388">
        <f>SUM(AS124:AS126)</f>
        <v>91.802296874999996</v>
      </c>
      <c r="AT127" s="388">
        <f>SUM(AT124:AT126)</f>
        <v>92.913763749999987</v>
      </c>
      <c r="AU127" s="388">
        <f>SUM(AU124:AU126)</f>
        <v>95.221972487500011</v>
      </c>
      <c r="AV127" s="388">
        <f>SUM(AV124:AV126)</f>
        <v>97.347998587500001</v>
      </c>
      <c r="AW127" s="388">
        <f>SUM(AS127:AV127)</f>
        <v>377.28603169999997</v>
      </c>
      <c r="AX127" s="388">
        <f>SUM(AX124:AX126)</f>
        <v>91.219403582812504</v>
      </c>
      <c r="AY127" s="388">
        <f>SUM(AY124:AY126)</f>
        <v>92.385470403124998</v>
      </c>
      <c r="AZ127" s="388">
        <f>SUM(AZ124:AZ126)</f>
        <v>94.74878342496875</v>
      </c>
      <c r="BA127" s="388">
        <f>SUM(BA124:BA126)</f>
        <v>96.908175169031239</v>
      </c>
      <c r="BB127" s="388">
        <f>SUM(AX127:BA127)</f>
        <v>375.2618325799375</v>
      </c>
      <c r="BC127" s="388">
        <f>SUM(BC124:BC126)</f>
        <v>90.777694992480477</v>
      </c>
      <c r="BD127" s="388">
        <f>SUM(BD124:BD126)</f>
        <v>91.986651126648439</v>
      </c>
      <c r="BE127" s="388">
        <f>SUM(BE124:BE126)</f>
        <v>94.393365281015548</v>
      </c>
      <c r="BF127" s="388">
        <f>SUM(BF124:BF126)</f>
        <v>96.574418378678672</v>
      </c>
      <c r="BG127" s="388">
        <f>SUM(BC127:BF127)</f>
        <v>373.73212977882309</v>
      </c>
      <c r="BH127" s="388">
        <f>SUM(BH124:BH126)</f>
        <v>90.442014726545835</v>
      </c>
      <c r="BI127" s="388">
        <f>SUM(BI124:BI126)</f>
        <v>91.685079278893141</v>
      </c>
      <c r="BJ127" s="388">
        <f>SUM(BJ124:BJ126)</f>
        <v>94.126421152896256</v>
      </c>
      <c r="BK127" s="388">
        <f>SUM(BK124:BK126)</f>
        <v>96.320360916764656</v>
      </c>
      <c r="BL127" s="388">
        <f>SUM(BH127:BK127)</f>
        <v>372.57387607509986</v>
      </c>
    </row>
    <row r="129" spans="1:64">
      <c r="A129" s="3" t="s">
        <v>1663</v>
      </c>
    </row>
    <row r="130" spans="1:64">
      <c r="A130" s="34" t="s">
        <v>1864</v>
      </c>
      <c r="AD130" s="16">
        <f t="shared" ref="AD130:AK133" si="88">AD122/Y122-1</f>
        <v>2.1428571428571352E-2</v>
      </c>
      <c r="AE130" s="16">
        <f t="shared" si="88"/>
        <v>9.1954022988505191E-3</v>
      </c>
      <c r="AF130" s="16">
        <f t="shared" si="88"/>
        <v>-1.0615711252653925E-2</v>
      </c>
      <c r="AG130" s="16">
        <f t="shared" si="88"/>
        <v>-8.1967213114754078E-2</v>
      </c>
      <c r="AH130" s="16">
        <f t="shared" si="88"/>
        <v>-1.764057331863278E-2</v>
      </c>
      <c r="AI130" s="16">
        <f t="shared" si="88"/>
        <v>-4.8951048951048959E-2</v>
      </c>
      <c r="AJ130" s="16">
        <f t="shared" si="88"/>
        <v>-2.0501138952163989E-2</v>
      </c>
      <c r="AK130" s="303">
        <v>-1.4999999999999999E-2</v>
      </c>
      <c r="AL130" s="303">
        <v>-0.01</v>
      </c>
      <c r="AM130" s="16">
        <f>AM122/AH122-1</f>
        <v>-2.3271604938271517E-2</v>
      </c>
      <c r="AN130" s="303">
        <v>-5.0000000000000001E-3</v>
      </c>
      <c r="AO130" s="303">
        <v>-5.0000000000000001E-3</v>
      </c>
      <c r="AP130" s="303">
        <v>-5.0000000000000001E-3</v>
      </c>
      <c r="AQ130" s="303">
        <v>-5.0000000000000001E-3</v>
      </c>
      <c r="AR130" s="16">
        <f>AR122/AM122-1</f>
        <v>-5.0000000000001155E-3</v>
      </c>
      <c r="AS130" s="303">
        <v>2.5000000000000001E-3</v>
      </c>
      <c r="AT130" s="303">
        <v>2.5000000000000001E-3</v>
      </c>
      <c r="AU130" s="303">
        <v>2.5000000000000001E-3</v>
      </c>
      <c r="AV130" s="303">
        <v>2.5000000000000001E-3</v>
      </c>
      <c r="AW130" s="16">
        <f>AW122/AR122-1</f>
        <v>2.4999999999999467E-3</v>
      </c>
      <c r="AX130" s="303">
        <v>2.5000000000000001E-3</v>
      </c>
      <c r="AY130" s="303">
        <v>2.5000000000000001E-3</v>
      </c>
      <c r="AZ130" s="303">
        <v>2.5000000000000001E-3</v>
      </c>
      <c r="BA130" s="303">
        <v>2.5000000000000001E-3</v>
      </c>
      <c r="BB130" s="16">
        <f>BB122/AW122-1</f>
        <v>2.4999999999999467E-3</v>
      </c>
      <c r="BC130" s="303">
        <v>2.5000000000000001E-3</v>
      </c>
      <c r="BD130" s="303">
        <v>2.5000000000000001E-3</v>
      </c>
      <c r="BE130" s="303">
        <v>2.5000000000000001E-3</v>
      </c>
      <c r="BF130" s="303">
        <v>2.5000000000000001E-3</v>
      </c>
      <c r="BG130" s="16">
        <f>BG122/BB122-1</f>
        <v>2.4999999999999467E-3</v>
      </c>
      <c r="BH130" s="303">
        <v>2.5000000000000001E-3</v>
      </c>
      <c r="BI130" s="303">
        <v>2.5000000000000001E-3</v>
      </c>
      <c r="BJ130" s="303">
        <v>2.5000000000000001E-3</v>
      </c>
      <c r="BK130" s="303">
        <v>2.5000000000000001E-3</v>
      </c>
      <c r="BL130" s="16">
        <f>BL122/BG122-1</f>
        <v>2.4999999999999467E-3</v>
      </c>
    </row>
    <row r="131" spans="1:64">
      <c r="A131" s="34" t="s">
        <v>1865</v>
      </c>
      <c r="AD131" s="16">
        <f t="shared" si="88"/>
        <v>-0.16666666666666674</v>
      </c>
      <c r="AE131" s="16">
        <f t="shared" si="88"/>
        <v>-8.9285714285714302E-2</v>
      </c>
      <c r="AF131" s="16">
        <f t="shared" si="88"/>
        <v>-0.27631578947368418</v>
      </c>
      <c r="AG131" s="16">
        <f t="shared" si="88"/>
        <v>-0.24675324675324684</v>
      </c>
      <c r="AH131" s="16">
        <f t="shared" si="88"/>
        <v>-0.2053231939163499</v>
      </c>
      <c r="AI131" s="16">
        <f t="shared" si="88"/>
        <v>-0.1777777777777777</v>
      </c>
      <c r="AJ131" s="16">
        <f t="shared" si="88"/>
        <v>-0.27450980392156854</v>
      </c>
      <c r="AK131" s="16">
        <f>AK123/AF123-1</f>
        <v>-0.36363636363636365</v>
      </c>
      <c r="AL131" s="16">
        <f>AL123/AG123-1</f>
        <v>-0.43965517241379304</v>
      </c>
      <c r="AM131" s="16">
        <f>AM123/AH123-1</f>
        <v>-0.32296650717703346</v>
      </c>
      <c r="AN131" s="16">
        <f t="shared" ref="AN131:AQ132" si="89">AN123/AI123-1</f>
        <v>-0.18918918918918926</v>
      </c>
      <c r="AO131" s="16">
        <f t="shared" si="89"/>
        <v>-0.2567567567567568</v>
      </c>
      <c r="AP131" s="16">
        <f t="shared" si="89"/>
        <v>-0.2857142857142857</v>
      </c>
      <c r="AQ131" s="16">
        <f t="shared" si="89"/>
        <v>-0.30769230769230771</v>
      </c>
      <c r="AR131" s="16">
        <f>AR123/AM123-1</f>
        <v>-0.25795053003533575</v>
      </c>
      <c r="AS131" s="16">
        <f t="shared" ref="AS131:AV132" si="90">AS123/AN123-1</f>
        <v>-0.25</v>
      </c>
      <c r="AT131" s="16">
        <f t="shared" si="90"/>
        <v>-0.25</v>
      </c>
      <c r="AU131" s="16">
        <f t="shared" si="90"/>
        <v>-0.25</v>
      </c>
      <c r="AV131" s="16">
        <f t="shared" si="90"/>
        <v>-0.25</v>
      </c>
      <c r="AW131" s="16">
        <f>AW123/AR123-1</f>
        <v>-0.25</v>
      </c>
      <c r="AX131" s="16">
        <f t="shared" ref="AX131:BA132" si="91">AX123/AS123-1</f>
        <v>-0.25</v>
      </c>
      <c r="AY131" s="16">
        <f t="shared" si="91"/>
        <v>-0.25</v>
      </c>
      <c r="AZ131" s="16">
        <f t="shared" si="91"/>
        <v>-0.25</v>
      </c>
      <c r="BA131" s="16">
        <f t="shared" si="91"/>
        <v>-0.25</v>
      </c>
      <c r="BB131" s="16">
        <f>BB123/AW123-1</f>
        <v>-0.25</v>
      </c>
      <c r="BC131" s="16">
        <f t="shared" ref="BC131:BF132" si="92">BC123/AX123-1</f>
        <v>-0.25</v>
      </c>
      <c r="BD131" s="16">
        <f t="shared" si="92"/>
        <v>-0.25</v>
      </c>
      <c r="BE131" s="16">
        <f t="shared" si="92"/>
        <v>-0.25</v>
      </c>
      <c r="BF131" s="16">
        <f t="shared" si="92"/>
        <v>-0.25</v>
      </c>
      <c r="BG131" s="16">
        <f>BG123/BB123-1</f>
        <v>-0.25</v>
      </c>
      <c r="BH131" s="16">
        <f t="shared" ref="BH131:BK132" si="93">BH123/BC123-1</f>
        <v>-0.25</v>
      </c>
      <c r="BI131" s="16">
        <f t="shared" si="93"/>
        <v>-0.25</v>
      </c>
      <c r="BJ131" s="16">
        <f t="shared" si="93"/>
        <v>-0.25</v>
      </c>
      <c r="BK131" s="16">
        <f t="shared" si="93"/>
        <v>-0.25</v>
      </c>
      <c r="BL131" s="16">
        <f>BL123/BG123-1</f>
        <v>-0.25</v>
      </c>
    </row>
    <row r="132" spans="1:64">
      <c r="A132" s="5" t="s">
        <v>1850</v>
      </c>
      <c r="AD132" s="16">
        <f t="shared" si="88"/>
        <v>0</v>
      </c>
      <c r="AE132" s="16">
        <f t="shared" si="88"/>
        <v>-2.0366598778004397E-3</v>
      </c>
      <c r="AF132" s="16">
        <f t="shared" si="88"/>
        <v>-4.7531992687385727E-2</v>
      </c>
      <c r="AG132" s="16">
        <f t="shared" si="88"/>
        <v>-0.10442477876106204</v>
      </c>
      <c r="AH132" s="16">
        <f t="shared" si="88"/>
        <v>-4.1405873856523834E-2</v>
      </c>
      <c r="AI132" s="16">
        <f t="shared" si="88"/>
        <v>-6.1181434599156037E-2</v>
      </c>
      <c r="AJ132" s="16">
        <f t="shared" si="88"/>
        <v>-4.6938775510203978E-2</v>
      </c>
      <c r="AK132" s="16">
        <f>AK124/AF124-1</f>
        <v>-5.1804222648752396E-2</v>
      </c>
      <c r="AL132" s="16">
        <f>AL124/AG124-1</f>
        <v>-5.9249011857707479E-2</v>
      </c>
      <c r="AM132" s="16">
        <f>AM124/AH124-1</f>
        <v>-5.4731290808638811E-2</v>
      </c>
      <c r="AN132" s="16">
        <f t="shared" si="89"/>
        <v>-2.0314606741573149E-2</v>
      </c>
      <c r="AO132" s="16">
        <f t="shared" si="89"/>
        <v>-2.4946466809421919E-2</v>
      </c>
      <c r="AP132" s="16">
        <f t="shared" si="89"/>
        <v>-2.4888261371227349E-2</v>
      </c>
      <c r="AQ132" s="16">
        <f t="shared" si="89"/>
        <v>-2.5666148481156337E-2</v>
      </c>
      <c r="AR132" s="16">
        <f>AR124/AM124-1</f>
        <v>-2.4018028405498493E-2</v>
      </c>
      <c r="AS132" s="16">
        <f t="shared" si="90"/>
        <v>-1.4875447288742127E-2</v>
      </c>
      <c r="AT132" s="16">
        <f t="shared" si="90"/>
        <v>-1.274925881190303E-2</v>
      </c>
      <c r="AU132" s="16">
        <f t="shared" si="90"/>
        <v>-1.0604222735873248E-2</v>
      </c>
      <c r="AV132" s="16">
        <f t="shared" si="90"/>
        <v>-9.7492897837527792E-3</v>
      </c>
      <c r="AW132" s="16">
        <f>AW124/AR124-1</f>
        <v>-1.1933855201470056E-2</v>
      </c>
      <c r="AX132" s="16">
        <f t="shared" si="91"/>
        <v>-1.0728363287353937E-2</v>
      </c>
      <c r="AY132" s="16">
        <f t="shared" si="91"/>
        <v>-9.0846396784302064E-3</v>
      </c>
      <c r="AZ132" s="16">
        <f t="shared" si="91"/>
        <v>-7.4335041423784221E-3</v>
      </c>
      <c r="BA132" s="16">
        <f t="shared" si="91"/>
        <v>-6.7774155504604083E-3</v>
      </c>
      <c r="BB132" s="16">
        <f>BB124/AW124-1</f>
        <v>-8.4561403941332269E-3</v>
      </c>
      <c r="BC132" s="16">
        <f t="shared" si="92"/>
        <v>-7.5288657809738924E-3</v>
      </c>
      <c r="BD132" s="16">
        <f t="shared" si="92"/>
        <v>-6.2681351069209246E-3</v>
      </c>
      <c r="BE132" s="16">
        <f t="shared" si="92"/>
        <v>-5.0059234196159208E-3</v>
      </c>
      <c r="BF132" s="16">
        <f t="shared" si="92"/>
        <v>-4.5055411262133749E-3</v>
      </c>
      <c r="BG132" s="16">
        <f>BG124/BB124-1</f>
        <v>-5.7871828774838097E-3</v>
      </c>
      <c r="BH132" s="16">
        <f t="shared" si="93"/>
        <v>-5.0787084141739047E-3</v>
      </c>
      <c r="BI132" s="16">
        <f t="shared" si="93"/>
        <v>-4.1175812233797959E-3</v>
      </c>
      <c r="BJ132" s="16">
        <f t="shared" si="93"/>
        <v>-3.1577649025401611E-3</v>
      </c>
      <c r="BK132" s="16">
        <f t="shared" si="93"/>
        <v>-2.7779358014751176E-3</v>
      </c>
      <c r="BL132" s="16">
        <f>BL124/BG124-1</f>
        <v>-3.7515661144880141E-3</v>
      </c>
    </row>
    <row r="133" spans="1:64">
      <c r="A133" s="5" t="s">
        <v>1866</v>
      </c>
      <c r="AD133" s="16">
        <f t="shared" si="88"/>
        <v>8.3526682134570818E-2</v>
      </c>
      <c r="AE133" s="16">
        <f t="shared" si="88"/>
        <v>6.2780269058295923E-2</v>
      </c>
      <c r="AF133" s="16">
        <f t="shared" si="88"/>
        <v>1.2578616352201033E-2</v>
      </c>
      <c r="AG133" s="16">
        <f t="shared" si="88"/>
        <v>6.313645621181263E-2</v>
      </c>
      <c r="AH133" s="16">
        <f t="shared" si="88"/>
        <v>5.4742547425474131E-2</v>
      </c>
      <c r="AI133" s="16">
        <f t="shared" si="88"/>
        <v>5.1391862955032064E-2</v>
      </c>
      <c r="AJ133" s="16">
        <f t="shared" si="88"/>
        <v>1.6877637130801704E-2</v>
      </c>
      <c r="AK133" s="16">
        <f t="shared" si="88"/>
        <v>-1.0351966873705987E-2</v>
      </c>
      <c r="AL133" s="303">
        <v>-0.01</v>
      </c>
      <c r="AM133" s="16">
        <f>AM125/AH125-1</f>
        <v>1.1192189105858397E-2</v>
      </c>
      <c r="AN133" s="303">
        <v>-2.5000000000000001E-3</v>
      </c>
      <c r="AO133" s="303">
        <v>-2.5000000000000001E-3</v>
      </c>
      <c r="AP133" s="303">
        <v>-2.5000000000000001E-3</v>
      </c>
      <c r="AQ133" s="303">
        <v>-2.5000000000000001E-3</v>
      </c>
      <c r="AR133" s="16">
        <f>AR125/AM125-1</f>
        <v>-2.4999999999999467E-3</v>
      </c>
      <c r="AS133" s="303">
        <v>-2.5000000000000001E-3</v>
      </c>
      <c r="AT133" s="303">
        <v>-2.5000000000000001E-3</v>
      </c>
      <c r="AU133" s="303">
        <v>-2.5000000000000001E-3</v>
      </c>
      <c r="AV133" s="303">
        <v>-2.5000000000000001E-3</v>
      </c>
      <c r="AW133" s="16">
        <f>AW125/AR125-1</f>
        <v>-2.5000000000000577E-3</v>
      </c>
      <c r="AX133" s="303">
        <v>-2.5000000000000001E-3</v>
      </c>
      <c r="AY133" s="303">
        <v>-2.5000000000000001E-3</v>
      </c>
      <c r="AZ133" s="303">
        <v>-2.5000000000000001E-3</v>
      </c>
      <c r="BA133" s="303">
        <v>-2.5000000000000001E-3</v>
      </c>
      <c r="BB133" s="16">
        <f>BB125/AW125-1</f>
        <v>-2.4999999999998357E-3</v>
      </c>
      <c r="BC133" s="303">
        <v>-2.5000000000000001E-3</v>
      </c>
      <c r="BD133" s="303">
        <v>-2.5000000000000001E-3</v>
      </c>
      <c r="BE133" s="303">
        <v>-2.5000000000000001E-3</v>
      </c>
      <c r="BF133" s="303">
        <v>-2.5000000000000001E-3</v>
      </c>
      <c r="BG133" s="16">
        <f>BG125/BB125-1</f>
        <v>-2.4999999999999467E-3</v>
      </c>
      <c r="BH133" s="303">
        <v>-2.5000000000000001E-3</v>
      </c>
      <c r="BI133" s="303">
        <v>-2.5000000000000001E-3</v>
      </c>
      <c r="BJ133" s="303">
        <v>-2.5000000000000001E-3</v>
      </c>
      <c r="BK133" s="303">
        <v>-2.5000000000000001E-3</v>
      </c>
      <c r="BL133" s="16">
        <f>BL125/BG125-1</f>
        <v>-2.4999999999997247E-3</v>
      </c>
    </row>
    <row r="134" spans="1:64">
      <c r="A134" s="9" t="s">
        <v>1867</v>
      </c>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17">
        <f t="shared" ref="AD134:AQ134" si="94">AD127/Y127-1</f>
        <v>3.9735099337748547E-2</v>
      </c>
      <c r="AE134" s="17">
        <f t="shared" si="94"/>
        <v>2.9882604055496254E-2</v>
      </c>
      <c r="AF134" s="17">
        <f t="shared" si="94"/>
        <v>-1.85546875E-2</v>
      </c>
      <c r="AG134" s="17">
        <f t="shared" si="94"/>
        <v>-2.5543992431409701E-2</v>
      </c>
      <c r="AH134" s="17">
        <f t="shared" si="94"/>
        <v>4.5871559633026138E-3</v>
      </c>
      <c r="AI134" s="17">
        <f t="shared" si="94"/>
        <v>-6.3694267515924663E-3</v>
      </c>
      <c r="AJ134" s="17">
        <f t="shared" si="94"/>
        <v>-1.6580310880829008E-2</v>
      </c>
      <c r="AK134" s="17">
        <f t="shared" si="94"/>
        <v>-3.2825870646766231E-2</v>
      </c>
      <c r="AL134" s="17">
        <f t="shared" si="94"/>
        <v>-3.6116504854368903E-2</v>
      </c>
      <c r="AM134" s="17">
        <f t="shared" si="94"/>
        <v>-2.3386605783866088E-2</v>
      </c>
      <c r="AN134" s="17">
        <f t="shared" si="94"/>
        <v>-1.0969551282051238E-2</v>
      </c>
      <c r="AO134" s="17">
        <f t="shared" si="94"/>
        <v>-1.354583772392004E-2</v>
      </c>
      <c r="AP134" s="17">
        <f t="shared" si="94"/>
        <v>-1.3878509480355072E-2</v>
      </c>
      <c r="AQ134" s="17">
        <f t="shared" si="94"/>
        <v>-1.3607524174053198E-2</v>
      </c>
      <c r="AR134" s="17">
        <f>AR127/AM127-1</f>
        <v>-1.3019369787080404E-2</v>
      </c>
      <c r="AS134" s="17">
        <f t="shared" ref="AS134:AV134" si="95">AS127/AN127-1</f>
        <v>-8.328033476193264E-3</v>
      </c>
      <c r="AT134" s="17">
        <f t="shared" si="95"/>
        <v>-7.4853388096930429E-3</v>
      </c>
      <c r="AU134" s="17">
        <f t="shared" si="95"/>
        <v>-6.5728680190745292E-3</v>
      </c>
      <c r="AV134" s="17">
        <f t="shared" si="95"/>
        <v>-5.9333409459879638E-3</v>
      </c>
      <c r="AW134" s="17">
        <f>AW127/AR127-1</f>
        <v>-7.0604701507196443E-3</v>
      </c>
      <c r="AX134" s="17">
        <f t="shared" ref="AX134:BA134" si="96">AX127/AS127-1</f>
        <v>-6.3494412670433986E-3</v>
      </c>
      <c r="AY134" s="17">
        <f t="shared" si="96"/>
        <v>-5.6858459452406862E-3</v>
      </c>
      <c r="AZ134" s="17">
        <f t="shared" si="96"/>
        <v>-4.9693264082865118E-3</v>
      </c>
      <c r="BA134" s="17">
        <f t="shared" si="96"/>
        <v>-4.5180530144482978E-3</v>
      </c>
      <c r="BB134" s="17">
        <f>BB127/AW127-1</f>
        <v>-5.3651578642911479E-3</v>
      </c>
      <c r="BC134" s="17">
        <f t="shared" ref="BC134:BF134" si="97">BC127/AX127-1</f>
        <v>-4.842265713029259E-3</v>
      </c>
      <c r="BD134" s="17">
        <f t="shared" si="97"/>
        <v>-4.3169047550043471E-3</v>
      </c>
      <c r="BE134" s="17">
        <f t="shared" si="97"/>
        <v>-3.7511631401014878E-3</v>
      </c>
      <c r="BF134" s="17">
        <f t="shared" si="97"/>
        <v>-3.4440519571276029E-3</v>
      </c>
      <c r="BG134" s="17">
        <f>BG127/BB127-1</f>
        <v>-4.0763612718023312E-3</v>
      </c>
      <c r="BH134" s="17">
        <f t="shared" ref="BH134:BK134" si="98">BH127/BC127-1</f>
        <v>-3.6978275991965681E-3</v>
      </c>
      <c r="BI134" s="17">
        <f t="shared" si="98"/>
        <v>-3.2784305555388915E-3</v>
      </c>
      <c r="BJ134" s="17">
        <f t="shared" si="98"/>
        <v>-2.8279967275727236E-3</v>
      </c>
      <c r="BK134" s="17">
        <f t="shared" si="98"/>
        <v>-2.6306910896198854E-3</v>
      </c>
      <c r="BL134" s="17">
        <f>BL127/BG127-1</f>
        <v>-3.0991547459638946E-3</v>
      </c>
    </row>
    <row r="136" spans="1:64">
      <c r="A136" s="1" t="s">
        <v>1868</v>
      </c>
      <c r="Y136" s="417">
        <v>51.97</v>
      </c>
      <c r="Z136" s="417">
        <v>54.58</v>
      </c>
      <c r="AA136" s="417">
        <v>54.76</v>
      </c>
      <c r="AB136" s="417">
        <v>55.46</v>
      </c>
      <c r="AC136" s="375">
        <f>AB136</f>
        <v>55.46</v>
      </c>
      <c r="AD136" s="417">
        <v>54.87</v>
      </c>
      <c r="AE136" s="417">
        <v>55.33</v>
      </c>
      <c r="AF136" s="417">
        <v>54.84</v>
      </c>
      <c r="AG136" s="417">
        <v>54.98</v>
      </c>
      <c r="AH136" s="375">
        <f>AG136</f>
        <v>54.98</v>
      </c>
      <c r="AI136" s="417">
        <v>54.39</v>
      </c>
      <c r="AJ136" s="417">
        <v>54.23</v>
      </c>
      <c r="AK136" s="417">
        <v>55.98</v>
      </c>
    </row>
    <row r="137" spans="1:64">
      <c r="A137" s="1" t="s">
        <v>28</v>
      </c>
      <c r="AD137" s="16">
        <f t="shared" ref="AD137:AK137" si="99">AD136/Y136-1</f>
        <v>5.5801423898402813E-2</v>
      </c>
      <c r="AE137" s="16">
        <f t="shared" si="99"/>
        <v>1.3741297178453626E-2</v>
      </c>
      <c r="AF137" s="16">
        <f t="shared" si="99"/>
        <v>1.4609203798394699E-3</v>
      </c>
      <c r="AG137" s="16">
        <f t="shared" si="99"/>
        <v>-8.6548864046159801E-3</v>
      </c>
      <c r="AH137" s="16">
        <f t="shared" si="99"/>
        <v>-8.6548864046159801E-3</v>
      </c>
      <c r="AI137" s="16">
        <f t="shared" si="99"/>
        <v>-8.7479496992891592E-3</v>
      </c>
      <c r="AJ137" s="16">
        <f t="shared" si="99"/>
        <v>-1.9880715705765439E-2</v>
      </c>
      <c r="AK137" s="16">
        <f t="shared" si="99"/>
        <v>2.0787746170678245E-2</v>
      </c>
    </row>
    <row r="139" spans="1:64">
      <c r="A139" s="1" t="s">
        <v>1869</v>
      </c>
      <c r="Y139" s="417">
        <v>3.03</v>
      </c>
      <c r="Z139" s="417">
        <v>3.42</v>
      </c>
      <c r="AA139" s="417">
        <v>3.08</v>
      </c>
      <c r="AB139" s="417">
        <v>3.15</v>
      </c>
      <c r="AC139" s="375">
        <f>AB139</f>
        <v>3.15</v>
      </c>
      <c r="AD139" s="417">
        <v>3.2</v>
      </c>
      <c r="AE139" s="417">
        <v>3.55</v>
      </c>
      <c r="AF139" s="417">
        <v>3.1</v>
      </c>
      <c r="AG139" s="417">
        <v>3.01</v>
      </c>
      <c r="AH139" s="375">
        <f>AG139</f>
        <v>3.01</v>
      </c>
      <c r="AI139" s="417">
        <v>3.29</v>
      </c>
      <c r="AJ139" s="417">
        <v>3.38</v>
      </c>
      <c r="AK139" s="417">
        <v>2.96</v>
      </c>
    </row>
    <row r="140" spans="1:64">
      <c r="A140" s="1" t="s">
        <v>28</v>
      </c>
      <c r="AD140" s="16">
        <f t="shared" ref="AD140:AK140" si="100">AD139/Y139-1</f>
        <v>5.6105610561056229E-2</v>
      </c>
      <c r="AE140" s="16">
        <f t="shared" si="100"/>
        <v>3.8011695906432719E-2</v>
      </c>
      <c r="AF140" s="16">
        <f t="shared" si="100"/>
        <v>6.4935064935065512E-3</v>
      </c>
      <c r="AG140" s="16">
        <f t="shared" si="100"/>
        <v>-4.4444444444444509E-2</v>
      </c>
      <c r="AH140" s="16">
        <f t="shared" si="100"/>
        <v>-4.4444444444444509E-2</v>
      </c>
      <c r="AI140" s="16">
        <f t="shared" si="100"/>
        <v>2.8124999999999956E-2</v>
      </c>
      <c r="AJ140" s="16">
        <f t="shared" si="100"/>
        <v>-4.7887323943661908E-2</v>
      </c>
      <c r="AK140" s="16">
        <f t="shared" si="100"/>
        <v>-4.5161290322580649E-2</v>
      </c>
    </row>
    <row r="142" spans="1:64">
      <c r="A142" s="1" t="s">
        <v>1870</v>
      </c>
      <c r="Y142" s="417">
        <v>23.53</v>
      </c>
      <c r="Z142" s="417">
        <v>23.46</v>
      </c>
      <c r="AA142" s="417">
        <v>23.52</v>
      </c>
      <c r="AB142" s="417">
        <v>23.63</v>
      </c>
      <c r="AC142" s="375">
        <f>AB142</f>
        <v>23.63</v>
      </c>
      <c r="AD142" s="417">
        <v>23.74</v>
      </c>
      <c r="AE142" s="417">
        <v>23.82</v>
      </c>
      <c r="AF142" s="417">
        <v>23.84</v>
      </c>
      <c r="AG142" s="417">
        <v>23.77</v>
      </c>
      <c r="AH142" s="375">
        <f>AG142</f>
        <v>23.77</v>
      </c>
      <c r="AI142" s="417">
        <v>23.64</v>
      </c>
      <c r="AJ142" s="417">
        <v>23.48</v>
      </c>
      <c r="AK142" s="417">
        <v>23.46</v>
      </c>
    </row>
    <row r="143" spans="1:64">
      <c r="A143" s="1" t="s">
        <v>28</v>
      </c>
      <c r="AD143" s="16">
        <f t="shared" ref="AD143:AK143" si="101">AD142/Y142-1</f>
        <v>8.9247768805778005E-3</v>
      </c>
      <c r="AE143" s="16">
        <f t="shared" si="101"/>
        <v>1.5345268542199531E-2</v>
      </c>
      <c r="AF143" s="16">
        <f t="shared" si="101"/>
        <v>1.3605442176870763E-2</v>
      </c>
      <c r="AG143" s="16">
        <f t="shared" si="101"/>
        <v>5.9246720270842435E-3</v>
      </c>
      <c r="AH143" s="16">
        <f t="shared" si="101"/>
        <v>5.9246720270842435E-3</v>
      </c>
      <c r="AI143" s="16">
        <f t="shared" si="101"/>
        <v>-4.2122999157538921E-3</v>
      </c>
      <c r="AJ143" s="16">
        <f t="shared" si="101"/>
        <v>-1.4273719563392073E-2</v>
      </c>
      <c r="AK143" s="16">
        <f t="shared" si="101"/>
        <v>-1.5939597315436149E-2</v>
      </c>
    </row>
  </sheetData>
  <pageMargins left="0.7" right="0.7" top="0.75" bottom="0.75" header="0.3" footer="0.3"/>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F0C9E-7765-4634-BDB4-67628D290BEB}">
  <sheetPr codeName="Sheet27"/>
  <dimension ref="A1:BL87"/>
  <sheetViews>
    <sheetView zoomScale="90" zoomScaleNormal="90" workbookViewId="0">
      <pane xSplit="8" ySplit="2" topLeftCell="AC3" activePane="bottomRight" state="frozen"/>
      <selection pane="topRight" activeCell="I1" sqref="I1"/>
      <selection pane="bottomLeft" activeCell="A3" sqref="A3"/>
      <selection pane="bottomRight"/>
    </sheetView>
  </sheetViews>
  <sheetFormatPr defaultColWidth="9.140625" defaultRowHeight="12"/>
  <cols>
    <col min="1" max="7" width="9.140625" style="1"/>
    <col min="8" max="8" width="9.140625" style="1" customWidth="1"/>
    <col min="9" max="16384" width="9.140625" style="1"/>
  </cols>
  <sheetData>
    <row r="1" spans="1:64" s="2" customFormat="1">
      <c r="A1" s="2" t="s">
        <v>85</v>
      </c>
      <c r="N1" s="18" t="s">
        <v>153</v>
      </c>
      <c r="S1" s="18" t="s">
        <v>149</v>
      </c>
      <c r="X1" s="18" t="s">
        <v>145</v>
      </c>
      <c r="AC1" s="18" t="s">
        <v>141</v>
      </c>
      <c r="AH1" s="18" t="s">
        <v>79</v>
      </c>
      <c r="AM1" s="18" t="s">
        <v>90</v>
      </c>
      <c r="AR1" s="18" t="s">
        <v>699</v>
      </c>
      <c r="AW1" s="18" t="s">
        <v>1180</v>
      </c>
      <c r="BB1" s="18" t="s">
        <v>1198</v>
      </c>
      <c r="BG1" s="18" t="s">
        <v>1209</v>
      </c>
      <c r="BL1" s="18" t="s">
        <v>1210</v>
      </c>
    </row>
    <row r="2" spans="1:64" s="2" customFormat="1">
      <c r="A2" s="2" t="s">
        <v>1390</v>
      </c>
      <c r="I2" s="6" t="s">
        <v>198</v>
      </c>
      <c r="J2" s="6" t="s">
        <v>163</v>
      </c>
      <c r="K2" s="6" t="s">
        <v>164</v>
      </c>
      <c r="L2" s="6" t="s">
        <v>165</v>
      </c>
      <c r="M2" s="6" t="s">
        <v>166</v>
      </c>
      <c r="N2" s="6" t="s">
        <v>167</v>
      </c>
      <c r="O2" s="6" t="s">
        <v>154</v>
      </c>
      <c r="P2" s="6" t="s">
        <v>155</v>
      </c>
      <c r="Q2" s="6" t="s">
        <v>156</v>
      </c>
      <c r="R2" s="6" t="s">
        <v>157</v>
      </c>
      <c r="S2" s="6" t="s">
        <v>158</v>
      </c>
      <c r="T2" s="6" t="s">
        <v>133</v>
      </c>
      <c r="U2" s="6" t="s">
        <v>134</v>
      </c>
      <c r="V2" s="6" t="s">
        <v>135</v>
      </c>
      <c r="W2" s="6" t="s">
        <v>136</v>
      </c>
      <c r="X2" s="6" t="s">
        <v>137</v>
      </c>
      <c r="Y2" s="6" t="s">
        <v>74</v>
      </c>
      <c r="Z2" s="6" t="s">
        <v>75</v>
      </c>
      <c r="AA2" s="6" t="s">
        <v>76</v>
      </c>
      <c r="AB2" s="6" t="s">
        <v>77</v>
      </c>
      <c r="AC2" s="6" t="s">
        <v>78</v>
      </c>
      <c r="AD2" s="6" t="s">
        <v>10</v>
      </c>
      <c r="AE2" s="6" t="s">
        <v>11</v>
      </c>
      <c r="AF2" s="6" t="s">
        <v>12</v>
      </c>
      <c r="AG2" s="6" t="s">
        <v>13</v>
      </c>
      <c r="AH2" s="6" t="s">
        <v>14</v>
      </c>
      <c r="AI2" s="6" t="s">
        <v>91</v>
      </c>
      <c r="AJ2" s="6" t="s">
        <v>92</v>
      </c>
      <c r="AK2" s="6" t="s">
        <v>93</v>
      </c>
      <c r="AL2" s="6" t="s">
        <v>1450</v>
      </c>
      <c r="AM2" s="6" t="s">
        <v>1451</v>
      </c>
      <c r="AN2" s="6" t="s">
        <v>1452</v>
      </c>
      <c r="AO2" s="6" t="s">
        <v>1453</v>
      </c>
      <c r="AP2" s="6" t="s">
        <v>1454</v>
      </c>
      <c r="AQ2" s="6" t="s">
        <v>1455</v>
      </c>
      <c r="AR2" s="6" t="s">
        <v>1456</v>
      </c>
      <c r="AS2" s="6" t="s">
        <v>1457</v>
      </c>
      <c r="AT2" s="6" t="s">
        <v>1458</v>
      </c>
      <c r="AU2" s="6" t="s">
        <v>1459</v>
      </c>
      <c r="AV2" s="6" t="s">
        <v>1460</v>
      </c>
      <c r="AW2" s="6" t="s">
        <v>1461</v>
      </c>
      <c r="AX2" s="6" t="s">
        <v>1462</v>
      </c>
      <c r="AY2" s="6" t="s">
        <v>1463</v>
      </c>
      <c r="AZ2" s="6" t="s">
        <v>1464</v>
      </c>
      <c r="BA2" s="6" t="s">
        <v>1465</v>
      </c>
      <c r="BB2" s="6" t="s">
        <v>1466</v>
      </c>
      <c r="BC2" s="6" t="s">
        <v>1467</v>
      </c>
      <c r="BD2" s="6" t="s">
        <v>1468</v>
      </c>
      <c r="BE2" s="6" t="s">
        <v>1469</v>
      </c>
      <c r="BF2" s="6" t="s">
        <v>1470</v>
      </c>
      <c r="BG2" s="6" t="s">
        <v>1471</v>
      </c>
      <c r="BH2" s="6" t="s">
        <v>1472</v>
      </c>
      <c r="BI2" s="6" t="s">
        <v>1473</v>
      </c>
      <c r="BJ2" s="6" t="s">
        <v>1474</v>
      </c>
      <c r="BK2" s="6" t="s">
        <v>1475</v>
      </c>
      <c r="BL2" s="6" t="s">
        <v>1476</v>
      </c>
    </row>
    <row r="4" spans="1:64" s="2" customFormat="1">
      <c r="A4" s="4" t="s">
        <v>1653</v>
      </c>
      <c r="T4" s="68"/>
      <c r="X4" s="68" t="s">
        <v>1744</v>
      </c>
      <c r="AF4" s="68" t="s">
        <v>1871</v>
      </c>
    </row>
    <row r="5" spans="1:64">
      <c r="Y5" s="328" t="s">
        <v>1872</v>
      </c>
      <c r="Z5" s="46"/>
      <c r="AA5" s="46"/>
      <c r="AB5" s="46"/>
      <c r="AC5" s="46"/>
      <c r="AG5" s="425" t="s">
        <v>1873</v>
      </c>
      <c r="AH5" s="44"/>
      <c r="AI5" s="44"/>
      <c r="AJ5" s="44"/>
      <c r="AK5" s="44"/>
    </row>
    <row r="6" spans="1:64">
      <c r="A6" s="5" t="s">
        <v>1748</v>
      </c>
      <c r="Y6" s="426">
        <f>Y15</f>
        <v>15.957339474772914</v>
      </c>
      <c r="Z6" s="426">
        <f>Z15</f>
        <v>16.234949568306504</v>
      </c>
      <c r="AA6" s="426">
        <f>AA15</f>
        <v>19.544141804119075</v>
      </c>
      <c r="AB6" s="426">
        <f>AB15</f>
        <v>20.530717215576939</v>
      </c>
      <c r="AC6" s="426">
        <f>SUM(Y6:AB6)</f>
        <v>72.267148062775433</v>
      </c>
      <c r="AD6" s="426">
        <f>AD15</f>
        <v>22.673203806097668</v>
      </c>
      <c r="AE6" s="426">
        <f>AE15</f>
        <v>24.887337709326374</v>
      </c>
      <c r="AF6" s="417">
        <f>AF15</f>
        <v>30.499999999999996</v>
      </c>
      <c r="AG6" s="417">
        <f>AG15+AG19</f>
        <v>35.674799999999998</v>
      </c>
      <c r="AH6" s="375">
        <f>SUM(AD6:AG6)</f>
        <v>113.73534151542404</v>
      </c>
      <c r="AI6" s="375">
        <f t="shared" ref="AI6:AJ6" si="0">AI15+AI19</f>
        <v>38.4</v>
      </c>
      <c r="AJ6" s="375">
        <f t="shared" si="0"/>
        <v>38.4</v>
      </c>
      <c r="AK6" s="375">
        <f>AK15+AK19</f>
        <v>41.150099999999995</v>
      </c>
      <c r="AL6" s="375">
        <f>AL15+AL19</f>
        <v>40.246232401295082</v>
      </c>
      <c r="AM6" s="375">
        <f>SUM(AI6:AL6)</f>
        <v>158.19633240129508</v>
      </c>
      <c r="AN6" s="375">
        <f>AN15+AN19</f>
        <v>43.184505576041005</v>
      </c>
      <c r="AO6" s="375">
        <f t="shared" ref="AO6:BK6" si="1">AO15+AO19</f>
        <v>43.02070557604101</v>
      </c>
      <c r="AP6" s="375">
        <f t="shared" si="1"/>
        <v>45.939385549044417</v>
      </c>
      <c r="AQ6" s="375">
        <f t="shared" si="1"/>
        <v>44.743159425404997</v>
      </c>
      <c r="AR6" s="375">
        <f>SUM(AN6:AQ6)</f>
        <v>176.88775612653143</v>
      </c>
      <c r="AS6" s="375">
        <f t="shared" si="1"/>
        <v>47.736313885012116</v>
      </c>
      <c r="AT6" s="375">
        <f t="shared" si="1"/>
        <v>47.826560519657122</v>
      </c>
      <c r="AU6" s="375">
        <f t="shared" si="1"/>
        <v>50.491033867986914</v>
      </c>
      <c r="AV6" s="375">
        <f t="shared" si="1"/>
        <v>49.450376947902136</v>
      </c>
      <c r="AW6" s="375">
        <f>SUM(AS6:AV6)</f>
        <v>195.50428522055827</v>
      </c>
      <c r="AX6" s="375">
        <f t="shared" si="1"/>
        <v>51.874788017112351</v>
      </c>
      <c r="AY6" s="375">
        <f t="shared" si="1"/>
        <v>51.972857661662729</v>
      </c>
      <c r="AZ6" s="375">
        <f t="shared" si="1"/>
        <v>54.868304161831801</v>
      </c>
      <c r="BA6" s="375">
        <f t="shared" si="1"/>
        <v>53.737463193977987</v>
      </c>
      <c r="BB6" s="375">
        <f>SUM(AX6:BA6)</f>
        <v>212.45341303458486</v>
      </c>
      <c r="BC6" s="375">
        <f t="shared" si="1"/>
        <v>55.230346337635815</v>
      </c>
      <c r="BD6" s="375">
        <f t="shared" si="1"/>
        <v>55.334426702336053</v>
      </c>
      <c r="BE6" s="375">
        <f t="shared" si="1"/>
        <v>58.408806786688906</v>
      </c>
      <c r="BF6" s="375">
        <f t="shared" si="1"/>
        <v>57.218211579859414</v>
      </c>
      <c r="BG6" s="375">
        <f>SUM(BC6:BF6)</f>
        <v>226.19179140652017</v>
      </c>
      <c r="BH6" s="375">
        <f t="shared" si="1"/>
        <v>58.779157988896067</v>
      </c>
      <c r="BI6" s="375">
        <f t="shared" si="1"/>
        <v>58.889604971649767</v>
      </c>
      <c r="BJ6" s="375">
        <f t="shared" si="1"/>
        <v>62.153468042668237</v>
      </c>
      <c r="BK6" s="375">
        <f t="shared" si="1"/>
        <v>60.899285882813601</v>
      </c>
      <c r="BL6" s="375">
        <f>SUM(BH6:BK6)</f>
        <v>240.7215168860277</v>
      </c>
    </row>
    <row r="7" spans="1:64">
      <c r="A7" s="5" t="s">
        <v>1749</v>
      </c>
      <c r="Y7" s="426">
        <f>Y8</f>
        <v>15.3</v>
      </c>
      <c r="Z7" s="426">
        <f>Z8</f>
        <v>15.7</v>
      </c>
      <c r="AA7" s="426">
        <f>AA8</f>
        <v>18.399999999999999</v>
      </c>
      <c r="AB7" s="426">
        <f>AB8</f>
        <v>18.100000000000001</v>
      </c>
      <c r="AC7" s="426">
        <f>SUM(Y7:AB7)</f>
        <v>67.5</v>
      </c>
      <c r="AD7" s="427">
        <f>AD19+AD22</f>
        <v>18.5</v>
      </c>
      <c r="AE7" s="427">
        <f>AE19+AE22</f>
        <v>19.3</v>
      </c>
      <c r="AF7" s="428">
        <f>AF8-AF6</f>
        <v>19.3</v>
      </c>
      <c r="AG7" s="428">
        <f>AG8-AG6</f>
        <v>19.1252</v>
      </c>
      <c r="AH7" s="103">
        <f>SUM(AD7:AG7)</f>
        <v>76.225200000000001</v>
      </c>
      <c r="AI7" s="398">
        <f>AI8-AI6</f>
        <v>14.200000000000003</v>
      </c>
      <c r="AJ7" s="429">
        <f>AJ8-AJ6</f>
        <v>18.5</v>
      </c>
      <c r="AK7" s="429">
        <f>AK8-AK6</f>
        <v>20.249900000000004</v>
      </c>
      <c r="AL7" s="103">
        <f>AL22</f>
        <v>21.993979999999997</v>
      </c>
      <c r="AM7" s="375">
        <f>SUM(AI7:AL7)</f>
        <v>74.943880000000007</v>
      </c>
      <c r="AN7" s="103">
        <f t="shared" ref="AN7:AQ7" si="2">AN22</f>
        <v>15.975000000000003</v>
      </c>
      <c r="AO7" s="103">
        <f t="shared" si="2"/>
        <v>20.8125</v>
      </c>
      <c r="AP7" s="103">
        <f t="shared" si="2"/>
        <v>22.781137500000003</v>
      </c>
      <c r="AQ7" s="103">
        <f t="shared" si="2"/>
        <v>24.743227499999996</v>
      </c>
      <c r="AR7" s="375">
        <f>SUM(AN7:AQ7)</f>
        <v>84.311865000000012</v>
      </c>
      <c r="AS7" s="103">
        <f t="shared" ref="AS7:AV7" si="3">AS22</f>
        <v>17.572500000000005</v>
      </c>
      <c r="AT7" s="103">
        <f t="shared" si="3"/>
        <v>22.893750000000001</v>
      </c>
      <c r="AU7" s="103">
        <f t="shared" si="3"/>
        <v>25.059251250000006</v>
      </c>
      <c r="AV7" s="103">
        <f t="shared" si="3"/>
        <v>27.217550249999999</v>
      </c>
      <c r="AW7" s="375">
        <f>SUM(AS7:AV7)</f>
        <v>92.743051500000007</v>
      </c>
      <c r="AX7" s="103">
        <f t="shared" ref="AX7:BA7" si="4">AX22</f>
        <v>18.978300000000008</v>
      </c>
      <c r="AY7" s="103">
        <f t="shared" si="4"/>
        <v>24.725250000000003</v>
      </c>
      <c r="AZ7" s="103">
        <f t="shared" si="4"/>
        <v>27.063991350000009</v>
      </c>
      <c r="BA7" s="103">
        <f t="shared" si="4"/>
        <v>29.394954269999999</v>
      </c>
      <c r="BB7" s="375">
        <f>SUM(AX7:BA7)</f>
        <v>100.16249562000002</v>
      </c>
      <c r="BC7" s="103">
        <f t="shared" ref="BC7:BF7" si="5">BC22</f>
        <v>20.116998000000009</v>
      </c>
      <c r="BD7" s="103">
        <f t="shared" si="5"/>
        <v>26.208765000000003</v>
      </c>
      <c r="BE7" s="103">
        <f t="shared" si="5"/>
        <v>28.68783083100001</v>
      </c>
      <c r="BF7" s="103">
        <f t="shared" si="5"/>
        <v>31.1586515262</v>
      </c>
      <c r="BG7" s="375">
        <f>SUM(BC7:BF7)</f>
        <v>106.17224535720003</v>
      </c>
      <c r="BH7" s="103">
        <f t="shared" ref="BH7:BK7" si="6">BH22</f>
        <v>20.921677920000011</v>
      </c>
      <c r="BI7" s="103">
        <f t="shared" si="6"/>
        <v>27.257115600000006</v>
      </c>
      <c r="BJ7" s="103">
        <f t="shared" si="6"/>
        <v>29.835344064240012</v>
      </c>
      <c r="BK7" s="103">
        <f t="shared" si="6"/>
        <v>32.404997587247998</v>
      </c>
      <c r="BL7" s="375">
        <f>SUM(BH7:BK7)</f>
        <v>110.41913517148802</v>
      </c>
    </row>
    <row r="8" spans="1:64">
      <c r="A8" s="9" t="s">
        <v>1874</v>
      </c>
      <c r="B8" s="9"/>
      <c r="C8" s="9"/>
      <c r="D8" s="9"/>
      <c r="E8" s="9"/>
      <c r="F8" s="9"/>
      <c r="G8" s="9"/>
      <c r="H8" s="9"/>
      <c r="I8" s="9"/>
      <c r="J8" s="9"/>
      <c r="K8" s="9"/>
      <c r="L8" s="9"/>
      <c r="M8" s="9"/>
      <c r="N8" s="9"/>
      <c r="O8" s="9"/>
      <c r="P8" s="9"/>
      <c r="Q8" s="9"/>
      <c r="R8" s="9"/>
      <c r="S8" s="9"/>
      <c r="T8" s="9"/>
      <c r="U8" s="9"/>
      <c r="V8" s="9"/>
      <c r="W8" s="9"/>
      <c r="X8" s="9"/>
      <c r="Y8" s="395">
        <v>15.3</v>
      </c>
      <c r="Z8" s="395">
        <v>15.7</v>
      </c>
      <c r="AA8" s="395">
        <v>18.399999999999999</v>
      </c>
      <c r="AB8" s="395">
        <v>18.100000000000001</v>
      </c>
      <c r="AC8" s="378">
        <f>SUM(Y8:AB8)</f>
        <v>67.5</v>
      </c>
      <c r="AD8" s="395">
        <v>18.5</v>
      </c>
      <c r="AE8" s="395">
        <v>19.3</v>
      </c>
      <c r="AF8" s="395">
        <v>49.8</v>
      </c>
      <c r="AG8" s="395">
        <v>54.8</v>
      </c>
      <c r="AH8" s="378">
        <f>SUM(AD8:AG8)</f>
        <v>142.39999999999998</v>
      </c>
      <c r="AI8" s="395">
        <v>52.6</v>
      </c>
      <c r="AJ8" s="395">
        <v>56.9</v>
      </c>
      <c r="AK8" s="395">
        <v>61.4</v>
      </c>
      <c r="AL8" s="378">
        <f>SUM(AL6:AL7)</f>
        <v>62.240212401295082</v>
      </c>
      <c r="AM8" s="378">
        <f>SUM(AI8:AL8)</f>
        <v>233.14021240129509</v>
      </c>
      <c r="AN8" s="378">
        <f t="shared" ref="AN8:AQ8" si="7">SUM(AN6:AN7)</f>
        <v>59.159505576041006</v>
      </c>
      <c r="AO8" s="378">
        <f t="shared" si="7"/>
        <v>63.83320557604101</v>
      </c>
      <c r="AP8" s="378">
        <f t="shared" si="7"/>
        <v>68.720523049044417</v>
      </c>
      <c r="AQ8" s="378">
        <f t="shared" si="7"/>
        <v>69.486386925404986</v>
      </c>
      <c r="AR8" s="378">
        <f>SUM(AN8:AQ8)</f>
        <v>261.19962112653144</v>
      </c>
      <c r="AS8" s="378">
        <f t="shared" ref="AS8:AV8" si="8">SUM(AS6:AS7)</f>
        <v>65.308813885012114</v>
      </c>
      <c r="AT8" s="378">
        <f t="shared" si="8"/>
        <v>70.720310519657119</v>
      </c>
      <c r="AU8" s="378">
        <f t="shared" si="8"/>
        <v>75.550285117986917</v>
      </c>
      <c r="AV8" s="378">
        <f t="shared" si="8"/>
        <v>76.667927197902131</v>
      </c>
      <c r="AW8" s="378">
        <f>SUM(AS8:AV8)</f>
        <v>288.24733672055828</v>
      </c>
      <c r="AX8" s="378">
        <f t="shared" ref="AX8:BA8" si="9">SUM(AX6:AX7)</f>
        <v>70.853088017112356</v>
      </c>
      <c r="AY8" s="378">
        <f t="shared" si="9"/>
        <v>76.698107661662732</v>
      </c>
      <c r="AZ8" s="378">
        <f t="shared" si="9"/>
        <v>81.932295511831811</v>
      </c>
      <c r="BA8" s="378">
        <f t="shared" si="9"/>
        <v>83.132417463977987</v>
      </c>
      <c r="BB8" s="378">
        <f>SUM(AX8:BA8)</f>
        <v>312.61590865458493</v>
      </c>
      <c r="BC8" s="378">
        <f t="shared" ref="BC8:BF8" si="10">SUM(BC6:BC7)</f>
        <v>75.347344337635832</v>
      </c>
      <c r="BD8" s="378">
        <f t="shared" si="10"/>
        <v>81.54319170233606</v>
      </c>
      <c r="BE8" s="378">
        <f t="shared" si="10"/>
        <v>87.096637617688913</v>
      </c>
      <c r="BF8" s="378">
        <f t="shared" si="10"/>
        <v>88.376863106059417</v>
      </c>
      <c r="BG8" s="378">
        <f>SUM(BC8:BF8)</f>
        <v>332.36403676372021</v>
      </c>
      <c r="BH8" s="378">
        <f t="shared" ref="BH8:BK8" si="11">SUM(BH6:BH7)</f>
        <v>79.700835908896082</v>
      </c>
      <c r="BI8" s="378">
        <f t="shared" si="11"/>
        <v>86.14672057164978</v>
      </c>
      <c r="BJ8" s="378">
        <f t="shared" si="11"/>
        <v>91.988812106908256</v>
      </c>
      <c r="BK8" s="378">
        <f t="shared" si="11"/>
        <v>93.304283470061591</v>
      </c>
      <c r="BL8" s="378">
        <f>SUM(BH8:BK8)</f>
        <v>351.14065205751569</v>
      </c>
    </row>
    <row r="9" spans="1:64">
      <c r="AI9" s="16"/>
      <c r="AJ9" s="430" t="s">
        <v>1875</v>
      </c>
      <c r="AK9" s="46"/>
      <c r="AL9" s="46"/>
      <c r="AM9" s="46"/>
      <c r="AN9" s="46"/>
    </row>
    <row r="10" spans="1:64">
      <c r="A10" s="3" t="s">
        <v>1663</v>
      </c>
      <c r="AI10" s="16"/>
      <c r="AJ10" s="16"/>
    </row>
    <row r="11" spans="1:64">
      <c r="A11" s="5" t="s">
        <v>1748</v>
      </c>
      <c r="AD11" s="16">
        <f t="shared" ref="AD11:AS13" si="12">AD6/Y6-1</f>
        <v>0.42086366226286764</v>
      </c>
      <c r="AE11" s="16">
        <f t="shared" si="12"/>
        <v>0.53294826107195692</v>
      </c>
      <c r="AF11" s="77">
        <f t="shared" si="12"/>
        <v>0.56056992963343588</v>
      </c>
      <c r="AG11" s="77">
        <f t="shared" si="12"/>
        <v>0.73763047951062499</v>
      </c>
      <c r="AH11" s="16">
        <f t="shared" si="12"/>
        <v>0.57381804269661973</v>
      </c>
      <c r="AI11" s="77">
        <f t="shared" si="12"/>
        <v>0.69362919896096953</v>
      </c>
      <c r="AJ11" s="77">
        <f t="shared" si="12"/>
        <v>0.5429533061549543</v>
      </c>
      <c r="AK11" s="77">
        <f t="shared" si="12"/>
        <v>0.34918360655737701</v>
      </c>
      <c r="AL11" s="16">
        <f t="shared" si="12"/>
        <v>0.12814178078910277</v>
      </c>
      <c r="AM11" s="16">
        <f t="shared" si="12"/>
        <v>0.39091622967379513</v>
      </c>
      <c r="AN11" s="16">
        <f t="shared" si="12"/>
        <v>0.12459649937606798</v>
      </c>
      <c r="AO11" s="16">
        <f t="shared" si="12"/>
        <v>0.12033087437606804</v>
      </c>
      <c r="AP11" s="16">
        <f t="shared" si="12"/>
        <v>0.11638575724103761</v>
      </c>
      <c r="AQ11" s="16">
        <f t="shared" si="12"/>
        <v>0.11173535398968704</v>
      </c>
      <c r="AR11" s="16">
        <f>AR6/AM6-1</f>
        <v>0.11815333163237951</v>
      </c>
      <c r="AS11" s="16">
        <f>AS6/AN6-1</f>
        <v>0.10540373794383506</v>
      </c>
      <c r="AT11" s="16">
        <f t="shared" ref="AT11:AX13" si="13">AT6/AO6-1</f>
        <v>0.11171027716227355</v>
      </c>
      <c r="AU11" s="16">
        <f t="shared" si="13"/>
        <v>9.9079434009477607E-2</v>
      </c>
      <c r="AV11" s="16">
        <f t="shared" si="13"/>
        <v>0.10520530027265806</v>
      </c>
      <c r="AW11" s="16">
        <f>AW6/AR6-1</f>
        <v>0.10524487110747249</v>
      </c>
      <c r="AX11" s="16">
        <f>AX6/AS6-1</f>
        <v>8.6694463717266634E-2</v>
      </c>
      <c r="AY11" s="16">
        <f t="shared" ref="AY11:BC13" si="14">AY6/AT6-1</f>
        <v>8.6694445449436941E-2</v>
      </c>
      <c r="AZ11" s="16">
        <f t="shared" si="14"/>
        <v>8.6694011956452099E-2</v>
      </c>
      <c r="BA11" s="16">
        <f t="shared" si="14"/>
        <v>8.6694713178677274E-2</v>
      </c>
      <c r="BB11" s="16">
        <f>BB6/AW6-1</f>
        <v>8.6694405674563102E-2</v>
      </c>
      <c r="BC11" s="16">
        <f>BC6/AX6-1</f>
        <v>6.4685725933309568E-2</v>
      </c>
      <c r="BD11" s="16">
        <f t="shared" ref="BD11:BH13" si="15">BD6/AY6-1</f>
        <v>6.4679319012180381E-2</v>
      </c>
      <c r="BE11" s="16">
        <f t="shared" si="15"/>
        <v>6.4527283628350141E-2</v>
      </c>
      <c r="BF11" s="16">
        <f t="shared" si="15"/>
        <v>6.4773217398016225E-2</v>
      </c>
      <c r="BG11" s="16">
        <f>BG6/BB6-1</f>
        <v>6.4665369107056225E-2</v>
      </c>
      <c r="BH11" s="16">
        <f>BH6/BC6-1</f>
        <v>6.4254741941423887E-2</v>
      </c>
      <c r="BI11" s="16">
        <f t="shared" ref="BI11:BL13" si="16">BI6/BD6-1</f>
        <v>6.4248940147845213E-2</v>
      </c>
      <c r="BJ11" s="16">
        <f t="shared" si="16"/>
        <v>6.4111243868668177E-2</v>
      </c>
      <c r="BK11" s="16">
        <f t="shared" si="16"/>
        <v>6.4333962934449929E-2</v>
      </c>
      <c r="BL11" s="16">
        <f>BL6/BG6-1</f>
        <v>6.4236307556334804E-2</v>
      </c>
    </row>
    <row r="12" spans="1:64">
      <c r="A12" s="5" t="s">
        <v>1876</v>
      </c>
      <c r="AD12" s="16">
        <f>AD7/Y7-1</f>
        <v>0.20915032679738554</v>
      </c>
      <c r="AE12" s="16">
        <f t="shared" si="12"/>
        <v>0.22929936305732501</v>
      </c>
      <c r="AF12" s="77">
        <f t="shared" si="12"/>
        <v>4.8913043478260976E-2</v>
      </c>
      <c r="AG12" s="77">
        <f t="shared" si="12"/>
        <v>5.6640883977900458E-2</v>
      </c>
      <c r="AH12" s="16">
        <f t="shared" si="12"/>
        <v>0.12926222222222217</v>
      </c>
      <c r="AI12" s="77">
        <f>AI7/AD7-1</f>
        <v>-0.23243243243243228</v>
      </c>
      <c r="AJ12" s="77">
        <f t="shared" si="12"/>
        <v>-4.1450777202072575E-2</v>
      </c>
      <c r="AK12" s="77">
        <f t="shared" si="12"/>
        <v>4.9217616580311097E-2</v>
      </c>
      <c r="AL12" s="16">
        <f t="shared" si="12"/>
        <v>0.14999999999999991</v>
      </c>
      <c r="AM12" s="16">
        <f t="shared" si="12"/>
        <v>-1.6809663995633883E-2</v>
      </c>
      <c r="AN12" s="16">
        <f t="shared" si="12"/>
        <v>0.125</v>
      </c>
      <c r="AO12" s="16">
        <f t="shared" si="12"/>
        <v>0.125</v>
      </c>
      <c r="AP12" s="16">
        <f t="shared" si="12"/>
        <v>0.125</v>
      </c>
      <c r="AQ12" s="16">
        <f t="shared" si="12"/>
        <v>0.125</v>
      </c>
      <c r="AR12" s="16">
        <f t="shared" si="12"/>
        <v>0.125</v>
      </c>
      <c r="AS12" s="16">
        <f t="shared" si="12"/>
        <v>0.10000000000000009</v>
      </c>
      <c r="AT12" s="16">
        <f t="shared" si="13"/>
        <v>0.10000000000000009</v>
      </c>
      <c r="AU12" s="16">
        <f t="shared" si="13"/>
        <v>0.10000000000000009</v>
      </c>
      <c r="AV12" s="16">
        <f t="shared" si="13"/>
        <v>0.10000000000000009</v>
      </c>
      <c r="AW12" s="16">
        <f t="shared" si="13"/>
        <v>9.9999999999999867E-2</v>
      </c>
      <c r="AX12" s="16">
        <f t="shared" si="13"/>
        <v>8.0000000000000071E-2</v>
      </c>
      <c r="AY12" s="16">
        <f t="shared" si="14"/>
        <v>8.0000000000000071E-2</v>
      </c>
      <c r="AZ12" s="16">
        <f t="shared" si="14"/>
        <v>8.0000000000000071E-2</v>
      </c>
      <c r="BA12" s="16">
        <f t="shared" si="14"/>
        <v>8.0000000000000071E-2</v>
      </c>
      <c r="BB12" s="16">
        <f t="shared" si="14"/>
        <v>8.0000000000000071E-2</v>
      </c>
      <c r="BC12" s="16">
        <f t="shared" si="14"/>
        <v>6.0000000000000053E-2</v>
      </c>
      <c r="BD12" s="16">
        <f t="shared" si="15"/>
        <v>6.0000000000000053E-2</v>
      </c>
      <c r="BE12" s="16">
        <f t="shared" si="15"/>
        <v>6.0000000000000053E-2</v>
      </c>
      <c r="BF12" s="16">
        <f t="shared" si="15"/>
        <v>6.0000000000000053E-2</v>
      </c>
      <c r="BG12" s="16">
        <f t="shared" si="15"/>
        <v>6.0000000000000053E-2</v>
      </c>
      <c r="BH12" s="16">
        <f t="shared" si="15"/>
        <v>4.0000000000000036E-2</v>
      </c>
      <c r="BI12" s="16">
        <f t="shared" si="16"/>
        <v>4.0000000000000036E-2</v>
      </c>
      <c r="BJ12" s="16">
        <f t="shared" si="16"/>
        <v>4.0000000000000036E-2</v>
      </c>
      <c r="BK12" s="16">
        <f t="shared" si="16"/>
        <v>4.0000000000000036E-2</v>
      </c>
      <c r="BL12" s="16">
        <f t="shared" si="16"/>
        <v>4.0000000000000036E-2</v>
      </c>
    </row>
    <row r="13" spans="1:64">
      <c r="A13" s="9" t="s">
        <v>1874</v>
      </c>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17">
        <f>AD8/Y8-1</f>
        <v>0.20915032679738554</v>
      </c>
      <c r="AE13" s="17">
        <f t="shared" si="12"/>
        <v>0.22929936305732501</v>
      </c>
      <c r="AF13" s="17">
        <f t="shared" si="12"/>
        <v>1.706521739130435</v>
      </c>
      <c r="AG13" s="17">
        <f t="shared" si="12"/>
        <v>2.027624309392265</v>
      </c>
      <c r="AH13" s="17">
        <f t="shared" si="12"/>
        <v>1.1096296296296293</v>
      </c>
      <c r="AI13" s="17">
        <f>AI8/AD8-1</f>
        <v>1.8432432432432435</v>
      </c>
      <c r="AJ13" s="17">
        <f t="shared" si="12"/>
        <v>1.9481865284974091</v>
      </c>
      <c r="AK13" s="17">
        <f t="shared" si="12"/>
        <v>0.23293172690763053</v>
      </c>
      <c r="AL13" s="17">
        <f t="shared" si="12"/>
        <v>0.13577029929370599</v>
      </c>
      <c r="AM13" s="17">
        <f t="shared" si="12"/>
        <v>0.63722059270572418</v>
      </c>
      <c r="AN13" s="17">
        <f t="shared" si="12"/>
        <v>0.12470542920230043</v>
      </c>
      <c r="AO13" s="17">
        <f t="shared" si="12"/>
        <v>0.12184895564219711</v>
      </c>
      <c r="AP13" s="17">
        <f t="shared" si="12"/>
        <v>0.11922675975642383</v>
      </c>
      <c r="AQ13" s="17">
        <f t="shared" si="12"/>
        <v>0.11642271522773795</v>
      </c>
      <c r="AR13" s="17">
        <f t="shared" si="12"/>
        <v>0.12035422133415064</v>
      </c>
      <c r="AS13" s="17">
        <f t="shared" si="12"/>
        <v>0.10394455209006193</v>
      </c>
      <c r="AT13" s="17">
        <f t="shared" si="13"/>
        <v>0.10789219938848094</v>
      </c>
      <c r="AU13" s="17">
        <f t="shared" si="13"/>
        <v>9.9384605441204865E-2</v>
      </c>
      <c r="AV13" s="17">
        <f t="shared" si="13"/>
        <v>0.10335175838407995</v>
      </c>
      <c r="AW13" s="17">
        <f t="shared" si="13"/>
        <v>0.10355189443756618</v>
      </c>
      <c r="AX13" s="17">
        <f t="shared" si="13"/>
        <v>8.489319897712333E-2</v>
      </c>
      <c r="AY13" s="17">
        <f t="shared" si="14"/>
        <v>8.4527303374100082E-2</v>
      </c>
      <c r="AZ13" s="17">
        <f t="shared" si="14"/>
        <v>8.4473677152615778E-2</v>
      </c>
      <c r="BA13" s="17">
        <f t="shared" si="14"/>
        <v>8.4318051920056813E-2</v>
      </c>
      <c r="BB13" s="17">
        <f t="shared" si="14"/>
        <v>8.4540492936629574E-2</v>
      </c>
      <c r="BC13" s="17">
        <f t="shared" si="14"/>
        <v>6.3430634377404038E-2</v>
      </c>
      <c r="BD13" s="17">
        <f t="shared" si="15"/>
        <v>6.317084199842804E-2</v>
      </c>
      <c r="BE13" s="17">
        <f t="shared" si="15"/>
        <v>6.3031824918311052E-2</v>
      </c>
      <c r="BF13" s="17">
        <f t="shared" si="15"/>
        <v>6.3085446111968313E-2</v>
      </c>
      <c r="BG13" s="17">
        <f t="shared" si="15"/>
        <v>6.3170579495221313E-2</v>
      </c>
      <c r="BH13" s="17">
        <f t="shared" si="15"/>
        <v>5.7778964999111393E-2</v>
      </c>
      <c r="BI13" s="17">
        <f t="shared" si="16"/>
        <v>5.6455097883810756E-2</v>
      </c>
      <c r="BJ13" s="17">
        <f t="shared" si="16"/>
        <v>5.6169498881157409E-2</v>
      </c>
      <c r="BK13" s="17">
        <f t="shared" si="16"/>
        <v>5.575464200498792E-2</v>
      </c>
      <c r="BL13" s="17">
        <f t="shared" si="16"/>
        <v>5.6494124564818282E-2</v>
      </c>
    </row>
    <row r="14" spans="1:64">
      <c r="AF14" s="144" t="s">
        <v>1877</v>
      </c>
      <c r="AG14" s="46"/>
      <c r="AH14" s="46"/>
      <c r="AI14" s="46"/>
      <c r="AJ14" s="46"/>
      <c r="AK14" s="46"/>
      <c r="AL14" s="46"/>
      <c r="AM14" s="46"/>
      <c r="AN14" s="46"/>
      <c r="AO14" s="46"/>
      <c r="AP14" s="46"/>
    </row>
    <row r="15" spans="1:64">
      <c r="A15" s="1" t="s">
        <v>1878</v>
      </c>
      <c r="M15" s="379">
        <f>M16*M38</f>
        <v>0</v>
      </c>
      <c r="N15" s="379">
        <f>SUM(J15:M15)</f>
        <v>0</v>
      </c>
      <c r="O15" s="379">
        <f>O16*O38</f>
        <v>2.5486951600390371</v>
      </c>
      <c r="P15" s="379">
        <f>P16*P38</f>
        <v>4.4873006091862555</v>
      </c>
      <c r="Q15" s="379">
        <f>Q16*Q38</f>
        <v>6.8833683596904551</v>
      </c>
      <c r="R15" s="379">
        <f>R16*R38</f>
        <v>8.3891459793788794</v>
      </c>
      <c r="S15" s="379">
        <f>SUM(O15:R15)</f>
        <v>22.308510108294627</v>
      </c>
      <c r="T15" s="379">
        <f>T16*T38</f>
        <v>9.3660621099019732</v>
      </c>
      <c r="U15" s="379">
        <f>U16*U38</f>
        <v>9.2654345444734254</v>
      </c>
      <c r="V15" s="379">
        <f>V16*V38</f>
        <v>10.418741987588815</v>
      </c>
      <c r="W15" s="379">
        <f>W16*W38</f>
        <v>12.887712594657796</v>
      </c>
      <c r="X15" s="379">
        <f>SUM(T15:W15)</f>
        <v>41.937951236622013</v>
      </c>
      <c r="Y15" s="379">
        <f>Y16*Y38</f>
        <v>15.957339474772914</v>
      </c>
      <c r="Z15" s="379">
        <f>Z16*Z38</f>
        <v>16.234949568306504</v>
      </c>
      <c r="AA15" s="379">
        <f>AA16*AA38</f>
        <v>19.544141804119075</v>
      </c>
      <c r="AB15" s="379">
        <f>AB16*AB38</f>
        <v>20.530717215576939</v>
      </c>
      <c r="AC15" s="379">
        <f>SUM(Y15:AB15)</f>
        <v>72.267148062775433</v>
      </c>
      <c r="AD15" s="379">
        <f>AD16*AD38</f>
        <v>22.673203806097668</v>
      </c>
      <c r="AE15" s="379">
        <f>AE16*AE38</f>
        <v>24.887337709326374</v>
      </c>
      <c r="AF15" s="431">
        <f>AF8-AE8</f>
        <v>30.499999999999996</v>
      </c>
      <c r="AG15" s="379">
        <f>AG16*AG38</f>
        <v>29.602800000000002</v>
      </c>
      <c r="AH15" s="103">
        <f>SUM(AD15:AG15)</f>
        <v>107.66334151542404</v>
      </c>
      <c r="AI15" s="379">
        <f>AI16*AI38</f>
        <v>32.4</v>
      </c>
      <c r="AJ15" s="379">
        <f>AJ16*AJ38</f>
        <v>32.4</v>
      </c>
      <c r="AK15" s="379">
        <f>AK16*AK38</f>
        <v>35.1</v>
      </c>
      <c r="AL15" s="379">
        <f>AL16*AL38</f>
        <v>33.870632401295083</v>
      </c>
      <c r="AM15" s="103">
        <f>SUM(AI15:AL15)</f>
        <v>133.77063240129507</v>
      </c>
      <c r="AN15" s="379">
        <f t="shared" ref="AN15:AQ15" si="17">AN16*AN38</f>
        <v>36.664005576041006</v>
      </c>
      <c r="AO15" s="379">
        <f t="shared" si="17"/>
        <v>36.500205576041012</v>
      </c>
      <c r="AP15" s="379">
        <f t="shared" si="17"/>
        <v>39.364439374044423</v>
      </c>
      <c r="AQ15" s="379">
        <f t="shared" si="17"/>
        <v>37.814476125405001</v>
      </c>
      <c r="AR15" s="103">
        <f>SUM(AN15:AQ15)</f>
        <v>150.34312665153143</v>
      </c>
      <c r="AS15" s="379">
        <f t="shared" ref="AS15:AV15" si="18">AS16*AS38</f>
        <v>40.650160510012114</v>
      </c>
      <c r="AT15" s="379">
        <f t="shared" si="18"/>
        <v>40.740407144657119</v>
      </c>
      <c r="AU15" s="379">
        <f t="shared" si="18"/>
        <v>43.345711112305665</v>
      </c>
      <c r="AV15" s="379">
        <f t="shared" si="18"/>
        <v>41.920630371627141</v>
      </c>
      <c r="AW15" s="103">
        <f>SUM(AS15:AV15)</f>
        <v>166.65690913860203</v>
      </c>
      <c r="AX15" s="379">
        <f t="shared" ref="AX15:BA15" si="19">AX16*AX38</f>
        <v>44.173910836831098</v>
      </c>
      <c r="AY15" s="379">
        <f t="shared" si="19"/>
        <v>44.271980481381476</v>
      </c>
      <c r="AZ15" s="379">
        <f t="shared" si="19"/>
        <v>47.103124657095208</v>
      </c>
      <c r="BA15" s="379">
        <f t="shared" si="19"/>
        <v>45.55451110221113</v>
      </c>
      <c r="BB15" s="103">
        <f>SUM(AX15:BA15)</f>
        <v>181.10352707751892</v>
      </c>
      <c r="BC15" s="379">
        <f t="shared" ref="BC15:BF15" si="20">BC16*BC38</f>
        <v>46.881344081669141</v>
      </c>
      <c r="BD15" s="379">
        <f t="shared" si="20"/>
        <v>46.985424446369379</v>
      </c>
      <c r="BE15" s="379">
        <f t="shared" si="20"/>
        <v>49.990090361884917</v>
      </c>
      <c r="BF15" s="379">
        <f t="shared" si="20"/>
        <v>48.346561782669234</v>
      </c>
      <c r="BG15" s="103">
        <f>SUM(BC15:BF15)</f>
        <v>192.20342067259267</v>
      </c>
      <c r="BH15" s="379">
        <f t="shared" ref="BH15:BK15" si="21">BH16*BH38</f>
        <v>49.749085873898913</v>
      </c>
      <c r="BI15" s="379">
        <f t="shared" si="21"/>
        <v>49.859532856652613</v>
      </c>
      <c r="BJ15" s="379">
        <f t="shared" si="21"/>
        <v>53.047994825510862</v>
      </c>
      <c r="BK15" s="379">
        <f t="shared" si="21"/>
        <v>51.30393125341763</v>
      </c>
      <c r="BL15" s="103">
        <f>SUM(BH15:BK15)</f>
        <v>203.96054480948001</v>
      </c>
    </row>
    <row r="16" spans="1:64">
      <c r="A16" s="1" t="s">
        <v>1879</v>
      </c>
      <c r="M16" s="371">
        <f>N16-0.01%</f>
        <v>-1E-4</v>
      </c>
      <c r="O16" s="371">
        <f>P16-0.01%</f>
        <v>1.2315262163863663E-2</v>
      </c>
      <c r="P16" s="371">
        <f>Q16-0.01%</f>
        <v>1.2415262163863662E-2</v>
      </c>
      <c r="Q16" s="371">
        <f>R16-0.01%</f>
        <v>1.2515262163863661E-2</v>
      </c>
      <c r="R16" s="371">
        <f>T16-0.01%</f>
        <v>1.2615262163863661E-2</v>
      </c>
      <c r="S16" s="268">
        <f>S15/S38</f>
        <v>1.2509074895886209E-2</v>
      </c>
      <c r="T16" s="371">
        <f>U16-0.01%</f>
        <v>1.271526216386366E-2</v>
      </c>
      <c r="U16" s="371">
        <f>V16-0.01%</f>
        <v>1.281526216386366E-2</v>
      </c>
      <c r="V16" s="371">
        <f>W16-0.01%</f>
        <v>1.2915262163863659E-2</v>
      </c>
      <c r="W16" s="371">
        <f>Y16-0.01%</f>
        <v>1.3015262163863658E-2</v>
      </c>
      <c r="X16" s="268">
        <f>X15/X38</f>
        <v>1.2878228538806083E-2</v>
      </c>
      <c r="Y16" s="371">
        <f>Z16-0.01%</f>
        <v>1.3115262163863658E-2</v>
      </c>
      <c r="Z16" s="371">
        <f>AA16-0.01%</f>
        <v>1.3215262163863657E-2</v>
      </c>
      <c r="AA16" s="371">
        <f>AB16-0.01%</f>
        <v>1.3315262163863657E-2</v>
      </c>
      <c r="AB16" s="371">
        <f>AD16-0.01%</f>
        <v>1.3415262163863656E-2</v>
      </c>
      <c r="AC16" s="268">
        <f>AC15/AC38</f>
        <v>1.3276104652014446E-2</v>
      </c>
      <c r="AD16" s="371">
        <f>AE16-0.01%</f>
        <v>1.3515262163863655E-2</v>
      </c>
      <c r="AE16" s="371">
        <f>AF16-0.01%</f>
        <v>1.3615262163863655E-2</v>
      </c>
      <c r="AF16" s="432">
        <f>AF15/AF38</f>
        <v>1.3715262163863654E-2</v>
      </c>
      <c r="AG16" s="371">
        <v>1.35E-2</v>
      </c>
      <c r="AH16" s="268">
        <f>AH15/AH38</f>
        <v>1.3590252775832675E-2</v>
      </c>
      <c r="AI16" s="371">
        <v>1.35E-2</v>
      </c>
      <c r="AJ16" s="371">
        <v>1.35E-2</v>
      </c>
      <c r="AK16" s="371">
        <v>1.35E-2</v>
      </c>
      <c r="AL16" s="371">
        <v>1.35E-2</v>
      </c>
      <c r="AM16" s="268">
        <f>AM15/AM38</f>
        <v>1.35E-2</v>
      </c>
      <c r="AN16" s="371">
        <f>AI16+0.015%</f>
        <v>1.3650000000000001E-2</v>
      </c>
      <c r="AO16" s="371">
        <f t="shared" ref="AO16:AQ16" si="22">AJ16+0.015%</f>
        <v>1.3650000000000001E-2</v>
      </c>
      <c r="AP16" s="371">
        <f t="shared" si="22"/>
        <v>1.3650000000000001E-2</v>
      </c>
      <c r="AQ16" s="371">
        <f t="shared" si="22"/>
        <v>1.3650000000000001E-2</v>
      </c>
      <c r="AR16" s="268">
        <f>AR15/AR38</f>
        <v>1.3649999999999999E-2</v>
      </c>
      <c r="AS16" s="371">
        <f>AN16+0.015%</f>
        <v>1.3800000000000002E-2</v>
      </c>
      <c r="AT16" s="371">
        <f t="shared" ref="AT16:AV16" si="23">AO16+0.015%</f>
        <v>1.3800000000000002E-2</v>
      </c>
      <c r="AU16" s="371">
        <f t="shared" si="23"/>
        <v>1.3800000000000002E-2</v>
      </c>
      <c r="AV16" s="371">
        <f t="shared" si="23"/>
        <v>1.3800000000000002E-2</v>
      </c>
      <c r="AW16" s="268">
        <f>AW15/AW38</f>
        <v>1.3800000000000002E-2</v>
      </c>
      <c r="AX16" s="371">
        <f>AS16+0.015%</f>
        <v>1.3950000000000002E-2</v>
      </c>
      <c r="AY16" s="371">
        <f t="shared" ref="AY16:BA16" si="24">AT16+0.015%</f>
        <v>1.3950000000000002E-2</v>
      </c>
      <c r="AZ16" s="371">
        <f t="shared" si="24"/>
        <v>1.3950000000000002E-2</v>
      </c>
      <c r="BA16" s="371">
        <f t="shared" si="24"/>
        <v>1.3950000000000002E-2</v>
      </c>
      <c r="BB16" s="268">
        <f>BB15/BB38</f>
        <v>1.3950000000000004E-2</v>
      </c>
      <c r="BC16" s="371">
        <f>AX16+0.015%</f>
        <v>1.4100000000000003E-2</v>
      </c>
      <c r="BD16" s="371">
        <f t="shared" ref="BD16:BF16" si="25">AY16+0.015%</f>
        <v>1.4100000000000003E-2</v>
      </c>
      <c r="BE16" s="371">
        <f t="shared" si="25"/>
        <v>1.4100000000000003E-2</v>
      </c>
      <c r="BF16" s="371">
        <f t="shared" si="25"/>
        <v>1.4100000000000003E-2</v>
      </c>
      <c r="BG16" s="268">
        <f>BG15/BG38</f>
        <v>1.4100000000000003E-2</v>
      </c>
      <c r="BH16" s="371">
        <f>BC16+0.015%</f>
        <v>1.4250000000000004E-2</v>
      </c>
      <c r="BI16" s="371">
        <f t="shared" ref="BI16:BK16" si="26">BD16+0.015%</f>
        <v>1.4250000000000004E-2</v>
      </c>
      <c r="BJ16" s="371">
        <f t="shared" si="26"/>
        <v>1.4250000000000004E-2</v>
      </c>
      <c r="BK16" s="371">
        <f t="shared" si="26"/>
        <v>1.4250000000000004E-2</v>
      </c>
      <c r="BL16" s="268">
        <f>BL15/BL38</f>
        <v>1.4250000000000006E-2</v>
      </c>
    </row>
    <row r="17" spans="1:64">
      <c r="A17" s="1" t="s">
        <v>28</v>
      </c>
      <c r="T17" s="16">
        <f t="shared" ref="T17:BL17" si="27">T15/O15-1</f>
        <v>2.6748459591214973</v>
      </c>
      <c r="U17" s="16">
        <f t="shared" si="27"/>
        <v>1.0648125346239405</v>
      </c>
      <c r="V17" s="16">
        <f t="shared" si="27"/>
        <v>0.51361098856800758</v>
      </c>
      <c r="W17" s="16">
        <f t="shared" si="27"/>
        <v>0.53623654020763434</v>
      </c>
      <c r="X17" s="16">
        <f t="shared" si="27"/>
        <v>0.87990820691467309</v>
      </c>
      <c r="Y17" s="16">
        <f t="shared" si="27"/>
        <v>0.70374051415936267</v>
      </c>
      <c r="Z17" s="16">
        <f t="shared" si="27"/>
        <v>0.75220595325345019</v>
      </c>
      <c r="AA17" s="16">
        <f t="shared" si="27"/>
        <v>0.87586388331727272</v>
      </c>
      <c r="AB17" s="16">
        <f t="shared" si="27"/>
        <v>0.59304586169056228</v>
      </c>
      <c r="AC17" s="16">
        <f t="shared" si="27"/>
        <v>0.72319214295973211</v>
      </c>
      <c r="AD17" s="16">
        <f t="shared" si="27"/>
        <v>0.42086366226286764</v>
      </c>
      <c r="AE17" s="16">
        <f t="shared" si="27"/>
        <v>0.53294826107195692</v>
      </c>
      <c r="AF17" s="16">
        <f t="shared" si="27"/>
        <v>0.56056992963343588</v>
      </c>
      <c r="AG17" s="16">
        <f t="shared" si="27"/>
        <v>0.4418785125314546</v>
      </c>
      <c r="AH17" s="16">
        <f t="shared" si="27"/>
        <v>0.48979646217533612</v>
      </c>
      <c r="AI17" s="16">
        <f t="shared" si="27"/>
        <v>0.42899963662331797</v>
      </c>
      <c r="AJ17" s="16">
        <f t="shared" si="27"/>
        <v>0.30186685206824282</v>
      </c>
      <c r="AK17" s="16">
        <f t="shared" si="27"/>
        <v>0.15081967213114766</v>
      </c>
      <c r="AL17" s="16">
        <f t="shared" si="27"/>
        <v>0.14416988937854125</v>
      </c>
      <c r="AM17" s="16">
        <f t="shared" si="27"/>
        <v>0.24249006689181063</v>
      </c>
      <c r="AN17" s="16">
        <f t="shared" si="27"/>
        <v>0.13160511037163602</v>
      </c>
      <c r="AO17" s="16">
        <f t="shared" si="27"/>
        <v>0.12654955481608066</v>
      </c>
      <c r="AP17" s="16">
        <f t="shared" si="27"/>
        <v>0.12149399926052484</v>
      </c>
      <c r="AQ17" s="16">
        <f t="shared" si="27"/>
        <v>0.1164384437049697</v>
      </c>
      <c r="AR17" s="16">
        <f t="shared" si="27"/>
        <v>0.12388738808172017</v>
      </c>
      <c r="AS17" s="16">
        <f t="shared" si="27"/>
        <v>0.10872120684423958</v>
      </c>
      <c r="AT17" s="16">
        <f t="shared" si="27"/>
        <v>0.11616925169866454</v>
      </c>
      <c r="AU17" s="16">
        <f t="shared" si="27"/>
        <v>0.10113878926182185</v>
      </c>
      <c r="AV17" s="16">
        <f t="shared" si="27"/>
        <v>0.10858683411624703</v>
      </c>
      <c r="AW17" s="16">
        <f t="shared" si="27"/>
        <v>0.10851033133615107</v>
      </c>
      <c r="AX17" s="16">
        <f t="shared" si="27"/>
        <v>8.668478260869561E-2</v>
      </c>
      <c r="AY17" s="16">
        <f t="shared" si="27"/>
        <v>8.6684782608695832E-2</v>
      </c>
      <c r="AZ17" s="16">
        <f t="shared" si="27"/>
        <v>8.668478260869561E-2</v>
      </c>
      <c r="BA17" s="16">
        <f t="shared" si="27"/>
        <v>8.6684782608695832E-2</v>
      </c>
      <c r="BB17" s="16">
        <f t="shared" si="27"/>
        <v>8.6684782608695832E-2</v>
      </c>
      <c r="BC17" s="16">
        <f t="shared" si="27"/>
        <v>6.1290322580645373E-2</v>
      </c>
      <c r="BD17" s="16">
        <f t="shared" si="27"/>
        <v>6.1290322580645373E-2</v>
      </c>
      <c r="BE17" s="16">
        <f t="shared" si="27"/>
        <v>6.1290322580645151E-2</v>
      </c>
      <c r="BF17" s="16">
        <f t="shared" si="27"/>
        <v>6.1290322580645151E-2</v>
      </c>
      <c r="BG17" s="16">
        <f t="shared" si="27"/>
        <v>6.1290322580645151E-2</v>
      </c>
      <c r="BH17" s="16">
        <f t="shared" si="27"/>
        <v>6.1170212765957688E-2</v>
      </c>
      <c r="BI17" s="16">
        <f t="shared" si="27"/>
        <v>6.1170212765957466E-2</v>
      </c>
      <c r="BJ17" s="16">
        <f t="shared" si="27"/>
        <v>6.1170212765957466E-2</v>
      </c>
      <c r="BK17" s="16">
        <f t="shared" si="27"/>
        <v>6.1170212765957688E-2</v>
      </c>
      <c r="BL17" s="16">
        <f t="shared" si="27"/>
        <v>6.1170212765957466E-2</v>
      </c>
    </row>
    <row r="19" spans="1:64">
      <c r="A19" s="1" t="s">
        <v>1880</v>
      </c>
      <c r="AD19" s="103">
        <f>1000*AD20*AD32</f>
        <v>5.224000000000002</v>
      </c>
      <c r="AE19" s="103">
        <f>1000*AE20*AE32</f>
        <v>5.7209999999999983</v>
      </c>
      <c r="AF19" s="103">
        <f>1000*AF20*AF32</f>
        <v>5.761999999999996</v>
      </c>
      <c r="AG19" s="103">
        <f>1000*AG20*AG32</f>
        <v>6.0719999999999974</v>
      </c>
      <c r="AH19" s="103">
        <f>SUM(AD19:AG19)</f>
        <v>22.778999999999996</v>
      </c>
      <c r="AI19" s="103">
        <f>1000*AI20*AI32</f>
        <v>6.0000000000000009</v>
      </c>
      <c r="AJ19" s="103">
        <f>1000*AJ20*AJ32</f>
        <v>6.0000000000000009</v>
      </c>
      <c r="AK19" s="103">
        <f>1000*AK20*AK32</f>
        <v>6.050099999999996</v>
      </c>
      <c r="AL19" s="103">
        <f>1000*AL20*AL32</f>
        <v>6.3755999999999977</v>
      </c>
      <c r="AM19" s="103">
        <f>SUM(AI19:AL19)</f>
        <v>24.425699999999996</v>
      </c>
      <c r="AN19" s="103">
        <f>1000*AN20*AN32</f>
        <v>6.5205000000000011</v>
      </c>
      <c r="AO19" s="103">
        <f>1000*AO20*AO32</f>
        <v>6.5205000000000011</v>
      </c>
      <c r="AP19" s="103">
        <f>1000*AP20*AP32</f>
        <v>6.5749461749999956</v>
      </c>
      <c r="AQ19" s="103">
        <f>1000*AQ20*AQ32</f>
        <v>6.9286832999999985</v>
      </c>
      <c r="AR19" s="103">
        <f>SUM(AN19:AQ19)</f>
        <v>26.544629474999997</v>
      </c>
      <c r="AS19" s="103">
        <f>1000*AS20*AS32</f>
        <v>7.0861533750000012</v>
      </c>
      <c r="AT19" s="103">
        <f>1000*AT20*AT32</f>
        <v>7.0861533750000012</v>
      </c>
      <c r="AU19" s="103">
        <f>1000*AU20*AU32</f>
        <v>7.1453227556812458</v>
      </c>
      <c r="AV19" s="103">
        <f>1000*AV20*AV32</f>
        <v>7.5297465762749978</v>
      </c>
      <c r="AW19" s="103">
        <f>SUM(AS19:AV19)</f>
        <v>28.847376081956245</v>
      </c>
      <c r="AX19" s="103">
        <f>1000*AX20*AX32</f>
        <v>7.7008771802812532</v>
      </c>
      <c r="AY19" s="103">
        <f>1000*AY20*AY32</f>
        <v>7.7008771802812532</v>
      </c>
      <c r="AZ19" s="103">
        <f>1000*AZ20*AZ32</f>
        <v>7.7651795047365946</v>
      </c>
      <c r="BA19" s="103">
        <f>1000*BA20*BA32</f>
        <v>8.1829520917668539</v>
      </c>
      <c r="BB19" s="103">
        <f>SUM(AX19:BA19)</f>
        <v>31.349885957065954</v>
      </c>
      <c r="BC19" s="103">
        <f>1000*BC20*BC32</f>
        <v>8.3490022559666741</v>
      </c>
      <c r="BD19" s="103">
        <f>1000*BD20*BD32</f>
        <v>8.3490022559666741</v>
      </c>
      <c r="BE19" s="103">
        <f>1000*BE20*BE32</f>
        <v>8.4187164248039874</v>
      </c>
      <c r="BF19" s="103">
        <f>1000*BF20*BF32</f>
        <v>8.871649797190182</v>
      </c>
      <c r="BG19" s="103">
        <f>SUM(BC19:BF19)</f>
        <v>33.988370733927518</v>
      </c>
      <c r="BH19" s="103">
        <f>1000*BH20*BH32</f>
        <v>9.0300721149971537</v>
      </c>
      <c r="BI19" s="103">
        <f>1000*BI20*BI32</f>
        <v>9.0300721149971537</v>
      </c>
      <c r="BJ19" s="103">
        <f>1000*BJ20*BJ32</f>
        <v>9.1054732171573729</v>
      </c>
      <c r="BK19" s="103">
        <f>1000*BK20*BK32</f>
        <v>9.5953546293959704</v>
      </c>
      <c r="BL19" s="103">
        <f>SUM(BH19:BK19)</f>
        <v>36.760972076547652</v>
      </c>
    </row>
    <row r="20" spans="1:64">
      <c r="A20" s="1" t="s">
        <v>1881</v>
      </c>
      <c r="AD20" s="303">
        <v>0.01</v>
      </c>
      <c r="AE20" s="303">
        <v>0.01</v>
      </c>
      <c r="AF20" s="303">
        <v>0.01</v>
      </c>
      <c r="AG20" s="303">
        <v>0.01</v>
      </c>
      <c r="AI20" s="303">
        <v>0.01</v>
      </c>
      <c r="AJ20" s="303">
        <v>0.01</v>
      </c>
      <c r="AK20" s="303">
        <v>0.01</v>
      </c>
      <c r="AL20" s="303">
        <v>0.01</v>
      </c>
      <c r="AN20" s="303">
        <f>AI20*1.035</f>
        <v>1.035E-2</v>
      </c>
      <c r="AO20" s="303">
        <f>AJ20*1.035</f>
        <v>1.035E-2</v>
      </c>
      <c r="AP20" s="303">
        <f>AK20*1.035</f>
        <v>1.035E-2</v>
      </c>
      <c r="AQ20" s="303">
        <f>AL20*1.035</f>
        <v>1.035E-2</v>
      </c>
      <c r="AS20" s="303">
        <f>AN20*1.035</f>
        <v>1.071225E-2</v>
      </c>
      <c r="AT20" s="303">
        <f>AO20*1.035</f>
        <v>1.071225E-2</v>
      </c>
      <c r="AU20" s="303">
        <f>AP20*1.035</f>
        <v>1.071225E-2</v>
      </c>
      <c r="AV20" s="303">
        <f>AQ20*1.035</f>
        <v>1.071225E-2</v>
      </c>
      <c r="AX20" s="303">
        <f>AS20*1.035</f>
        <v>1.1087178749999999E-2</v>
      </c>
      <c r="AY20" s="303">
        <f>AT20*1.035</f>
        <v>1.1087178749999999E-2</v>
      </c>
      <c r="AZ20" s="303">
        <f>AU20*1.035</f>
        <v>1.1087178749999999E-2</v>
      </c>
      <c r="BA20" s="303">
        <f>AV20*1.035</f>
        <v>1.1087178749999999E-2</v>
      </c>
      <c r="BC20" s="303">
        <f>AX20*1.035</f>
        <v>1.1475230006249998E-2</v>
      </c>
      <c r="BD20" s="303">
        <f>AY20*1.035</f>
        <v>1.1475230006249998E-2</v>
      </c>
      <c r="BE20" s="303">
        <f>AZ20*1.035</f>
        <v>1.1475230006249998E-2</v>
      </c>
      <c r="BF20" s="303">
        <f>BA20*1.035</f>
        <v>1.1475230006249998E-2</v>
      </c>
      <c r="BH20" s="303">
        <f>BC20*1.035</f>
        <v>1.1876863056468748E-2</v>
      </c>
      <c r="BI20" s="303">
        <f>BD20*1.035</f>
        <v>1.1876863056468748E-2</v>
      </c>
      <c r="BJ20" s="303">
        <f>BE20*1.035</f>
        <v>1.1876863056468748E-2</v>
      </c>
      <c r="BK20" s="303">
        <f>BF20*1.035</f>
        <v>1.1876863056468748E-2</v>
      </c>
    </row>
    <row r="21" spans="1:64">
      <c r="AJ21" s="430" t="s">
        <v>1875</v>
      </c>
      <c r="AK21" s="46"/>
      <c r="AL21" s="46"/>
      <c r="AM21" s="46"/>
      <c r="AN21" s="46"/>
    </row>
    <row r="22" spans="1:64">
      <c r="A22" s="1" t="s">
        <v>1882</v>
      </c>
      <c r="AD22" s="103">
        <f>AD8-AD19</f>
        <v>13.275999999999998</v>
      </c>
      <c r="AE22" s="103">
        <f>AE8-AE19</f>
        <v>13.579000000000002</v>
      </c>
      <c r="AF22" s="309">
        <f>AF7-AF19</f>
        <v>13.538000000000004</v>
      </c>
      <c r="AG22" s="309">
        <f>AG7</f>
        <v>19.1252</v>
      </c>
      <c r="AH22" s="103">
        <f>SUM(AD22:AG22)</f>
        <v>59.5182</v>
      </c>
      <c r="AI22" s="103">
        <f>AI7</f>
        <v>14.200000000000003</v>
      </c>
      <c r="AJ22" s="429">
        <f>AJ7</f>
        <v>18.5</v>
      </c>
      <c r="AK22" s="429">
        <f>AK7</f>
        <v>20.249900000000004</v>
      </c>
      <c r="AL22" s="103">
        <f>AG22*(1+AL23)</f>
        <v>21.993979999999997</v>
      </c>
      <c r="AM22" s="103">
        <f>SUM(AI22:AL22)</f>
        <v>74.943880000000007</v>
      </c>
      <c r="AN22" s="103">
        <f t="shared" ref="AN22:AQ22" si="28">AI22*(1+AN23)</f>
        <v>15.975000000000003</v>
      </c>
      <c r="AO22" s="103">
        <f t="shared" si="28"/>
        <v>20.8125</v>
      </c>
      <c r="AP22" s="103">
        <f t="shared" si="28"/>
        <v>22.781137500000003</v>
      </c>
      <c r="AQ22" s="103">
        <f t="shared" si="28"/>
        <v>24.743227499999996</v>
      </c>
      <c r="AR22" s="103">
        <f>SUM(AN22:AQ22)</f>
        <v>84.311865000000012</v>
      </c>
      <c r="AS22" s="103">
        <f t="shared" ref="AS22:AV22" si="29">AN22*(1+AS23)</f>
        <v>17.572500000000005</v>
      </c>
      <c r="AT22" s="103">
        <f t="shared" si="29"/>
        <v>22.893750000000001</v>
      </c>
      <c r="AU22" s="103">
        <f t="shared" si="29"/>
        <v>25.059251250000006</v>
      </c>
      <c r="AV22" s="103">
        <f t="shared" si="29"/>
        <v>27.217550249999999</v>
      </c>
      <c r="AW22" s="103">
        <f>SUM(AS22:AV22)</f>
        <v>92.743051500000007</v>
      </c>
      <c r="AX22" s="103">
        <f t="shared" ref="AX22:BA22" si="30">AS22*(1+AX23)</f>
        <v>18.978300000000008</v>
      </c>
      <c r="AY22" s="103">
        <f t="shared" si="30"/>
        <v>24.725250000000003</v>
      </c>
      <c r="AZ22" s="103">
        <f t="shared" si="30"/>
        <v>27.063991350000009</v>
      </c>
      <c r="BA22" s="103">
        <f t="shared" si="30"/>
        <v>29.394954269999999</v>
      </c>
      <c r="BB22" s="103">
        <f>SUM(AX22:BA22)</f>
        <v>100.16249562000002</v>
      </c>
      <c r="BC22" s="103">
        <f t="shared" ref="BC22:BF22" si="31">AX22*(1+BC23)</f>
        <v>20.116998000000009</v>
      </c>
      <c r="BD22" s="103">
        <f t="shared" si="31"/>
        <v>26.208765000000003</v>
      </c>
      <c r="BE22" s="103">
        <f t="shared" si="31"/>
        <v>28.68783083100001</v>
      </c>
      <c r="BF22" s="103">
        <f t="shared" si="31"/>
        <v>31.1586515262</v>
      </c>
      <c r="BG22" s="103">
        <f>SUM(BC22:BF22)</f>
        <v>106.17224535720003</v>
      </c>
      <c r="BH22" s="103">
        <f t="shared" ref="BH22:BK22" si="32">BC22*(1+BH23)</f>
        <v>20.921677920000011</v>
      </c>
      <c r="BI22" s="103">
        <f t="shared" si="32"/>
        <v>27.257115600000006</v>
      </c>
      <c r="BJ22" s="103">
        <f t="shared" si="32"/>
        <v>29.835344064240012</v>
      </c>
      <c r="BK22" s="103">
        <f t="shared" si="32"/>
        <v>32.404997587247998</v>
      </c>
      <c r="BL22" s="103">
        <f>SUM(BH22:BK22)</f>
        <v>110.41913517148802</v>
      </c>
    </row>
    <row r="23" spans="1:64">
      <c r="A23" s="1" t="s">
        <v>28</v>
      </c>
      <c r="AI23" s="16">
        <f>AI22/AD22-1</f>
        <v>6.9599276890630168E-2</v>
      </c>
      <c r="AJ23" s="433">
        <f>AJ22/AE22-1</f>
        <v>0.36239782016348743</v>
      </c>
      <c r="AK23" s="433">
        <f>AK22/AF22-1</f>
        <v>0.49578224257645132</v>
      </c>
      <c r="AL23" s="303">
        <v>0.15</v>
      </c>
      <c r="AN23" s="303">
        <v>0.125</v>
      </c>
      <c r="AO23" s="303">
        <v>0.125</v>
      </c>
      <c r="AP23" s="303">
        <v>0.125</v>
      </c>
      <c r="AQ23" s="303">
        <v>0.125</v>
      </c>
      <c r="AS23" s="303">
        <v>0.1</v>
      </c>
      <c r="AT23" s="303">
        <v>0.1</v>
      </c>
      <c r="AU23" s="303">
        <v>0.1</v>
      </c>
      <c r="AV23" s="303">
        <v>0.1</v>
      </c>
      <c r="AX23" s="303">
        <f>AS23-2%</f>
        <v>0.08</v>
      </c>
      <c r="AY23" s="303">
        <f t="shared" ref="AY23:BA23" si="33">AT23-2%</f>
        <v>0.08</v>
      </c>
      <c r="AZ23" s="303">
        <f t="shared" si="33"/>
        <v>0.08</v>
      </c>
      <c r="BA23" s="303">
        <f t="shared" si="33"/>
        <v>0.08</v>
      </c>
      <c r="BC23" s="303">
        <f>AX23-2%</f>
        <v>0.06</v>
      </c>
      <c r="BD23" s="303">
        <f t="shared" ref="BD23:BF23" si="34">AY23-2%</f>
        <v>0.06</v>
      </c>
      <c r="BE23" s="303">
        <f t="shared" si="34"/>
        <v>0.06</v>
      </c>
      <c r="BF23" s="303">
        <f t="shared" si="34"/>
        <v>0.06</v>
      </c>
      <c r="BH23" s="303">
        <f>BC23-2%</f>
        <v>3.9999999999999994E-2</v>
      </c>
      <c r="BI23" s="303">
        <f t="shared" ref="BI23:BK23" si="35">BD23-2%</f>
        <v>3.9999999999999994E-2</v>
      </c>
      <c r="BJ23" s="303">
        <f t="shared" si="35"/>
        <v>3.9999999999999994E-2</v>
      </c>
      <c r="BK23" s="303">
        <f t="shared" si="35"/>
        <v>3.9999999999999994E-2</v>
      </c>
    </row>
    <row r="25" spans="1:64" s="2" customFormat="1">
      <c r="A25" s="4" t="s">
        <v>1883</v>
      </c>
      <c r="T25" s="68"/>
      <c r="X25" s="68" t="s">
        <v>1744</v>
      </c>
    </row>
    <row r="27" spans="1:64">
      <c r="A27" s="3" t="s">
        <v>1884</v>
      </c>
    </row>
    <row r="29" spans="1:64">
      <c r="A29" s="1" t="s">
        <v>1885</v>
      </c>
      <c r="T29" s="375"/>
      <c r="U29" s="375"/>
      <c r="V29" s="375"/>
      <c r="W29" s="375"/>
      <c r="X29" s="375"/>
      <c r="Y29" s="375"/>
      <c r="Z29" s="375"/>
      <c r="AA29" s="375"/>
      <c r="AB29" s="375"/>
      <c r="AC29" s="375"/>
      <c r="AD29" s="376">
        <v>2.2000000000000002</v>
      </c>
      <c r="AE29" s="376">
        <v>2.4</v>
      </c>
      <c r="AF29" s="376">
        <v>2.8</v>
      </c>
      <c r="AG29" s="376">
        <v>2.8</v>
      </c>
      <c r="AH29" s="375">
        <f>SUM(AD29:AG29)</f>
        <v>10.199999999999999</v>
      </c>
      <c r="AI29" s="376">
        <v>3</v>
      </c>
      <c r="AJ29" s="376">
        <v>3</v>
      </c>
      <c r="AK29" s="376">
        <v>3.2</v>
      </c>
    </row>
    <row r="30" spans="1:64">
      <c r="A30" s="1" t="s">
        <v>28</v>
      </c>
      <c r="AI30" s="16">
        <f t="shared" ref="AI30:AK30" si="36">AI29/AD29-1</f>
        <v>0.36363636363636354</v>
      </c>
      <c r="AJ30" s="16">
        <f t="shared" si="36"/>
        <v>0.25</v>
      </c>
      <c r="AK30" s="16">
        <f t="shared" si="36"/>
        <v>0.14285714285714302</v>
      </c>
    </row>
    <row r="31" spans="1:64">
      <c r="AD31" s="219" t="s">
        <v>1886</v>
      </c>
    </row>
    <row r="32" spans="1:64">
      <c r="A32" s="1" t="s">
        <v>1887</v>
      </c>
      <c r="AD32" s="375">
        <f>AD29-AD35</f>
        <v>0.5224000000000002</v>
      </c>
      <c r="AE32" s="375">
        <f>AE29-AE35</f>
        <v>0.57209999999999983</v>
      </c>
      <c r="AF32" s="375">
        <f>AF29-AF35</f>
        <v>0.5761999999999996</v>
      </c>
      <c r="AG32" s="375">
        <f>AG29-AG35</f>
        <v>0.60719999999999974</v>
      </c>
      <c r="AH32" s="375">
        <f>SUM(AD32:AG32)</f>
        <v>2.2778999999999994</v>
      </c>
      <c r="AI32" s="375">
        <f>AI29-AI35</f>
        <v>0.60000000000000009</v>
      </c>
      <c r="AJ32" s="375">
        <f>AJ29-AJ35</f>
        <v>0.60000000000000009</v>
      </c>
      <c r="AK32" s="375">
        <f>AF32*(1+AK33)</f>
        <v>0.6050099999999996</v>
      </c>
      <c r="AL32" s="375">
        <f>AG32*(1+AL33)</f>
        <v>0.63755999999999979</v>
      </c>
      <c r="AM32" s="375">
        <f>SUM(AI32:AL32)</f>
        <v>2.4425699999999995</v>
      </c>
      <c r="AN32" s="375">
        <f>AI32*(1+AN33)</f>
        <v>0.63000000000000012</v>
      </c>
      <c r="AO32" s="375">
        <f>AJ32*(1+AO33)</f>
        <v>0.63000000000000012</v>
      </c>
      <c r="AP32" s="375">
        <f>AK32*(1+AP33)</f>
        <v>0.63526049999999956</v>
      </c>
      <c r="AQ32" s="375">
        <f>AL32*(1+AQ33)</f>
        <v>0.66943799999999987</v>
      </c>
      <c r="AR32" s="375">
        <f>SUM(AN32:AQ32)</f>
        <v>2.5646984999999995</v>
      </c>
      <c r="AS32" s="375">
        <f>AN32*(1+AS33)</f>
        <v>0.6615000000000002</v>
      </c>
      <c r="AT32" s="375">
        <f>AO32*(1+AT33)</f>
        <v>0.6615000000000002</v>
      </c>
      <c r="AU32" s="375">
        <f>AP32*(1+AU33)</f>
        <v>0.66702352499999962</v>
      </c>
      <c r="AV32" s="375">
        <f>AQ32*(1+AV33)</f>
        <v>0.70290989999999987</v>
      </c>
      <c r="AW32" s="375">
        <f>SUM(AS32:AV32)</f>
        <v>2.6929334249999997</v>
      </c>
      <c r="AX32" s="375">
        <f>AS32*(1+AX33)</f>
        <v>0.69457500000000028</v>
      </c>
      <c r="AY32" s="375">
        <f>AT32*(1+AY33)</f>
        <v>0.69457500000000028</v>
      </c>
      <c r="AZ32" s="375">
        <f>AU32*(1+AZ33)</f>
        <v>0.70037470124999968</v>
      </c>
      <c r="BA32" s="375">
        <f>AV32*(1+BA33)</f>
        <v>0.73805539499999984</v>
      </c>
      <c r="BB32" s="375">
        <f>SUM(AX32:BA32)</f>
        <v>2.8275800962500002</v>
      </c>
      <c r="BC32" s="375">
        <f>AX32*(1+BC33)</f>
        <v>0.7275673125000004</v>
      </c>
      <c r="BD32" s="375">
        <f>AY32*(1+BD33)</f>
        <v>0.7275673125000004</v>
      </c>
      <c r="BE32" s="375">
        <f>AZ32*(1+BE33)</f>
        <v>0.73364249955937477</v>
      </c>
      <c r="BF32" s="375">
        <f>BA32*(1+BF33)</f>
        <v>0.77311302626249989</v>
      </c>
      <c r="BG32" s="375">
        <f>SUM(BC32:BF32)</f>
        <v>2.9618901508218753</v>
      </c>
      <c r="BH32" s="375">
        <f>BC32*(1+BH33)</f>
        <v>0.76030784156250031</v>
      </c>
      <c r="BI32" s="375">
        <f>BD32*(1+BI33)</f>
        <v>0.76030784156250031</v>
      </c>
      <c r="BJ32" s="375">
        <f>BE32*(1+BJ33)</f>
        <v>0.7666564120395466</v>
      </c>
      <c r="BK32" s="375">
        <f>BF32*(1+BK33)</f>
        <v>0.80790311244431234</v>
      </c>
      <c r="BL32" s="375">
        <f>SUM(BH32:BK32)</f>
        <v>3.0951752076088592</v>
      </c>
    </row>
    <row r="33" spans="1:64">
      <c r="A33" s="1" t="s">
        <v>28</v>
      </c>
      <c r="AI33" s="16">
        <f t="shared" ref="AI33:AJ33" si="37">AI32/AD32-1</f>
        <v>0.14854517611026008</v>
      </c>
      <c r="AJ33" s="16">
        <f t="shared" si="37"/>
        <v>4.8767697954903433E-2</v>
      </c>
      <c r="AK33" s="303">
        <v>0.05</v>
      </c>
      <c r="AL33" s="303">
        <v>0.05</v>
      </c>
      <c r="AN33" s="303">
        <v>0.05</v>
      </c>
      <c r="AO33" s="303">
        <v>0.05</v>
      </c>
      <c r="AP33" s="303">
        <v>0.05</v>
      </c>
      <c r="AQ33" s="303">
        <v>0.05</v>
      </c>
      <c r="AS33" s="303">
        <v>0.05</v>
      </c>
      <c r="AT33" s="303">
        <v>0.05</v>
      </c>
      <c r="AU33" s="303">
        <v>0.05</v>
      </c>
      <c r="AV33" s="303">
        <v>0.05</v>
      </c>
      <c r="AX33" s="303">
        <v>0.05</v>
      </c>
      <c r="AY33" s="303">
        <v>0.05</v>
      </c>
      <c r="AZ33" s="303">
        <v>0.05</v>
      </c>
      <c r="BA33" s="303">
        <v>0.05</v>
      </c>
      <c r="BC33" s="303">
        <f>AX33-0.25%</f>
        <v>4.7500000000000001E-2</v>
      </c>
      <c r="BD33" s="303">
        <f t="shared" ref="BD33:BF33" si="38">AY33-0.25%</f>
        <v>4.7500000000000001E-2</v>
      </c>
      <c r="BE33" s="303">
        <f t="shared" si="38"/>
        <v>4.7500000000000001E-2</v>
      </c>
      <c r="BF33" s="303">
        <f t="shared" si="38"/>
        <v>4.7500000000000001E-2</v>
      </c>
      <c r="BH33" s="303">
        <f>BC33-0.25%</f>
        <v>4.4999999999999998E-2</v>
      </c>
      <c r="BI33" s="303">
        <f t="shared" ref="BI33:BK33" si="39">BD33-0.25%</f>
        <v>4.4999999999999998E-2</v>
      </c>
      <c r="BJ33" s="303">
        <f t="shared" si="39"/>
        <v>4.4999999999999998E-2</v>
      </c>
      <c r="BK33" s="303">
        <f t="shared" si="39"/>
        <v>4.4999999999999998E-2</v>
      </c>
    </row>
    <row r="34" spans="1:64">
      <c r="AF34" s="25" t="s">
        <v>1888</v>
      </c>
    </row>
    <row r="35" spans="1:64">
      <c r="A35" s="1" t="s">
        <v>1889</v>
      </c>
      <c r="J35" s="375"/>
      <c r="K35" s="375"/>
      <c r="L35" s="375"/>
      <c r="M35" s="375"/>
      <c r="N35" s="375"/>
      <c r="O35" s="375"/>
      <c r="P35" s="375"/>
      <c r="Q35" s="375"/>
      <c r="R35" s="375"/>
      <c r="S35" s="375"/>
      <c r="T35" s="375">
        <f>T38/1000</f>
        <v>0.73660000000000003</v>
      </c>
      <c r="U35" s="375">
        <f>U38/1000</f>
        <v>0.72299999999999998</v>
      </c>
      <c r="V35" s="375">
        <f>V38/1000</f>
        <v>0.80670000000000008</v>
      </c>
      <c r="W35" s="375">
        <f>W38/1000</f>
        <v>0.99020000000000008</v>
      </c>
      <c r="X35" s="375">
        <f>SUM(T35:W35)</f>
        <v>3.2565000000000004</v>
      </c>
      <c r="Y35" s="375">
        <f>Y38/1000</f>
        <v>1.2167000000000001</v>
      </c>
      <c r="Z35" s="375">
        <f>Z38/1000</f>
        <v>1.2284999999999999</v>
      </c>
      <c r="AA35" s="375">
        <f>AA38/1000</f>
        <v>1.4678</v>
      </c>
      <c r="AB35" s="375">
        <f>AB38/1000</f>
        <v>1.5304</v>
      </c>
      <c r="AC35" s="375">
        <f>SUM(Y35:AB35)</f>
        <v>5.4433999999999996</v>
      </c>
      <c r="AD35" s="375">
        <f>AD38/1000</f>
        <v>1.6776</v>
      </c>
      <c r="AE35" s="375">
        <f>AE38/1000</f>
        <v>1.8279000000000001</v>
      </c>
      <c r="AF35" s="375">
        <f>AF38/1000</f>
        <v>2.2238000000000002</v>
      </c>
      <c r="AG35" s="375">
        <f>AG38/1000</f>
        <v>2.1928000000000001</v>
      </c>
      <c r="AH35" s="375">
        <f>SUM(AD35:AG35)</f>
        <v>7.9221000000000004</v>
      </c>
      <c r="AI35" s="376">
        <v>2.4</v>
      </c>
      <c r="AJ35" s="376">
        <v>2.4</v>
      </c>
      <c r="AK35" s="376">
        <v>2.6</v>
      </c>
    </row>
    <row r="36" spans="1:64">
      <c r="A36" s="1" t="s">
        <v>28</v>
      </c>
      <c r="T36" s="16"/>
      <c r="U36" s="16"/>
      <c r="V36" s="16"/>
      <c r="W36" s="16"/>
      <c r="X36" s="16"/>
      <c r="Y36" s="16">
        <f t="shared" ref="Y36:AK36" si="40">Y35/T35-1</f>
        <v>0.65177844148791753</v>
      </c>
      <c r="Z36" s="16">
        <f t="shared" si="40"/>
        <v>0.69917012448132776</v>
      </c>
      <c r="AA36" s="16">
        <f t="shared" si="40"/>
        <v>0.81951159043014732</v>
      </c>
      <c r="AB36" s="16">
        <f t="shared" si="40"/>
        <v>0.54554635427186415</v>
      </c>
      <c r="AC36" s="16">
        <f t="shared" si="40"/>
        <v>0.67154920927375983</v>
      </c>
      <c r="AD36" s="16">
        <f t="shared" si="40"/>
        <v>0.37881153940987899</v>
      </c>
      <c r="AE36" s="16">
        <f t="shared" si="40"/>
        <v>0.48791208791208818</v>
      </c>
      <c r="AF36" s="16">
        <f t="shared" si="40"/>
        <v>0.5150565472135169</v>
      </c>
      <c r="AG36" s="16">
        <f t="shared" si="40"/>
        <v>0.43282801881860955</v>
      </c>
      <c r="AH36" s="16">
        <f t="shared" si="40"/>
        <v>0.45535878311349531</v>
      </c>
      <c r="AI36" s="16">
        <f t="shared" si="40"/>
        <v>0.43061516452074389</v>
      </c>
      <c r="AJ36" s="16">
        <f t="shared" si="40"/>
        <v>0.3129821106187427</v>
      </c>
      <c r="AK36" s="16">
        <f t="shared" si="40"/>
        <v>0.16916988937854116</v>
      </c>
    </row>
    <row r="38" spans="1:64">
      <c r="A38" s="1" t="s">
        <v>1890</v>
      </c>
      <c r="O38" s="377">
        <f>P38*O52/P52</f>
        <v>206.95419440745675</v>
      </c>
      <c r="P38" s="377">
        <f>Q38*P52/Q52</f>
        <v>361.43422103861525</v>
      </c>
      <c r="Q38" s="377">
        <f>R38*Q52/R52</f>
        <v>549.99793608521975</v>
      </c>
      <c r="R38" s="377">
        <f>T38*R52/T52</f>
        <v>664.99973368841552</v>
      </c>
      <c r="S38" s="375">
        <f>SUM(O38:R38)</f>
        <v>1783.3860852197074</v>
      </c>
      <c r="T38" s="376">
        <v>736.6</v>
      </c>
      <c r="U38" s="376">
        <v>723</v>
      </c>
      <c r="V38" s="376">
        <v>806.7</v>
      </c>
      <c r="W38" s="376">
        <v>990.2</v>
      </c>
      <c r="X38" s="375">
        <f>SUM(T38:W38)</f>
        <v>3256.5</v>
      </c>
      <c r="Y38" s="376">
        <v>1216.7</v>
      </c>
      <c r="Z38" s="376">
        <v>1228.5</v>
      </c>
      <c r="AA38" s="376">
        <v>1467.8</v>
      </c>
      <c r="AB38" s="376">
        <v>1530.4</v>
      </c>
      <c r="AC38" s="375">
        <f>SUM(Y38:AB38)</f>
        <v>5443.4</v>
      </c>
      <c r="AD38" s="376">
        <v>1677.6</v>
      </c>
      <c r="AE38" s="376">
        <v>1827.9</v>
      </c>
      <c r="AF38" s="376">
        <v>2223.8000000000002</v>
      </c>
      <c r="AG38" s="376">
        <v>2192.8000000000002</v>
      </c>
      <c r="AH38" s="375">
        <f>SUM(AD38:AG38)</f>
        <v>7922.1</v>
      </c>
      <c r="AI38" s="375">
        <f>AI35*1000</f>
        <v>2400</v>
      </c>
      <c r="AJ38" s="375">
        <f>AJ35*1000</f>
        <v>2400</v>
      </c>
      <c r="AK38" s="375">
        <f>AK35*1000</f>
        <v>2600</v>
      </c>
      <c r="AL38" s="375">
        <f>AG38*(1+AL39)</f>
        <v>2508.9357334292654</v>
      </c>
      <c r="AM38" s="375">
        <f>SUM(AI38:AL38)</f>
        <v>9908.9357334292654</v>
      </c>
      <c r="AN38" s="375">
        <f t="shared" ref="AN38:AQ38" si="41">AI38*(1+AN39)</f>
        <v>2686.0077345084987</v>
      </c>
      <c r="AO38" s="375">
        <f t="shared" si="41"/>
        <v>2674.0077345084987</v>
      </c>
      <c r="AP38" s="375">
        <f t="shared" si="41"/>
        <v>2883.8417123842069</v>
      </c>
      <c r="AQ38" s="375">
        <f t="shared" si="41"/>
        <v>2770.2912912384613</v>
      </c>
      <c r="AR38" s="375">
        <f>SUM(AN38:AQ38)</f>
        <v>11014.148472639667</v>
      </c>
      <c r="AS38" s="375">
        <f t="shared" ref="AS38:AV38" si="42">AN38*(1+AS39)</f>
        <v>2945.6638050733413</v>
      </c>
      <c r="AT38" s="375">
        <f t="shared" si="42"/>
        <v>2952.2034162795012</v>
      </c>
      <c r="AU38" s="375">
        <f t="shared" si="42"/>
        <v>3140.9935588627291</v>
      </c>
      <c r="AV38" s="375">
        <f t="shared" si="42"/>
        <v>3037.7268385237057</v>
      </c>
      <c r="AW38" s="375">
        <f>SUM(AS38:AV38)</f>
        <v>12076.587618739277</v>
      </c>
      <c r="AX38" s="375">
        <f t="shared" ref="AX38:BA38" si="43">AS38*(1+AX39)</f>
        <v>3166.5885904538418</v>
      </c>
      <c r="AY38" s="375">
        <f t="shared" si="43"/>
        <v>3173.6186725004636</v>
      </c>
      <c r="AZ38" s="375">
        <f t="shared" si="43"/>
        <v>3376.5680757774335</v>
      </c>
      <c r="BA38" s="375">
        <f t="shared" si="43"/>
        <v>3265.5563514129835</v>
      </c>
      <c r="BB38" s="375">
        <f>SUM(AX38:BA38)</f>
        <v>12982.331690144722</v>
      </c>
      <c r="BC38" s="375">
        <f t="shared" ref="BC38:BF38" si="44">AX38*(1+BC39)</f>
        <v>3324.9180199765342</v>
      </c>
      <c r="BD38" s="375">
        <f t="shared" si="44"/>
        <v>3332.2996061254871</v>
      </c>
      <c r="BE38" s="375">
        <f t="shared" si="44"/>
        <v>3545.3964795663055</v>
      </c>
      <c r="BF38" s="375">
        <f t="shared" si="44"/>
        <v>3428.8341689836329</v>
      </c>
      <c r="BG38" s="375">
        <f>SUM(BC38:BF38)</f>
        <v>13631.448274651959</v>
      </c>
      <c r="BH38" s="375">
        <f t="shared" ref="BH38:BK38" si="45">BC38*(1+BH39)</f>
        <v>3491.1639209753612</v>
      </c>
      <c r="BI38" s="375">
        <f t="shared" si="45"/>
        <v>3498.9145864317616</v>
      </c>
      <c r="BJ38" s="375">
        <f t="shared" si="45"/>
        <v>3722.6663035446209</v>
      </c>
      <c r="BK38" s="375">
        <f t="shared" si="45"/>
        <v>3600.2758774328149</v>
      </c>
      <c r="BL38" s="375">
        <f>SUM(BH38:BK38)</f>
        <v>14313.020688384557</v>
      </c>
    </row>
    <row r="39" spans="1:64">
      <c r="A39" s="1" t="s">
        <v>28</v>
      </c>
      <c r="Y39" s="16">
        <f t="shared" ref="Y39:AK39" si="46">Y38/T38-1</f>
        <v>0.65177844148791753</v>
      </c>
      <c r="Z39" s="16">
        <f t="shared" si="46"/>
        <v>0.69917012448132776</v>
      </c>
      <c r="AA39" s="16">
        <f t="shared" si="46"/>
        <v>0.81951159043014732</v>
      </c>
      <c r="AB39" s="16">
        <f t="shared" si="46"/>
        <v>0.54554635427186438</v>
      </c>
      <c r="AC39" s="16">
        <f t="shared" si="46"/>
        <v>0.67154920927376005</v>
      </c>
      <c r="AD39" s="16">
        <f t="shared" si="46"/>
        <v>0.37881153940987899</v>
      </c>
      <c r="AE39" s="16">
        <f t="shared" si="46"/>
        <v>0.48791208791208796</v>
      </c>
      <c r="AF39" s="16">
        <f t="shared" si="46"/>
        <v>0.5150565472135169</v>
      </c>
      <c r="AG39" s="16">
        <f t="shared" si="46"/>
        <v>0.43282801881860955</v>
      </c>
      <c r="AH39" s="16">
        <f t="shared" si="46"/>
        <v>0.45535878311349531</v>
      </c>
      <c r="AI39" s="16">
        <f t="shared" si="46"/>
        <v>0.43061516452074389</v>
      </c>
      <c r="AJ39" s="16">
        <f t="shared" si="46"/>
        <v>0.3129821106187427</v>
      </c>
      <c r="AK39" s="16">
        <f t="shared" si="46"/>
        <v>0.16916988937854116</v>
      </c>
      <c r="AL39" s="303">
        <f>AK39-2.5%</f>
        <v>0.14416988937854117</v>
      </c>
      <c r="AM39" s="16">
        <f t="shared" ref="AM39" si="47">AM38/AH38-1</f>
        <v>0.2507965985571079</v>
      </c>
      <c r="AN39" s="303">
        <f>AL39-2.5%</f>
        <v>0.11916988937854117</v>
      </c>
      <c r="AO39" s="303">
        <f>AN39-0.5%</f>
        <v>0.11416988937854117</v>
      </c>
      <c r="AP39" s="303">
        <f>AO39-0.5%</f>
        <v>0.10916988937854116</v>
      </c>
      <c r="AQ39" s="303">
        <f>AP39-0.5%</f>
        <v>0.10416988937854116</v>
      </c>
      <c r="AR39" s="16">
        <f t="shared" ref="AR39" si="48">AR38/AM38-1</f>
        <v>0.11153697722367917</v>
      </c>
      <c r="AS39" s="303">
        <f>AQ39-0.75%</f>
        <v>9.6669889378541152E-2</v>
      </c>
      <c r="AT39" s="303">
        <f t="shared" ref="AT39:AV39" si="49">AR39-0.75%</f>
        <v>0.10403697722367916</v>
      </c>
      <c r="AU39" s="303">
        <f t="shared" si="49"/>
        <v>8.9169889378541145E-2</v>
      </c>
      <c r="AV39" s="303">
        <f t="shared" si="49"/>
        <v>9.6536977223679155E-2</v>
      </c>
      <c r="AW39" s="16">
        <f t="shared" ref="AW39" si="50">AW38/AR38-1</f>
        <v>9.6461305995540592E-2</v>
      </c>
      <c r="AX39" s="303">
        <v>7.4999999999999997E-2</v>
      </c>
      <c r="AY39" s="303">
        <v>7.4999999999999997E-2</v>
      </c>
      <c r="AZ39" s="303">
        <v>7.4999999999999997E-2</v>
      </c>
      <c r="BA39" s="303">
        <v>7.4999999999999997E-2</v>
      </c>
      <c r="BB39" s="16">
        <f t="shared" ref="BB39" si="51">BB38/AW38-1</f>
        <v>7.4999999999999956E-2</v>
      </c>
      <c r="BC39" s="303">
        <v>0.05</v>
      </c>
      <c r="BD39" s="303">
        <v>0.05</v>
      </c>
      <c r="BE39" s="303">
        <v>0.05</v>
      </c>
      <c r="BF39" s="303">
        <v>0.05</v>
      </c>
      <c r="BG39" s="16">
        <f t="shared" ref="BG39" si="52">BG38/BB38-1</f>
        <v>5.0000000000000044E-2</v>
      </c>
      <c r="BH39" s="303">
        <v>0.05</v>
      </c>
      <c r="BI39" s="303">
        <v>0.05</v>
      </c>
      <c r="BJ39" s="303">
        <v>0.05</v>
      </c>
      <c r="BK39" s="303">
        <v>0.05</v>
      </c>
      <c r="BL39" s="16">
        <f t="shared" ref="BL39" si="53">BL38/BG38-1</f>
        <v>5.0000000000000044E-2</v>
      </c>
    </row>
    <row r="41" spans="1:64">
      <c r="A41" s="1" t="s">
        <v>1891</v>
      </c>
      <c r="O41" s="377">
        <f>P41*O52/P52</f>
        <v>120.39081225033286</v>
      </c>
      <c r="P41" s="377">
        <f>Q41*P52/Q52</f>
        <v>210.25599201065242</v>
      </c>
      <c r="Q41" s="377">
        <f>R41*Q52/R52</f>
        <v>319.94856857523297</v>
      </c>
      <c r="R41" s="377">
        <f>T41*R52/T52</f>
        <v>386.84820239680425</v>
      </c>
      <c r="S41" s="375">
        <f>SUM(O41:R41)</f>
        <v>1037.4435752330226</v>
      </c>
      <c r="T41" s="376">
        <v>428.5</v>
      </c>
      <c r="U41" s="376">
        <v>486.6</v>
      </c>
      <c r="V41" s="376">
        <v>507.1</v>
      </c>
      <c r="W41" s="376">
        <v>615.6</v>
      </c>
      <c r="X41" s="375">
        <f>SUM(T41:W41)</f>
        <v>2037.8000000000002</v>
      </c>
      <c r="Y41" s="376">
        <v>786.6</v>
      </c>
      <c r="Z41" s="376">
        <v>873.6</v>
      </c>
      <c r="AA41" s="376">
        <v>967.3</v>
      </c>
      <c r="AB41" s="376">
        <v>1005.4</v>
      </c>
      <c r="AC41" s="375">
        <f>SUM(Y41:AB41)</f>
        <v>3632.9</v>
      </c>
      <c r="AD41" s="376">
        <v>1113</v>
      </c>
      <c r="AE41" s="376">
        <v>1267.5</v>
      </c>
      <c r="AF41" s="376">
        <v>1368.5</v>
      </c>
      <c r="AG41" s="376">
        <v>1392.8</v>
      </c>
      <c r="AH41" s="375">
        <f>SUM(AD41:AG41)</f>
        <v>5141.8</v>
      </c>
      <c r="AI41" s="376">
        <v>1519.8</v>
      </c>
      <c r="AJ41" s="376">
        <v>1585</v>
      </c>
      <c r="AK41" s="376">
        <v>1612.6</v>
      </c>
    </row>
    <row r="42" spans="1:64">
      <c r="A42" s="1" t="s">
        <v>28</v>
      </c>
      <c r="Y42" s="16">
        <f t="shared" ref="Y42:AH42" si="54">Y41/T41-1</f>
        <v>0.83570595099183209</v>
      </c>
      <c r="Z42" s="16">
        <f t="shared" si="54"/>
        <v>0.79531442663378549</v>
      </c>
      <c r="AA42" s="16">
        <f t="shared" si="54"/>
        <v>0.90751331098402654</v>
      </c>
      <c r="AB42" s="16">
        <f t="shared" si="54"/>
        <v>0.63320337881741384</v>
      </c>
      <c r="AC42" s="16">
        <f t="shared" si="54"/>
        <v>0.78275591323976834</v>
      </c>
      <c r="AD42" s="16">
        <f t="shared" si="54"/>
        <v>0.41495041952707856</v>
      </c>
      <c r="AE42" s="16">
        <f t="shared" si="54"/>
        <v>0.45089285714285721</v>
      </c>
      <c r="AF42" s="16">
        <f t="shared" si="54"/>
        <v>0.41476274165202121</v>
      </c>
      <c r="AG42" s="16">
        <f t="shared" si="54"/>
        <v>0.38531927591008563</v>
      </c>
      <c r="AH42" s="16">
        <f t="shared" si="54"/>
        <v>0.41534311431638637</v>
      </c>
      <c r="AI42" s="16">
        <f>AI41/AD41-1</f>
        <v>0.36549865229110501</v>
      </c>
      <c r="AJ42" s="16">
        <f>AJ41/AE41-1</f>
        <v>0.25049309664694275</v>
      </c>
      <c r="AK42" s="16">
        <f>AK41/AF41-1</f>
        <v>0.17837047862623301</v>
      </c>
    </row>
    <row r="44" spans="1:64">
      <c r="A44" s="1" t="s">
        <v>1892</v>
      </c>
      <c r="T44" s="369">
        <f t="shared" ref="T44:AK44" si="55">1000*T38/T41</f>
        <v>1719.01983663944</v>
      </c>
      <c r="U44" s="369">
        <f t="shared" si="55"/>
        <v>1485.8199753390875</v>
      </c>
      <c r="V44" s="369">
        <f t="shared" si="55"/>
        <v>1590.8104910274108</v>
      </c>
      <c r="W44" s="369">
        <f t="shared" si="55"/>
        <v>1608.5120207927225</v>
      </c>
      <c r="X44" s="369">
        <f t="shared" si="55"/>
        <v>1598.0469133379133</v>
      </c>
      <c r="Y44" s="369">
        <f t="shared" si="55"/>
        <v>1546.7836257309941</v>
      </c>
      <c r="Z44" s="369">
        <f t="shared" si="55"/>
        <v>1406.25</v>
      </c>
      <c r="AA44" s="369">
        <f t="shared" si="55"/>
        <v>1517.4196216272098</v>
      </c>
      <c r="AB44" s="369">
        <f t="shared" si="55"/>
        <v>1522.1802267754128</v>
      </c>
      <c r="AC44" s="369">
        <f t="shared" si="55"/>
        <v>1498.3621899859615</v>
      </c>
      <c r="AD44" s="369">
        <f t="shared" si="55"/>
        <v>1507.2776280323451</v>
      </c>
      <c r="AE44" s="369">
        <f t="shared" si="55"/>
        <v>1442.1301775147929</v>
      </c>
      <c r="AF44" s="369">
        <f t="shared" si="55"/>
        <v>1624.990865911582</v>
      </c>
      <c r="AG44" s="369">
        <f t="shared" si="55"/>
        <v>1574.3825387708214</v>
      </c>
      <c r="AH44" s="369">
        <f t="shared" si="55"/>
        <v>1540.7250379244622</v>
      </c>
      <c r="AI44" s="369">
        <f t="shared" si="55"/>
        <v>1579.1551519936834</v>
      </c>
      <c r="AJ44" s="369">
        <f t="shared" si="55"/>
        <v>1514.1955835962144</v>
      </c>
      <c r="AK44" s="369">
        <f t="shared" si="55"/>
        <v>1612.3031129852413</v>
      </c>
    </row>
    <row r="45" spans="1:64">
      <c r="A45" s="1" t="s">
        <v>28</v>
      </c>
      <c r="Y45" s="16">
        <f>Y44/T44-1</f>
        <v>-0.10019442896316733</v>
      </c>
      <c r="Z45" s="16">
        <f>Z44/U44-1</f>
        <v>-5.3552904564315273E-2</v>
      </c>
      <c r="AA45" s="16">
        <f t="shared" ref="AA45:AC45" si="56">AA44/V44-1</f>
        <v>-4.6134262889354072E-2</v>
      </c>
      <c r="AB45" s="16">
        <f t="shared" si="56"/>
        <v>-5.3671836393714201E-2</v>
      </c>
      <c r="AC45" s="16">
        <f t="shared" si="56"/>
        <v>-6.237909695888455E-2</v>
      </c>
      <c r="AD45" s="16">
        <f>AD44/Y44-1</f>
        <v>-2.5540739532963985E-2</v>
      </c>
      <c r="AE45" s="16">
        <f>AE44/Z44-1</f>
        <v>2.5514792899408167E-2</v>
      </c>
      <c r="AF45" s="16">
        <f t="shared" ref="AF45:AH45" si="57">AF44/AA44-1</f>
        <v>7.0890901073901835E-2</v>
      </c>
      <c r="AG45" s="16">
        <f t="shared" si="57"/>
        <v>3.4294435755478192E-2</v>
      </c>
      <c r="AH45" s="16">
        <f t="shared" si="57"/>
        <v>2.8272768908362167E-2</v>
      </c>
      <c r="AI45" s="16">
        <f>AI44/AD44-1</f>
        <v>4.7686983887082368E-2</v>
      </c>
      <c r="AJ45" s="16">
        <f>AJ44/AE44-1</f>
        <v>4.9971498554735927E-2</v>
      </c>
      <c r="AK45" s="16">
        <f>AK44/AF44-1</f>
        <v>-7.8078918426554011E-3</v>
      </c>
    </row>
    <row r="47" spans="1:64">
      <c r="A47" s="1" t="s">
        <v>1893</v>
      </c>
      <c r="T47" s="434">
        <f>T44/'FP SoftBank Corp.'!$I$4</f>
        <v>11.090450558964129</v>
      </c>
      <c r="U47" s="434">
        <f>U44/'FP SoftBank Corp.'!$I$4</f>
        <v>9.5859353247683057</v>
      </c>
      <c r="V47" s="434">
        <f>V44/'FP SoftBank Corp.'!$I$4</f>
        <v>10.263293490499425</v>
      </c>
      <c r="W47" s="434">
        <f>W44/'FP SoftBank Corp.'!$I$4</f>
        <v>10.377496908340145</v>
      </c>
      <c r="X47" s="434">
        <f>X44/'FP SoftBank Corp.'!$I$4</f>
        <v>10.309980086051054</v>
      </c>
      <c r="Y47" s="434">
        <f>Y44/'FP SoftBank Corp.'!$I$4</f>
        <v>9.979249198264478</v>
      </c>
      <c r="Z47" s="434">
        <f>Z44/'FP SoftBank Corp.'!$I$4</f>
        <v>9.07258064516129</v>
      </c>
      <c r="AA47" s="434">
        <f>AA44/'FP SoftBank Corp.'!$I$4</f>
        <v>9.7898040104981288</v>
      </c>
      <c r="AB47" s="434">
        <f>AB44/'FP SoftBank Corp.'!$I$4</f>
        <v>9.8205175920994385</v>
      </c>
      <c r="AC47" s="434">
        <f>AC44/'FP SoftBank Corp.'!$I$4</f>
        <v>9.666852838619107</v>
      </c>
      <c r="AD47" s="434">
        <f>AD44/'FP SoftBank Corp.'!$I$4</f>
        <v>9.7243717937570651</v>
      </c>
      <c r="AE47" s="434">
        <f>AE44/'FP SoftBank Corp.'!$I$4</f>
        <v>9.30406566138576</v>
      </c>
      <c r="AF47" s="434">
        <f>AF44/'FP SoftBank Corp.'!$I$4</f>
        <v>10.483812038139238</v>
      </c>
      <c r="AG47" s="434">
        <f>AG44/'FP SoftBank Corp.'!$I$4</f>
        <v>10.157306701747235</v>
      </c>
      <c r="AH47" s="434">
        <f>AH44/'FP SoftBank Corp.'!$I$4</f>
        <v>9.9401615349965304</v>
      </c>
      <c r="AI47" s="434">
        <f>AI44/'FP SoftBank Corp.'!$I$4</f>
        <v>10.188097754797957</v>
      </c>
      <c r="AJ47" s="434">
        <f>AJ44/'FP SoftBank Corp.'!$I$4</f>
        <v>9.7690037651368673</v>
      </c>
      <c r="AK47" s="434">
        <f>AK44/'FP SoftBank Corp.'!$I$4</f>
        <v>10.401955567646718</v>
      </c>
    </row>
    <row r="48" spans="1:64">
      <c r="A48" s="1" t="s">
        <v>28</v>
      </c>
      <c r="Y48" s="16">
        <f>Y47/T47-1</f>
        <v>-0.10019442896316733</v>
      </c>
      <c r="Z48" s="16">
        <f>Z47/U47-1</f>
        <v>-5.3552904564315273E-2</v>
      </c>
      <c r="AA48" s="16">
        <f t="shared" ref="AA48:AC48" si="58">AA47/V47-1</f>
        <v>-4.6134262889354072E-2</v>
      </c>
      <c r="AB48" s="16">
        <f t="shared" si="58"/>
        <v>-5.367183639371409E-2</v>
      </c>
      <c r="AC48" s="16">
        <f t="shared" si="58"/>
        <v>-6.2379096958884439E-2</v>
      </c>
      <c r="AD48" s="16">
        <f>AD47/Y47-1</f>
        <v>-2.5540739532963985E-2</v>
      </c>
      <c r="AE48" s="16">
        <f>AE47/Z47-1</f>
        <v>2.5514792899408167E-2</v>
      </c>
      <c r="AF48" s="16">
        <f t="shared" ref="AF48:AH48" si="59">AF47/AA47-1</f>
        <v>7.0890901073901613E-2</v>
      </c>
      <c r="AG48" s="16">
        <f t="shared" si="59"/>
        <v>3.429443575547797E-2</v>
      </c>
      <c r="AH48" s="16">
        <f t="shared" si="59"/>
        <v>2.8272768908362167E-2</v>
      </c>
      <c r="AI48" s="16">
        <f>AI47/AD47-1</f>
        <v>4.7686983887082368E-2</v>
      </c>
      <c r="AJ48" s="16">
        <f>AJ47/AE47-1</f>
        <v>4.9971498554735927E-2</v>
      </c>
      <c r="AK48" s="16">
        <f>AK47/AF47-1</f>
        <v>-7.8078918426554011E-3</v>
      </c>
    </row>
    <row r="50" spans="1:37">
      <c r="A50" s="3" t="s">
        <v>1894</v>
      </c>
    </row>
    <row r="51" spans="1:37">
      <c r="M51" s="219" t="s">
        <v>1895</v>
      </c>
    </row>
    <row r="52" spans="1:37">
      <c r="A52" s="1" t="s">
        <v>1896</v>
      </c>
      <c r="M52" s="376">
        <v>5.98</v>
      </c>
      <c r="N52" s="375">
        <f>M52</f>
        <v>5.98</v>
      </c>
      <c r="O52" s="376">
        <v>8.44</v>
      </c>
      <c r="P52" s="376">
        <v>14.74</v>
      </c>
      <c r="Q52" s="376">
        <v>22.43</v>
      </c>
      <c r="R52" s="376">
        <v>27.12</v>
      </c>
      <c r="S52" s="375">
        <f>R52</f>
        <v>27.12</v>
      </c>
      <c r="T52" s="376">
        <v>30.04</v>
      </c>
      <c r="U52" s="376">
        <v>32.46</v>
      </c>
      <c r="V52" s="376">
        <v>34.909999999999997</v>
      </c>
      <c r="W52" s="376">
        <v>38.03</v>
      </c>
      <c r="X52" s="375">
        <f>W52</f>
        <v>38.03</v>
      </c>
      <c r="Y52" s="376">
        <v>40.28</v>
      </c>
      <c r="Z52" s="376">
        <v>42.3</v>
      </c>
      <c r="AA52" s="376">
        <v>44.55</v>
      </c>
      <c r="AB52" s="376">
        <v>46.79</v>
      </c>
      <c r="AC52" s="375">
        <f>AB52</f>
        <v>46.79</v>
      </c>
      <c r="AD52" s="376">
        <v>48.65</v>
      </c>
      <c r="AE52" s="376">
        <v>51.21</v>
      </c>
      <c r="AF52" s="376">
        <v>54</v>
      </c>
      <c r="AG52" s="376">
        <v>56.64</v>
      </c>
      <c r="AH52" s="375">
        <f>AG52</f>
        <v>56.64</v>
      </c>
      <c r="AI52" s="376">
        <v>58.37</v>
      </c>
      <c r="AJ52" s="376">
        <v>59.95</v>
      </c>
      <c r="AK52" s="376">
        <v>61.45</v>
      </c>
    </row>
    <row r="53" spans="1:37">
      <c r="A53" s="1" t="s">
        <v>28</v>
      </c>
      <c r="S53" s="16">
        <f t="shared" ref="S53:AH53" si="60">S52/N52-1</f>
        <v>3.5351170568561869</v>
      </c>
      <c r="T53" s="16">
        <f t="shared" si="60"/>
        <v>2.5592417061611377</v>
      </c>
      <c r="U53" s="16">
        <f t="shared" si="60"/>
        <v>1.2021709633649933</v>
      </c>
      <c r="V53" s="16">
        <f t="shared" si="60"/>
        <v>0.55639768167632631</v>
      </c>
      <c r="W53" s="16">
        <f t="shared" si="60"/>
        <v>0.40228613569321525</v>
      </c>
      <c r="X53" s="16">
        <f t="shared" si="60"/>
        <v>0.40228613569321525</v>
      </c>
      <c r="Y53" s="16">
        <f t="shared" si="60"/>
        <v>0.34087882822902804</v>
      </c>
      <c r="Z53" s="16">
        <f t="shared" si="60"/>
        <v>0.30314232902033256</v>
      </c>
      <c r="AA53" s="16">
        <f t="shared" si="60"/>
        <v>0.27613864222285889</v>
      </c>
      <c r="AB53" s="16">
        <f t="shared" si="60"/>
        <v>0.23034446489613458</v>
      </c>
      <c r="AC53" s="16">
        <f t="shared" si="60"/>
        <v>0.23034446489613458</v>
      </c>
      <c r="AD53" s="16">
        <f t="shared" si="60"/>
        <v>0.20779543197616679</v>
      </c>
      <c r="AE53" s="16">
        <f t="shared" si="60"/>
        <v>0.21063829787234045</v>
      </c>
      <c r="AF53" s="16">
        <f t="shared" si="60"/>
        <v>0.21212121212121215</v>
      </c>
      <c r="AG53" s="16">
        <f t="shared" si="60"/>
        <v>0.21051506732207748</v>
      </c>
      <c r="AH53" s="16">
        <f t="shared" si="60"/>
        <v>0.21051506732207748</v>
      </c>
      <c r="AI53" s="16">
        <f>AI52/AD52-1</f>
        <v>0.19979445015416242</v>
      </c>
      <c r="AJ53" s="16">
        <f>AJ52/AE52-1</f>
        <v>0.17066979105643432</v>
      </c>
      <c r="AK53" s="16">
        <f>AK52/AF52-1</f>
        <v>0.13796296296296306</v>
      </c>
    </row>
    <row r="55" spans="1:37">
      <c r="A55" s="1" t="s">
        <v>1897</v>
      </c>
      <c r="T55" s="375"/>
      <c r="U55" s="375"/>
      <c r="V55" s="375"/>
      <c r="W55" s="375"/>
      <c r="X55" s="375"/>
      <c r="Y55" s="375"/>
      <c r="Z55" s="375"/>
      <c r="AA55" s="375"/>
      <c r="AB55" s="375"/>
      <c r="AC55" s="375"/>
      <c r="AD55" s="376">
        <v>22.53</v>
      </c>
      <c r="AE55" s="376">
        <v>25.16</v>
      </c>
      <c r="AF55" s="376">
        <v>28.19</v>
      </c>
      <c r="AG55" s="376">
        <v>30.33</v>
      </c>
      <c r="AH55" s="375">
        <f>AG55</f>
        <v>30.33</v>
      </c>
      <c r="AI55" s="376">
        <v>30.21</v>
      </c>
      <c r="AJ55" s="376">
        <v>30.76</v>
      </c>
      <c r="AK55" s="376">
        <v>31.82</v>
      </c>
    </row>
    <row r="56" spans="1:37">
      <c r="A56" s="1" t="s">
        <v>28</v>
      </c>
      <c r="AI56" s="16">
        <f>AI55/AD55-1</f>
        <v>0.34087882822902804</v>
      </c>
      <c r="AJ56" s="16">
        <f>AJ55/AE55-1</f>
        <v>0.22257551669316378</v>
      </c>
      <c r="AK56" s="16">
        <f>AK55/AF55-1</f>
        <v>0.12876906704505142</v>
      </c>
    </row>
    <row r="58" spans="1:37">
      <c r="A58" s="1" t="s">
        <v>1898</v>
      </c>
      <c r="AD58" s="21">
        <f t="shared" ref="AD58:AK58" si="61">AD55/AD52</f>
        <v>0.46310380267214801</v>
      </c>
      <c r="AE58" s="21">
        <f t="shared" si="61"/>
        <v>0.49131029095879708</v>
      </c>
      <c r="AF58" s="21">
        <f t="shared" si="61"/>
        <v>0.52203703703703708</v>
      </c>
      <c r="AG58" s="21">
        <f t="shared" si="61"/>
        <v>0.53548728813559321</v>
      </c>
      <c r="AH58" s="21">
        <f t="shared" si="61"/>
        <v>0.53548728813559321</v>
      </c>
      <c r="AI58" s="21">
        <f t="shared" si="61"/>
        <v>0.51756039061161563</v>
      </c>
      <c r="AJ58" s="21">
        <f t="shared" si="61"/>
        <v>0.513094245204337</v>
      </c>
      <c r="AK58" s="21">
        <f t="shared" si="61"/>
        <v>0.51781936533767292</v>
      </c>
    </row>
    <row r="60" spans="1:37">
      <c r="A60" s="3" t="s">
        <v>1899</v>
      </c>
    </row>
    <row r="62" spans="1:37">
      <c r="A62" s="1" t="s">
        <v>1900</v>
      </c>
      <c r="AD62" s="376">
        <v>1549.5</v>
      </c>
      <c r="AE62" s="376">
        <v>1589.6</v>
      </c>
      <c r="AF62" s="376">
        <v>1746.2</v>
      </c>
      <c r="AG62" s="376">
        <v>1839.1</v>
      </c>
      <c r="AH62" s="375">
        <f>SUM(AD62:AG62)</f>
        <v>6724.4</v>
      </c>
      <c r="AI62" s="376">
        <v>1890.6</v>
      </c>
      <c r="AJ62" s="376">
        <v>1917.8</v>
      </c>
      <c r="AK62" s="376">
        <v>2037.2</v>
      </c>
    </row>
    <row r="63" spans="1:37">
      <c r="A63" s="1" t="s">
        <v>28</v>
      </c>
      <c r="AD63" s="16"/>
      <c r="AE63" s="16"/>
      <c r="AF63" s="16"/>
      <c r="AG63" s="16"/>
      <c r="AH63" s="16"/>
      <c r="AI63" s="16">
        <f>AI62/AD62-1</f>
        <v>0.22013552758954491</v>
      </c>
      <c r="AJ63" s="16">
        <f>AJ62/AE62-1</f>
        <v>0.20646703573225977</v>
      </c>
      <c r="AK63" s="16">
        <f>AK62/AF62-1</f>
        <v>0.16664757759706794</v>
      </c>
    </row>
    <row r="65" spans="1:37" s="12" customFormat="1">
      <c r="A65" s="13" t="s">
        <v>1834</v>
      </c>
      <c r="T65" s="69"/>
      <c r="X65" s="69" t="s">
        <v>1744</v>
      </c>
    </row>
    <row r="67" spans="1:37">
      <c r="A67" s="3" t="s">
        <v>1901</v>
      </c>
    </row>
    <row r="69" spans="1:37">
      <c r="A69" s="1" t="s">
        <v>1902</v>
      </c>
      <c r="AD69" s="417">
        <v>8.68</v>
      </c>
      <c r="AE69" s="417">
        <v>9.0500000000000007</v>
      </c>
      <c r="AF69" s="417">
        <v>9.58</v>
      </c>
      <c r="AG69" s="417">
        <v>10.039999999999999</v>
      </c>
      <c r="AH69" s="375">
        <f>AG69</f>
        <v>10.039999999999999</v>
      </c>
      <c r="AI69" s="417">
        <v>10.42</v>
      </c>
      <c r="AJ69" s="417">
        <v>10.73</v>
      </c>
      <c r="AK69" s="417">
        <v>11.17</v>
      </c>
    </row>
    <row r="70" spans="1:37">
      <c r="A70" s="1" t="s">
        <v>28</v>
      </c>
      <c r="AI70" s="16">
        <f>AI69/AD69-1</f>
        <v>0.20046082949308763</v>
      </c>
      <c r="AJ70" s="16">
        <f>AJ69/AE69-1</f>
        <v>0.18563535911602203</v>
      </c>
      <c r="AK70" s="16">
        <f>AK69/AF69-1</f>
        <v>0.16597077244258873</v>
      </c>
    </row>
    <row r="72" spans="1:37">
      <c r="A72" s="1" t="s">
        <v>1903</v>
      </c>
      <c r="AD72" s="417">
        <v>841.6</v>
      </c>
      <c r="AE72" s="417">
        <v>842.7</v>
      </c>
      <c r="AF72" s="417">
        <v>976.4</v>
      </c>
      <c r="AG72" s="417">
        <v>971.9</v>
      </c>
      <c r="AH72" s="375">
        <f>SUM(AD72:AG72)</f>
        <v>3632.6000000000004</v>
      </c>
      <c r="AI72" s="417">
        <v>1079.2</v>
      </c>
      <c r="AJ72" s="417">
        <v>1111</v>
      </c>
      <c r="AK72" s="417">
        <v>1251</v>
      </c>
    </row>
    <row r="73" spans="1:37">
      <c r="A73" s="1" t="s">
        <v>28</v>
      </c>
      <c r="AD73" s="16"/>
      <c r="AE73" s="16"/>
      <c r="AF73" s="16"/>
      <c r="AG73" s="16"/>
      <c r="AH73" s="16"/>
      <c r="AI73" s="16">
        <f>AI72/AD72-1</f>
        <v>0.2823193916349811</v>
      </c>
      <c r="AJ73" s="16">
        <f>AJ72/AE72-1</f>
        <v>0.31838139314109393</v>
      </c>
      <c r="AK73" s="16">
        <f>AK72/AF72-1</f>
        <v>0.28123719786972545</v>
      </c>
    </row>
    <row r="75" spans="1:37">
      <c r="A75" s="1" t="s">
        <v>1904</v>
      </c>
      <c r="AD75" s="417">
        <v>192.8</v>
      </c>
      <c r="AE75" s="417">
        <v>202.9</v>
      </c>
      <c r="AF75" s="417">
        <v>230</v>
      </c>
      <c r="AG75" s="417">
        <v>259.8</v>
      </c>
      <c r="AH75" s="375">
        <f>SUM(AD75:AG75)</f>
        <v>885.5</v>
      </c>
      <c r="AI75" s="417">
        <v>294.2</v>
      </c>
      <c r="AJ75" s="417">
        <v>317.3</v>
      </c>
      <c r="AK75" s="417">
        <v>334.6</v>
      </c>
    </row>
    <row r="76" spans="1:37">
      <c r="A76" s="1" t="s">
        <v>28</v>
      </c>
      <c r="AD76" s="16"/>
      <c r="AE76" s="16"/>
      <c r="AF76" s="16"/>
      <c r="AG76" s="16"/>
      <c r="AH76" s="16"/>
      <c r="AI76" s="16">
        <f>AI75/AD75-1</f>
        <v>0.52593360995850613</v>
      </c>
      <c r="AJ76" s="16">
        <f>AJ75/AE75-1</f>
        <v>0.56382454411039928</v>
      </c>
      <c r="AK76" s="16">
        <f>AK75/AF75-1</f>
        <v>0.45478260869565235</v>
      </c>
    </row>
    <row r="78" spans="1:37">
      <c r="A78" s="3" t="s">
        <v>1905</v>
      </c>
    </row>
    <row r="80" spans="1:37">
      <c r="A80" s="1" t="s">
        <v>1906</v>
      </c>
      <c r="AD80" s="417">
        <v>6.22</v>
      </c>
      <c r="AE80" s="417">
        <v>6.42</v>
      </c>
      <c r="AF80" s="417">
        <v>6.68</v>
      </c>
      <c r="AG80" s="417">
        <v>6.96</v>
      </c>
      <c r="AH80" s="375">
        <f>SUM(AD80:AG80)</f>
        <v>26.28</v>
      </c>
      <c r="AI80" s="417">
        <v>7.18</v>
      </c>
      <c r="AJ80" s="417">
        <v>7.37</v>
      </c>
      <c r="AK80" s="417">
        <v>7.58</v>
      </c>
    </row>
    <row r="81" spans="1:37">
      <c r="A81" s="1" t="s">
        <v>28</v>
      </c>
      <c r="AI81" s="16">
        <f>AI80/AD80-1</f>
        <v>0.15434083601286175</v>
      </c>
      <c r="AJ81" s="16">
        <f>AJ80/AE80-1</f>
        <v>0.14797507788162001</v>
      </c>
      <c r="AK81" s="16">
        <f>AK80/AF80-1</f>
        <v>0.13473053892215581</v>
      </c>
    </row>
    <row r="83" spans="1:37">
      <c r="A83" s="1" t="s">
        <v>1907</v>
      </c>
      <c r="AD83" s="417">
        <v>1539.5</v>
      </c>
      <c r="AE83" s="417">
        <v>1517.9</v>
      </c>
      <c r="AF83" s="417">
        <v>1585.2</v>
      </c>
      <c r="AG83" s="417">
        <v>1666.9</v>
      </c>
      <c r="AH83" s="375">
        <f>AG83</f>
        <v>1666.9</v>
      </c>
      <c r="AI83" s="417">
        <v>1688.8</v>
      </c>
      <c r="AJ83" s="417">
        <v>1693.3</v>
      </c>
      <c r="AK83" s="417">
        <v>1796.5</v>
      </c>
    </row>
    <row r="84" spans="1:37">
      <c r="A84" s="1" t="s">
        <v>28</v>
      </c>
      <c r="AD84" s="16"/>
      <c r="AE84" s="16"/>
      <c r="AF84" s="16"/>
      <c r="AG84" s="16"/>
      <c r="AH84" s="16"/>
      <c r="AI84" s="16">
        <f>AI83/AD83-1</f>
        <v>9.697953881130239E-2</v>
      </c>
      <c r="AJ84" s="16">
        <f>AJ83/AE83-1</f>
        <v>0.11555438434679477</v>
      </c>
      <c r="AK84" s="16">
        <f>AK83/AF83-1</f>
        <v>0.13329548321978302</v>
      </c>
    </row>
    <row r="86" spans="1:37">
      <c r="A86" s="1" t="s">
        <v>1908</v>
      </c>
      <c r="AD86" s="417">
        <v>486</v>
      </c>
      <c r="AE86" s="417">
        <v>503.9</v>
      </c>
      <c r="AF86" s="417">
        <v>511.8</v>
      </c>
      <c r="AG86" s="417">
        <v>624.4</v>
      </c>
      <c r="AH86" s="375">
        <f>AG86</f>
        <v>624.4</v>
      </c>
      <c r="AI86" s="417">
        <v>613.20000000000005</v>
      </c>
      <c r="AJ86" s="417">
        <v>649.5</v>
      </c>
      <c r="AK86" s="417">
        <v>676.1</v>
      </c>
    </row>
    <row r="87" spans="1:37">
      <c r="A87" s="1" t="s">
        <v>28</v>
      </c>
      <c r="AD87" s="16"/>
      <c r="AE87" s="16"/>
      <c r="AF87" s="16"/>
      <c r="AG87" s="16"/>
      <c r="AH87" s="16"/>
      <c r="AI87" s="16">
        <f>AI86/AD86-1</f>
        <v>0.2617283950617284</v>
      </c>
      <c r="AJ87" s="16">
        <f>AJ86/AE86-1</f>
        <v>0.28894621948799371</v>
      </c>
      <c r="AK87" s="16">
        <f>AK86/AF86-1</f>
        <v>0.32102383743649865</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5dee3ded-7b5a-4f89-8937-315d644474df">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5D307A4850E404D863527D7F9254420" ma:contentTypeVersion="6" ma:contentTypeDescription="Create a new document." ma:contentTypeScope="" ma:versionID="a0196a941240b12f559b31a959a18da0">
  <xsd:schema xmlns:xsd="http://www.w3.org/2001/XMLSchema" xmlns:xs="http://www.w3.org/2001/XMLSchema" xmlns:p="http://schemas.microsoft.com/office/2006/metadata/properties" xmlns:ns2="16f4df3b-d869-4cec-bf8c-4a97278c7b70" xmlns:ns3="5dee3ded-7b5a-4f89-8937-315d644474df" targetNamespace="http://schemas.microsoft.com/office/2006/metadata/properties" ma:root="true" ma:fieldsID="477006b94e4b84e8ec88a1dfba24e775" ns2:_="" ns3:_="">
    <xsd:import namespace="16f4df3b-d869-4cec-bf8c-4a97278c7b70"/>
    <xsd:import namespace="5dee3ded-7b5a-4f89-8937-315d644474d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f4df3b-d869-4cec-bf8c-4a97278c7b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dee3ded-7b5a-4f89-8937-315d644474d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ABBBC22-6BAF-4E97-A1EE-6C9E047A2392}">
  <ds:schemaRefs>
    <ds:schemaRef ds:uri="http://schemas.microsoft.com/sharepoint/v3/contenttype/forms"/>
  </ds:schemaRefs>
</ds:datastoreItem>
</file>

<file path=customXml/itemProps2.xml><?xml version="1.0" encoding="utf-8"?>
<ds:datastoreItem xmlns:ds="http://schemas.openxmlformats.org/officeDocument/2006/customXml" ds:itemID="{AA7F6BB2-167E-49AC-BBCB-85D7F2715197}">
  <ds:schemaRefs>
    <ds:schemaRef ds:uri="http://purl.org/dc/dcmitype/"/>
    <ds:schemaRef ds:uri="http://purl.org/dc/elements/1.1/"/>
    <ds:schemaRef ds:uri="5dee3ded-7b5a-4f89-8937-315d644474df"/>
    <ds:schemaRef ds:uri="http://purl.org/dc/terms/"/>
    <ds:schemaRef ds:uri="http://schemas.microsoft.com/office/2006/documentManagement/types"/>
    <ds:schemaRef ds:uri="http://www.w3.org/XML/1998/namespace"/>
    <ds:schemaRef ds:uri="16f4df3b-d869-4cec-bf8c-4a97278c7b70"/>
    <ds:schemaRef ds:uri="http://schemas.microsoft.com/office/infopath/2007/PartnerControls"/>
    <ds:schemaRef ds:uri="http://schemas.openxmlformats.org/package/2006/metadata/core-properties"/>
    <ds:schemaRef ds:uri="http://schemas.microsoft.com/office/2006/metadata/properties"/>
    <ds:schemaRef ds:uri="27d582bb-0357-4658-a276-28a0de474584"/>
  </ds:schemaRefs>
</ds:datastoreItem>
</file>

<file path=customXml/itemProps3.xml><?xml version="1.0" encoding="utf-8"?>
<ds:datastoreItem xmlns:ds="http://schemas.openxmlformats.org/officeDocument/2006/customXml" ds:itemID="{B2820FE1-314A-4F5D-B159-C59763B9F0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f4df3b-d869-4cec-bf8c-4a97278c7b70"/>
    <ds:schemaRef ds:uri="5dee3ded-7b5a-4f89-8937-315d644474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Charts</vt:lpstr>
      <vt:lpstr>New SBG Valuation</vt:lpstr>
      <vt:lpstr>Alt. SoftBank Valuation</vt:lpstr>
      <vt:lpstr>Valuation table summary</vt:lpstr>
      <vt:lpstr>FP</vt:lpstr>
      <vt:lpstr>P.F. NAV Table</vt:lpstr>
      <vt:lpstr>Quarterly NAV Table</vt:lpstr>
      <vt:lpstr>OpenAI SBG "rough"</vt:lpstr>
      <vt:lpstr>OpenAI Valuation table</vt:lpstr>
      <vt:lpstr>Valuation &amp; SBG NAV</vt:lpstr>
      <vt:lpstr>AI Computing</vt:lpstr>
      <vt:lpstr>Investment Business Of HoldCo</vt:lpstr>
      <vt:lpstr>SVF Segment</vt:lpstr>
      <vt:lpstr>SVF1</vt:lpstr>
      <vt:lpstr>SVF2</vt:lpstr>
      <vt:lpstr>SoftBank Other (13F)</vt:lpstr>
      <vt:lpstr>LatAm Funds</vt:lpstr>
      <vt:lpstr>Net debt &amp; LTV</vt:lpstr>
      <vt:lpstr>TopCo Gross cash table</vt:lpstr>
      <vt:lpstr>TopCo Net debt waterfall</vt:lpstr>
      <vt:lpstr>SBG Corp. Bonds Dec. '25</vt:lpstr>
      <vt:lpstr>SBG Corp. Bonds Sep. '25</vt:lpstr>
      <vt:lpstr>SBG Corp. Bonds Jun. '25</vt:lpstr>
      <vt:lpstr>SBG Corporate Bonds OLD</vt:lpstr>
      <vt:lpstr>Financial statements (OLD)</vt:lpstr>
      <vt:lpstr>Consolidated (OLD)</vt:lpstr>
      <vt:lpstr>Arm (OLD)</vt:lpstr>
      <vt:lpstr>Links (Arm OLD Model)</vt:lpstr>
      <vt:lpstr>Financial statements KK</vt:lpstr>
      <vt:lpstr>Consolidated KK</vt:lpstr>
      <vt:lpstr>Thomson Reuters VC Index</vt:lpstr>
      <vt:lpstr>SVF Indexes</vt:lpstr>
      <vt:lpstr>SBG Discount to NAV Workings</vt:lpstr>
      <vt:lpstr>QoQ Discount to NAV Workings</vt:lpstr>
      <vt:lpstr>FX</vt:lpstr>
      <vt:lpstr>SBG investee share prices</vt:lpstr>
      <vt:lpstr>FP SoftBank Corp.</vt:lpstr>
      <vt:lpstr>Valuation SoftBank Corp.</vt:lpstr>
      <vt:lpstr>Business segments KK</vt:lpstr>
      <vt:lpstr>Mobile</vt:lpstr>
      <vt:lpstr>Broadband</vt:lpstr>
      <vt:lpstr>Media &amp; EC</vt:lpstr>
      <vt:lpstr>Financial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Pound</dc:creator>
  <cp:lastModifiedBy>Alex Pound</cp:lastModifiedBy>
  <dcterms:created xsi:type="dcterms:W3CDTF">2024-01-16T14:01:15Z</dcterms:created>
  <dcterms:modified xsi:type="dcterms:W3CDTF">2026-03-03T11:53:48Z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0x01010015D307A4850E404D863527D7F9254420</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